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555" windowWidth="7665" windowHeight="975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text'!$J$40</definedName>
    <definedName name="AHU_SAT">'imf input text'!$J$39</definedName>
    <definedName name="Another_Kwang_Sizing">'imf input text'!$J$37</definedName>
    <definedName name="Average_East_VAVSize">'imf input text'!$M$61</definedName>
    <definedName name="Average_Interior_VAVSize">'imf input text'!$M$82</definedName>
    <definedName name="Average_North_VAVSize">'imf input text'!$M$64</definedName>
    <definedName name="Average_South_VAVSize">'imf input text'!$M$63</definedName>
    <definedName name="Average_West_VAVSize">'imf input text'!$M$62</definedName>
    <definedName name="bin_width">#REF!</definedName>
    <definedName name="Bldg_Length">'imf input text'!$N$12</definedName>
    <definedName name="Bldg_Width">'imf input text'!$N$13</definedName>
    <definedName name="Boiler_Capacity">'imf input text'!$E$161</definedName>
    <definedName name="Boiler_Staging">Input!$D$60</definedName>
    <definedName name="Boiler2_Capacity">'imf input text'!$E$162</definedName>
    <definedName name="BoilerFirstStageRatio">'imf input text'!$E$160</definedName>
    <definedName name="Ceiling_Height">'imf input text'!$J$103</definedName>
    <definedName name="CeilingHeight">'graph data'!$D$163</definedName>
    <definedName name="Central_ReturnFan_MaxFlow">'imf input text'!$E$166</definedName>
    <definedName name="Central_SupplyFan_MaxFlow">'imf input text'!$E$165</definedName>
    <definedName name="Chiller_Capacity">'imf input text'!$E$163</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text'!$E$169</definedName>
    <definedName name="CndW_Control">'imf input text'!$J$117</definedName>
    <definedName name="CndW_Radiant_Temp">'imf input text'!$J$118</definedName>
    <definedName name="Condenser_Pump_MaxFlow">'imf input text'!$E$170</definedName>
    <definedName name="Cooling_Setpoint">'imf input text'!$J$45</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Sizing">'imf input text'!$J$11</definedName>
    <definedName name="Diffuser_Type">lists!$B$14:$B$18</definedName>
    <definedName name="end_day">'imf input text'!$J$37</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irstMinFrac">'imf input text'!$J$62</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text'!$E$127</definedName>
    <definedName name="FSFan_Max_HeatingAir_GFEast">'imf input text'!$E$146</definedName>
    <definedName name="FSFan_UFAD_Min_Frac_GFCore">'imf input text'!$E$118</definedName>
    <definedName name="FSFan_UFAD_Min_Frac_GFEast">'imf input text'!$E$106</definedName>
    <definedName name="FSFan_UFAD_Min_Frac_GFNorth">'imf input text'!$E$109</definedName>
    <definedName name="FSFan_UFAD_Min_Frac_GFSouth">'imf input text'!$E$108</definedName>
    <definedName name="FSFan_UFAD_Min_Frac_GFWest">'imf input text'!$E$107</definedName>
    <definedName name="FSFan_UFAD_Min_Frac_MFCore">'imf input text'!$E$119</definedName>
    <definedName name="FSFan_UFAD_Min_Frac_MFEast">'imf input text'!$E$110</definedName>
    <definedName name="FSFan_UFAD_Min_Frac_MFNorth">'imf input text'!$E$113</definedName>
    <definedName name="FSFan_UFAD_Min_Frac_MFSouth">'imf input text'!$E$112</definedName>
    <definedName name="FSFan_UFAD_Min_Frac_MFWest">'imf input text'!$E$111</definedName>
    <definedName name="FSFan_UFAD_Min_Frac_TFCore">'imf input text'!$E$120</definedName>
    <definedName name="FSFan_UFAD_Min_Frac_TFEast">'imf input text'!$E$114</definedName>
    <definedName name="FSFan_UFAD_Min_Frac_TFNorth">'imf input text'!$E$117</definedName>
    <definedName name="FSFan_UFAD_Min_Frac_TFSouth">'imf input text'!$E$116</definedName>
    <definedName name="FSFan_UFAD_Min_Frac_TFWest">'imf input text'!$E$115</definedName>
    <definedName name="GFCore_Peak_Split">'Output other'!$I$36</definedName>
    <definedName name="Heat_Recovery">'imf input text'!$J$44</definedName>
    <definedName name="Heating_Setpoint">'imf input text'!$J$47</definedName>
    <definedName name="HW_Pump_MaxFlow">'imf input text'!$E$168</definedName>
    <definedName name="InputAHUStaticReset">Input!$D$53</definedName>
    <definedName name="InputSystemType">Input!$D$6</definedName>
    <definedName name="InputUFADInteriorDiffuser">Input!$D$40</definedName>
    <definedName name="Int_cfm_per_diff">'imf input text'!$J$85</definedName>
    <definedName name="int_constant_phi">'imf input text'!$J$98</definedName>
    <definedName name="Int_DesignPhi">'imf input text'!$J$87</definedName>
    <definedName name="int_diff_sf">'imf input text'!$J$86</definedName>
    <definedName name="Int_DiffAngle">'imf input text'!$J$91</definedName>
    <definedName name="Int_DiffArea">'imf input text'!$J$90</definedName>
    <definedName name="Int_DiffCoeff_A">'imf input text'!$J$96</definedName>
    <definedName name="Int_DiffType">'imf input text'!$J$88</definedName>
    <definedName name="Int_NumDiffus_Method">'imf input text'!#REF!</definedName>
    <definedName name="Int_zone">'Output hourly'!$D$4</definedName>
    <definedName name="interior_zones_list">lists!$F$6:$F$7</definedName>
    <definedName name="Internal_Load_Option">lists!$E$17:$E$19</definedName>
    <definedName name="Internal_Mass">'imf input text'!$J$31</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text'!$J$13</definedName>
    <definedName name="No_DiffuserPerPerson_Core">'imf input text'!#REF!</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text'!$B$279</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_cfm_per_diff">'imf input text'!$J$67</definedName>
    <definedName name="per_constant_phi">'imf input text'!$J$80</definedName>
    <definedName name="per_diff_sf">'imf input text'!$J$68</definedName>
    <definedName name="Perim_DesignPhi">'imf input text'!$J$69</definedName>
    <definedName name="Perim_DiffAngle">'imf input text'!$J$73</definedName>
    <definedName name="Perim_DiffArea">'imf input text'!$J$72</definedName>
    <definedName name="Perim_DiffCoeff_A">'imf input text'!$J$78</definedName>
    <definedName name="Perim_DiffType">'imf input text'!$J$70</definedName>
    <definedName name="Perim_NumDiffus_Method">'imf input text'!#REF!</definedName>
    <definedName name="perim_zone">'Output hourly'!$D$5</definedName>
    <definedName name="Perimeter_Depth">'imf input text'!$N$14</definedName>
    <definedName name="perimeter_zones_list">lists!$E$6:$E$9</definedName>
    <definedName name="PMV_Threshold">'Output other'!$D$32</definedName>
    <definedName name="Radiant_Simulation">'imf input text'!$Q$31</definedName>
    <definedName name="RadiantCore_CoolingSP">'imf input text'!$J$121</definedName>
    <definedName name="RadiantCore_NightCoolingSP">'imf input text'!$J$122</definedName>
    <definedName name="RadiantPerim_CoolingSP">'imf input text'!$J$119</definedName>
    <definedName name="RadiantPerim_NightCoolingSP">'imf input text'!$J$120</definedName>
    <definedName name="Recirculation">'imf input text'!$J$38</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text'!$J$35</definedName>
    <definedName name="SAT_Reset">'imf input text'!$J$49</definedName>
    <definedName name="save_output">Input!$K$4</definedName>
    <definedName name="SecondMinFrac">'imf input text'!$J$63</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text'!$J$102</definedName>
    <definedName name="Swing_Season_Operation">'imf input text'!$J$123</definedName>
    <definedName name="SystemType">lists!$N$5:$N$7</definedName>
    <definedName name="Test_run">#REF!</definedName>
    <definedName name="Thermal_Decay_Sizing">'imf input text'!$J$12</definedName>
    <definedName name="UFAD_Chiller_Sizing_Factor">'imf input text'!$Q$34</definedName>
    <definedName name="UFAD_Int_NumDiffs_GF">'imf input text'!$E$45</definedName>
    <definedName name="UFAD_NumDiffs_GFE">'imf input text'!$E$18</definedName>
    <definedName name="UFAD_SystemType">'imf input text'!$J$57</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text'!$J$19</definedName>
    <definedName name="Zone_Cool_SAT_Core">'imf input text'!$E$89</definedName>
    <definedName name="Zone_Cool_SAT_GF_Core">'imf input text'!$E$90</definedName>
    <definedName name="Zone_Cool_SAT_GF_Perim">'imf input text'!$E$88</definedName>
    <definedName name="Zone_Cool_SAT_Perim">'imf input text'!$E$87</definedName>
  </definedNames>
  <calcPr calcId="144525"/>
</workbook>
</file>

<file path=xl/calcChain.xml><?xml version="1.0" encoding="utf-8"?>
<calcChain xmlns="http://schemas.openxmlformats.org/spreadsheetml/2006/main">
  <c r="B89" i="12" l="1"/>
  <c r="B90" i="12"/>
  <c r="B88" i="12"/>
  <c r="E275" i="12" l="1"/>
  <c r="E274" i="12"/>
  <c r="B275" i="12"/>
  <c r="G39" i="12" l="1"/>
  <c r="E32" i="12" l="1"/>
  <c r="E31" i="12"/>
  <c r="E50" i="12"/>
  <c r="E49" i="12"/>
  <c r="B29" i="12" l="1"/>
  <c r="J85" i="12" l="1"/>
  <c r="J67" i="12"/>
  <c r="E81" i="12" l="1"/>
  <c r="E82" i="12" s="1"/>
  <c r="E36" i="12"/>
  <c r="E268" i="12" l="1"/>
  <c r="Q40" i="12"/>
  <c r="E15" i="12" l="1"/>
  <c r="T13" i="12"/>
  <c r="B274" i="12"/>
  <c r="E273" i="12" l="1"/>
  <c r="B273" i="12" s="1"/>
  <c r="E269" i="12" l="1"/>
  <c r="B269" i="12" s="1"/>
  <c r="E266" i="12" l="1"/>
  <c r="E267" i="12"/>
  <c r="E258" i="12" l="1"/>
  <c r="B258" i="12" s="1"/>
  <c r="B268" i="12"/>
  <c r="B267" i="12"/>
  <c r="B266" i="12"/>
  <c r="B265" i="12"/>
  <c r="E264" i="12"/>
  <c r="B264" i="12" s="1"/>
  <c r="E263" i="12"/>
  <c r="B263" i="12" s="1"/>
  <c r="E262" i="12"/>
  <c r="B262" i="12" s="1"/>
  <c r="B260" i="12"/>
  <c r="B261" i="12"/>
  <c r="B259" i="12"/>
  <c r="J24" i="12"/>
  <c r="B9" i="12"/>
  <c r="B78" i="12" l="1"/>
  <c r="E256" i="12"/>
  <c r="B256" i="12" s="1"/>
  <c r="B196" i="12"/>
  <c r="B195" i="12"/>
  <c r="B194" i="12"/>
  <c r="B193" i="12"/>
  <c r="E93"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7" i="12"/>
  <c r="E278" i="12"/>
  <c r="B278" i="12" s="1"/>
  <c r="B253" i="12"/>
  <c r="B254" i="12"/>
  <c r="B255" i="12"/>
  <c r="E69" i="12"/>
  <c r="B69" i="12" s="1"/>
  <c r="E68" i="12"/>
  <c r="E95"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8" i="12"/>
  <c r="B27" i="12"/>
  <c r="B26" i="12"/>
  <c r="B25" i="12"/>
  <c r="B24" i="12"/>
  <c r="B23" i="12"/>
  <c r="E77" i="12" l="1"/>
  <c r="E72" i="12"/>
  <c r="B72" i="12" s="1"/>
  <c r="E67" i="12"/>
  <c r="E250" i="12" l="1"/>
  <c r="E248" i="12"/>
  <c r="E252" i="12" l="1"/>
  <c r="B252" i="12" s="1"/>
  <c r="E251" i="12"/>
  <c r="B251" i="12" s="1"/>
  <c r="E197" i="12"/>
  <c r="G31" i="12"/>
  <c r="B31" i="12" s="1"/>
  <c r="G32" i="12"/>
  <c r="B32" i="12" s="1"/>
  <c r="G33" i="12"/>
  <c r="G34" i="12"/>
  <c r="G35" i="12"/>
  <c r="G36" i="12"/>
  <c r="G37" i="12"/>
  <c r="G38" i="12"/>
  <c r="G40" i="12"/>
  <c r="G49" i="12"/>
  <c r="B49" i="12" s="1"/>
  <c r="G50" i="12"/>
  <c r="B50" i="12" s="1"/>
  <c r="G51" i="12"/>
  <c r="G52" i="12"/>
  <c r="G53" i="12"/>
  <c r="G54" i="12"/>
  <c r="G55" i="12"/>
  <c r="G56" i="12"/>
  <c r="G57" i="12"/>
  <c r="G58" i="12"/>
  <c r="G59" i="12"/>
  <c r="G60" i="12"/>
  <c r="E188" i="12" l="1"/>
  <c r="B188" i="12" l="1"/>
  <c r="B248" i="12"/>
  <c r="E244" i="12"/>
  <c r="B244" i="12" s="1"/>
  <c r="E249" i="12"/>
  <c r="B249" i="12" s="1"/>
  <c r="E246" i="12"/>
  <c r="B246" i="12" s="1"/>
  <c r="E247" i="12"/>
  <c r="B247" i="12" s="1"/>
  <c r="B250" i="12"/>
  <c r="E240" i="12"/>
  <c r="B240" i="12" s="1"/>
  <c r="E241" i="12"/>
  <c r="B241" i="12" s="1"/>
  <c r="E242" i="12"/>
  <c r="B242" i="12" s="1"/>
  <c r="E243" i="12"/>
  <c r="E239" i="12"/>
  <c r="B239" i="12" s="1"/>
  <c r="E160" i="12" l="1"/>
  <c r="E245" i="12" l="1"/>
  <c r="B245" i="12" s="1"/>
  <c r="B162" i="12" l="1"/>
  <c r="B160" i="12" l="1"/>
  <c r="B159" i="12"/>
  <c r="Q32" i="12" l="1"/>
  <c r="E238" i="12" l="1"/>
  <c r="E237" i="12"/>
  <c r="Q31" i="12"/>
  <c r="B243" i="12" l="1"/>
  <c r="D60" i="37" l="1"/>
  <c r="J10" i="39" s="1"/>
  <c r="D58" i="37"/>
  <c r="D12" i="37"/>
  <c r="J32" i="39" l="1"/>
  <c r="J29" i="39"/>
  <c r="J27" i="39"/>
  <c r="J24" i="39"/>
  <c r="J22" i="39"/>
  <c r="J19" i="39"/>
  <c r="J30" i="39"/>
  <c r="J28" i="39"/>
  <c r="J25" i="39"/>
  <c r="J23" i="39"/>
  <c r="J20" i="39"/>
  <c r="J18" i="39"/>
  <c r="J6" i="39" l="1"/>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7" i="12" l="1"/>
  <c r="B238"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L223"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5" i="12"/>
  <c r="B235" i="12" s="1"/>
  <c r="E231" i="12"/>
  <c r="E234" i="12" l="1"/>
  <c r="B234" i="12" s="1"/>
  <c r="B231" i="12"/>
  <c r="E233" i="12"/>
  <c r="B233" i="12" s="1"/>
  <c r="O82" i="12"/>
  <c r="E232" i="12"/>
  <c r="B232" i="12" s="1"/>
  <c r="E230" i="12" l="1"/>
  <c r="B230" i="12" s="1"/>
  <c r="E91" i="12"/>
  <c r="E228" i="12"/>
  <c r="E227" i="12"/>
  <c r="B227" i="12" s="1"/>
  <c r="E226" i="12"/>
  <c r="B226" i="12" s="1"/>
  <c r="E225" i="12"/>
  <c r="B225" i="12" s="1"/>
  <c r="B166" i="12"/>
  <c r="B165" i="12"/>
  <c r="E121" i="12"/>
  <c r="E122" i="12"/>
  <c r="E123" i="12"/>
  <c r="B228" i="12" l="1"/>
  <c r="E229" i="12"/>
  <c r="B229" i="12" s="1"/>
  <c r="Q36" i="12"/>
  <c r="E65" i="12"/>
  <c r="E64" i="12"/>
  <c r="E63" i="12"/>
  <c r="C443" i="30"/>
  <c r="E236" i="12"/>
  <c r="B236" i="12" s="1"/>
  <c r="B91" i="12"/>
  <c r="E92" i="12"/>
  <c r="B92"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4" i="12"/>
  <c r="B224" i="12" s="1"/>
  <c r="E223" i="12"/>
  <c r="B223" i="12" s="1"/>
  <c r="E222" i="12"/>
  <c r="B222" i="12" s="1"/>
  <c r="E220" i="12"/>
  <c r="B220" i="12" s="1"/>
  <c r="E221" i="12"/>
  <c r="B221" i="12" s="1"/>
  <c r="F28" i="18"/>
  <c r="E28" i="18"/>
  <c r="F27" i="18"/>
  <c r="E27" i="18"/>
  <c r="F26" i="18"/>
  <c r="E26" i="18"/>
  <c r="F24" i="18"/>
  <c r="E24" i="18"/>
  <c r="F23" i="18"/>
  <c r="E23" i="18"/>
  <c r="F22" i="18"/>
  <c r="E22" i="18"/>
  <c r="E219" i="12"/>
  <c r="B219" i="12" s="1"/>
  <c r="E218" i="12"/>
  <c r="B218" i="12" s="1"/>
  <c r="E217" i="12"/>
  <c r="B217" i="12" s="1"/>
  <c r="E215" i="12"/>
  <c r="E214" i="12"/>
  <c r="N14" i="12"/>
  <c r="E206" i="12" s="1"/>
  <c r="N12" i="12"/>
  <c r="N13" i="12" l="1"/>
  <c r="E200" i="12"/>
  <c r="B200" i="12" s="1"/>
  <c r="N16" i="12"/>
  <c r="N17" i="12" s="1"/>
  <c r="E204" i="12"/>
  <c r="N19" i="12"/>
  <c r="E271" i="12" s="1"/>
  <c r="B271" i="12" s="1"/>
  <c r="B215" i="12"/>
  <c r="B214" i="12"/>
  <c r="B206" i="12"/>
  <c r="B205" i="12"/>
  <c r="B199" i="12"/>
  <c r="B197" i="12"/>
  <c r="B190" i="12"/>
  <c r="B189" i="12"/>
  <c r="B191" i="12"/>
  <c r="B192" i="12"/>
  <c r="B180" i="12"/>
  <c r="B181" i="12"/>
  <c r="B182" i="12"/>
  <c r="B183" i="12"/>
  <c r="E184" i="12"/>
  <c r="B184" i="12" s="1"/>
  <c r="N78" i="30" l="1"/>
  <c r="N18" i="12"/>
  <c r="E210" i="12"/>
  <c r="E213" i="12" s="1"/>
  <c r="B213" i="12" s="1"/>
  <c r="E201" i="12"/>
  <c r="B201" i="12" s="1"/>
  <c r="E202" i="12"/>
  <c r="B202" i="12" s="1"/>
  <c r="H76" i="30"/>
  <c r="H79" i="30"/>
  <c r="N72" i="30"/>
  <c r="H73" i="30"/>
  <c r="N77" i="30"/>
  <c r="N20" i="12"/>
  <c r="E272" i="12" s="1"/>
  <c r="B272" i="12" s="1"/>
  <c r="H72" i="30"/>
  <c r="H78" i="30"/>
  <c r="N76" i="30"/>
  <c r="N125" i="30"/>
  <c r="H77" i="30"/>
  <c r="N73" i="30"/>
  <c r="N126" i="30"/>
  <c r="N79" i="30"/>
  <c r="N120" i="30"/>
  <c r="B204" i="12"/>
  <c r="E203" i="12"/>
  <c r="B203" i="12" s="1"/>
  <c r="E212" i="12"/>
  <c r="B212" i="12" s="1"/>
  <c r="E186" i="12"/>
  <c r="B186" i="12" s="1"/>
  <c r="E187" i="12"/>
  <c r="B187" i="12" s="1"/>
  <c r="E185" i="12"/>
  <c r="D12" i="28" l="1"/>
  <c r="D367" i="30" s="1"/>
  <c r="H367" i="30" s="1"/>
  <c r="I367" i="30" s="1"/>
  <c r="E270" i="12"/>
  <c r="B270" i="12" s="1"/>
  <c r="D11" i="28"/>
  <c r="D373" i="30" s="1"/>
  <c r="H373" i="30" s="1"/>
  <c r="I373" i="30" s="1"/>
  <c r="B185" i="12"/>
  <c r="E211" i="12"/>
  <c r="B211" i="12" s="1"/>
  <c r="B210" i="12"/>
  <c r="E209" i="12"/>
  <c r="B209" i="12" s="1"/>
  <c r="E177" i="12"/>
  <c r="B177" i="12" s="1"/>
  <c r="E176" i="12"/>
  <c r="B176" i="12" s="1"/>
  <c r="E175" i="12"/>
  <c r="E179" i="12" s="1"/>
  <c r="B179" i="12" s="1"/>
  <c r="E174" i="12"/>
  <c r="B174" i="12" s="1"/>
  <c r="E173" i="12"/>
  <c r="E178" i="12" s="1"/>
  <c r="B178" i="12" s="1"/>
  <c r="E172" i="12"/>
  <c r="B172"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8" i="12"/>
  <c r="B208" i="12" s="1"/>
  <c r="E207" i="12"/>
  <c r="B207" i="12" s="1"/>
  <c r="B173" i="12"/>
  <c r="B175" i="12"/>
  <c r="E349" i="30" l="1"/>
  <c r="C349" i="30" s="1"/>
  <c r="C352" i="30" s="1"/>
  <c r="C353" i="30" s="1"/>
  <c r="C343" i="30"/>
  <c r="E125" i="12"/>
  <c r="B125" i="12" s="1"/>
  <c r="L82" i="12"/>
  <c r="L62" i="12"/>
  <c r="L63" i="12"/>
  <c r="L64" i="12"/>
  <c r="L61" i="12"/>
  <c r="B170" i="12"/>
  <c r="B169" i="12"/>
  <c r="B168" i="12"/>
  <c r="B163" i="12"/>
  <c r="B161" i="12"/>
  <c r="B157" i="12"/>
  <c r="B156" i="12"/>
  <c r="B155" i="12"/>
  <c r="B154" i="12"/>
  <c r="B153" i="12"/>
  <c r="B152" i="12"/>
  <c r="B151" i="12"/>
  <c r="B150" i="12"/>
  <c r="B149" i="12"/>
  <c r="B148" i="12"/>
  <c r="B147" i="12"/>
  <c r="B146" i="12"/>
  <c r="B144" i="12" l="1"/>
  <c r="B143" i="12"/>
  <c r="B142" i="12"/>
  <c r="B141" i="12"/>
  <c r="B140" i="12"/>
  <c r="B139" i="12"/>
  <c r="B138" i="12"/>
  <c r="B137" i="12"/>
  <c r="B136" i="12"/>
  <c r="B135" i="12"/>
  <c r="B134" i="12"/>
  <c r="B133" i="12"/>
  <c r="B132" i="12"/>
  <c r="B131" i="12"/>
  <c r="B130" i="12"/>
  <c r="B129" i="12"/>
  <c r="B128" i="12"/>
  <c r="B127" i="12"/>
  <c r="E61" i="12" l="1"/>
  <c r="B61" i="12" s="1"/>
  <c r="E103" i="12"/>
  <c r="B103" i="12" s="1"/>
  <c r="B123" i="12" l="1"/>
  <c r="B122" i="12"/>
  <c r="B121" i="12"/>
  <c r="B120" i="12"/>
  <c r="B119" i="12"/>
  <c r="B118" i="12"/>
  <c r="B117" i="12"/>
  <c r="B116" i="12"/>
  <c r="B115" i="12"/>
  <c r="B114" i="12"/>
  <c r="B113" i="12"/>
  <c r="B112" i="12"/>
  <c r="B111" i="12"/>
  <c r="B110" i="12"/>
  <c r="B109" i="12"/>
  <c r="B108" i="12"/>
  <c r="B107" i="12"/>
  <c r="B106" i="12"/>
  <c r="E30" i="12" l="1"/>
  <c r="B30" i="12" s="1"/>
  <c r="B102" i="12"/>
  <c r="E84" i="12"/>
  <c r="B84" i="12" s="1"/>
  <c r="E99" i="12"/>
  <c r="B99"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3" i="12"/>
  <c r="E34" i="12"/>
  <c r="E35" i="12"/>
  <c r="E37" i="12"/>
  <c r="E38" i="12"/>
  <c r="E39" i="12"/>
  <c r="E40" i="12"/>
  <c r="B40" i="12" s="1"/>
  <c r="E41" i="12"/>
  <c r="E42" i="12"/>
  <c r="E48" i="12"/>
  <c r="B48" i="12" s="1"/>
  <c r="E51" i="12"/>
  <c r="E52" i="12"/>
  <c r="E53" i="12"/>
  <c r="E54" i="12"/>
  <c r="E55" i="12"/>
  <c r="E56" i="12"/>
  <c r="E57" i="12"/>
  <c r="E58" i="12"/>
  <c r="E59" i="12"/>
  <c r="E60" i="12"/>
  <c r="B63" i="12"/>
  <c r="B64" i="12"/>
  <c r="B65" i="12"/>
  <c r="B67" i="12"/>
  <c r="B77" i="12"/>
  <c r="B83" i="12"/>
  <c r="E94" i="12"/>
  <c r="B94" i="12" s="1"/>
  <c r="B95" i="12"/>
  <c r="E104" i="12"/>
  <c r="B104" i="12" s="1"/>
  <c r="E96" i="12"/>
  <c r="B96" i="12" s="1"/>
  <c r="E97" i="12"/>
  <c r="B97" i="12" s="1"/>
  <c r="E98" i="12"/>
  <c r="B98" i="12" s="1"/>
  <c r="B81" i="12" l="1"/>
  <c r="B54" i="12"/>
  <c r="L62" i="30"/>
  <c r="N62" i="30" s="1"/>
  <c r="B82"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87" i="12"/>
  <c r="B93" i="12"/>
  <c r="D16" i="28"/>
  <c r="D24" i="28"/>
  <c r="D15" i="28"/>
  <c r="D25" i="28"/>
  <c r="D23" i="28"/>
  <c r="B34" i="12"/>
  <c r="B85" i="12"/>
  <c r="B18" i="12"/>
  <c r="B60" i="12"/>
  <c r="B58" i="12"/>
  <c r="B56" i="12"/>
  <c r="B55" i="12"/>
  <c r="B52" i="12"/>
  <c r="B42" i="12"/>
  <c r="B38" i="12"/>
  <c r="D103" i="30"/>
  <c r="D129" i="30" s="1"/>
  <c r="G8" i="32" s="1"/>
  <c r="C76" i="30"/>
  <c r="V71" i="30"/>
  <c r="T71" i="30" s="1"/>
  <c r="B45" i="12"/>
  <c r="B41" i="12"/>
  <c r="B39" i="12"/>
  <c r="L57" i="30"/>
  <c r="B20" i="12"/>
  <c r="B59" i="12"/>
  <c r="B57" i="12"/>
  <c r="B53" i="12"/>
  <c r="B51" i="12"/>
  <c r="B37" i="12"/>
  <c r="B19" i="12"/>
  <c r="M95" i="30"/>
  <c r="M121" i="30" s="1"/>
  <c r="P12" i="32" s="1"/>
  <c r="H103" i="30"/>
  <c r="H129" i="30" s="1"/>
  <c r="K8" i="32" s="1"/>
  <c r="F95" i="30"/>
  <c r="F121" i="30" s="1"/>
  <c r="I12" i="32" s="1"/>
  <c r="C104" i="30"/>
  <c r="C130" i="30" s="1"/>
  <c r="F7" i="32" s="1"/>
  <c r="E86" i="12"/>
  <c r="B86" i="12" s="1"/>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comments4.xml><?xml version="1.0" encoding="utf-8"?>
<comments xmlns="http://schemas.openxmlformats.org/spreadsheetml/2006/main">
  <authors>
    <author>thoyt</author>
  </authors>
  <commentList>
    <comment ref="C14" authorId="0">
      <text>
        <r>
          <rPr>
            <b/>
            <sz val="9"/>
            <color indexed="81"/>
            <rFont val="Tahoma"/>
            <family val="2"/>
          </rPr>
          <t>thoyt:</t>
        </r>
        <r>
          <rPr>
            <sz val="9"/>
            <color indexed="81"/>
            <rFont val="Tahoma"/>
            <family val="2"/>
          </rPr>
          <t xml:space="preserve">
This may be changed for special diffusers</t>
        </r>
      </text>
    </comment>
    <comment ref="C17" authorId="0">
      <text>
        <r>
          <rPr>
            <b/>
            <sz val="9"/>
            <color indexed="81"/>
            <rFont val="Tahoma"/>
            <family val="2"/>
          </rPr>
          <t>thoyt:</t>
        </r>
        <r>
          <rPr>
            <sz val="9"/>
            <color indexed="81"/>
            <rFont val="Tahoma"/>
            <family val="2"/>
          </rPr>
          <t xml:space="preserve">
Phi is constant, so numdiffs is not required</t>
        </r>
      </text>
    </comment>
  </commentList>
</comments>
</file>

<file path=xl/sharedStrings.xml><?xml version="1.0" encoding="utf-8"?>
<sst xmlns="http://schemas.openxmlformats.org/spreadsheetml/2006/main" count="16966" uniqueCount="3020">
  <si>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</si>
  <si>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</si>
  <si>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</si>
  <si>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</si>
  <si>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</si>
  <si>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</si>
  <si>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</si>
  <si>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</si>
  <si>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</si>
  <si>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</si>
  <si>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</si>
  <si>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</si>
  <si>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</si>
  <si>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</si>
  <si>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</si>
  <si>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</si>
  <si>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</si>
  <si>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</si>
  <si>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</si>
  <si>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</si>
  <si>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</si>
  <si>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</si>
  <si>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</si>
  <si>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</si>
  <si>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</si>
  <si>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</si>
  <si>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</si>
  <si>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</si>
  <si>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</si>
  <si>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</si>
  <si>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</si>
  <si>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</si>
  <si>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</si>
  <si>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</si>
  <si>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</si>
  <si>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</si>
  <si>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</si>
  <si>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</si>
  <si>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</si>
  <si>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</si>
  <si>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</si>
  <si>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</si>
  <si>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</si>
  <si>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</si>
  <si>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</si>
  <si>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</si>
  <si>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</si>
  <si>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</si>
  <si>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</si>
  <si>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</si>
  <si>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</si>
  <si>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</si>
  <si>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</si>
  <si>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</si>
  <si>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</si>
  <si>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</si>
  <si>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</si>
  <si>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</si>
  <si>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</si>
  <si>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</si>
  <si>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</si>
  <si>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</si>
  <si>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</si>
  <si>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</si>
  <si>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</si>
  <si>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</si>
  <si>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</si>
  <si>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</si>
  <si>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</si>
  <si>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</si>
  <si>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</si>
  <si>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</si>
  <si>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</si>
  <si>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</si>
  <si>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</si>
  <si>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</si>
  <si>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</si>
  <si>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</si>
  <si>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</si>
  <si>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</si>
  <si>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</si>
  <si>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</si>
  <si>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</si>
  <si>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</si>
  <si>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</si>
  <si>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</si>
  <si>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</si>
  <si>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</si>
  <si>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</si>
  <si>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</si>
  <si>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</si>
  <si>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</si>
  <si>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</si>
  <si>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</si>
  <si>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</si>
  <si>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</si>
  <si>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</si>
  <si>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</si>
  <si>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</si>
  <si>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</si>
  <si>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</si>
  <si>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</si>
  <si>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</si>
  <si>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</si>
  <si>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</si>
  <si>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</si>
  <si>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</si>
  <si>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</si>
  <si>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</si>
  <si>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</si>
  <si>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</si>
  <si>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</si>
  <si>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</si>
  <si>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</si>
  <si>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</si>
  <si>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</si>
  <si>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</si>
  <si>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</si>
  <si>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</si>
  <si>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</si>
  <si>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</si>
  <si>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</si>
  <si>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</si>
  <si>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</si>
  <si>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</si>
  <si>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</si>
  <si>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</si>
  <si>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</si>
  <si>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</si>
  <si>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</si>
  <si>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</si>
  <si>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</si>
  <si>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</si>
  <si>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</si>
  <si>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</si>
  <si>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</si>
  <si>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</si>
  <si>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</si>
  <si>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</si>
  <si>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</si>
  <si>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</si>
  <si>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</si>
  <si>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</si>
  <si>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</si>
  <si>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</si>
  <si>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</si>
  <si>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</si>
  <si>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</si>
  <si>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</si>
  <si>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</si>
  <si>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</si>
  <si>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</si>
  <si>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</si>
  <si>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</si>
  <si>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</si>
  <si>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</si>
  <si>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</si>
  <si>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</si>
  <si>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</si>
  <si>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</si>
  <si>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</si>
  <si>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</si>
  <si>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</si>
  <si>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</si>
  <si>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</si>
  <si>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</si>
  <si>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</si>
  <si>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</si>
  <si>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</si>
  <si>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</si>
  <si>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</si>
  <si>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</si>
  <si>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</si>
  <si>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</si>
  <si>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</si>
  <si>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</si>
  <si>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</si>
  <si>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</si>
  <si>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</si>
  <si>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</si>
  <si>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</si>
  <si>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</si>
  <si>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</si>
  <si>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</si>
  <si>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</si>
  <si>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</si>
  <si>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</si>
  <si>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</si>
  <si>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</si>
  <si>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</si>
  <si>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</si>
  <si>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</si>
  <si>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</si>
  <si>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</si>
  <si>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</si>
  <si>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</si>
  <si>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</si>
  <si>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</si>
  <si>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</si>
  <si>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UFAD Diffuser Types</t>
  </si>
  <si>
    <t>imf input text</t>
  </si>
  <si>
    <t>MIXED</t>
  </si>
  <si>
    <t>DV</t>
  </si>
  <si>
    <t>UFAD</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</si>
  <si>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</si>
  <si>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</si>
  <si>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</si>
  <si>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</si>
  <si>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</si>
  <si>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</si>
  <si>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</si>
  <si>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</si>
  <si>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</si>
  <si>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</si>
  <si>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</si>
  <si>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</si>
  <si>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</si>
  <si>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</si>
  <si>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</si>
  <si>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</si>
  <si>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</si>
  <si>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</si>
  <si>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</si>
  <si>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</si>
  <si>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</si>
  <si>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</si>
  <si>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</si>
  <si>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</si>
  <si>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</si>
  <si>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</si>
  <si>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</si>
  <si>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</si>
  <si>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</si>
  <si>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m2</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</si>
  <si>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</si>
  <si>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</si>
  <si>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</si>
  <si>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</si>
  <si>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</si>
  <si>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</si>
  <si>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</si>
  <si>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</si>
  <si>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</si>
  <si>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</si>
  <si>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</si>
  <si>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</si>
  <si>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</si>
  <si>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</si>
  <si>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</si>
  <si>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</si>
  <si>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</si>
  <si>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</si>
  <si>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</si>
  <si>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</si>
  <si>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</si>
  <si>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</si>
  <si>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</si>
  <si>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</si>
  <si>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</si>
  <si>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</si>
  <si>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</si>
  <si>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</si>
  <si>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</si>
  <si>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</si>
  <si>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</si>
  <si>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</si>
  <si>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</si>
  <si>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</si>
  <si>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</si>
  <si>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</si>
  <si>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</si>
  <si>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</si>
  <si>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</si>
  <si>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</si>
  <si>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</si>
  <si>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</si>
  <si>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</si>
  <si>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</si>
  <si>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</si>
  <si>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</si>
  <si>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</si>
  <si>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</si>
  <si>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</si>
  <si>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</si>
  <si>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</si>
  <si>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</si>
  <si>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</si>
  <si>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</si>
  <si>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</si>
  <si>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</si>
  <si>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</si>
  <si>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</si>
  <si>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</si>
  <si>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</si>
  <si>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</si>
  <si>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</si>
  <si>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</si>
  <si>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</si>
  <si>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</si>
  <si>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</si>
  <si>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</si>
  <si>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</si>
  <si>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</si>
  <si>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</si>
  <si>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</si>
  <si>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</si>
  <si>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</si>
  <si>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</si>
  <si>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</si>
  <si>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</si>
  <si>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</si>
  <si>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</si>
  <si>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</si>
  <si>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</si>
  <si>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</si>
  <si>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</si>
  <si>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</si>
  <si>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</si>
  <si>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</si>
  <si>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</si>
  <si>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</si>
  <si>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</si>
  <si>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</si>
  <si>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</si>
  <si>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</si>
  <si>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</si>
  <si>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</si>
  <si>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</si>
  <si>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</si>
  <si>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</si>
  <si>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</si>
  <si>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</si>
  <si>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</si>
  <si>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</si>
  <si>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</si>
  <si>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</si>
  <si>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</si>
  <si>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</si>
  <si>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</si>
  <si>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</si>
  <si>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</si>
  <si>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</si>
  <si>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</si>
  <si>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</si>
  <si>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</si>
  <si>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</si>
  <si>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</si>
  <si>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</si>
  <si>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</si>
  <si>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</si>
  <si>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</si>
  <si>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</si>
  <si>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</si>
  <si>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</si>
  <si>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</si>
  <si>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</si>
  <si>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</si>
  <si>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</si>
  <si>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</si>
  <si>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</si>
  <si>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</si>
  <si>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</si>
  <si>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</si>
  <si>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</si>
  <si>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</si>
  <si>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</si>
  <si>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</si>
  <si>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</si>
  <si>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</si>
  <si>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</si>
  <si>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</si>
  <si>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</si>
  <si>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</si>
  <si>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</si>
  <si>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</si>
  <si>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</si>
  <si>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</si>
  <si>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</si>
  <si>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</si>
  <si>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</si>
  <si>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</si>
  <si>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</si>
  <si>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</si>
  <si>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</si>
  <si>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</si>
  <si>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</si>
  <si>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</si>
  <si>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</si>
  <si>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</si>
  <si>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</si>
  <si>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</si>
  <si>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</si>
  <si>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</si>
  <si>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</si>
  <si>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</si>
  <si>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</si>
  <si>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</si>
  <si>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</si>
  <si>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</si>
  <si>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</si>
  <si>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</si>
  <si>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TFEast</t>
  </si>
  <si>
    <t>TFWest</t>
  </si>
  <si>
    <t>TFSouth</t>
  </si>
  <si>
    <t>TFNorth</t>
  </si>
  <si>
    <t>MFCore</t>
  </si>
  <si>
    <t>MFEast</t>
  </si>
  <si>
    <t>MFWest</t>
  </si>
  <si>
    <t>MFSouth</t>
  </si>
  <si>
    <t>MFNorth</t>
  </si>
  <si>
    <t>Chiller</t>
  </si>
  <si>
    <t>Boiler</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</si>
  <si>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</si>
  <si>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</si>
  <si>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</si>
  <si>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</si>
  <si>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</si>
  <si>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</si>
  <si>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</si>
  <si>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</si>
  <si>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</si>
  <si>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</si>
  <si>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</si>
  <si>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</si>
  <si>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</si>
  <si>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</si>
  <si>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</si>
  <si>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</si>
  <si>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</si>
  <si>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</si>
  <si>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</si>
  <si>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</si>
  <si>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</si>
  <si>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</si>
  <si>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</si>
  <si>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</si>
  <si>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</si>
  <si>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</si>
  <si>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</si>
  <si>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</si>
  <si>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</si>
  <si>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</si>
  <si>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</si>
  <si>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</si>
  <si>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</si>
  <si>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</si>
  <si>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</si>
  <si>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</si>
  <si>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</si>
  <si>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</si>
  <si>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</si>
  <si>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</si>
  <si>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</si>
  <si>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</si>
  <si>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</si>
  <si>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</si>
  <si>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</si>
  <si>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</si>
  <si>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</si>
  <si>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</si>
  <si>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</si>
  <si>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</si>
  <si>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</si>
  <si>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</si>
  <si>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</si>
  <si>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</si>
  <si>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</si>
  <si>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</si>
  <si>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</si>
  <si>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</si>
  <si>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</si>
  <si>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</si>
  <si>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</si>
  <si>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</si>
  <si>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</si>
  <si>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</si>
  <si>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</si>
  <si>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</si>
  <si>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</si>
  <si>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</si>
  <si>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</si>
  <si>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</si>
  <si>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</si>
  <si>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</si>
  <si>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</si>
  <si>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</si>
  <si>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</si>
  <si>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</si>
  <si>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</si>
  <si>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</si>
  <si>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</si>
  <si>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</si>
  <si>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</si>
  <si>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</si>
  <si>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</si>
  <si>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</si>
  <si>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</si>
  <si>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</si>
  <si>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</si>
  <si>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</si>
  <si>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</si>
  <si>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</si>
  <si>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</si>
  <si>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</si>
  <si>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</si>
  <si>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</si>
  <si>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</si>
  <si>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</si>
  <si>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</si>
  <si>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</si>
  <si>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</si>
  <si>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</si>
  <si>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</si>
  <si>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</si>
  <si>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</si>
  <si>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</si>
  <si>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</si>
  <si>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</si>
  <si>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</si>
  <si>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</si>
  <si>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</si>
  <si>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</si>
  <si>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</si>
  <si>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</si>
  <si>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</si>
  <si>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</si>
  <si>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</si>
  <si>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</si>
  <si>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</si>
  <si>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</si>
  <si>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</si>
  <si>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</si>
  <si>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</si>
  <si>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</si>
  <si>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</si>
  <si>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</si>
  <si>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</si>
  <si>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</si>
  <si>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</si>
  <si>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</si>
  <si>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</si>
  <si>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</si>
  <si>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</si>
  <si>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</si>
  <si>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</si>
  <si>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</si>
  <si>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</si>
  <si>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</si>
  <si>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</si>
  <si>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</si>
  <si>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</si>
  <si>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</si>
  <si>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</si>
  <si>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</si>
  <si>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</si>
  <si>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</si>
  <si>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</si>
  <si>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</si>
  <si>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</si>
  <si>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</si>
  <si>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</si>
  <si>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</si>
  <si>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</si>
  <si>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</si>
  <si>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</si>
  <si>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</si>
  <si>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</si>
  <si>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</si>
  <si>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</si>
  <si>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</si>
  <si>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</si>
  <si>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</si>
  <si>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</si>
  <si>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</si>
  <si>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</si>
  <si>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</si>
  <si>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</si>
  <si>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</si>
  <si>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</si>
  <si>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</si>
  <si>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</si>
  <si>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</si>
  <si>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</si>
  <si>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</si>
  <si>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</si>
  <si>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</si>
  <si>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</si>
  <si>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</si>
  <si>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</si>
  <si>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</si>
  <si>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</si>
  <si>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</si>
  <si>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</si>
  <si>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</si>
  <si>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</si>
  <si>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</si>
  <si>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</si>
  <si>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</si>
  <si>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</si>
  <si>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</si>
  <si>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</si>
  <si>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</si>
  <si>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</si>
  <si>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</si>
  <si>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</si>
  <si>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</si>
  <si>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</si>
  <si>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</si>
  <si>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</si>
  <si>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</si>
  <si>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</si>
  <si>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</si>
  <si>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</si>
  <si>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</si>
  <si>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</si>
  <si>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</si>
  <si>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</si>
  <si>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</si>
  <si>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</si>
  <si>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</si>
  <si>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</si>
  <si>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</si>
  <si>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</si>
  <si>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</si>
  <si>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</si>
  <si>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</si>
  <si>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</si>
  <si>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</si>
  <si>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</si>
  <si>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</si>
  <si>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</si>
  <si>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</si>
  <si>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</si>
  <si>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</si>
  <si>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</si>
  <si>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</si>
  <si>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</si>
  <si>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</si>
  <si>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</si>
  <si>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</si>
  <si>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</si>
  <si>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</si>
  <si>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</si>
  <si>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</si>
  <si>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</si>
  <si>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</si>
  <si>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</si>
  <si>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</si>
  <si>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</si>
  <si>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</si>
  <si>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</si>
  <si>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</si>
  <si>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</si>
  <si>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</si>
  <si>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</si>
  <si>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</si>
  <si>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</si>
  <si>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</si>
  <si>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</si>
  <si>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</si>
  <si>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</si>
  <si>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</si>
  <si>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</si>
  <si>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</si>
  <si>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</si>
  <si>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</si>
  <si>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</si>
  <si>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</si>
  <si>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</si>
  <si>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</si>
  <si>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</si>
  <si>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</si>
  <si>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</si>
  <si>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</si>
  <si>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</si>
  <si>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</si>
  <si>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</si>
  <si>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</si>
  <si>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</si>
  <si>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</si>
  <si>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</si>
  <si>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</si>
  <si>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</si>
  <si>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</si>
  <si>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</si>
  <si>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</si>
  <si>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</si>
  <si>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</si>
  <si>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</si>
  <si>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</si>
  <si>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</si>
  <si>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</si>
  <si>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</si>
  <si>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</si>
  <si>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</si>
  <si>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</si>
  <si>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</si>
  <si>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</si>
  <si>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</si>
  <si>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</si>
  <si>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</si>
  <si>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</si>
  <si>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</si>
  <si>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</si>
  <si>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</si>
  <si>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</si>
  <si>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</si>
  <si>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</si>
  <si>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</si>
  <si>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</si>
  <si>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</si>
  <si>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</si>
  <si>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</si>
  <si>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</si>
  <si>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</si>
  <si>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</si>
  <si>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</si>
  <si>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</si>
  <si>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</si>
  <si>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</si>
  <si>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</si>
  <si>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</si>
  <si>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</si>
  <si>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</si>
  <si>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</si>
  <si>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</si>
  <si>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</si>
  <si>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</si>
  <si>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</si>
  <si>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</si>
  <si>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</si>
  <si>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</si>
  <si>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</si>
  <si>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</si>
  <si>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</si>
  <si>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</si>
  <si>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</si>
  <si>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</si>
  <si>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</si>
  <si>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</si>
  <si>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</si>
  <si>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</si>
  <si>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</si>
  <si>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</si>
  <si>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</si>
  <si>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</si>
  <si>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</si>
  <si>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</si>
  <si>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/sf</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</si>
  <si>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</si>
  <si>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</si>
  <si>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</si>
  <si>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</si>
  <si>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</si>
  <si>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</si>
  <si>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</si>
  <si>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</si>
  <si>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</si>
  <si>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</si>
  <si>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</si>
  <si>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</si>
  <si>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</si>
  <si>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</si>
  <si>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</si>
  <si>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</si>
  <si>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</si>
  <si>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</si>
  <si>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</si>
  <si>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</si>
  <si>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</si>
  <si>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</si>
  <si>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</si>
  <si>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</si>
  <si>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</si>
  <si>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</si>
  <si>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</si>
  <si>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</si>
  <si>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</si>
  <si>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</si>
  <si>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</si>
  <si>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</si>
  <si>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</si>
  <si>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</si>
  <si>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</si>
  <si>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</si>
  <si>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</si>
  <si>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</si>
  <si>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</si>
  <si>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</si>
  <si>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</si>
  <si>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</si>
  <si>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</si>
  <si>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</si>
  <si>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</si>
  <si>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</si>
  <si>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</si>
  <si>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</si>
  <si>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</si>
  <si>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</si>
  <si>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</si>
  <si>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</si>
  <si>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</si>
  <si>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</si>
  <si>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</si>
  <si>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</si>
  <si>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</si>
  <si>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</si>
  <si>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</si>
  <si>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</si>
  <si>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</si>
  <si>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</si>
  <si>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</si>
  <si>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</si>
  <si>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</si>
  <si>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</si>
  <si>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</si>
  <si>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</si>
  <si>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</si>
  <si>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</si>
  <si>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</si>
  <si>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</si>
  <si>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</si>
  <si>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</si>
  <si>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</si>
  <si>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</si>
  <si>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</si>
  <si>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</si>
  <si>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</si>
  <si>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</si>
  <si>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</si>
  <si>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</si>
  <si>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</si>
  <si>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</si>
  <si>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</si>
  <si>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</si>
  <si>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</si>
  <si>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</si>
  <si>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</si>
  <si>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</si>
  <si>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</si>
  <si>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</si>
  <si>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</si>
  <si>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</si>
  <si>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</si>
  <si>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</si>
  <si>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</si>
  <si>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</si>
  <si>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</si>
  <si>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</si>
  <si>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</si>
  <si>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</si>
  <si>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</si>
  <si>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</si>
  <si>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</si>
  <si>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</si>
  <si>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</si>
  <si>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</si>
  <si>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</si>
  <si>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</si>
  <si>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</si>
  <si>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</si>
  <si>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</si>
  <si>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</si>
  <si>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</si>
  <si>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</si>
  <si>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</si>
  <si>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</si>
  <si>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</si>
  <si>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</si>
  <si>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</si>
  <si>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</si>
  <si>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</si>
  <si>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</si>
  <si>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</si>
  <si>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</si>
  <si>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</si>
  <si>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</si>
  <si>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</si>
  <si>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</si>
  <si>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</si>
  <si>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</si>
  <si>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</si>
  <si>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</si>
  <si>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</si>
  <si>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</si>
  <si>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</si>
  <si>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</si>
  <si>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</si>
  <si>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</si>
  <si>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</si>
  <si>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</si>
  <si>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</si>
  <si>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</si>
  <si>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</si>
  <si>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</si>
  <si>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</si>
  <si>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</si>
  <si>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</si>
  <si>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</si>
  <si>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</si>
  <si>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</si>
  <si>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</si>
  <si>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</si>
  <si>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</si>
  <si>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</si>
  <si>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</si>
  <si>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</si>
  <si>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</si>
  <si>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</si>
  <si>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</si>
  <si>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</si>
  <si>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</si>
  <si>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</si>
  <si>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</si>
  <si>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</si>
  <si>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</si>
  <si>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</si>
  <si>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</si>
  <si>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</si>
  <si>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</si>
  <si>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</si>
  <si>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</si>
  <si>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</si>
  <si>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</si>
  <si>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</si>
  <si>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</si>
  <si>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</si>
  <si>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</si>
  <si>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</si>
  <si>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</si>
  <si>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</si>
  <si>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</si>
  <si>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</si>
  <si>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</si>
  <si>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</si>
  <si>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</si>
  <si>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</si>
  <si>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</si>
  <si>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</si>
  <si>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</si>
  <si>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</si>
  <si>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</si>
  <si>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</si>
  <si>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</si>
  <si>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</si>
  <si>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</si>
  <si>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</si>
  <si>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</si>
  <si>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</si>
  <si>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</si>
  <si>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</si>
  <si>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</si>
  <si>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</si>
  <si>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</si>
  <si>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</si>
  <si>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</si>
  <si>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</si>
  <si>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</si>
  <si>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</si>
  <si>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</si>
  <si>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</si>
  <si>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</si>
  <si>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</si>
  <si>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</si>
  <si>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</si>
  <si>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</si>
  <si>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</si>
  <si>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</si>
  <si>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</si>
  <si>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</si>
  <si>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</si>
  <si>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</si>
  <si>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</si>
  <si>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</si>
  <si>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</si>
  <si>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</si>
  <si>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</si>
  <si>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</si>
  <si>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</si>
  <si>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</si>
  <si>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</si>
  <si>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</si>
  <si>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</si>
  <si>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</si>
  <si>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</si>
  <si>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</si>
  <si>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</si>
  <si>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</si>
  <si>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</si>
  <si>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</si>
  <si>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</si>
  <si>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</si>
  <si>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</si>
  <si>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</si>
  <si>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</si>
  <si>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</si>
  <si>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</si>
  <si>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</si>
  <si>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</si>
  <si>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</si>
  <si>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</si>
  <si>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</si>
  <si>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</si>
  <si>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</si>
  <si>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</si>
  <si>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</si>
  <si>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</si>
  <si>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</si>
  <si>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</si>
  <si>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</si>
  <si>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</si>
  <si>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</si>
  <si>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</si>
  <si>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</si>
  <si>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</si>
  <si>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</si>
  <si>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</si>
  <si>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</si>
  <si>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</si>
  <si>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</si>
  <si>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</si>
  <si>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</si>
  <si>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</si>
  <si>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</si>
  <si>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</si>
  <si>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</si>
  <si>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</si>
  <si>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</si>
  <si>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</si>
  <si>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</si>
  <si>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</si>
  <si>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</si>
  <si>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</si>
  <si>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</si>
  <si>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</si>
  <si>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</si>
  <si>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</si>
  <si>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</si>
  <si>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</si>
  <si>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</si>
  <si>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</si>
  <si>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</si>
  <si>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</si>
  <si>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</si>
  <si>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</si>
  <si>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</si>
  <si>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</si>
  <si>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</si>
  <si>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</si>
  <si>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</si>
  <si>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</si>
  <si>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</si>
  <si>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</si>
  <si>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</si>
  <si>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</si>
  <si>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</si>
  <si>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</si>
  <si>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</si>
  <si>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</si>
  <si>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</si>
  <si>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</si>
  <si>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</si>
  <si>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</si>
  <si>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</si>
  <si>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</si>
  <si>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</si>
  <si>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</si>
  <si>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</si>
  <si>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</si>
  <si>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</si>
  <si>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</si>
  <si>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</si>
  <si>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</si>
  <si>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</si>
  <si>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</si>
  <si>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</si>
  <si>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</si>
  <si>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</si>
  <si>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</si>
  <si>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</si>
  <si>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</si>
  <si>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</si>
  <si>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</si>
  <si>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</si>
  <si>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</si>
  <si>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</si>
  <si>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</si>
  <si>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</si>
  <si>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</si>
  <si>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</si>
  <si>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</si>
  <si>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</si>
  <si>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</si>
  <si>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</si>
  <si>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</si>
  <si>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</si>
  <si>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</si>
  <si>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</si>
  <si>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</si>
  <si>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</si>
  <si>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</si>
  <si>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</si>
  <si>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</si>
  <si>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</si>
  <si>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</si>
  <si>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</si>
  <si>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</si>
  <si>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</si>
  <si>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</si>
  <si>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</si>
  <si>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</si>
  <si>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</si>
  <si>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</si>
  <si>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</si>
  <si>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</si>
  <si>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</si>
  <si>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</si>
  <si>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</si>
  <si>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</si>
  <si>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</si>
  <si>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</si>
  <si>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</si>
  <si>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</si>
  <si>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</si>
  <si>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</si>
  <si>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</si>
  <si>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</si>
  <si>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</si>
  <si>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</si>
  <si>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</si>
  <si>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</si>
  <si>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</si>
  <si>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</si>
  <si>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</si>
  <si>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</si>
  <si>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</si>
  <si>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</si>
  <si>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</si>
  <si>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</si>
  <si>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</si>
  <si>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</si>
  <si>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</si>
  <si>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</si>
  <si>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</si>
  <si>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</si>
  <si>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</si>
  <si>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</si>
  <si>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</si>
  <si>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</si>
  <si>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</si>
  <si>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</si>
  <si>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</si>
  <si>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</si>
  <si>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</si>
  <si>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</si>
  <si>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</si>
  <si>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</si>
  <si>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</si>
  <si>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</si>
  <si>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</si>
  <si>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</si>
  <si>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</si>
  <si>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</si>
  <si>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</si>
  <si>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</si>
  <si>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</si>
  <si>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</si>
  <si>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</si>
  <si>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</si>
  <si>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</si>
  <si>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</si>
  <si>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</si>
  <si>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</si>
  <si>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</si>
  <si>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</si>
  <si>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</si>
  <si>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</si>
  <si>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</si>
  <si>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</si>
  <si>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</si>
  <si>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</si>
  <si>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</si>
  <si>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</si>
  <si>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</si>
  <si>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</si>
  <si>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</si>
  <si>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</si>
  <si>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</si>
  <si>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</si>
  <si>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</si>
  <si>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</si>
  <si>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</si>
  <si>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</si>
  <si>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</si>
  <si>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</si>
  <si>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</si>
  <si>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</si>
  <si>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</si>
  <si>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</si>
  <si>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</si>
  <si>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</si>
  <si>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</si>
  <si>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</si>
  <si>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</si>
  <si>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</si>
  <si>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</si>
  <si>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</si>
  <si>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</si>
  <si>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</si>
  <si>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</si>
  <si>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</si>
  <si>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</si>
  <si>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</si>
  <si>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</si>
  <si>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</si>
  <si>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</si>
  <si>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</si>
  <si>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</si>
  <si>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</si>
  <si>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</si>
  <si>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</si>
  <si>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</si>
  <si>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</si>
  <si>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</si>
  <si>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</si>
  <si>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</si>
  <si>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</si>
  <si>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</si>
  <si>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</si>
  <si>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</si>
  <si>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</si>
  <si>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</si>
  <si>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</si>
  <si>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</si>
  <si>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</si>
  <si>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</si>
  <si>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</si>
  <si>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</si>
  <si>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</si>
  <si>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</si>
  <si>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</si>
  <si>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</si>
  <si>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</si>
  <si>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</si>
  <si>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</si>
  <si>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</si>
  <si>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</si>
  <si>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</si>
  <si>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</si>
  <si>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</si>
  <si>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</si>
  <si>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</si>
  <si>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</si>
  <si>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</si>
  <si>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</si>
  <si>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</si>
  <si>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</si>
  <si>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</si>
  <si>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</si>
  <si>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</si>
  <si>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</si>
  <si>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</si>
  <si>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</si>
  <si>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</si>
  <si>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</si>
  <si>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</si>
  <si>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</si>
  <si>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</si>
  <si>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</si>
  <si>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</si>
  <si>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</si>
  <si>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</si>
  <si>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</si>
  <si>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</si>
  <si>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</si>
  <si>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</si>
  <si>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</si>
  <si>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</si>
  <si>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</si>
  <si>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</si>
  <si>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</si>
  <si>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</si>
  <si>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</si>
  <si>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</si>
  <si>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</si>
  <si>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</si>
  <si>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</si>
  <si>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</si>
  <si>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</si>
  <si>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</si>
  <si>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</si>
  <si>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</si>
  <si>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</si>
  <si>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</si>
  <si>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</si>
  <si>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</si>
  <si>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</si>
  <si>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</si>
  <si>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</si>
  <si>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</si>
  <si>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</si>
  <si>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</si>
  <si>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</si>
  <si>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</si>
  <si>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</si>
  <si>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</si>
  <si>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</si>
  <si>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</si>
  <si>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</si>
  <si>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</si>
  <si>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</si>
  <si>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</si>
  <si>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</si>
  <si>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</si>
  <si>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</si>
  <si>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</si>
  <si>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</si>
  <si>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</si>
  <si>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</si>
  <si>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</si>
  <si>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</si>
  <si>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</si>
  <si>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</si>
  <si>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</si>
  <si>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</si>
  <si>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</si>
  <si>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</si>
  <si>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</si>
  <si>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</si>
  <si>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</si>
  <si>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</si>
  <si>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</si>
  <si>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</si>
  <si>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</si>
  <si>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</si>
  <si>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</si>
  <si>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</si>
  <si>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</si>
  <si>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</si>
  <si>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</si>
  <si>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</si>
  <si>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</si>
  <si>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</si>
  <si>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</si>
  <si>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</si>
  <si>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</si>
  <si>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</si>
  <si>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</si>
  <si>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</si>
  <si>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</si>
  <si>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</si>
  <si>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</si>
  <si>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</si>
  <si>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</si>
  <si>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</si>
  <si>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</si>
  <si>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</si>
  <si>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</si>
  <si>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</si>
  <si>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</si>
  <si>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</si>
  <si>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</si>
  <si>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</si>
  <si>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</si>
  <si>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</si>
  <si>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</si>
  <si>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</si>
  <si>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</si>
  <si>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</si>
  <si>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</si>
  <si>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</si>
  <si>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</si>
  <si>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</si>
  <si>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</si>
  <si>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</si>
  <si>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</si>
  <si>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</si>
  <si>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</si>
  <si>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</si>
  <si>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</si>
  <si>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</si>
  <si>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</si>
  <si>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</si>
  <si>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</si>
  <si>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</si>
  <si>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</si>
  <si>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</si>
  <si>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</si>
  <si>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</si>
  <si>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</si>
  <si>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</si>
  <si>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</si>
  <si>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</si>
  <si>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</si>
  <si>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</si>
  <si>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</si>
  <si>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</si>
  <si>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</si>
  <si>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</si>
  <si>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</si>
  <si>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</si>
  <si>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</si>
  <si>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</si>
  <si>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</si>
  <si>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</si>
  <si>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</si>
  <si>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</si>
  <si>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</si>
  <si>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</si>
  <si>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</si>
  <si>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</si>
  <si>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</si>
  <si>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</si>
  <si>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</si>
  <si>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</si>
  <si>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</si>
  <si>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</si>
  <si>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</si>
  <si>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</si>
  <si>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</si>
  <si>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</si>
  <si>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</si>
  <si>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</si>
  <si>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</si>
  <si>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</si>
  <si>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</si>
  <si>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</si>
  <si>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</si>
  <si>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</si>
  <si>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</si>
  <si>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</si>
  <si>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</si>
  <si>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</si>
  <si>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</si>
  <si>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</si>
  <si>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</si>
  <si>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</si>
  <si>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</si>
  <si>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</si>
  <si>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</si>
  <si>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</si>
  <si>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</si>
  <si>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</si>
  <si>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</si>
  <si>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</si>
  <si>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</si>
  <si>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</si>
  <si>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</si>
  <si>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</si>
  <si>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</si>
  <si>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</si>
  <si>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</si>
  <si>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</si>
  <si>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</si>
  <si>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</si>
  <si>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</si>
  <si>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</si>
  <si>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</si>
  <si>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</si>
  <si>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</si>
  <si>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</si>
  <si>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</si>
  <si>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</si>
  <si>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</si>
  <si>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</si>
  <si>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</si>
  <si>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</si>
  <si>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</si>
  <si>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</si>
  <si>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</si>
  <si>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</si>
  <si>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</si>
  <si>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</si>
  <si>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</si>
  <si>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</si>
  <si>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</si>
  <si>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</si>
  <si>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</si>
  <si>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</si>
  <si>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</si>
  <si>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</si>
  <si>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</si>
  <si>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</si>
  <si>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</si>
  <si>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</si>
  <si>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</si>
  <si>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</si>
  <si>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</si>
  <si>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</si>
  <si>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</si>
  <si>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</si>
  <si>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</si>
  <si>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</si>
  <si>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</si>
  <si>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</si>
  <si>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</si>
  <si>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</si>
  <si>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</si>
  <si>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</si>
  <si>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</si>
  <si>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</si>
  <si>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</si>
  <si>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</si>
  <si>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</si>
  <si>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</si>
  <si>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</si>
  <si>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</si>
  <si>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</si>
  <si>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</si>
  <si>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</si>
  <si>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</si>
  <si>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</si>
  <si>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</si>
  <si>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</si>
  <si>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</si>
  <si>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</si>
  <si>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</si>
  <si>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</si>
  <si>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</si>
  <si>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</si>
  <si>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</si>
  <si>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</si>
  <si>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</si>
  <si>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</si>
  <si>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</si>
  <si>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</si>
  <si>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</si>
  <si>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</si>
  <si>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</si>
  <si>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</si>
  <si>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</si>
  <si>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</si>
  <si>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</si>
  <si>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</si>
  <si>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</si>
  <si>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</si>
  <si>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</si>
  <si>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</si>
  <si>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</si>
  <si>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</si>
  <si>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</si>
  <si>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</si>
  <si>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</si>
  <si>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</si>
  <si>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</si>
  <si>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</si>
  <si>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</si>
  <si>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</si>
  <si>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</si>
  <si>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</si>
  <si>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</si>
  <si>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</si>
  <si>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</si>
  <si>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</si>
  <si>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</si>
  <si>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</si>
  <si>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</si>
  <si>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</si>
  <si>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</si>
  <si>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</si>
  <si>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</si>
  <si>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</si>
  <si>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</si>
  <si>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</si>
  <si>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</si>
  <si>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</si>
  <si>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</si>
  <si>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</si>
  <si>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</si>
  <si>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</si>
  <si>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</si>
  <si>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</si>
  <si>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</si>
  <si>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</si>
  <si>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</si>
  <si>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</si>
  <si>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</si>
  <si>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</si>
  <si>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</si>
  <si>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</si>
  <si>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</si>
  <si>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</si>
  <si>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</si>
  <si>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</si>
  <si>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</si>
  <si>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</si>
  <si>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</si>
  <si>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</si>
  <si>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</si>
  <si>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</si>
  <si>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</si>
  <si>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</si>
  <si>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</si>
  <si>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</si>
  <si>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</si>
  <si>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</si>
  <si>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</si>
  <si>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</si>
  <si>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</si>
  <si>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</si>
  <si>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</si>
  <si>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</si>
  <si>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</si>
  <si>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</si>
  <si>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</si>
  <si>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</si>
  <si>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</si>
  <si>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</si>
  <si>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</si>
  <si>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</si>
  <si>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</si>
  <si>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</si>
  <si>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</si>
  <si>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</si>
  <si>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</si>
  <si>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</si>
  <si>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</si>
  <si>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</si>
  <si>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</si>
  <si>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</si>
  <si>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</si>
  <si>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</si>
  <si>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</si>
  <si>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</si>
  <si>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</si>
  <si>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</si>
  <si>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</si>
  <si>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</si>
  <si>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</si>
  <si>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</si>
  <si>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</si>
  <si>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</si>
  <si>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</si>
  <si>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</si>
  <si>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</si>
  <si>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</si>
  <si>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</si>
  <si>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</si>
  <si>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</si>
  <si>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</si>
  <si>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</si>
  <si>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</si>
  <si>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</si>
  <si>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</si>
  <si>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</si>
  <si>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</si>
  <si>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</si>
  <si>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</si>
  <si>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</si>
  <si>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</si>
  <si>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</si>
  <si>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</si>
  <si>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</si>
  <si>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</si>
  <si>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</si>
  <si>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</si>
  <si>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</si>
  <si>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</si>
  <si>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</si>
  <si>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</si>
  <si>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</si>
  <si>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</si>
  <si>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</si>
  <si>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</si>
  <si>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</si>
  <si>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</si>
  <si>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</si>
  <si>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</si>
  <si>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</si>
  <si>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</si>
  <si>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</si>
  <si>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</si>
  <si>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</si>
  <si>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</si>
  <si>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</si>
  <si>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</si>
  <si>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</si>
  <si>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</si>
  <si>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</si>
  <si>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</si>
  <si>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</si>
  <si>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</si>
  <si>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</si>
  <si>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</si>
  <si>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</si>
  <si>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</si>
  <si>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</si>
  <si>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</si>
  <si>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</si>
  <si>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</si>
  <si>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</si>
  <si>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</si>
  <si>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</si>
  <si>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</si>
  <si>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</si>
  <si>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</si>
  <si>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</si>
  <si>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</si>
  <si>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</si>
  <si>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</si>
  <si>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</si>
  <si>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</si>
  <si>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</si>
  <si>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</si>
  <si>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</si>
  <si>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</si>
  <si>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</si>
  <si>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</si>
  <si>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</si>
  <si>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</si>
  <si>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</si>
  <si>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</si>
  <si>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</si>
  <si>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</si>
  <si>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</si>
  <si>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</si>
  <si>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</si>
  <si>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</si>
  <si>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</si>
  <si>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</si>
  <si>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</si>
  <si>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</si>
  <si>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</si>
  <si>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</si>
  <si>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</si>
  <si>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</si>
  <si>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</si>
  <si>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</si>
  <si>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</si>
  <si>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</si>
  <si>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</si>
  <si>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</si>
  <si>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</si>
  <si>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</si>
  <si>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</si>
  <si>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</si>
  <si>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</si>
  <si>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</si>
  <si>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</si>
  <si>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</si>
  <si>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</si>
  <si>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</si>
  <si>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</si>
  <si>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</si>
  <si>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</si>
  <si>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</si>
  <si>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</si>
  <si>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</si>
  <si>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</si>
  <si>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</si>
  <si>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</si>
  <si>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</si>
  <si>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</si>
  <si>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</si>
  <si>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</si>
  <si>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</si>
  <si>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</si>
  <si>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</si>
  <si>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</si>
  <si>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</si>
  <si>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</si>
  <si>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</si>
  <si>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</si>
  <si>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</si>
  <si>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</si>
  <si>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</si>
  <si>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</si>
  <si>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</si>
  <si>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</si>
  <si>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</si>
  <si>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</si>
  <si>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</si>
  <si>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</si>
  <si>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</si>
  <si>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</si>
  <si>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</si>
  <si>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</si>
  <si>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</si>
  <si>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</si>
  <si>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</si>
  <si>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</si>
  <si>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</si>
  <si>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</si>
  <si>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</si>
  <si>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</si>
  <si>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</si>
  <si>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</si>
  <si>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</si>
  <si>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</si>
  <si>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</si>
  <si>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</si>
  <si>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</si>
  <si>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</si>
  <si>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</si>
  <si>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</si>
  <si>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</si>
  <si>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</si>
  <si>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</si>
  <si>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</si>
  <si>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</si>
  <si>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</si>
  <si>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</si>
  <si>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</si>
  <si>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</si>
  <si>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</si>
  <si>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</si>
  <si>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</si>
  <si>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</si>
  <si>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</si>
  <si>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</si>
  <si>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</si>
  <si>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</si>
  <si>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</si>
  <si>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</si>
  <si>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</si>
  <si>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</si>
  <si>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</si>
  <si>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</si>
  <si>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</si>
  <si>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</si>
  <si>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</si>
  <si>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</si>
  <si>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</si>
  <si>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</si>
  <si>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</si>
  <si>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</si>
  <si>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</si>
  <si>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</si>
  <si>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</si>
  <si>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</si>
  <si>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</si>
  <si>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</si>
  <si>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</si>
  <si>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</si>
  <si>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</si>
  <si>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</si>
  <si>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</si>
  <si>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</si>
  <si>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</si>
  <si>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</si>
  <si>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</si>
  <si>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</si>
  <si>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</si>
  <si>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</si>
  <si>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</si>
  <si>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</si>
  <si>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</si>
  <si>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</si>
  <si>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</si>
  <si>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</si>
  <si>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</si>
  <si>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</si>
  <si>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</si>
  <si>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</si>
  <si>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</si>
  <si>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</si>
  <si>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</si>
  <si>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</si>
  <si>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</si>
  <si>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</si>
  <si>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</si>
  <si>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</si>
  <si>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</si>
  <si>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</si>
  <si>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</si>
  <si>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</si>
  <si>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</si>
  <si>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</si>
  <si>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</si>
  <si>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</si>
  <si>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</si>
  <si>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</si>
  <si>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</si>
  <si>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</si>
  <si>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</si>
  <si>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</si>
  <si>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</si>
  <si>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</si>
  <si>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</si>
  <si>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</si>
  <si>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</si>
  <si>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</si>
  <si>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</si>
  <si>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</si>
  <si>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</si>
  <si>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</si>
  <si>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</si>
  <si>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</si>
  <si>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</si>
  <si>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</si>
  <si>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</si>
  <si>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</si>
  <si>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</si>
  <si>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</si>
  <si>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</si>
  <si>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</si>
  <si>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</si>
  <si>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</si>
  <si>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</si>
  <si>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</si>
  <si>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</si>
  <si>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</si>
  <si>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</si>
  <si>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</si>
  <si>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</si>
  <si>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</si>
  <si>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</si>
  <si>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</si>
  <si>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</si>
  <si>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</si>
  <si>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</si>
  <si>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</si>
  <si>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</si>
  <si>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</si>
  <si>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</si>
  <si>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</si>
  <si>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</si>
  <si>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</si>
  <si>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</si>
  <si>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</si>
  <si>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</si>
  <si>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</si>
  <si>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</si>
  <si>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</si>
  <si>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</si>
  <si>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</si>
  <si>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</si>
  <si>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</si>
  <si>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</si>
  <si>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</si>
  <si>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</si>
  <si>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</si>
  <si>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</si>
  <si>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</si>
  <si>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</si>
  <si>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</si>
  <si>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</si>
  <si>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</si>
  <si>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</si>
  <si>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</si>
  <si>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</si>
  <si>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</si>
  <si>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</si>
  <si>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</si>
  <si>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</si>
  <si>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</si>
  <si>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</si>
  <si>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</si>
  <si>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</si>
  <si>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</si>
  <si>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</si>
  <si>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</si>
  <si>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</si>
  <si>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</si>
  <si>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</si>
  <si>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</si>
  <si>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</si>
  <si>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</si>
  <si>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</si>
  <si>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</si>
  <si>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</si>
  <si>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</si>
  <si>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</si>
  <si>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</si>
  <si>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</si>
  <si>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</si>
  <si>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</si>
  <si>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</si>
  <si>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</si>
  <si>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</si>
  <si>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</si>
  <si>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</si>
  <si>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</si>
  <si>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</si>
  <si>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</si>
  <si>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</si>
  <si>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</si>
  <si>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</si>
  <si>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</si>
  <si>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</si>
  <si>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</si>
  <si>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</si>
  <si>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</si>
  <si>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</si>
  <si>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</si>
  <si>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</si>
  <si>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</si>
  <si>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</si>
  <si>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</si>
  <si>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</si>
  <si>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</si>
  <si>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</si>
  <si>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</si>
  <si>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</si>
  <si>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</si>
  <si>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</si>
  <si>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</si>
  <si>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</si>
  <si>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</si>
  <si>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</si>
  <si>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</si>
  <si>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</si>
  <si>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</si>
  <si>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</si>
  <si>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</si>
  <si>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</si>
  <si>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</si>
  <si>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</si>
  <si>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</si>
  <si>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</si>
  <si>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</si>
  <si>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</si>
  <si>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</si>
  <si>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</si>
  <si>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</si>
  <si>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</si>
  <si>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</si>
  <si>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</si>
  <si>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</si>
  <si>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</si>
  <si>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</si>
  <si>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</si>
  <si>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</si>
  <si>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</si>
  <si>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</si>
  <si>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</si>
  <si>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</si>
  <si>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</si>
  <si>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</si>
  <si>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</si>
  <si>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</si>
  <si>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</si>
  <si>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</si>
  <si>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</si>
  <si>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</si>
  <si>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</si>
  <si>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</si>
  <si>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</si>
  <si>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</si>
  <si>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</si>
  <si>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</si>
  <si>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</si>
  <si>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</si>
  <si>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</si>
  <si>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</si>
  <si>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</si>
  <si>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</si>
  <si>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</si>
  <si>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</si>
  <si>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</si>
  <si>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</si>
  <si>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</si>
  <si>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</si>
  <si>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</si>
  <si>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</si>
  <si>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</si>
  <si>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</si>
  <si>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</si>
  <si>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</si>
  <si>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</si>
  <si>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</si>
  <si>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</si>
  <si>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</si>
  <si>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</si>
  <si>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</si>
  <si>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</si>
  <si>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</si>
  <si>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</si>
  <si>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</si>
  <si>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</si>
  <si>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</si>
  <si>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</si>
  <si>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</si>
  <si>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</si>
  <si>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</si>
  <si>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</si>
  <si>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</si>
  <si>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</si>
  <si>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</si>
  <si>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</si>
  <si>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</si>
  <si>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</si>
  <si>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</si>
  <si>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</si>
  <si>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</si>
  <si>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</si>
  <si>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</si>
  <si>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</si>
  <si>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</si>
  <si>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</si>
  <si>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</si>
  <si>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</si>
  <si>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</si>
  <si>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</si>
  <si>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</si>
  <si>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</si>
  <si>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</si>
  <si>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</si>
  <si>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</si>
  <si>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</si>
  <si>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</si>
  <si>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</si>
  <si>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</si>
  <si>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</si>
  <si>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</si>
  <si>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</si>
  <si>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</si>
  <si>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</si>
  <si>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</si>
  <si>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</si>
  <si>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</si>
  <si>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</si>
  <si>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</si>
  <si>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</si>
  <si>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</si>
  <si>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</si>
  <si>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</si>
  <si>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</si>
  <si>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</si>
  <si>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</si>
  <si>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</si>
  <si>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</si>
  <si>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</si>
  <si>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</si>
  <si>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</si>
  <si>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</si>
  <si>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</si>
  <si>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</si>
  <si>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</si>
  <si>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</si>
  <si>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</si>
  <si>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</si>
  <si>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</si>
  <si>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</si>
  <si>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</si>
  <si>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</si>
  <si>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</si>
  <si>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</si>
  <si>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</si>
  <si>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</si>
  <si>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</si>
  <si>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</si>
  <si>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</si>
  <si>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</si>
  <si>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</si>
  <si>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</si>
  <si>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</si>
  <si>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</si>
  <si>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</si>
  <si>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</si>
  <si>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</si>
  <si>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</si>
  <si>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</si>
  <si>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</si>
  <si>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</si>
  <si>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</si>
  <si>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</si>
  <si>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</si>
  <si>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</si>
  <si>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</si>
  <si>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</si>
  <si>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</si>
  <si>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</si>
  <si>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</si>
  <si>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</si>
  <si>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</si>
  <si>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</si>
  <si>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</si>
  <si>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</si>
  <si>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</si>
  <si>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</si>
  <si>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</si>
  <si>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</si>
  <si>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</si>
  <si>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</si>
  <si>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</si>
  <si>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</si>
  <si>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</si>
  <si>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</si>
  <si>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</si>
  <si>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</si>
  <si>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</si>
  <si>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</si>
  <si>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</si>
  <si>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</si>
  <si>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</si>
  <si>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</si>
  <si>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</si>
  <si>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</si>
  <si>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</si>
  <si>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</si>
  <si>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</si>
  <si>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</si>
  <si>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</si>
  <si>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</si>
  <si>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</si>
  <si>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</si>
  <si>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</si>
  <si>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</si>
  <si>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</si>
  <si>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</si>
  <si>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</si>
  <si>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</si>
  <si>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</si>
  <si>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</si>
  <si>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</si>
  <si>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</si>
  <si>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</si>
  <si>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</si>
  <si>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</si>
  <si>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</si>
  <si>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</si>
  <si>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</si>
  <si>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</si>
  <si>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</si>
  <si>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</si>
  <si>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</si>
  <si>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</si>
  <si>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</si>
  <si>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</si>
  <si>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</si>
  <si>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Interior Blind</t>
  </si>
  <si>
    <t>LightingSummary</t>
  </si>
  <si>
    <t>Lighting Power Density [W/m2]</t>
  </si>
  <si>
    <t>Zone Area [m2]</t>
  </si>
  <si>
    <t>Total Power [W]</t>
  </si>
  <si>
    <t>End Use Subcategory</t>
  </si>
  <si>
    <t>Schedule Name</t>
  </si>
  <si>
    <t>Average Hours/Week [hr]</t>
  </si>
  <si>
    <t>Return Air Fraction</t>
  </si>
  <si>
    <t>GFSOUTH GENERAL 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</si>
  <si>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</si>
  <si>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</si>
  <si>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</si>
  <si>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</si>
  <si>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</si>
  <si>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</si>
  <si>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</si>
  <si>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</si>
  <si>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</si>
  <si>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</si>
  <si>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</si>
  <si>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</si>
  <si>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</si>
  <si>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</si>
  <si>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</si>
  <si>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</si>
  <si>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</si>
  <si>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</si>
  <si>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</si>
  <si>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</si>
  <si>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</si>
  <si>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</si>
  <si>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</si>
  <si>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</si>
  <si>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</si>
  <si>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</si>
  <si>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</si>
  <si>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</si>
  <si>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</si>
  <si>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</si>
  <si>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</si>
  <si>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</si>
  <si>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</si>
  <si>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</si>
  <si>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</si>
  <si>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</si>
  <si>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</si>
  <si>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</si>
  <si>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</si>
  <si>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</si>
  <si>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</si>
  <si>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</si>
  <si>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</si>
  <si>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</si>
  <si>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</si>
  <si>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</si>
  <si>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</si>
  <si>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</si>
  <si>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</si>
  <si>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</si>
  <si>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</si>
  <si>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</si>
  <si>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</si>
  <si>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</si>
  <si>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</si>
  <si>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</si>
  <si>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</si>
  <si>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</si>
  <si>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</si>
  <si>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</si>
  <si>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</si>
  <si>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</si>
  <si>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</si>
  <si>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</si>
  <si>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</si>
  <si>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</si>
  <si>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</si>
  <si>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</si>
  <si>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</si>
  <si>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</si>
  <si>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</si>
  <si>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</si>
  <si>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</si>
  <si>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</si>
  <si>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</si>
  <si>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</si>
  <si>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</si>
  <si>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</si>
  <si>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</si>
  <si>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</si>
  <si>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</si>
  <si>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</si>
  <si>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</si>
  <si>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</si>
  <si>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</si>
  <si>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</si>
  <si>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</si>
  <si>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</si>
  <si>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</si>
  <si>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</si>
  <si>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</si>
  <si>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</si>
  <si>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</si>
  <si>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</si>
  <si>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</si>
  <si>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</si>
  <si>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</si>
  <si>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</si>
  <si>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</si>
  <si>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</si>
  <si>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</si>
  <si>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</si>
  <si>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</si>
  <si>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</si>
  <si>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</si>
  <si>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</si>
  <si>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</si>
  <si>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</si>
  <si>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</si>
  <si>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</si>
  <si>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</si>
  <si>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</si>
  <si>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</si>
  <si>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</si>
  <si>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</si>
  <si>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</si>
  <si>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</si>
  <si>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</si>
  <si>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</si>
  <si>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</si>
  <si>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</si>
  <si>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</si>
  <si>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</si>
  <si>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</si>
  <si>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</si>
  <si>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</si>
  <si>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</si>
  <si>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</si>
  <si>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</si>
  <si>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</si>
  <si>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</si>
  <si>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</si>
  <si>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</si>
  <si>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</si>
  <si>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</si>
  <si>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</si>
  <si>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</si>
  <si>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</si>
  <si>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</si>
  <si>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</si>
  <si>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</si>
  <si>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</si>
  <si>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</si>
  <si>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</si>
  <si>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</si>
  <si>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</si>
  <si>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</si>
  <si>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</si>
  <si>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</si>
  <si>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</si>
  <si>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</si>
  <si>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</si>
  <si>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</si>
  <si>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</si>
  <si>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</si>
  <si>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</si>
  <si>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</si>
  <si>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</si>
  <si>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</si>
  <si>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</si>
  <si>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</si>
  <si>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</si>
  <si>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</si>
  <si>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</si>
  <si>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</si>
  <si>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</si>
  <si>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</si>
  <si>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</si>
  <si>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</si>
  <si>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</si>
  <si>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</si>
  <si>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</si>
  <si>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</si>
  <si>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</si>
  <si>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</si>
  <si>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</si>
  <si>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</si>
  <si>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</si>
  <si>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</si>
  <si>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</si>
  <si>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Air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</si>
  <si>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</si>
  <si>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</si>
  <si>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</si>
  <si>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</si>
  <si>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</si>
  <si>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</si>
  <si>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</si>
  <si>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</si>
  <si>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</si>
  <si>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</si>
  <si>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</si>
  <si>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</si>
  <si>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</si>
  <si>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</si>
  <si>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</si>
  <si>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</si>
  <si>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</si>
  <si>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</si>
  <si>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</si>
  <si>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</si>
  <si>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</si>
  <si>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</si>
  <si>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</si>
  <si>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</si>
  <si>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</si>
  <si>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</si>
  <si>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</si>
  <si>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</si>
  <si>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</si>
  <si>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</si>
  <si>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</si>
  <si>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</si>
  <si>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</si>
  <si>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</si>
  <si>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</si>
  <si>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</si>
  <si>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</si>
  <si>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</si>
  <si>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</si>
  <si>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</si>
  <si>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</si>
  <si>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</si>
  <si>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</si>
  <si>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</si>
  <si>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</si>
  <si>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</si>
  <si>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</si>
  <si>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</si>
  <si>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</si>
  <si>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</si>
  <si>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</si>
  <si>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</si>
  <si>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</si>
  <si>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</si>
  <si>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</si>
  <si>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</si>
  <si>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</si>
  <si>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</si>
  <si>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</si>
  <si>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</si>
  <si>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</si>
  <si>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</si>
  <si>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</si>
  <si>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</si>
  <si>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</si>
  <si>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</si>
  <si>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</si>
  <si>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</si>
  <si>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</si>
  <si>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</si>
  <si>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</si>
  <si>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</si>
  <si>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</si>
  <si>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</si>
  <si>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</si>
  <si>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</si>
  <si>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</si>
  <si>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RUNPERIOD</t>
  </si>
  <si>
    <t>MIT2</t>
  </si>
  <si>
    <t>CBE\CBE-EnergyPlus-Model\Model\</t>
  </si>
  <si>
    <t>Thermal Decay Sizing</t>
  </si>
  <si>
    <t>Reference</t>
  </si>
  <si>
    <t>Site:Location</t>
  </si>
  <si>
    <t>Latitude</t>
  </si>
  <si>
    <t>Longitude</t>
  </si>
  <si>
    <t>GMT -8.0 Hours</t>
  </si>
  <si>
    <t>Elevation (m) above sea level</t>
  </si>
  <si>
    <t>Standard Pressure at Elevation</t>
  </si>
  <si>
    <t>Data Source</t>
  </si>
  <si>
    <t>CTZRV2</t>
  </si>
  <si>
    <t>WMO Station</t>
  </si>
  <si>
    <t>Weather File Design Conditions</t>
  </si>
  <si>
    <t>Climate Design Data 2009 ASHRAE Handbook</t>
  </si>
  <si>
    <t>Heating Design Temperature 99.6% (C)</t>
  </si>
  <si>
    <t>Heating Design Temperature 99% (C)</t>
  </si>
  <si>
    <t>Cooling Design Temperature 0.4% (C)</t>
  </si>
  <si>
    <t>Cooling Design Temperature 1% (C)</t>
  </si>
  <si>
    <t>Cooling Design Temperature 2% (C)</t>
  </si>
  <si>
    <t>Maximum Dry Bulb Temperature (C)</t>
  </si>
  <si>
    <t>Maximum Dry Bulb Occurs on</t>
  </si>
  <si>
    <t>Minimum Dry Bulb Temperature (C)</t>
  </si>
  <si>
    <t>Minimum Dry Bulb Occurs on</t>
  </si>
  <si>
    <t>Maximum Dew Point Temperature (C)</t>
  </si>
  <si>
    <t>Maximum Dew Point Occurs on</t>
  </si>
  <si>
    <t>Minimum Dew Point Temperature (C)</t>
  </si>
  <si>
    <t>Minimum Dew Point Occurs on</t>
  </si>
  <si>
    <t>Heating Degree-Days (base 10°C)</t>
  </si>
  <si>
    <t>Cooling Degree-Days (base 18°C)</t>
  </si>
  <si>
    <t>Köppen Classification</t>
  </si>
  <si>
    <t>Köppen Description</t>
  </si>
  <si>
    <t xml:space="preserve"> mild winter</t>
  </si>
  <si>
    <t xml:space="preserve"> lat. 30-45°N)</t>
  </si>
  <si>
    <t>Köppen Recommendation</t>
  </si>
  <si>
    <t>ASHRAE Climate Zone</t>
  </si>
  <si>
    <t>ASHRAE Description</t>
  </si>
  <si>
    <t>Warm-Marine</t>
  </si>
  <si>
    <t>Custom</t>
  </si>
  <si>
    <t>b</t>
  </si>
  <si>
    <t>Cfm per diffuser</t>
  </si>
  <si>
    <t>MIT1</t>
  </si>
  <si>
    <t>LIN1</t>
  </si>
  <si>
    <t>LIN2</t>
  </si>
  <si>
    <t>Airflow per diffuser</t>
  </si>
  <si>
    <t>HorizontalSwirl</t>
  </si>
  <si>
    <t>Swirl</t>
  </si>
  <si>
    <t>Design Phi</t>
  </si>
  <si>
    <t>Diffuser Sizing</t>
  </si>
  <si>
    <t>Diffuser Sizing Factor</t>
  </si>
  <si>
    <t>ON</t>
  </si>
  <si>
    <t>ALWAYSON</t>
  </si>
  <si>
    <t>AlwaysOn</t>
  </si>
  <si>
    <t>Custom Diffuser Effective Area</t>
  </si>
  <si>
    <t>Custom Diffuser Slot Angle</t>
  </si>
  <si>
    <t>cfm/Diff</t>
  </si>
  <si>
    <t>CA_sacramento</t>
  </si>
  <si>
    <t>CLIMATE ZONE 12 ANN HTG 99.6% CONDNS DB</t>
  </si>
  <si>
    <t>CLIMATE ZONE 12 ANN CLG .4% CONDNS DB=&gt;MWB</t>
  </si>
  <si>
    <t>CZ12RV2</t>
  </si>
  <si>
    <t>Climate Zone 12 CA USA</t>
  </si>
  <si>
    <t>N 38° 30'</t>
  </si>
  <si>
    <t>W 121° 30'</t>
  </si>
  <si>
    <t>101265Pa</t>
  </si>
  <si>
    <t>-0.4°</t>
  </si>
  <si>
    <t>1°</t>
  </si>
  <si>
    <t>37.9°</t>
  </si>
  <si>
    <t>36.2°</t>
  </si>
  <si>
    <t>34.3°</t>
  </si>
  <si>
    <t>39.7°</t>
  </si>
  <si>
    <t>-2.9°</t>
  </si>
  <si>
    <t>19.3°</t>
  </si>
  <si>
    <t>-8.6°</t>
  </si>
  <si>
    <t>Csa</t>
  </si>
  <si>
    <t>Mediterranean climate (dry hot summer</t>
  </si>
  <si>
    <t>Unbearably hot dry periods in summer</t>
  </si>
  <si>
    <t xml:space="preserve"> but passive cooling is possible</t>
  </si>
  <si>
    <t>FirstDualMinFraction[]</t>
  </si>
  <si>
    <t>First Dual Min Fraction</t>
  </si>
  <si>
    <t>Second Dual Min Fraction</t>
  </si>
  <si>
    <t>SecondDualMinFraction[]</t>
    <phoneticPr fontId="11" type="noConversion"/>
  </si>
  <si>
    <t>VAV_Heating</t>
  </si>
  <si>
    <t>UFAD_ReturnPlen</t>
  </si>
  <si>
    <t>MFCORE_WALL_N:Surface Int Convection Heat Rate [W](Hourly)</t>
  </si>
  <si>
    <t>MFCORE_WALL_E:Surface Int Convection Heat Rate [W](Hourly)</t>
  </si>
  <si>
    <t>MFCORE_WALL_S:Surface Int Convection Heat Rate [W](Hourly)</t>
  </si>
  <si>
    <t>MFCORE_WALL_W:Surface Int Convection Heat Rate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</si>
  <si>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</si>
  <si>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</si>
  <si>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</si>
  <si>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</si>
  <si>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</si>
  <si>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</si>
  <si>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</si>
  <si>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</si>
  <si>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</si>
  <si>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</si>
  <si>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</si>
  <si>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</si>
  <si>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</si>
  <si>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</si>
  <si>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</si>
  <si>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</si>
  <si>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</si>
  <si>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</si>
  <si>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</si>
  <si>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</si>
  <si>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</si>
  <si>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</si>
  <si>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</si>
  <si>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</si>
  <si>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</si>
  <si>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</si>
  <si>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</si>
  <si>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</si>
  <si>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</si>
  <si>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</si>
  <si>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</si>
  <si>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</si>
  <si>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</si>
  <si>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</si>
  <si>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</si>
  <si>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</si>
  <si>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</si>
  <si>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</si>
  <si>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</si>
  <si>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</si>
  <si>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</si>
  <si>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</si>
  <si>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</si>
  <si>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</si>
  <si>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</si>
  <si>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</si>
  <si>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</si>
  <si>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</si>
  <si>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</si>
  <si>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</si>
  <si>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</si>
  <si>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</si>
  <si>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</si>
  <si>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</si>
  <si>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</si>
  <si>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</si>
  <si>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</si>
  <si>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</si>
  <si>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</si>
  <si>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</si>
  <si>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</si>
  <si>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</si>
  <si>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</si>
  <si>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</si>
  <si>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</si>
  <si>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</si>
  <si>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</si>
  <si>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</si>
  <si>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</si>
  <si>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</si>
  <si>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</si>
  <si>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</si>
  <si>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</si>
  <si>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</si>
  <si>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</si>
  <si>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</si>
  <si>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</si>
  <si>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</si>
  <si>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</si>
  <si>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</si>
  <si>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</si>
  <si>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</si>
  <si>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</si>
  <si>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</si>
  <si>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</si>
  <si>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</si>
  <si>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</si>
  <si>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</si>
  <si>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</si>
  <si>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</si>
  <si>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</si>
  <si>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</si>
  <si>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</si>
  <si>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</si>
  <si>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</si>
  <si>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</si>
  <si>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</si>
  <si>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</si>
  <si>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</si>
  <si>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</si>
  <si>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</si>
  <si>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</si>
  <si>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TFSPCORE:Zone Mean Radiant Temperature [C](Hourly)</t>
  </si>
  <si>
    <t>TFSPCORE:Zone Mean Air Temperature [C](Hourly)</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</si>
  <si>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</si>
  <si>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</si>
  <si>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</si>
  <si>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</si>
  <si>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</si>
  <si>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</si>
  <si>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</si>
  <si>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</si>
  <si>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</si>
  <si>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</si>
  <si>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</si>
  <si>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</si>
  <si>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</si>
  <si>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</si>
  <si>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</si>
  <si>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</si>
  <si>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</si>
  <si>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</si>
  <si>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</si>
  <si>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</si>
  <si>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</si>
  <si>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</si>
  <si>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</si>
  <si>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</si>
  <si>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</si>
  <si>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</si>
  <si>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</si>
  <si>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</si>
  <si>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</si>
  <si>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</si>
  <si>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</si>
  <si>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</si>
  <si>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</si>
  <si>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</si>
  <si>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</si>
  <si>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</si>
  <si>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</si>
  <si>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</si>
  <si>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</si>
  <si>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</si>
  <si>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</si>
  <si>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</si>
  <si>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</si>
  <si>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</si>
  <si>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</si>
  <si>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</si>
  <si>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</si>
  <si>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</si>
  <si>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</si>
  <si>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</si>
  <si>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</si>
  <si>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</si>
  <si>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</si>
  <si>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</si>
  <si>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</si>
  <si>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</si>
  <si>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</si>
  <si>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</si>
  <si>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</si>
  <si>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</si>
  <si>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</si>
  <si>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</si>
  <si>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</si>
  <si>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</si>
  <si>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</si>
  <si>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</si>
  <si>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</si>
  <si>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</si>
  <si>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</si>
  <si>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</si>
  <si>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</si>
  <si>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</si>
  <si>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</si>
  <si>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</si>
  <si>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</si>
  <si>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</si>
  <si>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</si>
  <si>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</si>
  <si>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</si>
  <si>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</si>
  <si>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</si>
  <si>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</si>
  <si>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</si>
  <si>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</si>
  <si>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</si>
  <si>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</si>
  <si>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</si>
  <si>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</si>
  <si>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</si>
  <si>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</si>
  <si>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</si>
  <si>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</si>
  <si>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</si>
  <si>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</si>
  <si>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</si>
  <si>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</si>
  <si>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</si>
  <si>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</si>
  <si>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</si>
  <si>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</si>
  <si>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</si>
  <si>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</si>
  <si>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</si>
  <si>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</si>
  <si>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</si>
  <si>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</si>
  <si>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</si>
  <si>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</si>
  <si>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</si>
  <si>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</si>
  <si>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</si>
  <si>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</si>
  <si>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</si>
  <si>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</si>
  <si>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</si>
  <si>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</si>
  <si>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</si>
  <si>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</si>
  <si>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</si>
  <si>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</si>
  <si>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</si>
  <si>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</si>
  <si>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</si>
  <si>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</si>
  <si>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</si>
  <si>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</si>
  <si>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</si>
  <si>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</si>
  <si>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</si>
  <si>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</si>
  <si>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</si>
  <si>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</si>
  <si>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</si>
  <si>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</si>
  <si>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</si>
  <si>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</si>
  <si>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</si>
  <si>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</si>
  <si>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</si>
  <si>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</si>
  <si>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</si>
  <si>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</si>
  <si>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</si>
  <si>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</si>
  <si>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</si>
  <si>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</si>
  <si>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</si>
  <si>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</si>
  <si>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</si>
  <si>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</si>
  <si>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</si>
  <si>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</si>
  <si>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</si>
  <si>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</si>
  <si>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</si>
  <si>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</si>
  <si>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</si>
  <si>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</si>
  <si>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</si>
  <si>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</si>
  <si>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</si>
  <si>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</si>
  <si>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</si>
  <si>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</si>
  <si>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</si>
  <si>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</si>
  <si>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</si>
  <si>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</si>
  <si>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</si>
  <si>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</si>
  <si>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</si>
  <si>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</si>
  <si>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</si>
  <si>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</si>
  <si>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</si>
  <si>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</si>
  <si>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</si>
  <si>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</si>
  <si>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</si>
  <si>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</si>
  <si>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</si>
  <si>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</si>
  <si>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</si>
  <si>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</si>
  <si>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</si>
  <si>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</si>
  <si>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</si>
  <si>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</si>
  <si>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</si>
  <si>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</si>
  <si>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</si>
  <si>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</si>
  <si>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</si>
  <si>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</si>
  <si>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</si>
  <si>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</si>
  <si>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GFSPCORE INLET NODE:System Node Volume Flow Rate Standard Density [m3/s](Hourly)</t>
  </si>
  <si>
    <t>MFSPCORE INLET NODE:System Node Volume Flow Rate Standard Density [m3/s](Hourly)</t>
  </si>
  <si>
    <t>TFSPCORE INLET NODE:System Node Volume Flow Rate Standard Density [m3/s](Hourly)</t>
  </si>
  <si>
    <t>GFSPNORTH</t>
  </si>
  <si>
    <t>GFSPEAST</t>
  </si>
  <si>
    <t>GFSPSOUTH</t>
  </si>
  <si>
    <t>GFSPWEST</t>
  </si>
  <si>
    <t>GFSPCORE</t>
  </si>
  <si>
    <t>MFSPNORTH</t>
  </si>
  <si>
    <t>MFSPEAST</t>
  </si>
  <si>
    <t>MFSPSOUTH</t>
  </si>
  <si>
    <t>MFSPWEST</t>
  </si>
  <si>
    <t>MFSPCORE</t>
  </si>
  <si>
    <t>TFSPNORTH</t>
  </si>
  <si>
    <t>TFSPEAST</t>
  </si>
  <si>
    <t>TFSPSOUTH</t>
  </si>
  <si>
    <t>TFSPWEST</t>
  </si>
  <si>
    <t>TFSPCORE</t>
  </si>
  <si>
    <t>GFSPNORTH_WALL_N</t>
  </si>
  <si>
    <t>GFSPEAST_WALL_E</t>
  </si>
  <si>
    <t>GFSPSOUTH_WALL_S</t>
  </si>
  <si>
    <t>GFSPWEST_WALL_W</t>
  </si>
  <si>
    <t>GFSPCORE_FLOOR</t>
  </si>
  <si>
    <t>MFSPNORTH_WALL_N</t>
  </si>
  <si>
    <t>MFSPEAST_WALL_E</t>
  </si>
  <si>
    <t>MFSPSOUTH_WALL_S</t>
  </si>
  <si>
    <t>MFSPWEST_WALL_W</t>
  </si>
  <si>
    <t>TFSPNORTH_WALL_N</t>
  </si>
  <si>
    <t>TFSPEAST_WALL_E</t>
  </si>
  <si>
    <t>TFSPSOUTH_WALL_S</t>
  </si>
  <si>
    <t>TFSPWEST_WALL_W</t>
  </si>
  <si>
    <t>GFNORTH FCU FAN</t>
  </si>
  <si>
    <t>GFEAST FCU FAN</t>
  </si>
  <si>
    <t>GFSOUTH FCU FAN</t>
  </si>
  <si>
    <t>GFWEST FCU FAN</t>
  </si>
  <si>
    <t>MFNORTH FCU FAN</t>
  </si>
  <si>
    <t>MFEAST FCU FAN</t>
  </si>
  <si>
    <t>MFSOUTH FCU FAN</t>
  </si>
  <si>
    <t>MFWEST FCU FAN</t>
  </si>
  <si>
    <t>TFNORTH FCU FAN</t>
  </si>
  <si>
    <t>TFEAST FCU FAN</t>
  </si>
  <si>
    <t>TFSOUTH FCU FAN</t>
  </si>
  <si>
    <t>TFWEST FCU FAN</t>
  </si>
  <si>
    <t>RoomAirSettings:UnderFloorAirDistributionInterior</t>
  </si>
  <si>
    <t>Power per plume [W]</t>
  </si>
  <si>
    <t>AirTerminal:SingleDuct:VAV:Reheat:VariableSpeedFan</t>
  </si>
  <si>
    <t>Maximum Heating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</si>
  <si>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</si>
  <si>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</si>
  <si>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</si>
  <si>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</si>
  <si>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</si>
  <si>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</si>
  <si>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</si>
  <si>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</si>
  <si>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</si>
  <si>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</si>
  <si>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</si>
  <si>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</si>
  <si>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SCH_ASHRAE90.1-2010_LIGHTING</t>
  </si>
  <si>
    <t xml:space="preserve"> 01/01  01:00:00</t>
  </si>
  <si>
    <t xml:space="preserve"> 01/01  02:00:00</t>
  </si>
  <si>
    <t xml:space="preserve"> 01/01  03:00:00</t>
  </si>
  <si>
    <t xml:space="preserve"> 01/01  04:00:00</t>
  </si>
  <si>
    <t xml:space="preserve"> 01/01  05:00:00</t>
  </si>
  <si>
    <t xml:space="preserve"> 01/01  06:00:00</t>
  </si>
  <si>
    <t xml:space="preserve"> 01/01  07:00:00</t>
  </si>
  <si>
    <t xml:space="preserve"> 01/01  08:00:00</t>
  </si>
  <si>
    <t xml:space="preserve"> 01/01  09:00:00</t>
  </si>
  <si>
    <t xml:space="preserve"> 01/01  10:00:00</t>
  </si>
  <si>
    <t xml:space="preserve"> 01/01  11:00:00</t>
  </si>
  <si>
    <t xml:space="preserve"> 01/01  12:00:00</t>
  </si>
  <si>
    <t xml:space="preserve"> 01/01  13:00:00</t>
  </si>
  <si>
    <t xml:space="preserve"> 01/01  14:00:00</t>
  </si>
  <si>
    <t xml:space="preserve"> 01/01  15:00:00</t>
  </si>
  <si>
    <t xml:space="preserve"> 01/01  16:00:00</t>
  </si>
  <si>
    <t xml:space="preserve"> 01/01  17:00:00</t>
  </si>
  <si>
    <t xml:space="preserve"> 01/01  18:00:00</t>
  </si>
  <si>
    <t xml:space="preserve"> 01/01  19:00:00</t>
  </si>
  <si>
    <t xml:space="preserve"> 01/01  20:00:00</t>
  </si>
  <si>
    <t xml:space="preserve"> 01/01  21:00:00</t>
  </si>
  <si>
    <t xml:space="preserve"> 01/01  22:00:00</t>
  </si>
  <si>
    <t xml:space="preserve"> 01/01  23:00:00</t>
  </si>
  <si>
    <t xml:space="preserve"> 01/01  24:00:00</t>
  </si>
  <si>
    <t>Note: Natural gas appears to be the principal heating source based on energy usage.</t>
  </si>
  <si>
    <t>01-JAN-08:15</t>
  </si>
  <si>
    <t>Aggregated over the RunPeriods for Weather</t>
  </si>
  <si>
    <t>SETPOINTS NOT MET WITH TEMPERATURES</t>
  </si>
  <si>
    <t>TIME HEATING SETPOINT NOT MET {HOURS NON-ZERO} [HOURS]</t>
  </si>
  <si>
    <t>ZONE MEAN AIR TEMPERATURE {FOR HOURS SHOWN} [C]</t>
  </si>
  <si>
    <t>TIME HEATING SETPOINT NOT MET WHILE OCCUPIED {HOURS NON-ZERO} [HOURS]</t>
  </si>
  <si>
    <t>TIME COOLING SETPOINT NOT MET {HOURS NON-ZERO} [HOURS]</t>
  </si>
  <si>
    <t>TIME COOLING SETPOINT NOT MET WHILE OCCUPIED {HOURS NON-ZERO} [HOURS]</t>
  </si>
  <si>
    <t>January</t>
  </si>
  <si>
    <t>February</t>
  </si>
  <si>
    <t>March</t>
  </si>
  <si>
    <t>April</t>
  </si>
  <si>
    <t>June</t>
  </si>
  <si>
    <t>July</t>
  </si>
  <si>
    <t>August</t>
  </si>
  <si>
    <t>September</t>
  </si>
  <si>
    <t>October</t>
  </si>
  <si>
    <t>November</t>
  </si>
  <si>
    <t>December</t>
  </si>
  <si>
    <t>Annual Sum or Average</t>
  </si>
  <si>
    <t>Minimum of Months</t>
  </si>
  <si>
    <t>Maximum of Months</t>
  </si>
  <si>
    <t>BUILDING LOADS - COOLING</t>
  </si>
  <si>
    <t>ZONE/SYS SENSIBLE COOLING ENERGY [kWh]</t>
  </si>
  <si>
    <t>ZONE/SYS SENSIBLE COOLING RATE {Maximum}[W]</t>
  </si>
  <si>
    <t>ZONE/SYS SENSIBLE COOLING RATE {TIMESTAMP}</t>
  </si>
  <si>
    <t>OUTDOOR DRY BULB {AT MAX/MIN} [C]</t>
  </si>
  <si>
    <t>OUTDOOR WET BULB {AT MAX/MIN} [C]</t>
  </si>
  <si>
    <t>ZONE TOTAL INTERNAL LATENT GAIN [kWh]</t>
  </si>
  <si>
    <t>ZONE TOTAL INTERNAL LATENT GAIN {Maximum}[W]</t>
  </si>
  <si>
    <t>ZONE TOTAL INTERNAL LATENT GAIN {TIMESTAMP}</t>
  </si>
  <si>
    <t>01-JAN-00:15</t>
  </si>
  <si>
    <t>Zone_Cool_SAT_GF_Perim[]</t>
  </si>
  <si>
    <t>Zone_Cool_SAT_GF_Core[]</t>
  </si>
  <si>
    <t>RoomAirSettings:UnderFloorAirDistributionExterior</t>
  </si>
  <si>
    <t>Design effective area of diffuser</t>
  </si>
  <si>
    <t>Angle between diffuser slots and the vertical</t>
  </si>
  <si>
    <t xml:space="preserve"> YMD=2011.10.13 10:06</t>
  </si>
  <si>
    <t>WARNING: THE REPORT DOES NOT REPRESENT A FULL ANNUAL SIMULATION.</t>
  </si>
  <si>
    <t>Values gathered over        24.00 hours</t>
  </si>
  <si>
    <t>01-JAN-08:45</t>
  </si>
  <si>
    <t>01-JAN-07:15</t>
  </si>
  <si>
    <t>01-JAN-20:30</t>
  </si>
  <si>
    <t>01-JAN-18:45</t>
  </si>
  <si>
    <t>01-JAN-21:00</t>
  </si>
  <si>
    <t>01-JAN-06:15</t>
  </si>
  <si>
    <t>01-JAN-18:00</t>
  </si>
  <si>
    <t>01-JAN-13:00</t>
  </si>
  <si>
    <t>01-JAN-14:30</t>
  </si>
  <si>
    <t>01-JAN-14:15</t>
  </si>
  <si>
    <t>01-JAN-21:30</t>
  </si>
  <si>
    <t>01-JAN-14:45</t>
  </si>
  <si>
    <t>01-JAN-21:15</t>
  </si>
  <si>
    <t>01-JAN-13:45</t>
  </si>
  <si>
    <t>01-JAN-20:45</t>
  </si>
  <si>
    <t>01-JAN-20:00</t>
  </si>
  <si>
    <t>01-JAN-21:45</t>
  </si>
  <si>
    <t>01-JAN-14:00</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</si>
</sst>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5">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
      <sz val="9"/>
      <color indexed="81"/>
      <name val="Tahoma"/>
      <family val="2"/>
    </font>
    <font>
      <b/>
      <sz val="9"/>
      <color indexed="81"/>
      <name val="Tahoma"/>
      <family val="2"/>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700">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 fillId="6" borderId="8" xfId="0" applyFont="1" applyFill="1" applyBorder="1" applyAlignment="1">
      <alignment vertical="top"/>
    </xf>
    <xf numFmtId="0" fontId="5" fillId="0" borderId="3" xfId="0" applyFont="1" applyBorder="1"/>
    <xf numFmtId="0" fontId="29" fillId="0" borderId="3" xfId="0" applyFont="1" applyBorder="1"/>
    <xf numFmtId="39" fontId="5" fillId="6" borderId="7" xfId="1" applyNumberFormat="1" applyFont="1" applyFill="1" applyBorder="1"/>
    <xf numFmtId="0" fontId="5" fillId="6" borderId="5" xfId="0" applyFont="1" applyFill="1" applyBorder="1"/>
    <xf numFmtId="0" fontId="0" fillId="0" borderId="0" xfId="0" applyAlignment="1">
      <alignment wrapText="1"/>
    </xf>
    <xf numFmtId="0" fontId="5" fillId="0" borderId="0" xfId="0" applyFont="1" applyAlignment="1">
      <alignment wrapText="1"/>
    </xf>
    <xf numFmtId="1" fontId="5" fillId="4" borderId="10" xfId="0" applyNumberFormat="1" applyFont="1" applyFill="1" applyBorder="1" applyAlignment="1">
      <alignment horizontal="center"/>
    </xf>
    <xf numFmtId="0" fontId="5" fillId="6" borderId="5" xfId="0" applyFont="1" applyFill="1" applyBorder="1" applyAlignment="1">
      <alignment vertical="top"/>
    </xf>
    <xf numFmtId="39" fontId="0" fillId="4" borderId="7" xfId="1" applyNumberFormat="1" applyFont="1" applyFill="1" applyBorder="1" applyAlignment="1">
      <alignment horizontal="right"/>
    </xf>
    <xf numFmtId="39" fontId="13" fillId="0" borderId="0" xfId="0" applyNumberFormat="1" applyFont="1" applyFill="1" applyAlignment="1">
      <alignment horizontal="center"/>
    </xf>
    <xf numFmtId="0" fontId="0" fillId="0" borderId="0" xfId="0" applyAlignment="1">
      <alignment horizontal="center" wrapText="1"/>
    </xf>
    <xf numFmtId="37" fontId="29" fillId="4" borderId="7" xfId="1" applyNumberFormat="1" applyFont="1" applyFill="1" applyBorder="1"/>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1" fillId="6" borderId="0" xfId="0" applyFont="1" applyFill="1" applyBorder="1" applyAlignment="1">
      <alignment horizontal="center" vertical="center" textRotation="90"/>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48412160"/>
        <c:axId val="48414080"/>
      </c:barChart>
      <c:catAx>
        <c:axId val="4841216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48414080"/>
        <c:crosses val="autoZero"/>
        <c:auto val="1"/>
        <c:lblAlgn val="ctr"/>
        <c:lblOffset val="100"/>
        <c:noMultiLvlLbl val="0"/>
      </c:catAx>
      <c:valAx>
        <c:axId val="48414080"/>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4841216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48573824"/>
        <c:axId val="48580096"/>
      </c:barChart>
      <c:catAx>
        <c:axId val="48573824"/>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48580096"/>
        <c:crosses val="autoZero"/>
        <c:auto val="1"/>
        <c:lblAlgn val="ctr"/>
        <c:lblOffset val="100"/>
        <c:noMultiLvlLbl val="0"/>
      </c:catAx>
      <c:valAx>
        <c:axId val="48580096"/>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48573824"/>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48604672"/>
        <c:axId val="48606592"/>
      </c:barChart>
      <c:catAx>
        <c:axId val="4860467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48606592"/>
        <c:crosses val="autoZero"/>
        <c:auto val="1"/>
        <c:lblAlgn val="ctr"/>
        <c:lblOffset val="100"/>
        <c:noMultiLvlLbl val="0"/>
      </c:catAx>
      <c:valAx>
        <c:axId val="4860659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4860467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17792128"/>
        <c:axId val="117798400"/>
      </c:barChart>
      <c:catAx>
        <c:axId val="117792128"/>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17798400"/>
        <c:crosses val="autoZero"/>
        <c:auto val="1"/>
        <c:lblAlgn val="ctr"/>
        <c:lblOffset val="100"/>
        <c:noMultiLvlLbl val="0"/>
      </c:catAx>
      <c:valAx>
        <c:axId val="117798400"/>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17792128"/>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32298624"/>
        <c:axId val="132300160"/>
      </c:barChart>
      <c:catAx>
        <c:axId val="13229862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2300160"/>
        <c:crosses val="autoZero"/>
        <c:auto val="1"/>
        <c:lblAlgn val="ctr"/>
        <c:lblOffset val="100"/>
        <c:noMultiLvlLbl val="0"/>
      </c:catAx>
      <c:valAx>
        <c:axId val="13230016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229862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47447040"/>
        <c:axId val="113804032"/>
      </c:barChart>
      <c:catAx>
        <c:axId val="47447040"/>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13804032"/>
        <c:crosses val="autoZero"/>
        <c:auto val="1"/>
        <c:lblAlgn val="ctr"/>
        <c:lblOffset val="100"/>
        <c:noMultiLvlLbl val="0"/>
      </c:catAx>
      <c:valAx>
        <c:axId val="11380403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47447040"/>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2334336"/>
        <c:axId val="132335872"/>
      </c:barChart>
      <c:catAx>
        <c:axId val="13233433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2335872"/>
        <c:crosses val="autoZero"/>
        <c:auto val="1"/>
        <c:lblAlgn val="ctr"/>
        <c:lblOffset val="100"/>
        <c:noMultiLvlLbl val="0"/>
      </c:catAx>
      <c:valAx>
        <c:axId val="13233587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2334336"/>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20.320583807648156</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0.14502865729793146</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3596672"/>
        <c:axId val="133598208"/>
      </c:barChart>
      <c:catAx>
        <c:axId val="133596672"/>
        <c:scaling>
          <c:orientation val="minMax"/>
        </c:scaling>
        <c:delete val="0"/>
        <c:axPos val="b"/>
        <c:numFmt formatCode="General" sourceLinked="1"/>
        <c:majorTickMark val="out"/>
        <c:minorTickMark val="none"/>
        <c:tickLblPos val="nextTo"/>
        <c:txPr>
          <a:bodyPr rot="0" vert="horz"/>
          <a:lstStyle/>
          <a:p>
            <a:pPr>
              <a:defRPr/>
            </a:pPr>
            <a:endParaRPr lang="en-US"/>
          </a:p>
        </c:txPr>
        <c:crossAx val="133598208"/>
        <c:crosses val="autoZero"/>
        <c:auto val="1"/>
        <c:lblAlgn val="ctr"/>
        <c:lblOffset val="100"/>
        <c:noMultiLvlLbl val="0"/>
      </c:catAx>
      <c:valAx>
        <c:axId val="133598208"/>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33596672"/>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18</c:v>
                </c:pt>
                <c:pt idx="1">
                  <c:v>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32</c:v>
                </c:pt>
                <c:pt idx="1">
                  <c:v>32</c:v>
                </c:pt>
                <c:pt idx="2">
                  <c:v>32</c:v>
                </c:pt>
                <c:pt idx="3">
                  <c:v>32</c:v>
                </c:pt>
                <c:pt idx="4">
                  <c:v>32</c:v>
                </c:pt>
                <c:pt idx="5">
                  <c:v>32</c:v>
                </c:pt>
                <c:pt idx="6">
                  <c:v>32</c:v>
                </c:pt>
                <c:pt idx="7">
                  <c:v>32</c:v>
                </c:pt>
                <c:pt idx="8">
                  <c:v>32</c:v>
                </c:pt>
                <c:pt idx="9">
                  <c:v>32</c:v>
                </c:pt>
                <c:pt idx="10">
                  <c:v>32</c:v>
                </c:pt>
                <c:pt idx="11">
                  <c:v>32</c:v>
                </c:pt>
              </c:numCache>
            </c:numRef>
          </c:xVal>
          <c:yVal>
            <c:numRef>
              <c:f>'graph data'!$D$154:$D$165</c:f>
              <c:numCache>
                <c:formatCode>General</c:formatCode>
                <c:ptCount val="12"/>
                <c:pt idx="0">
                  <c:v>138</c:v>
                </c:pt>
                <c:pt idx="1">
                  <c:v>126</c:v>
                </c:pt>
                <c:pt idx="2" formatCode="0.0">
                  <c:v>126</c:v>
                </c:pt>
                <c:pt idx="3" formatCode="0.0">
                  <c:v>72</c:v>
                </c:pt>
                <c:pt idx="4" formatCode="0.0">
                  <c:v>18</c:v>
                </c:pt>
                <c:pt idx="5" formatCode="0.0">
                  <c:v>18</c:v>
                </c:pt>
                <c:pt idx="6" formatCode="0.0">
                  <c:v>18</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34179456"/>
        <c:axId val="134209920"/>
      </c:scatterChart>
      <c:valAx>
        <c:axId val="134179456"/>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4209920"/>
        <c:crosses val="autoZero"/>
        <c:crossBetween val="midCat"/>
        <c:majorUnit val="5"/>
        <c:minorUnit val="2"/>
      </c:valAx>
      <c:valAx>
        <c:axId val="134209920"/>
        <c:scaling>
          <c:orientation val="minMax"/>
          <c:max val="180"/>
          <c:min val="0"/>
        </c:scaling>
        <c:delete val="1"/>
        <c:axPos val="l"/>
        <c:numFmt formatCode="General" sourceLinked="1"/>
        <c:majorTickMark val="out"/>
        <c:minorTickMark val="none"/>
        <c:tickLblPos val="none"/>
        <c:crossAx val="134179456"/>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32</c:v>
                </c:pt>
                <c:pt idx="1">
                  <c:v>32</c:v>
                </c:pt>
                <c:pt idx="2">
                  <c:v>32</c:v>
                </c:pt>
                <c:pt idx="3">
                  <c:v>32</c:v>
                </c:pt>
                <c:pt idx="4">
                  <c:v>32</c:v>
                </c:pt>
                <c:pt idx="5">
                  <c:v>32</c:v>
                </c:pt>
                <c:pt idx="6">
                  <c:v>32</c:v>
                </c:pt>
                <c:pt idx="7">
                  <c:v>32</c:v>
                </c:pt>
                <c:pt idx="8">
                  <c:v>32</c:v>
                </c:pt>
                <c:pt idx="9">
                  <c:v>32</c:v>
                </c:pt>
                <c:pt idx="10">
                  <c:v>32</c:v>
                </c:pt>
                <c:pt idx="11">
                  <c:v>32</c:v>
                </c:pt>
                <c:pt idx="12">
                  <c:v>32</c:v>
                </c:pt>
              </c:numCache>
            </c:numRef>
          </c:xVal>
          <c:yVal>
            <c:numRef>
              <c:f>'graph data'!$D$170:$D$182</c:f>
              <c:numCache>
                <c:formatCode>General</c:formatCode>
                <c:ptCount val="13"/>
                <c:pt idx="0">
                  <c:v>179</c:v>
                </c:pt>
                <c:pt idx="1">
                  <c:v>138</c:v>
                </c:pt>
                <c:pt idx="2">
                  <c:v>126</c:v>
                </c:pt>
                <c:pt idx="3" formatCode="0.0">
                  <c:v>126</c:v>
                </c:pt>
                <c:pt idx="4" formatCode="0.0">
                  <c:v>72</c:v>
                </c:pt>
                <c:pt idx="5" formatCode="0.0">
                  <c:v>18</c:v>
                </c:pt>
                <c:pt idx="6" formatCode="0.0">
                  <c:v>18</c:v>
                </c:pt>
                <c:pt idx="7" formatCode="0.0">
                  <c:v>18</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18</c:v>
                </c:pt>
                <c:pt idx="1">
                  <c:v>18</c:v>
                </c:pt>
              </c:numCache>
            </c:numRef>
          </c:yVal>
          <c:smooth val="0"/>
        </c:ser>
        <c:ser>
          <c:idx val="0"/>
          <c:order val="2"/>
          <c:tx>
            <c:strRef>
              <c:f>'Output hourly'!$D$9</c:f>
              <c:strCache>
                <c:ptCount val="1"/>
                <c:pt idx="0">
                  <c:v>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17642752"/>
        <c:axId val="117644288"/>
      </c:scatterChart>
      <c:valAx>
        <c:axId val="11764275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17644288"/>
        <c:crosses val="autoZero"/>
        <c:crossBetween val="midCat"/>
        <c:majorUnit val="5"/>
        <c:minorUnit val="2"/>
      </c:valAx>
      <c:valAx>
        <c:axId val="117644288"/>
        <c:scaling>
          <c:orientation val="minMax"/>
          <c:max val="180"/>
          <c:min val="0"/>
        </c:scaling>
        <c:delete val="1"/>
        <c:axPos val="l"/>
        <c:numFmt formatCode="General" sourceLinked="1"/>
        <c:majorTickMark val="out"/>
        <c:minorTickMark val="none"/>
        <c:tickLblPos val="none"/>
        <c:crossAx val="11764275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17696768"/>
        <c:axId val="133890048"/>
      </c:barChart>
      <c:catAx>
        <c:axId val="11769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3890048"/>
        <c:crosses val="autoZero"/>
        <c:auto val="1"/>
        <c:lblAlgn val="ctr"/>
        <c:lblOffset val="100"/>
        <c:tickLblSkip val="1"/>
        <c:tickMarkSkip val="1"/>
        <c:noMultiLvlLbl val="0"/>
      </c:catAx>
      <c:valAx>
        <c:axId val="133890048"/>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17696768"/>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c:v>
                </c:pt>
                <c:pt idx="1">
                  <c:v>0</c:v>
                </c:pt>
              </c:numCache>
            </c:numRef>
          </c:val>
        </c:ser>
        <c:dLbls>
          <c:showLegendKey val="0"/>
          <c:showVal val="0"/>
          <c:showCatName val="0"/>
          <c:showSerName val="0"/>
          <c:showPercent val="0"/>
          <c:showBubbleSize val="0"/>
        </c:dLbls>
        <c:gapWidth val="150"/>
        <c:axId val="133915008"/>
        <c:axId val="133916544"/>
      </c:barChart>
      <c:catAx>
        <c:axId val="13391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916544"/>
        <c:crosses val="autoZero"/>
        <c:auto val="1"/>
        <c:lblAlgn val="ctr"/>
        <c:lblOffset val="100"/>
        <c:tickLblSkip val="1"/>
        <c:tickMarkSkip val="1"/>
        <c:noMultiLvlLbl val="0"/>
      </c:catAx>
      <c:valAx>
        <c:axId val="133916544"/>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3915008"/>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34158208"/>
        <c:axId val="137527296"/>
      </c:scatterChart>
      <c:valAx>
        <c:axId val="13415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7527296"/>
        <c:crosses val="autoZero"/>
        <c:crossBetween val="midCat"/>
      </c:valAx>
      <c:valAx>
        <c:axId val="13752729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4158208"/>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34376832"/>
        <c:axId val="134387200"/>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34389120"/>
        <c:axId val="134403200"/>
      </c:scatterChart>
      <c:valAx>
        <c:axId val="134376832"/>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4387200"/>
        <c:crosses val="autoZero"/>
        <c:crossBetween val="midCat"/>
        <c:majorUnit val="24"/>
      </c:valAx>
      <c:valAx>
        <c:axId val="134387200"/>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34376832"/>
        <c:crosses val="autoZero"/>
        <c:crossBetween val="midCat"/>
      </c:valAx>
      <c:valAx>
        <c:axId val="134389120"/>
        <c:scaling>
          <c:orientation val="minMax"/>
        </c:scaling>
        <c:delete val="1"/>
        <c:axPos val="b"/>
        <c:numFmt formatCode="General" sourceLinked="1"/>
        <c:majorTickMark val="out"/>
        <c:minorTickMark val="none"/>
        <c:tickLblPos val="none"/>
        <c:crossAx val="134403200"/>
        <c:crosses val="autoZero"/>
        <c:crossBetween val="midCat"/>
      </c:valAx>
      <c:valAx>
        <c:axId val="134403200"/>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34389120"/>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7"/>
</file>

<file path=xl/ctrlProps/ctrlProp2.xml><?xml version="1.0" encoding="utf-8"?>
<formControlPr xmlns="http://schemas.microsoft.com/office/spreadsheetml/2009/9/main" objectType="Scroll" dx="13" fmlaLink="$D$8" horiz="1" max="24" page="10" val="17"/>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842"/>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581025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27</xdr:row>
          <xdr:rowOff>0</xdr:rowOff>
        </xdr:from>
        <xdr:to>
          <xdr:col>5</xdr:col>
          <xdr:colOff>581025</xdr:colOff>
          <xdr:row>31</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7"/>
    <col min="4" max="4" width="87.85546875" style="107" customWidth="1"/>
    <col min="5" max="259" width="9.140625" style="107"/>
    <col min="260" max="260" width="87.85546875" style="107" customWidth="1"/>
    <col min="261" max="515" width="9.140625" style="107"/>
    <col min="516" max="516" width="87.85546875" style="107" customWidth="1"/>
    <col min="517" max="771" width="9.140625" style="107"/>
    <col min="772" max="772" width="87.85546875" style="107" customWidth="1"/>
    <col min="773" max="1027" width="9.140625" style="107"/>
    <col min="1028" max="1028" width="87.85546875" style="107" customWidth="1"/>
    <col min="1029" max="1283" width="9.140625" style="107"/>
    <col min="1284" max="1284" width="87.85546875" style="107" customWidth="1"/>
    <col min="1285" max="1539" width="9.140625" style="107"/>
    <col min="1540" max="1540" width="87.85546875" style="107" customWidth="1"/>
    <col min="1541" max="1795" width="9.140625" style="107"/>
    <col min="1796" max="1796" width="87.85546875" style="107" customWidth="1"/>
    <col min="1797" max="2051" width="9.140625" style="107"/>
    <col min="2052" max="2052" width="87.85546875" style="107" customWidth="1"/>
    <col min="2053" max="2307" width="9.140625" style="107"/>
    <col min="2308" max="2308" width="87.85546875" style="107" customWidth="1"/>
    <col min="2309" max="2563" width="9.140625" style="107"/>
    <col min="2564" max="2564" width="87.85546875" style="107" customWidth="1"/>
    <col min="2565" max="2819" width="9.140625" style="107"/>
    <col min="2820" max="2820" width="87.85546875" style="107" customWidth="1"/>
    <col min="2821" max="3075" width="9.140625" style="107"/>
    <col min="3076" max="3076" width="87.85546875" style="107" customWidth="1"/>
    <col min="3077" max="3331" width="9.140625" style="107"/>
    <col min="3332" max="3332" width="87.85546875" style="107" customWidth="1"/>
    <col min="3333" max="3587" width="9.140625" style="107"/>
    <col min="3588" max="3588" width="87.85546875" style="107" customWidth="1"/>
    <col min="3589" max="3843" width="9.140625" style="107"/>
    <col min="3844" max="3844" width="87.85546875" style="107" customWidth="1"/>
    <col min="3845" max="4099" width="9.140625" style="107"/>
    <col min="4100" max="4100" width="87.85546875" style="107" customWidth="1"/>
    <col min="4101" max="4355" width="9.140625" style="107"/>
    <col min="4356" max="4356" width="87.85546875" style="107" customWidth="1"/>
    <col min="4357" max="4611" width="9.140625" style="107"/>
    <col min="4612" max="4612" width="87.85546875" style="107" customWidth="1"/>
    <col min="4613" max="4867" width="9.140625" style="107"/>
    <col min="4868" max="4868" width="87.85546875" style="107" customWidth="1"/>
    <col min="4869" max="5123" width="9.140625" style="107"/>
    <col min="5124" max="5124" width="87.85546875" style="107" customWidth="1"/>
    <col min="5125" max="5379" width="9.140625" style="107"/>
    <col min="5380" max="5380" width="87.85546875" style="107" customWidth="1"/>
    <col min="5381" max="5635" width="9.140625" style="107"/>
    <col min="5636" max="5636" width="87.85546875" style="107" customWidth="1"/>
    <col min="5637" max="5891" width="9.140625" style="107"/>
    <col min="5892" max="5892" width="87.85546875" style="107" customWidth="1"/>
    <col min="5893" max="6147" width="9.140625" style="107"/>
    <col min="6148" max="6148" width="87.85546875" style="107" customWidth="1"/>
    <col min="6149" max="6403" width="9.140625" style="107"/>
    <col min="6404" max="6404" width="87.85546875" style="107" customWidth="1"/>
    <col min="6405" max="6659" width="9.140625" style="107"/>
    <col min="6660" max="6660" width="87.85546875" style="107" customWidth="1"/>
    <col min="6661" max="6915" width="9.140625" style="107"/>
    <col min="6916" max="6916" width="87.85546875" style="107" customWidth="1"/>
    <col min="6917" max="7171" width="9.140625" style="107"/>
    <col min="7172" max="7172" width="87.85546875" style="107" customWidth="1"/>
    <col min="7173" max="7427" width="9.140625" style="107"/>
    <col min="7428" max="7428" width="87.85546875" style="107" customWidth="1"/>
    <col min="7429" max="7683" width="9.140625" style="107"/>
    <col min="7684" max="7684" width="87.85546875" style="107" customWidth="1"/>
    <col min="7685" max="7939" width="9.140625" style="107"/>
    <col min="7940" max="7940" width="87.85546875" style="107" customWidth="1"/>
    <col min="7941" max="8195" width="9.140625" style="107"/>
    <col min="8196" max="8196" width="87.85546875" style="107" customWidth="1"/>
    <col min="8197" max="8451" width="9.140625" style="107"/>
    <col min="8452" max="8452" width="87.85546875" style="107" customWidth="1"/>
    <col min="8453" max="8707" width="9.140625" style="107"/>
    <col min="8708" max="8708" width="87.85546875" style="107" customWidth="1"/>
    <col min="8709" max="8963" width="9.140625" style="107"/>
    <col min="8964" max="8964" width="87.85546875" style="107" customWidth="1"/>
    <col min="8965" max="9219" width="9.140625" style="107"/>
    <col min="9220" max="9220" width="87.85546875" style="107" customWidth="1"/>
    <col min="9221" max="9475" width="9.140625" style="107"/>
    <col min="9476" max="9476" width="87.85546875" style="107" customWidth="1"/>
    <col min="9477" max="9731" width="9.140625" style="107"/>
    <col min="9732" max="9732" width="87.85546875" style="107" customWidth="1"/>
    <col min="9733" max="9987" width="9.140625" style="107"/>
    <col min="9988" max="9988" width="87.85546875" style="107" customWidth="1"/>
    <col min="9989" max="10243" width="9.140625" style="107"/>
    <col min="10244" max="10244" width="87.85546875" style="107" customWidth="1"/>
    <col min="10245" max="10499" width="9.140625" style="107"/>
    <col min="10500" max="10500" width="87.85546875" style="107" customWidth="1"/>
    <col min="10501" max="10755" width="9.140625" style="107"/>
    <col min="10756" max="10756" width="87.85546875" style="107" customWidth="1"/>
    <col min="10757" max="11011" width="9.140625" style="107"/>
    <col min="11012" max="11012" width="87.85546875" style="107" customWidth="1"/>
    <col min="11013" max="11267" width="9.140625" style="107"/>
    <col min="11268" max="11268" width="87.85546875" style="107" customWidth="1"/>
    <col min="11269" max="11523" width="9.140625" style="107"/>
    <col min="11524" max="11524" width="87.85546875" style="107" customWidth="1"/>
    <col min="11525" max="11779" width="9.140625" style="107"/>
    <col min="11780" max="11780" width="87.85546875" style="107" customWidth="1"/>
    <col min="11781" max="12035" width="9.140625" style="107"/>
    <col min="12036" max="12036" width="87.85546875" style="107" customWidth="1"/>
    <col min="12037" max="12291" width="9.140625" style="107"/>
    <col min="12292" max="12292" width="87.85546875" style="107" customWidth="1"/>
    <col min="12293" max="12547" width="9.140625" style="107"/>
    <col min="12548" max="12548" width="87.85546875" style="107" customWidth="1"/>
    <col min="12549" max="12803" width="9.140625" style="107"/>
    <col min="12804" max="12804" width="87.85546875" style="107" customWidth="1"/>
    <col min="12805" max="13059" width="9.140625" style="107"/>
    <col min="13060" max="13060" width="87.85546875" style="107" customWidth="1"/>
    <col min="13061" max="13315" width="9.140625" style="107"/>
    <col min="13316" max="13316" width="87.85546875" style="107" customWidth="1"/>
    <col min="13317" max="13571" width="9.140625" style="107"/>
    <col min="13572" max="13572" width="87.85546875" style="107" customWidth="1"/>
    <col min="13573" max="13827" width="9.140625" style="107"/>
    <col min="13828" max="13828" width="87.85546875" style="107" customWidth="1"/>
    <col min="13829" max="14083" width="9.140625" style="107"/>
    <col min="14084" max="14084" width="87.85546875" style="107" customWidth="1"/>
    <col min="14085" max="14339" width="9.140625" style="107"/>
    <col min="14340" max="14340" width="87.85546875" style="107" customWidth="1"/>
    <col min="14341" max="14595" width="9.140625" style="107"/>
    <col min="14596" max="14596" width="87.85546875" style="107" customWidth="1"/>
    <col min="14597" max="14851" width="9.140625" style="107"/>
    <col min="14852" max="14852" width="87.85546875" style="107" customWidth="1"/>
    <col min="14853" max="15107" width="9.140625" style="107"/>
    <col min="15108" max="15108" width="87.85546875" style="107" customWidth="1"/>
    <col min="15109" max="15363" width="9.140625" style="107"/>
    <col min="15364" max="15364" width="87.85546875" style="107" customWidth="1"/>
    <col min="15365" max="15619" width="9.140625" style="107"/>
    <col min="15620" max="15620" width="87.85546875" style="107" customWidth="1"/>
    <col min="15621" max="15875" width="9.140625" style="107"/>
    <col min="15876" max="15876" width="87.85546875" style="107" customWidth="1"/>
    <col min="15877" max="16131" width="9.140625" style="107"/>
    <col min="16132" max="16132" width="87.85546875" style="107" customWidth="1"/>
    <col min="16133" max="16384" width="9.140625" style="107"/>
  </cols>
  <sheetData>
    <row r="1" spans="1:29">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row>
    <row r="2" spans="1:29">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row>
    <row r="3" spans="1:29">
      <c r="A3" s="106"/>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row>
    <row r="4" spans="1:29" ht="7.5" customHeight="1" thickBot="1">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row>
    <row r="5" spans="1:29" ht="35.25" customHeight="1">
      <c r="A5" s="106"/>
      <c r="B5" s="106"/>
      <c r="C5" s="106"/>
      <c r="D5" s="108" t="s">
        <v>754</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row>
    <row r="6" spans="1:29">
      <c r="A6" s="106"/>
      <c r="B6" s="106"/>
      <c r="C6" s="106"/>
      <c r="D6" s="109"/>
      <c r="E6" s="106"/>
      <c r="F6" s="106"/>
      <c r="G6" s="106"/>
      <c r="H6" s="106"/>
      <c r="I6" s="106"/>
      <c r="J6" s="106"/>
      <c r="K6" s="106"/>
      <c r="L6" s="106"/>
      <c r="M6" s="106"/>
      <c r="N6" s="106"/>
      <c r="O6" s="106"/>
      <c r="P6" s="106"/>
      <c r="Q6" s="106"/>
      <c r="R6" s="106"/>
      <c r="S6" s="106"/>
      <c r="T6" s="106"/>
      <c r="U6" s="106"/>
      <c r="V6" s="106"/>
      <c r="W6" s="106"/>
      <c r="X6" s="106"/>
      <c r="Y6" s="106"/>
      <c r="Z6" s="106"/>
      <c r="AA6" s="106"/>
      <c r="AB6" s="106"/>
      <c r="AC6" s="106"/>
    </row>
    <row r="7" spans="1:29">
      <c r="A7" s="106"/>
      <c r="B7" s="106"/>
      <c r="C7" s="106"/>
      <c r="D7" s="110" t="s">
        <v>755</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row>
    <row r="8" spans="1:29">
      <c r="A8" s="106"/>
      <c r="B8" s="106"/>
      <c r="C8" s="106"/>
      <c r="D8" s="111" t="s">
        <v>756</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row>
    <row r="9" spans="1:29" ht="13.5" thickBot="1">
      <c r="A9" s="106"/>
      <c r="B9" s="106"/>
      <c r="C9" s="106"/>
      <c r="D9" s="112">
        <v>40079</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row>
    <row r="10" spans="1:29" ht="13.5" thickBot="1">
      <c r="A10" s="106"/>
      <c r="B10" s="106"/>
      <c r="C10" s="106"/>
      <c r="D10" s="1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row>
    <row r="11" spans="1:29" ht="31.5">
      <c r="A11" s="106"/>
      <c r="B11" s="106"/>
      <c r="C11" s="106"/>
      <c r="D11" s="114" t="s">
        <v>757</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row>
    <row r="12" spans="1:29">
      <c r="A12" s="106"/>
      <c r="B12" s="106"/>
      <c r="C12" s="106"/>
      <c r="D12" s="115"/>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row>
    <row r="13" spans="1:29" ht="127.5">
      <c r="A13" s="106"/>
      <c r="B13" s="106"/>
      <c r="C13" s="106"/>
      <c r="D13" s="116" t="s">
        <v>758</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row>
    <row r="14" spans="1:29">
      <c r="A14" s="106"/>
      <c r="B14" s="106"/>
      <c r="C14" s="106"/>
      <c r="D14" s="115"/>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row>
    <row r="15" spans="1:29" ht="51">
      <c r="A15" s="106"/>
      <c r="B15" s="106"/>
      <c r="C15" s="106"/>
      <c r="D15" s="116" t="s">
        <v>759</v>
      </c>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row>
    <row r="16" spans="1:29">
      <c r="A16" s="106"/>
      <c r="B16" s="106"/>
      <c r="C16" s="106"/>
      <c r="D16" s="115"/>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row>
    <row r="17" spans="1:29" ht="63.75">
      <c r="A17" s="106"/>
      <c r="B17" s="106"/>
      <c r="C17" s="106"/>
      <c r="D17" s="116" t="s">
        <v>760</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row>
    <row r="18" spans="1:29" ht="13.5" customHeight="1">
      <c r="A18" s="106"/>
      <c r="B18" s="106"/>
      <c r="C18" s="106"/>
      <c r="D18" s="115"/>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row>
    <row r="19" spans="1:29">
      <c r="A19" s="106"/>
      <c r="B19" s="106"/>
      <c r="C19" s="106"/>
      <c r="D19" s="117" t="s">
        <v>761</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row>
    <row r="20" spans="1:29">
      <c r="A20" s="106"/>
      <c r="B20" s="106"/>
      <c r="C20" s="106"/>
      <c r="D20" s="116" t="s">
        <v>762</v>
      </c>
      <c r="E20" s="106"/>
      <c r="F20" s="106"/>
      <c r="G20" s="106"/>
      <c r="H20" s="106"/>
      <c r="I20" s="106"/>
      <c r="J20" s="106"/>
      <c r="K20" s="106"/>
      <c r="L20" s="106"/>
      <c r="M20" s="106"/>
      <c r="N20" s="106"/>
      <c r="O20" s="106"/>
      <c r="P20" s="106"/>
      <c r="Q20" s="106"/>
      <c r="R20" s="106"/>
      <c r="S20" s="106"/>
      <c r="T20" s="106"/>
      <c r="U20" s="106"/>
      <c r="V20" s="106"/>
      <c r="W20" s="106"/>
      <c r="X20" s="106"/>
      <c r="Y20" s="106"/>
      <c r="Z20" s="106"/>
      <c r="AA20" s="106"/>
      <c r="AB20" s="106"/>
      <c r="AC20" s="106"/>
    </row>
    <row r="21" spans="1:29" ht="13.5" thickBot="1">
      <c r="A21" s="106"/>
      <c r="B21" s="106"/>
      <c r="C21" s="106"/>
      <c r="D21" s="118" t="s">
        <v>763</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row>
    <row r="22" spans="1:29">
      <c r="A22" s="106"/>
      <c r="B22" s="106"/>
      <c r="C22" s="106"/>
      <c r="D22" s="119"/>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row>
    <row r="23" spans="1:29">
      <c r="A23" s="106"/>
      <c r="B23" s="106"/>
      <c r="C23" s="106"/>
      <c r="D23" s="120"/>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row>
    <row r="24" spans="1:29">
      <c r="A24" s="106"/>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row>
    <row r="25" spans="1:29">
      <c r="A25" s="106"/>
      <c r="B25" s="106"/>
      <c r="C25" s="106"/>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row>
    <row r="26" spans="1:29">
      <c r="A26" s="106"/>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row>
    <row r="27" spans="1:29">
      <c r="A27" s="106"/>
      <c r="B27" s="106"/>
      <c r="C27" s="106"/>
      <c r="D27" s="106"/>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row>
    <row r="28" spans="1:29">
      <c r="A28" s="106"/>
      <c r="B28" s="106"/>
      <c r="C28" s="106"/>
      <c r="D28" s="106"/>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row>
    <row r="29" spans="1:29">
      <c r="A29" s="106"/>
      <c r="B29" s="106"/>
      <c r="C29" s="106"/>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row>
    <row r="30" spans="1:29">
      <c r="A30" s="106"/>
      <c r="B30" s="106"/>
      <c r="C30" s="106"/>
      <c r="D30" s="106"/>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row>
    <row r="31" spans="1:29">
      <c r="A31" s="106"/>
      <c r="B31" s="106"/>
      <c r="C31" s="106"/>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row>
    <row r="32" spans="1:29">
      <c r="A32" s="106"/>
      <c r="B32" s="106"/>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row>
    <row r="33" spans="1:29">
      <c r="A33" s="106"/>
      <c r="B33" s="106"/>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row>
    <row r="34" spans="1:29">
      <c r="A34" s="106"/>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row>
    <row r="35" spans="1:29">
      <c r="A35" s="106"/>
      <c r="B35" s="106"/>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c r="A36" s="106"/>
      <c r="B36" s="106"/>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row>
    <row r="37" spans="1:29">
      <c r="A37" s="106"/>
      <c r="B37" s="106"/>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row>
    <row r="38" spans="1:29">
      <c r="A38" s="106"/>
      <c r="B38" s="106"/>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row>
    <row r="39" spans="1:29">
      <c r="A39" s="106"/>
      <c r="B39" s="106"/>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row>
    <row r="40" spans="1:29">
      <c r="A40" s="106"/>
      <c r="B40" s="106"/>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row>
    <row r="41" spans="1:29">
      <c r="A41" s="106"/>
      <c r="B41" s="106"/>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row>
    <row r="42" spans="1:29">
      <c r="A42" s="106"/>
      <c r="B42" s="106"/>
      <c r="C42" s="106"/>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row>
    <row r="43" spans="1:29">
      <c r="A43" s="106"/>
      <c r="B43" s="106"/>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row>
    <row r="44" spans="1:29">
      <c r="A44" s="106"/>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row>
    <row r="45" spans="1:29">
      <c r="A45" s="106"/>
      <c r="B45" s="106"/>
      <c r="C45" s="106"/>
      <c r="D45" s="106"/>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row>
    <row r="46" spans="1:29">
      <c r="A46" s="106"/>
      <c r="B46" s="106"/>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row>
    <row r="47" spans="1:29">
      <c r="A47" s="106"/>
      <c r="B47" s="106"/>
      <c r="C47" s="106"/>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row>
    <row r="48" spans="1:29">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row>
    <row r="49" spans="1:29">
      <c r="A49" s="106"/>
      <c r="B49" s="106"/>
      <c r="C49" s="106"/>
      <c r="D49" s="106"/>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row>
    <row r="50" spans="1:29">
      <c r="A50" s="106"/>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row>
    <row r="51" spans="1:29">
      <c r="A51" s="106"/>
      <c r="B51" s="106"/>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row>
    <row r="52" spans="1:29">
      <c r="A52" s="106"/>
      <c r="B52" s="106"/>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row>
    <row r="53" spans="1:29">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row>
    <row r="54" spans="1:29">
      <c r="A54" s="106"/>
      <c r="B54" s="106"/>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row>
    <row r="55" spans="1:29">
      <c r="A55" s="106"/>
      <c r="B55" s="106"/>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row>
    <row r="56" spans="1:29">
      <c r="A56" s="106"/>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row>
    <row r="57" spans="1:29">
      <c r="A57" s="106"/>
      <c r="B57" s="106"/>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row>
    <row r="58" spans="1:29">
      <c r="A58" s="106"/>
      <c r="B58" s="106"/>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row>
    <row r="59" spans="1:29">
      <c r="A59" s="106"/>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row>
    <row r="60" spans="1:29">
      <c r="A60" s="106"/>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row>
    <row r="61" spans="1:29">
      <c r="A61" s="106"/>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row>
    <row r="62" spans="1:29">
      <c r="A62" s="106"/>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row>
    <row r="63" spans="1:29">
      <c r="A63" s="106"/>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row>
    <row r="64" spans="1:29">
      <c r="A64" s="106"/>
      <c r="B64" s="106"/>
      <c r="C64" s="106"/>
      <c r="D64" s="106"/>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row>
    <row r="65" spans="1:29">
      <c r="A65" s="106"/>
      <c r="B65" s="106"/>
      <c r="C65" s="106"/>
      <c r="D65" s="106"/>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row>
    <row r="66" spans="1:29">
      <c r="A66" s="106"/>
      <c r="B66" s="106"/>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row>
    <row r="67" spans="1:29">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row>
    <row r="68" spans="1:29">
      <c r="A68" s="106"/>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row>
    <row r="69" spans="1:29">
      <c r="A69" s="106"/>
      <c r="B69" s="106"/>
      <c r="C69" s="106"/>
      <c r="D69" s="106"/>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row>
    <row r="70" spans="1:29">
      <c r="A70" s="106"/>
      <c r="B70" s="106"/>
      <c r="C70" s="106"/>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row>
    <row r="71" spans="1:29">
      <c r="A71" s="106"/>
      <c r="B71" s="106"/>
      <c r="C71" s="106"/>
      <c r="D71" s="106"/>
      <c r="E71" s="106"/>
      <c r="F71" s="106"/>
      <c r="G71" s="106"/>
      <c r="H71" s="106"/>
      <c r="I71" s="106"/>
      <c r="J71" s="106"/>
      <c r="K71" s="106"/>
      <c r="L71" s="106"/>
      <c r="M71" s="106"/>
      <c r="N71" s="106"/>
      <c r="O71" s="106"/>
      <c r="P71" s="106"/>
      <c r="Q71" s="106"/>
      <c r="R71" s="106"/>
      <c r="S71" s="106"/>
      <c r="T71" s="106"/>
      <c r="U71" s="106"/>
      <c r="V71" s="106"/>
      <c r="W71" s="106"/>
      <c r="X71" s="106"/>
      <c r="Y71" s="106"/>
      <c r="Z71" s="106"/>
      <c r="AA71" s="106"/>
      <c r="AB71" s="106"/>
      <c r="AC71" s="106"/>
    </row>
    <row r="72" spans="1:29">
      <c r="A72" s="106"/>
      <c r="B72" s="106"/>
      <c r="C72" s="106"/>
      <c r="D72" s="106"/>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row>
    <row r="73" spans="1:29">
      <c r="A73" s="106"/>
      <c r="B73" s="106"/>
      <c r="C73" s="106"/>
      <c r="D73" s="106"/>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row>
    <row r="74" spans="1:29">
      <c r="A74" s="106"/>
      <c r="B74" s="106"/>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row>
    <row r="75" spans="1:29">
      <c r="A75" s="106"/>
      <c r="B75" s="106"/>
      <c r="C75" s="106"/>
      <c r="D75" s="106"/>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row>
    <row r="76" spans="1:29">
      <c r="A76" s="106"/>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row>
    <row r="77" spans="1:29">
      <c r="A77" s="106"/>
      <c r="B77" s="106"/>
      <c r="C77" s="106"/>
      <c r="D77" s="106"/>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row>
    <row r="78" spans="1:29">
      <c r="A78" s="106"/>
      <c r="B78" s="106"/>
      <c r="C78" s="106"/>
      <c r="D78" s="106"/>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row>
    <row r="79" spans="1:29">
      <c r="A79" s="106"/>
      <c r="B79" s="106"/>
      <c r="C79" s="106"/>
      <c r="D79" s="106"/>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row>
    <row r="80" spans="1:29">
      <c r="A80" s="106"/>
      <c r="B80" s="106"/>
      <c r="C80" s="106"/>
      <c r="D80" s="106"/>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row>
    <row r="81" spans="1:29">
      <c r="A81" s="106"/>
      <c r="B81" s="106"/>
      <c r="C81" s="106"/>
      <c r="D81" s="106"/>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row>
    <row r="82" spans="1:29">
      <c r="A82" s="106"/>
      <c r="B82" s="106"/>
      <c r="C82" s="106"/>
      <c r="D82" s="106"/>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row>
    <row r="83" spans="1:29">
      <c r="A83" s="106"/>
      <c r="B83" s="106"/>
      <c r="C83" s="106"/>
      <c r="D83" s="106"/>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row>
    <row r="84" spans="1:29">
      <c r="A84" s="106"/>
      <c r="B84" s="106"/>
      <c r="C84" s="106"/>
      <c r="D84" s="106"/>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row>
    <row r="85" spans="1:29">
      <c r="A85" s="106"/>
      <c r="B85" s="106"/>
      <c r="C85" s="106"/>
      <c r="D85" s="106"/>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row>
    <row r="86" spans="1:29">
      <c r="A86" s="106"/>
      <c r="B86" s="106"/>
      <c r="C86" s="106"/>
      <c r="D86" s="106"/>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row>
    <row r="87" spans="1:29">
      <c r="A87" s="106"/>
      <c r="B87" s="106"/>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row>
    <row r="88" spans="1:29">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row>
    <row r="89" spans="1:29">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row>
    <row r="90" spans="1:29">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row>
    <row r="91" spans="1:29">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row>
    <row r="92" spans="1:29">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row>
    <row r="93" spans="1:29">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row>
    <row r="94" spans="1:29">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row>
    <row r="95" spans="1:29">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row>
    <row r="96" spans="1:29">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row>
    <row r="97" spans="1:29">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row>
    <row r="98" spans="1:29">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row>
    <row r="99" spans="1:29">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row>
    <row r="100" spans="1:29">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row>
    <row r="101" spans="1:29">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row>
    <row r="102" spans="1:29">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row>
    <row r="103" spans="1:29">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row>
    <row r="104" spans="1:29">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row>
    <row r="105" spans="1:29">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c r="AA105" s="106"/>
      <c r="AB105" s="106"/>
      <c r="AC105" s="106"/>
    </row>
    <row r="106" spans="1:29">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row>
    <row r="107" spans="1:29">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row>
    <row r="108" spans="1:29">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row>
    <row r="109" spans="1:29">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row>
    <row r="110" spans="1:29">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row>
    <row r="111" spans="1:29">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row>
    <row r="112" spans="1:29">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row>
    <row r="113" spans="1:29">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row>
    <row r="114" spans="1:29">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row>
    <row r="115" spans="1:29">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row>
    <row r="116" spans="1:29">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row>
    <row r="117" spans="1:29">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row>
    <row r="118" spans="1:29">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row>
    <row r="119" spans="1:29">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row>
    <row r="120" spans="1:29">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row>
    <row r="121" spans="1:29">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row>
    <row r="122" spans="1:29">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c r="AA122" s="106"/>
      <c r="AB122" s="106"/>
      <c r="AC122" s="106"/>
    </row>
    <row r="123" spans="1:29">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row>
    <row r="124" spans="1:29">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row>
    <row r="125" spans="1:29">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row>
    <row r="126" spans="1:29">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row>
    <row r="127" spans="1:29">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row>
    <row r="128" spans="1:29">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row>
    <row r="129" spans="1:29">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row>
    <row r="130" spans="1:29">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row>
    <row r="131" spans="1:29">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row>
    <row r="132" spans="1:29">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row>
    <row r="133" spans="1:29">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row>
    <row r="134" spans="1:29">
      <c r="A134" s="106"/>
      <c r="B134" s="106"/>
      <c r="C134" s="106"/>
      <c r="D134" s="106"/>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row>
    <row r="135" spans="1:29">
      <c r="A135" s="106"/>
      <c r="B135" s="106"/>
      <c r="C135" s="106"/>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row>
    <row r="136" spans="1:29">
      <c r="A136" s="106"/>
      <c r="B136" s="106"/>
      <c r="C136" s="106"/>
      <c r="D136" s="106"/>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row>
    <row r="137" spans="1:29">
      <c r="A137" s="106"/>
      <c r="B137" s="106"/>
      <c r="C137" s="106"/>
      <c r="D137" s="106"/>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row>
    <row r="138" spans="1:29">
      <c r="A138" s="106"/>
      <c r="B138" s="106"/>
      <c r="C138" s="106"/>
      <c r="D138" s="106"/>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row>
    <row r="139" spans="1:29">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row>
    <row r="140" spans="1:29">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row>
    <row r="141" spans="1:29">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row>
    <row r="142" spans="1:29">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row>
    <row r="143" spans="1:29">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row>
    <row r="144" spans="1:29">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row>
    <row r="145" spans="1:29">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row>
    <row r="146" spans="1:29">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row>
    <row r="147" spans="1:29">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row>
    <row r="148" spans="1:29">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row>
    <row r="149" spans="1:29">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row>
    <row r="150" spans="1:29">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row>
    <row r="151" spans="1:29">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row>
    <row r="152" spans="1:29">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row>
    <row r="153" spans="1:29">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row>
    <row r="154" spans="1:29">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row>
    <row r="155" spans="1:29">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row>
    <row r="156" spans="1:29">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row>
    <row r="157" spans="1:29">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row>
    <row r="158" spans="1:29">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row>
    <row r="159" spans="1:29">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row>
    <row r="160" spans="1:29">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row>
    <row r="161" spans="1:29">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row>
    <row r="162" spans="1:29">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row>
    <row r="163" spans="1:29">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row>
    <row r="164" spans="1:29">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row>
    <row r="165" spans="1:29">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row>
    <row r="166" spans="1:29">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row>
    <row r="167" spans="1:29">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row>
    <row r="168" spans="1:29">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row>
    <row r="169" spans="1:29">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row>
    <row r="170" spans="1:29">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row>
    <row r="171" spans="1:29">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row>
    <row r="172" spans="1:29">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row>
    <row r="173" spans="1:29">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row>
    <row r="174" spans="1:29">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row>
    <row r="175" spans="1:29">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row>
    <row r="176" spans="1:29">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row>
    <row r="177" spans="1:29">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row>
    <row r="178" spans="1:29">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row>
    <row r="179" spans="1:29">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row>
    <row r="180" spans="1:29">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row>
    <row r="181" spans="1:29">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row>
    <row r="182" spans="1:29">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row>
    <row r="183" spans="1:29">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row>
    <row r="184" spans="1:29">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row>
    <row r="185" spans="1:29">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row>
    <row r="186" spans="1:29">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row>
    <row r="187" spans="1:29">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row>
    <row r="188" spans="1:29">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row>
    <row r="189" spans="1:29">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row>
    <row r="190" spans="1:29">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c r="AA190" s="106"/>
      <c r="AB190" s="106"/>
      <c r="AC190" s="106"/>
    </row>
    <row r="191" spans="1:29">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row>
    <row r="192" spans="1:29">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row>
    <row r="193" spans="1:29">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row>
    <row r="194" spans="1:29">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row>
    <row r="195" spans="1:29">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row>
    <row r="196" spans="1:29">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row>
    <row r="197" spans="1:29">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row>
    <row r="198" spans="1:29">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row>
    <row r="199" spans="1:29">
      <c r="A199" s="106"/>
      <c r="B199" s="106"/>
      <c r="C199" s="106"/>
      <c r="D199" s="106"/>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row>
    <row r="200" spans="1:29">
      <c r="A200" s="106"/>
      <c r="B200" s="106"/>
      <c r="C200" s="106"/>
      <c r="D200" s="106"/>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row>
    <row r="201" spans="1:29">
      <c r="A201" s="106"/>
      <c r="B201" s="106"/>
      <c r="C201" s="106"/>
      <c r="D201" s="106"/>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row>
    <row r="202" spans="1:29">
      <c r="A202" s="106"/>
      <c r="B202" s="106"/>
      <c r="C202" s="106"/>
      <c r="D202" s="106"/>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row>
    <row r="203" spans="1:29">
      <c r="A203" s="106"/>
      <c r="B203" s="106"/>
      <c r="C203" s="106"/>
      <c r="D203" s="106"/>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row>
    <row r="204" spans="1:29">
      <c r="A204" s="106"/>
      <c r="B204" s="106"/>
      <c r="C204" s="106"/>
      <c r="D204" s="106"/>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row>
    <row r="205" spans="1:29">
      <c r="A205" s="106"/>
      <c r="B205" s="106"/>
      <c r="C205" s="106"/>
      <c r="D205" s="106"/>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row>
    <row r="206" spans="1:29">
      <c r="A206" s="106"/>
      <c r="B206" s="106"/>
      <c r="C206" s="106"/>
      <c r="D206" s="106"/>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row>
    <row r="207" spans="1:29">
      <c r="A207" s="106"/>
      <c r="B207" s="106"/>
      <c r="C207" s="106"/>
      <c r="D207" s="106"/>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6"/>
      <c r="AA207" s="106"/>
      <c r="AB207" s="106"/>
      <c r="AC207" s="106"/>
    </row>
    <row r="208" spans="1:29">
      <c r="A208" s="106"/>
      <c r="B208" s="106"/>
      <c r="C208" s="106"/>
      <c r="D208" s="106"/>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row>
    <row r="209" spans="1:29">
      <c r="A209" s="106"/>
      <c r="B209" s="106"/>
      <c r="C209" s="106"/>
      <c r="D209" s="106"/>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row>
    <row r="210" spans="1:29">
      <c r="A210" s="106"/>
      <c r="B210" s="106"/>
      <c r="C210" s="106"/>
      <c r="D210" s="106"/>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row>
    <row r="212" spans="1:29">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row>
    <row r="213" spans="1:29">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row>
    <row r="214" spans="1:29">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row>
    <row r="215" spans="1:29">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row>
    <row r="216" spans="1:29">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row>
    <row r="217" spans="1:29">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row>
    <row r="218" spans="1:29">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row>
    <row r="219" spans="1:29">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row>
    <row r="220" spans="1:29">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row>
    <row r="221" spans="1:29">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row>
    <row r="222" spans="1:29">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row>
    <row r="223" spans="1:29">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row>
    <row r="224" spans="1:29">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row>
    <row r="225" spans="1:29">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row>
    <row r="226" spans="1:29">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row>
    <row r="227" spans="1:29">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row>
    <row r="228" spans="1:29">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row>
    <row r="229" spans="1:29">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row>
    <row r="230" spans="1:29">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row>
    <row r="231" spans="1:29">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row>
    <row r="232" spans="1:29">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row>
    <row r="233" spans="1:29">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row>
    <row r="234" spans="1:29">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row>
    <row r="235" spans="1:29">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row>
    <row r="236" spans="1:29">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row>
    <row r="237" spans="1:29">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row>
    <row r="238" spans="1:29">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row>
    <row r="239" spans="1:29">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row>
    <row r="240" spans="1:29">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row>
    <row r="241" spans="1:29">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row>
    <row r="242" spans="1:29">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row>
    <row r="243" spans="1:29">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row>
    <row r="244" spans="1:29">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row>
    <row r="245" spans="1:29">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row>
    <row r="246" spans="1:29">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row>
    <row r="247" spans="1:29">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row>
    <row r="248" spans="1:29">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row>
    <row r="249" spans="1:29">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row>
    <row r="250" spans="1:29">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row>
    <row r="251" spans="1:29">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row>
    <row r="252" spans="1:29">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row>
    <row r="253" spans="1:29">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row>
    <row r="254" spans="1:29">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row>
    <row r="255" spans="1:29">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row>
    <row r="256" spans="1:29">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row>
    <row r="257" spans="1:29">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row>
    <row r="258" spans="1:29">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row>
    <row r="259" spans="1:29">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row>
    <row r="260" spans="1:29">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row>
    <row r="261" spans="1:29">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row>
    <row r="262" spans="1:29">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row>
    <row r="263" spans="1:29">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row>
    <row r="264" spans="1:29">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row>
    <row r="265" spans="1:29">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row>
    <row r="266" spans="1:29">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row>
    <row r="267" spans="1:29">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row>
    <row r="268" spans="1:29">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row>
    <row r="269" spans="1:29">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row>
    <row r="270" spans="1:29">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row>
    <row r="271" spans="1:29">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row>
    <row r="272" spans="1:29">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row>
    <row r="273" spans="1:29">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row>
    <row r="274" spans="1:29">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row>
    <row r="275" spans="1:29">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c r="AA275" s="106"/>
      <c r="AB275" s="106"/>
      <c r="AC275" s="106"/>
    </row>
    <row r="276" spans="1:29">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row>
    <row r="277" spans="1:29">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row>
    <row r="278" spans="1:29">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row>
    <row r="279" spans="1:29">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row>
    <row r="280" spans="1:29">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row>
    <row r="281" spans="1:29">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row>
    <row r="282" spans="1:29">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row>
    <row r="283" spans="1:29">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row>
    <row r="284" spans="1:29">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row>
    <row r="285" spans="1:29">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row>
    <row r="286" spans="1:29">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row>
    <row r="287" spans="1:29">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row>
    <row r="288" spans="1:29">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row>
    <row r="289" spans="1:29">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row>
    <row r="290" spans="1:29">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row>
    <row r="291" spans="1:29">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row>
    <row r="292" spans="1:29">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row>
    <row r="293" spans="1:29">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row>
    <row r="294" spans="1:29">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row>
    <row r="295" spans="1:29">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row>
    <row r="296" spans="1:29">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row>
    <row r="297" spans="1:29">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row>
    <row r="298" spans="1:29">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row>
    <row r="299" spans="1:29">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row>
    <row r="300" spans="1:29">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row>
    <row r="301" spans="1:29">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row>
    <row r="302" spans="1:29">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row>
    <row r="303" spans="1:29">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row>
    <row r="304" spans="1:29">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row>
    <row r="305" spans="1:29">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row>
    <row r="306" spans="1:29">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row>
    <row r="307" spans="1:29">
      <c r="A307" s="106"/>
      <c r="B307" s="106"/>
      <c r="C307" s="106"/>
      <c r="D307" s="106"/>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row>
    <row r="308" spans="1:29">
      <c r="A308" s="106"/>
      <c r="B308" s="106"/>
      <c r="C308" s="106"/>
      <c r="D308" s="106"/>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row>
    <row r="309" spans="1:29">
      <c r="A309" s="106"/>
      <c r="B309" s="106"/>
      <c r="C309" s="106"/>
      <c r="D309" s="106"/>
      <c r="E309" s="106"/>
      <c r="F309" s="106"/>
      <c r="G309" s="106"/>
      <c r="H309" s="106"/>
      <c r="I309" s="106"/>
      <c r="J309" s="106"/>
      <c r="K309" s="106"/>
      <c r="L309" s="106"/>
      <c r="M309" s="106"/>
      <c r="N309" s="106"/>
      <c r="O309" s="106"/>
      <c r="P309" s="106"/>
      <c r="Q309" s="106"/>
      <c r="R309" s="106"/>
      <c r="S309" s="106"/>
      <c r="T309" s="106"/>
      <c r="U309" s="106"/>
      <c r="V309" s="106"/>
      <c r="W309" s="106"/>
      <c r="X309" s="106"/>
      <c r="Y309" s="106"/>
      <c r="Z309" s="106"/>
      <c r="AA309" s="106"/>
      <c r="AB309" s="106"/>
      <c r="AC309" s="106"/>
    </row>
    <row r="310" spans="1:29">
      <c r="A310" s="106"/>
      <c r="B310" s="106"/>
      <c r="C310" s="106"/>
      <c r="D310" s="106"/>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row>
    <row r="311" spans="1:29">
      <c r="A311" s="106"/>
      <c r="B311" s="106"/>
      <c r="C311" s="106"/>
      <c r="D311" s="106"/>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row>
    <row r="312" spans="1:29">
      <c r="A312" s="106"/>
      <c r="B312" s="106"/>
      <c r="C312" s="106"/>
      <c r="D312" s="106"/>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row>
    <row r="313" spans="1:29">
      <c r="A313" s="106"/>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row>
    <row r="314" spans="1:29">
      <c r="A314" s="106"/>
      <c r="B314" s="106"/>
      <c r="C314" s="106"/>
      <c r="D314" s="106"/>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row>
    <row r="315" spans="1:29">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row>
    <row r="316" spans="1:29">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row>
    <row r="317" spans="1:29">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row>
    <row r="318" spans="1:29">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row>
    <row r="319" spans="1:29">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row>
    <row r="320" spans="1:29">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row>
    <row r="321" spans="1:29">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row>
    <row r="322" spans="1:29">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row>
    <row r="323" spans="1:29">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row>
    <row r="324" spans="1:29">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row>
    <row r="325" spans="1:29">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row>
    <row r="326" spans="1:29">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row>
    <row r="327" spans="1:29">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row>
    <row r="328" spans="1:29">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row>
    <row r="329" spans="1:29">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row>
    <row r="330" spans="1:29">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row>
    <row r="331" spans="1:29">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row>
    <row r="332" spans="1:29">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row>
    <row r="333" spans="1:29">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row>
    <row r="334" spans="1:29">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row>
    <row r="335" spans="1:29">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row>
    <row r="336" spans="1:29">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row>
    <row r="337" spans="1:29">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row>
    <row r="338" spans="1:29">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row>
    <row r="339" spans="1:29">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row>
    <row r="340" spans="1:29">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row>
    <row r="341" spans="1:29">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row>
    <row r="342" spans="1:29">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row>
    <row r="343" spans="1:29">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row>
    <row r="344" spans="1:29">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row>
    <row r="345" spans="1:29">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row>
    <row r="346" spans="1:29">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row>
    <row r="347" spans="1:29">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row>
    <row r="348" spans="1:29">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row>
    <row r="349" spans="1:29">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row>
    <row r="350" spans="1:29">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row>
    <row r="351" spans="1:29">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row>
    <row r="352" spans="1:29">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row>
    <row r="353" spans="1:29">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row>
    <row r="354" spans="1:29">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row>
    <row r="355" spans="1:29">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row>
    <row r="356" spans="1:29">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row>
    <row r="357" spans="1:29">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row>
    <row r="358" spans="1:29">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row>
    <row r="359" spans="1:29">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row>
    <row r="360" spans="1:29">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row>
    <row r="361" spans="1:29">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row>
    <row r="362" spans="1:29">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row>
    <row r="363" spans="1:29">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row>
    <row r="364" spans="1:29">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row>
    <row r="365" spans="1:29">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row>
    <row r="366" spans="1:29">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row>
    <row r="367" spans="1:29">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row>
    <row r="368" spans="1:29">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row>
    <row r="369" spans="1:29">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row>
    <row r="370" spans="1:29">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row>
    <row r="371" spans="1:29">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row>
    <row r="372" spans="1:29">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row>
    <row r="373" spans="1:29">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row>
    <row r="374" spans="1:29">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row>
    <row r="375" spans="1:29">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row>
    <row r="376" spans="1:29">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row>
    <row r="377" spans="1:29">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row>
    <row r="378" spans="1:29">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row>
    <row r="379" spans="1:29">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row>
    <row r="380" spans="1:29">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row>
    <row r="381" spans="1:29">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row>
    <row r="382" spans="1:29">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row>
    <row r="383" spans="1:29">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row>
    <row r="384" spans="1:29">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row>
    <row r="385" spans="1:29">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row>
    <row r="386" spans="1:29">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row>
    <row r="387" spans="1:29">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row>
    <row r="388" spans="1:29">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row>
    <row r="389" spans="1:29">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row>
    <row r="390" spans="1:29">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row>
    <row r="391" spans="1:29">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row>
    <row r="392" spans="1:29">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row>
    <row r="393" spans="1:29">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row>
    <row r="394" spans="1:29">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row>
    <row r="395" spans="1:29">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row>
    <row r="396" spans="1:29">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row>
    <row r="397" spans="1:29">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row>
    <row r="398" spans="1:29">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row>
    <row r="399" spans="1:29">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row>
    <row r="400" spans="1:29">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row>
    <row r="401" spans="1:29">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row>
    <row r="402" spans="1:29">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row>
    <row r="403" spans="1:29">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row>
    <row r="404" spans="1:29">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row>
    <row r="405" spans="1:29">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row>
    <row r="406" spans="1:29">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row>
    <row r="407" spans="1:29">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row>
    <row r="408" spans="1:29">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row>
    <row r="409" spans="1:29">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row>
    <row r="410" spans="1:29">
      <c r="A410" s="106"/>
      <c r="B410" s="106"/>
      <c r="C410" s="106"/>
      <c r="D410" s="106"/>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row>
    <row r="411" spans="1:29">
      <c r="A411" s="106"/>
      <c r="B411" s="106"/>
      <c r="C411" s="106"/>
      <c r="D411" s="106"/>
      <c r="E411" s="106"/>
      <c r="F411" s="106"/>
      <c r="G411" s="106"/>
      <c r="H411" s="106"/>
      <c r="I411" s="106"/>
      <c r="J411" s="106"/>
      <c r="K411" s="106"/>
      <c r="L411" s="106"/>
      <c r="M411" s="106"/>
      <c r="N411" s="106"/>
      <c r="O411" s="106"/>
      <c r="P411" s="106"/>
      <c r="Q411" s="106"/>
      <c r="R411" s="106"/>
      <c r="S411" s="106"/>
      <c r="T411" s="106"/>
      <c r="U411" s="106"/>
      <c r="V411" s="106"/>
      <c r="W411" s="106"/>
      <c r="X411" s="106"/>
      <c r="Y411" s="106"/>
      <c r="Z411" s="106"/>
      <c r="AA411" s="106"/>
      <c r="AB411" s="106"/>
      <c r="AC411" s="106"/>
    </row>
    <row r="412" spans="1:29">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row>
    <row r="413" spans="1:29">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row>
    <row r="414" spans="1:29">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row>
    <row r="415" spans="1:29">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row>
    <row r="416" spans="1:29">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row>
    <row r="417" spans="1:29">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row>
    <row r="418" spans="1:29">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row>
    <row r="419" spans="1:29">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row>
    <row r="420" spans="1:29">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row>
    <row r="421" spans="1:29">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row>
    <row r="422" spans="1:29">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row>
    <row r="423" spans="1:29">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row>
    <row r="424" spans="1:29">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row>
    <row r="425" spans="1:29">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row>
    <row r="426" spans="1:29">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row>
    <row r="427" spans="1:29">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row>
    <row r="428" spans="1:29">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row>
    <row r="429" spans="1:29">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row>
    <row r="430" spans="1:29">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row>
    <row r="431" spans="1:29">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row>
    <row r="432" spans="1:29">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row>
    <row r="433" spans="1:29">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row>
    <row r="434" spans="1:29">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row>
    <row r="435" spans="1:29">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row>
    <row r="436" spans="1:29">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row>
    <row r="437" spans="1:29">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row>
    <row r="438" spans="1:29">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row>
    <row r="439" spans="1:29">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row>
    <row r="440" spans="1:29">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row>
    <row r="441" spans="1:29">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row>
    <row r="442" spans="1:29">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row>
    <row r="443" spans="1:29">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row>
    <row r="444" spans="1:29">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row>
    <row r="445" spans="1:29">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row>
    <row r="446" spans="1:29">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row>
    <row r="447" spans="1:29">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row>
    <row r="448" spans="1:29">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row>
    <row r="449" spans="1:29">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row>
    <row r="450" spans="1:29">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row>
    <row r="451" spans="1:29">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row>
    <row r="452" spans="1:29">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row>
    <row r="453" spans="1:29">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row>
    <row r="454" spans="1:29">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row>
    <row r="455" spans="1:29">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row>
    <row r="456" spans="1:29">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row>
    <row r="457" spans="1:29">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row>
    <row r="458" spans="1:29">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row>
    <row r="459" spans="1:29">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row>
    <row r="460" spans="1:29">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row>
    <row r="461" spans="1:29">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row>
    <row r="462" spans="1:29">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row>
    <row r="463" spans="1:29">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row>
    <row r="464" spans="1:29">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row>
    <row r="465" spans="1:29">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row>
    <row r="466" spans="1:29">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row>
    <row r="467" spans="1:29">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row>
    <row r="468" spans="1:29">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row>
    <row r="469" spans="1:29">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row>
    <row r="470" spans="1:29">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row>
    <row r="471" spans="1:29">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row>
    <row r="472" spans="1:29">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row>
    <row r="473" spans="1:29">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row>
    <row r="474" spans="1:29">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row>
    <row r="475" spans="1:29">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row>
    <row r="476" spans="1:29">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row>
    <row r="477" spans="1:29">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row>
    <row r="478" spans="1:29">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row>
    <row r="479" spans="1:29">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row>
    <row r="480" spans="1:29">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row>
    <row r="481" spans="1:29">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row>
    <row r="482" spans="1:29">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row>
    <row r="483" spans="1:29">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row>
    <row r="484" spans="1:29">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row>
    <row r="485" spans="1:29">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row>
    <row r="486" spans="1:29">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row>
    <row r="487" spans="1:29">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row>
    <row r="488" spans="1:29">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row>
    <row r="489" spans="1:29">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row>
    <row r="490" spans="1:29">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row>
    <row r="491" spans="1:29">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row>
    <row r="492" spans="1:29">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row>
    <row r="493" spans="1:29">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row>
    <row r="494" spans="1:29">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row>
    <row r="495" spans="1:29">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row>
    <row r="496" spans="1:29">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row>
    <row r="497" spans="1:29">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row>
    <row r="498" spans="1:29">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row>
    <row r="499" spans="1:29">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row>
    <row r="500" spans="1:29">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row>
    <row r="501" spans="1:29">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row>
    <row r="502" spans="1:29">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row>
    <row r="503" spans="1:29">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row>
    <row r="504" spans="1:29">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row>
    <row r="505" spans="1:29">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row>
    <row r="506" spans="1:29">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row>
    <row r="507" spans="1:29">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row>
    <row r="508" spans="1:29">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row>
    <row r="509" spans="1:29">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row>
    <row r="510" spans="1:29">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row>
    <row r="511" spans="1:29">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row>
    <row r="512" spans="1:29">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row>
    <row r="513" spans="1:29">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row>
    <row r="514" spans="1:29">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row>
    <row r="515" spans="1:29">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row>
    <row r="516" spans="1:29">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row>
    <row r="517" spans="1:29">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row>
    <row r="518" spans="1:29">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row>
    <row r="519" spans="1:29">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row>
    <row r="520" spans="1:29">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row>
    <row r="521" spans="1:29">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row>
    <row r="522" spans="1:29">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row>
    <row r="523" spans="1:29">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row>
    <row r="524" spans="1:29">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row>
    <row r="525" spans="1:29">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row>
    <row r="526" spans="1:29">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row>
    <row r="527" spans="1:29">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row>
    <row r="528" spans="1:29">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row>
    <row r="529" spans="1:29">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row>
    <row r="530" spans="1:29">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row>
    <row r="531" spans="1:29">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row>
    <row r="532" spans="1:29">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row>
    <row r="533" spans="1:29">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row>
    <row r="534" spans="1:29">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row>
    <row r="535" spans="1:29">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row>
    <row r="536" spans="1:29">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row>
    <row r="537" spans="1:29">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row>
    <row r="538" spans="1:29">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row>
    <row r="539" spans="1:29">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row>
    <row r="540" spans="1:29">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row>
    <row r="541" spans="1:29">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row>
    <row r="542" spans="1:29">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row>
    <row r="543" spans="1:29">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row>
    <row r="544" spans="1:29">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row>
    <row r="545" spans="1:29">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row>
    <row r="546" spans="1:29">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row>
    <row r="547" spans="1:29">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c r="AA547" s="106"/>
      <c r="AB547" s="106"/>
      <c r="AC547" s="106"/>
    </row>
    <row r="548" spans="1:29">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row>
    <row r="549" spans="1:29">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row>
    <row r="550" spans="1:29">
      <c r="A550" s="106"/>
      <c r="B550" s="106"/>
      <c r="C550" s="106"/>
      <c r="D550" s="106"/>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row>
    <row r="551" spans="1:29">
      <c r="A551" s="106"/>
      <c r="B551" s="106"/>
      <c r="C551" s="106"/>
      <c r="D551" s="106"/>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row>
    <row r="552" spans="1:29">
      <c r="A552" s="106"/>
      <c r="B552" s="106"/>
      <c r="C552" s="106"/>
      <c r="D552" s="106"/>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row>
    <row r="553" spans="1:29">
      <c r="A553" s="106"/>
      <c r="B553" s="106"/>
      <c r="C553" s="106"/>
      <c r="D553" s="106"/>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row>
    <row r="554" spans="1:29">
      <c r="A554" s="106"/>
      <c r="B554" s="106"/>
      <c r="C554" s="106"/>
      <c r="D554" s="106"/>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row>
    <row r="555" spans="1:29">
      <c r="A555" s="106"/>
      <c r="B555" s="106"/>
      <c r="C555" s="106"/>
      <c r="D555" s="106"/>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row>
    <row r="556" spans="1:29">
      <c r="A556" s="106"/>
      <c r="B556" s="106"/>
      <c r="C556" s="106"/>
      <c r="D556" s="106"/>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row>
    <row r="557" spans="1:29">
      <c r="A557" s="106"/>
      <c r="B557" s="106"/>
      <c r="C557" s="106"/>
      <c r="D557" s="106"/>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row>
    <row r="558" spans="1:29">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row>
    <row r="559" spans="1:29">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row>
    <row r="560" spans="1:29">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row>
    <row r="561" spans="1:29">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row>
    <row r="562" spans="1:29">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row>
    <row r="563" spans="1:29">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row>
    <row r="564" spans="1:29">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row>
    <row r="565" spans="1:29">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row>
    <row r="566" spans="1:29">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row>
    <row r="567" spans="1:29">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row>
    <row r="568" spans="1:29">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row>
    <row r="569" spans="1:29">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row>
    <row r="570" spans="1:29">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row>
    <row r="571" spans="1:29">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row>
    <row r="572" spans="1:29">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row>
    <row r="573" spans="1:29">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row>
    <row r="574" spans="1:29">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row>
    <row r="575" spans="1:29">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row>
    <row r="576" spans="1:29">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row>
    <row r="577" spans="1:29">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row>
    <row r="578" spans="1:29">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row>
    <row r="579" spans="1:29">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row>
    <row r="580" spans="1:29">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row>
    <row r="581" spans="1:29">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row>
    <row r="582" spans="1:29">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row>
    <row r="583" spans="1:29">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row>
    <row r="584" spans="1:29">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row>
    <row r="585" spans="1:29">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row>
    <row r="586" spans="1:29">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row>
    <row r="587" spans="1:29">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row>
    <row r="588" spans="1:29">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row>
    <row r="589" spans="1:29">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row>
    <row r="590" spans="1:29">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row>
    <row r="591" spans="1:29">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row>
    <row r="592" spans="1:29">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row>
    <row r="593" spans="1:29">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row>
    <row r="594" spans="1:29">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row>
    <row r="595" spans="1:29">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row>
    <row r="596" spans="1:29">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row>
    <row r="597" spans="1:29">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row>
    <row r="598" spans="1:29">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row>
    <row r="599" spans="1:29">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row>
    <row r="600" spans="1:29">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row>
    <row r="601" spans="1:29">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row>
    <row r="602" spans="1:29">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row>
    <row r="603" spans="1:29">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row>
    <row r="604" spans="1:29">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row>
    <row r="605" spans="1:29">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row>
    <row r="606" spans="1:29">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row>
    <row r="607" spans="1:29">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row>
    <row r="608" spans="1:29">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row>
    <row r="609" spans="1:29">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row>
    <row r="610" spans="1:29">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row>
    <row r="611" spans="1:29">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row>
    <row r="612" spans="1:29">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row>
    <row r="613" spans="1:29">
      <c r="A613" s="106"/>
      <c r="B613" s="106"/>
      <c r="C613" s="106"/>
      <c r="D613" s="106"/>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row>
    <row r="614" spans="1:29">
      <c r="A614" s="106"/>
      <c r="B614" s="106"/>
      <c r="C614" s="106"/>
      <c r="D614" s="106"/>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row>
    <row r="615" spans="1:29">
      <c r="A615" s="106"/>
      <c r="B615" s="106"/>
      <c r="C615" s="106"/>
      <c r="D615" s="106"/>
      <c r="E615" s="106"/>
      <c r="F615" s="106"/>
      <c r="G615" s="106"/>
      <c r="H615" s="106"/>
      <c r="I615" s="106"/>
      <c r="J615" s="106"/>
      <c r="K615" s="106"/>
      <c r="L615" s="106"/>
      <c r="M615" s="106"/>
      <c r="N615" s="106"/>
      <c r="O615" s="106"/>
      <c r="P615" s="106"/>
      <c r="Q615" s="106"/>
      <c r="R615" s="106"/>
      <c r="S615" s="106"/>
      <c r="T615" s="106"/>
      <c r="U615" s="106"/>
      <c r="V615" s="106"/>
      <c r="W615" s="106"/>
      <c r="X615" s="106"/>
      <c r="Y615" s="106"/>
      <c r="Z615" s="106"/>
      <c r="AA615" s="106"/>
      <c r="AB615" s="106"/>
      <c r="AC615" s="106"/>
    </row>
    <row r="616" spans="1:29">
      <c r="A616" s="106"/>
      <c r="B616" s="106"/>
      <c r="C616" s="106"/>
      <c r="D616" s="106"/>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row>
    <row r="617" spans="1:29">
      <c r="A617" s="106"/>
      <c r="B617" s="106"/>
      <c r="C617" s="106"/>
      <c r="D617" s="106"/>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row>
    <row r="618" spans="1:29">
      <c r="A618" s="106"/>
      <c r="B618" s="106"/>
      <c r="C618" s="106"/>
      <c r="D618" s="106"/>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row>
    <row r="619" spans="1:29">
      <c r="A619" s="106"/>
      <c r="B619" s="106"/>
      <c r="C619" s="106"/>
      <c r="D619" s="106"/>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row>
    <row r="620" spans="1:29">
      <c r="A620" s="106"/>
      <c r="B620" s="106"/>
      <c r="C620" s="106"/>
      <c r="D620" s="106"/>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row>
    <row r="621" spans="1:29">
      <c r="A621" s="106"/>
      <c r="B621" s="106"/>
      <c r="C621" s="106"/>
      <c r="D621" s="106"/>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row>
    <row r="622" spans="1:29">
      <c r="A622" s="106"/>
      <c r="B622" s="106"/>
      <c r="C622" s="106"/>
      <c r="D622" s="106"/>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row>
    <row r="623" spans="1:29">
      <c r="A623" s="106"/>
      <c r="B623" s="106"/>
      <c r="C623" s="106"/>
      <c r="D623" s="106"/>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row>
    <row r="624" spans="1:29">
      <c r="A624" s="106"/>
      <c r="B624" s="106"/>
      <c r="C624" s="106"/>
      <c r="D624" s="106"/>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row>
    <row r="625" spans="1:29">
      <c r="A625" s="106"/>
      <c r="B625" s="106"/>
      <c r="C625" s="106"/>
      <c r="D625" s="106"/>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row>
    <row r="626" spans="1:29">
      <c r="A626" s="106"/>
      <c r="B626" s="106"/>
      <c r="C626" s="106"/>
      <c r="D626" s="106"/>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row>
    <row r="627" spans="1:29">
      <c r="A627" s="106"/>
      <c r="B627" s="106"/>
      <c r="C627" s="106"/>
      <c r="D627" s="106"/>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row>
    <row r="628" spans="1:29">
      <c r="A628" s="106"/>
      <c r="B628" s="106"/>
      <c r="C628" s="106"/>
      <c r="D628" s="106"/>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row>
    <row r="629" spans="1:29">
      <c r="A629" s="106"/>
      <c r="B629" s="106"/>
      <c r="C629" s="106"/>
      <c r="D629" s="106"/>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row>
    <row r="630" spans="1:29">
      <c r="A630" s="106"/>
      <c r="B630" s="106"/>
      <c r="C630" s="106"/>
      <c r="D630" s="106"/>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row>
    <row r="631" spans="1:29">
      <c r="A631" s="106"/>
      <c r="B631" s="106"/>
      <c r="C631" s="106"/>
      <c r="D631" s="106"/>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row>
    <row r="632" spans="1:29">
      <c r="A632" s="106"/>
      <c r="B632" s="106"/>
      <c r="C632" s="106"/>
      <c r="D632" s="106"/>
      <c r="E632" s="106"/>
      <c r="F632" s="106"/>
      <c r="G632" s="106"/>
      <c r="H632" s="106"/>
      <c r="I632" s="106"/>
      <c r="J632" s="106"/>
      <c r="K632" s="106"/>
      <c r="L632" s="106"/>
      <c r="M632" s="106"/>
      <c r="N632" s="106"/>
      <c r="O632" s="106"/>
      <c r="P632" s="106"/>
      <c r="Q632" s="106"/>
      <c r="R632" s="106"/>
      <c r="S632" s="106"/>
      <c r="T632" s="106"/>
      <c r="U632" s="106"/>
      <c r="V632" s="106"/>
      <c r="W632" s="106"/>
      <c r="X632" s="106"/>
      <c r="Y632" s="106"/>
      <c r="Z632" s="106"/>
      <c r="AA632" s="106"/>
      <c r="AB632" s="106"/>
      <c r="AC632" s="106"/>
    </row>
    <row r="633" spans="1:29">
      <c r="A633" s="106"/>
      <c r="B633" s="106"/>
      <c r="C633" s="106"/>
      <c r="D633" s="106"/>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row>
    <row r="634" spans="1:29">
      <c r="A634" s="106"/>
      <c r="B634" s="106"/>
      <c r="C634" s="106"/>
      <c r="D634" s="106"/>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row>
    <row r="635" spans="1:29">
      <c r="A635" s="106"/>
      <c r="B635" s="106"/>
      <c r="C635" s="106"/>
      <c r="D635" s="106"/>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row>
    <row r="636" spans="1:29">
      <c r="A636" s="106"/>
      <c r="B636" s="106"/>
      <c r="C636" s="106"/>
      <c r="D636" s="106"/>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row>
    <row r="637" spans="1:29">
      <c r="A637" s="106"/>
      <c r="B637" s="106"/>
      <c r="C637" s="106"/>
      <c r="D637" s="106"/>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row>
    <row r="638" spans="1:29">
      <c r="A638" s="106"/>
      <c r="B638" s="106"/>
      <c r="C638" s="106"/>
      <c r="D638" s="106"/>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row>
    <row r="639" spans="1:29">
      <c r="A639" s="106"/>
      <c r="B639" s="106"/>
      <c r="C639" s="106"/>
      <c r="D639" s="106"/>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row>
    <row r="640" spans="1:29">
      <c r="A640" s="106"/>
      <c r="B640" s="106"/>
      <c r="C640" s="106"/>
      <c r="D640" s="106"/>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row>
    <row r="641" spans="1:29">
      <c r="A641" s="106"/>
      <c r="B641" s="106"/>
      <c r="C641" s="106"/>
      <c r="D641" s="106"/>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row>
    <row r="642" spans="1:29">
      <c r="A642" s="106"/>
      <c r="B642" s="106"/>
      <c r="C642" s="106"/>
      <c r="D642" s="106"/>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row>
    <row r="643" spans="1:29">
      <c r="A643" s="106"/>
      <c r="B643" s="106"/>
      <c r="C643" s="106"/>
      <c r="D643" s="106"/>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row>
    <row r="644" spans="1:29">
      <c r="A644" s="106"/>
      <c r="B644" s="106"/>
      <c r="C644" s="106"/>
      <c r="D644" s="106"/>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row>
    <row r="645" spans="1:29">
      <c r="A645" s="106"/>
      <c r="B645" s="106"/>
      <c r="C645" s="106"/>
      <c r="D645" s="106"/>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row>
    <row r="646" spans="1:29">
      <c r="A646" s="106"/>
      <c r="B646" s="106"/>
      <c r="C646" s="106"/>
      <c r="D646" s="106"/>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row>
    <row r="647" spans="1:29">
      <c r="A647" s="106"/>
      <c r="B647" s="106"/>
      <c r="C647" s="106"/>
      <c r="D647" s="106"/>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row>
    <row r="648" spans="1:29">
      <c r="A648" s="106"/>
      <c r="B648" s="106"/>
      <c r="C648" s="106"/>
      <c r="D648" s="106"/>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row>
    <row r="649" spans="1:29">
      <c r="A649" s="106"/>
      <c r="B649" s="106"/>
      <c r="C649" s="106"/>
      <c r="D649" s="106"/>
      <c r="E649" s="106"/>
      <c r="F649" s="106"/>
      <c r="G649" s="106"/>
      <c r="H649" s="106"/>
      <c r="I649" s="106"/>
      <c r="J649" s="106"/>
      <c r="K649" s="106"/>
      <c r="L649" s="106"/>
      <c r="M649" s="106"/>
      <c r="N649" s="106"/>
      <c r="O649" s="106"/>
      <c r="P649" s="106"/>
      <c r="Q649" s="106"/>
      <c r="R649" s="106"/>
      <c r="S649" s="106"/>
      <c r="T649" s="106"/>
      <c r="U649" s="106"/>
      <c r="V649" s="106"/>
      <c r="W649" s="106"/>
      <c r="X649" s="106"/>
      <c r="Y649" s="106"/>
      <c r="Z649" s="106"/>
      <c r="AA649" s="106"/>
      <c r="AB649" s="106"/>
      <c r="AC649" s="106"/>
    </row>
    <row r="650" spans="1:29">
      <c r="A650" s="106"/>
      <c r="B650" s="106"/>
      <c r="C650" s="106"/>
      <c r="D650" s="106"/>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row>
    <row r="651" spans="1:29">
      <c r="A651" s="106"/>
      <c r="B651" s="106"/>
      <c r="C651" s="106"/>
      <c r="D651" s="106"/>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row>
    <row r="652" spans="1:29">
      <c r="A652" s="106"/>
      <c r="B652" s="106"/>
      <c r="C652" s="106"/>
      <c r="D652" s="106"/>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row>
    <row r="653" spans="1:29">
      <c r="A653" s="106"/>
      <c r="B653" s="106"/>
      <c r="C653" s="106"/>
      <c r="D653" s="106"/>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row>
    <row r="654" spans="1:29">
      <c r="A654" s="106"/>
      <c r="B654" s="106"/>
      <c r="C654" s="106"/>
      <c r="D654" s="106"/>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row>
    <row r="655" spans="1:29">
      <c r="A655" s="106"/>
      <c r="B655" s="106"/>
      <c r="C655" s="106"/>
      <c r="D655" s="106"/>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row>
    <row r="656" spans="1:29">
      <c r="A656" s="106"/>
      <c r="B656" s="106"/>
      <c r="C656" s="106"/>
      <c r="D656" s="106"/>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row>
    <row r="657" spans="1:29">
      <c r="A657" s="106"/>
      <c r="B657" s="106"/>
      <c r="C657" s="106"/>
      <c r="D657" s="106"/>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row>
    <row r="658" spans="1:29">
      <c r="A658" s="106"/>
      <c r="B658" s="106"/>
      <c r="C658" s="106"/>
      <c r="D658" s="106"/>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row>
    <row r="659" spans="1:29">
      <c r="A659" s="106"/>
      <c r="B659" s="106"/>
      <c r="C659" s="106"/>
      <c r="D659" s="106"/>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row>
    <row r="660" spans="1:29">
      <c r="A660" s="106"/>
      <c r="B660" s="106"/>
      <c r="C660" s="106"/>
      <c r="D660" s="106"/>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row>
    <row r="661" spans="1:29">
      <c r="A661" s="106"/>
      <c r="B661" s="106"/>
      <c r="C661" s="106"/>
      <c r="D661" s="106"/>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row>
    <row r="662" spans="1:29">
      <c r="A662" s="106"/>
      <c r="B662" s="106"/>
      <c r="C662" s="106"/>
      <c r="D662" s="106"/>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row>
    <row r="663" spans="1:29">
      <c r="A663" s="106"/>
      <c r="B663" s="106"/>
      <c r="C663" s="106"/>
      <c r="D663" s="106"/>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row>
    <row r="664" spans="1:29">
      <c r="A664" s="106"/>
      <c r="B664" s="106"/>
      <c r="C664" s="106"/>
      <c r="D664" s="106"/>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row>
    <row r="665" spans="1:29">
      <c r="A665" s="106"/>
      <c r="B665" s="106"/>
      <c r="C665" s="106"/>
      <c r="D665" s="106"/>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row>
    <row r="666" spans="1:29">
      <c r="A666" s="106"/>
      <c r="B666" s="106"/>
      <c r="C666" s="106"/>
      <c r="D666" s="106"/>
      <c r="E666" s="106"/>
      <c r="F666" s="106"/>
      <c r="G666" s="106"/>
      <c r="H666" s="106"/>
      <c r="I666" s="106"/>
      <c r="J666" s="106"/>
      <c r="K666" s="106"/>
      <c r="L666" s="106"/>
      <c r="M666" s="106"/>
      <c r="N666" s="106"/>
      <c r="O666" s="106"/>
      <c r="P666" s="106"/>
      <c r="Q666" s="106"/>
      <c r="R666" s="106"/>
      <c r="S666" s="106"/>
      <c r="T666" s="106"/>
      <c r="U666" s="106"/>
      <c r="V666" s="106"/>
      <c r="W666" s="106"/>
      <c r="X666" s="106"/>
      <c r="Y666" s="106"/>
      <c r="Z666" s="106"/>
      <c r="AA666" s="106"/>
      <c r="AB666" s="106"/>
      <c r="AC666" s="106"/>
    </row>
    <row r="667" spans="1:29">
      <c r="A667" s="106"/>
      <c r="B667" s="106"/>
      <c r="C667" s="106"/>
      <c r="D667" s="106"/>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row>
    <row r="668" spans="1:29">
      <c r="A668" s="106"/>
      <c r="B668" s="106"/>
      <c r="C668" s="106"/>
      <c r="D668" s="106"/>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row>
    <row r="669" spans="1:29">
      <c r="A669" s="106"/>
      <c r="B669" s="106"/>
      <c r="C669" s="106"/>
      <c r="D669" s="106"/>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row>
    <row r="670" spans="1:29">
      <c r="A670" s="106"/>
      <c r="B670" s="106"/>
      <c r="C670" s="106"/>
      <c r="D670" s="106"/>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row>
    <row r="671" spans="1:29">
      <c r="A671" s="106"/>
      <c r="B671" s="106"/>
      <c r="C671" s="106"/>
      <c r="D671" s="106"/>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row>
    <row r="672" spans="1:29">
      <c r="A672" s="106"/>
      <c r="B672" s="106"/>
      <c r="C672" s="106"/>
      <c r="D672" s="106"/>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row>
    <row r="673" spans="1:29">
      <c r="A673" s="106"/>
      <c r="B673" s="106"/>
      <c r="C673" s="106"/>
      <c r="D673" s="106"/>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row>
    <row r="674" spans="1:29">
      <c r="A674" s="106"/>
      <c r="B674" s="106"/>
      <c r="C674" s="106"/>
      <c r="D674" s="106"/>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row>
    <row r="675" spans="1:29">
      <c r="A675" s="106"/>
      <c r="B675" s="106"/>
      <c r="C675" s="106"/>
      <c r="D675" s="106"/>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row>
    <row r="676" spans="1:29">
      <c r="A676" s="106"/>
      <c r="B676" s="106"/>
      <c r="C676" s="106"/>
      <c r="D676" s="106"/>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row>
    <row r="677" spans="1:29">
      <c r="A677" s="106"/>
      <c r="B677" s="106"/>
      <c r="C677" s="106"/>
      <c r="D677" s="106"/>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row>
    <row r="678" spans="1:29">
      <c r="A678" s="106"/>
      <c r="B678" s="106"/>
      <c r="C678" s="106"/>
      <c r="D678" s="106"/>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row>
    <row r="679" spans="1:29">
      <c r="A679" s="106"/>
      <c r="B679" s="106"/>
      <c r="C679" s="106"/>
      <c r="D679" s="106"/>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row>
    <row r="680" spans="1:29">
      <c r="A680" s="106"/>
      <c r="B680" s="106"/>
      <c r="C680" s="106"/>
      <c r="D680" s="106"/>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row>
    <row r="681" spans="1:29">
      <c r="A681" s="106"/>
      <c r="B681" s="106"/>
      <c r="C681" s="106"/>
      <c r="D681" s="106"/>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row>
    <row r="682" spans="1:29">
      <c r="A682" s="106"/>
      <c r="B682" s="106"/>
      <c r="C682" s="106"/>
      <c r="D682" s="106"/>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row>
    <row r="683" spans="1:29">
      <c r="A683" s="106"/>
      <c r="B683" s="106"/>
      <c r="C683" s="106"/>
      <c r="D683" s="106"/>
      <c r="E683" s="106"/>
      <c r="F683" s="106"/>
      <c r="G683" s="106"/>
      <c r="H683" s="106"/>
      <c r="I683" s="106"/>
      <c r="J683" s="106"/>
      <c r="K683" s="106"/>
      <c r="L683" s="106"/>
      <c r="M683" s="106"/>
      <c r="N683" s="106"/>
      <c r="O683" s="106"/>
      <c r="P683" s="106"/>
      <c r="Q683" s="106"/>
      <c r="R683" s="106"/>
      <c r="S683" s="106"/>
      <c r="T683" s="106"/>
      <c r="U683" s="106"/>
      <c r="V683" s="106"/>
      <c r="W683" s="106"/>
      <c r="X683" s="106"/>
      <c r="Y683" s="106"/>
      <c r="Z683" s="106"/>
      <c r="AA683" s="106"/>
      <c r="AB683" s="106"/>
      <c r="AC683" s="106"/>
    </row>
    <row r="684" spans="1:29">
      <c r="A684" s="106"/>
      <c r="B684" s="106"/>
      <c r="C684" s="106"/>
      <c r="D684" s="106"/>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row>
    <row r="685" spans="1:29">
      <c r="A685" s="106"/>
      <c r="B685" s="106"/>
      <c r="C685" s="106"/>
      <c r="D685" s="106"/>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row>
    <row r="686" spans="1:29">
      <c r="A686" s="106"/>
      <c r="B686" s="106"/>
      <c r="C686" s="106"/>
      <c r="D686" s="106"/>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row>
    <row r="687" spans="1:29">
      <c r="A687" s="106"/>
      <c r="B687" s="106"/>
      <c r="C687" s="106"/>
      <c r="D687" s="106"/>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row>
    <row r="688" spans="1:29">
      <c r="A688" s="106"/>
      <c r="B688" s="106"/>
      <c r="C688" s="106"/>
      <c r="D688" s="106"/>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row>
    <row r="689" spans="1:29">
      <c r="A689" s="106"/>
      <c r="B689" s="106"/>
      <c r="C689" s="106"/>
      <c r="D689" s="106"/>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row>
    <row r="690" spans="1:29">
      <c r="A690" s="106"/>
      <c r="B690" s="106"/>
      <c r="C690" s="106"/>
      <c r="D690" s="106"/>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row>
    <row r="691" spans="1:29">
      <c r="A691" s="106"/>
      <c r="B691" s="106"/>
      <c r="C691" s="106"/>
      <c r="D691" s="106"/>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row>
    <row r="692" spans="1:29">
      <c r="A692" s="106"/>
      <c r="B692" s="106"/>
      <c r="C692" s="106"/>
      <c r="D692" s="106"/>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row>
    <row r="693" spans="1:29">
      <c r="A693" s="106"/>
      <c r="B693" s="106"/>
      <c r="C693" s="106"/>
      <c r="D693" s="106"/>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row>
    <row r="694" spans="1:29">
      <c r="A694" s="106"/>
      <c r="B694" s="106"/>
      <c r="C694" s="106"/>
      <c r="D694" s="106"/>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row>
    <row r="695" spans="1:29">
      <c r="A695" s="106"/>
      <c r="B695" s="106"/>
      <c r="C695" s="106"/>
      <c r="D695" s="106"/>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row>
    <row r="696" spans="1:29">
      <c r="A696" s="106"/>
      <c r="B696" s="106"/>
      <c r="C696" s="106"/>
      <c r="D696" s="106"/>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row>
    <row r="697" spans="1:29">
      <c r="A697" s="106"/>
      <c r="B697" s="106"/>
      <c r="C697" s="106"/>
      <c r="D697" s="106"/>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row>
    <row r="698" spans="1:29">
      <c r="A698" s="106"/>
      <c r="B698" s="106"/>
      <c r="C698" s="106"/>
      <c r="D698" s="106"/>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row>
    <row r="699" spans="1:29">
      <c r="A699" s="106"/>
      <c r="B699" s="106"/>
      <c r="C699" s="106"/>
      <c r="D699" s="106"/>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row>
    <row r="700" spans="1:29">
      <c r="A700" s="106"/>
      <c r="B700" s="106"/>
      <c r="C700" s="106"/>
      <c r="D700" s="106"/>
      <c r="E700" s="106"/>
      <c r="F700" s="106"/>
      <c r="G700" s="106"/>
      <c r="H700" s="106"/>
      <c r="I700" s="106"/>
      <c r="J700" s="106"/>
      <c r="K700" s="106"/>
      <c r="L700" s="106"/>
      <c r="M700" s="106"/>
      <c r="N700" s="106"/>
      <c r="O700" s="106"/>
      <c r="P700" s="106"/>
      <c r="Q700" s="106"/>
      <c r="R700" s="106"/>
      <c r="S700" s="106"/>
      <c r="T700" s="106"/>
      <c r="U700" s="106"/>
      <c r="V700" s="106"/>
      <c r="W700" s="106"/>
      <c r="X700" s="106"/>
      <c r="Y700" s="106"/>
      <c r="Z700" s="106"/>
      <c r="AA700" s="106"/>
      <c r="AB700" s="106"/>
      <c r="AC700" s="106"/>
    </row>
    <row r="701" spans="1:29">
      <c r="A701" s="106"/>
      <c r="B701" s="106"/>
      <c r="C701" s="106"/>
      <c r="D701" s="106"/>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row>
    <row r="702" spans="1:29">
      <c r="A702" s="106"/>
      <c r="B702" s="106"/>
      <c r="C702" s="106"/>
      <c r="D702" s="106"/>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row>
    <row r="703" spans="1:29">
      <c r="A703" s="106"/>
      <c r="B703" s="106"/>
      <c r="C703" s="106"/>
      <c r="D703" s="106"/>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row>
    <row r="704" spans="1:29">
      <c r="A704" s="106"/>
      <c r="B704" s="106"/>
      <c r="C704" s="106"/>
      <c r="D704" s="106"/>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row>
    <row r="705" spans="1:29">
      <c r="A705" s="106"/>
      <c r="B705" s="106"/>
      <c r="C705" s="106"/>
      <c r="D705" s="106"/>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row>
    <row r="706" spans="1:29">
      <c r="A706" s="106"/>
      <c r="B706" s="106"/>
      <c r="C706" s="106"/>
      <c r="D706" s="106"/>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row>
    <row r="707" spans="1:29">
      <c r="A707" s="106"/>
      <c r="B707" s="106"/>
      <c r="C707" s="106"/>
      <c r="D707" s="106"/>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row>
    <row r="708" spans="1:29">
      <c r="A708" s="106"/>
      <c r="B708" s="106"/>
      <c r="C708" s="106"/>
      <c r="D708" s="106"/>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row>
    <row r="709" spans="1:29">
      <c r="A709" s="106"/>
      <c r="B709" s="106"/>
      <c r="C709" s="106"/>
      <c r="D709" s="106"/>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row>
    <row r="710" spans="1:29">
      <c r="A710" s="106"/>
      <c r="B710" s="106"/>
      <c r="C710" s="106"/>
      <c r="D710" s="106"/>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row>
    <row r="711" spans="1:29">
      <c r="A711" s="106"/>
      <c r="B711" s="106"/>
      <c r="C711" s="106"/>
      <c r="D711" s="106"/>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row>
    <row r="712" spans="1:29">
      <c r="A712" s="106"/>
      <c r="B712" s="106"/>
      <c r="C712" s="106"/>
      <c r="D712" s="106"/>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row>
    <row r="713" spans="1:29">
      <c r="A713" s="106"/>
      <c r="B713" s="106"/>
      <c r="C713" s="106"/>
      <c r="D713" s="106"/>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row>
    <row r="714" spans="1:29">
      <c r="A714" s="106"/>
      <c r="B714" s="106"/>
      <c r="C714" s="106"/>
      <c r="D714" s="106"/>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38" customWidth="1"/>
    <col min="2" max="2" width="39.5703125" style="129" customWidth="1"/>
    <col min="3" max="3" width="11.140625" style="127" customWidth="1"/>
    <col min="4" max="4" width="26.28515625" style="136" customWidth="1"/>
    <col min="5" max="5" width="17" style="130" bestFit="1" customWidth="1"/>
    <col min="6" max="9" width="9.140625" style="121"/>
    <col min="10" max="10" width="15" style="121" bestFit="1" customWidth="1"/>
    <col min="11" max="11" width="53.42578125" style="121" customWidth="1"/>
    <col min="12" max="12" width="12.5703125" style="121" bestFit="1" customWidth="1"/>
    <col min="13" max="13" width="23.7109375" style="121" bestFit="1" customWidth="1"/>
    <col min="14" max="16384" width="9.140625" style="121"/>
  </cols>
  <sheetData>
    <row r="1" spans="1:11">
      <c r="B1" s="121"/>
      <c r="C1" s="121"/>
      <c r="D1" s="121"/>
      <c r="E1" s="121"/>
    </row>
    <row r="2" spans="1:11">
      <c r="B2" s="123" t="s">
        <v>915</v>
      </c>
      <c r="C2" s="124" t="s">
        <v>764</v>
      </c>
      <c r="D2" s="125" t="s">
        <v>196</v>
      </c>
      <c r="E2" s="126" t="s">
        <v>765</v>
      </c>
    </row>
    <row r="3" spans="1:11">
      <c r="B3" s="657" t="s">
        <v>766</v>
      </c>
      <c r="C3" s="658"/>
      <c r="D3" s="658"/>
      <c r="E3" s="659"/>
      <c r="F3" s="430"/>
      <c r="J3" s="652" t="s">
        <v>963</v>
      </c>
      <c r="K3" s="653"/>
    </row>
    <row r="4" spans="1:11">
      <c r="B4" s="396" t="s">
        <v>247</v>
      </c>
      <c r="C4" s="136" t="s">
        <v>212</v>
      </c>
      <c r="D4" s="139" t="s">
        <v>9</v>
      </c>
      <c r="E4" s="397" t="s">
        <v>767</v>
      </c>
      <c r="J4" s="502" t="s">
        <v>964</v>
      </c>
      <c r="K4" s="504" t="s">
        <v>488</v>
      </c>
    </row>
    <row r="5" spans="1:11">
      <c r="B5" s="398" t="s">
        <v>768</v>
      </c>
      <c r="C5" s="136" t="s">
        <v>682</v>
      </c>
      <c r="D5" s="140">
        <v>0</v>
      </c>
      <c r="E5" s="397">
        <v>0</v>
      </c>
      <c r="J5" s="502" t="s">
        <v>965</v>
      </c>
      <c r="K5" s="503" t="s">
        <v>974</v>
      </c>
    </row>
    <row r="6" spans="1:11">
      <c r="A6" s="131"/>
      <c r="B6" s="396" t="s">
        <v>751</v>
      </c>
      <c r="C6" s="136" t="s">
        <v>212</v>
      </c>
      <c r="D6" s="141" t="s">
        <v>913</v>
      </c>
      <c r="E6" s="399" t="s">
        <v>913</v>
      </c>
      <c r="J6" s="498" t="s">
        <v>966</v>
      </c>
      <c r="K6" s="500" t="s">
        <v>975</v>
      </c>
    </row>
    <row r="7" spans="1:11">
      <c r="B7" s="396" t="s">
        <v>769</v>
      </c>
      <c r="C7" s="136" t="s">
        <v>212</v>
      </c>
      <c r="D7" s="141" t="s">
        <v>841</v>
      </c>
      <c r="E7" s="397" t="s">
        <v>841</v>
      </c>
    </row>
    <row r="8" spans="1:11">
      <c r="B8" s="396" t="s">
        <v>770</v>
      </c>
      <c r="C8" s="136" t="s">
        <v>212</v>
      </c>
      <c r="D8" s="142">
        <v>8</v>
      </c>
      <c r="E8" s="397">
        <v>1</v>
      </c>
    </row>
    <row r="9" spans="1:11">
      <c r="B9" s="396" t="s">
        <v>771</v>
      </c>
      <c r="C9" s="136" t="s">
        <v>212</v>
      </c>
      <c r="D9" s="142">
        <v>1</v>
      </c>
      <c r="E9" s="397">
        <v>1</v>
      </c>
    </row>
    <row r="10" spans="1:11">
      <c r="B10" s="396" t="s">
        <v>772</v>
      </c>
      <c r="C10" s="136" t="s">
        <v>212</v>
      </c>
      <c r="D10" s="142">
        <v>8</v>
      </c>
      <c r="E10" s="397">
        <v>12</v>
      </c>
    </row>
    <row r="11" spans="1:11">
      <c r="B11" s="396" t="s">
        <v>773</v>
      </c>
      <c r="C11" s="136" t="s">
        <v>212</v>
      </c>
      <c r="D11" s="142">
        <v>5</v>
      </c>
      <c r="E11" s="397">
        <v>31</v>
      </c>
    </row>
    <row r="12" spans="1:11">
      <c r="B12" s="400" t="s">
        <v>774</v>
      </c>
      <c r="C12" s="401" t="s">
        <v>212</v>
      </c>
      <c r="D12" s="402">
        <f>'imf input text'!J56</f>
        <v>1.2</v>
      </c>
      <c r="E12" s="403">
        <v>1.2</v>
      </c>
    </row>
    <row r="14" spans="1:11">
      <c r="B14" s="654" t="s">
        <v>775</v>
      </c>
      <c r="C14" s="655"/>
      <c r="D14" s="655"/>
      <c r="E14" s="656"/>
    </row>
    <row r="15" spans="1:11">
      <c r="B15" s="404" t="s">
        <v>911</v>
      </c>
      <c r="C15" s="405" t="s">
        <v>212</v>
      </c>
      <c r="D15" s="143" t="s">
        <v>1119</v>
      </c>
      <c r="E15" s="406" t="s">
        <v>745</v>
      </c>
      <c r="F15" s="430"/>
    </row>
    <row r="16" spans="1:11">
      <c r="B16" s="408" t="s">
        <v>776</v>
      </c>
      <c r="C16" s="136" t="s">
        <v>777</v>
      </c>
      <c r="D16" s="140">
        <v>75</v>
      </c>
      <c r="E16" s="409">
        <v>75</v>
      </c>
    </row>
    <row r="17" spans="2:5">
      <c r="B17" s="408" t="s">
        <v>778</v>
      </c>
      <c r="C17" s="136" t="s">
        <v>777</v>
      </c>
      <c r="D17" s="140">
        <v>90</v>
      </c>
      <c r="E17" s="409">
        <v>90</v>
      </c>
    </row>
    <row r="18" spans="2:5">
      <c r="B18" s="408" t="s">
        <v>779</v>
      </c>
      <c r="C18" s="136" t="s">
        <v>777</v>
      </c>
      <c r="D18" s="140">
        <v>70</v>
      </c>
      <c r="E18" s="409">
        <v>70</v>
      </c>
    </row>
    <row r="19" spans="2:5">
      <c r="B19" s="410" t="s">
        <v>780</v>
      </c>
      <c r="C19" s="401" t="s">
        <v>777</v>
      </c>
      <c r="D19" s="402">
        <v>55</v>
      </c>
      <c r="E19" s="411">
        <v>55</v>
      </c>
    </row>
    <row r="21" spans="2:5">
      <c r="B21" s="654" t="s">
        <v>781</v>
      </c>
      <c r="C21" s="655"/>
      <c r="D21" s="655"/>
      <c r="E21" s="656"/>
    </row>
    <row r="22" spans="2:5">
      <c r="B22" s="398" t="s">
        <v>782</v>
      </c>
      <c r="C22" s="136" t="s">
        <v>626</v>
      </c>
      <c r="D22" s="140">
        <v>20000</v>
      </c>
      <c r="E22" s="409">
        <v>20000</v>
      </c>
    </row>
    <row r="23" spans="2:5">
      <c r="B23" s="421" t="s">
        <v>783</v>
      </c>
      <c r="C23" s="136" t="s">
        <v>212</v>
      </c>
      <c r="D23" s="140">
        <v>1.5</v>
      </c>
      <c r="E23" s="422">
        <v>1.5</v>
      </c>
    </row>
    <row r="24" spans="2:5">
      <c r="B24" s="407" t="s">
        <v>784</v>
      </c>
      <c r="C24" s="136" t="s">
        <v>212</v>
      </c>
      <c r="D24" s="141">
        <v>0.4</v>
      </c>
      <c r="E24" s="422">
        <v>0.4</v>
      </c>
    </row>
    <row r="25" spans="2:5">
      <c r="B25" s="408" t="s">
        <v>785</v>
      </c>
      <c r="C25" s="405" t="s">
        <v>212</v>
      </c>
      <c r="D25" s="141">
        <v>0.28999999999999998</v>
      </c>
      <c r="E25" s="422">
        <v>0.28999999999999998</v>
      </c>
    </row>
    <row r="26" spans="2:5" ht="14.25">
      <c r="B26" s="423" t="s">
        <v>890</v>
      </c>
      <c r="C26" s="437" t="s">
        <v>925</v>
      </c>
      <c r="D26" s="428">
        <f>IF(D25=0.55, 0.291, 0.308)</f>
        <v>0.308</v>
      </c>
      <c r="E26" s="406" t="s">
        <v>912</v>
      </c>
    </row>
    <row r="27" spans="2:5">
      <c r="B27" s="421" t="s">
        <v>786</v>
      </c>
      <c r="C27" s="136" t="s">
        <v>212</v>
      </c>
      <c r="D27" s="143" t="s">
        <v>488</v>
      </c>
      <c r="E27" s="406" t="s">
        <v>488</v>
      </c>
    </row>
    <row r="28" spans="2:5">
      <c r="B28" s="424" t="s">
        <v>787</v>
      </c>
      <c r="C28" s="401" t="s">
        <v>212</v>
      </c>
      <c r="D28" s="425" t="s">
        <v>2</v>
      </c>
      <c r="E28" s="426" t="s">
        <v>2</v>
      </c>
    </row>
    <row r="30" spans="2:5">
      <c r="B30" s="654" t="s">
        <v>788</v>
      </c>
      <c r="C30" s="655"/>
      <c r="D30" s="655"/>
      <c r="E30" s="656"/>
    </row>
    <row r="31" spans="2:5">
      <c r="B31" s="408" t="s">
        <v>664</v>
      </c>
      <c r="C31" s="136" t="s">
        <v>665</v>
      </c>
      <c r="D31" s="140">
        <v>240</v>
      </c>
      <c r="E31" s="409">
        <v>240</v>
      </c>
    </row>
    <row r="32" spans="2:5">
      <c r="B32" s="408" t="s">
        <v>789</v>
      </c>
      <c r="C32" s="137" t="s">
        <v>474</v>
      </c>
      <c r="D32" s="140">
        <v>0.8</v>
      </c>
      <c r="E32" s="409">
        <v>0.8</v>
      </c>
    </row>
    <row r="33" spans="2:6">
      <c r="B33" s="410" t="s">
        <v>790</v>
      </c>
      <c r="C33" s="412" t="s">
        <v>474</v>
      </c>
      <c r="D33" s="402">
        <v>1</v>
      </c>
      <c r="E33" s="411">
        <v>1</v>
      </c>
    </row>
    <row r="35" spans="2:6">
      <c r="B35" s="654" t="s">
        <v>791</v>
      </c>
      <c r="C35" s="655"/>
      <c r="D35" s="655"/>
      <c r="E35" s="656"/>
    </row>
    <row r="36" spans="2:6" hidden="1"/>
    <row r="37" spans="2:6">
      <c r="B37" s="413" t="s">
        <v>792</v>
      </c>
      <c r="C37" s="136" t="s">
        <v>212</v>
      </c>
      <c r="D37" s="141" t="s">
        <v>831</v>
      </c>
      <c r="E37" s="414" t="s">
        <v>831</v>
      </c>
    </row>
    <row r="38" spans="2:6">
      <c r="B38" s="413" t="s">
        <v>793</v>
      </c>
      <c r="C38" s="136" t="s">
        <v>212</v>
      </c>
      <c r="D38" s="143" t="s">
        <v>530</v>
      </c>
      <c r="E38" s="409" t="s">
        <v>530</v>
      </c>
    </row>
    <row r="39" spans="2:6">
      <c r="B39" s="413" t="s">
        <v>794</v>
      </c>
      <c r="C39" s="136" t="s">
        <v>212</v>
      </c>
      <c r="D39" s="435" t="str">
        <f>IF(D6="UFAD_York", "York/JCI MIT1", "Swirl")</f>
        <v>Swirl</v>
      </c>
      <c r="E39" s="406" t="s">
        <v>912</v>
      </c>
      <c r="F39" s="430"/>
    </row>
    <row r="40" spans="2:6">
      <c r="B40" s="413" t="s">
        <v>795</v>
      </c>
      <c r="C40" s="136" t="s">
        <v>212</v>
      </c>
      <c r="D40" s="144" t="s">
        <v>921</v>
      </c>
      <c r="E40" s="432" t="s">
        <v>921</v>
      </c>
    </row>
    <row r="41" spans="2:6">
      <c r="B41" s="398" t="s">
        <v>796</v>
      </c>
      <c r="C41" s="136" t="s">
        <v>797</v>
      </c>
      <c r="D41" s="145">
        <v>2</v>
      </c>
      <c r="E41" s="553">
        <v>2</v>
      </c>
    </row>
    <row r="42" spans="2:6">
      <c r="B42" s="493" t="s">
        <v>798</v>
      </c>
      <c r="C42" s="412" t="s">
        <v>799</v>
      </c>
      <c r="D42" s="402">
        <v>100</v>
      </c>
      <c r="E42" s="411">
        <v>100</v>
      </c>
    </row>
    <row r="43" spans="2:6">
      <c r="B43" s="398" t="s">
        <v>800</v>
      </c>
      <c r="C43" s="136" t="s">
        <v>212</v>
      </c>
      <c r="D43" s="435" t="str">
        <f>IF(D6="UFAD_York", "York/JCI MIT1", "Linear Bar Grille")</f>
        <v>Linear Bar Grille</v>
      </c>
      <c r="E43" s="406" t="s">
        <v>912</v>
      </c>
    </row>
    <row r="44" spans="2:6">
      <c r="B44" s="446" t="s">
        <v>943</v>
      </c>
      <c r="C44" s="429" t="s">
        <v>632</v>
      </c>
      <c r="D44" s="140">
        <v>4</v>
      </c>
      <c r="E44" s="436">
        <v>4</v>
      </c>
    </row>
    <row r="45" spans="2:6">
      <c r="B45" s="446" t="s">
        <v>941</v>
      </c>
      <c r="C45" s="429" t="s">
        <v>632</v>
      </c>
      <c r="D45" s="140">
        <v>3</v>
      </c>
      <c r="E45" s="436">
        <v>3</v>
      </c>
    </row>
    <row r="46" spans="2:6">
      <c r="B46" s="446" t="s">
        <v>942</v>
      </c>
      <c r="C46" s="429" t="s">
        <v>632</v>
      </c>
      <c r="D46" s="140">
        <v>6</v>
      </c>
      <c r="E46" s="436">
        <v>6</v>
      </c>
    </row>
    <row r="47" spans="2:6">
      <c r="B47" s="445" t="s">
        <v>940</v>
      </c>
      <c r="C47" s="491" t="s">
        <v>632</v>
      </c>
      <c r="D47" s="402">
        <v>7</v>
      </c>
      <c r="E47" s="492">
        <v>7</v>
      </c>
    </row>
    <row r="48" spans="2:6">
      <c r="B48" s="497" t="s">
        <v>962</v>
      </c>
      <c r="C48" s="136" t="s">
        <v>212</v>
      </c>
      <c r="D48" s="146" t="s">
        <v>970</v>
      </c>
      <c r="E48" s="409" t="s">
        <v>970</v>
      </c>
    </row>
    <row r="49" spans="2:5">
      <c r="B49" s="396" t="s">
        <v>830</v>
      </c>
      <c r="C49" s="415" t="s">
        <v>29</v>
      </c>
      <c r="D49" s="140">
        <v>0.15</v>
      </c>
      <c r="E49" s="397">
        <v>0.15</v>
      </c>
    </row>
    <row r="50" spans="2:5">
      <c r="B50" s="413" t="s">
        <v>801</v>
      </c>
      <c r="C50" s="136" t="s">
        <v>777</v>
      </c>
      <c r="D50" s="143">
        <v>57</v>
      </c>
      <c r="E50" s="409">
        <v>57</v>
      </c>
    </row>
    <row r="51" spans="2:5">
      <c r="B51" s="413" t="s">
        <v>802</v>
      </c>
      <c r="C51" s="136" t="s">
        <v>212</v>
      </c>
      <c r="D51" s="147" t="s">
        <v>488</v>
      </c>
      <c r="E51" s="506" t="s">
        <v>488</v>
      </c>
    </row>
    <row r="52" spans="2:5">
      <c r="B52" s="416" t="s">
        <v>803</v>
      </c>
      <c r="C52" s="136" t="s">
        <v>14</v>
      </c>
      <c r="D52" s="145">
        <v>3</v>
      </c>
      <c r="E52" s="409">
        <v>3</v>
      </c>
    </row>
    <row r="53" spans="2:5" hidden="1">
      <c r="B53" s="417" t="s">
        <v>804</v>
      </c>
      <c r="C53" s="136" t="s">
        <v>212</v>
      </c>
      <c r="D53" s="147" t="s">
        <v>487</v>
      </c>
      <c r="E53" s="409" t="s">
        <v>487</v>
      </c>
    </row>
    <row r="54" spans="2:5">
      <c r="B54" s="417" t="s">
        <v>805</v>
      </c>
      <c r="C54" s="136" t="s">
        <v>14</v>
      </c>
      <c r="D54" s="148">
        <v>1.5</v>
      </c>
      <c r="E54" s="409">
        <v>1.5</v>
      </c>
    </row>
    <row r="55" spans="2:5">
      <c r="B55" s="445" t="s">
        <v>939</v>
      </c>
      <c r="C55" s="401" t="s">
        <v>212</v>
      </c>
      <c r="D55" s="418" t="s">
        <v>971</v>
      </c>
      <c r="E55" s="552" t="s">
        <v>971</v>
      </c>
    </row>
    <row r="57" spans="2:5">
      <c r="B57" s="654" t="s">
        <v>806</v>
      </c>
      <c r="C57" s="655"/>
      <c r="D57" s="655"/>
      <c r="E57" s="656"/>
    </row>
    <row r="58" spans="2:5">
      <c r="B58" s="396" t="s">
        <v>807</v>
      </c>
      <c r="C58" s="136" t="s">
        <v>212</v>
      </c>
      <c r="D58" s="147" t="str">
        <f>'imf input text'!J51</f>
        <v>No</v>
      </c>
      <c r="E58" s="506" t="s">
        <v>487</v>
      </c>
    </row>
    <row r="59" spans="2:5">
      <c r="B59" s="398" t="s">
        <v>808</v>
      </c>
      <c r="C59" s="136" t="s">
        <v>212</v>
      </c>
      <c r="D59" s="147" t="s">
        <v>487</v>
      </c>
      <c r="E59" s="506" t="s">
        <v>487</v>
      </c>
    </row>
    <row r="60" spans="2:5">
      <c r="B60" s="396" t="s">
        <v>809</v>
      </c>
      <c r="C60" s="136" t="s">
        <v>212</v>
      </c>
      <c r="D60" s="147" t="str">
        <f>'imf input text'!J52</f>
        <v>Yes</v>
      </c>
      <c r="E60" s="506" t="s">
        <v>487</v>
      </c>
    </row>
    <row r="61" spans="2:5">
      <c r="B61" s="398" t="s">
        <v>810</v>
      </c>
      <c r="C61" s="136" t="s">
        <v>212</v>
      </c>
      <c r="D61" s="147" t="s">
        <v>487</v>
      </c>
      <c r="E61" s="506" t="s">
        <v>487</v>
      </c>
    </row>
    <row r="62" spans="2:5">
      <c r="B62" s="419" t="s">
        <v>907</v>
      </c>
      <c r="C62" s="420" t="s">
        <v>212</v>
      </c>
      <c r="D62" s="418" t="s">
        <v>976</v>
      </c>
      <c r="E62" s="552" t="s">
        <v>972</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B43" sqref="B43"/>
    </sheetView>
  </sheetViews>
  <sheetFormatPr defaultRowHeight="12.75"/>
  <cols>
    <col min="1" max="1" width="3.7109375" style="149" customWidth="1"/>
    <col min="2" max="2" width="12.85546875" style="149" bestFit="1" customWidth="1"/>
    <col min="3" max="3" width="15.7109375" style="150" customWidth="1"/>
    <col min="4" max="4" width="15.7109375" style="149" customWidth="1"/>
    <col min="5" max="5" width="16.140625" style="149" customWidth="1"/>
    <col min="6" max="17" width="9.7109375" style="149" customWidth="1"/>
    <col min="18" max="18" width="12" style="149" bestFit="1" customWidth="1"/>
    <col min="19" max="19" width="9.140625" style="149" customWidth="1"/>
    <col min="20" max="16384" width="9.140625" style="149"/>
  </cols>
  <sheetData>
    <row r="1" spans="2:192" ht="12.95" customHeight="1"/>
    <row r="2" spans="2:192" ht="12.95" customHeight="1">
      <c r="B2" s="667" t="s">
        <v>829</v>
      </c>
      <c r="C2" s="668"/>
      <c r="D2" s="668"/>
      <c r="E2" s="668"/>
      <c r="F2" s="668"/>
      <c r="G2" s="668"/>
      <c r="H2" s="668"/>
      <c r="I2" s="668"/>
      <c r="J2" s="668"/>
      <c r="K2" s="668"/>
      <c r="L2" s="668"/>
      <c r="M2" s="668"/>
      <c r="N2" s="668"/>
      <c r="O2" s="668"/>
      <c r="P2" s="668"/>
      <c r="Q2" s="669"/>
      <c r="R2" s="660"/>
      <c r="S2" s="662" t="s">
        <v>1084</v>
      </c>
      <c r="T2" s="663"/>
      <c r="U2" s="663"/>
      <c r="V2" s="663"/>
      <c r="W2" s="663"/>
      <c r="X2" s="663"/>
      <c r="Y2" s="663"/>
      <c r="Z2" s="663"/>
      <c r="AA2" s="663"/>
      <c r="AB2" s="663"/>
      <c r="AC2" s="606" t="s">
        <v>358</v>
      </c>
      <c r="AD2" s="599" t="s">
        <v>365</v>
      </c>
    </row>
    <row r="3" spans="2:192" ht="12.95" customHeight="1">
      <c r="B3" s="670" t="s">
        <v>814</v>
      </c>
      <c r="C3" s="664" t="s">
        <v>815</v>
      </c>
      <c r="D3" s="665"/>
      <c r="E3" s="666"/>
      <c r="F3" s="664" t="s">
        <v>828</v>
      </c>
      <c r="G3" s="665"/>
      <c r="H3" s="665"/>
      <c r="I3" s="665"/>
      <c r="J3" s="665"/>
      <c r="K3" s="665"/>
      <c r="L3" s="665"/>
      <c r="M3" s="665"/>
      <c r="N3" s="665"/>
      <c r="O3" s="665"/>
      <c r="P3" s="665"/>
      <c r="Q3" s="666"/>
      <c r="R3" s="661"/>
      <c r="S3" s="600" t="s">
        <v>816</v>
      </c>
      <c r="T3" s="601" t="s">
        <v>817</v>
      </c>
      <c r="U3" s="601" t="s">
        <v>818</v>
      </c>
      <c r="V3" s="601" t="s">
        <v>819</v>
      </c>
      <c r="W3" s="601" t="s">
        <v>820</v>
      </c>
      <c r="X3" s="601" t="s">
        <v>821</v>
      </c>
      <c r="Y3" s="601" t="s">
        <v>822</v>
      </c>
      <c r="Z3" s="601" t="s">
        <v>823</v>
      </c>
      <c r="AA3" s="601" t="s">
        <v>824</v>
      </c>
      <c r="AB3" s="601" t="s">
        <v>825</v>
      </c>
      <c r="AC3" s="601" t="s">
        <v>826</v>
      </c>
      <c r="AD3" s="602" t="s">
        <v>827</v>
      </c>
    </row>
    <row r="4" spans="2:192" ht="12.95" customHeight="1">
      <c r="B4" s="671"/>
      <c r="C4" s="173" t="s">
        <v>843</v>
      </c>
      <c r="D4" s="174" t="s">
        <v>844</v>
      </c>
      <c r="E4" s="175" t="s">
        <v>845</v>
      </c>
      <c r="F4" s="173" t="s">
        <v>816</v>
      </c>
      <c r="G4" s="174" t="s">
        <v>817</v>
      </c>
      <c r="H4" s="174" t="s">
        <v>818</v>
      </c>
      <c r="I4" s="174" t="s">
        <v>819</v>
      </c>
      <c r="J4" s="174" t="s">
        <v>820</v>
      </c>
      <c r="K4" s="174" t="s">
        <v>821</v>
      </c>
      <c r="L4" s="174" t="s">
        <v>822</v>
      </c>
      <c r="M4" s="174" t="s">
        <v>823</v>
      </c>
      <c r="N4" s="174" t="s">
        <v>824</v>
      </c>
      <c r="O4" s="174" t="s">
        <v>825</v>
      </c>
      <c r="P4" s="174" t="s">
        <v>826</v>
      </c>
      <c r="Q4" s="175" t="s">
        <v>827</v>
      </c>
      <c r="R4" s="603" t="s">
        <v>1085</v>
      </c>
      <c r="S4" s="604">
        <f>AVERAGEIF('graph data'!$AH$2:$AH$745,"&gt;0")/AVERAGEIF('graph data'!$AB$2:$AB$745,"&gt;0")</f>
        <v>20.320583807648156</v>
      </c>
      <c r="T4" s="604" t="e">
        <f>AVERAGEIF('graph data'!$AH$746:$AH$1417,"&gt;0")/AVERAGEIF('graph data'!$AB$746:$AB$1417,"&gt;0")</f>
        <v>#DIV/0!</v>
      </c>
      <c r="U4" s="604" t="e">
        <f>AVERAGEIF('graph data'!$AH$1418:$AH$2161,"&gt;0")/AVERAGEIF('graph data'!$AB$1418:$AB$2161,"&gt;0")</f>
        <v>#DIV/0!</v>
      </c>
      <c r="V4" s="604" t="e">
        <f>AVERAGEIF('graph data'!$AH$2162:$AH$2881,"&gt;0")/AVERAGEIF('graph data'!$AB$2162:$AB$2881,"&gt;0")</f>
        <v>#DIV/0!</v>
      </c>
      <c r="W4" s="604" t="e">
        <f>AVERAGEIF('graph data'!$AH$2882:$AH$3625,"&gt;0")/AVERAGEIF('graph data'!$AB$2882:$AB$3625,"&gt;0")</f>
        <v>#DIV/0!</v>
      </c>
      <c r="X4" s="604" t="e">
        <f>AVERAGEIF('graph data'!$AH$3626:$AH$4345,"&gt;0")/AVERAGEIF('graph data'!$AB$3626:$AB$4345,"&gt;0")</f>
        <v>#DIV/0!</v>
      </c>
      <c r="Y4" s="604" t="e">
        <f>AVERAGEIF('graph data'!$AH$4346:$AH$5089,"&gt;0")/AVERAGEIF('graph data'!$AB$4346:$AB$5089,"&gt;0")</f>
        <v>#DIV/0!</v>
      </c>
      <c r="Z4" s="604" t="e">
        <f>AVERAGEIF('graph data'!$AH$5090:$AH$5883,"&gt;0")/AVERAGEIF('graph data'!$AB$5090:$AB$5883,"&gt;0")</f>
        <v>#DIV/0!</v>
      </c>
      <c r="AA4" s="604" t="e">
        <f>AVERAGEIF('graph data'!$AH$5884:$AH$6553,"&gt;0")/AVERAGEIF('graph data'!$AB$5884:$AB$6553,"&gt;0")</f>
        <v>#DIV/0!</v>
      </c>
      <c r="AB4" s="604" t="e">
        <f>AVERAGEIF('graph data'!$AH$6554:$AH$7297,"&gt;0")/AVERAGEIF('graph data'!$AB$6554:$AB$7279,"&gt;0")</f>
        <v>#DIV/0!</v>
      </c>
      <c r="AC4" s="604" t="e">
        <f>AVERAGEIF('graph data'!$AH$7298:$AH$8017,"&gt;0")/AVERAGEIF('graph data'!$AB$7298:$AB$8017,"&gt;0")</f>
        <v>#DIV/0!</v>
      </c>
      <c r="AD4" s="605" t="e">
        <f>AVERAGEIF('graph data'!$AH$8018:$AH$8761,"&gt;0")/AVERAGEIF('graph data'!$AB$8018:$AB$8761,"&gt;0")</f>
        <v>#DIV/0!</v>
      </c>
    </row>
    <row r="5" spans="2:192" ht="12.95" customHeight="1">
      <c r="B5" s="171" t="s">
        <v>353</v>
      </c>
      <c r="C5" s="190">
        <f t="shared" ref="C5:C12" si="0">SUM(F5:Q5)</f>
        <v>0</v>
      </c>
      <c r="D5" s="191" t="e">
        <f t="shared" ref="D5:D12" si="1">C5/$C$12*100</f>
        <v>#DIV/0!</v>
      </c>
      <c r="E5" s="192">
        <f>C5*3.167</f>
        <v>0</v>
      </c>
      <c r="F5" s="193">
        <f>'graph data'!C123</f>
        <v>0</v>
      </c>
      <c r="G5" s="194">
        <f>'graph data'!D123</f>
        <v>0</v>
      </c>
      <c r="H5" s="194">
        <f>'graph data'!E123</f>
        <v>0</v>
      </c>
      <c r="I5" s="194">
        <f>'graph data'!F123</f>
        <v>0</v>
      </c>
      <c r="J5" s="194">
        <f>'graph data'!G123</f>
        <v>0</v>
      </c>
      <c r="K5" s="194">
        <f>'graph data'!H123</f>
        <v>0</v>
      </c>
      <c r="L5" s="194">
        <f>'graph data'!I123</f>
        <v>0</v>
      </c>
      <c r="M5" s="194">
        <f>'graph data'!J123</f>
        <v>0</v>
      </c>
      <c r="N5" s="194">
        <f>'graph data'!K123</f>
        <v>0</v>
      </c>
      <c r="O5" s="194">
        <f>'graph data'!L123</f>
        <v>0</v>
      </c>
      <c r="P5" s="194">
        <f>'graph data'!M123</f>
        <v>0</v>
      </c>
      <c r="Q5" s="195">
        <f>'graph data'!N123</f>
        <v>0</v>
      </c>
      <c r="R5" s="603" t="s">
        <v>1086</v>
      </c>
      <c r="S5" s="604">
        <f>AVERAGEIF('graph data'!$AG$2:$AG$745,"&gt;0")/AVERAGEIF('graph data'!$AB$2:$AB$745,"&gt;0")</f>
        <v>0.14502865729793146</v>
      </c>
      <c r="T5" s="604" t="e">
        <f>AVERAGEIF('graph data'!$AG$746:$AG$1417,"&gt;0")/AVERAGEIF('graph data'!$AB$746:$AB$1417,"&gt;0")</f>
        <v>#DIV/0!</v>
      </c>
      <c r="U5" s="604" t="e">
        <f>AVERAGEIF('graph data'!$AG$1418:$AG$2161,"&gt;0")/AVERAGEIF('graph data'!$AB$1418:$AB$2161,"&gt;0")</f>
        <v>#DIV/0!</v>
      </c>
      <c r="V5" s="604" t="e">
        <f>AVERAGEIF('graph data'!$AG$2162:$AG$2881,"&gt;0")/AVERAGEIF('graph data'!$AB$2162:$AB$2881,"&gt;0")</f>
        <v>#DIV/0!</v>
      </c>
      <c r="W5" s="604" t="e">
        <f>AVERAGEIF('graph data'!$AG$2882:$AG$3625,"&gt;0")/AVERAGEIF('graph data'!$AB$2882:$AB$3625,"&gt;0")</f>
        <v>#DIV/0!</v>
      </c>
      <c r="X5" s="604" t="e">
        <f>AVERAGEIF('graph data'!$AG$3626:$AG$4345,"&gt;0")/AVERAGEIF('graph data'!$AB$3626:$AB$4345,"&gt;0")</f>
        <v>#DIV/0!</v>
      </c>
      <c r="Y5" s="604" t="e">
        <f>AVERAGEIF('graph data'!$AG$4346:$AG$5089,"&gt;0")/AVERAGEIF('graph data'!$AB$4346:$AB$5089,"&gt;0")</f>
        <v>#DIV/0!</v>
      </c>
      <c r="Z5" s="604" t="e">
        <f>AVERAGEIF('graph data'!$AG$5090:$AG$5889,"&gt;0")/AVERAGEIF('graph data'!$AB$5090:$AB$5889,"&gt;0")</f>
        <v>#DIV/0!</v>
      </c>
      <c r="AA5" s="604" t="e">
        <f>AVERAGEIF('graph data'!$AG$5884:$AG$6553,"&gt;0")/AVERAGEIF('graph data'!$AB$5884:$AB$6553,"&gt;0")</f>
        <v>#DIV/0!</v>
      </c>
      <c r="AB5" s="604" t="e">
        <f>AVERAGEIF('graph data'!$AG$6554:$AG$7297,"&gt;0")/AVERAGEIF('graph data'!$AB$6554:$AB$7297,"&gt;0")</f>
        <v>#DIV/0!</v>
      </c>
      <c r="AC5" s="604" t="e">
        <f>AVERAGEIF('graph data'!$AG$7298:$AG$8017,"&gt;0")/AVERAGEIF('graph data'!$AB$7298:$AB$8017,"&gt;0")</f>
        <v>#DIV/0!</v>
      </c>
      <c r="AD5" s="605" t="e">
        <f>AVERAGEIF('graph data'!$AG$8018:$AG$8761,"&gt;0")/AVERAGEIF('graph data'!$AB$8018:$AB$8761,"&gt;0")</f>
        <v>#DIV/0!</v>
      </c>
    </row>
    <row r="6" spans="2:192" ht="12.95" customHeight="1">
      <c r="B6" s="171" t="s">
        <v>354</v>
      </c>
      <c r="C6" s="190">
        <f t="shared" si="0"/>
        <v>0</v>
      </c>
      <c r="D6" s="191" t="e">
        <f t="shared" si="1"/>
        <v>#DIV/0!</v>
      </c>
      <c r="E6" s="192">
        <f>C6*3.167</f>
        <v>0</v>
      </c>
      <c r="F6" s="193">
        <f>'graph data'!C124</f>
        <v>0</v>
      </c>
      <c r="G6" s="194">
        <f>'graph data'!D124</f>
        <v>0</v>
      </c>
      <c r="H6" s="194">
        <f>'graph data'!E124</f>
        <v>0</v>
      </c>
      <c r="I6" s="194">
        <f>'graph data'!F124</f>
        <v>0</v>
      </c>
      <c r="J6" s="194">
        <f>'graph data'!G124</f>
        <v>0</v>
      </c>
      <c r="K6" s="194">
        <f>'graph data'!H124</f>
        <v>0</v>
      </c>
      <c r="L6" s="194">
        <f>'graph data'!I124</f>
        <v>0</v>
      </c>
      <c r="M6" s="194">
        <f>'graph data'!J124</f>
        <v>0</v>
      </c>
      <c r="N6" s="194">
        <f>'graph data'!K124</f>
        <v>0</v>
      </c>
      <c r="O6" s="194">
        <f>'graph data'!L124</f>
        <v>0</v>
      </c>
      <c r="P6" s="194">
        <f>'graph data'!M124</f>
        <v>0</v>
      </c>
      <c r="Q6" s="195">
        <f>'graph data'!N124</f>
        <v>0</v>
      </c>
      <c r="R6" s="580"/>
      <c r="S6" s="580"/>
      <c r="T6" s="580"/>
      <c r="U6" s="580"/>
      <c r="V6" s="580"/>
      <c r="W6" s="580"/>
      <c r="X6" s="580"/>
      <c r="Y6" s="580"/>
      <c r="Z6" s="580"/>
      <c r="AA6" s="580"/>
      <c r="AB6" s="580"/>
      <c r="AC6" s="580"/>
      <c r="AD6" s="580"/>
    </row>
    <row r="7" spans="2:192" ht="12.95" customHeight="1">
      <c r="B7" s="170" t="s">
        <v>411</v>
      </c>
      <c r="C7" s="190">
        <f t="shared" si="0"/>
        <v>0</v>
      </c>
      <c r="D7" s="191" t="e">
        <f t="shared" si="1"/>
        <v>#DIV/0!</v>
      </c>
      <c r="E7" s="192">
        <f>C7*1.084</f>
        <v>0</v>
      </c>
      <c r="F7" s="193">
        <f>'graph data'!C130</f>
        <v>0</v>
      </c>
      <c r="G7" s="194">
        <f>'graph data'!D130</f>
        <v>0</v>
      </c>
      <c r="H7" s="194">
        <f>'graph data'!E130</f>
        <v>0</v>
      </c>
      <c r="I7" s="194">
        <f>'graph data'!F130</f>
        <v>0</v>
      </c>
      <c r="J7" s="194">
        <f>'graph data'!G130</f>
        <v>0</v>
      </c>
      <c r="K7" s="194">
        <f>'graph data'!H130</f>
        <v>0</v>
      </c>
      <c r="L7" s="194">
        <f>'graph data'!I130</f>
        <v>0</v>
      </c>
      <c r="M7" s="194">
        <f>'graph data'!J130</f>
        <v>0</v>
      </c>
      <c r="N7" s="194">
        <f>'graph data'!K130</f>
        <v>0</v>
      </c>
      <c r="O7" s="194">
        <f>'graph data'!L130</f>
        <v>0</v>
      </c>
      <c r="P7" s="194">
        <f>'graph data'!M130</f>
        <v>0</v>
      </c>
      <c r="Q7" s="195">
        <f>'graph data'!N130</f>
        <v>0</v>
      </c>
      <c r="R7" s="580"/>
      <c r="S7" s="580"/>
      <c r="T7" s="580"/>
      <c r="U7" s="580"/>
      <c r="V7" s="580"/>
      <c r="W7" s="580"/>
      <c r="X7" s="580"/>
      <c r="Y7" s="580"/>
      <c r="Z7" s="580"/>
      <c r="AA7" s="580"/>
      <c r="AB7" s="580"/>
      <c r="AC7" s="580"/>
      <c r="AD7" s="580"/>
    </row>
    <row r="8" spans="2:192" ht="12.95" customHeight="1">
      <c r="B8" s="170" t="s">
        <v>410</v>
      </c>
      <c r="C8" s="190">
        <f t="shared" si="0"/>
        <v>0</v>
      </c>
      <c r="D8" s="191" t="e">
        <f t="shared" si="1"/>
        <v>#DIV/0!</v>
      </c>
      <c r="E8" s="192">
        <f>C8*3.167</f>
        <v>0</v>
      </c>
      <c r="F8" s="193">
        <f>'graph data'!C129</f>
        <v>0</v>
      </c>
      <c r="G8" s="194">
        <f>'graph data'!D129</f>
        <v>0</v>
      </c>
      <c r="H8" s="194">
        <f>'graph data'!E129</f>
        <v>0</v>
      </c>
      <c r="I8" s="194">
        <f>'graph data'!F129</f>
        <v>0</v>
      </c>
      <c r="J8" s="194">
        <f>'graph data'!G129</f>
        <v>0</v>
      </c>
      <c r="K8" s="194">
        <f>'graph data'!H129</f>
        <v>0</v>
      </c>
      <c r="L8" s="194">
        <f>'graph data'!I129</f>
        <v>0</v>
      </c>
      <c r="M8" s="194">
        <f>'graph data'!J129</f>
        <v>0</v>
      </c>
      <c r="N8" s="194">
        <f>'graph data'!K129</f>
        <v>0</v>
      </c>
      <c r="O8" s="194">
        <f>'graph data'!L129</f>
        <v>0</v>
      </c>
      <c r="P8" s="194">
        <f>'graph data'!M129</f>
        <v>0</v>
      </c>
      <c r="Q8" s="195">
        <f>'graph data'!N129</f>
        <v>0</v>
      </c>
      <c r="R8" s="580"/>
      <c r="S8" s="580"/>
      <c r="T8" s="580"/>
      <c r="U8" s="580"/>
      <c r="V8" s="580"/>
      <c r="W8" s="580"/>
      <c r="X8" s="580"/>
      <c r="Y8" s="580"/>
      <c r="Z8" s="580"/>
      <c r="AA8" s="580"/>
      <c r="AB8" s="580"/>
      <c r="AC8" s="580"/>
      <c r="AD8" s="580"/>
      <c r="AE8" s="357"/>
      <c r="AF8" s="357"/>
      <c r="AG8" s="357"/>
      <c r="AH8" s="357"/>
      <c r="AI8" s="357"/>
      <c r="AJ8" s="357"/>
      <c r="AK8" s="357"/>
      <c r="AL8" s="357"/>
      <c r="AM8" s="357"/>
      <c r="AN8" s="357"/>
      <c r="AO8" s="357"/>
      <c r="AP8" s="357"/>
      <c r="AQ8" s="357"/>
      <c r="AR8" s="357"/>
      <c r="AS8" s="357"/>
      <c r="AT8" s="357"/>
      <c r="AU8" s="357"/>
      <c r="AV8" s="357"/>
      <c r="AW8" s="357"/>
      <c r="AX8" s="357"/>
      <c r="AY8" s="357"/>
      <c r="AZ8" s="357"/>
      <c r="BA8" s="357"/>
      <c r="BB8" s="357"/>
      <c r="BC8" s="357"/>
      <c r="BD8" s="357"/>
      <c r="BE8" s="357"/>
      <c r="BF8" s="357"/>
      <c r="BG8" s="357"/>
      <c r="BH8" s="357"/>
      <c r="BI8" s="357"/>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357"/>
      <c r="CI8" s="357"/>
      <c r="CJ8" s="357"/>
      <c r="CK8" s="357"/>
      <c r="CL8" s="357"/>
      <c r="CM8" s="357"/>
      <c r="CN8" s="357"/>
      <c r="CO8" s="357"/>
      <c r="CP8" s="357"/>
      <c r="CQ8" s="357"/>
      <c r="CR8" s="357"/>
      <c r="CS8" s="357"/>
      <c r="CT8" s="357"/>
      <c r="CU8" s="357"/>
      <c r="CV8" s="357"/>
      <c r="CW8" s="357"/>
      <c r="CX8" s="357"/>
      <c r="CY8" s="357"/>
      <c r="CZ8" s="357"/>
      <c r="DA8" s="357"/>
      <c r="DB8" s="357"/>
      <c r="DC8" s="357"/>
      <c r="DD8" s="357"/>
      <c r="DE8" s="357"/>
      <c r="DF8" s="357"/>
      <c r="DG8" s="357"/>
      <c r="DH8" s="357"/>
      <c r="DI8" s="357"/>
      <c r="DJ8" s="357"/>
      <c r="DK8" s="357"/>
      <c r="DL8" s="357"/>
      <c r="DM8" s="357"/>
      <c r="DN8" s="357"/>
      <c r="DO8" s="357"/>
      <c r="DP8" s="357"/>
      <c r="DQ8" s="357"/>
      <c r="DR8" s="357"/>
      <c r="DS8" s="357"/>
      <c r="DT8" s="357"/>
      <c r="DU8" s="357"/>
      <c r="DV8" s="357"/>
      <c r="DW8" s="357"/>
      <c r="DX8" s="357"/>
      <c r="DY8" s="357"/>
      <c r="DZ8" s="357"/>
      <c r="EA8" s="357"/>
      <c r="EB8" s="357"/>
      <c r="EC8" s="357"/>
      <c r="ED8" s="357"/>
      <c r="EE8" s="357"/>
      <c r="EF8" s="357"/>
      <c r="EG8" s="357"/>
      <c r="EH8" s="357"/>
      <c r="EI8" s="357"/>
      <c r="EJ8" s="357"/>
      <c r="EK8" s="357"/>
      <c r="EL8" s="357"/>
      <c r="EM8" s="357"/>
      <c r="EN8" s="357"/>
      <c r="EO8" s="357"/>
      <c r="EP8" s="357"/>
      <c r="EQ8" s="357"/>
      <c r="ER8" s="357"/>
      <c r="ES8" s="357"/>
      <c r="ET8" s="357"/>
      <c r="EU8" s="357"/>
      <c r="EV8" s="357"/>
      <c r="EW8" s="357"/>
      <c r="EX8" s="357"/>
      <c r="EY8" s="357"/>
      <c r="EZ8" s="357"/>
      <c r="FA8" s="357"/>
      <c r="FB8" s="357"/>
      <c r="FC8" s="357"/>
      <c r="FD8" s="357"/>
      <c r="FE8" s="357"/>
      <c r="FF8" s="357"/>
      <c r="FG8" s="357"/>
      <c r="FH8" s="357"/>
      <c r="FI8" s="357"/>
      <c r="FJ8" s="357"/>
      <c r="FK8" s="357"/>
      <c r="FL8" s="357"/>
      <c r="FM8" s="357"/>
      <c r="FN8" s="357"/>
      <c r="FO8" s="357"/>
      <c r="FP8" s="357"/>
      <c r="FQ8" s="357"/>
      <c r="FR8" s="357"/>
      <c r="FS8" s="357"/>
      <c r="FT8" s="357"/>
      <c r="FU8" s="357"/>
      <c r="FV8" s="357"/>
      <c r="FW8" s="357"/>
      <c r="FX8" s="357"/>
      <c r="FY8" s="357"/>
      <c r="FZ8" s="357"/>
      <c r="GA8" s="357"/>
      <c r="GB8" s="357"/>
      <c r="GC8" s="357"/>
      <c r="GD8" s="357"/>
      <c r="GE8" s="357"/>
      <c r="GF8" s="357"/>
      <c r="GG8" s="357"/>
      <c r="GH8" s="357"/>
      <c r="GI8" s="357"/>
      <c r="GJ8" s="357"/>
    </row>
    <row r="9" spans="2:192" ht="12.95" customHeight="1">
      <c r="B9" s="170" t="s">
        <v>501</v>
      </c>
      <c r="C9" s="190">
        <f t="shared" si="0"/>
        <v>0</v>
      </c>
      <c r="D9" s="196" t="e">
        <f t="shared" si="1"/>
        <v>#DIV/0!</v>
      </c>
      <c r="E9" s="192">
        <f>C9*3.167</f>
        <v>0</v>
      </c>
      <c r="F9" s="193">
        <f>'graph data'!C128</f>
        <v>0</v>
      </c>
      <c r="G9" s="194">
        <f>'graph data'!D128</f>
        <v>0</v>
      </c>
      <c r="H9" s="194">
        <f>'graph data'!E128</f>
        <v>0</v>
      </c>
      <c r="I9" s="194">
        <f>'graph data'!F128</f>
        <v>0</v>
      </c>
      <c r="J9" s="194">
        <f>'graph data'!G128</f>
        <v>0</v>
      </c>
      <c r="K9" s="194">
        <f>'graph data'!H128</f>
        <v>0</v>
      </c>
      <c r="L9" s="194">
        <f>'graph data'!I128</f>
        <v>0</v>
      </c>
      <c r="M9" s="194">
        <f>'graph data'!J128</f>
        <v>0</v>
      </c>
      <c r="N9" s="194">
        <f>'graph data'!K128</f>
        <v>0</v>
      </c>
      <c r="O9" s="194">
        <f>'graph data'!L128</f>
        <v>0</v>
      </c>
      <c r="P9" s="194">
        <f>'graph data'!M128</f>
        <v>0</v>
      </c>
      <c r="Q9" s="195">
        <f>'graph data'!N128</f>
        <v>0</v>
      </c>
      <c r="R9" s="580"/>
      <c r="S9" s="580"/>
      <c r="T9" s="580"/>
      <c r="U9" s="580"/>
      <c r="V9" s="580"/>
      <c r="W9" s="580"/>
      <c r="X9" s="580"/>
      <c r="Y9" s="580"/>
      <c r="Z9" s="580"/>
      <c r="AA9" s="580"/>
      <c r="AB9" s="580"/>
      <c r="AC9" s="580"/>
      <c r="AD9" s="580"/>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7"/>
      <c r="BC9" s="357"/>
      <c r="BD9" s="357"/>
      <c r="BE9" s="357"/>
      <c r="BF9" s="357"/>
      <c r="BG9" s="357"/>
      <c r="BH9" s="357"/>
      <c r="BI9" s="357"/>
      <c r="BJ9" s="357"/>
      <c r="BK9" s="357"/>
      <c r="BL9" s="357"/>
      <c r="BM9" s="357"/>
      <c r="BN9" s="357"/>
      <c r="BO9" s="357"/>
      <c r="BP9" s="357"/>
      <c r="BQ9" s="357"/>
      <c r="BR9" s="357"/>
      <c r="BS9" s="357"/>
      <c r="BT9" s="357"/>
      <c r="BU9" s="357"/>
      <c r="BV9" s="357"/>
      <c r="BW9" s="357"/>
      <c r="BX9" s="357"/>
      <c r="BY9" s="357"/>
      <c r="BZ9" s="357"/>
      <c r="CA9" s="357"/>
      <c r="CB9" s="357"/>
      <c r="CC9" s="357"/>
      <c r="CD9" s="357"/>
      <c r="CE9" s="357"/>
      <c r="CF9" s="357"/>
      <c r="CG9" s="357"/>
      <c r="CH9" s="357"/>
      <c r="CI9" s="357"/>
      <c r="CJ9" s="357"/>
      <c r="CK9" s="357"/>
      <c r="CL9" s="357"/>
      <c r="CM9" s="357"/>
      <c r="CN9" s="357"/>
      <c r="CO9" s="357"/>
      <c r="CP9" s="357"/>
      <c r="CQ9" s="357"/>
      <c r="CR9" s="357"/>
      <c r="CS9" s="357"/>
      <c r="CT9" s="357"/>
      <c r="CU9" s="357"/>
      <c r="CV9" s="357"/>
      <c r="CW9" s="357"/>
      <c r="CX9" s="357"/>
      <c r="CY9" s="357"/>
      <c r="CZ9" s="357"/>
      <c r="DA9" s="357"/>
      <c r="DB9" s="357"/>
      <c r="DC9" s="357"/>
      <c r="DD9" s="357"/>
      <c r="DE9" s="357"/>
      <c r="DF9" s="357"/>
      <c r="DG9" s="357"/>
      <c r="DH9" s="357"/>
      <c r="DI9" s="357"/>
      <c r="DJ9" s="357"/>
      <c r="DK9" s="357"/>
      <c r="DL9" s="357"/>
      <c r="DM9" s="357"/>
      <c r="DN9" s="357"/>
      <c r="DO9" s="357"/>
      <c r="DP9" s="357"/>
      <c r="DQ9" s="357"/>
      <c r="DR9" s="357"/>
      <c r="DS9" s="357"/>
      <c r="DT9" s="357"/>
      <c r="DU9" s="357"/>
      <c r="DV9" s="357"/>
      <c r="DW9" s="357"/>
      <c r="DX9" s="357"/>
      <c r="DY9" s="357"/>
      <c r="DZ9" s="357"/>
      <c r="EA9" s="357"/>
      <c r="EB9" s="357"/>
      <c r="EC9" s="357"/>
      <c r="ED9" s="357"/>
      <c r="EE9" s="357"/>
      <c r="EF9" s="357"/>
      <c r="EG9" s="357"/>
      <c r="EH9" s="357"/>
      <c r="EI9" s="357"/>
      <c r="EJ9" s="357"/>
      <c r="EK9" s="357"/>
      <c r="EL9" s="357"/>
      <c r="EM9" s="357"/>
      <c r="EN9" s="357"/>
      <c r="EO9" s="357"/>
      <c r="EP9" s="357"/>
      <c r="EQ9" s="357"/>
      <c r="ER9" s="357"/>
      <c r="ES9" s="357"/>
      <c r="ET9" s="357"/>
      <c r="EU9" s="357"/>
      <c r="EV9" s="357"/>
      <c r="EW9" s="357"/>
      <c r="EX9" s="357"/>
      <c r="EY9" s="357"/>
      <c r="EZ9" s="357"/>
      <c r="FA9" s="357"/>
      <c r="FB9" s="357"/>
      <c r="FC9" s="357"/>
      <c r="FD9" s="357"/>
      <c r="FE9" s="357"/>
      <c r="FF9" s="357"/>
      <c r="FG9" s="357"/>
      <c r="FH9" s="357"/>
      <c r="FI9" s="357"/>
      <c r="FJ9" s="357"/>
      <c r="FK9" s="357"/>
      <c r="FL9" s="357"/>
      <c r="FM9" s="357"/>
      <c r="FN9" s="357"/>
      <c r="FO9" s="357"/>
      <c r="FP9" s="357"/>
      <c r="FQ9" s="357"/>
      <c r="FR9" s="357"/>
      <c r="FS9" s="357"/>
      <c r="FT9" s="357"/>
      <c r="FU9" s="357"/>
      <c r="FV9" s="357"/>
      <c r="FW9" s="357"/>
      <c r="FX9" s="357"/>
      <c r="FY9" s="357"/>
      <c r="FZ9" s="357"/>
      <c r="GA9" s="357"/>
      <c r="GB9" s="357"/>
      <c r="GC9" s="357"/>
      <c r="GD9" s="357"/>
      <c r="GE9" s="357"/>
      <c r="GF9" s="357"/>
      <c r="GG9" s="357"/>
      <c r="GH9" s="357"/>
      <c r="GI9" s="357"/>
      <c r="GJ9" s="357"/>
    </row>
    <row r="10" spans="2:192" ht="12.95" customHeight="1">
      <c r="B10" s="170" t="s">
        <v>842</v>
      </c>
      <c r="C10" s="190">
        <f t="shared" si="0"/>
        <v>0</v>
      </c>
      <c r="D10" s="196" t="e">
        <f t="shared" si="1"/>
        <v>#DIV/0!</v>
      </c>
      <c r="E10" s="192">
        <f>C10*3.167</f>
        <v>0</v>
      </c>
      <c r="F10" s="193">
        <f>'graph data'!C127</f>
        <v>0</v>
      </c>
      <c r="G10" s="194">
        <f>'graph data'!D127</f>
        <v>0</v>
      </c>
      <c r="H10" s="194">
        <f>'graph data'!E127</f>
        <v>0</v>
      </c>
      <c r="I10" s="194">
        <f>'graph data'!F127</f>
        <v>0</v>
      </c>
      <c r="J10" s="194">
        <f>'graph data'!G127</f>
        <v>0</v>
      </c>
      <c r="K10" s="194">
        <f>'graph data'!H127</f>
        <v>0</v>
      </c>
      <c r="L10" s="194">
        <f>'graph data'!I127</f>
        <v>0</v>
      </c>
      <c r="M10" s="194">
        <f>'graph data'!J127</f>
        <v>0</v>
      </c>
      <c r="N10" s="194">
        <f>'graph data'!K127</f>
        <v>0</v>
      </c>
      <c r="O10" s="194">
        <f>'graph data'!L127</f>
        <v>0</v>
      </c>
      <c r="P10" s="194">
        <f>'graph data'!M127</f>
        <v>0</v>
      </c>
      <c r="Q10" s="195">
        <f>'graph data'!N127</f>
        <v>0</v>
      </c>
      <c r="R10" s="580"/>
      <c r="S10" s="580"/>
      <c r="T10" s="580"/>
      <c r="U10" s="580"/>
      <c r="V10" s="580"/>
      <c r="W10" s="580"/>
      <c r="X10" s="580"/>
      <c r="Y10" s="580"/>
      <c r="Z10" s="580"/>
      <c r="AA10" s="580"/>
      <c r="AB10" s="580"/>
      <c r="AC10" s="580"/>
      <c r="AD10" s="580"/>
      <c r="AE10" s="357"/>
      <c r="AF10" s="357"/>
      <c r="AG10" s="357"/>
      <c r="AH10" s="357"/>
      <c r="AI10" s="357"/>
      <c r="AJ10" s="357"/>
      <c r="AK10" s="357"/>
      <c r="AL10" s="357"/>
      <c r="AM10" s="357"/>
      <c r="AN10" s="357"/>
      <c r="AO10" s="357"/>
      <c r="AP10" s="357"/>
      <c r="AQ10" s="357"/>
      <c r="AR10" s="357"/>
      <c r="AS10" s="357"/>
      <c r="AT10" s="357"/>
      <c r="AU10" s="357"/>
      <c r="AV10" s="357"/>
      <c r="AW10" s="357"/>
      <c r="AX10" s="357"/>
      <c r="AY10" s="357"/>
      <c r="AZ10" s="357"/>
      <c r="BA10" s="357"/>
      <c r="BB10" s="357"/>
      <c r="BC10" s="357"/>
      <c r="BD10" s="357"/>
      <c r="BE10" s="357"/>
      <c r="BF10" s="357"/>
      <c r="BG10" s="357"/>
      <c r="BH10" s="357"/>
      <c r="BI10" s="357"/>
      <c r="BJ10" s="357"/>
      <c r="BK10" s="357"/>
      <c r="BL10" s="357"/>
      <c r="BM10" s="357"/>
      <c r="BN10" s="357"/>
      <c r="BO10" s="357"/>
      <c r="BP10" s="357"/>
      <c r="BQ10" s="357"/>
      <c r="BR10" s="357"/>
      <c r="BS10" s="357"/>
      <c r="BT10" s="357"/>
      <c r="BU10" s="357"/>
      <c r="BV10" s="357"/>
      <c r="BW10" s="357"/>
      <c r="BX10" s="357"/>
      <c r="BY10" s="357"/>
      <c r="BZ10" s="357"/>
      <c r="CA10" s="357"/>
      <c r="CB10" s="357"/>
      <c r="CC10" s="357"/>
      <c r="CD10" s="357"/>
      <c r="CE10" s="357"/>
      <c r="CF10" s="357"/>
      <c r="CG10" s="357"/>
      <c r="CH10" s="357"/>
      <c r="CI10" s="357"/>
      <c r="CJ10" s="357"/>
      <c r="CK10" s="357"/>
      <c r="CL10" s="357"/>
      <c r="CM10" s="357"/>
      <c r="CN10" s="357"/>
      <c r="CO10" s="357"/>
      <c r="CP10" s="357"/>
      <c r="CQ10" s="357"/>
      <c r="CR10" s="357"/>
      <c r="CS10" s="357"/>
      <c r="CT10" s="357"/>
      <c r="CU10" s="357"/>
      <c r="CV10" s="357"/>
      <c r="CW10" s="357"/>
      <c r="CX10" s="357"/>
      <c r="CY10" s="357"/>
      <c r="CZ10" s="357"/>
      <c r="DA10" s="357"/>
      <c r="DB10" s="357"/>
      <c r="DC10" s="357"/>
      <c r="DD10" s="357"/>
      <c r="DE10" s="357"/>
      <c r="DF10" s="357"/>
      <c r="DG10" s="357"/>
      <c r="DH10" s="357"/>
      <c r="DI10" s="357"/>
      <c r="DJ10" s="357"/>
      <c r="DK10" s="357"/>
      <c r="DL10" s="357"/>
      <c r="DM10" s="357"/>
      <c r="DN10" s="357"/>
      <c r="DO10" s="357"/>
      <c r="DP10" s="357"/>
      <c r="DQ10" s="357"/>
      <c r="DR10" s="357"/>
      <c r="DS10" s="357"/>
      <c r="DT10" s="357"/>
      <c r="DU10" s="357"/>
      <c r="DV10" s="357"/>
      <c r="DW10" s="357"/>
      <c r="DX10" s="357"/>
      <c r="DY10" s="357"/>
      <c r="DZ10" s="357"/>
      <c r="EA10" s="357"/>
      <c r="EB10" s="357"/>
      <c r="EC10" s="357"/>
      <c r="ED10" s="357"/>
      <c r="EE10" s="357"/>
      <c r="EF10" s="357"/>
      <c r="EG10" s="357"/>
      <c r="EH10" s="357"/>
      <c r="EI10" s="357"/>
      <c r="EJ10" s="357"/>
      <c r="EK10" s="357"/>
      <c r="EL10" s="357"/>
      <c r="EM10" s="357"/>
      <c r="EN10" s="357"/>
      <c r="EO10" s="357"/>
      <c r="EP10" s="357"/>
      <c r="EQ10" s="357"/>
      <c r="ER10" s="357"/>
      <c r="ES10" s="357"/>
      <c r="ET10" s="357"/>
      <c r="EU10" s="357"/>
      <c r="EV10" s="357"/>
      <c r="EW10" s="357"/>
      <c r="EX10" s="357"/>
      <c r="EY10" s="357"/>
      <c r="EZ10" s="357"/>
      <c r="FA10" s="357"/>
      <c r="FB10" s="357"/>
      <c r="FC10" s="357"/>
      <c r="FD10" s="357"/>
      <c r="FE10" s="357"/>
      <c r="FF10" s="357"/>
      <c r="FG10" s="357"/>
      <c r="FH10" s="357"/>
      <c r="FI10" s="357"/>
      <c r="FJ10" s="357"/>
      <c r="FK10" s="357"/>
      <c r="FL10" s="357"/>
      <c r="FM10" s="357"/>
      <c r="FN10" s="357"/>
      <c r="FO10" s="357"/>
      <c r="FP10" s="357"/>
      <c r="FQ10" s="357"/>
      <c r="FR10" s="357"/>
      <c r="FS10" s="357"/>
      <c r="FT10" s="357"/>
      <c r="FU10" s="357"/>
      <c r="FV10" s="357"/>
      <c r="FW10" s="357"/>
      <c r="FX10" s="357"/>
      <c r="FY10" s="357"/>
      <c r="FZ10" s="357"/>
      <c r="GA10" s="357"/>
      <c r="GB10" s="357"/>
      <c r="GC10" s="357"/>
      <c r="GD10" s="357"/>
      <c r="GE10" s="357"/>
      <c r="GF10" s="357"/>
      <c r="GG10" s="357"/>
      <c r="GH10" s="357"/>
      <c r="GI10" s="357"/>
      <c r="GJ10" s="357"/>
    </row>
    <row r="11" spans="2:192" ht="12.95" customHeight="1">
      <c r="B11" s="170" t="s">
        <v>154</v>
      </c>
      <c r="C11" s="572">
        <f t="shared" si="0"/>
        <v>0</v>
      </c>
      <c r="D11" s="196" t="e">
        <f t="shared" si="1"/>
        <v>#DIV/0!</v>
      </c>
      <c r="E11" s="197">
        <f>SUM(E7:E10)</f>
        <v>0</v>
      </c>
      <c r="F11" s="193">
        <f>'graph data'!C122</f>
        <v>0</v>
      </c>
      <c r="G11" s="194">
        <f>'graph data'!D122</f>
        <v>0</v>
      </c>
      <c r="H11" s="194">
        <f>'graph data'!E122</f>
        <v>0</v>
      </c>
      <c r="I11" s="194">
        <f>'graph data'!F122</f>
        <v>0</v>
      </c>
      <c r="J11" s="194">
        <f>'graph data'!G122</f>
        <v>0</v>
      </c>
      <c r="K11" s="194">
        <f>'graph data'!H122</f>
        <v>0</v>
      </c>
      <c r="L11" s="194">
        <f>'graph data'!I122</f>
        <v>0</v>
      </c>
      <c r="M11" s="194">
        <f>'graph data'!J122</f>
        <v>0</v>
      </c>
      <c r="N11" s="194">
        <f>'graph data'!K122</f>
        <v>0</v>
      </c>
      <c r="O11" s="194">
        <f>'graph data'!L122</f>
        <v>0</v>
      </c>
      <c r="P11" s="194">
        <f>'graph data'!M122</f>
        <v>0</v>
      </c>
      <c r="Q11" s="195">
        <f>'graph data'!N122</f>
        <v>0</v>
      </c>
      <c r="R11" s="580"/>
      <c r="S11" s="580"/>
      <c r="T11" s="580"/>
      <c r="U11" s="580"/>
      <c r="V11" s="580"/>
      <c r="W11" s="580"/>
      <c r="X11" s="580"/>
      <c r="Y11" s="580"/>
      <c r="Z11" s="580"/>
      <c r="AA11" s="580"/>
      <c r="AB11" s="580"/>
      <c r="AC11" s="580"/>
      <c r="AD11" s="580"/>
      <c r="AE11" s="357"/>
      <c r="AF11" s="357"/>
      <c r="AG11" s="357"/>
      <c r="AH11" s="357"/>
      <c r="AI11" s="357"/>
      <c r="AJ11" s="357"/>
      <c r="AK11" s="357"/>
      <c r="AL11" s="357"/>
      <c r="AM11" s="357"/>
      <c r="AN11" s="357"/>
      <c r="AO11" s="357"/>
      <c r="AP11" s="357"/>
      <c r="AQ11" s="357"/>
      <c r="AR11" s="357"/>
      <c r="AS11" s="357"/>
      <c r="AT11" s="357"/>
      <c r="AU11" s="357"/>
      <c r="AV11" s="357"/>
      <c r="AW11" s="357"/>
      <c r="AX11" s="357"/>
      <c r="AY11" s="357"/>
      <c r="AZ11" s="357"/>
      <c r="BA11" s="357"/>
      <c r="BB11" s="357"/>
      <c r="BC11" s="357"/>
      <c r="BD11" s="357"/>
      <c r="BE11" s="357"/>
      <c r="BF11" s="357"/>
      <c r="BG11" s="357"/>
      <c r="BH11" s="357"/>
      <c r="BI11" s="357"/>
      <c r="BJ11" s="357"/>
      <c r="BK11" s="357"/>
      <c r="BL11" s="357"/>
      <c r="BM11" s="357"/>
      <c r="BN11" s="357"/>
      <c r="BO11" s="357"/>
      <c r="BP11" s="357"/>
      <c r="BQ11" s="357"/>
      <c r="BR11" s="357"/>
      <c r="BS11" s="357"/>
      <c r="BT11" s="357"/>
      <c r="BU11" s="357"/>
      <c r="BV11" s="357"/>
      <c r="BW11" s="357"/>
      <c r="BX11" s="357"/>
      <c r="BY11" s="357"/>
      <c r="BZ11" s="357"/>
      <c r="CA11" s="357"/>
      <c r="CB11" s="357"/>
      <c r="CC11" s="357"/>
      <c r="CD11" s="357"/>
      <c r="CE11" s="357"/>
      <c r="CF11" s="357"/>
      <c r="CG11" s="357"/>
      <c r="CH11" s="357"/>
      <c r="CI11" s="357"/>
      <c r="CJ11" s="357"/>
      <c r="CK11" s="357"/>
      <c r="CL11" s="357"/>
      <c r="CM11" s="357"/>
      <c r="CN11" s="357"/>
      <c r="CO11" s="357"/>
      <c r="CP11" s="357"/>
      <c r="CQ11" s="357"/>
      <c r="CR11" s="357"/>
      <c r="CS11" s="357"/>
      <c r="CT11" s="357"/>
      <c r="CU11" s="357"/>
      <c r="CV11" s="357"/>
      <c r="CW11" s="357"/>
      <c r="CX11" s="357"/>
      <c r="CY11" s="357"/>
      <c r="CZ11" s="357"/>
      <c r="DA11" s="357"/>
      <c r="DB11" s="357"/>
      <c r="DC11" s="357"/>
      <c r="DD11" s="357"/>
      <c r="DE11" s="357"/>
      <c r="DF11" s="357"/>
      <c r="DG11" s="357"/>
      <c r="DH11" s="357"/>
      <c r="DI11" s="357"/>
      <c r="DJ11" s="357"/>
      <c r="DK11" s="357"/>
      <c r="DL11" s="357"/>
      <c r="DM11" s="357"/>
      <c r="DN11" s="357"/>
      <c r="DO11" s="357"/>
      <c r="DP11" s="357"/>
      <c r="DQ11" s="357"/>
      <c r="DR11" s="357"/>
      <c r="DS11" s="357"/>
      <c r="DT11" s="357"/>
      <c r="DU11" s="357"/>
      <c r="DV11" s="357"/>
      <c r="DW11" s="357"/>
      <c r="DX11" s="357"/>
      <c r="DY11" s="357"/>
      <c r="DZ11" s="357"/>
      <c r="EA11" s="357"/>
      <c r="EB11" s="357"/>
      <c r="EC11" s="357"/>
      <c r="ED11" s="357"/>
      <c r="EE11" s="357"/>
      <c r="EF11" s="357"/>
      <c r="EG11" s="357"/>
      <c r="EH11" s="357"/>
      <c r="EI11" s="357"/>
      <c r="EJ11" s="357"/>
      <c r="EK11" s="357"/>
      <c r="EL11" s="357"/>
      <c r="EM11" s="357"/>
      <c r="EN11" s="357"/>
      <c r="EO11" s="357"/>
      <c r="EP11" s="357"/>
      <c r="EQ11" s="357"/>
      <c r="ER11" s="357"/>
      <c r="ES11" s="357"/>
      <c r="ET11" s="357"/>
      <c r="EU11" s="357"/>
      <c r="EV11" s="357"/>
      <c r="EW11" s="357"/>
      <c r="EX11" s="357"/>
      <c r="EY11" s="357"/>
      <c r="EZ11" s="357"/>
      <c r="FA11" s="357"/>
      <c r="FB11" s="357"/>
      <c r="FC11" s="357"/>
      <c r="FD11" s="357"/>
      <c r="FE11" s="357"/>
      <c r="FF11" s="357"/>
      <c r="FG11" s="357"/>
      <c r="FH11" s="357"/>
      <c r="FI11" s="357"/>
      <c r="FJ11" s="357"/>
      <c r="FK11" s="357"/>
      <c r="FL11" s="357"/>
      <c r="FM11" s="357"/>
      <c r="FN11" s="357"/>
      <c r="FO11" s="357"/>
      <c r="FP11" s="357"/>
      <c r="FQ11" s="357"/>
      <c r="FR11" s="357"/>
      <c r="FS11" s="357"/>
      <c r="FT11" s="357"/>
      <c r="FU11" s="357"/>
      <c r="FV11" s="357"/>
      <c r="FW11" s="357"/>
      <c r="FX11" s="357"/>
      <c r="FY11" s="357"/>
      <c r="FZ11" s="357"/>
      <c r="GA11" s="357"/>
      <c r="GB11" s="357"/>
      <c r="GC11" s="357"/>
      <c r="GD11" s="357"/>
      <c r="GE11" s="357"/>
      <c r="GF11" s="357"/>
      <c r="GG11" s="357"/>
      <c r="GH11" s="357"/>
      <c r="GI11" s="357"/>
      <c r="GJ11" s="357"/>
    </row>
    <row r="12" spans="2:192" ht="12.95" customHeight="1">
      <c r="B12" s="172" t="s">
        <v>153</v>
      </c>
      <c r="C12" s="198">
        <f t="shared" si="0"/>
        <v>0</v>
      </c>
      <c r="D12" s="199" t="e">
        <f t="shared" si="1"/>
        <v>#DIV/0!</v>
      </c>
      <c r="E12" s="200">
        <f>SUM(E5:E11)</f>
        <v>0</v>
      </c>
      <c r="F12" s="201">
        <f>'graph data'!C121</f>
        <v>0</v>
      </c>
      <c r="G12" s="202">
        <f>'graph data'!D121</f>
        <v>0</v>
      </c>
      <c r="H12" s="202">
        <f>'graph data'!E121</f>
        <v>0</v>
      </c>
      <c r="I12" s="202">
        <f>'graph data'!F121</f>
        <v>0</v>
      </c>
      <c r="J12" s="202">
        <f>'graph data'!G121</f>
        <v>0</v>
      </c>
      <c r="K12" s="202">
        <f>'graph data'!H121</f>
        <v>0</v>
      </c>
      <c r="L12" s="202">
        <f>'graph data'!I121</f>
        <v>0</v>
      </c>
      <c r="M12" s="202">
        <f>'graph data'!J121</f>
        <v>0</v>
      </c>
      <c r="N12" s="202">
        <f>'graph data'!K121</f>
        <v>0</v>
      </c>
      <c r="O12" s="202">
        <f>'graph data'!L121</f>
        <v>0</v>
      </c>
      <c r="P12" s="202">
        <f>'graph data'!M121</f>
        <v>0</v>
      </c>
      <c r="Q12" s="203">
        <f>'graph data'!N121</f>
        <v>0</v>
      </c>
      <c r="R12" s="580"/>
      <c r="S12" s="580"/>
      <c r="T12" s="580"/>
      <c r="U12" s="580"/>
      <c r="V12" s="580"/>
      <c r="W12" s="580"/>
      <c r="X12" s="580"/>
      <c r="Y12" s="580"/>
      <c r="Z12" s="580"/>
      <c r="AA12" s="580"/>
      <c r="AB12" s="580"/>
      <c r="AC12" s="580"/>
      <c r="AD12" s="580"/>
      <c r="AE12" s="357"/>
      <c r="AF12" s="357"/>
      <c r="AG12" s="357"/>
      <c r="AH12" s="357"/>
      <c r="AI12" s="357"/>
      <c r="AJ12" s="357"/>
      <c r="AK12" s="357"/>
      <c r="AL12" s="357"/>
      <c r="AM12" s="357"/>
      <c r="AN12" s="357"/>
      <c r="AO12" s="357"/>
      <c r="AP12" s="357"/>
      <c r="AQ12" s="357"/>
      <c r="AR12" s="357"/>
      <c r="AS12" s="357"/>
      <c r="AT12" s="357"/>
      <c r="AU12" s="357"/>
      <c r="AV12" s="357"/>
      <c r="AW12" s="357"/>
      <c r="AX12" s="357"/>
      <c r="AY12" s="357"/>
      <c r="AZ12" s="357"/>
      <c r="BA12" s="357"/>
      <c r="BB12" s="357"/>
      <c r="BC12" s="357"/>
      <c r="BD12" s="357"/>
      <c r="BE12" s="357"/>
      <c r="BF12" s="357"/>
      <c r="BG12" s="357"/>
      <c r="BH12" s="357"/>
      <c r="BI12" s="357"/>
      <c r="BJ12" s="357"/>
      <c r="BK12" s="357"/>
      <c r="BL12" s="357"/>
      <c r="BM12" s="357"/>
      <c r="BN12" s="357"/>
      <c r="BO12" s="357"/>
      <c r="BP12" s="357"/>
      <c r="BQ12" s="357"/>
      <c r="BR12" s="357"/>
      <c r="BS12" s="357"/>
      <c r="BT12" s="357"/>
      <c r="BU12" s="357"/>
      <c r="BV12" s="357"/>
      <c r="BW12" s="357"/>
      <c r="BX12" s="357"/>
      <c r="BY12" s="357"/>
      <c r="BZ12" s="357"/>
      <c r="CA12" s="357"/>
      <c r="CB12" s="357"/>
      <c r="CC12" s="357"/>
      <c r="CD12" s="357"/>
      <c r="CE12" s="357"/>
      <c r="CF12" s="357"/>
      <c r="CG12" s="357"/>
      <c r="CH12" s="357"/>
      <c r="CI12" s="357"/>
      <c r="CJ12" s="357"/>
      <c r="CK12" s="357"/>
      <c r="CL12" s="357"/>
      <c r="CM12" s="357"/>
      <c r="CN12" s="357"/>
      <c r="CO12" s="357"/>
      <c r="CP12" s="357"/>
      <c r="CQ12" s="357"/>
      <c r="CR12" s="357"/>
      <c r="CS12" s="357"/>
      <c r="CT12" s="357"/>
      <c r="CU12" s="357"/>
      <c r="CV12" s="357"/>
      <c r="CW12" s="357"/>
      <c r="CX12" s="357"/>
      <c r="CY12" s="357"/>
      <c r="CZ12" s="357"/>
      <c r="DA12" s="357"/>
      <c r="DB12" s="357"/>
      <c r="DC12" s="357"/>
      <c r="DD12" s="357"/>
      <c r="DE12" s="357"/>
      <c r="DF12" s="357"/>
      <c r="DG12" s="357"/>
      <c r="DH12" s="357"/>
      <c r="DI12" s="357"/>
      <c r="DJ12" s="357"/>
      <c r="DK12" s="357"/>
      <c r="DL12" s="357"/>
      <c r="DM12" s="357"/>
      <c r="DN12" s="357"/>
      <c r="DO12" s="357"/>
      <c r="DP12" s="357"/>
      <c r="DQ12" s="357"/>
      <c r="DR12" s="357"/>
      <c r="DS12" s="357"/>
      <c r="DT12" s="357"/>
      <c r="DU12" s="357"/>
      <c r="DV12" s="357"/>
      <c r="DW12" s="357"/>
      <c r="DX12" s="357"/>
      <c r="DY12" s="357"/>
      <c r="DZ12" s="357"/>
      <c r="EA12" s="357"/>
      <c r="EB12" s="357"/>
      <c r="EC12" s="357"/>
      <c r="ED12" s="357"/>
      <c r="EE12" s="357"/>
      <c r="EF12" s="357"/>
      <c r="EG12" s="357"/>
      <c r="EH12" s="357"/>
      <c r="EI12" s="357"/>
      <c r="EJ12" s="357"/>
      <c r="EK12" s="357"/>
      <c r="EL12" s="357"/>
      <c r="EM12" s="357"/>
      <c r="EN12" s="357"/>
      <c r="EO12" s="357"/>
      <c r="EP12" s="357"/>
      <c r="EQ12" s="357"/>
      <c r="ER12" s="357"/>
      <c r="ES12" s="357"/>
      <c r="ET12" s="357"/>
      <c r="EU12" s="357"/>
      <c r="EV12" s="357"/>
      <c r="EW12" s="357"/>
      <c r="EX12" s="357"/>
      <c r="EY12" s="357"/>
      <c r="EZ12" s="357"/>
      <c r="FA12" s="357"/>
      <c r="FB12" s="357"/>
      <c r="FC12" s="357"/>
      <c r="FD12" s="357"/>
      <c r="FE12" s="357"/>
      <c r="FF12" s="357"/>
      <c r="FG12" s="357"/>
      <c r="FH12" s="357"/>
      <c r="FI12" s="357"/>
      <c r="FJ12" s="357"/>
      <c r="FK12" s="357"/>
      <c r="FL12" s="357"/>
      <c r="FM12" s="357"/>
      <c r="FN12" s="357"/>
      <c r="FO12" s="357"/>
      <c r="FP12" s="357"/>
      <c r="FQ12" s="357"/>
      <c r="FR12" s="357"/>
      <c r="FS12" s="357"/>
      <c r="FT12" s="357"/>
      <c r="FU12" s="357"/>
      <c r="FV12" s="357"/>
      <c r="FW12" s="357"/>
      <c r="FX12" s="357"/>
      <c r="FY12" s="357"/>
      <c r="FZ12" s="357"/>
      <c r="GA12" s="357"/>
      <c r="GB12" s="357"/>
      <c r="GC12" s="357"/>
      <c r="GD12" s="357"/>
      <c r="GE12" s="357"/>
      <c r="GF12" s="357"/>
      <c r="GG12" s="357"/>
      <c r="GH12" s="357"/>
      <c r="GI12" s="357"/>
      <c r="GJ12" s="357"/>
    </row>
    <row r="13" spans="2:192" ht="12.95" customHeight="1">
      <c r="C13" s="151"/>
      <c r="D13" s="169"/>
      <c r="E13" s="169"/>
      <c r="F13" s="169"/>
      <c r="G13" s="169"/>
      <c r="H13" s="169"/>
      <c r="I13" s="169"/>
      <c r="J13" s="169"/>
      <c r="K13" s="169"/>
      <c r="L13" s="169"/>
      <c r="M13" s="169"/>
      <c r="N13" s="169"/>
      <c r="O13" s="169"/>
      <c r="P13" s="169"/>
      <c r="Q13" s="169"/>
      <c r="R13" s="580"/>
      <c r="S13" s="580"/>
      <c r="T13" s="580"/>
      <c r="U13" s="580"/>
      <c r="V13" s="580"/>
      <c r="W13" s="580"/>
      <c r="X13" s="580"/>
      <c r="Y13" s="580"/>
      <c r="Z13" s="580"/>
      <c r="AA13" s="580"/>
      <c r="AB13" s="580"/>
      <c r="AC13" s="580"/>
      <c r="AD13" s="580"/>
      <c r="AE13" s="357"/>
      <c r="AF13" s="357"/>
      <c r="AG13" s="357"/>
      <c r="AH13" s="357"/>
      <c r="AI13" s="357"/>
      <c r="AJ13" s="357"/>
      <c r="AK13" s="357"/>
      <c r="AL13" s="357"/>
      <c r="AM13" s="357"/>
      <c r="AN13" s="357"/>
      <c r="AO13" s="357"/>
      <c r="AP13" s="357"/>
      <c r="AQ13" s="357"/>
      <c r="AR13" s="357"/>
      <c r="AS13" s="357"/>
      <c r="AT13" s="357"/>
      <c r="AU13" s="357"/>
      <c r="AV13" s="357"/>
      <c r="AW13" s="357"/>
      <c r="AX13" s="357"/>
      <c r="AY13" s="357"/>
      <c r="AZ13" s="357"/>
      <c r="BA13" s="357"/>
      <c r="BB13" s="357"/>
      <c r="BC13" s="357"/>
      <c r="BD13" s="357"/>
      <c r="BE13" s="357"/>
      <c r="BF13" s="357"/>
      <c r="BG13" s="357"/>
      <c r="BH13" s="357"/>
      <c r="BI13" s="357"/>
      <c r="BJ13" s="357"/>
      <c r="BK13" s="357"/>
      <c r="BL13" s="357"/>
      <c r="BM13" s="357"/>
      <c r="BN13" s="357"/>
      <c r="BO13" s="357"/>
      <c r="BP13" s="357"/>
      <c r="BQ13" s="357"/>
      <c r="BR13" s="357"/>
      <c r="BS13" s="357"/>
      <c r="BT13" s="357"/>
      <c r="BU13" s="357"/>
      <c r="BV13" s="357"/>
      <c r="BW13" s="357"/>
      <c r="BX13" s="357"/>
      <c r="BY13" s="357"/>
      <c r="BZ13" s="357"/>
      <c r="CA13" s="357"/>
      <c r="CB13" s="357"/>
      <c r="CC13" s="357"/>
      <c r="CD13" s="357"/>
      <c r="CE13" s="357"/>
      <c r="CF13" s="357"/>
      <c r="CG13" s="357"/>
      <c r="CH13" s="357"/>
      <c r="CI13" s="357"/>
      <c r="CJ13" s="357"/>
      <c r="CK13" s="357"/>
      <c r="CL13" s="357"/>
      <c r="CM13" s="357"/>
      <c r="CN13" s="357"/>
      <c r="CO13" s="357"/>
      <c r="CP13" s="357"/>
      <c r="CQ13" s="357"/>
      <c r="CR13" s="357"/>
      <c r="CS13" s="357"/>
      <c r="CT13" s="357"/>
      <c r="CU13" s="357"/>
      <c r="CV13" s="357"/>
      <c r="CW13" s="357"/>
      <c r="CX13" s="357"/>
      <c r="CY13" s="357"/>
      <c r="CZ13" s="357"/>
      <c r="DA13" s="357"/>
      <c r="DB13" s="357"/>
      <c r="DC13" s="357"/>
      <c r="DD13" s="357"/>
      <c r="DE13" s="357"/>
      <c r="DF13" s="357"/>
      <c r="DG13" s="357"/>
      <c r="DH13" s="357"/>
      <c r="DI13" s="357"/>
      <c r="DJ13" s="357"/>
      <c r="DK13" s="357"/>
      <c r="DL13" s="357"/>
      <c r="DM13" s="357"/>
      <c r="DN13" s="357"/>
      <c r="DO13" s="357"/>
      <c r="DP13" s="357"/>
      <c r="DQ13" s="357"/>
      <c r="DR13" s="357"/>
      <c r="DS13" s="357"/>
      <c r="DT13" s="357"/>
      <c r="DU13" s="357"/>
      <c r="DV13" s="357"/>
      <c r="DW13" s="357"/>
      <c r="DX13" s="357"/>
      <c r="DY13" s="357"/>
      <c r="DZ13" s="357"/>
      <c r="EA13" s="357"/>
      <c r="EB13" s="357"/>
      <c r="EC13" s="357"/>
      <c r="ED13" s="357"/>
      <c r="EE13" s="357"/>
      <c r="EF13" s="357"/>
      <c r="EG13" s="357"/>
      <c r="EH13" s="357"/>
      <c r="EI13" s="357"/>
      <c r="EJ13" s="357"/>
      <c r="EK13" s="357"/>
      <c r="EL13" s="357"/>
      <c r="EM13" s="357"/>
      <c r="EN13" s="357"/>
      <c r="EO13" s="357"/>
      <c r="EP13" s="357"/>
      <c r="EQ13" s="357"/>
      <c r="ER13" s="357"/>
      <c r="ES13" s="357"/>
      <c r="ET13" s="357"/>
      <c r="EU13" s="357"/>
      <c r="EV13" s="357"/>
      <c r="EW13" s="357"/>
      <c r="EX13" s="357"/>
      <c r="EY13" s="357"/>
      <c r="EZ13" s="357"/>
      <c r="FA13" s="357"/>
      <c r="FB13" s="357"/>
      <c r="FC13" s="357"/>
      <c r="FD13" s="357"/>
      <c r="FE13" s="357"/>
      <c r="FF13" s="357"/>
      <c r="FG13" s="357"/>
      <c r="FH13" s="357"/>
      <c r="FI13" s="357"/>
      <c r="FJ13" s="357"/>
      <c r="FK13" s="357"/>
      <c r="FL13" s="357"/>
      <c r="FM13" s="357"/>
      <c r="FN13" s="357"/>
      <c r="FO13" s="357"/>
      <c r="FP13" s="357"/>
      <c r="FQ13" s="357"/>
      <c r="FR13" s="357"/>
      <c r="FS13" s="357"/>
      <c r="FT13" s="357"/>
      <c r="FU13" s="357"/>
      <c r="FV13" s="357"/>
      <c r="FW13" s="357"/>
      <c r="FX13" s="357"/>
      <c r="FY13" s="357"/>
      <c r="FZ13" s="357"/>
      <c r="GA13" s="357"/>
      <c r="GB13" s="357"/>
      <c r="GC13" s="357"/>
      <c r="GD13" s="357"/>
      <c r="GE13" s="357"/>
      <c r="GF13" s="357"/>
      <c r="GG13" s="357"/>
      <c r="GH13" s="357"/>
      <c r="GI13" s="357"/>
      <c r="GJ13" s="357"/>
    </row>
    <row r="14" spans="2:192" ht="12.95" customHeight="1">
      <c r="R14" s="580"/>
      <c r="S14" s="580"/>
      <c r="T14" s="580"/>
      <c r="U14" s="580"/>
      <c r="V14" s="580"/>
      <c r="W14" s="580"/>
      <c r="X14" s="580"/>
      <c r="Y14" s="580"/>
      <c r="Z14" s="580"/>
      <c r="AA14" s="580"/>
      <c r="AB14" s="580"/>
      <c r="AC14" s="580"/>
      <c r="AD14" s="580"/>
      <c r="AE14" s="357"/>
      <c r="AF14" s="357"/>
      <c r="AG14" s="357"/>
      <c r="AH14" s="357"/>
      <c r="AI14" s="357"/>
      <c r="AJ14" s="357"/>
      <c r="AK14" s="357"/>
      <c r="AL14" s="357"/>
      <c r="AM14" s="357"/>
      <c r="AN14" s="357"/>
      <c r="AO14" s="357"/>
      <c r="AP14" s="357"/>
      <c r="AQ14" s="357"/>
      <c r="AR14" s="357"/>
      <c r="AS14" s="357"/>
      <c r="AT14" s="357"/>
      <c r="AU14" s="357"/>
      <c r="AV14" s="357"/>
      <c r="AW14" s="357"/>
      <c r="AX14" s="357"/>
      <c r="AY14" s="357"/>
      <c r="AZ14" s="357"/>
      <c r="BA14" s="357"/>
      <c r="BB14" s="357"/>
      <c r="BC14" s="357"/>
      <c r="BD14" s="357"/>
      <c r="BE14" s="357"/>
      <c r="BF14" s="357"/>
      <c r="BG14" s="357"/>
      <c r="BH14" s="357"/>
      <c r="BI14" s="357"/>
      <c r="BJ14" s="357"/>
      <c r="BK14" s="357"/>
      <c r="BL14" s="357"/>
      <c r="BM14" s="357"/>
      <c r="BN14" s="357"/>
      <c r="BO14" s="357"/>
      <c r="BP14" s="357"/>
      <c r="BQ14" s="357"/>
      <c r="BR14" s="357"/>
      <c r="BS14" s="357"/>
      <c r="BT14" s="357"/>
      <c r="BU14" s="357"/>
      <c r="BV14" s="357"/>
      <c r="BW14" s="357"/>
      <c r="BX14" s="357"/>
      <c r="BY14" s="357"/>
      <c r="BZ14" s="357"/>
      <c r="CA14" s="357"/>
      <c r="CB14" s="357"/>
      <c r="CC14" s="357"/>
      <c r="CD14" s="357"/>
      <c r="CE14" s="357"/>
      <c r="CF14" s="357"/>
      <c r="CG14" s="357"/>
      <c r="CH14" s="357"/>
      <c r="CI14" s="357"/>
      <c r="CJ14" s="357"/>
      <c r="CK14" s="357"/>
      <c r="CL14" s="357"/>
      <c r="CM14" s="357"/>
      <c r="CN14" s="357"/>
      <c r="CO14" s="357"/>
      <c r="CP14" s="357"/>
      <c r="CQ14" s="357"/>
      <c r="CR14" s="357"/>
      <c r="CS14" s="357"/>
      <c r="CT14" s="357"/>
      <c r="CU14" s="357"/>
      <c r="CV14" s="357"/>
      <c r="CW14" s="357"/>
      <c r="CX14" s="357"/>
      <c r="CY14" s="357"/>
      <c r="CZ14" s="357"/>
      <c r="DA14" s="357"/>
      <c r="DB14" s="357"/>
      <c r="DC14" s="357"/>
      <c r="DD14" s="357"/>
      <c r="DE14" s="357"/>
      <c r="DF14" s="357"/>
      <c r="DG14" s="357"/>
      <c r="DH14" s="357"/>
      <c r="DI14" s="357"/>
      <c r="DJ14" s="357"/>
      <c r="DK14" s="357"/>
      <c r="DL14" s="357"/>
      <c r="DM14" s="357"/>
      <c r="DN14" s="357"/>
      <c r="DO14" s="357"/>
      <c r="DP14" s="357"/>
      <c r="DQ14" s="357"/>
      <c r="DR14" s="357"/>
      <c r="DS14" s="357"/>
      <c r="DT14" s="357"/>
      <c r="DU14" s="357"/>
      <c r="DV14" s="357"/>
      <c r="DW14" s="357"/>
      <c r="DX14" s="357"/>
      <c r="DY14" s="357"/>
      <c r="DZ14" s="357"/>
      <c r="EA14" s="357"/>
      <c r="EB14" s="357"/>
      <c r="EC14" s="357"/>
      <c r="ED14" s="357"/>
      <c r="EE14" s="357"/>
      <c r="EF14" s="357"/>
      <c r="EG14" s="357"/>
      <c r="EH14" s="357"/>
      <c r="EI14" s="357"/>
      <c r="EJ14" s="357"/>
      <c r="EK14" s="357"/>
      <c r="EL14" s="357"/>
      <c r="EM14" s="357"/>
      <c r="EN14" s="357"/>
      <c r="EO14" s="357"/>
      <c r="EP14" s="357"/>
      <c r="EQ14" s="357"/>
      <c r="ER14" s="357"/>
      <c r="ES14" s="357"/>
      <c r="ET14" s="357"/>
      <c r="EU14" s="357"/>
      <c r="EV14" s="357"/>
      <c r="EW14" s="357"/>
      <c r="EX14" s="357"/>
      <c r="EY14" s="357"/>
      <c r="EZ14" s="357"/>
      <c r="FA14" s="357"/>
      <c r="FB14" s="357"/>
      <c r="FC14" s="357"/>
      <c r="FD14" s="357"/>
      <c r="FE14" s="357"/>
      <c r="FF14" s="357"/>
      <c r="FG14" s="357"/>
      <c r="FH14" s="357"/>
      <c r="FI14" s="357"/>
      <c r="FJ14" s="357"/>
      <c r="FK14" s="357"/>
      <c r="FL14" s="357"/>
      <c r="FM14" s="357"/>
      <c r="FN14" s="357"/>
      <c r="FO14" s="357"/>
      <c r="FP14" s="357"/>
      <c r="FQ14" s="357"/>
      <c r="FR14" s="357"/>
      <c r="FS14" s="357"/>
      <c r="FT14" s="357"/>
      <c r="FU14" s="357"/>
      <c r="FV14" s="357"/>
      <c r="FW14" s="357"/>
      <c r="FX14" s="357"/>
      <c r="FY14" s="357"/>
      <c r="FZ14" s="357"/>
      <c r="GA14" s="357"/>
      <c r="GB14" s="357"/>
      <c r="GC14" s="357"/>
      <c r="GD14" s="357"/>
      <c r="GE14" s="357"/>
      <c r="GF14" s="357"/>
      <c r="GG14" s="357"/>
      <c r="GH14" s="357"/>
      <c r="GI14" s="357"/>
      <c r="GJ14" s="357"/>
    </row>
    <row r="15" spans="2:192" ht="12.95" customHeight="1">
      <c r="R15" s="580"/>
      <c r="S15" s="580"/>
      <c r="T15" s="580"/>
      <c r="U15" s="580"/>
      <c r="V15" s="580"/>
      <c r="W15" s="580"/>
      <c r="X15" s="580"/>
      <c r="Y15" s="580"/>
      <c r="Z15" s="580"/>
      <c r="AA15" s="580"/>
      <c r="AB15" s="580"/>
      <c r="AC15" s="580"/>
      <c r="AD15" s="580"/>
      <c r="AE15" s="357"/>
      <c r="AF15" s="357"/>
      <c r="AG15" s="357"/>
      <c r="AH15" s="357"/>
      <c r="AI15" s="357"/>
      <c r="AJ15" s="357"/>
      <c r="AK15" s="357"/>
      <c r="AL15" s="357"/>
      <c r="AM15" s="357"/>
      <c r="AN15" s="357"/>
      <c r="AO15" s="357"/>
      <c r="AP15" s="357"/>
      <c r="AQ15" s="357"/>
      <c r="AR15" s="357"/>
      <c r="AS15" s="357"/>
      <c r="AT15" s="357"/>
      <c r="AU15" s="357"/>
      <c r="AV15" s="357"/>
      <c r="AW15" s="357"/>
      <c r="AX15" s="357"/>
      <c r="AY15" s="357"/>
      <c r="AZ15" s="357"/>
      <c r="BA15" s="357"/>
      <c r="BB15" s="357"/>
      <c r="BC15" s="357"/>
      <c r="BD15" s="357"/>
      <c r="BE15" s="357"/>
      <c r="BF15" s="357"/>
      <c r="BG15" s="357"/>
      <c r="BH15" s="357"/>
      <c r="BI15" s="357"/>
      <c r="BJ15" s="357"/>
      <c r="BK15" s="357"/>
      <c r="BL15" s="357"/>
      <c r="BM15" s="357"/>
      <c r="BN15" s="357"/>
      <c r="BO15" s="357"/>
      <c r="BP15" s="357"/>
      <c r="BQ15" s="357"/>
      <c r="BR15" s="357"/>
      <c r="BS15" s="357"/>
      <c r="BT15" s="357"/>
      <c r="BU15" s="357"/>
      <c r="BV15" s="357"/>
      <c r="BW15" s="357"/>
      <c r="BX15" s="357"/>
      <c r="BY15" s="357"/>
      <c r="BZ15" s="357"/>
      <c r="CA15" s="357"/>
      <c r="CB15" s="357"/>
      <c r="CC15" s="357"/>
      <c r="CD15" s="357"/>
      <c r="CE15" s="357"/>
      <c r="CF15" s="357"/>
      <c r="CG15" s="357"/>
      <c r="CH15" s="357"/>
      <c r="CI15" s="357"/>
      <c r="CJ15" s="357"/>
      <c r="CK15" s="357"/>
      <c r="CL15" s="357"/>
      <c r="CM15" s="357"/>
      <c r="CN15" s="357"/>
      <c r="CO15" s="357"/>
      <c r="CP15" s="357"/>
      <c r="CQ15" s="357"/>
      <c r="CR15" s="357"/>
      <c r="CS15" s="357"/>
      <c r="CT15" s="357"/>
      <c r="CU15" s="357"/>
      <c r="CV15" s="357"/>
      <c r="CW15" s="357"/>
      <c r="CX15" s="357"/>
      <c r="CY15" s="357"/>
      <c r="CZ15" s="357"/>
      <c r="DA15" s="357"/>
      <c r="DB15" s="357"/>
      <c r="DC15" s="357"/>
      <c r="DD15" s="357"/>
      <c r="DE15" s="357"/>
      <c r="DF15" s="357"/>
      <c r="DG15" s="357"/>
      <c r="DH15" s="357"/>
      <c r="DI15" s="357"/>
      <c r="DJ15" s="357"/>
      <c r="DK15" s="357"/>
      <c r="DL15" s="357"/>
      <c r="DM15" s="357"/>
      <c r="DN15" s="357"/>
      <c r="DO15" s="357"/>
      <c r="DP15" s="357"/>
      <c r="DQ15" s="357"/>
      <c r="DR15" s="357"/>
      <c r="DS15" s="357"/>
      <c r="DT15" s="357"/>
      <c r="DU15" s="357"/>
      <c r="DV15" s="357"/>
      <c r="DW15" s="357"/>
      <c r="DX15" s="357"/>
      <c r="DY15" s="357"/>
      <c r="DZ15" s="357"/>
      <c r="EA15" s="357"/>
      <c r="EB15" s="357"/>
      <c r="EC15" s="357"/>
      <c r="ED15" s="357"/>
      <c r="EE15" s="357"/>
      <c r="EF15" s="357"/>
      <c r="EG15" s="357"/>
      <c r="EH15" s="357"/>
      <c r="EI15" s="357"/>
      <c r="EJ15" s="357"/>
      <c r="EK15" s="357"/>
      <c r="EL15" s="357"/>
      <c r="EM15" s="357"/>
      <c r="EN15" s="357"/>
      <c r="EO15" s="357"/>
      <c r="EP15" s="357"/>
      <c r="EQ15" s="357"/>
      <c r="ER15" s="357"/>
      <c r="ES15" s="357"/>
      <c r="ET15" s="357"/>
      <c r="EU15" s="357"/>
      <c r="EV15" s="357"/>
      <c r="EW15" s="357"/>
      <c r="EX15" s="357"/>
      <c r="EY15" s="357"/>
      <c r="EZ15" s="357"/>
      <c r="FA15" s="357"/>
      <c r="FB15" s="357"/>
      <c r="FC15" s="357"/>
      <c r="FD15" s="357"/>
      <c r="FE15" s="357"/>
      <c r="FF15" s="357"/>
      <c r="FG15" s="357"/>
      <c r="FH15" s="357"/>
      <c r="FI15" s="357"/>
      <c r="FJ15" s="357"/>
      <c r="FK15" s="357"/>
      <c r="FL15" s="357"/>
      <c r="FM15" s="357"/>
      <c r="FN15" s="357"/>
      <c r="FO15" s="357"/>
      <c r="FP15" s="357"/>
      <c r="FQ15" s="357"/>
      <c r="FR15" s="357"/>
      <c r="FS15" s="357"/>
      <c r="FT15" s="357"/>
      <c r="FU15" s="357"/>
      <c r="FV15" s="357"/>
      <c r="FW15" s="357"/>
      <c r="FX15" s="357"/>
      <c r="FY15" s="357"/>
      <c r="FZ15" s="357"/>
      <c r="GA15" s="357"/>
      <c r="GB15" s="357"/>
      <c r="GC15" s="357"/>
      <c r="GD15" s="357"/>
      <c r="GE15" s="357"/>
      <c r="GF15" s="357"/>
      <c r="GG15" s="357"/>
      <c r="GH15" s="357"/>
      <c r="GI15" s="357"/>
      <c r="GJ15" s="357"/>
    </row>
    <row r="16" spans="2:192" ht="12.95" customHeight="1">
      <c r="R16" s="580"/>
      <c r="S16" s="580"/>
      <c r="T16" s="580"/>
      <c r="U16" s="580"/>
      <c r="V16" s="580"/>
      <c r="W16" s="580"/>
      <c r="X16" s="580"/>
      <c r="Y16" s="580"/>
      <c r="Z16" s="580"/>
      <c r="AA16" s="580"/>
      <c r="AB16" s="580"/>
      <c r="AC16" s="580"/>
      <c r="AD16" s="580"/>
      <c r="AE16" s="357"/>
      <c r="AF16" s="357"/>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7"/>
      <c r="BC16" s="357"/>
      <c r="BD16" s="357"/>
      <c r="BE16" s="357"/>
      <c r="BF16" s="357"/>
      <c r="BG16" s="357"/>
      <c r="BH16" s="357"/>
      <c r="BI16" s="357"/>
      <c r="BJ16" s="357"/>
      <c r="BK16" s="357"/>
      <c r="BL16" s="357"/>
      <c r="BM16" s="357"/>
      <c r="BN16" s="357"/>
      <c r="BO16" s="357"/>
      <c r="BP16" s="357"/>
      <c r="BQ16" s="357"/>
      <c r="BR16" s="357"/>
      <c r="BS16" s="357"/>
      <c r="BT16" s="357"/>
      <c r="BU16" s="357"/>
      <c r="BV16" s="357"/>
      <c r="BW16" s="357"/>
      <c r="BX16" s="357"/>
      <c r="BY16" s="357"/>
      <c r="BZ16" s="357"/>
      <c r="CA16" s="357"/>
      <c r="CB16" s="357"/>
      <c r="CC16" s="357"/>
      <c r="CD16" s="357"/>
      <c r="CE16" s="357"/>
      <c r="CF16" s="357"/>
      <c r="CG16" s="357"/>
      <c r="CH16" s="357"/>
      <c r="CI16" s="357"/>
      <c r="CJ16" s="357"/>
      <c r="CK16" s="357"/>
      <c r="CL16" s="357"/>
      <c r="CM16" s="357"/>
      <c r="CN16" s="357"/>
      <c r="CO16" s="357"/>
      <c r="CP16" s="357"/>
      <c r="CQ16" s="357"/>
      <c r="CR16" s="357"/>
      <c r="CS16" s="357"/>
      <c r="CT16" s="357"/>
      <c r="CU16" s="357"/>
      <c r="CV16" s="357"/>
      <c r="CW16" s="357"/>
      <c r="CX16" s="357"/>
      <c r="CY16" s="357"/>
      <c r="CZ16" s="357"/>
      <c r="DA16" s="357"/>
      <c r="DB16" s="357"/>
      <c r="DC16" s="357"/>
      <c r="DD16" s="357"/>
      <c r="DE16" s="357"/>
      <c r="DF16" s="357"/>
      <c r="DG16" s="357"/>
      <c r="DH16" s="357"/>
      <c r="DI16" s="357"/>
      <c r="DJ16" s="357"/>
      <c r="DK16" s="357"/>
      <c r="DL16" s="357"/>
      <c r="DM16" s="357"/>
      <c r="DN16" s="357"/>
      <c r="DO16" s="357"/>
      <c r="DP16" s="357"/>
      <c r="DQ16" s="357"/>
      <c r="DR16" s="357"/>
      <c r="DS16" s="357"/>
      <c r="DT16" s="357"/>
      <c r="DU16" s="357"/>
      <c r="DV16" s="357"/>
      <c r="DW16" s="357"/>
      <c r="DX16" s="357"/>
      <c r="DY16" s="357"/>
      <c r="DZ16" s="357"/>
      <c r="EA16" s="357"/>
      <c r="EB16" s="357"/>
      <c r="EC16" s="357"/>
      <c r="ED16" s="357"/>
      <c r="EE16" s="357"/>
      <c r="EF16" s="357"/>
      <c r="EG16" s="357"/>
      <c r="EH16" s="357"/>
      <c r="EI16" s="357"/>
      <c r="EJ16" s="357"/>
      <c r="EK16" s="357"/>
      <c r="EL16" s="357"/>
      <c r="EM16" s="357"/>
      <c r="EN16" s="357"/>
      <c r="EO16" s="357"/>
      <c r="EP16" s="357"/>
      <c r="EQ16" s="357"/>
      <c r="ER16" s="357"/>
      <c r="ES16" s="357"/>
      <c r="ET16" s="357"/>
      <c r="EU16" s="357"/>
      <c r="EV16" s="357"/>
      <c r="EW16" s="357"/>
      <c r="EX16" s="357"/>
      <c r="EY16" s="357"/>
      <c r="EZ16" s="357"/>
      <c r="FA16" s="357"/>
      <c r="FB16" s="357"/>
      <c r="FC16" s="357"/>
      <c r="FD16" s="357"/>
      <c r="FE16" s="357"/>
      <c r="FF16" s="357"/>
      <c r="FG16" s="357"/>
      <c r="FH16" s="357"/>
      <c r="FI16" s="357"/>
      <c r="FJ16" s="357"/>
      <c r="FK16" s="357"/>
      <c r="FL16" s="357"/>
      <c r="FM16" s="357"/>
      <c r="FN16" s="357"/>
      <c r="FO16" s="357"/>
      <c r="FP16" s="357"/>
      <c r="FQ16" s="357"/>
      <c r="FR16" s="357"/>
      <c r="FS16" s="357"/>
      <c r="FT16" s="357"/>
      <c r="FU16" s="357"/>
      <c r="FV16" s="357"/>
      <c r="FW16" s="357"/>
      <c r="FX16" s="357"/>
      <c r="FY16" s="357"/>
      <c r="FZ16" s="357"/>
      <c r="GA16" s="357"/>
      <c r="GB16" s="357"/>
      <c r="GC16" s="357"/>
      <c r="GD16" s="357"/>
      <c r="GE16" s="357"/>
      <c r="GF16" s="357"/>
      <c r="GG16" s="357"/>
      <c r="GH16" s="357"/>
      <c r="GI16" s="357"/>
      <c r="GJ16" s="357"/>
    </row>
    <row r="17" spans="2:192" ht="12.95" customHeight="1">
      <c r="D17" s="156"/>
      <c r="E17" s="156"/>
      <c r="F17" s="157"/>
      <c r="G17" s="158"/>
      <c r="R17" s="580"/>
      <c r="S17" s="580"/>
      <c r="T17" s="580"/>
      <c r="U17" s="580"/>
      <c r="V17" s="580"/>
      <c r="W17" s="580"/>
      <c r="X17" s="580"/>
      <c r="Y17" s="580"/>
      <c r="Z17" s="580"/>
      <c r="AA17" s="580"/>
      <c r="AB17" s="580"/>
      <c r="AC17" s="580"/>
      <c r="AD17" s="580"/>
      <c r="AE17" s="357"/>
      <c r="AF17" s="357"/>
      <c r="AG17" s="357"/>
      <c r="AH17" s="357"/>
      <c r="AI17" s="357"/>
      <c r="AJ17" s="357"/>
      <c r="AK17" s="357"/>
      <c r="AL17" s="357"/>
      <c r="AM17" s="357"/>
      <c r="AN17" s="357"/>
      <c r="AO17" s="357"/>
      <c r="AP17" s="357"/>
      <c r="AQ17" s="357"/>
      <c r="AR17" s="357"/>
      <c r="AS17" s="357"/>
      <c r="AT17" s="357"/>
      <c r="AU17" s="357"/>
      <c r="AV17" s="357"/>
      <c r="AW17" s="357"/>
      <c r="AX17" s="357"/>
      <c r="AY17" s="357"/>
      <c r="AZ17" s="357"/>
      <c r="BA17" s="357"/>
      <c r="BB17" s="357"/>
      <c r="BC17" s="357"/>
      <c r="BD17" s="357"/>
      <c r="BE17" s="357"/>
      <c r="BF17" s="357"/>
      <c r="BG17" s="357"/>
      <c r="BH17" s="357"/>
      <c r="BI17" s="357"/>
      <c r="BJ17" s="357"/>
      <c r="BK17" s="357"/>
      <c r="BL17" s="357"/>
      <c r="BM17" s="357"/>
      <c r="BN17" s="357"/>
      <c r="BO17" s="357"/>
      <c r="BP17" s="357"/>
      <c r="BQ17" s="357"/>
      <c r="BR17" s="357"/>
      <c r="BS17" s="357"/>
      <c r="BT17" s="357"/>
      <c r="BU17" s="357"/>
      <c r="BV17" s="357"/>
      <c r="BW17" s="357"/>
      <c r="BX17" s="357"/>
      <c r="BY17" s="357"/>
      <c r="BZ17" s="357"/>
      <c r="CA17" s="357"/>
      <c r="CB17" s="357"/>
      <c r="CC17" s="357"/>
      <c r="CD17" s="357"/>
      <c r="CE17" s="357"/>
      <c r="CF17" s="357"/>
      <c r="CG17" s="357"/>
      <c r="CH17" s="357"/>
      <c r="CI17" s="357"/>
      <c r="CJ17" s="357"/>
      <c r="CK17" s="357"/>
      <c r="CL17" s="357"/>
      <c r="CM17" s="357"/>
      <c r="CN17" s="357"/>
      <c r="CO17" s="357"/>
      <c r="CP17" s="357"/>
      <c r="CQ17" s="357"/>
      <c r="CR17" s="357"/>
      <c r="CS17" s="357"/>
      <c r="CT17" s="357"/>
      <c r="CU17" s="357"/>
      <c r="CV17" s="357"/>
      <c r="CW17" s="357"/>
      <c r="CX17" s="357"/>
      <c r="CY17" s="357"/>
      <c r="CZ17" s="357"/>
      <c r="DA17" s="357"/>
      <c r="DB17" s="357"/>
      <c r="DC17" s="357"/>
      <c r="DD17" s="357"/>
      <c r="DE17" s="357"/>
      <c r="DF17" s="357"/>
      <c r="DG17" s="357"/>
      <c r="DH17" s="357"/>
      <c r="DI17" s="357"/>
      <c r="DJ17" s="357"/>
      <c r="DK17" s="357"/>
      <c r="DL17" s="357"/>
      <c r="DM17" s="357"/>
      <c r="DN17" s="357"/>
      <c r="DO17" s="357"/>
      <c r="DP17" s="357"/>
      <c r="DQ17" s="357"/>
      <c r="DR17" s="357"/>
      <c r="DS17" s="357"/>
      <c r="DT17" s="357"/>
      <c r="DU17" s="357"/>
      <c r="DV17" s="357"/>
      <c r="DW17" s="357"/>
      <c r="DX17" s="357"/>
      <c r="DY17" s="357"/>
      <c r="DZ17" s="357"/>
      <c r="EA17" s="357"/>
      <c r="EB17" s="357"/>
      <c r="EC17" s="357"/>
      <c r="ED17" s="357"/>
      <c r="EE17" s="357"/>
      <c r="EF17" s="357"/>
      <c r="EG17" s="357"/>
      <c r="EH17" s="357"/>
      <c r="EI17" s="357"/>
      <c r="EJ17" s="357"/>
      <c r="EK17" s="357"/>
      <c r="EL17" s="357"/>
      <c r="EM17" s="357"/>
      <c r="EN17" s="357"/>
      <c r="EO17" s="357"/>
      <c r="EP17" s="357"/>
      <c r="EQ17" s="357"/>
      <c r="ER17" s="357"/>
      <c r="ES17" s="357"/>
      <c r="ET17" s="357"/>
      <c r="EU17" s="357"/>
      <c r="EV17" s="357"/>
      <c r="EW17" s="357"/>
      <c r="EX17" s="357"/>
      <c r="EY17" s="357"/>
      <c r="EZ17" s="357"/>
      <c r="FA17" s="357"/>
      <c r="FB17" s="357"/>
      <c r="FC17" s="357"/>
      <c r="FD17" s="357"/>
      <c r="FE17" s="357"/>
      <c r="FF17" s="357"/>
      <c r="FG17" s="357"/>
      <c r="FH17" s="357"/>
      <c r="FI17" s="357"/>
      <c r="FJ17" s="357"/>
      <c r="FK17" s="357"/>
      <c r="FL17" s="357"/>
      <c r="FM17" s="357"/>
      <c r="FN17" s="357"/>
      <c r="FO17" s="357"/>
      <c r="FP17" s="357"/>
      <c r="FQ17" s="357"/>
      <c r="FR17" s="357"/>
      <c r="FS17" s="357"/>
      <c r="FT17" s="357"/>
      <c r="FU17" s="357"/>
      <c r="FV17" s="357"/>
      <c r="FW17" s="357"/>
      <c r="FX17" s="357"/>
      <c r="FY17" s="357"/>
      <c r="FZ17" s="357"/>
      <c r="GA17" s="357"/>
      <c r="GB17" s="357"/>
      <c r="GC17" s="357"/>
      <c r="GD17" s="357"/>
      <c r="GE17" s="357"/>
      <c r="GF17" s="357"/>
      <c r="GG17" s="357"/>
      <c r="GH17" s="357"/>
      <c r="GI17" s="357"/>
      <c r="GJ17" s="357"/>
    </row>
    <row r="18" spans="2:192" ht="12.95" customHeight="1">
      <c r="B18" s="159"/>
      <c r="R18" s="580"/>
      <c r="S18" s="580"/>
      <c r="T18" s="580"/>
      <c r="U18" s="580"/>
      <c r="V18" s="580"/>
      <c r="W18" s="580"/>
      <c r="X18" s="580"/>
      <c r="Y18" s="580"/>
      <c r="Z18" s="580"/>
      <c r="AA18" s="580"/>
      <c r="AB18" s="580"/>
      <c r="AC18" s="580"/>
      <c r="AD18" s="580"/>
      <c r="AE18" s="357"/>
      <c r="AF18" s="357"/>
      <c r="AG18" s="357"/>
      <c r="AH18" s="357"/>
      <c r="AI18" s="357"/>
      <c r="AJ18" s="357"/>
      <c r="AK18" s="357"/>
      <c r="AL18" s="357"/>
      <c r="AM18" s="357"/>
      <c r="AN18" s="357"/>
      <c r="AO18" s="357"/>
      <c r="AP18" s="357"/>
      <c r="AQ18" s="357"/>
      <c r="AR18" s="357"/>
      <c r="AS18" s="357"/>
      <c r="AT18" s="357"/>
      <c r="AU18" s="357"/>
      <c r="AV18" s="357"/>
      <c r="AW18" s="357"/>
      <c r="AX18" s="357"/>
      <c r="AY18" s="357"/>
      <c r="AZ18" s="357"/>
      <c r="BA18" s="357"/>
      <c r="BB18" s="357"/>
      <c r="BC18" s="357"/>
      <c r="BD18" s="357"/>
      <c r="BE18" s="357"/>
      <c r="BF18" s="357"/>
      <c r="BG18" s="357"/>
      <c r="BH18" s="357"/>
      <c r="BI18" s="357"/>
      <c r="BJ18" s="357"/>
      <c r="BK18" s="357"/>
      <c r="BL18" s="357"/>
      <c r="BM18" s="357"/>
      <c r="BN18" s="357"/>
      <c r="BO18" s="357"/>
      <c r="BP18" s="357"/>
      <c r="BQ18" s="357"/>
      <c r="BR18" s="357"/>
      <c r="BS18" s="357"/>
      <c r="BT18" s="357"/>
      <c r="BU18" s="357"/>
      <c r="BV18" s="357"/>
      <c r="BW18" s="357"/>
      <c r="BX18" s="357"/>
      <c r="BY18" s="357"/>
      <c r="BZ18" s="357"/>
      <c r="CA18" s="357"/>
      <c r="CB18" s="357"/>
      <c r="CC18" s="357"/>
      <c r="CD18" s="357"/>
      <c r="CE18" s="357"/>
      <c r="CF18" s="357"/>
      <c r="CG18" s="357"/>
      <c r="CH18" s="357"/>
      <c r="CI18" s="357"/>
      <c r="CJ18" s="357"/>
      <c r="CK18" s="357"/>
      <c r="CL18" s="357"/>
      <c r="CM18" s="357"/>
      <c r="CN18" s="357"/>
      <c r="CO18" s="357"/>
      <c r="CP18" s="357"/>
      <c r="CQ18" s="357"/>
      <c r="CR18" s="357"/>
      <c r="CS18" s="357"/>
      <c r="CT18" s="357"/>
      <c r="CU18" s="357"/>
      <c r="CV18" s="357"/>
      <c r="CW18" s="357"/>
      <c r="CX18" s="357"/>
      <c r="CY18" s="357"/>
      <c r="CZ18" s="357"/>
      <c r="DA18" s="357"/>
      <c r="DB18" s="357"/>
      <c r="DC18" s="357"/>
      <c r="DD18" s="357"/>
      <c r="DE18" s="357"/>
      <c r="DF18" s="357"/>
      <c r="DG18" s="357"/>
      <c r="DH18" s="357"/>
      <c r="DI18" s="357"/>
      <c r="DJ18" s="357"/>
      <c r="DK18" s="357"/>
      <c r="DL18" s="357"/>
      <c r="DM18" s="357"/>
      <c r="DN18" s="357"/>
      <c r="DO18" s="357"/>
      <c r="DP18" s="357"/>
      <c r="DQ18" s="357"/>
      <c r="DR18" s="357"/>
      <c r="DS18" s="357"/>
      <c r="DT18" s="357"/>
      <c r="DU18" s="357"/>
      <c r="DV18" s="357"/>
      <c r="DW18" s="357"/>
      <c r="DX18" s="357"/>
      <c r="DY18" s="357"/>
      <c r="DZ18" s="357"/>
      <c r="EA18" s="357"/>
      <c r="EB18" s="357"/>
      <c r="EC18" s="357"/>
      <c r="ED18" s="357"/>
      <c r="EE18" s="357"/>
      <c r="EF18" s="357"/>
      <c r="EG18" s="357"/>
      <c r="EH18" s="357"/>
      <c r="EI18" s="357"/>
      <c r="EJ18" s="357"/>
      <c r="EK18" s="357"/>
      <c r="EL18" s="357"/>
      <c r="EM18" s="357"/>
      <c r="EN18" s="357"/>
      <c r="EO18" s="357"/>
      <c r="EP18" s="357"/>
      <c r="EQ18" s="357"/>
      <c r="ER18" s="357"/>
      <c r="ES18" s="357"/>
      <c r="ET18" s="357"/>
      <c r="EU18" s="357"/>
      <c r="EV18" s="357"/>
      <c r="EW18" s="357"/>
      <c r="EX18" s="357"/>
      <c r="EY18" s="357"/>
      <c r="EZ18" s="357"/>
      <c r="FA18" s="357"/>
      <c r="FB18" s="357"/>
      <c r="FC18" s="357"/>
      <c r="FD18" s="357"/>
      <c r="FE18" s="357"/>
      <c r="FF18" s="357"/>
      <c r="FG18" s="357"/>
      <c r="FH18" s="357"/>
      <c r="FI18" s="357"/>
      <c r="FJ18" s="357"/>
      <c r="FK18" s="357"/>
      <c r="FL18" s="357"/>
      <c r="FM18" s="357"/>
      <c r="FN18" s="357"/>
      <c r="FO18" s="357"/>
      <c r="FP18" s="357"/>
      <c r="FQ18" s="357"/>
      <c r="FR18" s="357"/>
      <c r="FS18" s="357"/>
      <c r="FT18" s="357"/>
      <c r="FU18" s="357"/>
      <c r="FV18" s="357"/>
      <c r="FW18" s="357"/>
      <c r="FX18" s="357"/>
      <c r="FY18" s="357"/>
      <c r="FZ18" s="357"/>
      <c r="GA18" s="357"/>
      <c r="GB18" s="357"/>
      <c r="GC18" s="357"/>
      <c r="GD18" s="357"/>
      <c r="GE18" s="357"/>
      <c r="GF18" s="357"/>
      <c r="GG18" s="357"/>
      <c r="GH18" s="357"/>
      <c r="GI18" s="357"/>
      <c r="GJ18" s="357"/>
    </row>
    <row r="19" spans="2:192" ht="12.95" customHeight="1">
      <c r="F19" s="155"/>
      <c r="R19" s="580"/>
      <c r="S19" s="580"/>
      <c r="T19" s="580"/>
      <c r="U19" s="580"/>
      <c r="V19" s="580"/>
      <c r="W19" s="580"/>
      <c r="X19" s="580"/>
      <c r="Y19" s="580"/>
      <c r="Z19" s="580"/>
      <c r="AA19" s="580"/>
      <c r="AB19" s="580"/>
      <c r="AC19" s="580"/>
      <c r="AD19" s="580"/>
      <c r="AE19" s="357"/>
      <c r="AF19" s="357"/>
      <c r="AG19" s="357"/>
      <c r="AH19" s="357"/>
      <c r="AI19" s="357"/>
      <c r="AJ19" s="357"/>
      <c r="AK19" s="357"/>
      <c r="AL19" s="357"/>
      <c r="AM19" s="357"/>
      <c r="AN19" s="357"/>
      <c r="AO19" s="357"/>
      <c r="AP19" s="357"/>
      <c r="AQ19" s="357"/>
      <c r="AR19" s="357"/>
      <c r="AS19" s="357"/>
      <c r="AT19" s="357"/>
      <c r="AU19" s="357"/>
      <c r="AV19" s="357"/>
      <c r="AW19" s="357"/>
      <c r="AX19" s="357"/>
      <c r="AY19" s="357"/>
      <c r="AZ19" s="357"/>
      <c r="BA19" s="357"/>
      <c r="BB19" s="357"/>
      <c r="BC19" s="357"/>
      <c r="BD19" s="357"/>
      <c r="BE19" s="357"/>
      <c r="BF19" s="357"/>
      <c r="BG19" s="357"/>
      <c r="BH19" s="357"/>
      <c r="BI19" s="357"/>
      <c r="BJ19" s="357"/>
      <c r="BK19" s="357"/>
      <c r="BL19" s="357"/>
      <c r="BM19" s="357"/>
      <c r="BN19" s="357"/>
      <c r="BO19" s="357"/>
      <c r="BP19" s="357"/>
      <c r="BQ19" s="357"/>
      <c r="BR19" s="357"/>
      <c r="BS19" s="357"/>
      <c r="BT19" s="357"/>
      <c r="BU19" s="357"/>
      <c r="BV19" s="357"/>
      <c r="BW19" s="357"/>
      <c r="BX19" s="357"/>
      <c r="BY19" s="357"/>
      <c r="BZ19" s="357"/>
      <c r="CA19" s="357"/>
      <c r="CB19" s="357"/>
      <c r="CC19" s="357"/>
      <c r="CD19" s="357"/>
      <c r="CE19" s="357"/>
      <c r="CF19" s="357"/>
      <c r="CG19" s="357"/>
      <c r="CH19" s="357"/>
      <c r="CI19" s="357"/>
      <c r="CJ19" s="357"/>
      <c r="CK19" s="357"/>
      <c r="CL19" s="357"/>
      <c r="CM19" s="357"/>
      <c r="CN19" s="357"/>
      <c r="CO19" s="357"/>
      <c r="CP19" s="357"/>
      <c r="CQ19" s="357"/>
      <c r="CR19" s="357"/>
      <c r="CS19" s="357"/>
      <c r="CT19" s="357"/>
      <c r="CU19" s="357"/>
      <c r="CV19" s="357"/>
      <c r="CW19" s="357"/>
      <c r="CX19" s="357"/>
      <c r="CY19" s="357"/>
      <c r="CZ19" s="357"/>
      <c r="DA19" s="357"/>
      <c r="DB19" s="357"/>
      <c r="DC19" s="357"/>
      <c r="DD19" s="357"/>
      <c r="DE19" s="357"/>
      <c r="DF19" s="357"/>
      <c r="DG19" s="357"/>
      <c r="DH19" s="357"/>
      <c r="DI19" s="357"/>
      <c r="DJ19" s="357"/>
      <c r="DK19" s="357"/>
      <c r="DL19" s="357"/>
      <c r="DM19" s="357"/>
      <c r="DN19" s="357"/>
      <c r="DO19" s="357"/>
      <c r="DP19" s="357"/>
      <c r="DQ19" s="357"/>
      <c r="DR19" s="357"/>
      <c r="DS19" s="357"/>
      <c r="DT19" s="357"/>
      <c r="DU19" s="357"/>
      <c r="DV19" s="357"/>
      <c r="DW19" s="357"/>
      <c r="DX19" s="357"/>
      <c r="DY19" s="357"/>
      <c r="DZ19" s="357"/>
      <c r="EA19" s="357"/>
      <c r="EB19" s="357"/>
      <c r="EC19" s="357"/>
      <c r="ED19" s="357"/>
      <c r="EE19" s="357"/>
      <c r="EF19" s="357"/>
      <c r="EG19" s="357"/>
      <c r="EH19" s="357"/>
      <c r="EI19" s="357"/>
      <c r="EJ19" s="357"/>
      <c r="EK19" s="357"/>
      <c r="EL19" s="357"/>
      <c r="EM19" s="357"/>
      <c r="EN19" s="357"/>
      <c r="EO19" s="357"/>
      <c r="EP19" s="357"/>
      <c r="EQ19" s="357"/>
      <c r="ER19" s="357"/>
      <c r="ES19" s="357"/>
      <c r="ET19" s="357"/>
      <c r="EU19" s="357"/>
      <c r="EV19" s="357"/>
      <c r="EW19" s="357"/>
      <c r="EX19" s="357"/>
      <c r="EY19" s="357"/>
      <c r="EZ19" s="357"/>
      <c r="FA19" s="357"/>
      <c r="FB19" s="357"/>
      <c r="FC19" s="357"/>
      <c r="FD19" s="357"/>
      <c r="FE19" s="357"/>
      <c r="FF19" s="357"/>
      <c r="FG19" s="357"/>
      <c r="FH19" s="357"/>
      <c r="FI19" s="357"/>
      <c r="FJ19" s="357"/>
      <c r="FK19" s="357"/>
      <c r="FL19" s="357"/>
      <c r="FM19" s="357"/>
      <c r="FN19" s="357"/>
      <c r="FO19" s="357"/>
      <c r="FP19" s="357"/>
      <c r="FQ19" s="357"/>
      <c r="FR19" s="357"/>
      <c r="FS19" s="357"/>
      <c r="FT19" s="357"/>
      <c r="FU19" s="357"/>
      <c r="FV19" s="357"/>
      <c r="FW19" s="357"/>
      <c r="FX19" s="357"/>
      <c r="FY19" s="357"/>
      <c r="FZ19" s="357"/>
      <c r="GA19" s="357"/>
      <c r="GB19" s="357"/>
      <c r="GC19" s="357"/>
      <c r="GD19" s="357"/>
      <c r="GE19" s="357"/>
      <c r="GF19" s="357"/>
      <c r="GG19" s="357"/>
      <c r="GH19" s="357"/>
      <c r="GI19" s="357"/>
      <c r="GJ19" s="357"/>
    </row>
    <row r="20" spans="2:192" ht="12.95" customHeight="1">
      <c r="F20" s="155"/>
      <c r="R20" s="580"/>
      <c r="S20" s="580"/>
      <c r="T20" s="580"/>
      <c r="U20" s="580"/>
      <c r="V20" s="580"/>
      <c r="W20" s="580"/>
      <c r="X20" s="580"/>
      <c r="Y20" s="580"/>
      <c r="Z20" s="580"/>
      <c r="AA20" s="580"/>
      <c r="AB20" s="580"/>
      <c r="AC20" s="580"/>
      <c r="AD20" s="580"/>
      <c r="AE20" s="357"/>
      <c r="AF20" s="357"/>
      <c r="AG20" s="357"/>
      <c r="AH20" s="357"/>
      <c r="AI20" s="427"/>
      <c r="AJ20" s="427"/>
      <c r="AK20" s="357"/>
      <c r="AL20" s="357"/>
      <c r="AM20" s="357"/>
      <c r="AN20" s="427"/>
      <c r="AO20" s="427"/>
      <c r="AP20" s="357"/>
      <c r="AQ20" s="357"/>
      <c r="AR20" s="357"/>
      <c r="AS20" s="357"/>
      <c r="AT20" s="357"/>
      <c r="AU20" s="357"/>
      <c r="AV20" s="357"/>
      <c r="AW20" s="357"/>
      <c r="AX20" s="357"/>
      <c r="AY20" s="357"/>
      <c r="AZ20" s="357"/>
      <c r="BA20" s="357"/>
      <c r="BB20" s="357"/>
      <c r="BC20" s="357"/>
      <c r="BD20" s="357"/>
      <c r="BE20" s="357"/>
      <c r="BF20" s="357"/>
      <c r="BG20" s="357"/>
      <c r="BH20" s="357"/>
      <c r="BI20" s="357"/>
      <c r="BJ20" s="357"/>
      <c r="BK20" s="357"/>
      <c r="BL20" s="357"/>
      <c r="BM20" s="357"/>
      <c r="BN20" s="357"/>
      <c r="BO20" s="357"/>
      <c r="BP20" s="357"/>
      <c r="BQ20" s="357"/>
      <c r="BR20" s="357"/>
      <c r="BS20" s="357"/>
      <c r="BT20" s="357"/>
      <c r="BU20" s="357"/>
      <c r="BV20" s="357"/>
      <c r="BW20" s="357"/>
      <c r="BX20" s="357"/>
      <c r="BY20" s="357"/>
      <c r="BZ20" s="357"/>
      <c r="CA20" s="357"/>
      <c r="CB20" s="357"/>
      <c r="CC20" s="357"/>
      <c r="CD20" s="357"/>
      <c r="CE20" s="357"/>
      <c r="CF20" s="357"/>
      <c r="CG20" s="357"/>
      <c r="CH20" s="357"/>
      <c r="CI20" s="357"/>
      <c r="CJ20" s="357"/>
      <c r="CK20" s="357"/>
      <c r="CL20" s="357"/>
      <c r="CM20" s="357"/>
      <c r="CN20" s="357"/>
      <c r="CO20" s="357"/>
      <c r="CP20" s="357"/>
      <c r="CQ20" s="357"/>
      <c r="CR20" s="357"/>
      <c r="CS20" s="357"/>
      <c r="CT20" s="357"/>
      <c r="CU20" s="357"/>
      <c r="CV20" s="357"/>
      <c r="CW20" s="357"/>
      <c r="CX20" s="357"/>
      <c r="CY20" s="357"/>
      <c r="CZ20" s="357"/>
      <c r="DA20" s="357"/>
      <c r="DB20" s="357"/>
      <c r="DC20" s="357"/>
      <c r="DD20" s="357"/>
      <c r="DE20" s="357"/>
      <c r="DF20" s="357"/>
      <c r="DG20" s="357"/>
      <c r="DH20" s="357"/>
      <c r="DI20" s="357"/>
      <c r="DJ20" s="357"/>
      <c r="DK20" s="357"/>
      <c r="DL20" s="357"/>
      <c r="DM20" s="357"/>
      <c r="DN20" s="357"/>
      <c r="DO20" s="357"/>
      <c r="DP20" s="357"/>
      <c r="DQ20" s="357"/>
      <c r="DR20" s="357"/>
      <c r="DS20" s="357"/>
      <c r="DT20" s="357"/>
      <c r="DU20" s="357"/>
      <c r="DV20" s="357"/>
      <c r="DW20" s="357"/>
      <c r="DX20" s="357"/>
      <c r="DY20" s="357"/>
      <c r="DZ20" s="357"/>
      <c r="EA20" s="357"/>
      <c r="EB20" s="357"/>
      <c r="EC20" s="357"/>
      <c r="ED20" s="357"/>
      <c r="EE20" s="357"/>
      <c r="EF20" s="357"/>
      <c r="EG20" s="357"/>
      <c r="EH20" s="357"/>
      <c r="EI20" s="357"/>
      <c r="EJ20" s="357"/>
      <c r="EK20" s="357"/>
      <c r="EL20" s="357"/>
      <c r="EM20" s="357"/>
      <c r="EN20" s="357"/>
      <c r="EO20" s="357"/>
      <c r="EP20" s="357"/>
      <c r="EQ20" s="357"/>
      <c r="ER20" s="357"/>
      <c r="ES20" s="357"/>
      <c r="ET20" s="357"/>
      <c r="EU20" s="357"/>
      <c r="EV20" s="357"/>
      <c r="EW20" s="357"/>
      <c r="EX20" s="357"/>
      <c r="EY20" s="357"/>
      <c r="EZ20" s="357"/>
      <c r="FA20" s="357"/>
      <c r="FB20" s="357"/>
      <c r="FC20" s="357"/>
      <c r="FD20" s="357"/>
      <c r="FE20" s="357"/>
      <c r="FF20" s="357"/>
      <c r="FG20" s="357"/>
      <c r="FH20" s="357"/>
      <c r="FI20" s="357"/>
      <c r="FJ20" s="357"/>
      <c r="FK20" s="357"/>
      <c r="FL20" s="357"/>
      <c r="FM20" s="357"/>
      <c r="FN20" s="357"/>
      <c r="FO20" s="357"/>
      <c r="FP20" s="357"/>
      <c r="FQ20" s="357"/>
      <c r="FR20" s="357"/>
      <c r="FS20" s="357"/>
      <c r="FT20" s="357"/>
      <c r="FU20" s="357"/>
      <c r="FV20" s="357"/>
      <c r="FW20" s="357"/>
      <c r="FX20" s="357"/>
      <c r="FY20" s="357"/>
      <c r="FZ20" s="357"/>
      <c r="GA20" s="357"/>
      <c r="GB20" s="357"/>
      <c r="GC20" s="357"/>
      <c r="GD20" s="357"/>
      <c r="GE20" s="357"/>
      <c r="GF20" s="357"/>
      <c r="GG20" s="357"/>
      <c r="GH20" s="357"/>
      <c r="GI20" s="357"/>
      <c r="GJ20" s="357"/>
    </row>
    <row r="21" spans="2:192" ht="12.95" customHeight="1">
      <c r="F21" s="155"/>
      <c r="J21" s="158"/>
      <c r="K21" s="160"/>
      <c r="L21" s="160"/>
      <c r="M21" s="158"/>
      <c r="R21" s="580"/>
      <c r="S21" s="580"/>
      <c r="T21" s="580"/>
      <c r="U21" s="580"/>
      <c r="V21" s="580"/>
      <c r="W21" s="580"/>
      <c r="X21" s="580"/>
      <c r="Y21" s="580"/>
      <c r="Z21" s="580"/>
      <c r="AA21" s="580"/>
      <c r="AB21" s="580"/>
      <c r="AC21" s="580"/>
      <c r="AD21" s="580"/>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7"/>
      <c r="BC21" s="357"/>
      <c r="BD21" s="357"/>
      <c r="BE21" s="357"/>
      <c r="BF21" s="357"/>
      <c r="BG21" s="357"/>
      <c r="BH21" s="357"/>
      <c r="BI21" s="357"/>
      <c r="BJ21" s="357"/>
      <c r="BK21" s="357"/>
      <c r="BL21" s="357"/>
      <c r="BM21" s="357"/>
      <c r="BN21" s="357"/>
      <c r="BO21" s="357"/>
      <c r="BP21" s="357"/>
      <c r="BQ21" s="357"/>
      <c r="BR21" s="357"/>
      <c r="BS21" s="357"/>
      <c r="BT21" s="357"/>
      <c r="BU21" s="357"/>
      <c r="BV21" s="357"/>
      <c r="BW21" s="357"/>
      <c r="BX21" s="357"/>
      <c r="BY21" s="357"/>
      <c r="BZ21" s="357"/>
      <c r="CA21" s="357"/>
      <c r="CB21" s="357"/>
      <c r="CC21" s="357"/>
      <c r="CD21" s="357"/>
      <c r="CE21" s="357"/>
      <c r="CF21" s="357"/>
      <c r="CG21" s="357"/>
      <c r="CH21" s="357"/>
      <c r="CI21" s="357"/>
      <c r="CJ21" s="357"/>
      <c r="CK21" s="357"/>
      <c r="CL21" s="357"/>
      <c r="CM21" s="357"/>
      <c r="CN21" s="357"/>
      <c r="CO21" s="357"/>
      <c r="CP21" s="357"/>
      <c r="CQ21" s="357"/>
      <c r="CR21" s="357"/>
      <c r="CS21" s="357"/>
      <c r="CT21" s="357"/>
      <c r="CU21" s="357"/>
      <c r="CV21" s="357"/>
      <c r="CW21" s="357"/>
      <c r="CX21" s="357"/>
      <c r="CY21" s="357"/>
      <c r="CZ21" s="357"/>
      <c r="DA21" s="357"/>
      <c r="DB21" s="357"/>
      <c r="DC21" s="357"/>
      <c r="DD21" s="357"/>
      <c r="DE21" s="357"/>
      <c r="DF21" s="357"/>
      <c r="DG21" s="357"/>
      <c r="DH21" s="357"/>
      <c r="DI21" s="357"/>
      <c r="DJ21" s="357"/>
      <c r="DK21" s="357"/>
      <c r="DL21" s="357"/>
      <c r="DM21" s="357"/>
      <c r="DN21" s="357"/>
      <c r="DO21" s="357"/>
      <c r="DP21" s="357"/>
      <c r="DQ21" s="357"/>
      <c r="DR21" s="357"/>
      <c r="DS21" s="357"/>
      <c r="DT21" s="357"/>
      <c r="DU21" s="357"/>
      <c r="DV21" s="357"/>
      <c r="DW21" s="357"/>
      <c r="DX21" s="357"/>
      <c r="DY21" s="357"/>
      <c r="DZ21" s="357"/>
      <c r="EA21" s="357"/>
      <c r="EB21" s="357"/>
      <c r="EC21" s="357"/>
      <c r="ED21" s="357"/>
      <c r="EE21" s="357"/>
      <c r="EF21" s="357"/>
      <c r="EG21" s="357"/>
      <c r="EH21" s="357"/>
      <c r="EI21" s="357"/>
      <c r="EJ21" s="357"/>
      <c r="EK21" s="357"/>
      <c r="EL21" s="357"/>
      <c r="EM21" s="357"/>
      <c r="EN21" s="357"/>
      <c r="EO21" s="357"/>
      <c r="EP21" s="357"/>
      <c r="EQ21" s="357"/>
      <c r="ER21" s="357"/>
      <c r="ES21" s="357"/>
      <c r="ET21" s="357"/>
      <c r="EU21" s="357"/>
      <c r="EV21" s="357"/>
      <c r="EW21" s="357"/>
      <c r="EX21" s="357"/>
      <c r="EY21" s="357"/>
      <c r="EZ21" s="357"/>
      <c r="FA21" s="357"/>
      <c r="FB21" s="357"/>
      <c r="FC21" s="357"/>
      <c r="FD21" s="357"/>
      <c r="FE21" s="357"/>
      <c r="FF21" s="357"/>
      <c r="FG21" s="357"/>
      <c r="FH21" s="357"/>
      <c r="FI21" s="357"/>
      <c r="FJ21" s="357"/>
      <c r="FK21" s="357"/>
      <c r="FL21" s="357"/>
      <c r="FM21" s="357"/>
      <c r="FN21" s="357"/>
      <c r="FO21" s="357"/>
      <c r="FP21" s="357"/>
      <c r="FQ21" s="357"/>
      <c r="FR21" s="357"/>
      <c r="FS21" s="357"/>
      <c r="FT21" s="357"/>
      <c r="FU21" s="357"/>
      <c r="FV21" s="357"/>
      <c r="FW21" s="357"/>
      <c r="FX21" s="357"/>
      <c r="FY21" s="357"/>
      <c r="FZ21" s="357"/>
      <c r="GA21" s="357"/>
      <c r="GB21" s="357"/>
      <c r="GC21" s="357"/>
      <c r="GD21" s="357"/>
      <c r="GE21" s="357"/>
      <c r="GF21" s="357"/>
      <c r="GG21" s="357"/>
      <c r="GH21" s="357"/>
      <c r="GI21" s="357"/>
      <c r="GJ21" s="357"/>
    </row>
    <row r="22" spans="2:192" ht="12.95" customHeight="1">
      <c r="F22" s="155"/>
      <c r="R22" s="580"/>
      <c r="S22" s="580"/>
      <c r="T22" s="580"/>
      <c r="U22" s="580"/>
      <c r="V22" s="580"/>
      <c r="W22" s="580"/>
      <c r="X22" s="580"/>
      <c r="Y22" s="580"/>
      <c r="Z22" s="580"/>
      <c r="AA22" s="580"/>
      <c r="AB22" s="580"/>
      <c r="AC22" s="580"/>
      <c r="AD22" s="580"/>
      <c r="AE22" s="357"/>
      <c r="AF22" s="357"/>
      <c r="AG22" s="357"/>
      <c r="AH22" s="357"/>
      <c r="AI22" s="357"/>
      <c r="AJ22" s="357"/>
      <c r="AK22" s="357"/>
      <c r="AL22" s="357"/>
      <c r="AM22" s="357"/>
      <c r="AN22" s="357"/>
      <c r="AO22" s="357"/>
      <c r="AP22" s="357"/>
      <c r="AQ22" s="357"/>
      <c r="AR22" s="357"/>
      <c r="AS22" s="357"/>
      <c r="AT22" s="357"/>
      <c r="AU22" s="357"/>
      <c r="AV22" s="357"/>
      <c r="AW22" s="357"/>
      <c r="AX22" s="357"/>
      <c r="AY22" s="357"/>
      <c r="AZ22" s="357"/>
      <c r="BA22" s="357"/>
      <c r="BB22" s="357"/>
      <c r="BC22" s="357"/>
      <c r="BD22" s="357"/>
      <c r="BE22" s="357"/>
      <c r="BF22" s="357"/>
      <c r="BG22" s="357"/>
      <c r="BH22" s="357"/>
      <c r="BI22" s="357"/>
      <c r="BJ22" s="357"/>
      <c r="BK22" s="357"/>
      <c r="BL22" s="357"/>
      <c r="BM22" s="357"/>
      <c r="BN22" s="357"/>
      <c r="BO22" s="357"/>
      <c r="BP22" s="357"/>
      <c r="BQ22" s="357"/>
      <c r="BR22" s="357"/>
      <c r="BS22" s="357"/>
      <c r="BT22" s="357"/>
      <c r="BU22" s="357"/>
      <c r="BV22" s="357"/>
      <c r="BW22" s="357"/>
      <c r="BX22" s="357"/>
      <c r="BY22" s="357"/>
      <c r="BZ22" s="357"/>
      <c r="CA22" s="357"/>
      <c r="CB22" s="357"/>
      <c r="CC22" s="357"/>
      <c r="CD22" s="357"/>
      <c r="CE22" s="357"/>
      <c r="CF22" s="357"/>
      <c r="CG22" s="357"/>
      <c r="CH22" s="357"/>
      <c r="CI22" s="357"/>
      <c r="CJ22" s="357"/>
      <c r="CK22" s="357"/>
      <c r="CL22" s="357"/>
      <c r="CM22" s="357"/>
      <c r="CN22" s="357"/>
      <c r="CO22" s="357"/>
      <c r="CP22" s="357"/>
      <c r="CQ22" s="357"/>
      <c r="CR22" s="357"/>
      <c r="CS22" s="357"/>
      <c r="CT22" s="357"/>
      <c r="CU22" s="357"/>
      <c r="CV22" s="357"/>
      <c r="CW22" s="357"/>
      <c r="CX22" s="357"/>
      <c r="CY22" s="357"/>
      <c r="CZ22" s="357"/>
      <c r="DA22" s="357"/>
      <c r="DB22" s="357"/>
      <c r="DC22" s="357"/>
      <c r="DD22" s="357"/>
      <c r="DE22" s="357"/>
      <c r="DF22" s="357"/>
      <c r="DG22" s="357"/>
      <c r="DH22" s="357"/>
      <c r="DI22" s="357"/>
      <c r="DJ22" s="357"/>
      <c r="DK22" s="357"/>
      <c r="DL22" s="357"/>
      <c r="DM22" s="357"/>
      <c r="DN22" s="357"/>
      <c r="DO22" s="357"/>
      <c r="DP22" s="357"/>
      <c r="DQ22" s="357"/>
      <c r="DR22" s="357"/>
      <c r="DS22" s="357"/>
      <c r="DT22" s="357"/>
      <c r="DU22" s="357"/>
      <c r="DV22" s="357"/>
      <c r="DW22" s="357"/>
      <c r="DX22" s="357"/>
      <c r="DY22" s="357"/>
      <c r="DZ22" s="357"/>
      <c r="EA22" s="357"/>
      <c r="EB22" s="357"/>
      <c r="EC22" s="357"/>
      <c r="ED22" s="357"/>
      <c r="EE22" s="357"/>
      <c r="EF22" s="357"/>
      <c r="EG22" s="357"/>
      <c r="EH22" s="357"/>
      <c r="EI22" s="357"/>
      <c r="EJ22" s="357"/>
      <c r="EK22" s="357"/>
      <c r="EL22" s="357"/>
      <c r="EM22" s="357"/>
      <c r="EN22" s="357"/>
      <c r="EO22" s="357"/>
      <c r="EP22" s="357"/>
      <c r="EQ22" s="357"/>
      <c r="ER22" s="357"/>
      <c r="ES22" s="357"/>
      <c r="ET22" s="357"/>
      <c r="EU22" s="357"/>
      <c r="EV22" s="357"/>
      <c r="EW22" s="357"/>
      <c r="EX22" s="357"/>
      <c r="EY22" s="357"/>
      <c r="EZ22" s="357"/>
      <c r="FA22" s="357"/>
      <c r="FB22" s="357"/>
      <c r="FC22" s="357"/>
      <c r="FD22" s="357"/>
      <c r="FE22" s="357"/>
      <c r="FF22" s="357"/>
      <c r="FG22" s="357"/>
      <c r="FH22" s="357"/>
      <c r="FI22" s="357"/>
      <c r="FJ22" s="357"/>
      <c r="FK22" s="357"/>
      <c r="FL22" s="357"/>
      <c r="FM22" s="357"/>
      <c r="FN22" s="357"/>
      <c r="FO22" s="357"/>
      <c r="FP22" s="357"/>
      <c r="FQ22" s="357"/>
      <c r="FR22" s="357"/>
      <c r="FS22" s="357"/>
      <c r="FT22" s="357"/>
      <c r="FU22" s="357"/>
      <c r="FV22" s="357"/>
      <c r="FW22" s="357"/>
      <c r="FX22" s="357"/>
      <c r="FY22" s="357"/>
      <c r="FZ22" s="357"/>
      <c r="GA22" s="357"/>
      <c r="GB22" s="357"/>
      <c r="GC22" s="357"/>
      <c r="GD22" s="357"/>
      <c r="GE22" s="357"/>
      <c r="GF22" s="357"/>
      <c r="GG22" s="357"/>
      <c r="GH22" s="357"/>
      <c r="GI22" s="357"/>
      <c r="GJ22" s="357"/>
    </row>
    <row r="23" spans="2:192" ht="12.95" customHeight="1">
      <c r="F23" s="155"/>
      <c r="R23" s="580"/>
      <c r="S23" s="580"/>
      <c r="T23" s="580"/>
      <c r="U23" s="580"/>
      <c r="V23" s="580"/>
      <c r="W23" s="580"/>
      <c r="X23" s="580"/>
      <c r="Y23" s="580"/>
      <c r="Z23" s="580"/>
      <c r="AA23" s="580"/>
      <c r="AB23" s="580"/>
      <c r="AC23" s="580"/>
      <c r="AD23" s="580"/>
      <c r="AE23" s="357"/>
      <c r="AF23" s="357"/>
      <c r="AG23" s="357"/>
      <c r="AH23" s="357"/>
      <c r="AI23" s="357"/>
      <c r="AJ23" s="357"/>
      <c r="AK23" s="357"/>
      <c r="AL23" s="357"/>
      <c r="AM23" s="357"/>
      <c r="AN23" s="357"/>
      <c r="AO23" s="357"/>
      <c r="AP23" s="357"/>
      <c r="AQ23" s="357"/>
      <c r="AR23" s="357"/>
      <c r="AS23" s="357"/>
      <c r="AT23" s="357"/>
      <c r="AU23" s="357"/>
      <c r="AV23" s="357"/>
      <c r="AW23" s="357"/>
      <c r="AX23" s="357"/>
      <c r="AY23" s="357"/>
      <c r="AZ23" s="357"/>
      <c r="BA23" s="357"/>
      <c r="BB23" s="357"/>
      <c r="BC23" s="357"/>
      <c r="BD23" s="357"/>
      <c r="BE23" s="357"/>
      <c r="BF23" s="357"/>
      <c r="BG23" s="357"/>
      <c r="BH23" s="357"/>
      <c r="BI23" s="357"/>
      <c r="BJ23" s="357"/>
      <c r="BK23" s="357"/>
      <c r="BL23" s="357"/>
      <c r="BM23" s="357"/>
      <c r="BN23" s="357"/>
      <c r="BO23" s="357"/>
      <c r="BP23" s="357"/>
      <c r="BQ23" s="357"/>
      <c r="BR23" s="357"/>
      <c r="BS23" s="357"/>
      <c r="BT23" s="357"/>
      <c r="BU23" s="357"/>
      <c r="BV23" s="357"/>
      <c r="BW23" s="357"/>
      <c r="BX23" s="357"/>
      <c r="BY23" s="357"/>
      <c r="BZ23" s="357"/>
      <c r="CA23" s="357"/>
      <c r="CB23" s="357"/>
      <c r="CC23" s="357"/>
      <c r="CD23" s="357"/>
      <c r="CE23" s="357"/>
      <c r="CF23" s="357"/>
      <c r="CG23" s="357"/>
      <c r="CH23" s="357"/>
      <c r="CI23" s="357"/>
      <c r="CJ23" s="357"/>
      <c r="CK23" s="357"/>
      <c r="CL23" s="357"/>
      <c r="CM23" s="357"/>
      <c r="CN23" s="357"/>
      <c r="CO23" s="357"/>
      <c r="CP23" s="357"/>
      <c r="CQ23" s="357"/>
      <c r="CR23" s="357"/>
      <c r="CS23" s="357"/>
      <c r="CT23" s="357"/>
      <c r="CU23" s="357"/>
      <c r="CV23" s="357"/>
      <c r="CW23" s="357"/>
      <c r="CX23" s="357"/>
      <c r="CY23" s="357"/>
      <c r="CZ23" s="357"/>
      <c r="DA23" s="357"/>
      <c r="DB23" s="357"/>
      <c r="DC23" s="357"/>
      <c r="DD23" s="357"/>
      <c r="DE23" s="357"/>
      <c r="DF23" s="357"/>
      <c r="DG23" s="357"/>
      <c r="DH23" s="357"/>
      <c r="DI23" s="357"/>
      <c r="DJ23" s="357"/>
      <c r="DK23" s="357"/>
      <c r="DL23" s="357"/>
      <c r="DM23" s="357"/>
      <c r="DN23" s="357"/>
      <c r="DO23" s="357"/>
      <c r="DP23" s="357"/>
      <c r="DQ23" s="357"/>
      <c r="DR23" s="357"/>
      <c r="DS23" s="357"/>
      <c r="DT23" s="357"/>
      <c r="DU23" s="357"/>
      <c r="DV23" s="357"/>
      <c r="DW23" s="357"/>
      <c r="DX23" s="357"/>
      <c r="DY23" s="357"/>
      <c r="DZ23" s="357"/>
      <c r="EA23" s="357"/>
      <c r="EB23" s="357"/>
      <c r="EC23" s="357"/>
      <c r="ED23" s="357"/>
      <c r="EE23" s="357"/>
      <c r="EF23" s="357"/>
      <c r="EG23" s="357"/>
      <c r="EH23" s="357"/>
      <c r="EI23" s="357"/>
      <c r="EJ23" s="357"/>
      <c r="EK23" s="357"/>
      <c r="EL23" s="357"/>
      <c r="EM23" s="357"/>
      <c r="EN23" s="357"/>
      <c r="EO23" s="357"/>
      <c r="EP23" s="357"/>
      <c r="EQ23" s="357"/>
      <c r="ER23" s="357"/>
      <c r="ES23" s="357"/>
      <c r="ET23" s="357"/>
      <c r="EU23" s="357"/>
      <c r="EV23" s="357"/>
      <c r="EW23" s="357"/>
      <c r="EX23" s="357"/>
      <c r="EY23" s="357"/>
      <c r="EZ23" s="357"/>
      <c r="FA23" s="357"/>
      <c r="FB23" s="357"/>
      <c r="FC23" s="357"/>
      <c r="FD23" s="357"/>
      <c r="FE23" s="357"/>
      <c r="FF23" s="357"/>
      <c r="FG23" s="357"/>
      <c r="FH23" s="357"/>
      <c r="FI23" s="357"/>
      <c r="FJ23" s="357"/>
      <c r="FK23" s="357"/>
      <c r="FL23" s="357"/>
      <c r="FM23" s="357"/>
      <c r="FN23" s="357"/>
      <c r="FO23" s="357"/>
      <c r="FP23" s="357"/>
      <c r="FQ23" s="357"/>
      <c r="FR23" s="357"/>
      <c r="FS23" s="357"/>
      <c r="FT23" s="357"/>
      <c r="FU23" s="357"/>
      <c r="FV23" s="357"/>
      <c r="FW23" s="357"/>
      <c r="FX23" s="357"/>
      <c r="FY23" s="357"/>
      <c r="FZ23" s="357"/>
      <c r="GA23" s="357"/>
      <c r="GB23" s="357"/>
      <c r="GC23" s="357"/>
      <c r="GD23" s="357"/>
      <c r="GE23" s="357"/>
      <c r="GF23" s="357"/>
      <c r="GG23" s="357"/>
      <c r="GH23" s="357"/>
      <c r="GI23" s="357"/>
      <c r="GJ23" s="357"/>
    </row>
    <row r="24" spans="2:192" ht="12.95" customHeight="1">
      <c r="F24" s="155"/>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7"/>
      <c r="BC24" s="357"/>
      <c r="BD24" s="357"/>
      <c r="BE24" s="357"/>
      <c r="BF24" s="357"/>
      <c r="BG24" s="357"/>
      <c r="BH24" s="357"/>
      <c r="BI24" s="357"/>
      <c r="BJ24" s="357"/>
      <c r="BK24" s="357"/>
      <c r="BL24" s="357"/>
      <c r="BM24" s="357"/>
      <c r="BN24" s="357"/>
      <c r="BO24" s="357"/>
      <c r="BP24" s="357"/>
      <c r="BQ24" s="357"/>
      <c r="BR24" s="357"/>
      <c r="BS24" s="357"/>
      <c r="BT24" s="357"/>
      <c r="BU24" s="357"/>
      <c r="BV24" s="357"/>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c r="DA24" s="357"/>
      <c r="DB24" s="357"/>
      <c r="DC24" s="357"/>
      <c r="DD24" s="357"/>
      <c r="DE24" s="357"/>
      <c r="DF24" s="357"/>
      <c r="DG24" s="357"/>
      <c r="DH24" s="357"/>
      <c r="DI24" s="357"/>
      <c r="DJ24" s="357"/>
      <c r="DK24" s="357"/>
      <c r="DL24" s="357"/>
      <c r="DM24" s="357"/>
      <c r="DN24" s="357"/>
      <c r="DO24" s="357"/>
      <c r="DP24" s="357"/>
      <c r="DQ24" s="357"/>
      <c r="DR24" s="357"/>
      <c r="DS24" s="357"/>
      <c r="DT24" s="357"/>
      <c r="DU24" s="357"/>
      <c r="DV24" s="357"/>
      <c r="DW24" s="357"/>
      <c r="DX24" s="357"/>
      <c r="DY24" s="357"/>
      <c r="DZ24" s="357"/>
      <c r="EA24" s="357"/>
      <c r="EB24" s="357"/>
      <c r="EC24" s="357"/>
      <c r="ED24" s="357"/>
      <c r="EE24" s="357"/>
      <c r="EF24" s="357"/>
      <c r="EG24" s="357"/>
      <c r="EH24" s="357"/>
      <c r="EI24" s="357"/>
      <c r="EJ24" s="357"/>
      <c r="EK24" s="357"/>
      <c r="EL24" s="357"/>
      <c r="EM24" s="357"/>
      <c r="EN24" s="357"/>
      <c r="EO24" s="357"/>
      <c r="EP24" s="357"/>
      <c r="EQ24" s="357"/>
      <c r="ER24" s="357"/>
      <c r="ES24" s="357"/>
      <c r="ET24" s="357"/>
      <c r="EU24" s="357"/>
      <c r="EV24" s="357"/>
      <c r="EW24" s="357"/>
      <c r="EX24" s="357"/>
      <c r="EY24" s="357"/>
      <c r="EZ24" s="357"/>
      <c r="FA24" s="357"/>
      <c r="FB24" s="357"/>
      <c r="FC24" s="357"/>
      <c r="FD24" s="357"/>
      <c r="FE24" s="357"/>
      <c r="FF24" s="357"/>
      <c r="FG24" s="357"/>
      <c r="FH24" s="357"/>
      <c r="FI24" s="357"/>
      <c r="FJ24" s="357"/>
      <c r="FK24" s="357"/>
      <c r="FL24" s="357"/>
      <c r="FM24" s="357"/>
      <c r="FN24" s="357"/>
      <c r="FO24" s="357"/>
      <c r="FP24" s="357"/>
      <c r="FQ24" s="357"/>
      <c r="FR24" s="357"/>
      <c r="FS24" s="357"/>
      <c r="FT24" s="357"/>
      <c r="FU24" s="357"/>
      <c r="FV24" s="357"/>
      <c r="FW24" s="357"/>
      <c r="FX24" s="357"/>
      <c r="FY24" s="357"/>
      <c r="FZ24" s="357"/>
      <c r="GA24" s="357"/>
      <c r="GB24" s="357"/>
      <c r="GC24" s="357"/>
      <c r="GD24" s="357"/>
      <c r="GE24" s="357"/>
      <c r="GF24" s="357"/>
      <c r="GG24" s="357"/>
      <c r="GH24" s="357"/>
      <c r="GI24" s="357"/>
      <c r="GJ24" s="357"/>
    </row>
    <row r="25" spans="2:192" ht="12.95" customHeight="1">
      <c r="F25" s="155"/>
      <c r="Z25" s="357"/>
      <c r="AA25" s="357"/>
      <c r="AB25" s="357"/>
      <c r="AC25" s="357"/>
      <c r="AD25" s="357"/>
      <c r="AE25" s="357"/>
      <c r="AF25" s="357"/>
      <c r="AG25" s="357"/>
      <c r="AH25" s="357"/>
      <c r="AI25" s="357"/>
      <c r="AJ25" s="357"/>
      <c r="AK25" s="357"/>
      <c r="AL25" s="357"/>
      <c r="AM25" s="357"/>
      <c r="AN25" s="357"/>
      <c r="AO25" s="357"/>
      <c r="AP25" s="357"/>
      <c r="AQ25" s="357"/>
      <c r="AR25" s="357"/>
      <c r="AS25" s="357"/>
      <c r="AT25" s="357"/>
      <c r="AU25" s="357"/>
      <c r="AV25" s="357"/>
      <c r="AW25" s="357"/>
      <c r="AX25" s="357"/>
      <c r="AY25" s="357"/>
      <c r="AZ25" s="357"/>
      <c r="BA25" s="357"/>
      <c r="BB25" s="357"/>
      <c r="BC25" s="357"/>
      <c r="BD25" s="357"/>
      <c r="BE25" s="357"/>
      <c r="BF25" s="357"/>
      <c r="BG25" s="357"/>
      <c r="BH25" s="357"/>
      <c r="BI25" s="357"/>
      <c r="BJ25" s="357"/>
      <c r="BK25" s="357"/>
      <c r="BL25" s="357"/>
      <c r="BM25" s="357"/>
      <c r="BN25" s="357"/>
      <c r="BO25" s="357"/>
      <c r="BP25" s="357"/>
      <c r="BQ25" s="357"/>
      <c r="BR25" s="357"/>
      <c r="BS25" s="357"/>
      <c r="BT25" s="357"/>
      <c r="BU25" s="357"/>
      <c r="BV25" s="357"/>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c r="DA25" s="357"/>
      <c r="DB25" s="357"/>
      <c r="DC25" s="357"/>
      <c r="DD25" s="357"/>
      <c r="DE25" s="357"/>
      <c r="DF25" s="357"/>
      <c r="DG25" s="357"/>
      <c r="DH25" s="357"/>
      <c r="DI25" s="357"/>
      <c r="DJ25" s="357"/>
      <c r="DK25" s="357"/>
      <c r="DL25" s="357"/>
      <c r="DM25" s="357"/>
      <c r="DN25" s="357"/>
      <c r="DO25" s="357"/>
      <c r="DP25" s="357"/>
      <c r="DQ25" s="357"/>
      <c r="DR25" s="357"/>
      <c r="DS25" s="357"/>
      <c r="DT25" s="357"/>
      <c r="DU25" s="357"/>
      <c r="DV25" s="357"/>
      <c r="DW25" s="357"/>
      <c r="DX25" s="357"/>
      <c r="DY25" s="357"/>
      <c r="DZ25" s="357"/>
      <c r="EA25" s="357"/>
      <c r="EB25" s="357"/>
      <c r="EC25" s="357"/>
      <c r="ED25" s="357"/>
      <c r="EE25" s="357"/>
      <c r="EF25" s="357"/>
      <c r="EG25" s="357"/>
      <c r="EH25" s="357"/>
      <c r="EI25" s="357"/>
      <c r="EJ25" s="357"/>
      <c r="EK25" s="357"/>
      <c r="EL25" s="357"/>
      <c r="EM25" s="357"/>
      <c r="EN25" s="357"/>
      <c r="EO25" s="357"/>
      <c r="EP25" s="357"/>
      <c r="EQ25" s="357"/>
      <c r="ER25" s="357"/>
      <c r="ES25" s="357"/>
      <c r="ET25" s="357"/>
      <c r="EU25" s="357"/>
      <c r="EV25" s="357"/>
      <c r="EW25" s="357"/>
      <c r="EX25" s="357"/>
      <c r="EY25" s="357"/>
      <c r="EZ25" s="357"/>
      <c r="FA25" s="357"/>
      <c r="FB25" s="357"/>
      <c r="FC25" s="357"/>
      <c r="FD25" s="357"/>
      <c r="FE25" s="357"/>
      <c r="FF25" s="357"/>
      <c r="FG25" s="357"/>
      <c r="FH25" s="357"/>
      <c r="FI25" s="357"/>
      <c r="FJ25" s="357"/>
      <c r="FK25" s="357"/>
      <c r="FL25" s="357"/>
      <c r="FM25" s="357"/>
      <c r="FN25" s="357"/>
      <c r="FO25" s="357"/>
      <c r="FP25" s="357"/>
      <c r="FQ25" s="357"/>
      <c r="FR25" s="357"/>
      <c r="FS25" s="357"/>
      <c r="FT25" s="357"/>
      <c r="FU25" s="357"/>
      <c r="FV25" s="357"/>
      <c r="FW25" s="357"/>
      <c r="FX25" s="357"/>
      <c r="FY25" s="357"/>
      <c r="FZ25" s="357"/>
      <c r="GA25" s="357"/>
      <c r="GB25" s="357"/>
      <c r="GC25" s="357"/>
      <c r="GD25" s="357"/>
      <c r="GE25" s="357"/>
      <c r="GF25" s="357"/>
      <c r="GG25" s="357"/>
      <c r="GH25" s="357"/>
      <c r="GI25" s="357"/>
      <c r="GJ25" s="357"/>
    </row>
    <row r="26" spans="2:192" ht="12.95" customHeight="1">
      <c r="D26" s="161"/>
      <c r="E26" s="161"/>
      <c r="F26" s="162"/>
      <c r="G26" s="161"/>
      <c r="Z26" s="357"/>
      <c r="AA26" s="357"/>
      <c r="AB26" s="357"/>
      <c r="AC26" s="357"/>
      <c r="AD26" s="357"/>
      <c r="AE26" s="357"/>
      <c r="AF26" s="357"/>
      <c r="AG26" s="357"/>
      <c r="AH26" s="357"/>
      <c r="AI26" s="357"/>
      <c r="AJ26" s="357"/>
      <c r="AK26" s="357"/>
      <c r="AL26" s="357"/>
      <c r="AM26" s="357"/>
      <c r="AN26" s="357"/>
      <c r="AO26" s="357"/>
      <c r="AP26" s="357"/>
      <c r="AQ26" s="357"/>
      <c r="AR26" s="357"/>
      <c r="AS26" s="357"/>
      <c r="AT26" s="357"/>
      <c r="AU26" s="357"/>
      <c r="AV26" s="357"/>
      <c r="AW26" s="357"/>
      <c r="AX26" s="357"/>
      <c r="AY26" s="357"/>
      <c r="AZ26" s="357"/>
      <c r="BA26" s="357"/>
      <c r="BB26" s="357"/>
      <c r="BC26" s="357"/>
      <c r="BD26" s="357"/>
      <c r="BE26" s="357"/>
      <c r="BF26" s="357"/>
      <c r="BG26" s="357"/>
      <c r="BH26" s="357"/>
      <c r="BI26" s="357"/>
      <c r="BJ26" s="357"/>
      <c r="BK26" s="357"/>
      <c r="BL26" s="357"/>
      <c r="BM26" s="357"/>
      <c r="BN26" s="357"/>
      <c r="BO26" s="357"/>
      <c r="BP26" s="357"/>
      <c r="BQ26" s="357"/>
      <c r="BR26" s="357"/>
      <c r="BS26" s="357"/>
      <c r="BT26" s="357"/>
      <c r="BU26" s="357"/>
      <c r="BV26" s="357"/>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c r="DA26" s="357"/>
      <c r="DB26" s="357"/>
      <c r="DC26" s="357"/>
      <c r="DD26" s="357"/>
      <c r="DE26" s="357"/>
      <c r="DF26" s="357"/>
      <c r="DG26" s="357"/>
      <c r="DH26" s="357"/>
      <c r="DI26" s="357"/>
      <c r="DJ26" s="357"/>
      <c r="DK26" s="357"/>
      <c r="DL26" s="357"/>
      <c r="DM26" s="357"/>
      <c r="DN26" s="357"/>
      <c r="DO26" s="357"/>
      <c r="DP26" s="357"/>
      <c r="DQ26" s="357"/>
      <c r="DR26" s="357"/>
      <c r="DS26" s="357"/>
      <c r="DT26" s="357"/>
      <c r="DU26" s="357"/>
      <c r="DV26" s="357"/>
      <c r="DW26" s="357"/>
      <c r="DX26" s="357"/>
      <c r="DY26" s="357"/>
      <c r="DZ26" s="357"/>
      <c r="EA26" s="357"/>
      <c r="EB26" s="357"/>
      <c r="EC26" s="357"/>
      <c r="ED26" s="357"/>
      <c r="EE26" s="357"/>
      <c r="EF26" s="357"/>
      <c r="EG26" s="357"/>
      <c r="EH26" s="357"/>
      <c r="EI26" s="357"/>
      <c r="EJ26" s="357"/>
      <c r="EK26" s="357"/>
      <c r="EL26" s="357"/>
      <c r="EM26" s="357"/>
      <c r="EN26" s="357"/>
      <c r="EO26" s="357"/>
      <c r="EP26" s="357"/>
      <c r="EQ26" s="357"/>
      <c r="ER26" s="357"/>
      <c r="ES26" s="357"/>
      <c r="ET26" s="357"/>
      <c r="EU26" s="357"/>
      <c r="EV26" s="357"/>
      <c r="EW26" s="357"/>
      <c r="EX26" s="357"/>
      <c r="EY26" s="357"/>
      <c r="EZ26" s="357"/>
      <c r="FA26" s="357"/>
      <c r="FB26" s="357"/>
      <c r="FC26" s="357"/>
      <c r="FD26" s="357"/>
      <c r="FE26" s="357"/>
      <c r="FF26" s="357"/>
      <c r="FG26" s="357"/>
      <c r="FH26" s="357"/>
      <c r="FI26" s="357"/>
      <c r="FJ26" s="357"/>
      <c r="FK26" s="357"/>
      <c r="FL26" s="357"/>
      <c r="FM26" s="357"/>
      <c r="FN26" s="357"/>
      <c r="FO26" s="357"/>
      <c r="FP26" s="357"/>
      <c r="FQ26" s="357"/>
      <c r="FR26" s="357"/>
      <c r="FS26" s="357"/>
      <c r="FT26" s="357"/>
      <c r="FU26" s="357"/>
      <c r="FV26" s="357"/>
      <c r="FW26" s="357"/>
      <c r="FX26" s="357"/>
      <c r="FY26" s="357"/>
      <c r="FZ26" s="357"/>
      <c r="GA26" s="357"/>
      <c r="GB26" s="357"/>
      <c r="GC26" s="357"/>
      <c r="GD26" s="357"/>
      <c r="GE26" s="357"/>
      <c r="GF26" s="357"/>
      <c r="GG26" s="357"/>
      <c r="GH26" s="357"/>
      <c r="GI26" s="357"/>
      <c r="GJ26" s="357"/>
    </row>
    <row r="27" spans="2:192" ht="12.95" customHeight="1">
      <c r="D27" s="161"/>
      <c r="E27" s="161"/>
      <c r="F27" s="163"/>
      <c r="G27" s="161"/>
      <c r="Z27" s="357"/>
      <c r="AA27" s="357"/>
      <c r="AB27" s="357"/>
      <c r="AC27" s="357"/>
      <c r="AD27" s="357"/>
      <c r="AE27" s="357"/>
      <c r="AF27" s="357"/>
      <c r="AG27" s="357"/>
      <c r="AH27" s="357"/>
      <c r="AI27" s="427"/>
      <c r="AJ27" s="427"/>
      <c r="AK27" s="357"/>
      <c r="AL27" s="357"/>
      <c r="AM27" s="357"/>
      <c r="AN27" s="427"/>
      <c r="AO27" s="357"/>
      <c r="AP27" s="357"/>
      <c r="AQ27" s="357"/>
      <c r="AR27" s="357"/>
      <c r="AS27" s="357"/>
      <c r="AT27" s="357"/>
      <c r="AU27" s="357"/>
      <c r="AV27" s="357"/>
      <c r="AW27" s="357"/>
      <c r="AX27" s="357"/>
      <c r="AY27" s="357"/>
      <c r="AZ27" s="357"/>
      <c r="BA27" s="357"/>
      <c r="BB27" s="357"/>
      <c r="BC27" s="357"/>
      <c r="BD27" s="357"/>
      <c r="BE27" s="357"/>
      <c r="BF27" s="357"/>
      <c r="BG27" s="357"/>
      <c r="BH27" s="357"/>
      <c r="BI27" s="357"/>
      <c r="BJ27" s="357"/>
      <c r="BK27" s="357"/>
      <c r="BL27" s="357"/>
      <c r="BM27" s="357"/>
      <c r="BN27" s="357"/>
      <c r="BO27" s="357"/>
      <c r="BP27" s="357"/>
      <c r="BQ27" s="357"/>
      <c r="BR27" s="357"/>
      <c r="BS27" s="357"/>
      <c r="BT27" s="357"/>
      <c r="BU27" s="357"/>
      <c r="BV27" s="357"/>
      <c r="BW27" s="357"/>
      <c r="BX27" s="357"/>
      <c r="BY27" s="357"/>
      <c r="BZ27" s="357"/>
      <c r="CA27" s="357"/>
      <c r="CB27" s="357"/>
      <c r="CC27" s="357"/>
      <c r="CD27" s="357"/>
      <c r="CE27" s="357"/>
      <c r="CF27" s="357"/>
      <c r="CG27" s="357"/>
      <c r="CH27" s="357"/>
      <c r="CI27" s="357"/>
      <c r="CJ27" s="357"/>
      <c r="CK27" s="357"/>
      <c r="CL27" s="357"/>
      <c r="CM27" s="357"/>
      <c r="CN27" s="357"/>
      <c r="CO27" s="357"/>
      <c r="CP27" s="357"/>
      <c r="CQ27" s="357"/>
      <c r="CR27" s="357"/>
      <c r="CS27" s="357"/>
      <c r="CT27" s="357"/>
      <c r="CU27" s="357"/>
      <c r="CV27" s="357"/>
      <c r="CW27" s="357"/>
      <c r="CX27" s="357"/>
      <c r="CY27" s="357"/>
      <c r="CZ27" s="357"/>
      <c r="DA27" s="357"/>
      <c r="DB27" s="357"/>
      <c r="DC27" s="357"/>
      <c r="DD27" s="357"/>
      <c r="DE27" s="357"/>
      <c r="DF27" s="357"/>
      <c r="DG27" s="357"/>
      <c r="DH27" s="357"/>
      <c r="DI27" s="357"/>
      <c r="DJ27" s="357"/>
      <c r="DK27" s="357"/>
      <c r="DL27" s="357"/>
      <c r="DM27" s="357"/>
      <c r="DN27" s="357"/>
      <c r="DO27" s="357"/>
      <c r="DP27" s="357"/>
      <c r="DQ27" s="357"/>
      <c r="DR27" s="357"/>
      <c r="DS27" s="357"/>
      <c r="DT27" s="357"/>
      <c r="DU27" s="357"/>
      <c r="DV27" s="357"/>
      <c r="DW27" s="357"/>
      <c r="DX27" s="357"/>
      <c r="DY27" s="357"/>
      <c r="DZ27" s="357"/>
      <c r="EA27" s="357"/>
      <c r="EB27" s="357"/>
      <c r="EC27" s="357"/>
      <c r="ED27" s="357"/>
      <c r="EE27" s="357"/>
      <c r="EF27" s="357"/>
      <c r="EG27" s="357"/>
      <c r="EH27" s="357"/>
      <c r="EI27" s="357"/>
      <c r="EJ27" s="357"/>
      <c r="EK27" s="357"/>
      <c r="EL27" s="357"/>
      <c r="EM27" s="357"/>
      <c r="EN27" s="357"/>
      <c r="EO27" s="357"/>
      <c r="EP27" s="357"/>
      <c r="EQ27" s="357"/>
      <c r="ER27" s="357"/>
      <c r="ES27" s="357"/>
      <c r="ET27" s="357"/>
      <c r="EU27" s="357"/>
      <c r="EV27" s="357"/>
      <c r="EW27" s="357"/>
      <c r="EX27" s="357"/>
      <c r="EY27" s="357"/>
      <c r="EZ27" s="357"/>
      <c r="FA27" s="357"/>
      <c r="FB27" s="357"/>
      <c r="FC27" s="357"/>
      <c r="FD27" s="357"/>
      <c r="FE27" s="357"/>
      <c r="FF27" s="357"/>
      <c r="FG27" s="357"/>
      <c r="FH27" s="357"/>
      <c r="FI27" s="357"/>
      <c r="FJ27" s="357"/>
      <c r="FK27" s="357"/>
      <c r="FL27" s="357"/>
      <c r="FM27" s="357"/>
      <c r="FN27" s="357"/>
      <c r="FO27" s="357"/>
      <c r="FP27" s="357"/>
      <c r="FQ27" s="357"/>
      <c r="FR27" s="357"/>
      <c r="FS27" s="357"/>
      <c r="FT27" s="357"/>
      <c r="FU27" s="357"/>
      <c r="FV27" s="357"/>
      <c r="FW27" s="357"/>
      <c r="FX27" s="357"/>
      <c r="FY27" s="357"/>
      <c r="FZ27" s="357"/>
      <c r="GA27" s="357"/>
      <c r="GB27" s="357"/>
      <c r="GC27" s="357"/>
      <c r="GD27" s="357"/>
      <c r="GE27" s="357"/>
      <c r="GF27" s="357"/>
      <c r="GG27" s="357"/>
      <c r="GH27" s="357"/>
      <c r="GI27" s="357"/>
      <c r="GJ27" s="357"/>
    </row>
    <row r="28" spans="2:192" ht="12.95" customHeight="1">
      <c r="Z28" s="357"/>
      <c r="AA28" s="357"/>
      <c r="AB28" s="357"/>
      <c r="AC28" s="357"/>
      <c r="AD28" s="357"/>
      <c r="AE28" s="357"/>
      <c r="AF28" s="357"/>
      <c r="AG28" s="357"/>
      <c r="AH28" s="357"/>
      <c r="AI28" s="357"/>
      <c r="AJ28" s="357"/>
      <c r="AK28" s="357"/>
      <c r="AL28" s="357"/>
      <c r="AM28" s="357"/>
      <c r="AN28" s="357"/>
      <c r="AO28" s="427"/>
      <c r="AP28" s="357"/>
      <c r="AQ28" s="357"/>
      <c r="AR28" s="357"/>
      <c r="AS28" s="357"/>
      <c r="AT28" s="357"/>
      <c r="AU28" s="357"/>
      <c r="AV28" s="357"/>
      <c r="AW28" s="357"/>
      <c r="AX28" s="357"/>
      <c r="AY28" s="357"/>
      <c r="AZ28" s="357"/>
      <c r="BA28" s="357"/>
      <c r="BB28" s="357"/>
      <c r="BC28" s="357"/>
      <c r="BD28" s="357"/>
      <c r="BE28" s="357"/>
      <c r="BF28" s="357"/>
      <c r="BG28" s="357"/>
      <c r="BH28" s="357"/>
      <c r="BI28" s="357"/>
      <c r="BJ28" s="357"/>
      <c r="BK28" s="357"/>
      <c r="BL28" s="357"/>
      <c r="BM28" s="357"/>
      <c r="BN28" s="357"/>
      <c r="BO28" s="357"/>
      <c r="BP28" s="357"/>
      <c r="BQ28" s="357"/>
      <c r="BR28" s="357"/>
      <c r="BS28" s="357"/>
      <c r="BT28" s="357"/>
      <c r="BU28" s="357"/>
      <c r="BV28" s="357"/>
      <c r="BW28" s="357"/>
      <c r="BX28" s="357"/>
      <c r="BY28" s="357"/>
      <c r="BZ28" s="357"/>
      <c r="CA28" s="357"/>
      <c r="CB28" s="357"/>
      <c r="CC28" s="357"/>
      <c r="CD28" s="357"/>
      <c r="CE28" s="357"/>
      <c r="CF28" s="357"/>
      <c r="CG28" s="357"/>
      <c r="CH28" s="357"/>
      <c r="CI28" s="357"/>
      <c r="CJ28" s="357"/>
      <c r="CK28" s="357"/>
      <c r="CL28" s="357"/>
      <c r="CM28" s="357"/>
      <c r="CN28" s="357"/>
      <c r="CO28" s="357"/>
      <c r="CP28" s="357"/>
      <c r="CQ28" s="357"/>
      <c r="CR28" s="357"/>
      <c r="CS28" s="357"/>
      <c r="CT28" s="357"/>
      <c r="CU28" s="357"/>
      <c r="CV28" s="357"/>
      <c r="CW28" s="357"/>
      <c r="CX28" s="357"/>
      <c r="CY28" s="357"/>
      <c r="CZ28" s="357"/>
      <c r="DA28" s="357"/>
      <c r="DB28" s="357"/>
      <c r="DC28" s="357"/>
      <c r="DD28" s="357"/>
      <c r="DE28" s="357"/>
      <c r="DF28" s="357"/>
      <c r="DG28" s="357"/>
      <c r="DH28" s="357"/>
      <c r="DI28" s="357"/>
      <c r="DJ28" s="357"/>
      <c r="DK28" s="357"/>
      <c r="DL28" s="357"/>
      <c r="DM28" s="357"/>
      <c r="DN28" s="357"/>
      <c r="DO28" s="357"/>
      <c r="DP28" s="357"/>
      <c r="DQ28" s="357"/>
      <c r="DR28" s="357"/>
      <c r="DS28" s="357"/>
      <c r="DT28" s="357"/>
      <c r="DU28" s="357"/>
      <c r="DV28" s="357"/>
      <c r="DW28" s="357"/>
      <c r="DX28" s="357"/>
      <c r="DY28" s="357"/>
      <c r="DZ28" s="357"/>
      <c r="EA28" s="357"/>
      <c r="EB28" s="357"/>
      <c r="EC28" s="357"/>
      <c r="ED28" s="357"/>
      <c r="EE28" s="357"/>
      <c r="EF28" s="357"/>
      <c r="EG28" s="357"/>
      <c r="EH28" s="357"/>
      <c r="EI28" s="357"/>
      <c r="EJ28" s="357"/>
      <c r="EK28" s="357"/>
      <c r="EL28" s="357"/>
      <c r="EM28" s="357"/>
      <c r="EN28" s="357"/>
      <c r="EO28" s="357"/>
      <c r="EP28" s="357"/>
      <c r="EQ28" s="357"/>
      <c r="ER28" s="357"/>
      <c r="ES28" s="357"/>
      <c r="ET28" s="357"/>
      <c r="EU28" s="357"/>
      <c r="EV28" s="357"/>
      <c r="EW28" s="357"/>
      <c r="EX28" s="357"/>
      <c r="EY28" s="357"/>
      <c r="EZ28" s="357"/>
      <c r="FA28" s="357"/>
      <c r="FB28" s="357"/>
      <c r="FC28" s="357"/>
      <c r="FD28" s="357"/>
      <c r="FE28" s="357"/>
      <c r="FF28" s="357"/>
      <c r="FG28" s="357"/>
      <c r="FH28" s="357"/>
      <c r="FI28" s="357"/>
      <c r="FJ28" s="357"/>
      <c r="FK28" s="357"/>
      <c r="FL28" s="357"/>
      <c r="FM28" s="357"/>
      <c r="FN28" s="357"/>
      <c r="FO28" s="357"/>
      <c r="FP28" s="357"/>
      <c r="FQ28" s="357"/>
      <c r="FR28" s="357"/>
      <c r="FS28" s="357"/>
      <c r="FT28" s="357"/>
      <c r="FU28" s="357"/>
      <c r="FV28" s="357"/>
      <c r="FW28" s="357"/>
      <c r="FX28" s="357"/>
      <c r="FY28" s="357"/>
      <c r="FZ28" s="357"/>
      <c r="GA28" s="357"/>
      <c r="GB28" s="357"/>
      <c r="GC28" s="357"/>
      <c r="GD28" s="357"/>
      <c r="GE28" s="357"/>
      <c r="GF28" s="357"/>
      <c r="GG28" s="357"/>
      <c r="GH28" s="357"/>
      <c r="GI28" s="357"/>
      <c r="GJ28" s="357"/>
    </row>
    <row r="29" spans="2:192" ht="12.95" customHeight="1">
      <c r="J29" s="158"/>
      <c r="Z29" s="357"/>
      <c r="AA29" s="357"/>
      <c r="AB29" s="357"/>
      <c r="AC29" s="357"/>
      <c r="AD29" s="357"/>
      <c r="AE29" s="357"/>
      <c r="AF29" s="357"/>
      <c r="AG29" s="357"/>
      <c r="AH29" s="357"/>
      <c r="AI29" s="357"/>
      <c r="AJ29" s="357"/>
      <c r="AK29" s="357"/>
      <c r="AL29" s="357"/>
      <c r="AM29" s="357"/>
      <c r="AN29" s="357"/>
      <c r="AO29" s="357"/>
      <c r="AP29" s="357"/>
      <c r="AQ29" s="357"/>
      <c r="AR29" s="357"/>
      <c r="AS29" s="357"/>
      <c r="AT29" s="357"/>
      <c r="AU29" s="357"/>
      <c r="AV29" s="357"/>
      <c r="AW29" s="357"/>
      <c r="AX29" s="357"/>
      <c r="AY29" s="357"/>
      <c r="AZ29" s="357"/>
      <c r="BA29" s="357"/>
      <c r="BB29" s="357"/>
      <c r="BC29" s="357"/>
      <c r="BD29" s="357"/>
      <c r="BE29" s="357"/>
      <c r="BF29" s="357"/>
      <c r="BG29" s="357"/>
      <c r="BH29" s="357"/>
      <c r="BI29" s="357"/>
      <c r="BJ29" s="357"/>
      <c r="BK29" s="357"/>
      <c r="BL29" s="357"/>
      <c r="BM29" s="357"/>
      <c r="BN29" s="357"/>
      <c r="BO29" s="357"/>
      <c r="BP29" s="357"/>
      <c r="BQ29" s="357"/>
      <c r="BR29" s="357"/>
      <c r="BS29" s="357"/>
      <c r="BT29" s="357"/>
      <c r="BU29" s="357"/>
      <c r="BV29" s="357"/>
      <c r="BW29" s="357"/>
      <c r="BX29" s="357"/>
      <c r="BY29" s="357"/>
      <c r="BZ29" s="357"/>
      <c r="CA29" s="357"/>
      <c r="CB29" s="357"/>
      <c r="CC29" s="357"/>
      <c r="CD29" s="357"/>
      <c r="CE29" s="357"/>
      <c r="CF29" s="357"/>
      <c r="CG29" s="357"/>
      <c r="CH29" s="357"/>
      <c r="CI29" s="357"/>
      <c r="CJ29" s="357"/>
      <c r="CK29" s="357"/>
      <c r="CL29" s="357"/>
      <c r="CM29" s="357"/>
      <c r="CN29" s="357"/>
      <c r="CO29" s="357"/>
      <c r="CP29" s="357"/>
      <c r="CQ29" s="357"/>
      <c r="CR29" s="357"/>
      <c r="CS29" s="357"/>
      <c r="CT29" s="357"/>
      <c r="CU29" s="357"/>
      <c r="CV29" s="357"/>
      <c r="CW29" s="357"/>
      <c r="CX29" s="357"/>
      <c r="CY29" s="357"/>
      <c r="CZ29" s="357"/>
      <c r="DA29" s="357"/>
      <c r="DB29" s="357"/>
      <c r="DC29" s="357"/>
      <c r="DD29" s="357"/>
      <c r="DE29" s="357"/>
      <c r="DF29" s="357"/>
      <c r="DG29" s="357"/>
      <c r="DH29" s="357"/>
      <c r="DI29" s="357"/>
      <c r="DJ29" s="357"/>
      <c r="DK29" s="357"/>
      <c r="DL29" s="357"/>
      <c r="DM29" s="357"/>
      <c r="DN29" s="357"/>
      <c r="DO29" s="357"/>
      <c r="DP29" s="357"/>
      <c r="DQ29" s="357"/>
      <c r="DR29" s="357"/>
      <c r="DS29" s="357"/>
      <c r="DT29" s="357"/>
      <c r="DU29" s="357"/>
      <c r="DV29" s="357"/>
      <c r="DW29" s="357"/>
      <c r="DX29" s="357"/>
      <c r="DY29" s="357"/>
      <c r="DZ29" s="357"/>
      <c r="EA29" s="357"/>
      <c r="EB29" s="357"/>
      <c r="EC29" s="357"/>
      <c r="ED29" s="357"/>
      <c r="EE29" s="357"/>
      <c r="EF29" s="357"/>
      <c r="EG29" s="357"/>
      <c r="EH29" s="357"/>
      <c r="EI29" s="357"/>
      <c r="EJ29" s="357"/>
      <c r="EK29" s="357"/>
      <c r="EL29" s="357"/>
      <c r="EM29" s="357"/>
      <c r="EN29" s="357"/>
      <c r="EO29" s="357"/>
      <c r="EP29" s="357"/>
      <c r="EQ29" s="357"/>
      <c r="ER29" s="357"/>
      <c r="ES29" s="357"/>
      <c r="ET29" s="357"/>
      <c r="EU29" s="357"/>
      <c r="EV29" s="357"/>
      <c r="EW29" s="357"/>
      <c r="EX29" s="357"/>
      <c r="EY29" s="357"/>
      <c r="EZ29" s="357"/>
      <c r="FA29" s="357"/>
      <c r="FB29" s="357"/>
      <c r="FC29" s="357"/>
      <c r="FD29" s="357"/>
      <c r="FE29" s="357"/>
      <c r="FF29" s="357"/>
      <c r="FG29" s="357"/>
      <c r="FH29" s="357"/>
      <c r="FI29" s="357"/>
      <c r="FJ29" s="357"/>
      <c r="FK29" s="357"/>
      <c r="FL29" s="357"/>
      <c r="FM29" s="357"/>
      <c r="FN29" s="357"/>
      <c r="FO29" s="357"/>
      <c r="FP29" s="357"/>
      <c r="FQ29" s="357"/>
      <c r="FR29" s="357"/>
      <c r="FS29" s="357"/>
      <c r="FT29" s="357"/>
      <c r="FU29" s="357"/>
      <c r="FV29" s="357"/>
      <c r="FW29" s="357"/>
      <c r="FX29" s="357"/>
      <c r="FY29" s="357"/>
      <c r="FZ29" s="357"/>
      <c r="GA29" s="357"/>
      <c r="GB29" s="357"/>
      <c r="GC29" s="357"/>
      <c r="GD29" s="357"/>
      <c r="GE29" s="357"/>
      <c r="GF29" s="357"/>
      <c r="GG29" s="357"/>
      <c r="GH29" s="357"/>
      <c r="GI29" s="357"/>
      <c r="GJ29" s="357"/>
    </row>
    <row r="30" spans="2:192" ht="12.95" customHeight="1">
      <c r="Z30" s="357"/>
      <c r="AA30" s="357"/>
      <c r="AB30" s="357"/>
      <c r="AC30" s="357"/>
      <c r="AD30" s="357"/>
      <c r="AE30" s="357"/>
      <c r="AF30" s="357"/>
      <c r="AG30" s="357"/>
      <c r="AH30" s="357"/>
      <c r="AI30" s="357"/>
      <c r="AJ30" s="357"/>
      <c r="AK30" s="357"/>
      <c r="AL30" s="357"/>
      <c r="AM30" s="357"/>
      <c r="AN30" s="357"/>
      <c r="AO30" s="357"/>
      <c r="AP30" s="357"/>
      <c r="AQ30" s="357"/>
      <c r="AR30" s="357"/>
      <c r="AS30" s="357"/>
      <c r="AT30" s="357"/>
      <c r="AU30" s="357"/>
      <c r="AV30" s="357"/>
      <c r="AW30" s="357"/>
      <c r="AX30" s="357"/>
      <c r="AY30" s="357"/>
      <c r="AZ30" s="357"/>
      <c r="BA30" s="357"/>
      <c r="BB30" s="357"/>
      <c r="BC30" s="357"/>
      <c r="BD30" s="357"/>
      <c r="BE30" s="357"/>
      <c r="BF30" s="357"/>
      <c r="BG30" s="357"/>
      <c r="BH30" s="357"/>
      <c r="BI30" s="357"/>
      <c r="BJ30" s="357"/>
      <c r="BK30" s="357"/>
      <c r="BL30" s="357"/>
      <c r="BM30" s="357"/>
      <c r="BN30" s="357"/>
      <c r="BO30" s="357"/>
      <c r="BP30" s="357"/>
      <c r="BQ30" s="357"/>
      <c r="BR30" s="357"/>
      <c r="BS30" s="357"/>
      <c r="BT30" s="357"/>
      <c r="BU30" s="357"/>
      <c r="BV30" s="357"/>
      <c r="BW30" s="357"/>
      <c r="BX30" s="357"/>
      <c r="BY30" s="357"/>
      <c r="BZ30" s="357"/>
      <c r="CA30" s="357"/>
      <c r="CB30" s="357"/>
      <c r="CC30" s="357"/>
      <c r="CD30" s="357"/>
      <c r="CE30" s="357"/>
      <c r="CF30" s="357"/>
      <c r="CG30" s="357"/>
      <c r="CH30" s="357"/>
      <c r="CI30" s="357"/>
      <c r="CJ30" s="357"/>
      <c r="CK30" s="357"/>
      <c r="CL30" s="357"/>
      <c r="CM30" s="357"/>
      <c r="CN30" s="357"/>
      <c r="CO30" s="357"/>
      <c r="CP30" s="357"/>
      <c r="CQ30" s="357"/>
      <c r="CR30" s="357"/>
      <c r="CS30" s="357"/>
      <c r="CT30" s="357"/>
      <c r="CU30" s="357"/>
      <c r="CV30" s="357"/>
      <c r="CW30" s="357"/>
      <c r="CX30" s="357"/>
      <c r="CY30" s="357"/>
      <c r="CZ30" s="357"/>
      <c r="DA30" s="357"/>
      <c r="DB30" s="357"/>
      <c r="DC30" s="357"/>
      <c r="DD30" s="357"/>
      <c r="DE30" s="357"/>
      <c r="DF30" s="357"/>
      <c r="DG30" s="357"/>
      <c r="DH30" s="357"/>
      <c r="DI30" s="357"/>
      <c r="DJ30" s="357"/>
      <c r="DK30" s="357"/>
      <c r="DL30" s="357"/>
      <c r="DM30" s="357"/>
      <c r="DN30" s="357"/>
      <c r="DO30" s="357"/>
      <c r="DP30" s="357"/>
      <c r="DQ30" s="357"/>
      <c r="DR30" s="357"/>
      <c r="DS30" s="357"/>
      <c r="DT30" s="357"/>
      <c r="DU30" s="357"/>
      <c r="DV30" s="357"/>
      <c r="DW30" s="357"/>
      <c r="DX30" s="357"/>
      <c r="DY30" s="357"/>
      <c r="DZ30" s="357"/>
      <c r="EA30" s="357"/>
      <c r="EB30" s="357"/>
      <c r="EC30" s="357"/>
      <c r="ED30" s="357"/>
      <c r="EE30" s="357"/>
      <c r="EF30" s="357"/>
      <c r="EG30" s="357"/>
      <c r="EH30" s="357"/>
      <c r="EI30" s="357"/>
      <c r="EJ30" s="357"/>
      <c r="EK30" s="357"/>
      <c r="EL30" s="357"/>
      <c r="EM30" s="357"/>
      <c r="EN30" s="357"/>
      <c r="EO30" s="357"/>
      <c r="EP30" s="357"/>
      <c r="EQ30" s="357"/>
      <c r="ER30" s="357"/>
      <c r="ES30" s="357"/>
      <c r="ET30" s="357"/>
      <c r="EU30" s="357"/>
      <c r="EV30" s="357"/>
      <c r="EW30" s="357"/>
      <c r="EX30" s="357"/>
      <c r="EY30" s="357"/>
      <c r="EZ30" s="357"/>
      <c r="FA30" s="357"/>
      <c r="FB30" s="357"/>
      <c r="FC30" s="357"/>
      <c r="FD30" s="357"/>
      <c r="FE30" s="357"/>
      <c r="FF30" s="357"/>
      <c r="FG30" s="357"/>
      <c r="FH30" s="357"/>
      <c r="FI30" s="357"/>
      <c r="FJ30" s="357"/>
      <c r="FK30" s="357"/>
      <c r="FL30" s="357"/>
      <c r="FM30" s="357"/>
      <c r="FN30" s="357"/>
      <c r="FO30" s="357"/>
      <c r="FP30" s="357"/>
      <c r="FQ30" s="357"/>
      <c r="FR30" s="357"/>
      <c r="FS30" s="357"/>
      <c r="FT30" s="357"/>
      <c r="FU30" s="357"/>
      <c r="FV30" s="357"/>
      <c r="FW30" s="357"/>
      <c r="FX30" s="357"/>
      <c r="FY30" s="357"/>
      <c r="FZ30" s="357"/>
      <c r="GA30" s="357"/>
      <c r="GB30" s="357"/>
      <c r="GC30" s="357"/>
      <c r="GD30" s="357"/>
      <c r="GE30" s="357"/>
      <c r="GF30" s="357"/>
      <c r="GG30" s="357"/>
      <c r="GH30" s="357"/>
      <c r="GI30" s="357"/>
      <c r="GJ30" s="357"/>
    </row>
    <row r="31" spans="2:192" ht="12.95" customHeight="1">
      <c r="Z31" s="357"/>
      <c r="AA31" s="357"/>
      <c r="AB31" s="357"/>
      <c r="AC31" s="357"/>
      <c r="AD31" s="357"/>
      <c r="AE31" s="357"/>
      <c r="AF31" s="357"/>
      <c r="AG31" s="357"/>
      <c r="AH31" s="357"/>
      <c r="AI31" s="357"/>
      <c r="AJ31" s="357"/>
      <c r="AK31" s="357"/>
      <c r="AL31" s="357"/>
      <c r="AM31" s="357"/>
      <c r="AN31" s="357"/>
      <c r="AO31" s="357"/>
      <c r="AP31" s="357"/>
      <c r="AQ31" s="357"/>
      <c r="AR31" s="357"/>
      <c r="AS31" s="357"/>
      <c r="AT31" s="357"/>
      <c r="AU31" s="357"/>
      <c r="AV31" s="357"/>
      <c r="AW31" s="357"/>
      <c r="AX31" s="357"/>
      <c r="AY31" s="357"/>
      <c r="AZ31" s="357"/>
      <c r="BA31" s="357"/>
      <c r="BB31" s="357"/>
      <c r="BC31" s="357"/>
      <c r="BD31" s="357"/>
      <c r="BE31" s="357"/>
      <c r="BF31" s="357"/>
      <c r="BG31" s="357"/>
      <c r="BH31" s="357"/>
      <c r="BI31" s="357"/>
      <c r="BJ31" s="357"/>
      <c r="BK31" s="357"/>
      <c r="BL31" s="357"/>
      <c r="BM31" s="357"/>
      <c r="BN31" s="357"/>
      <c r="BO31" s="357"/>
      <c r="BP31" s="357"/>
      <c r="BQ31" s="357"/>
      <c r="BR31" s="357"/>
      <c r="BS31" s="357"/>
      <c r="BT31" s="357"/>
      <c r="BU31" s="357"/>
      <c r="BV31" s="357"/>
      <c r="BW31" s="357"/>
      <c r="BX31" s="357"/>
      <c r="BY31" s="357"/>
      <c r="BZ31" s="357"/>
      <c r="CA31" s="357"/>
      <c r="CB31" s="357"/>
      <c r="CC31" s="357"/>
      <c r="CD31" s="357"/>
      <c r="CE31" s="357"/>
      <c r="CF31" s="357"/>
      <c r="CG31" s="357"/>
      <c r="CH31" s="357"/>
      <c r="CI31" s="357"/>
      <c r="CJ31" s="357"/>
      <c r="CK31" s="357"/>
      <c r="CL31" s="357"/>
      <c r="CM31" s="357"/>
      <c r="CN31" s="357"/>
      <c r="CO31" s="357"/>
      <c r="CP31" s="357"/>
      <c r="CQ31" s="357"/>
      <c r="CR31" s="357"/>
      <c r="CS31" s="357"/>
      <c r="CT31" s="357"/>
      <c r="CU31" s="357"/>
      <c r="CV31" s="357"/>
      <c r="CW31" s="357"/>
      <c r="CX31" s="357"/>
      <c r="CY31" s="357"/>
      <c r="CZ31" s="357"/>
      <c r="DA31" s="357"/>
      <c r="DB31" s="357"/>
      <c r="DC31" s="357"/>
      <c r="DD31" s="357"/>
      <c r="DE31" s="357"/>
      <c r="DF31" s="357"/>
      <c r="DG31" s="357"/>
      <c r="DH31" s="357"/>
      <c r="DI31" s="357"/>
      <c r="DJ31" s="357"/>
      <c r="DK31" s="357"/>
      <c r="DL31" s="357"/>
      <c r="DM31" s="357"/>
      <c r="DN31" s="357"/>
      <c r="DO31" s="357"/>
      <c r="DP31" s="357"/>
      <c r="DQ31" s="357"/>
      <c r="DR31" s="357"/>
      <c r="DS31" s="357"/>
      <c r="DT31" s="357"/>
      <c r="DU31" s="357"/>
      <c r="DV31" s="357"/>
      <c r="DW31" s="357"/>
      <c r="DX31" s="357"/>
      <c r="DY31" s="357"/>
      <c r="DZ31" s="357"/>
      <c r="EA31" s="357"/>
      <c r="EB31" s="357"/>
      <c r="EC31" s="357"/>
      <c r="ED31" s="357"/>
      <c r="EE31" s="357"/>
      <c r="EF31" s="357"/>
      <c r="EG31" s="357"/>
      <c r="EH31" s="357"/>
      <c r="EI31" s="357"/>
      <c r="EJ31" s="357"/>
      <c r="EK31" s="357"/>
      <c r="EL31" s="357"/>
      <c r="EM31" s="357"/>
      <c r="EN31" s="357"/>
      <c r="EO31" s="357"/>
      <c r="EP31" s="357"/>
      <c r="EQ31" s="357"/>
      <c r="ER31" s="357"/>
      <c r="ES31" s="357"/>
      <c r="ET31" s="357"/>
      <c r="EU31" s="357"/>
      <c r="EV31" s="357"/>
      <c r="EW31" s="357"/>
      <c r="EX31" s="357"/>
      <c r="EY31" s="357"/>
      <c r="EZ31" s="357"/>
      <c r="FA31" s="357"/>
      <c r="FB31" s="357"/>
      <c r="FC31" s="357"/>
      <c r="FD31" s="357"/>
      <c r="FE31" s="357"/>
      <c r="FF31" s="357"/>
      <c r="FG31" s="357"/>
      <c r="FH31" s="357"/>
      <c r="FI31" s="357"/>
      <c r="FJ31" s="357"/>
      <c r="FK31" s="357"/>
      <c r="FL31" s="357"/>
      <c r="FM31" s="357"/>
      <c r="FN31" s="357"/>
      <c r="FO31" s="357"/>
      <c r="FP31" s="357"/>
      <c r="FQ31" s="357"/>
      <c r="FR31" s="357"/>
      <c r="FS31" s="357"/>
      <c r="FT31" s="357"/>
      <c r="FU31" s="357"/>
      <c r="FV31" s="357"/>
      <c r="FW31" s="357"/>
      <c r="FX31" s="357"/>
      <c r="FY31" s="357"/>
      <c r="FZ31" s="357"/>
      <c r="GA31" s="357"/>
      <c r="GB31" s="357"/>
      <c r="GC31" s="357"/>
      <c r="GD31" s="357"/>
      <c r="GE31" s="357"/>
      <c r="GF31" s="357"/>
      <c r="GG31" s="357"/>
      <c r="GH31" s="357"/>
      <c r="GI31" s="357"/>
      <c r="GJ31" s="357"/>
    </row>
    <row r="32" spans="2:192" ht="12.95" customHeight="1">
      <c r="J32" s="158"/>
      <c r="Z32" s="357"/>
      <c r="AA32" s="357"/>
      <c r="AB32" s="357"/>
      <c r="AC32" s="357"/>
      <c r="AD32" s="357"/>
      <c r="AE32" s="357"/>
      <c r="AF32" s="357"/>
      <c r="AG32" s="357"/>
      <c r="AH32" s="357"/>
      <c r="AI32" s="357"/>
      <c r="AJ32" s="357"/>
      <c r="AK32" s="357"/>
      <c r="AL32" s="357"/>
      <c r="AM32" s="357"/>
      <c r="AN32" s="357"/>
      <c r="AO32" s="357"/>
      <c r="AP32" s="357"/>
      <c r="AQ32" s="357"/>
      <c r="AR32" s="357"/>
      <c r="AS32" s="357"/>
      <c r="AT32" s="357"/>
      <c r="AU32" s="357"/>
      <c r="AV32" s="357"/>
      <c r="AW32" s="357"/>
      <c r="AX32" s="357"/>
      <c r="AY32" s="357"/>
      <c r="AZ32" s="357"/>
      <c r="BA32" s="357"/>
      <c r="BB32" s="357"/>
      <c r="BC32" s="357"/>
      <c r="BD32" s="357"/>
      <c r="BE32" s="357"/>
      <c r="BF32" s="357"/>
      <c r="BG32" s="357"/>
      <c r="BH32" s="357"/>
      <c r="BI32" s="357"/>
      <c r="BJ32" s="357"/>
      <c r="BK32" s="357"/>
      <c r="BL32" s="357"/>
      <c r="BM32" s="357"/>
      <c r="BN32" s="357"/>
      <c r="BO32" s="357"/>
      <c r="BP32" s="357"/>
      <c r="BQ32" s="357"/>
      <c r="BR32" s="357"/>
      <c r="BS32" s="357"/>
      <c r="BT32" s="357"/>
      <c r="BU32" s="357"/>
      <c r="BV32" s="357"/>
      <c r="BW32" s="357"/>
      <c r="BX32" s="357"/>
      <c r="BY32" s="357"/>
      <c r="BZ32" s="357"/>
      <c r="CA32" s="357"/>
      <c r="CB32" s="357"/>
      <c r="CC32" s="357"/>
      <c r="CD32" s="357"/>
      <c r="CE32" s="357"/>
      <c r="CF32" s="357"/>
      <c r="CG32" s="357"/>
      <c r="CH32" s="357"/>
      <c r="CI32" s="357"/>
      <c r="CJ32" s="357"/>
      <c r="CK32" s="357"/>
      <c r="CL32" s="357"/>
      <c r="CM32" s="357"/>
      <c r="CN32" s="357"/>
      <c r="CO32" s="357"/>
      <c r="CP32" s="357"/>
      <c r="CQ32" s="357"/>
      <c r="CR32" s="357"/>
      <c r="CS32" s="357"/>
      <c r="CT32" s="357"/>
      <c r="CU32" s="357"/>
      <c r="CV32" s="357"/>
      <c r="CW32" s="357"/>
      <c r="CX32" s="357"/>
      <c r="CY32" s="357"/>
      <c r="CZ32" s="357"/>
      <c r="DA32" s="357"/>
      <c r="DB32" s="357"/>
      <c r="DC32" s="357"/>
      <c r="DD32" s="357"/>
      <c r="DE32" s="357"/>
      <c r="DF32" s="357"/>
      <c r="DG32" s="357"/>
      <c r="DH32" s="357"/>
      <c r="DI32" s="357"/>
      <c r="DJ32" s="357"/>
      <c r="DK32" s="357"/>
      <c r="DL32" s="357"/>
      <c r="DM32" s="357"/>
      <c r="DN32" s="357"/>
      <c r="DO32" s="357"/>
      <c r="DP32" s="357"/>
      <c r="DQ32" s="357"/>
      <c r="DR32" s="357"/>
      <c r="DS32" s="357"/>
      <c r="DT32" s="357"/>
      <c r="DU32" s="357"/>
      <c r="DV32" s="357"/>
      <c r="DW32" s="357"/>
      <c r="DX32" s="357"/>
      <c r="DY32" s="357"/>
      <c r="DZ32" s="357"/>
      <c r="EA32" s="357"/>
      <c r="EB32" s="357"/>
      <c r="EC32" s="357"/>
      <c r="ED32" s="357"/>
      <c r="EE32" s="357"/>
      <c r="EF32" s="357"/>
      <c r="EG32" s="357"/>
      <c r="EH32" s="357"/>
      <c r="EI32" s="357"/>
      <c r="EJ32" s="357"/>
      <c r="EK32" s="357"/>
      <c r="EL32" s="357"/>
      <c r="EM32" s="357"/>
      <c r="EN32" s="357"/>
      <c r="EO32" s="357"/>
      <c r="EP32" s="357"/>
      <c r="EQ32" s="357"/>
      <c r="ER32" s="357"/>
      <c r="ES32" s="357"/>
      <c r="ET32" s="357"/>
      <c r="EU32" s="357"/>
      <c r="EV32" s="357"/>
      <c r="EW32" s="357"/>
      <c r="EX32" s="357"/>
      <c r="EY32" s="357"/>
      <c r="EZ32" s="357"/>
      <c r="FA32" s="357"/>
      <c r="FB32" s="357"/>
      <c r="FC32" s="357"/>
      <c r="FD32" s="357"/>
      <c r="FE32" s="357"/>
      <c r="FF32" s="357"/>
      <c r="FG32" s="357"/>
      <c r="FH32" s="357"/>
      <c r="FI32" s="357"/>
      <c r="FJ32" s="357"/>
      <c r="FK32" s="357"/>
      <c r="FL32" s="357"/>
      <c r="FM32" s="357"/>
      <c r="FN32" s="357"/>
      <c r="FO32" s="357"/>
      <c r="FP32" s="357"/>
      <c r="FQ32" s="357"/>
      <c r="FR32" s="357"/>
      <c r="FS32" s="357"/>
      <c r="FT32" s="357"/>
      <c r="FU32" s="357"/>
      <c r="FV32" s="357"/>
      <c r="FW32" s="357"/>
      <c r="FX32" s="357"/>
      <c r="FY32" s="357"/>
      <c r="FZ32" s="357"/>
      <c r="GA32" s="357"/>
      <c r="GB32" s="357"/>
      <c r="GC32" s="357"/>
      <c r="GD32" s="357"/>
      <c r="GE32" s="357"/>
      <c r="GF32" s="357"/>
      <c r="GG32" s="357"/>
      <c r="GH32" s="357"/>
      <c r="GI32" s="357"/>
      <c r="GJ32" s="357"/>
    </row>
    <row r="33" spans="3:192" ht="12.95" customHeight="1">
      <c r="Z33" s="357"/>
      <c r="AA33" s="357"/>
      <c r="AB33" s="357"/>
      <c r="AC33" s="357"/>
      <c r="AD33" s="357"/>
      <c r="AE33" s="357"/>
      <c r="AF33" s="357"/>
      <c r="AG33" s="357"/>
      <c r="AH33" s="357"/>
      <c r="AI33" s="357"/>
      <c r="AJ33" s="357"/>
      <c r="AK33" s="357"/>
      <c r="AL33" s="357"/>
      <c r="AM33" s="357"/>
      <c r="AN33" s="357"/>
      <c r="AO33" s="357"/>
      <c r="AP33" s="357"/>
      <c r="AQ33" s="357"/>
      <c r="AR33" s="357"/>
      <c r="AS33" s="357"/>
      <c r="AT33" s="357"/>
      <c r="AU33" s="357"/>
      <c r="AV33" s="357"/>
      <c r="AW33" s="357"/>
      <c r="AX33" s="357"/>
      <c r="AY33" s="357"/>
      <c r="AZ33" s="357"/>
      <c r="BA33" s="357"/>
      <c r="BB33" s="357"/>
      <c r="BC33" s="357"/>
      <c r="BD33" s="357"/>
      <c r="BE33" s="357"/>
      <c r="BF33" s="357"/>
      <c r="BG33" s="357"/>
      <c r="BH33" s="357"/>
      <c r="BI33" s="357"/>
      <c r="BJ33" s="357"/>
      <c r="BK33" s="357"/>
      <c r="BL33" s="357"/>
      <c r="BM33" s="357"/>
      <c r="BN33" s="357"/>
      <c r="BO33" s="357"/>
      <c r="BP33" s="357"/>
      <c r="BQ33" s="357"/>
      <c r="BR33" s="357"/>
      <c r="BS33" s="357"/>
      <c r="BT33" s="357"/>
      <c r="BU33" s="357"/>
      <c r="BV33" s="357"/>
      <c r="BW33" s="357"/>
      <c r="BX33" s="357"/>
      <c r="BY33" s="357"/>
      <c r="BZ33" s="357"/>
      <c r="CA33" s="357"/>
      <c r="CB33" s="357"/>
      <c r="CC33" s="357"/>
      <c r="CD33" s="357"/>
      <c r="CE33" s="357"/>
      <c r="CF33" s="357"/>
      <c r="CG33" s="357"/>
      <c r="CH33" s="357"/>
      <c r="CI33" s="357"/>
      <c r="CJ33" s="357"/>
      <c r="CK33" s="357"/>
      <c r="CL33" s="357"/>
      <c r="CM33" s="357"/>
      <c r="CN33" s="357"/>
      <c r="CO33" s="357"/>
      <c r="CP33" s="357"/>
      <c r="CQ33" s="357"/>
      <c r="CR33" s="357"/>
      <c r="CS33" s="357"/>
      <c r="CT33" s="357"/>
      <c r="CU33" s="357"/>
      <c r="CV33" s="357"/>
      <c r="CW33" s="357"/>
      <c r="CX33" s="357"/>
      <c r="CY33" s="357"/>
      <c r="CZ33" s="357"/>
      <c r="DA33" s="357"/>
      <c r="DB33" s="357"/>
      <c r="DC33" s="357"/>
      <c r="DD33" s="357"/>
      <c r="DE33" s="357"/>
      <c r="DF33" s="357"/>
      <c r="DG33" s="357"/>
      <c r="DH33" s="357"/>
      <c r="DI33" s="357"/>
      <c r="DJ33" s="357"/>
      <c r="DK33" s="357"/>
      <c r="DL33" s="357"/>
      <c r="DM33" s="357"/>
      <c r="DN33" s="357"/>
      <c r="DO33" s="357"/>
      <c r="DP33" s="357"/>
      <c r="DQ33" s="357"/>
      <c r="DR33" s="357"/>
      <c r="DS33" s="357"/>
      <c r="DT33" s="357"/>
      <c r="DU33" s="357"/>
      <c r="DV33" s="357"/>
      <c r="DW33" s="357"/>
      <c r="DX33" s="357"/>
      <c r="DY33" s="357"/>
      <c r="DZ33" s="357"/>
      <c r="EA33" s="357"/>
      <c r="EB33" s="357"/>
      <c r="EC33" s="357"/>
      <c r="ED33" s="357"/>
      <c r="EE33" s="357"/>
      <c r="EF33" s="357"/>
      <c r="EG33" s="357"/>
      <c r="EH33" s="357"/>
      <c r="EI33" s="357"/>
      <c r="EJ33" s="357"/>
      <c r="EK33" s="357"/>
      <c r="EL33" s="357"/>
      <c r="EM33" s="357"/>
      <c r="EN33" s="357"/>
      <c r="EO33" s="357"/>
      <c r="EP33" s="357"/>
      <c r="EQ33" s="357"/>
      <c r="ER33" s="357"/>
      <c r="ES33" s="357"/>
      <c r="ET33" s="357"/>
      <c r="EU33" s="357"/>
      <c r="EV33" s="357"/>
      <c r="EW33" s="357"/>
      <c r="EX33" s="357"/>
      <c r="EY33" s="357"/>
      <c r="EZ33" s="357"/>
      <c r="FA33" s="357"/>
      <c r="FB33" s="357"/>
      <c r="FC33" s="357"/>
      <c r="FD33" s="357"/>
      <c r="FE33" s="357"/>
      <c r="FF33" s="357"/>
      <c r="FG33" s="357"/>
      <c r="FH33" s="357"/>
      <c r="FI33" s="357"/>
      <c r="FJ33" s="357"/>
      <c r="FK33" s="357"/>
      <c r="FL33" s="357"/>
      <c r="FM33" s="357"/>
      <c r="FN33" s="357"/>
      <c r="FO33" s="357"/>
      <c r="FP33" s="357"/>
      <c r="FQ33" s="357"/>
      <c r="FR33" s="357"/>
      <c r="FS33" s="357"/>
      <c r="FT33" s="357"/>
      <c r="FU33" s="357"/>
      <c r="FV33" s="357"/>
      <c r="FW33" s="357"/>
      <c r="FX33" s="357"/>
      <c r="FY33" s="357"/>
      <c r="FZ33" s="357"/>
      <c r="GA33" s="357"/>
      <c r="GB33" s="357"/>
      <c r="GC33" s="357"/>
      <c r="GD33" s="357"/>
      <c r="GE33" s="357"/>
      <c r="GF33" s="357"/>
      <c r="GG33" s="357"/>
      <c r="GH33" s="357"/>
      <c r="GI33" s="357"/>
      <c r="GJ33" s="357"/>
    </row>
    <row r="34" spans="3:192" ht="12.95" customHeight="1">
      <c r="K34" s="165"/>
      <c r="L34" s="166"/>
      <c r="M34" s="167"/>
      <c r="N34" s="167"/>
      <c r="Z34" s="357"/>
      <c r="AA34" s="357"/>
      <c r="AB34" s="357"/>
      <c r="AC34" s="357"/>
      <c r="AD34" s="357"/>
      <c r="AE34" s="357"/>
      <c r="AF34" s="357"/>
      <c r="AG34" s="357"/>
      <c r="AH34" s="357"/>
      <c r="AI34" s="357"/>
      <c r="AJ34" s="357"/>
      <c r="AK34" s="357"/>
      <c r="AL34" s="357"/>
      <c r="AM34" s="357"/>
      <c r="AN34" s="357"/>
      <c r="AO34" s="357"/>
      <c r="AP34" s="357"/>
      <c r="AQ34" s="357"/>
      <c r="AR34" s="357"/>
      <c r="AS34" s="357"/>
      <c r="AT34" s="357"/>
      <c r="AU34" s="357"/>
      <c r="AV34" s="357"/>
      <c r="AW34" s="357"/>
      <c r="AX34" s="357"/>
      <c r="AY34" s="357"/>
      <c r="AZ34" s="357"/>
      <c r="BA34" s="357"/>
      <c r="BB34" s="357"/>
      <c r="BC34" s="357"/>
      <c r="BD34" s="357"/>
      <c r="BE34" s="357"/>
      <c r="BF34" s="357"/>
      <c r="BG34" s="357"/>
      <c r="BH34" s="357"/>
      <c r="BI34" s="357"/>
      <c r="BJ34" s="357"/>
      <c r="BK34" s="357"/>
      <c r="BL34" s="357"/>
      <c r="BM34" s="357"/>
      <c r="BN34" s="357"/>
      <c r="BO34" s="357"/>
      <c r="BP34" s="357"/>
      <c r="BQ34" s="357"/>
      <c r="BR34" s="357"/>
      <c r="BS34" s="357"/>
      <c r="BT34" s="357"/>
      <c r="BU34" s="357"/>
      <c r="BV34" s="357"/>
      <c r="BW34" s="357"/>
      <c r="BX34" s="357"/>
      <c r="BY34" s="357"/>
      <c r="BZ34" s="357"/>
      <c r="CA34" s="357"/>
      <c r="CB34" s="357"/>
      <c r="CC34" s="357"/>
      <c r="CD34" s="357"/>
      <c r="CE34" s="357"/>
      <c r="CF34" s="357"/>
      <c r="CG34" s="357"/>
      <c r="CH34" s="357"/>
      <c r="CI34" s="357"/>
      <c r="CJ34" s="357"/>
      <c r="CK34" s="357"/>
      <c r="CL34" s="357"/>
      <c r="CM34" s="357"/>
      <c r="CN34" s="357"/>
      <c r="CO34" s="357"/>
      <c r="CP34" s="357"/>
      <c r="CQ34" s="357"/>
      <c r="CR34" s="357"/>
      <c r="CS34" s="357"/>
      <c r="CT34" s="357"/>
      <c r="CU34" s="357"/>
      <c r="CV34" s="357"/>
      <c r="CW34" s="357"/>
      <c r="CX34" s="357"/>
      <c r="CY34" s="357"/>
      <c r="CZ34" s="357"/>
      <c r="DA34" s="357"/>
      <c r="DB34" s="357"/>
      <c r="DC34" s="357"/>
      <c r="DD34" s="357"/>
      <c r="DE34" s="357"/>
      <c r="DF34" s="357"/>
      <c r="DG34" s="357"/>
      <c r="DH34" s="357"/>
      <c r="DI34" s="357"/>
      <c r="DJ34" s="357"/>
      <c r="DK34" s="357"/>
      <c r="DL34" s="357"/>
      <c r="DM34" s="357"/>
      <c r="DN34" s="357"/>
      <c r="DO34" s="357"/>
      <c r="DP34" s="357"/>
      <c r="DQ34" s="357"/>
      <c r="DR34" s="357"/>
      <c r="DS34" s="357"/>
      <c r="DT34" s="357"/>
      <c r="DU34" s="357"/>
      <c r="DV34" s="357"/>
      <c r="DW34" s="357"/>
      <c r="DX34" s="357"/>
      <c r="DY34" s="357"/>
      <c r="DZ34" s="357"/>
      <c r="EA34" s="357"/>
      <c r="EB34" s="357"/>
      <c r="EC34" s="357"/>
      <c r="ED34" s="357"/>
      <c r="EE34" s="357"/>
      <c r="EF34" s="357"/>
      <c r="EG34" s="357"/>
      <c r="EH34" s="357"/>
      <c r="EI34" s="357"/>
      <c r="EJ34" s="357"/>
      <c r="EK34" s="357"/>
      <c r="EL34" s="357"/>
      <c r="EM34" s="357"/>
      <c r="EN34" s="357"/>
      <c r="EO34" s="357"/>
      <c r="EP34" s="357"/>
      <c r="EQ34" s="357"/>
      <c r="ER34" s="357"/>
      <c r="ES34" s="357"/>
      <c r="ET34" s="357"/>
      <c r="EU34" s="357"/>
      <c r="EV34" s="357"/>
      <c r="EW34" s="357"/>
      <c r="EX34" s="357"/>
      <c r="EY34" s="357"/>
      <c r="EZ34" s="357"/>
      <c r="FA34" s="357"/>
      <c r="FB34" s="357"/>
      <c r="FC34" s="357"/>
      <c r="FD34" s="357"/>
      <c r="FE34" s="357"/>
      <c r="FF34" s="357"/>
      <c r="FG34" s="357"/>
      <c r="FH34" s="357"/>
      <c r="FI34" s="357"/>
      <c r="FJ34" s="357"/>
      <c r="FK34" s="357"/>
      <c r="FL34" s="357"/>
      <c r="FM34" s="357"/>
      <c r="FN34" s="357"/>
      <c r="FO34" s="357"/>
      <c r="FP34" s="357"/>
      <c r="FQ34" s="357"/>
      <c r="FR34" s="357"/>
      <c r="FS34" s="357"/>
      <c r="FT34" s="357"/>
      <c r="FU34" s="357"/>
      <c r="FV34" s="357"/>
      <c r="FW34" s="357"/>
      <c r="FX34" s="357"/>
      <c r="FY34" s="357"/>
      <c r="FZ34" s="357"/>
      <c r="GA34" s="357"/>
      <c r="GB34" s="357"/>
      <c r="GC34" s="357"/>
      <c r="GD34" s="357"/>
      <c r="GE34" s="357"/>
      <c r="GF34" s="357"/>
      <c r="GG34" s="357"/>
      <c r="GH34" s="357"/>
      <c r="GI34" s="357"/>
      <c r="GJ34" s="357"/>
    </row>
    <row r="35" spans="3:192" ht="12.95" customHeight="1">
      <c r="Z35" s="357"/>
      <c r="AA35" s="357"/>
      <c r="AB35" s="357"/>
      <c r="AC35" s="357"/>
      <c r="AD35" s="357"/>
      <c r="AE35" s="357"/>
      <c r="AF35" s="357"/>
      <c r="AG35" s="357"/>
      <c r="AH35" s="357"/>
      <c r="AI35" s="357"/>
      <c r="AJ35" s="357"/>
      <c r="AK35" s="357"/>
      <c r="AL35" s="357"/>
      <c r="AM35" s="357"/>
      <c r="AN35" s="357"/>
      <c r="AO35" s="357"/>
      <c r="AP35" s="357"/>
      <c r="AQ35" s="357"/>
      <c r="AR35" s="357"/>
      <c r="AS35" s="357"/>
      <c r="AT35" s="357"/>
      <c r="AU35" s="357"/>
      <c r="AV35" s="357"/>
      <c r="AW35" s="357"/>
      <c r="AX35" s="357"/>
      <c r="AY35" s="357"/>
      <c r="AZ35" s="357"/>
      <c r="BA35" s="357"/>
      <c r="BB35" s="357"/>
      <c r="BC35" s="357"/>
      <c r="BD35" s="357"/>
      <c r="BE35" s="357"/>
      <c r="BF35" s="357"/>
      <c r="BG35" s="357"/>
      <c r="BH35" s="357"/>
      <c r="BI35" s="357"/>
      <c r="BJ35" s="357"/>
      <c r="BK35" s="357"/>
      <c r="BL35" s="357"/>
      <c r="BM35" s="357"/>
      <c r="BN35" s="357"/>
      <c r="BO35" s="357"/>
      <c r="BP35" s="357"/>
      <c r="BQ35" s="357"/>
      <c r="BR35" s="357"/>
      <c r="BS35" s="357"/>
      <c r="BT35" s="357"/>
      <c r="BU35" s="357"/>
      <c r="BV35" s="357"/>
      <c r="BW35" s="357"/>
      <c r="BX35" s="357"/>
      <c r="BY35" s="357"/>
      <c r="BZ35" s="357"/>
      <c r="CA35" s="357"/>
      <c r="CB35" s="357"/>
      <c r="CC35" s="357"/>
      <c r="CD35" s="357"/>
      <c r="CE35" s="357"/>
      <c r="CF35" s="357"/>
      <c r="CG35" s="357"/>
      <c r="CH35" s="357"/>
      <c r="CI35" s="357"/>
      <c r="CJ35" s="357"/>
      <c r="CK35" s="357"/>
      <c r="CL35" s="357"/>
      <c r="CM35" s="357"/>
      <c r="CN35" s="357"/>
      <c r="CO35" s="357"/>
      <c r="CP35" s="357"/>
      <c r="CQ35" s="357"/>
      <c r="CR35" s="357"/>
      <c r="CS35" s="357"/>
      <c r="CT35" s="357"/>
      <c r="CU35" s="357"/>
      <c r="CV35" s="357"/>
      <c r="CW35" s="357"/>
      <c r="CX35" s="357"/>
      <c r="CY35" s="357"/>
      <c r="CZ35" s="357"/>
      <c r="DA35" s="357"/>
      <c r="DB35" s="357"/>
      <c r="DC35" s="357"/>
      <c r="DD35" s="357"/>
      <c r="DE35" s="357"/>
      <c r="DF35" s="357"/>
      <c r="DG35" s="357"/>
      <c r="DH35" s="357"/>
      <c r="DI35" s="357"/>
      <c r="DJ35" s="357"/>
      <c r="DK35" s="357"/>
      <c r="DL35" s="357"/>
      <c r="DM35" s="357"/>
      <c r="DN35" s="357"/>
      <c r="DO35" s="357"/>
      <c r="DP35" s="357"/>
      <c r="DQ35" s="357"/>
      <c r="DR35" s="357"/>
      <c r="DS35" s="357"/>
      <c r="DT35" s="357"/>
      <c r="DU35" s="357"/>
      <c r="DV35" s="357"/>
      <c r="DW35" s="357"/>
      <c r="DX35" s="357"/>
      <c r="DY35" s="357"/>
      <c r="DZ35" s="357"/>
      <c r="EA35" s="357"/>
      <c r="EB35" s="357"/>
      <c r="EC35" s="357"/>
      <c r="ED35" s="357"/>
      <c r="EE35" s="357"/>
      <c r="EF35" s="357"/>
      <c r="EG35" s="357"/>
      <c r="EH35" s="357"/>
      <c r="EI35" s="357"/>
      <c r="EJ35" s="357"/>
      <c r="EK35" s="357"/>
      <c r="EL35" s="357"/>
      <c r="EM35" s="357"/>
      <c r="EN35" s="357"/>
      <c r="EO35" s="357"/>
      <c r="EP35" s="357"/>
      <c r="EQ35" s="357"/>
      <c r="ER35" s="357"/>
      <c r="ES35" s="357"/>
      <c r="ET35" s="357"/>
      <c r="EU35" s="357"/>
      <c r="EV35" s="357"/>
      <c r="EW35" s="357"/>
      <c r="EX35" s="357"/>
      <c r="EY35" s="357"/>
      <c r="EZ35" s="357"/>
      <c r="FA35" s="357"/>
      <c r="FB35" s="357"/>
      <c r="FC35" s="357"/>
      <c r="FD35" s="357"/>
      <c r="FE35" s="357"/>
      <c r="FF35" s="357"/>
      <c r="FG35" s="357"/>
      <c r="FH35" s="357"/>
      <c r="FI35" s="357"/>
      <c r="FJ35" s="357"/>
      <c r="FK35" s="357"/>
      <c r="FL35" s="357"/>
      <c r="FM35" s="357"/>
      <c r="FN35" s="357"/>
      <c r="FO35" s="357"/>
      <c r="FP35" s="357"/>
      <c r="FQ35" s="357"/>
      <c r="FR35" s="357"/>
      <c r="FS35" s="357"/>
      <c r="FT35" s="357"/>
      <c r="FU35" s="357"/>
      <c r="FV35" s="357"/>
      <c r="FW35" s="357"/>
      <c r="FX35" s="357"/>
      <c r="FY35" s="357"/>
      <c r="FZ35" s="357"/>
      <c r="GA35" s="357"/>
      <c r="GB35" s="357"/>
      <c r="GC35" s="357"/>
      <c r="GD35" s="357"/>
      <c r="GE35" s="357"/>
      <c r="GF35" s="357"/>
      <c r="GG35" s="357"/>
      <c r="GH35" s="357"/>
      <c r="GI35" s="357"/>
      <c r="GJ35" s="357"/>
    </row>
    <row r="36" spans="3:192" ht="12.95" customHeight="1">
      <c r="C36" s="149"/>
      <c r="Z36" s="357"/>
      <c r="AA36" s="357"/>
      <c r="AB36" s="357"/>
      <c r="AC36" s="357"/>
      <c r="AD36" s="357"/>
      <c r="AE36" s="357"/>
      <c r="AF36" s="357"/>
      <c r="AG36" s="357"/>
      <c r="AH36" s="357"/>
      <c r="AI36" s="357"/>
      <c r="AJ36" s="357"/>
      <c r="AK36" s="357"/>
      <c r="AL36" s="357"/>
      <c r="AM36" s="357"/>
      <c r="AN36" s="357"/>
      <c r="AO36" s="357"/>
      <c r="AP36" s="357"/>
      <c r="AQ36" s="357"/>
      <c r="AR36" s="357"/>
      <c r="AS36" s="357"/>
      <c r="AT36" s="357"/>
      <c r="AU36" s="357"/>
      <c r="AV36" s="357"/>
      <c r="AW36" s="357"/>
      <c r="AX36" s="357"/>
      <c r="AY36" s="357"/>
      <c r="AZ36" s="357"/>
      <c r="BA36" s="357"/>
      <c r="BB36" s="357"/>
      <c r="BC36" s="357"/>
      <c r="BD36" s="357"/>
      <c r="BE36" s="357"/>
      <c r="BF36" s="357"/>
      <c r="BG36" s="357"/>
      <c r="BH36" s="357"/>
      <c r="BI36" s="357"/>
      <c r="BJ36" s="357"/>
      <c r="BK36" s="357"/>
      <c r="BL36" s="357"/>
      <c r="BM36" s="357"/>
      <c r="BN36" s="357"/>
      <c r="BO36" s="357"/>
      <c r="BP36" s="357"/>
      <c r="BQ36" s="357"/>
      <c r="BR36" s="357"/>
      <c r="BS36" s="357"/>
      <c r="BT36" s="357"/>
      <c r="BU36" s="357"/>
      <c r="BV36" s="357"/>
      <c r="BW36" s="357"/>
      <c r="BX36" s="357"/>
      <c r="BY36" s="357"/>
      <c r="BZ36" s="357"/>
      <c r="CA36" s="357"/>
      <c r="CB36" s="357"/>
      <c r="CC36" s="357"/>
      <c r="CD36" s="357"/>
      <c r="CE36" s="357"/>
      <c r="CF36" s="357"/>
      <c r="CG36" s="357"/>
      <c r="CH36" s="357"/>
      <c r="CI36" s="357"/>
      <c r="CJ36" s="357"/>
      <c r="CK36" s="357"/>
      <c r="CL36" s="357"/>
      <c r="CM36" s="357"/>
      <c r="CN36" s="357"/>
      <c r="CO36" s="357"/>
      <c r="CP36" s="357"/>
      <c r="CQ36" s="357"/>
      <c r="CR36" s="357"/>
      <c r="CS36" s="357"/>
      <c r="CT36" s="357"/>
      <c r="CU36" s="357"/>
      <c r="CV36" s="357"/>
      <c r="CW36" s="357"/>
      <c r="CX36" s="357"/>
      <c r="CY36" s="357"/>
      <c r="CZ36" s="357"/>
      <c r="DA36" s="357"/>
      <c r="DB36" s="357"/>
      <c r="DC36" s="357"/>
      <c r="DD36" s="357"/>
      <c r="DE36" s="357"/>
      <c r="DF36" s="357"/>
      <c r="DG36" s="357"/>
      <c r="DH36" s="357"/>
      <c r="DI36" s="357"/>
      <c r="DJ36" s="357"/>
      <c r="DK36" s="357"/>
      <c r="DL36" s="357"/>
      <c r="DM36" s="357"/>
      <c r="DN36" s="357"/>
      <c r="DO36" s="357"/>
      <c r="DP36" s="357"/>
      <c r="DQ36" s="357"/>
      <c r="DR36" s="357"/>
      <c r="DS36" s="357"/>
      <c r="DT36" s="357"/>
      <c r="DU36" s="357"/>
      <c r="DV36" s="357"/>
      <c r="DW36" s="357"/>
      <c r="DX36" s="357"/>
      <c r="DY36" s="357"/>
      <c r="DZ36" s="357"/>
      <c r="EA36" s="357"/>
      <c r="EB36" s="357"/>
      <c r="EC36" s="357"/>
      <c r="ED36" s="357"/>
      <c r="EE36" s="357"/>
      <c r="EF36" s="357"/>
      <c r="EG36" s="357"/>
      <c r="EH36" s="357"/>
      <c r="EI36" s="357"/>
      <c r="EJ36" s="357"/>
      <c r="EK36" s="357"/>
      <c r="EL36" s="357"/>
      <c r="EM36" s="357"/>
      <c r="EN36" s="357"/>
      <c r="EO36" s="357"/>
      <c r="EP36" s="357"/>
      <c r="EQ36" s="357"/>
      <c r="ER36" s="357"/>
      <c r="ES36" s="357"/>
      <c r="ET36" s="357"/>
      <c r="EU36" s="357"/>
      <c r="EV36" s="357"/>
      <c r="EW36" s="357"/>
      <c r="EX36" s="357"/>
      <c r="EY36" s="357"/>
      <c r="EZ36" s="357"/>
      <c r="FA36" s="357"/>
      <c r="FB36" s="357"/>
      <c r="FC36" s="357"/>
      <c r="FD36" s="357"/>
      <c r="FE36" s="357"/>
      <c r="FF36" s="357"/>
      <c r="FG36" s="357"/>
      <c r="FH36" s="357"/>
      <c r="FI36" s="357"/>
      <c r="FJ36" s="357"/>
      <c r="FK36" s="357"/>
      <c r="FL36" s="357"/>
      <c r="FM36" s="357"/>
      <c r="FN36" s="357"/>
      <c r="FO36" s="357"/>
      <c r="FP36" s="357"/>
      <c r="FQ36" s="357"/>
      <c r="FR36" s="357"/>
      <c r="FS36" s="357"/>
      <c r="FT36" s="357"/>
      <c r="FU36" s="357"/>
      <c r="FV36" s="357"/>
      <c r="FW36" s="357"/>
      <c r="FX36" s="357"/>
      <c r="FY36" s="357"/>
      <c r="FZ36" s="357"/>
      <c r="GA36" s="357"/>
      <c r="GB36" s="357"/>
      <c r="GC36" s="357"/>
      <c r="GD36" s="357"/>
      <c r="GE36" s="357"/>
      <c r="GF36" s="357"/>
      <c r="GG36" s="357"/>
      <c r="GH36" s="357"/>
      <c r="GI36" s="357"/>
      <c r="GJ36" s="357"/>
    </row>
    <row r="37" spans="3:192" ht="12.95" customHeight="1">
      <c r="C37" s="149"/>
      <c r="Z37" s="357"/>
      <c r="AA37" s="357"/>
      <c r="AB37" s="357"/>
      <c r="AC37" s="357"/>
      <c r="AD37" s="357"/>
      <c r="AE37" s="357"/>
      <c r="AF37" s="357"/>
      <c r="AG37" s="357"/>
      <c r="AH37" s="357"/>
      <c r="AI37" s="357"/>
      <c r="AJ37" s="357"/>
      <c r="AK37" s="357"/>
      <c r="AL37" s="357"/>
      <c r="AM37" s="357"/>
      <c r="AN37" s="357"/>
      <c r="AO37" s="357"/>
      <c r="AP37" s="357"/>
      <c r="AQ37" s="357"/>
      <c r="AR37" s="357"/>
      <c r="AS37" s="357"/>
      <c r="AT37" s="357"/>
      <c r="AU37" s="357"/>
      <c r="AV37" s="357"/>
      <c r="AW37" s="357"/>
      <c r="AX37" s="357"/>
      <c r="AY37" s="357"/>
      <c r="AZ37" s="357"/>
      <c r="BA37" s="357"/>
      <c r="BB37" s="357"/>
      <c r="BC37" s="357"/>
      <c r="BD37" s="357"/>
      <c r="BE37" s="357"/>
      <c r="BF37" s="357"/>
      <c r="BG37" s="357"/>
      <c r="BH37" s="357"/>
      <c r="BI37" s="357"/>
      <c r="BJ37" s="357"/>
      <c r="BK37" s="357"/>
      <c r="BL37" s="357"/>
      <c r="BM37" s="357"/>
      <c r="BN37" s="357"/>
      <c r="BO37" s="357"/>
      <c r="BP37" s="357"/>
      <c r="BQ37" s="357"/>
      <c r="BR37" s="357"/>
      <c r="BS37" s="357"/>
      <c r="BT37" s="357"/>
      <c r="BU37" s="357"/>
      <c r="BV37" s="357"/>
      <c r="BW37" s="357"/>
      <c r="BX37" s="357"/>
      <c r="BY37" s="357"/>
      <c r="BZ37" s="357"/>
      <c r="CA37" s="357"/>
      <c r="CB37" s="357"/>
      <c r="CC37" s="357"/>
      <c r="CD37" s="357"/>
      <c r="CE37" s="357"/>
      <c r="CF37" s="357"/>
      <c r="CG37" s="357"/>
      <c r="CH37" s="357"/>
      <c r="CI37" s="357"/>
      <c r="CJ37" s="357"/>
      <c r="CK37" s="357"/>
      <c r="CL37" s="357"/>
      <c r="CM37" s="357"/>
      <c r="CN37" s="357"/>
      <c r="CO37" s="357"/>
      <c r="CP37" s="357"/>
      <c r="CQ37" s="357"/>
      <c r="CR37" s="357"/>
      <c r="CS37" s="357"/>
      <c r="CT37" s="357"/>
      <c r="CU37" s="357"/>
      <c r="CV37" s="357"/>
      <c r="CW37" s="357"/>
      <c r="CX37" s="357"/>
      <c r="CY37" s="357"/>
      <c r="CZ37" s="357"/>
      <c r="DA37" s="357"/>
      <c r="DB37" s="357"/>
      <c r="DC37" s="357"/>
      <c r="DD37" s="357"/>
      <c r="DE37" s="357"/>
      <c r="DF37" s="357"/>
      <c r="DG37" s="357"/>
      <c r="DH37" s="357"/>
      <c r="DI37" s="357"/>
      <c r="DJ37" s="357"/>
      <c r="DK37" s="357"/>
      <c r="DL37" s="357"/>
      <c r="DM37" s="357"/>
      <c r="DN37" s="357"/>
      <c r="DO37" s="357"/>
      <c r="DP37" s="357"/>
      <c r="DQ37" s="357"/>
      <c r="DR37" s="357"/>
      <c r="DS37" s="357"/>
      <c r="DT37" s="357"/>
      <c r="DU37" s="357"/>
      <c r="DV37" s="357"/>
      <c r="DW37" s="357"/>
      <c r="DX37" s="357"/>
      <c r="DY37" s="357"/>
      <c r="DZ37" s="357"/>
      <c r="EA37" s="357"/>
      <c r="EB37" s="357"/>
      <c r="EC37" s="357"/>
      <c r="ED37" s="357"/>
      <c r="EE37" s="357"/>
      <c r="EF37" s="357"/>
      <c r="EG37" s="357"/>
      <c r="EH37" s="357"/>
      <c r="EI37" s="357"/>
      <c r="EJ37" s="357"/>
      <c r="EK37" s="357"/>
      <c r="EL37" s="357"/>
      <c r="EM37" s="357"/>
      <c r="EN37" s="357"/>
      <c r="EO37" s="357"/>
      <c r="EP37" s="357"/>
      <c r="EQ37" s="357"/>
      <c r="ER37" s="357"/>
      <c r="ES37" s="357"/>
      <c r="ET37" s="357"/>
      <c r="EU37" s="357"/>
      <c r="EV37" s="357"/>
      <c r="EW37" s="357"/>
      <c r="EX37" s="357"/>
      <c r="EY37" s="357"/>
      <c r="EZ37" s="357"/>
      <c r="FA37" s="357"/>
      <c r="FB37" s="357"/>
      <c r="FC37" s="357"/>
      <c r="FD37" s="357"/>
      <c r="FE37" s="357"/>
      <c r="FF37" s="357"/>
      <c r="FG37" s="357"/>
      <c r="FH37" s="357"/>
      <c r="FI37" s="357"/>
      <c r="FJ37" s="357"/>
      <c r="FK37" s="357"/>
      <c r="FL37" s="357"/>
      <c r="FM37" s="357"/>
      <c r="FN37" s="357"/>
      <c r="FO37" s="357"/>
      <c r="FP37" s="357"/>
      <c r="FQ37" s="357"/>
      <c r="FR37" s="357"/>
      <c r="FS37" s="357"/>
      <c r="FT37" s="357"/>
      <c r="FU37" s="357"/>
      <c r="FV37" s="357"/>
      <c r="FW37" s="357"/>
      <c r="FX37" s="357"/>
      <c r="FY37" s="357"/>
      <c r="FZ37" s="357"/>
      <c r="GA37" s="357"/>
      <c r="GB37" s="357"/>
      <c r="GC37" s="357"/>
      <c r="GD37" s="357"/>
      <c r="GE37" s="357"/>
      <c r="GF37" s="357"/>
      <c r="GG37" s="357"/>
      <c r="GH37" s="357"/>
      <c r="GI37" s="357"/>
      <c r="GJ37" s="357"/>
    </row>
    <row r="38" spans="3:192" ht="12.95" customHeight="1">
      <c r="C38" s="159"/>
      <c r="Z38" s="357"/>
      <c r="AA38" s="357"/>
      <c r="AB38" s="357"/>
      <c r="AC38" s="357"/>
      <c r="AD38" s="357"/>
      <c r="AE38" s="357"/>
      <c r="AF38" s="357"/>
      <c r="AG38" s="357"/>
      <c r="AH38" s="357"/>
      <c r="AI38" s="357"/>
      <c r="AJ38" s="357"/>
      <c r="AK38" s="357"/>
      <c r="AL38" s="357"/>
      <c r="AM38" s="357"/>
      <c r="AN38" s="357"/>
      <c r="AO38" s="357"/>
      <c r="AP38" s="357"/>
      <c r="AQ38" s="357"/>
      <c r="AR38" s="357"/>
      <c r="AS38" s="357"/>
      <c r="AT38" s="357"/>
      <c r="AU38" s="357"/>
      <c r="AV38" s="357"/>
      <c r="AW38" s="357"/>
      <c r="AX38" s="357"/>
      <c r="AY38" s="357"/>
      <c r="AZ38" s="357"/>
      <c r="BA38" s="357"/>
      <c r="BB38" s="357"/>
      <c r="BC38" s="357"/>
      <c r="BD38" s="357"/>
      <c r="BE38" s="357"/>
      <c r="BF38" s="357"/>
      <c r="BG38" s="357"/>
      <c r="BH38" s="357"/>
      <c r="BI38" s="357"/>
      <c r="BJ38" s="357"/>
      <c r="BK38" s="357"/>
      <c r="BL38" s="357"/>
      <c r="BM38" s="357"/>
      <c r="BN38" s="357"/>
      <c r="BO38" s="357"/>
      <c r="BP38" s="357"/>
      <c r="BQ38" s="357"/>
      <c r="BR38" s="357"/>
      <c r="BS38" s="357"/>
      <c r="BT38" s="357"/>
      <c r="BU38" s="357"/>
      <c r="BV38" s="357"/>
      <c r="BW38" s="357"/>
      <c r="BX38" s="357"/>
      <c r="BY38" s="357"/>
      <c r="BZ38" s="357"/>
      <c r="CA38" s="357"/>
      <c r="CB38" s="357"/>
      <c r="CC38" s="357"/>
      <c r="CD38" s="357"/>
      <c r="CE38" s="357"/>
      <c r="CF38" s="357"/>
      <c r="CG38" s="357"/>
      <c r="CH38" s="357"/>
      <c r="CI38" s="357"/>
      <c r="CJ38" s="357"/>
      <c r="CK38" s="357"/>
      <c r="CL38" s="357"/>
      <c r="CM38" s="357"/>
      <c r="CN38" s="357"/>
      <c r="CO38" s="357"/>
      <c r="CP38" s="357"/>
      <c r="CQ38" s="357"/>
      <c r="CR38" s="357"/>
      <c r="CS38" s="357"/>
      <c r="CT38" s="357"/>
      <c r="CU38" s="357"/>
      <c r="CV38" s="357"/>
      <c r="CW38" s="357"/>
      <c r="CX38" s="357"/>
      <c r="CY38" s="357"/>
      <c r="CZ38" s="357"/>
      <c r="DA38" s="357"/>
      <c r="DB38" s="357"/>
      <c r="DC38" s="357"/>
      <c r="DD38" s="357"/>
      <c r="DE38" s="357"/>
      <c r="DF38" s="357"/>
      <c r="DG38" s="357"/>
      <c r="DH38" s="357"/>
      <c r="DI38" s="357"/>
      <c r="DJ38" s="357"/>
      <c r="DK38" s="357"/>
      <c r="DL38" s="357"/>
      <c r="DM38" s="357"/>
      <c r="DN38" s="357"/>
      <c r="DO38" s="357"/>
      <c r="DP38" s="357"/>
      <c r="DQ38" s="357"/>
      <c r="DR38" s="357"/>
      <c r="DS38" s="357"/>
      <c r="DT38" s="357"/>
      <c r="DU38" s="357"/>
      <c r="DV38" s="357"/>
      <c r="DW38" s="357"/>
      <c r="DX38" s="357"/>
      <c r="DY38" s="357"/>
      <c r="DZ38" s="357"/>
      <c r="EA38" s="357"/>
      <c r="EB38" s="357"/>
      <c r="EC38" s="357"/>
      <c r="ED38" s="357"/>
      <c r="EE38" s="357"/>
      <c r="EF38" s="357"/>
      <c r="EG38" s="357"/>
      <c r="EH38" s="357"/>
      <c r="EI38" s="357"/>
      <c r="EJ38" s="357"/>
      <c r="EK38" s="357"/>
      <c r="EL38" s="357"/>
      <c r="EM38" s="357"/>
      <c r="EN38" s="357"/>
      <c r="EO38" s="357"/>
      <c r="EP38" s="357"/>
      <c r="EQ38" s="357"/>
      <c r="ER38" s="357"/>
      <c r="ES38" s="357"/>
      <c r="ET38" s="357"/>
      <c r="EU38" s="357"/>
      <c r="EV38" s="357"/>
      <c r="EW38" s="357"/>
      <c r="EX38" s="357"/>
      <c r="EY38" s="357"/>
      <c r="EZ38" s="357"/>
      <c r="FA38" s="357"/>
      <c r="FB38" s="357"/>
      <c r="FC38" s="357"/>
      <c r="FD38" s="357"/>
      <c r="FE38" s="357"/>
      <c r="FF38" s="357"/>
      <c r="FG38" s="357"/>
      <c r="FH38" s="357"/>
      <c r="FI38" s="357"/>
      <c r="FJ38" s="357"/>
      <c r="FK38" s="357"/>
      <c r="FL38" s="357"/>
      <c r="FM38" s="357"/>
      <c r="FN38" s="357"/>
      <c r="FO38" s="357"/>
      <c r="FP38" s="357"/>
      <c r="FQ38" s="357"/>
      <c r="FR38" s="357"/>
      <c r="FS38" s="357"/>
      <c r="FT38" s="357"/>
      <c r="FU38" s="357"/>
      <c r="FV38" s="357"/>
      <c r="FW38" s="357"/>
      <c r="FX38" s="357"/>
      <c r="FY38" s="357"/>
      <c r="FZ38" s="357"/>
      <c r="GA38" s="357"/>
      <c r="GB38" s="357"/>
      <c r="GC38" s="357"/>
      <c r="GD38" s="357"/>
      <c r="GE38" s="357"/>
      <c r="GF38" s="357"/>
      <c r="GG38" s="357"/>
      <c r="GH38" s="357"/>
      <c r="GI38" s="357"/>
      <c r="GJ38" s="357"/>
    </row>
    <row r="39" spans="3:192" ht="12.95" customHeight="1">
      <c r="C39" s="149"/>
      <c r="Z39" s="357"/>
      <c r="AA39" s="357"/>
      <c r="AB39" s="357"/>
      <c r="AC39" s="357"/>
      <c r="AD39" s="357"/>
      <c r="AE39" s="357"/>
      <c r="AF39" s="357"/>
      <c r="AG39" s="357"/>
      <c r="AH39" s="357"/>
      <c r="AI39" s="357"/>
      <c r="AJ39" s="357"/>
      <c r="AK39" s="357"/>
      <c r="AL39" s="357"/>
      <c r="AM39" s="357"/>
      <c r="AN39" s="357"/>
      <c r="AO39" s="357"/>
      <c r="AP39" s="357"/>
      <c r="AQ39" s="357"/>
      <c r="AR39" s="357"/>
      <c r="AS39" s="357"/>
      <c r="AT39" s="357"/>
      <c r="AU39" s="357"/>
      <c r="AV39" s="357"/>
      <c r="AW39" s="357"/>
      <c r="AX39" s="357"/>
      <c r="AY39" s="357"/>
      <c r="AZ39" s="357"/>
      <c r="BA39" s="357"/>
      <c r="BB39" s="357"/>
      <c r="BC39" s="357"/>
      <c r="BD39" s="357"/>
      <c r="BE39" s="357"/>
      <c r="BF39" s="357"/>
      <c r="BG39" s="357"/>
      <c r="BH39" s="357"/>
      <c r="BI39" s="357"/>
      <c r="BJ39" s="357"/>
      <c r="BK39" s="357"/>
      <c r="BL39" s="357"/>
      <c r="BM39" s="357"/>
      <c r="BN39" s="357"/>
      <c r="BO39" s="357"/>
      <c r="BP39" s="357"/>
      <c r="BQ39" s="357"/>
      <c r="BR39" s="357"/>
      <c r="BS39" s="357"/>
      <c r="BT39" s="357"/>
      <c r="BU39" s="357"/>
      <c r="BV39" s="357"/>
      <c r="BW39" s="357"/>
      <c r="BX39" s="357"/>
      <c r="BY39" s="357"/>
      <c r="BZ39" s="357"/>
      <c r="CA39" s="357"/>
      <c r="CB39" s="357"/>
      <c r="CC39" s="357"/>
      <c r="CD39" s="357"/>
      <c r="CE39" s="357"/>
      <c r="CF39" s="357"/>
      <c r="CG39" s="357"/>
      <c r="CH39" s="357"/>
      <c r="CI39" s="357"/>
      <c r="CJ39" s="357"/>
      <c r="CK39" s="357"/>
      <c r="CL39" s="357"/>
      <c r="CM39" s="357"/>
      <c r="CN39" s="357"/>
      <c r="CO39" s="357"/>
      <c r="CP39" s="357"/>
      <c r="CQ39" s="357"/>
      <c r="CR39" s="357"/>
      <c r="CS39" s="357"/>
      <c r="CT39" s="357"/>
      <c r="CU39" s="357"/>
      <c r="CV39" s="357"/>
      <c r="CW39" s="357"/>
      <c r="CX39" s="357"/>
      <c r="CY39" s="357"/>
      <c r="CZ39" s="357"/>
      <c r="DA39" s="357"/>
      <c r="DB39" s="357"/>
      <c r="DC39" s="357"/>
      <c r="DD39" s="357"/>
      <c r="DE39" s="357"/>
      <c r="DF39" s="357"/>
      <c r="DG39" s="357"/>
      <c r="DH39" s="357"/>
      <c r="DI39" s="357"/>
      <c r="DJ39" s="357"/>
      <c r="DK39" s="357"/>
      <c r="DL39" s="357"/>
      <c r="DM39" s="357"/>
      <c r="DN39" s="357"/>
      <c r="DO39" s="357"/>
      <c r="DP39" s="357"/>
      <c r="DQ39" s="357"/>
      <c r="DR39" s="357"/>
      <c r="DS39" s="357"/>
      <c r="DT39" s="357"/>
      <c r="DU39" s="357"/>
      <c r="DV39" s="357"/>
      <c r="DW39" s="357"/>
      <c r="DX39" s="357"/>
      <c r="DY39" s="357"/>
      <c r="DZ39" s="357"/>
      <c r="EA39" s="357"/>
      <c r="EB39" s="357"/>
      <c r="EC39" s="357"/>
      <c r="ED39" s="357"/>
      <c r="EE39" s="357"/>
      <c r="EF39" s="357"/>
      <c r="EG39" s="357"/>
      <c r="EH39" s="357"/>
      <c r="EI39" s="357"/>
      <c r="EJ39" s="357"/>
      <c r="EK39" s="357"/>
      <c r="EL39" s="357"/>
      <c r="EM39" s="357"/>
      <c r="EN39" s="357"/>
      <c r="EO39" s="357"/>
      <c r="EP39" s="357"/>
      <c r="EQ39" s="357"/>
      <c r="ER39" s="357"/>
      <c r="ES39" s="357"/>
      <c r="ET39" s="357"/>
      <c r="EU39" s="357"/>
      <c r="EV39" s="357"/>
      <c r="EW39" s="357"/>
      <c r="EX39" s="357"/>
      <c r="EY39" s="357"/>
      <c r="EZ39" s="357"/>
      <c r="FA39" s="357"/>
      <c r="FB39" s="357"/>
      <c r="FC39" s="357"/>
      <c r="FD39" s="357"/>
      <c r="FE39" s="357"/>
      <c r="FF39" s="357"/>
      <c r="FG39" s="357"/>
      <c r="FH39" s="357"/>
      <c r="FI39" s="357"/>
      <c r="FJ39" s="357"/>
      <c r="FK39" s="357"/>
      <c r="FL39" s="357"/>
      <c r="FM39" s="357"/>
      <c r="FN39" s="357"/>
      <c r="FO39" s="357"/>
      <c r="FP39" s="357"/>
      <c r="FQ39" s="357"/>
      <c r="FR39" s="357"/>
      <c r="FS39" s="357"/>
      <c r="FT39" s="357"/>
      <c r="FU39" s="357"/>
      <c r="FV39" s="357"/>
      <c r="FW39" s="357"/>
      <c r="FX39" s="357"/>
      <c r="FY39" s="357"/>
      <c r="FZ39" s="357"/>
      <c r="GA39" s="357"/>
      <c r="GB39" s="357"/>
      <c r="GC39" s="357"/>
      <c r="GD39" s="357"/>
      <c r="GE39" s="357"/>
      <c r="GF39" s="357"/>
      <c r="GG39" s="357"/>
      <c r="GH39" s="357"/>
      <c r="GI39" s="357"/>
      <c r="GJ39" s="357"/>
    </row>
    <row r="40" spans="3:192" ht="12.95" customHeight="1">
      <c r="Z40" s="357"/>
      <c r="AA40" s="357"/>
      <c r="AB40" s="357"/>
      <c r="AC40" s="357"/>
      <c r="AD40" s="357"/>
      <c r="AE40" s="357"/>
      <c r="AO40" s="357"/>
      <c r="AP40" s="357"/>
      <c r="AQ40" s="357"/>
      <c r="AR40" s="357"/>
      <c r="AS40" s="357"/>
      <c r="AT40" s="357"/>
      <c r="AU40" s="357"/>
      <c r="AV40" s="357"/>
      <c r="AW40" s="357"/>
      <c r="AX40" s="357"/>
      <c r="AY40" s="357"/>
      <c r="AZ40" s="357"/>
      <c r="BA40" s="357"/>
      <c r="BB40" s="357"/>
      <c r="BC40" s="357"/>
      <c r="BD40" s="357"/>
      <c r="BE40" s="357"/>
      <c r="BF40" s="357"/>
      <c r="BG40" s="357"/>
      <c r="BH40" s="357"/>
      <c r="BI40" s="357"/>
      <c r="BJ40" s="357"/>
      <c r="BK40" s="357"/>
      <c r="BL40" s="357"/>
      <c r="BM40" s="357"/>
      <c r="BN40" s="357"/>
      <c r="BO40" s="357"/>
      <c r="BP40" s="357"/>
      <c r="BQ40" s="357"/>
      <c r="BR40" s="357"/>
      <c r="BS40" s="357"/>
      <c r="BT40" s="357"/>
      <c r="BU40" s="357"/>
      <c r="BV40" s="357"/>
      <c r="BW40" s="357"/>
      <c r="BX40" s="357"/>
      <c r="BY40" s="357"/>
      <c r="BZ40" s="357"/>
      <c r="CA40" s="357"/>
      <c r="CB40" s="357"/>
      <c r="CC40" s="357"/>
      <c r="CD40" s="357"/>
      <c r="CE40" s="357"/>
      <c r="CF40" s="357"/>
      <c r="CG40" s="357"/>
      <c r="CH40" s="357"/>
      <c r="CI40" s="357"/>
      <c r="CJ40" s="357"/>
      <c r="CK40" s="357"/>
      <c r="CL40" s="357"/>
      <c r="CM40" s="357"/>
      <c r="CN40" s="357"/>
      <c r="CO40" s="357"/>
      <c r="CP40" s="357"/>
      <c r="CQ40" s="357"/>
      <c r="CR40" s="357"/>
      <c r="CS40" s="357"/>
      <c r="CT40" s="357"/>
      <c r="CU40" s="357"/>
      <c r="CV40" s="357"/>
      <c r="CW40" s="357"/>
      <c r="CX40" s="357"/>
      <c r="CY40" s="357"/>
      <c r="CZ40" s="357"/>
      <c r="DA40" s="357"/>
      <c r="DB40" s="357"/>
      <c r="DC40" s="357"/>
      <c r="DD40" s="357"/>
      <c r="DE40" s="357"/>
      <c r="DF40" s="357"/>
      <c r="DG40" s="357"/>
      <c r="DH40" s="357"/>
      <c r="DI40" s="357"/>
      <c r="DJ40" s="357"/>
      <c r="DK40" s="357"/>
      <c r="DL40" s="357"/>
      <c r="DM40" s="357"/>
      <c r="DN40" s="357"/>
      <c r="DO40" s="357"/>
      <c r="DP40" s="357"/>
      <c r="DQ40" s="357"/>
      <c r="DR40" s="357"/>
      <c r="DS40" s="357"/>
      <c r="DT40" s="357"/>
      <c r="DU40" s="357"/>
      <c r="DV40" s="357"/>
      <c r="DW40" s="357"/>
      <c r="DX40" s="357"/>
      <c r="DY40" s="357"/>
      <c r="DZ40" s="357"/>
      <c r="EA40" s="357"/>
      <c r="EB40" s="357"/>
      <c r="EC40" s="357"/>
      <c r="ED40" s="357"/>
      <c r="EE40" s="357"/>
      <c r="EF40" s="357"/>
      <c r="EG40" s="357"/>
      <c r="EH40" s="357"/>
      <c r="EI40" s="357"/>
      <c r="EJ40" s="357"/>
      <c r="EK40" s="357"/>
      <c r="EL40" s="357"/>
      <c r="EM40" s="357"/>
      <c r="EN40" s="357"/>
      <c r="EO40" s="357"/>
      <c r="EP40" s="357"/>
      <c r="EQ40" s="357"/>
      <c r="ER40" s="357"/>
      <c r="ES40" s="357"/>
      <c r="ET40" s="357"/>
      <c r="EU40" s="357"/>
      <c r="EV40" s="357"/>
      <c r="EW40" s="357"/>
      <c r="EX40" s="357"/>
      <c r="EY40" s="357"/>
      <c r="EZ40" s="357"/>
      <c r="FA40" s="357"/>
      <c r="FB40" s="357"/>
      <c r="FC40" s="357"/>
      <c r="FD40" s="357"/>
      <c r="FE40" s="357"/>
      <c r="FF40" s="357"/>
      <c r="FG40" s="357"/>
      <c r="FH40" s="357"/>
      <c r="FI40" s="357"/>
      <c r="FJ40" s="357"/>
      <c r="FK40" s="357"/>
      <c r="FL40" s="357"/>
      <c r="FM40" s="357"/>
      <c r="FN40" s="357"/>
      <c r="FO40" s="357"/>
      <c r="FP40" s="357"/>
      <c r="FQ40" s="357"/>
      <c r="FR40" s="357"/>
      <c r="FS40" s="357"/>
      <c r="FT40" s="357"/>
      <c r="FU40" s="357"/>
      <c r="FV40" s="357"/>
      <c r="FW40" s="357"/>
      <c r="FX40" s="357"/>
      <c r="FY40" s="357"/>
      <c r="FZ40" s="357"/>
      <c r="GA40" s="357"/>
      <c r="GB40" s="357"/>
      <c r="GC40" s="357"/>
      <c r="GD40" s="357"/>
      <c r="GE40" s="357"/>
      <c r="GF40" s="357"/>
      <c r="GG40" s="357"/>
      <c r="GH40" s="357"/>
      <c r="GI40" s="357"/>
      <c r="GJ40" s="357"/>
    </row>
    <row r="41" spans="3:192" ht="12.95" customHeight="1">
      <c r="Z41" s="357"/>
      <c r="AA41" s="357"/>
      <c r="AB41" s="357"/>
      <c r="AC41" s="357"/>
      <c r="AD41" s="357"/>
      <c r="AE41" s="357"/>
      <c r="AF41" s="357"/>
      <c r="AG41" s="357"/>
      <c r="AH41" s="357"/>
      <c r="AI41" s="357"/>
      <c r="AJ41" s="357"/>
      <c r="AK41" s="357"/>
      <c r="AL41" s="357"/>
      <c r="AM41" s="357"/>
      <c r="AN41" s="357"/>
      <c r="AO41" s="357"/>
      <c r="AP41" s="357"/>
      <c r="AQ41" s="357"/>
      <c r="AR41" s="357"/>
      <c r="AS41" s="357"/>
      <c r="AT41" s="357"/>
      <c r="AU41" s="357"/>
      <c r="AV41" s="357"/>
      <c r="AW41" s="357"/>
      <c r="AX41" s="357"/>
      <c r="AY41" s="357"/>
      <c r="AZ41" s="357"/>
      <c r="BA41" s="357"/>
      <c r="BB41" s="357"/>
      <c r="BC41" s="357"/>
      <c r="BD41" s="357"/>
      <c r="BE41" s="357"/>
      <c r="BF41" s="357"/>
      <c r="BG41" s="357"/>
      <c r="BH41" s="357"/>
      <c r="BI41" s="357"/>
      <c r="BJ41" s="357"/>
      <c r="BK41" s="357"/>
      <c r="BL41" s="357"/>
      <c r="BM41" s="357"/>
      <c r="BN41" s="357"/>
      <c r="BO41" s="357"/>
      <c r="BP41" s="357"/>
      <c r="BQ41" s="357"/>
      <c r="BR41" s="357"/>
      <c r="BS41" s="357"/>
      <c r="BT41" s="357"/>
      <c r="BU41" s="357"/>
      <c r="BV41" s="357"/>
      <c r="BW41" s="357"/>
      <c r="BX41" s="357"/>
      <c r="BY41" s="357"/>
      <c r="BZ41" s="357"/>
      <c r="CA41" s="357"/>
      <c r="CB41" s="357"/>
      <c r="CC41" s="357"/>
      <c r="CD41" s="357"/>
      <c r="CE41" s="357"/>
      <c r="CF41" s="357"/>
      <c r="CG41" s="357"/>
      <c r="CH41" s="357"/>
      <c r="CI41" s="357"/>
      <c r="CJ41" s="357"/>
      <c r="CK41" s="357"/>
      <c r="CL41" s="357"/>
      <c r="CM41" s="357"/>
      <c r="CN41" s="357"/>
      <c r="CO41" s="357"/>
      <c r="CP41" s="357"/>
      <c r="CQ41" s="357"/>
      <c r="CR41" s="357"/>
      <c r="CS41" s="357"/>
      <c r="CT41" s="357"/>
      <c r="CU41" s="357"/>
      <c r="CV41" s="357"/>
      <c r="CW41" s="357"/>
      <c r="CX41" s="357"/>
      <c r="CY41" s="357"/>
      <c r="CZ41" s="357"/>
      <c r="DA41" s="357"/>
      <c r="DB41" s="357"/>
      <c r="DC41" s="357"/>
      <c r="DD41" s="357"/>
      <c r="DE41" s="357"/>
      <c r="DF41" s="357"/>
      <c r="DG41" s="357"/>
      <c r="DH41" s="357"/>
      <c r="DI41" s="357"/>
      <c r="DJ41" s="357"/>
      <c r="DK41" s="357"/>
      <c r="DL41" s="357"/>
      <c r="DM41" s="357"/>
      <c r="DN41" s="357"/>
      <c r="DO41" s="357"/>
      <c r="DP41" s="357"/>
      <c r="DQ41" s="357"/>
      <c r="DR41" s="357"/>
      <c r="DS41" s="357"/>
      <c r="DT41" s="357"/>
      <c r="DU41" s="357"/>
      <c r="DV41" s="357"/>
      <c r="DW41" s="357"/>
      <c r="DX41" s="357"/>
      <c r="DY41" s="357"/>
      <c r="DZ41" s="357"/>
      <c r="EA41" s="357"/>
      <c r="EB41" s="357"/>
      <c r="EC41" s="357"/>
      <c r="ED41" s="357"/>
      <c r="EE41" s="357"/>
      <c r="EF41" s="357"/>
      <c r="EG41" s="357"/>
      <c r="EH41" s="357"/>
      <c r="EI41" s="357"/>
      <c r="EJ41" s="357"/>
      <c r="EK41" s="357"/>
      <c r="EL41" s="357"/>
      <c r="EM41" s="357"/>
      <c r="EN41" s="357"/>
      <c r="EO41" s="357"/>
      <c r="EP41" s="357"/>
      <c r="EQ41" s="357"/>
      <c r="ER41" s="357"/>
      <c r="ES41" s="357"/>
      <c r="ET41" s="357"/>
      <c r="EU41" s="357"/>
      <c r="EV41" s="357"/>
      <c r="EW41" s="357"/>
      <c r="EX41" s="357"/>
      <c r="EY41" s="357"/>
      <c r="EZ41" s="357"/>
      <c r="FA41" s="357"/>
      <c r="FB41" s="357"/>
      <c r="FC41" s="357"/>
      <c r="FD41" s="357"/>
      <c r="FE41" s="357"/>
      <c r="FF41" s="357"/>
      <c r="FG41" s="357"/>
      <c r="FH41" s="357"/>
      <c r="FI41" s="357"/>
      <c r="FJ41" s="357"/>
      <c r="FK41" s="357"/>
      <c r="FL41" s="357"/>
      <c r="FM41" s="357"/>
      <c r="FN41" s="357"/>
      <c r="FO41" s="357"/>
      <c r="FP41" s="357"/>
      <c r="FQ41" s="357"/>
      <c r="FR41" s="357"/>
      <c r="FS41" s="357"/>
      <c r="FT41" s="357"/>
      <c r="FU41" s="357"/>
      <c r="FV41" s="357"/>
      <c r="FW41" s="357"/>
      <c r="FX41" s="357"/>
      <c r="FY41" s="357"/>
      <c r="FZ41" s="357"/>
      <c r="GA41" s="357"/>
      <c r="GB41" s="357"/>
      <c r="GC41" s="357"/>
      <c r="GD41" s="357"/>
      <c r="GE41" s="357"/>
      <c r="GF41" s="357"/>
      <c r="GG41" s="357"/>
      <c r="GH41" s="357"/>
      <c r="GI41" s="357"/>
      <c r="GJ41" s="357"/>
    </row>
    <row r="42" spans="3:192" ht="12.95" customHeight="1">
      <c r="Z42" s="357"/>
      <c r="AA42" s="357"/>
      <c r="AB42" s="357"/>
      <c r="AC42" s="357"/>
      <c r="AD42" s="357"/>
      <c r="AE42" s="357"/>
      <c r="AF42" s="357"/>
      <c r="AG42" s="357"/>
      <c r="AH42" s="357"/>
      <c r="AI42" s="357"/>
      <c r="AJ42" s="357"/>
      <c r="AK42" s="357"/>
      <c r="AL42" s="357"/>
      <c r="AM42" s="357"/>
      <c r="AN42" s="357"/>
      <c r="AO42" s="357"/>
      <c r="AP42" s="357"/>
      <c r="AQ42" s="357"/>
      <c r="AR42" s="357"/>
      <c r="AS42" s="357"/>
      <c r="AT42" s="357"/>
      <c r="AU42" s="357"/>
      <c r="AV42" s="357"/>
      <c r="AW42" s="357"/>
      <c r="AX42" s="357"/>
      <c r="AY42" s="357"/>
      <c r="AZ42" s="357"/>
      <c r="BA42" s="357"/>
      <c r="BB42" s="357"/>
      <c r="BC42" s="357"/>
      <c r="BD42" s="357"/>
      <c r="BE42" s="357"/>
      <c r="BF42" s="357"/>
      <c r="BG42" s="357"/>
      <c r="BH42" s="357"/>
      <c r="BI42" s="357"/>
      <c r="BJ42" s="357"/>
      <c r="BK42" s="357"/>
      <c r="BL42" s="357"/>
      <c r="BM42" s="357"/>
      <c r="BN42" s="357"/>
      <c r="BO42" s="357"/>
      <c r="BP42" s="357"/>
      <c r="BQ42" s="357"/>
      <c r="BR42" s="357"/>
      <c r="BS42" s="357"/>
      <c r="BT42" s="357"/>
      <c r="BU42" s="357"/>
      <c r="BV42" s="357"/>
      <c r="BW42" s="357"/>
      <c r="BX42" s="357"/>
      <c r="BY42" s="357"/>
      <c r="BZ42" s="357"/>
      <c r="CA42" s="357"/>
      <c r="CB42" s="357"/>
      <c r="CC42" s="357"/>
      <c r="CD42" s="357"/>
      <c r="CE42" s="357"/>
      <c r="CF42" s="357"/>
      <c r="CG42" s="357"/>
      <c r="CH42" s="357"/>
      <c r="CI42" s="357"/>
      <c r="CJ42" s="357"/>
      <c r="CK42" s="357"/>
      <c r="CL42" s="357"/>
      <c r="CM42" s="357"/>
      <c r="CN42" s="357"/>
      <c r="CO42" s="357"/>
      <c r="CP42" s="357"/>
      <c r="CQ42" s="357"/>
      <c r="CR42" s="357"/>
      <c r="CS42" s="357"/>
      <c r="CT42" s="357"/>
      <c r="CU42" s="357"/>
      <c r="CV42" s="357"/>
      <c r="CW42" s="357"/>
      <c r="CX42" s="357"/>
      <c r="CY42" s="357"/>
      <c r="CZ42" s="357"/>
      <c r="DA42" s="357"/>
      <c r="DB42" s="357"/>
      <c r="DC42" s="357"/>
      <c r="DD42" s="357"/>
      <c r="DE42" s="357"/>
      <c r="DF42" s="357"/>
      <c r="DG42" s="357"/>
      <c r="DH42" s="357"/>
      <c r="DI42" s="357"/>
      <c r="DJ42" s="357"/>
      <c r="DK42" s="357"/>
      <c r="DL42" s="357"/>
      <c r="DM42" s="357"/>
      <c r="DN42" s="357"/>
      <c r="DO42" s="357"/>
      <c r="DP42" s="357"/>
      <c r="DQ42" s="357"/>
      <c r="DR42" s="357"/>
      <c r="DS42" s="357"/>
      <c r="DT42" s="357"/>
      <c r="DU42" s="357"/>
      <c r="DV42" s="357"/>
      <c r="DW42" s="357"/>
      <c r="DX42" s="357"/>
      <c r="DY42" s="357"/>
      <c r="DZ42" s="357"/>
      <c r="EA42" s="357"/>
      <c r="EB42" s="357"/>
      <c r="EC42" s="357"/>
      <c r="ED42" s="357"/>
      <c r="EE42" s="357"/>
      <c r="EF42" s="357"/>
      <c r="EG42" s="357"/>
      <c r="EH42" s="357"/>
      <c r="EI42" s="357"/>
      <c r="EJ42" s="357"/>
      <c r="EK42" s="357"/>
      <c r="EL42" s="357"/>
      <c r="EM42" s="357"/>
      <c r="EN42" s="357"/>
      <c r="EO42" s="357"/>
      <c r="EP42" s="357"/>
      <c r="EQ42" s="357"/>
      <c r="ER42" s="357"/>
      <c r="ES42" s="357"/>
      <c r="ET42" s="357"/>
      <c r="EU42" s="357"/>
      <c r="EV42" s="357"/>
      <c r="EW42" s="357"/>
      <c r="EX42" s="357"/>
      <c r="EY42" s="357"/>
      <c r="EZ42" s="357"/>
      <c r="FA42" s="357"/>
      <c r="FB42" s="357"/>
      <c r="FC42" s="357"/>
      <c r="FD42" s="357"/>
      <c r="FE42" s="357"/>
      <c r="FF42" s="357"/>
      <c r="FG42" s="357"/>
      <c r="FH42" s="357"/>
      <c r="FI42" s="357"/>
      <c r="FJ42" s="357"/>
      <c r="FK42" s="357"/>
      <c r="FL42" s="357"/>
      <c r="FM42" s="357"/>
      <c r="FN42" s="357"/>
      <c r="FO42" s="357"/>
      <c r="FP42" s="357"/>
      <c r="FQ42" s="357"/>
      <c r="FR42" s="357"/>
      <c r="FS42" s="357"/>
      <c r="FT42" s="357"/>
      <c r="FU42" s="357"/>
      <c r="FV42" s="357"/>
      <c r="FW42" s="357"/>
      <c r="FX42" s="357"/>
      <c r="FY42" s="357"/>
      <c r="FZ42" s="357"/>
      <c r="GA42" s="357"/>
      <c r="GB42" s="357"/>
      <c r="GC42" s="357"/>
      <c r="GD42" s="357"/>
      <c r="GE42" s="357"/>
      <c r="GF42" s="357"/>
      <c r="GG42" s="357"/>
      <c r="GH42" s="357"/>
      <c r="GI42" s="357"/>
      <c r="GJ42" s="357"/>
    </row>
    <row r="43" spans="3:192" ht="12.95" customHeight="1">
      <c r="Z43" s="357"/>
      <c r="AA43" s="357"/>
      <c r="AB43" s="357"/>
      <c r="AC43" s="357"/>
      <c r="AD43" s="357"/>
      <c r="AE43" s="357"/>
      <c r="AF43" s="357"/>
      <c r="AG43" s="357"/>
      <c r="AH43" s="357"/>
      <c r="AI43" s="357"/>
      <c r="AJ43" s="357"/>
      <c r="AK43" s="357"/>
      <c r="AL43" s="357"/>
      <c r="AM43" s="357"/>
      <c r="AN43" s="357"/>
      <c r="AO43" s="357"/>
      <c r="AP43" s="357"/>
      <c r="AQ43" s="357"/>
      <c r="AR43" s="357"/>
      <c r="AS43" s="357"/>
      <c r="AT43" s="357"/>
      <c r="AU43" s="357"/>
      <c r="AV43" s="357"/>
      <c r="AW43" s="357"/>
      <c r="AX43" s="357"/>
      <c r="AY43" s="357"/>
      <c r="AZ43" s="357"/>
      <c r="BA43" s="357"/>
      <c r="BB43" s="357"/>
      <c r="BC43" s="357"/>
      <c r="BD43" s="357"/>
      <c r="BE43" s="357"/>
      <c r="BF43" s="357"/>
      <c r="BG43" s="357"/>
      <c r="BH43" s="357"/>
      <c r="BI43" s="357"/>
      <c r="BJ43" s="357"/>
      <c r="BK43" s="357"/>
      <c r="BL43" s="357"/>
      <c r="BM43" s="357"/>
      <c r="BN43" s="357"/>
      <c r="BO43" s="357"/>
      <c r="BP43" s="357"/>
      <c r="BQ43" s="357"/>
      <c r="BR43" s="357"/>
      <c r="BS43" s="357"/>
      <c r="BT43" s="357"/>
      <c r="BU43" s="357"/>
      <c r="BV43" s="357"/>
      <c r="BW43" s="357"/>
      <c r="BX43" s="357"/>
      <c r="BY43" s="357"/>
      <c r="BZ43" s="357"/>
      <c r="CA43" s="357"/>
      <c r="CB43" s="357"/>
      <c r="CC43" s="357"/>
      <c r="CD43" s="357"/>
      <c r="CE43" s="357"/>
      <c r="CF43" s="357"/>
      <c r="CG43" s="357"/>
      <c r="CH43" s="357"/>
      <c r="CI43" s="357"/>
      <c r="CJ43" s="357"/>
      <c r="CK43" s="357"/>
      <c r="CL43" s="357"/>
      <c r="CM43" s="357"/>
      <c r="CN43" s="357"/>
      <c r="CO43" s="357"/>
      <c r="CP43" s="357"/>
      <c r="CQ43" s="357"/>
      <c r="CR43" s="357"/>
      <c r="CS43" s="357"/>
      <c r="CT43" s="357"/>
      <c r="CU43" s="357"/>
      <c r="CV43" s="357"/>
      <c r="CW43" s="357"/>
      <c r="CX43" s="357"/>
      <c r="CY43" s="357"/>
      <c r="CZ43" s="357"/>
      <c r="DA43" s="357"/>
      <c r="DB43" s="357"/>
      <c r="DC43" s="357"/>
      <c r="DD43" s="357"/>
      <c r="DE43" s="357"/>
      <c r="DF43" s="357"/>
      <c r="DG43" s="357"/>
      <c r="DH43" s="357"/>
      <c r="DI43" s="357"/>
      <c r="DJ43" s="357"/>
      <c r="DK43" s="357"/>
      <c r="DL43" s="357"/>
      <c r="DM43" s="357"/>
      <c r="DN43" s="357"/>
      <c r="DO43" s="357"/>
      <c r="DP43" s="357"/>
      <c r="DQ43" s="357"/>
      <c r="DR43" s="357"/>
      <c r="DS43" s="357"/>
      <c r="DT43" s="357"/>
      <c r="DU43" s="357"/>
      <c r="DV43" s="357"/>
      <c r="DW43" s="357"/>
      <c r="DX43" s="357"/>
      <c r="DY43" s="357"/>
      <c r="DZ43" s="357"/>
      <c r="EA43" s="357"/>
      <c r="EB43" s="357"/>
      <c r="EC43" s="357"/>
      <c r="ED43" s="357"/>
      <c r="EE43" s="357"/>
      <c r="EF43" s="357"/>
      <c r="EG43" s="357"/>
      <c r="EH43" s="357"/>
      <c r="EI43" s="357"/>
      <c r="EJ43" s="357"/>
      <c r="EK43" s="357"/>
      <c r="EL43" s="357"/>
      <c r="EM43" s="357"/>
      <c r="EN43" s="357"/>
      <c r="EO43" s="357"/>
      <c r="EP43" s="357"/>
      <c r="EQ43" s="357"/>
      <c r="ER43" s="357"/>
      <c r="ES43" s="357"/>
      <c r="ET43" s="357"/>
      <c r="EU43" s="357"/>
      <c r="EV43" s="357"/>
      <c r="EW43" s="357"/>
      <c r="EX43" s="357"/>
      <c r="EY43" s="357"/>
      <c r="EZ43" s="357"/>
      <c r="FA43" s="357"/>
      <c r="FB43" s="357"/>
      <c r="FC43" s="357"/>
      <c r="FD43" s="357"/>
      <c r="FE43" s="357"/>
      <c r="FF43" s="357"/>
      <c r="FG43" s="357"/>
      <c r="FH43" s="357"/>
      <c r="FI43" s="357"/>
      <c r="FJ43" s="357"/>
      <c r="FK43" s="357"/>
      <c r="FL43" s="357"/>
      <c r="FM43" s="357"/>
      <c r="FN43" s="357"/>
      <c r="FO43" s="357"/>
      <c r="FP43" s="357"/>
      <c r="FQ43" s="357"/>
      <c r="FR43" s="357"/>
      <c r="FS43" s="357"/>
      <c r="FT43" s="357"/>
      <c r="FU43" s="357"/>
      <c r="FV43" s="357"/>
      <c r="FW43" s="357"/>
      <c r="FX43" s="357"/>
      <c r="FY43" s="357"/>
      <c r="FZ43" s="357"/>
      <c r="GA43" s="357"/>
      <c r="GB43" s="357"/>
      <c r="GC43" s="357"/>
      <c r="GD43" s="357"/>
      <c r="GE43" s="357"/>
      <c r="GF43" s="357"/>
      <c r="GG43" s="357"/>
      <c r="GH43" s="357"/>
      <c r="GI43" s="357"/>
      <c r="GJ43" s="357"/>
    </row>
    <row r="44" spans="3:192" ht="12.95" customHeight="1">
      <c r="Z44" s="357"/>
      <c r="AA44" s="357"/>
      <c r="AB44" s="357"/>
      <c r="AC44" s="357"/>
      <c r="AD44" s="357"/>
      <c r="AE44" s="357"/>
      <c r="AF44" s="357"/>
      <c r="AG44" s="357"/>
      <c r="AH44" s="357"/>
      <c r="AI44" s="357"/>
      <c r="AJ44" s="357"/>
      <c r="AK44" s="357"/>
      <c r="AL44" s="357"/>
      <c r="AM44" s="357"/>
      <c r="AN44" s="357"/>
      <c r="AO44" s="357"/>
      <c r="AP44" s="357"/>
      <c r="AQ44" s="357"/>
      <c r="AR44" s="357"/>
      <c r="AS44" s="357"/>
      <c r="AT44" s="357"/>
      <c r="AU44" s="357"/>
      <c r="AV44" s="357"/>
      <c r="AW44" s="357"/>
      <c r="AX44" s="357"/>
      <c r="AY44" s="357"/>
      <c r="AZ44" s="357"/>
      <c r="BA44" s="357"/>
      <c r="BB44" s="357"/>
      <c r="BC44" s="357"/>
      <c r="BD44" s="357"/>
      <c r="BE44" s="357"/>
      <c r="BF44" s="357"/>
      <c r="BG44" s="357"/>
      <c r="BH44" s="357"/>
      <c r="BI44" s="357"/>
      <c r="BJ44" s="357"/>
      <c r="BK44" s="357"/>
      <c r="BL44" s="357"/>
      <c r="BM44" s="357"/>
      <c r="BN44" s="357"/>
      <c r="BO44" s="357"/>
      <c r="BP44" s="357"/>
      <c r="BQ44" s="357"/>
      <c r="BR44" s="357"/>
      <c r="BS44" s="357"/>
      <c r="BT44" s="357"/>
      <c r="BU44" s="357"/>
      <c r="BV44" s="357"/>
      <c r="BW44" s="357"/>
      <c r="BX44" s="357"/>
      <c r="BY44" s="357"/>
      <c r="BZ44" s="357"/>
      <c r="CA44" s="357"/>
      <c r="CB44" s="357"/>
      <c r="CC44" s="357"/>
      <c r="CD44" s="357"/>
      <c r="CE44" s="357"/>
      <c r="CF44" s="357"/>
      <c r="CG44" s="357"/>
      <c r="CH44" s="357"/>
      <c r="CI44" s="357"/>
      <c r="CJ44" s="357"/>
      <c r="CK44" s="357"/>
      <c r="CL44" s="357"/>
      <c r="CM44" s="357"/>
      <c r="CN44" s="357"/>
      <c r="CO44" s="357"/>
      <c r="CP44" s="357"/>
      <c r="CQ44" s="357"/>
      <c r="CR44" s="357"/>
      <c r="CS44" s="357"/>
      <c r="CT44" s="357"/>
      <c r="CU44" s="357"/>
      <c r="CV44" s="357"/>
      <c r="CW44" s="357"/>
      <c r="CX44" s="357"/>
      <c r="CY44" s="357"/>
      <c r="CZ44" s="357"/>
      <c r="DA44" s="357"/>
      <c r="DB44" s="357"/>
      <c r="DC44" s="357"/>
      <c r="DD44" s="357"/>
      <c r="DE44" s="357"/>
      <c r="DF44" s="357"/>
      <c r="DG44" s="357"/>
      <c r="DH44" s="357"/>
      <c r="DI44" s="357"/>
      <c r="DJ44" s="357"/>
      <c r="DK44" s="357"/>
      <c r="DL44" s="357"/>
      <c r="DM44" s="357"/>
      <c r="DN44" s="357"/>
      <c r="DO44" s="357"/>
      <c r="DP44" s="357"/>
      <c r="DQ44" s="357"/>
      <c r="DR44" s="357"/>
      <c r="DS44" s="357"/>
      <c r="DT44" s="357"/>
      <c r="DU44" s="357"/>
      <c r="DV44" s="357"/>
      <c r="DW44" s="357"/>
      <c r="DX44" s="357"/>
      <c r="DY44" s="357"/>
      <c r="DZ44" s="357"/>
      <c r="EA44" s="357"/>
      <c r="EB44" s="357"/>
      <c r="EC44" s="357"/>
      <c r="ED44" s="357"/>
      <c r="EE44" s="357"/>
      <c r="EF44" s="357"/>
      <c r="EG44" s="357"/>
      <c r="EH44" s="357"/>
      <c r="EI44" s="357"/>
      <c r="EJ44" s="357"/>
      <c r="EK44" s="357"/>
      <c r="EL44" s="357"/>
      <c r="EM44" s="357"/>
      <c r="EN44" s="357"/>
      <c r="EO44" s="357"/>
      <c r="EP44" s="357"/>
      <c r="EQ44" s="357"/>
      <c r="ER44" s="357"/>
      <c r="ES44" s="357"/>
      <c r="ET44" s="357"/>
      <c r="EU44" s="357"/>
      <c r="EV44" s="357"/>
      <c r="EW44" s="357"/>
      <c r="EX44" s="357"/>
      <c r="EY44" s="357"/>
      <c r="EZ44" s="357"/>
      <c r="FA44" s="357"/>
      <c r="FB44" s="357"/>
      <c r="FC44" s="357"/>
      <c r="FD44" s="357"/>
      <c r="FE44" s="357"/>
      <c r="FF44" s="357"/>
      <c r="FG44" s="357"/>
      <c r="FH44" s="357"/>
      <c r="FI44" s="357"/>
      <c r="FJ44" s="357"/>
      <c r="FK44" s="357"/>
      <c r="FL44" s="357"/>
      <c r="FM44" s="357"/>
      <c r="FN44" s="357"/>
      <c r="FO44" s="357"/>
      <c r="FP44" s="357"/>
      <c r="FQ44" s="357"/>
      <c r="FR44" s="357"/>
      <c r="FS44" s="357"/>
      <c r="FT44" s="357"/>
      <c r="FU44" s="357"/>
      <c r="FV44" s="357"/>
      <c r="FW44" s="357"/>
      <c r="FX44" s="357"/>
      <c r="FY44" s="357"/>
      <c r="FZ44" s="357"/>
      <c r="GA44" s="357"/>
      <c r="GB44" s="357"/>
      <c r="GC44" s="357"/>
      <c r="GD44" s="357"/>
      <c r="GE44" s="357"/>
      <c r="GF44" s="357"/>
      <c r="GG44" s="357"/>
      <c r="GH44" s="357"/>
      <c r="GI44" s="357"/>
      <c r="GJ44" s="357"/>
    </row>
    <row r="45" spans="3:192" ht="12.95" customHeight="1">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357"/>
      <c r="AV45" s="357"/>
      <c r="AW45" s="357"/>
      <c r="AX45" s="357"/>
      <c r="AY45" s="357"/>
      <c r="AZ45" s="357"/>
      <c r="BA45" s="357"/>
      <c r="BB45" s="357"/>
      <c r="BC45" s="357"/>
      <c r="BD45" s="357"/>
      <c r="BE45" s="357"/>
      <c r="BF45" s="357"/>
      <c r="BG45" s="357"/>
      <c r="BH45" s="357"/>
      <c r="BI45" s="357"/>
      <c r="BJ45" s="357"/>
      <c r="BK45" s="357"/>
      <c r="BL45" s="357"/>
      <c r="BM45" s="357"/>
      <c r="BN45" s="357"/>
      <c r="BO45" s="357"/>
      <c r="BP45" s="357"/>
      <c r="BQ45" s="357"/>
      <c r="BR45" s="357"/>
      <c r="BS45" s="357"/>
      <c r="BT45" s="357"/>
      <c r="BU45" s="357"/>
      <c r="BV45" s="357"/>
      <c r="BW45" s="357"/>
      <c r="BX45" s="357"/>
      <c r="BY45" s="357"/>
      <c r="BZ45" s="357"/>
      <c r="CA45" s="357"/>
      <c r="CB45" s="357"/>
      <c r="CC45" s="357"/>
      <c r="CD45" s="357"/>
      <c r="CE45" s="357"/>
      <c r="CF45" s="357"/>
      <c r="CG45" s="357"/>
      <c r="CH45" s="357"/>
      <c r="CI45" s="357"/>
      <c r="CJ45" s="357"/>
      <c r="CK45" s="357"/>
      <c r="CL45" s="357"/>
      <c r="CM45" s="357"/>
      <c r="CN45" s="357"/>
      <c r="CO45" s="357"/>
      <c r="CP45" s="357"/>
      <c r="CQ45" s="357"/>
      <c r="CR45" s="357"/>
      <c r="CS45" s="357"/>
      <c r="CT45" s="357"/>
      <c r="CU45" s="357"/>
      <c r="CV45" s="357"/>
      <c r="CW45" s="357"/>
      <c r="CX45" s="357"/>
      <c r="CY45" s="357"/>
      <c r="CZ45" s="357"/>
      <c r="DA45" s="357"/>
      <c r="DB45" s="357"/>
      <c r="DC45" s="357"/>
      <c r="DD45" s="357"/>
      <c r="DE45" s="357"/>
      <c r="DF45" s="357"/>
      <c r="DG45" s="357"/>
      <c r="DH45" s="357"/>
      <c r="DI45" s="357"/>
      <c r="DJ45" s="357"/>
      <c r="DK45" s="357"/>
      <c r="DL45" s="357"/>
      <c r="DM45" s="357"/>
      <c r="DN45" s="357"/>
      <c r="DO45" s="357"/>
      <c r="DP45" s="357"/>
      <c r="DQ45" s="357"/>
      <c r="DR45" s="357"/>
      <c r="DS45" s="357"/>
      <c r="DT45" s="357"/>
      <c r="DU45" s="357"/>
      <c r="DV45" s="357"/>
      <c r="DW45" s="357"/>
      <c r="DX45" s="357"/>
      <c r="DY45" s="357"/>
      <c r="DZ45" s="357"/>
      <c r="EA45" s="357"/>
      <c r="EB45" s="357"/>
      <c r="EC45" s="357"/>
      <c r="ED45" s="357"/>
      <c r="EE45" s="357"/>
      <c r="EF45" s="357"/>
      <c r="EG45" s="357"/>
      <c r="EH45" s="357"/>
      <c r="EI45" s="357"/>
      <c r="EJ45" s="357"/>
      <c r="EK45" s="357"/>
      <c r="EL45" s="357"/>
      <c r="EM45" s="357"/>
      <c r="EN45" s="357"/>
      <c r="EO45" s="357"/>
      <c r="EP45" s="357"/>
      <c r="EQ45" s="357"/>
      <c r="ER45" s="357"/>
      <c r="ES45" s="357"/>
      <c r="ET45" s="357"/>
      <c r="EU45" s="357"/>
      <c r="EV45" s="357"/>
      <c r="EW45" s="357"/>
      <c r="EX45" s="357"/>
      <c r="EY45" s="357"/>
      <c r="EZ45" s="357"/>
      <c r="FA45" s="357"/>
      <c r="FB45" s="357"/>
      <c r="FC45" s="357"/>
      <c r="FD45" s="357"/>
      <c r="FE45" s="357"/>
      <c r="FF45" s="357"/>
      <c r="FG45" s="357"/>
      <c r="FH45" s="357"/>
      <c r="FI45" s="357"/>
      <c r="FJ45" s="357"/>
      <c r="FK45" s="357"/>
      <c r="FL45" s="357"/>
      <c r="FM45" s="357"/>
      <c r="FN45" s="357"/>
      <c r="FO45" s="357"/>
      <c r="FP45" s="357"/>
      <c r="FQ45" s="357"/>
      <c r="FR45" s="357"/>
      <c r="FS45" s="357"/>
      <c r="FT45" s="357"/>
      <c r="FU45" s="357"/>
      <c r="FV45" s="357"/>
      <c r="FW45" s="357"/>
      <c r="FX45" s="357"/>
      <c r="FY45" s="357"/>
      <c r="FZ45" s="357"/>
      <c r="GA45" s="357"/>
      <c r="GB45" s="357"/>
      <c r="GC45" s="357"/>
      <c r="GD45" s="357"/>
      <c r="GE45" s="357"/>
      <c r="GF45" s="357"/>
      <c r="GG45" s="357"/>
      <c r="GH45" s="357"/>
      <c r="GI45" s="357"/>
      <c r="GJ45" s="357"/>
    </row>
    <row r="46" spans="3:192" ht="12.95" customHeight="1">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357"/>
      <c r="AV46" s="357"/>
      <c r="AW46" s="357"/>
      <c r="AX46" s="357"/>
      <c r="AY46" s="357"/>
      <c r="AZ46" s="357"/>
      <c r="BA46" s="357"/>
      <c r="BB46" s="357"/>
      <c r="BC46" s="357"/>
      <c r="BD46" s="357"/>
      <c r="BE46" s="357"/>
      <c r="BF46" s="357"/>
      <c r="BG46" s="357"/>
      <c r="BH46" s="357"/>
      <c r="BI46" s="357"/>
      <c r="BJ46" s="357"/>
      <c r="BK46" s="357"/>
      <c r="BL46" s="357"/>
      <c r="BM46" s="357"/>
      <c r="BN46" s="357"/>
      <c r="BO46" s="357"/>
      <c r="BP46" s="357"/>
      <c r="BQ46" s="357"/>
      <c r="BR46" s="357"/>
      <c r="BS46" s="357"/>
      <c r="BT46" s="357"/>
      <c r="BU46" s="357"/>
      <c r="BV46" s="357"/>
      <c r="BW46" s="357"/>
      <c r="BX46" s="357"/>
      <c r="BY46" s="357"/>
      <c r="BZ46" s="357"/>
      <c r="CA46" s="357"/>
      <c r="CB46" s="357"/>
      <c r="CC46" s="357"/>
      <c r="CD46" s="357"/>
      <c r="CE46" s="357"/>
      <c r="CF46" s="357"/>
      <c r="CG46" s="357"/>
      <c r="CH46" s="357"/>
      <c r="CI46" s="357"/>
      <c r="CJ46" s="357"/>
      <c r="CK46" s="357"/>
      <c r="CL46" s="357"/>
      <c r="CM46" s="357"/>
      <c r="CN46" s="357"/>
      <c r="CO46" s="357"/>
      <c r="CP46" s="357"/>
      <c r="CQ46" s="357"/>
      <c r="CR46" s="357"/>
      <c r="CS46" s="357"/>
      <c r="CT46" s="357"/>
      <c r="CU46" s="357"/>
      <c r="CV46" s="357"/>
      <c r="CW46" s="357"/>
      <c r="CX46" s="357"/>
      <c r="CY46" s="357"/>
      <c r="CZ46" s="357"/>
      <c r="DA46" s="357"/>
      <c r="DB46" s="357"/>
      <c r="DC46" s="357"/>
      <c r="DD46" s="357"/>
      <c r="DE46" s="357"/>
      <c r="DF46" s="357"/>
      <c r="DG46" s="357"/>
      <c r="DH46" s="357"/>
      <c r="DI46" s="357"/>
      <c r="DJ46" s="357"/>
      <c r="DK46" s="357"/>
      <c r="DL46" s="357"/>
      <c r="DM46" s="357"/>
      <c r="DN46" s="357"/>
      <c r="DO46" s="357"/>
      <c r="DP46" s="357"/>
      <c r="DQ46" s="357"/>
      <c r="DR46" s="357"/>
      <c r="DS46" s="357"/>
      <c r="DT46" s="357"/>
      <c r="DU46" s="357"/>
      <c r="DV46" s="357"/>
      <c r="DW46" s="357"/>
      <c r="DX46" s="357"/>
      <c r="DY46" s="357"/>
      <c r="DZ46" s="357"/>
      <c r="EA46" s="357"/>
      <c r="EB46" s="357"/>
      <c r="EC46" s="357"/>
      <c r="ED46" s="357"/>
      <c r="EE46" s="357"/>
      <c r="EF46" s="357"/>
      <c r="EG46" s="357"/>
      <c r="EH46" s="357"/>
      <c r="EI46" s="357"/>
      <c r="EJ46" s="357"/>
      <c r="EK46" s="357"/>
      <c r="EL46" s="357"/>
      <c r="EM46" s="357"/>
      <c r="EN46" s="357"/>
      <c r="EO46" s="357"/>
      <c r="EP46" s="357"/>
      <c r="EQ46" s="357"/>
      <c r="ER46" s="357"/>
      <c r="ES46" s="357"/>
      <c r="ET46" s="357"/>
      <c r="EU46" s="357"/>
      <c r="EV46" s="357"/>
      <c r="EW46" s="357"/>
      <c r="EX46" s="357"/>
      <c r="EY46" s="357"/>
      <c r="EZ46" s="357"/>
      <c r="FA46" s="357"/>
      <c r="FB46" s="357"/>
      <c r="FC46" s="357"/>
      <c r="FD46" s="357"/>
      <c r="FE46" s="357"/>
      <c r="FF46" s="357"/>
      <c r="FG46" s="357"/>
      <c r="FH46" s="357"/>
      <c r="FI46" s="357"/>
      <c r="FJ46" s="357"/>
      <c r="FK46" s="357"/>
      <c r="FL46" s="357"/>
      <c r="FM46" s="357"/>
      <c r="FN46" s="357"/>
      <c r="FO46" s="357"/>
      <c r="FP46" s="357"/>
      <c r="FQ46" s="357"/>
      <c r="FR46" s="357"/>
      <c r="FS46" s="357"/>
      <c r="FT46" s="357"/>
      <c r="FU46" s="357"/>
      <c r="FV46" s="357"/>
      <c r="FW46" s="357"/>
      <c r="FX46" s="357"/>
      <c r="FY46" s="357"/>
      <c r="FZ46" s="357"/>
      <c r="GA46" s="357"/>
      <c r="GB46" s="357"/>
      <c r="GC46" s="357"/>
      <c r="GD46" s="357"/>
      <c r="GE46" s="357"/>
      <c r="GF46" s="357"/>
      <c r="GG46" s="357"/>
      <c r="GH46" s="357"/>
      <c r="GI46" s="357"/>
      <c r="GJ46" s="357"/>
    </row>
    <row r="47" spans="3:192" ht="12.95" customHeight="1">
      <c r="Z47" s="357"/>
      <c r="AA47" s="357"/>
      <c r="AB47" s="357"/>
      <c r="AC47" s="357"/>
      <c r="AD47" s="357"/>
      <c r="AE47" s="357"/>
      <c r="AF47" s="357"/>
      <c r="AG47" s="357"/>
      <c r="AH47" s="357"/>
      <c r="AI47" s="357"/>
      <c r="AJ47" s="357"/>
      <c r="AK47" s="357"/>
      <c r="AL47" s="357"/>
      <c r="AM47" s="357"/>
      <c r="AN47" s="357"/>
      <c r="AO47" s="357"/>
      <c r="AP47" s="357"/>
      <c r="AQ47" s="357"/>
      <c r="AR47" s="357"/>
      <c r="AS47" s="357"/>
      <c r="AT47" s="357"/>
      <c r="AU47" s="357"/>
      <c r="AV47" s="357"/>
      <c r="AW47" s="357"/>
      <c r="AX47" s="357"/>
      <c r="AY47" s="357"/>
      <c r="AZ47" s="357"/>
      <c r="BA47" s="357"/>
      <c r="BB47" s="357"/>
      <c r="BC47" s="357"/>
      <c r="BD47" s="357"/>
      <c r="BE47" s="357"/>
      <c r="BF47" s="357"/>
      <c r="BG47" s="357"/>
      <c r="BH47" s="357"/>
      <c r="BI47" s="357"/>
      <c r="BJ47" s="357"/>
      <c r="BK47" s="357"/>
      <c r="BL47" s="357"/>
      <c r="BM47" s="357"/>
      <c r="BN47" s="357"/>
      <c r="BO47" s="357"/>
      <c r="BP47" s="357"/>
      <c r="BQ47" s="357"/>
      <c r="BR47" s="357"/>
      <c r="BS47" s="357"/>
      <c r="BT47" s="357"/>
      <c r="BU47" s="357"/>
      <c r="BV47" s="357"/>
      <c r="BW47" s="357"/>
      <c r="BX47" s="357"/>
      <c r="BY47" s="357"/>
      <c r="BZ47" s="357"/>
      <c r="CA47" s="357"/>
      <c r="CB47" s="357"/>
      <c r="CC47" s="357"/>
      <c r="CD47" s="357"/>
      <c r="CE47" s="357"/>
      <c r="CF47" s="357"/>
      <c r="CG47" s="357"/>
      <c r="CH47" s="357"/>
      <c r="CI47" s="357"/>
      <c r="CJ47" s="357"/>
      <c r="CK47" s="357"/>
      <c r="CL47" s="357"/>
      <c r="CM47" s="357"/>
      <c r="CN47" s="357"/>
      <c r="CO47" s="357"/>
      <c r="CP47" s="357"/>
      <c r="CQ47" s="357"/>
      <c r="CR47" s="357"/>
      <c r="CS47" s="357"/>
      <c r="CT47" s="357"/>
      <c r="CU47" s="357"/>
      <c r="CV47" s="357"/>
      <c r="CW47" s="357"/>
      <c r="CX47" s="357"/>
      <c r="CY47" s="357"/>
      <c r="CZ47" s="357"/>
      <c r="DA47" s="357"/>
      <c r="DB47" s="357"/>
      <c r="DC47" s="357"/>
      <c r="DD47" s="357"/>
      <c r="DE47" s="357"/>
      <c r="DF47" s="357"/>
      <c r="DG47" s="357"/>
      <c r="DH47" s="357"/>
      <c r="DI47" s="357"/>
      <c r="DJ47" s="357"/>
      <c r="DK47" s="357"/>
      <c r="DL47" s="357"/>
      <c r="DM47" s="357"/>
      <c r="DN47" s="357"/>
      <c r="DO47" s="357"/>
      <c r="DP47" s="357"/>
      <c r="DQ47" s="357"/>
      <c r="DR47" s="357"/>
      <c r="DS47" s="357"/>
      <c r="DT47" s="357"/>
      <c r="DU47" s="357"/>
      <c r="DV47" s="357"/>
      <c r="DW47" s="357"/>
      <c r="DX47" s="357"/>
      <c r="DY47" s="357"/>
      <c r="DZ47" s="357"/>
      <c r="EA47" s="357"/>
      <c r="EB47" s="357"/>
      <c r="EC47" s="357"/>
      <c r="ED47" s="357"/>
      <c r="EE47" s="357"/>
      <c r="EF47" s="357"/>
      <c r="EG47" s="357"/>
      <c r="EH47" s="357"/>
      <c r="EI47" s="357"/>
      <c r="EJ47" s="357"/>
      <c r="EK47" s="357"/>
      <c r="EL47" s="357"/>
      <c r="EM47" s="357"/>
      <c r="EN47" s="357"/>
      <c r="EO47" s="357"/>
      <c r="EP47" s="357"/>
      <c r="EQ47" s="357"/>
      <c r="ER47" s="357"/>
      <c r="ES47" s="357"/>
      <c r="ET47" s="357"/>
      <c r="EU47" s="357"/>
      <c r="EV47" s="357"/>
      <c r="EW47" s="357"/>
      <c r="EX47" s="357"/>
      <c r="EY47" s="357"/>
      <c r="EZ47" s="357"/>
      <c r="FA47" s="357"/>
      <c r="FB47" s="357"/>
      <c r="FC47" s="357"/>
      <c r="FD47" s="357"/>
      <c r="FE47" s="357"/>
      <c r="FF47" s="357"/>
      <c r="FG47" s="357"/>
      <c r="FH47" s="357"/>
      <c r="FI47" s="357"/>
      <c r="FJ47" s="357"/>
      <c r="FK47" s="357"/>
      <c r="FL47" s="357"/>
      <c r="FM47" s="357"/>
      <c r="FN47" s="357"/>
      <c r="FO47" s="357"/>
      <c r="FP47" s="357"/>
      <c r="FQ47" s="357"/>
      <c r="FR47" s="357"/>
      <c r="FS47" s="357"/>
      <c r="FT47" s="357"/>
      <c r="FU47" s="357"/>
      <c r="FV47" s="357"/>
      <c r="FW47" s="357"/>
      <c r="FX47" s="357"/>
      <c r="FY47" s="357"/>
      <c r="FZ47" s="357"/>
      <c r="GA47" s="357"/>
      <c r="GB47" s="357"/>
      <c r="GC47" s="357"/>
      <c r="GD47" s="357"/>
      <c r="GE47" s="357"/>
      <c r="GF47" s="357"/>
      <c r="GG47" s="357"/>
      <c r="GH47" s="357"/>
      <c r="GI47" s="357"/>
      <c r="GJ47" s="357"/>
    </row>
    <row r="48" spans="3:192" ht="12.95" customHeight="1">
      <c r="Z48" s="357"/>
      <c r="AA48" s="357"/>
      <c r="AB48" s="357"/>
      <c r="AC48" s="357"/>
      <c r="AD48" s="357"/>
      <c r="AE48" s="357"/>
      <c r="AF48" s="357"/>
      <c r="AG48" s="357"/>
      <c r="AH48" s="357"/>
      <c r="AI48" s="357"/>
      <c r="AJ48" s="357"/>
      <c r="AK48" s="357"/>
      <c r="AL48" s="357"/>
      <c r="AM48" s="357"/>
      <c r="AN48" s="357"/>
      <c r="AO48" s="357"/>
      <c r="AP48" s="357"/>
      <c r="AQ48" s="357"/>
      <c r="AR48" s="357"/>
      <c r="AS48" s="357"/>
      <c r="AT48" s="357"/>
      <c r="AU48" s="357"/>
      <c r="AV48" s="357"/>
      <c r="AW48" s="357"/>
      <c r="AX48" s="357"/>
      <c r="AY48" s="357"/>
      <c r="AZ48" s="357"/>
      <c r="BA48" s="357"/>
      <c r="BB48" s="357"/>
      <c r="BC48" s="357"/>
      <c r="BD48" s="357"/>
      <c r="BE48" s="357"/>
      <c r="BF48" s="357"/>
      <c r="BG48" s="357"/>
      <c r="BH48" s="357"/>
      <c r="BI48" s="357"/>
      <c r="BJ48" s="357"/>
      <c r="BK48" s="357"/>
      <c r="BL48" s="357"/>
      <c r="BM48" s="357"/>
      <c r="BN48" s="357"/>
      <c r="BO48" s="357"/>
      <c r="BP48" s="357"/>
      <c r="BQ48" s="357"/>
      <c r="BR48" s="357"/>
      <c r="BS48" s="357"/>
      <c r="BT48" s="357"/>
      <c r="BU48" s="357"/>
      <c r="BV48" s="357"/>
      <c r="BW48" s="357"/>
      <c r="BX48" s="357"/>
      <c r="BY48" s="357"/>
      <c r="BZ48" s="357"/>
      <c r="CA48" s="357"/>
      <c r="CB48" s="357"/>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7"/>
      <c r="DR48" s="357"/>
      <c r="DS48" s="357"/>
      <c r="DT48" s="357"/>
      <c r="DU48" s="357"/>
      <c r="DV48" s="357"/>
      <c r="DW48" s="357"/>
      <c r="DX48" s="357"/>
      <c r="DY48" s="357"/>
      <c r="DZ48" s="357"/>
      <c r="EA48" s="357"/>
      <c r="EB48" s="357"/>
      <c r="EC48" s="357"/>
      <c r="ED48" s="357"/>
      <c r="EE48" s="357"/>
      <c r="EF48" s="357"/>
      <c r="EG48" s="357"/>
      <c r="EH48" s="357"/>
      <c r="EI48" s="357"/>
      <c r="EJ48" s="357"/>
      <c r="EK48" s="357"/>
      <c r="EL48" s="357"/>
      <c r="EM48" s="357"/>
      <c r="EN48" s="357"/>
      <c r="EO48" s="357"/>
      <c r="EP48" s="357"/>
      <c r="EQ48" s="357"/>
      <c r="ER48" s="357"/>
      <c r="ES48" s="357"/>
      <c r="ET48" s="357"/>
      <c r="EU48" s="357"/>
      <c r="EV48" s="357"/>
      <c r="EW48" s="357"/>
      <c r="EX48" s="357"/>
      <c r="EY48" s="357"/>
      <c r="EZ48" s="357"/>
      <c r="FA48" s="357"/>
      <c r="FB48" s="357"/>
      <c r="FC48" s="357"/>
      <c r="FD48" s="357"/>
      <c r="FE48" s="357"/>
      <c r="FF48" s="357"/>
      <c r="FG48" s="357"/>
      <c r="FH48" s="357"/>
      <c r="FI48" s="357"/>
      <c r="FJ48" s="357"/>
      <c r="FK48" s="357"/>
      <c r="FL48" s="357"/>
      <c r="FM48" s="357"/>
      <c r="FN48" s="357"/>
      <c r="FO48" s="357"/>
      <c r="FP48" s="357"/>
      <c r="FQ48" s="357"/>
      <c r="FR48" s="357"/>
      <c r="FS48" s="357"/>
      <c r="FT48" s="357"/>
      <c r="FU48" s="357"/>
      <c r="FV48" s="357"/>
      <c r="FW48" s="357"/>
      <c r="FX48" s="357"/>
      <c r="FY48" s="357"/>
      <c r="FZ48" s="357"/>
      <c r="GA48" s="357"/>
      <c r="GB48" s="357"/>
      <c r="GC48" s="357"/>
      <c r="GD48" s="357"/>
      <c r="GE48" s="357"/>
      <c r="GF48" s="357"/>
      <c r="GG48" s="357"/>
      <c r="GH48" s="357"/>
      <c r="GI48" s="357"/>
      <c r="GJ48" s="357"/>
    </row>
    <row r="49" spans="3:192" ht="12.95" customHeight="1">
      <c r="Z49" s="357"/>
      <c r="AA49" s="357"/>
      <c r="AB49" s="357"/>
      <c r="AC49" s="357"/>
      <c r="AD49" s="357"/>
      <c r="AE49" s="357"/>
      <c r="AF49" s="357"/>
      <c r="AG49" s="357"/>
      <c r="AH49" s="357"/>
      <c r="AI49" s="357"/>
      <c r="AJ49" s="357"/>
      <c r="AK49" s="357"/>
      <c r="AL49" s="357"/>
      <c r="AM49" s="357"/>
      <c r="AN49" s="357"/>
      <c r="AO49" s="357"/>
      <c r="AP49" s="357"/>
      <c r="AQ49" s="357"/>
      <c r="AR49" s="357"/>
      <c r="AS49" s="357"/>
      <c r="AT49" s="357"/>
      <c r="AU49" s="357"/>
      <c r="AV49" s="357"/>
      <c r="AW49" s="357"/>
      <c r="AX49" s="357"/>
      <c r="AY49" s="357"/>
      <c r="AZ49" s="357"/>
      <c r="BA49" s="357"/>
      <c r="BB49" s="357"/>
      <c r="BC49" s="357"/>
      <c r="BD49" s="357"/>
      <c r="BE49" s="357"/>
      <c r="BF49" s="357"/>
      <c r="BG49" s="357"/>
      <c r="BH49" s="357"/>
      <c r="BI49" s="357"/>
      <c r="BJ49" s="357"/>
      <c r="BK49" s="357"/>
      <c r="BL49" s="357"/>
      <c r="BM49" s="357"/>
      <c r="BN49" s="357"/>
      <c r="BO49" s="357"/>
      <c r="BP49" s="357"/>
      <c r="BQ49" s="357"/>
      <c r="BR49" s="357"/>
      <c r="BS49" s="357"/>
      <c r="BT49" s="357"/>
      <c r="BU49" s="357"/>
      <c r="BV49" s="357"/>
      <c r="BW49" s="357"/>
      <c r="BX49" s="357"/>
      <c r="BY49" s="357"/>
      <c r="BZ49" s="357"/>
      <c r="CA49" s="357"/>
      <c r="CB49" s="357"/>
      <c r="CC49" s="357"/>
      <c r="CD49" s="357"/>
      <c r="CE49" s="357"/>
      <c r="CF49" s="357"/>
      <c r="CG49" s="357"/>
      <c r="CH49" s="357"/>
      <c r="CI49" s="357"/>
      <c r="CJ49" s="357"/>
      <c r="CK49" s="357"/>
      <c r="CL49" s="357"/>
      <c r="CM49" s="357"/>
      <c r="CN49" s="357"/>
      <c r="CO49" s="357"/>
      <c r="CP49" s="357"/>
      <c r="CQ49" s="357"/>
      <c r="CR49" s="357"/>
      <c r="CS49" s="357"/>
      <c r="CT49" s="357"/>
      <c r="CU49" s="357"/>
      <c r="CV49" s="357"/>
      <c r="CW49" s="357"/>
      <c r="CX49" s="357"/>
      <c r="CY49" s="357"/>
      <c r="CZ49" s="357"/>
      <c r="DA49" s="357"/>
      <c r="DB49" s="357"/>
      <c r="DC49" s="357"/>
      <c r="DD49" s="357"/>
      <c r="DE49" s="357"/>
      <c r="DF49" s="357"/>
      <c r="DG49" s="357"/>
      <c r="DH49" s="357"/>
      <c r="DI49" s="357"/>
      <c r="DJ49" s="357"/>
      <c r="DK49" s="357"/>
      <c r="DL49" s="357"/>
      <c r="DM49" s="357"/>
      <c r="DN49" s="357"/>
      <c r="DO49" s="357"/>
      <c r="DP49" s="357"/>
      <c r="DQ49" s="357"/>
      <c r="DR49" s="357"/>
      <c r="DS49" s="357"/>
      <c r="DT49" s="357"/>
      <c r="DU49" s="357"/>
      <c r="DV49" s="357"/>
      <c r="DW49" s="357"/>
      <c r="DX49" s="357"/>
      <c r="DY49" s="357"/>
      <c r="DZ49" s="357"/>
      <c r="EA49" s="357"/>
      <c r="EB49" s="357"/>
      <c r="EC49" s="357"/>
      <c r="ED49" s="357"/>
      <c r="EE49" s="357"/>
      <c r="EF49" s="357"/>
      <c r="EG49" s="357"/>
      <c r="EH49" s="357"/>
      <c r="EI49" s="357"/>
      <c r="EJ49" s="357"/>
      <c r="EK49" s="357"/>
      <c r="EL49" s="357"/>
      <c r="EM49" s="357"/>
      <c r="EN49" s="357"/>
      <c r="EO49" s="357"/>
      <c r="EP49" s="357"/>
      <c r="EQ49" s="357"/>
      <c r="ER49" s="357"/>
      <c r="ES49" s="357"/>
      <c r="ET49" s="357"/>
      <c r="EU49" s="357"/>
      <c r="EV49" s="357"/>
      <c r="EW49" s="357"/>
      <c r="EX49" s="357"/>
      <c r="EY49" s="357"/>
      <c r="EZ49" s="357"/>
      <c r="FA49" s="357"/>
      <c r="FB49" s="357"/>
      <c r="FC49" s="357"/>
      <c r="FD49" s="357"/>
      <c r="FE49" s="357"/>
      <c r="FF49" s="357"/>
      <c r="FG49" s="357"/>
      <c r="FH49" s="357"/>
      <c r="FI49" s="357"/>
      <c r="FJ49" s="357"/>
      <c r="FK49" s="357"/>
      <c r="FL49" s="357"/>
      <c r="FM49" s="357"/>
      <c r="FN49" s="357"/>
      <c r="FO49" s="357"/>
      <c r="FP49" s="357"/>
      <c r="FQ49" s="357"/>
      <c r="FR49" s="357"/>
      <c r="FS49" s="357"/>
      <c r="FT49" s="357"/>
      <c r="FU49" s="357"/>
      <c r="FV49" s="357"/>
      <c r="FW49" s="357"/>
      <c r="FX49" s="357"/>
      <c r="FY49" s="357"/>
      <c r="FZ49" s="357"/>
      <c r="GA49" s="357"/>
      <c r="GB49" s="357"/>
      <c r="GC49" s="357"/>
      <c r="GD49" s="357"/>
      <c r="GE49" s="357"/>
      <c r="GF49" s="357"/>
      <c r="GG49" s="357"/>
      <c r="GH49" s="357"/>
      <c r="GI49" s="357"/>
      <c r="GJ49" s="357"/>
    </row>
    <row r="50" spans="3:192" ht="12.95" customHeight="1">
      <c r="Z50" s="357"/>
      <c r="AA50" s="357"/>
      <c r="AB50" s="357"/>
      <c r="AC50" s="357"/>
      <c r="AD50" s="357"/>
      <c r="AE50" s="357"/>
      <c r="AF50" s="357"/>
      <c r="AG50" s="357"/>
      <c r="AH50" s="357"/>
      <c r="AI50" s="357"/>
      <c r="AJ50" s="357"/>
      <c r="AK50" s="357"/>
      <c r="AL50" s="357"/>
      <c r="AM50" s="357"/>
      <c r="AN50" s="357"/>
      <c r="AO50" s="357"/>
      <c r="AP50" s="357"/>
      <c r="AQ50" s="357"/>
      <c r="AR50" s="357"/>
      <c r="AS50" s="357"/>
      <c r="AT50" s="357"/>
      <c r="AU50" s="357"/>
      <c r="AV50" s="357"/>
      <c r="AW50" s="357"/>
      <c r="AX50" s="357"/>
      <c r="AY50" s="357"/>
      <c r="AZ50" s="357"/>
      <c r="BA50" s="357"/>
      <c r="BB50" s="357"/>
      <c r="BC50" s="357"/>
      <c r="BD50" s="357"/>
      <c r="BE50" s="357"/>
      <c r="BF50" s="357"/>
      <c r="BG50" s="357"/>
      <c r="BH50" s="357"/>
      <c r="BI50" s="357"/>
      <c r="BJ50" s="357"/>
      <c r="BK50" s="357"/>
      <c r="BL50" s="357"/>
      <c r="BM50" s="357"/>
      <c r="BN50" s="357"/>
      <c r="BO50" s="357"/>
      <c r="BP50" s="357"/>
      <c r="BQ50" s="357"/>
      <c r="BR50" s="357"/>
      <c r="BS50" s="357"/>
      <c r="BT50" s="357"/>
      <c r="BU50" s="357"/>
      <c r="BV50" s="357"/>
      <c r="BW50" s="357"/>
      <c r="BX50" s="357"/>
      <c r="BY50" s="357"/>
      <c r="BZ50" s="357"/>
      <c r="CA50" s="357"/>
      <c r="CB50" s="357"/>
      <c r="CC50" s="357"/>
      <c r="CD50" s="357"/>
      <c r="CE50" s="357"/>
      <c r="CF50" s="357"/>
      <c r="CG50" s="357"/>
      <c r="CH50" s="357"/>
      <c r="CI50" s="357"/>
      <c r="CJ50" s="357"/>
      <c r="CK50" s="357"/>
      <c r="CL50" s="357"/>
      <c r="CM50" s="357"/>
      <c r="CN50" s="357"/>
      <c r="CO50" s="357"/>
      <c r="CP50" s="357"/>
      <c r="CQ50" s="357"/>
      <c r="CR50" s="357"/>
      <c r="CS50" s="357"/>
      <c r="CT50" s="357"/>
      <c r="CU50" s="357"/>
      <c r="CV50" s="357"/>
      <c r="CW50" s="357"/>
      <c r="CX50" s="357"/>
      <c r="CY50" s="357"/>
      <c r="CZ50" s="357"/>
      <c r="DA50" s="357"/>
      <c r="DB50" s="357"/>
      <c r="DC50" s="357"/>
      <c r="DD50" s="357"/>
      <c r="DE50" s="357"/>
      <c r="DF50" s="357"/>
      <c r="DG50" s="357"/>
      <c r="DH50" s="357"/>
      <c r="DI50" s="357"/>
      <c r="DJ50" s="357"/>
      <c r="DK50" s="357"/>
      <c r="DL50" s="357"/>
      <c r="DM50" s="357"/>
      <c r="DN50" s="357"/>
      <c r="DO50" s="357"/>
      <c r="DP50" s="357"/>
      <c r="DQ50" s="357"/>
      <c r="DR50" s="357"/>
      <c r="DS50" s="357"/>
      <c r="DT50" s="357"/>
      <c r="DU50" s="357"/>
      <c r="DV50" s="357"/>
      <c r="DW50" s="357"/>
      <c r="DX50" s="357"/>
      <c r="DY50" s="357"/>
      <c r="DZ50" s="357"/>
      <c r="EA50" s="357"/>
      <c r="EB50" s="357"/>
      <c r="EC50" s="357"/>
      <c r="ED50" s="357"/>
      <c r="EE50" s="357"/>
      <c r="EF50" s="357"/>
      <c r="EG50" s="357"/>
      <c r="EH50" s="357"/>
      <c r="EI50" s="357"/>
      <c r="EJ50" s="357"/>
      <c r="EK50" s="357"/>
      <c r="EL50" s="357"/>
      <c r="EM50" s="357"/>
      <c r="EN50" s="357"/>
      <c r="EO50" s="357"/>
      <c r="EP50" s="357"/>
      <c r="EQ50" s="357"/>
      <c r="ER50" s="357"/>
      <c r="ES50" s="357"/>
      <c r="ET50" s="357"/>
      <c r="EU50" s="357"/>
      <c r="EV50" s="357"/>
      <c r="EW50" s="357"/>
      <c r="EX50" s="357"/>
      <c r="EY50" s="357"/>
      <c r="EZ50" s="357"/>
      <c r="FA50" s="357"/>
      <c r="FB50" s="357"/>
      <c r="FC50" s="357"/>
      <c r="FD50" s="357"/>
      <c r="FE50" s="357"/>
      <c r="FF50" s="357"/>
      <c r="FG50" s="357"/>
      <c r="FH50" s="357"/>
      <c r="FI50" s="357"/>
      <c r="FJ50" s="357"/>
      <c r="FK50" s="357"/>
      <c r="FL50" s="357"/>
      <c r="FM50" s="357"/>
      <c r="FN50" s="357"/>
      <c r="FO50" s="357"/>
      <c r="FP50" s="357"/>
      <c r="FQ50" s="357"/>
      <c r="FR50" s="357"/>
      <c r="FS50" s="357"/>
      <c r="FT50" s="357"/>
      <c r="FU50" s="357"/>
      <c r="FV50" s="357"/>
      <c r="FW50" s="357"/>
      <c r="FX50" s="357"/>
      <c r="FY50" s="357"/>
      <c r="FZ50" s="357"/>
      <c r="GA50" s="357"/>
      <c r="GB50" s="357"/>
      <c r="GC50" s="357"/>
      <c r="GD50" s="357"/>
      <c r="GE50" s="357"/>
      <c r="GF50" s="357"/>
      <c r="GG50" s="357"/>
      <c r="GH50" s="357"/>
      <c r="GI50" s="357"/>
      <c r="GJ50" s="357"/>
    </row>
    <row r="51" spans="3:192" ht="12.95" customHeight="1">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57"/>
      <c r="BC51" s="357"/>
      <c r="BD51" s="357"/>
      <c r="BE51" s="357"/>
      <c r="BF51" s="357"/>
      <c r="BG51" s="357"/>
      <c r="BH51" s="357"/>
      <c r="BI51" s="357"/>
      <c r="BJ51" s="357"/>
      <c r="BK51" s="357"/>
      <c r="BL51" s="357"/>
      <c r="BM51" s="357"/>
      <c r="BN51" s="357"/>
      <c r="BO51" s="357"/>
      <c r="BP51" s="357"/>
      <c r="BQ51" s="357"/>
      <c r="BR51" s="357"/>
      <c r="BS51" s="357"/>
      <c r="BT51" s="357"/>
      <c r="BU51" s="357"/>
      <c r="BV51" s="357"/>
      <c r="BW51" s="357"/>
      <c r="BX51" s="357"/>
      <c r="BY51" s="357"/>
      <c r="BZ51" s="357"/>
      <c r="CA51" s="357"/>
      <c r="CB51" s="357"/>
      <c r="CC51" s="357"/>
      <c r="CD51" s="357"/>
      <c r="CE51" s="357"/>
      <c r="CF51" s="357"/>
      <c r="CG51" s="357"/>
      <c r="CH51" s="357"/>
      <c r="CI51" s="357"/>
      <c r="CJ51" s="357"/>
      <c r="CK51" s="357"/>
      <c r="CL51" s="357"/>
      <c r="CM51" s="357"/>
      <c r="CN51" s="357"/>
      <c r="CO51" s="357"/>
      <c r="CP51" s="357"/>
      <c r="CQ51" s="357"/>
      <c r="CR51" s="357"/>
      <c r="CS51" s="357"/>
      <c r="CT51" s="357"/>
      <c r="CU51" s="357"/>
      <c r="CV51" s="357"/>
      <c r="CW51" s="357"/>
      <c r="CX51" s="357"/>
      <c r="CY51" s="357"/>
      <c r="CZ51" s="357"/>
      <c r="DA51" s="357"/>
      <c r="DB51" s="357"/>
      <c r="DC51" s="357"/>
      <c r="DD51" s="357"/>
      <c r="DE51" s="357"/>
      <c r="DF51" s="357"/>
      <c r="DG51" s="357"/>
      <c r="DH51" s="357"/>
      <c r="DI51" s="357"/>
      <c r="DJ51" s="357"/>
      <c r="DK51" s="357"/>
      <c r="DL51" s="357"/>
      <c r="DM51" s="357"/>
      <c r="DN51" s="357"/>
      <c r="DO51" s="357"/>
      <c r="DP51" s="357"/>
      <c r="DQ51" s="357"/>
      <c r="DR51" s="357"/>
      <c r="DS51" s="357"/>
      <c r="DT51" s="357"/>
      <c r="DU51" s="357"/>
      <c r="DV51" s="357"/>
      <c r="DW51" s="357"/>
      <c r="DX51" s="357"/>
      <c r="DY51" s="357"/>
      <c r="DZ51" s="357"/>
      <c r="EA51" s="357"/>
      <c r="EB51" s="357"/>
      <c r="EC51" s="357"/>
      <c r="ED51" s="357"/>
      <c r="EE51" s="357"/>
      <c r="EF51" s="357"/>
      <c r="EG51" s="357"/>
      <c r="EH51" s="357"/>
      <c r="EI51" s="357"/>
      <c r="EJ51" s="357"/>
      <c r="EK51" s="357"/>
      <c r="EL51" s="357"/>
      <c r="EM51" s="357"/>
      <c r="EN51" s="357"/>
      <c r="EO51" s="357"/>
      <c r="EP51" s="357"/>
      <c r="EQ51" s="357"/>
      <c r="ER51" s="357"/>
      <c r="ES51" s="357"/>
      <c r="ET51" s="357"/>
      <c r="EU51" s="357"/>
      <c r="EV51" s="357"/>
      <c r="EW51" s="357"/>
      <c r="EX51" s="357"/>
      <c r="EY51" s="357"/>
      <c r="EZ51" s="357"/>
      <c r="FA51" s="357"/>
      <c r="FB51" s="357"/>
      <c r="FC51" s="357"/>
      <c r="FD51" s="357"/>
      <c r="FE51" s="357"/>
      <c r="FF51" s="357"/>
      <c r="FG51" s="357"/>
      <c r="FH51" s="357"/>
      <c r="FI51" s="357"/>
      <c r="FJ51" s="357"/>
      <c r="FK51" s="357"/>
      <c r="FL51" s="357"/>
      <c r="FM51" s="357"/>
      <c r="FN51" s="357"/>
      <c r="FO51" s="357"/>
      <c r="FP51" s="357"/>
      <c r="FQ51" s="357"/>
      <c r="FR51" s="357"/>
      <c r="FS51" s="357"/>
      <c r="FT51" s="357"/>
      <c r="FU51" s="357"/>
      <c r="FV51" s="357"/>
      <c r="FW51" s="357"/>
      <c r="FX51" s="357"/>
      <c r="FY51" s="357"/>
      <c r="FZ51" s="357"/>
      <c r="GA51" s="357"/>
      <c r="GB51" s="357"/>
      <c r="GC51" s="357"/>
      <c r="GD51" s="357"/>
      <c r="GE51" s="357"/>
      <c r="GF51" s="357"/>
      <c r="GG51" s="357"/>
      <c r="GH51" s="357"/>
      <c r="GI51" s="357"/>
      <c r="GJ51" s="357"/>
    </row>
    <row r="52" spans="3:192" ht="12.95" customHeight="1">
      <c r="Z52" s="357"/>
      <c r="AA52" s="357"/>
      <c r="AB52" s="357"/>
      <c r="AC52" s="357"/>
      <c r="AD52" s="357"/>
      <c r="AE52" s="357"/>
      <c r="AF52" s="357"/>
      <c r="AG52" s="357"/>
      <c r="AH52" s="357"/>
      <c r="AI52" s="357"/>
      <c r="AJ52" s="357"/>
      <c r="AK52" s="357"/>
      <c r="AL52" s="357"/>
      <c r="AM52" s="357"/>
      <c r="AN52" s="357"/>
      <c r="AO52" s="357"/>
      <c r="AP52" s="357"/>
      <c r="AQ52" s="357"/>
      <c r="AR52" s="357"/>
      <c r="AS52" s="357"/>
      <c r="AT52" s="357"/>
      <c r="AU52" s="357"/>
      <c r="AV52" s="357"/>
      <c r="AW52" s="357"/>
      <c r="AX52" s="357"/>
      <c r="AY52" s="357"/>
      <c r="AZ52" s="357"/>
      <c r="BA52" s="357"/>
      <c r="BB52" s="357"/>
      <c r="BC52" s="357"/>
      <c r="BD52" s="357"/>
      <c r="BE52" s="357"/>
      <c r="BF52" s="357"/>
      <c r="BG52" s="357"/>
      <c r="BH52" s="357"/>
      <c r="BI52" s="357"/>
      <c r="BJ52" s="357"/>
      <c r="BK52" s="357"/>
      <c r="BL52" s="357"/>
      <c r="BM52" s="357"/>
      <c r="BN52" s="357"/>
      <c r="BO52" s="357"/>
      <c r="BP52" s="357"/>
      <c r="BQ52" s="357"/>
      <c r="BR52" s="357"/>
      <c r="BS52" s="357"/>
      <c r="BT52" s="357"/>
      <c r="BU52" s="357"/>
      <c r="BV52" s="357"/>
      <c r="BW52" s="357"/>
      <c r="BX52" s="357"/>
      <c r="BY52" s="357"/>
      <c r="BZ52" s="357"/>
      <c r="CA52" s="357"/>
      <c r="CB52" s="357"/>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7"/>
      <c r="DR52" s="357"/>
      <c r="DS52" s="357"/>
      <c r="DT52" s="357"/>
      <c r="DU52" s="357"/>
      <c r="DV52" s="357"/>
      <c r="DW52" s="357"/>
      <c r="DX52" s="357"/>
      <c r="DY52" s="357"/>
      <c r="DZ52" s="357"/>
      <c r="EA52" s="357"/>
      <c r="EB52" s="357"/>
      <c r="EC52" s="357"/>
      <c r="ED52" s="357"/>
      <c r="EE52" s="357"/>
      <c r="EF52" s="357"/>
      <c r="EG52" s="357"/>
      <c r="EH52" s="357"/>
      <c r="EI52" s="357"/>
      <c r="EJ52" s="357"/>
      <c r="EK52" s="357"/>
      <c r="EL52" s="357"/>
      <c r="EM52" s="357"/>
      <c r="EN52" s="357"/>
      <c r="EO52" s="357"/>
      <c r="EP52" s="357"/>
      <c r="EQ52" s="357"/>
      <c r="ER52" s="357"/>
      <c r="ES52" s="357"/>
      <c r="ET52" s="357"/>
      <c r="EU52" s="357"/>
      <c r="EV52" s="357"/>
      <c r="EW52" s="357"/>
      <c r="EX52" s="357"/>
      <c r="EY52" s="357"/>
      <c r="EZ52" s="357"/>
      <c r="FA52" s="357"/>
      <c r="FB52" s="357"/>
      <c r="FC52" s="357"/>
      <c r="FD52" s="357"/>
      <c r="FE52" s="357"/>
      <c r="FF52" s="357"/>
      <c r="FG52" s="357"/>
      <c r="FH52" s="357"/>
      <c r="FI52" s="357"/>
      <c r="FJ52" s="357"/>
      <c r="FK52" s="357"/>
      <c r="FL52" s="357"/>
      <c r="FM52" s="357"/>
      <c r="FN52" s="357"/>
      <c r="FO52" s="357"/>
      <c r="FP52" s="357"/>
      <c r="FQ52" s="357"/>
      <c r="FR52" s="357"/>
      <c r="FS52" s="357"/>
      <c r="FT52" s="357"/>
      <c r="FU52" s="357"/>
      <c r="FV52" s="357"/>
      <c r="FW52" s="357"/>
      <c r="FX52" s="357"/>
      <c r="FY52" s="357"/>
      <c r="FZ52" s="357"/>
      <c r="GA52" s="357"/>
      <c r="GB52" s="357"/>
      <c r="GC52" s="357"/>
      <c r="GD52" s="357"/>
      <c r="GE52" s="357"/>
      <c r="GF52" s="357"/>
      <c r="GG52" s="357"/>
      <c r="GH52" s="357"/>
      <c r="GI52" s="357"/>
      <c r="GJ52" s="357"/>
    </row>
    <row r="53" spans="3:192" ht="12.95" customHeight="1">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57"/>
      <c r="BC53" s="357"/>
      <c r="BD53" s="357"/>
      <c r="BE53" s="357"/>
      <c r="BF53" s="357"/>
      <c r="BG53" s="357"/>
      <c r="BH53" s="357"/>
      <c r="BI53" s="357"/>
      <c r="BJ53" s="357"/>
      <c r="BK53" s="357"/>
      <c r="BL53" s="357"/>
      <c r="BM53" s="357"/>
      <c r="BN53" s="357"/>
      <c r="BO53" s="357"/>
      <c r="BP53" s="357"/>
      <c r="BQ53" s="357"/>
      <c r="BR53" s="357"/>
      <c r="BS53" s="357"/>
      <c r="BT53" s="357"/>
      <c r="BU53" s="357"/>
      <c r="BV53" s="357"/>
      <c r="BW53" s="357"/>
      <c r="BX53" s="357"/>
      <c r="BY53" s="357"/>
      <c r="BZ53" s="357"/>
      <c r="CA53" s="357"/>
      <c r="CB53" s="357"/>
      <c r="CC53" s="357"/>
      <c r="CD53" s="357"/>
      <c r="CE53" s="357"/>
      <c r="CF53" s="357"/>
      <c r="CG53" s="357"/>
      <c r="CH53" s="357"/>
      <c r="CI53" s="357"/>
      <c r="CJ53" s="357"/>
      <c r="CK53" s="357"/>
      <c r="CL53" s="357"/>
      <c r="CM53" s="357"/>
      <c r="CN53" s="357"/>
      <c r="CO53" s="357"/>
      <c r="CP53" s="357"/>
      <c r="CQ53" s="357"/>
      <c r="CR53" s="357"/>
      <c r="CS53" s="357"/>
      <c r="CT53" s="357"/>
      <c r="CU53" s="357"/>
      <c r="CV53" s="357"/>
      <c r="CW53" s="357"/>
      <c r="CX53" s="357"/>
      <c r="CY53" s="357"/>
      <c r="CZ53" s="357"/>
      <c r="DA53" s="357"/>
      <c r="DB53" s="357"/>
      <c r="DC53" s="357"/>
      <c r="DD53" s="357"/>
      <c r="DE53" s="357"/>
      <c r="DF53" s="357"/>
      <c r="DG53" s="357"/>
      <c r="DH53" s="357"/>
      <c r="DI53" s="357"/>
      <c r="DJ53" s="357"/>
      <c r="DK53" s="357"/>
      <c r="DL53" s="357"/>
      <c r="DM53" s="357"/>
      <c r="DN53" s="357"/>
      <c r="DO53" s="357"/>
      <c r="DP53" s="357"/>
      <c r="DQ53" s="357"/>
      <c r="DR53" s="357"/>
      <c r="DS53" s="357"/>
      <c r="DT53" s="357"/>
      <c r="DU53" s="357"/>
      <c r="DV53" s="357"/>
      <c r="DW53" s="357"/>
      <c r="DX53" s="357"/>
      <c r="DY53" s="357"/>
      <c r="DZ53" s="357"/>
      <c r="EA53" s="357"/>
      <c r="EB53" s="357"/>
      <c r="EC53" s="357"/>
      <c r="ED53" s="357"/>
      <c r="EE53" s="357"/>
      <c r="EF53" s="357"/>
      <c r="EG53" s="357"/>
      <c r="EH53" s="357"/>
      <c r="EI53" s="357"/>
      <c r="EJ53" s="357"/>
      <c r="EK53" s="357"/>
      <c r="EL53" s="357"/>
      <c r="EM53" s="357"/>
      <c r="EN53" s="357"/>
      <c r="EO53" s="357"/>
      <c r="EP53" s="357"/>
      <c r="EQ53" s="357"/>
      <c r="ER53" s="357"/>
      <c r="ES53" s="357"/>
      <c r="ET53" s="357"/>
      <c r="EU53" s="357"/>
      <c r="EV53" s="357"/>
      <c r="EW53" s="357"/>
      <c r="EX53" s="357"/>
      <c r="EY53" s="357"/>
      <c r="EZ53" s="357"/>
      <c r="FA53" s="357"/>
      <c r="FB53" s="357"/>
      <c r="FC53" s="357"/>
      <c r="FD53" s="357"/>
      <c r="FE53" s="357"/>
      <c r="FF53" s="357"/>
      <c r="FG53" s="357"/>
      <c r="FH53" s="357"/>
      <c r="FI53" s="357"/>
      <c r="FJ53" s="357"/>
      <c r="FK53" s="357"/>
      <c r="FL53" s="357"/>
      <c r="FM53" s="357"/>
      <c r="FN53" s="357"/>
      <c r="FO53" s="357"/>
      <c r="FP53" s="357"/>
      <c r="FQ53" s="357"/>
      <c r="FR53" s="357"/>
      <c r="FS53" s="357"/>
      <c r="FT53" s="357"/>
      <c r="FU53" s="357"/>
      <c r="FV53" s="357"/>
      <c r="FW53" s="357"/>
      <c r="FX53" s="357"/>
      <c r="FY53" s="357"/>
      <c r="FZ53" s="357"/>
      <c r="GA53" s="357"/>
      <c r="GB53" s="357"/>
      <c r="GC53" s="357"/>
      <c r="GD53" s="357"/>
      <c r="GE53" s="357"/>
      <c r="GF53" s="357"/>
      <c r="GG53" s="357"/>
      <c r="GH53" s="357"/>
      <c r="GI53" s="357"/>
      <c r="GJ53" s="357"/>
    </row>
    <row r="54" spans="3:192" ht="12.95" customHeight="1">
      <c r="Z54" s="357"/>
      <c r="AA54" s="357"/>
      <c r="AB54" s="357"/>
      <c r="AC54" s="357"/>
      <c r="AD54" s="357"/>
      <c r="AE54" s="357"/>
      <c r="AF54" s="357"/>
      <c r="AG54" s="357"/>
      <c r="AH54" s="357"/>
      <c r="AI54" s="357"/>
      <c r="AJ54" s="357"/>
      <c r="AK54" s="357"/>
      <c r="AL54" s="357"/>
      <c r="AM54" s="357"/>
      <c r="AN54" s="357"/>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7"/>
      <c r="BO54" s="357"/>
      <c r="BP54" s="357"/>
      <c r="BQ54" s="357"/>
      <c r="BR54" s="357"/>
      <c r="BS54" s="357"/>
      <c r="BT54" s="357"/>
      <c r="BU54" s="357"/>
      <c r="BV54" s="357"/>
      <c r="BW54" s="357"/>
      <c r="BX54" s="357"/>
      <c r="BY54" s="357"/>
      <c r="BZ54" s="357"/>
      <c r="CA54" s="357"/>
      <c r="CB54" s="357"/>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7"/>
      <c r="DR54" s="357"/>
      <c r="DS54" s="357"/>
      <c r="DT54" s="357"/>
      <c r="DU54" s="357"/>
      <c r="DV54" s="357"/>
      <c r="DW54" s="357"/>
      <c r="DX54" s="357"/>
      <c r="DY54" s="357"/>
      <c r="DZ54" s="357"/>
      <c r="EA54" s="357"/>
      <c r="EB54" s="357"/>
      <c r="EC54" s="357"/>
      <c r="ED54" s="357"/>
      <c r="EE54" s="357"/>
      <c r="EF54" s="357"/>
      <c r="EG54" s="357"/>
      <c r="EH54" s="357"/>
      <c r="EI54" s="357"/>
      <c r="EJ54" s="357"/>
      <c r="EK54" s="357"/>
      <c r="EL54" s="357"/>
      <c r="EM54" s="357"/>
      <c r="EN54" s="357"/>
      <c r="EO54" s="357"/>
      <c r="EP54" s="357"/>
      <c r="EQ54" s="357"/>
      <c r="ER54" s="357"/>
      <c r="ES54" s="357"/>
      <c r="ET54" s="357"/>
      <c r="EU54" s="357"/>
      <c r="EV54" s="357"/>
      <c r="EW54" s="357"/>
      <c r="EX54" s="357"/>
      <c r="EY54" s="357"/>
      <c r="EZ54" s="357"/>
      <c r="FA54" s="357"/>
      <c r="FB54" s="357"/>
      <c r="FC54" s="357"/>
      <c r="FD54" s="357"/>
      <c r="FE54" s="357"/>
      <c r="FF54" s="357"/>
      <c r="FG54" s="357"/>
      <c r="FH54" s="357"/>
      <c r="FI54" s="357"/>
      <c r="FJ54" s="357"/>
      <c r="FK54" s="357"/>
      <c r="FL54" s="357"/>
      <c r="FM54" s="357"/>
      <c r="FN54" s="357"/>
      <c r="FO54" s="357"/>
      <c r="FP54" s="357"/>
      <c r="FQ54" s="357"/>
      <c r="FR54" s="357"/>
      <c r="FS54" s="357"/>
      <c r="FT54" s="357"/>
      <c r="FU54" s="357"/>
      <c r="FV54" s="357"/>
      <c r="FW54" s="357"/>
      <c r="FX54" s="357"/>
      <c r="FY54" s="357"/>
      <c r="FZ54" s="357"/>
      <c r="GA54" s="357"/>
      <c r="GB54" s="357"/>
      <c r="GC54" s="357"/>
      <c r="GD54" s="357"/>
      <c r="GE54" s="357"/>
      <c r="GF54" s="357"/>
      <c r="GG54" s="357"/>
      <c r="GH54" s="357"/>
      <c r="GI54" s="357"/>
      <c r="GJ54" s="357"/>
    </row>
    <row r="55" spans="3:192" ht="12.95" customHeight="1">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57"/>
      <c r="BC55" s="357"/>
      <c r="BD55" s="357"/>
      <c r="BE55" s="357"/>
      <c r="BF55" s="357"/>
      <c r="BG55" s="357"/>
      <c r="BH55" s="357"/>
      <c r="BI55" s="357"/>
      <c r="BJ55" s="357"/>
      <c r="BK55" s="357"/>
      <c r="BL55" s="357"/>
      <c r="BM55" s="357"/>
      <c r="BN55" s="357"/>
      <c r="BO55" s="357"/>
      <c r="BP55" s="357"/>
      <c r="BQ55" s="357"/>
      <c r="BR55" s="357"/>
      <c r="BS55" s="357"/>
      <c r="BT55" s="357"/>
      <c r="BU55" s="357"/>
      <c r="BV55" s="357"/>
      <c r="BW55" s="357"/>
      <c r="BX55" s="357"/>
      <c r="BY55" s="357"/>
      <c r="BZ55" s="357"/>
      <c r="CA55" s="357"/>
      <c r="CB55" s="357"/>
      <c r="CC55" s="357"/>
      <c r="CD55" s="357"/>
      <c r="CE55" s="357"/>
      <c r="CF55" s="357"/>
      <c r="CG55" s="357"/>
      <c r="CH55" s="357"/>
      <c r="CI55" s="357"/>
      <c r="CJ55" s="357"/>
      <c r="CK55" s="357"/>
      <c r="CL55" s="357"/>
      <c r="CM55" s="357"/>
      <c r="CN55" s="357"/>
      <c r="CO55" s="357"/>
      <c r="CP55" s="357"/>
      <c r="CQ55" s="357"/>
      <c r="CR55" s="357"/>
      <c r="CS55" s="357"/>
      <c r="CT55" s="357"/>
      <c r="CU55" s="357"/>
      <c r="CV55" s="357"/>
      <c r="CW55" s="357"/>
      <c r="CX55" s="357"/>
      <c r="CY55" s="357"/>
      <c r="CZ55" s="357"/>
      <c r="DA55" s="357"/>
      <c r="DB55" s="357"/>
      <c r="DC55" s="357"/>
      <c r="DD55" s="357"/>
      <c r="DE55" s="357"/>
      <c r="DF55" s="357"/>
      <c r="DG55" s="357"/>
      <c r="DH55" s="357"/>
      <c r="DI55" s="357"/>
      <c r="DJ55" s="357"/>
      <c r="DK55" s="357"/>
      <c r="DL55" s="357"/>
      <c r="DM55" s="357"/>
      <c r="DN55" s="357"/>
      <c r="DO55" s="357"/>
      <c r="DP55" s="357"/>
      <c r="DQ55" s="357"/>
      <c r="DR55" s="357"/>
      <c r="DS55" s="357"/>
      <c r="DT55" s="357"/>
      <c r="DU55" s="357"/>
      <c r="DV55" s="357"/>
      <c r="DW55" s="357"/>
      <c r="DX55" s="357"/>
      <c r="DY55" s="357"/>
      <c r="DZ55" s="357"/>
      <c r="EA55" s="357"/>
      <c r="EB55" s="357"/>
      <c r="EC55" s="357"/>
      <c r="ED55" s="357"/>
      <c r="EE55" s="357"/>
      <c r="EF55" s="357"/>
      <c r="EG55" s="357"/>
      <c r="EH55" s="357"/>
      <c r="EI55" s="357"/>
      <c r="EJ55" s="357"/>
      <c r="EK55" s="357"/>
      <c r="EL55" s="357"/>
      <c r="EM55" s="357"/>
      <c r="EN55" s="357"/>
      <c r="EO55" s="357"/>
      <c r="EP55" s="357"/>
      <c r="EQ55" s="357"/>
      <c r="ER55" s="357"/>
      <c r="ES55" s="357"/>
      <c r="ET55" s="357"/>
      <c r="EU55" s="357"/>
      <c r="EV55" s="357"/>
      <c r="EW55" s="357"/>
      <c r="EX55" s="357"/>
      <c r="EY55" s="357"/>
      <c r="EZ55" s="357"/>
      <c r="FA55" s="357"/>
      <c r="FB55" s="357"/>
      <c r="FC55" s="357"/>
      <c r="FD55" s="357"/>
      <c r="FE55" s="357"/>
      <c r="FF55" s="357"/>
      <c r="FG55" s="357"/>
      <c r="FH55" s="357"/>
      <c r="FI55" s="357"/>
      <c r="FJ55" s="357"/>
      <c r="FK55" s="357"/>
      <c r="FL55" s="357"/>
      <c r="FM55" s="357"/>
      <c r="FN55" s="357"/>
      <c r="FO55" s="357"/>
      <c r="FP55" s="357"/>
      <c r="FQ55" s="357"/>
      <c r="FR55" s="357"/>
      <c r="FS55" s="357"/>
      <c r="FT55" s="357"/>
      <c r="FU55" s="357"/>
      <c r="FV55" s="357"/>
      <c r="FW55" s="357"/>
      <c r="FX55" s="357"/>
      <c r="FY55" s="357"/>
      <c r="FZ55" s="357"/>
      <c r="GA55" s="357"/>
      <c r="GB55" s="357"/>
      <c r="GC55" s="357"/>
      <c r="GD55" s="357"/>
      <c r="GE55" s="357"/>
      <c r="GF55" s="357"/>
      <c r="GG55" s="357"/>
      <c r="GH55" s="357"/>
      <c r="GI55" s="357"/>
      <c r="GJ55" s="357"/>
    </row>
    <row r="56" spans="3:192" ht="12.95" customHeight="1">
      <c r="Z56" s="357"/>
      <c r="AA56" s="357"/>
      <c r="AB56" s="357"/>
      <c r="AC56" s="357"/>
      <c r="AD56" s="357"/>
      <c r="AE56" s="357"/>
      <c r="AF56" s="357"/>
      <c r="AG56" s="357"/>
      <c r="AH56" s="357"/>
      <c r="AI56" s="357"/>
      <c r="AJ56" s="357"/>
      <c r="AK56" s="357"/>
      <c r="AL56" s="357"/>
      <c r="AM56" s="357"/>
      <c r="AN56" s="357"/>
      <c r="AO56" s="357"/>
      <c r="AP56" s="357"/>
      <c r="AQ56" s="357"/>
      <c r="AR56" s="357"/>
      <c r="AS56" s="357"/>
      <c r="AT56" s="357"/>
      <c r="AU56" s="357"/>
      <c r="AV56" s="357"/>
      <c r="AW56" s="357"/>
      <c r="AX56" s="357"/>
      <c r="AY56" s="357"/>
      <c r="AZ56" s="357"/>
      <c r="BA56" s="357"/>
      <c r="BB56" s="357"/>
      <c r="BC56" s="357"/>
      <c r="BD56" s="357"/>
      <c r="BE56" s="357"/>
      <c r="BF56" s="357"/>
      <c r="BG56" s="357"/>
      <c r="BH56" s="357"/>
      <c r="BI56" s="357"/>
      <c r="BJ56" s="357"/>
      <c r="BK56" s="357"/>
      <c r="BL56" s="357"/>
      <c r="BM56" s="357"/>
      <c r="BN56" s="357"/>
      <c r="BO56" s="357"/>
      <c r="BP56" s="357"/>
      <c r="BQ56" s="357"/>
      <c r="BR56" s="357"/>
      <c r="BS56" s="357"/>
      <c r="BT56" s="357"/>
      <c r="BU56" s="357"/>
      <c r="BV56" s="357"/>
      <c r="BW56" s="357"/>
      <c r="BX56" s="357"/>
      <c r="BY56" s="357"/>
      <c r="BZ56" s="357"/>
      <c r="CA56" s="357"/>
      <c r="CB56" s="357"/>
      <c r="CC56" s="357"/>
      <c r="CD56" s="357"/>
      <c r="CE56" s="357"/>
      <c r="CF56" s="357"/>
      <c r="CG56" s="357"/>
      <c r="CH56" s="357"/>
      <c r="CI56" s="357"/>
      <c r="CJ56" s="357"/>
      <c r="CK56" s="357"/>
      <c r="CL56" s="357"/>
      <c r="CM56" s="357"/>
      <c r="CN56" s="357"/>
      <c r="CO56" s="357"/>
      <c r="CP56" s="357"/>
      <c r="CQ56" s="357"/>
      <c r="CR56" s="357"/>
      <c r="CS56" s="357"/>
      <c r="CT56" s="357"/>
      <c r="CU56" s="357"/>
      <c r="CV56" s="357"/>
      <c r="CW56" s="357"/>
      <c r="CX56" s="357"/>
      <c r="CY56" s="357"/>
      <c r="CZ56" s="357"/>
      <c r="DA56" s="357"/>
      <c r="DB56" s="357"/>
      <c r="DC56" s="357"/>
      <c r="DD56" s="357"/>
      <c r="DE56" s="357"/>
      <c r="DF56" s="357"/>
      <c r="DG56" s="357"/>
      <c r="DH56" s="357"/>
      <c r="DI56" s="357"/>
      <c r="DJ56" s="357"/>
      <c r="DK56" s="357"/>
      <c r="DL56" s="357"/>
      <c r="DM56" s="357"/>
      <c r="DN56" s="357"/>
      <c r="DO56" s="357"/>
      <c r="DP56" s="357"/>
      <c r="DQ56" s="357"/>
      <c r="DR56" s="357"/>
      <c r="DS56" s="357"/>
      <c r="DT56" s="357"/>
      <c r="DU56" s="357"/>
      <c r="DV56" s="357"/>
      <c r="DW56" s="357"/>
      <c r="DX56" s="357"/>
      <c r="DY56" s="357"/>
      <c r="DZ56" s="357"/>
      <c r="EA56" s="357"/>
      <c r="EB56" s="357"/>
      <c r="EC56" s="357"/>
      <c r="ED56" s="357"/>
      <c r="EE56" s="357"/>
      <c r="EF56" s="357"/>
      <c r="EG56" s="357"/>
      <c r="EH56" s="357"/>
      <c r="EI56" s="357"/>
      <c r="EJ56" s="357"/>
      <c r="EK56" s="357"/>
      <c r="EL56" s="357"/>
      <c r="EM56" s="357"/>
      <c r="EN56" s="357"/>
      <c r="EO56" s="357"/>
      <c r="EP56" s="357"/>
      <c r="EQ56" s="357"/>
      <c r="ER56" s="357"/>
      <c r="ES56" s="357"/>
      <c r="ET56" s="357"/>
      <c r="EU56" s="357"/>
      <c r="EV56" s="357"/>
      <c r="EW56" s="357"/>
      <c r="EX56" s="357"/>
      <c r="EY56" s="357"/>
      <c r="EZ56" s="357"/>
      <c r="FA56" s="357"/>
      <c r="FB56" s="357"/>
      <c r="FC56" s="357"/>
      <c r="FD56" s="357"/>
      <c r="FE56" s="357"/>
      <c r="FF56" s="357"/>
      <c r="FG56" s="357"/>
      <c r="FH56" s="357"/>
      <c r="FI56" s="357"/>
      <c r="FJ56" s="357"/>
      <c r="FK56" s="357"/>
      <c r="FL56" s="357"/>
      <c r="FM56" s="357"/>
      <c r="FN56" s="357"/>
      <c r="FO56" s="357"/>
      <c r="FP56" s="357"/>
      <c r="FQ56" s="357"/>
      <c r="FR56" s="357"/>
      <c r="FS56" s="357"/>
      <c r="FT56" s="357"/>
      <c r="FU56" s="357"/>
      <c r="FV56" s="357"/>
      <c r="FW56" s="357"/>
      <c r="FX56" s="357"/>
      <c r="FY56" s="357"/>
      <c r="FZ56" s="357"/>
      <c r="GA56" s="357"/>
      <c r="GB56" s="357"/>
      <c r="GC56" s="357"/>
      <c r="GD56" s="357"/>
      <c r="GE56" s="357"/>
      <c r="GF56" s="357"/>
      <c r="GG56" s="357"/>
      <c r="GH56" s="357"/>
      <c r="GI56" s="357"/>
      <c r="GJ56" s="357"/>
    </row>
    <row r="57" spans="3:192" ht="12.95" customHeight="1">
      <c r="C57" s="431"/>
      <c r="Z57" s="357"/>
      <c r="AA57" s="357"/>
      <c r="AB57" s="357"/>
      <c r="AC57" s="357"/>
      <c r="AD57" s="357"/>
      <c r="AE57" s="357"/>
      <c r="AF57" s="357"/>
      <c r="AG57" s="357"/>
      <c r="AH57" s="357"/>
      <c r="AI57" s="357"/>
      <c r="AJ57" s="357"/>
      <c r="AK57" s="357"/>
      <c r="AL57" s="357"/>
      <c r="AM57" s="357"/>
      <c r="AN57" s="357"/>
      <c r="AO57" s="357"/>
      <c r="AP57" s="357"/>
      <c r="AQ57" s="357"/>
      <c r="AR57" s="357"/>
      <c r="AS57" s="357"/>
      <c r="AT57" s="357"/>
      <c r="AU57" s="357"/>
      <c r="AV57" s="357"/>
      <c r="AW57" s="357"/>
      <c r="AX57" s="357"/>
      <c r="AY57" s="357"/>
      <c r="AZ57" s="357"/>
      <c r="BA57" s="357"/>
      <c r="BB57" s="357"/>
      <c r="BC57" s="357"/>
      <c r="BD57" s="357"/>
      <c r="BE57" s="357"/>
      <c r="BF57" s="357"/>
      <c r="BG57" s="357"/>
      <c r="BH57" s="357"/>
      <c r="BI57" s="357"/>
      <c r="BJ57" s="357"/>
      <c r="BK57" s="357"/>
      <c r="BL57" s="357"/>
      <c r="BM57" s="357"/>
      <c r="BN57" s="357"/>
      <c r="BO57" s="357"/>
      <c r="BP57" s="357"/>
      <c r="BQ57" s="357"/>
      <c r="BR57" s="357"/>
      <c r="BS57" s="357"/>
      <c r="BT57" s="357"/>
      <c r="BU57" s="357"/>
      <c r="BV57" s="357"/>
      <c r="BW57" s="357"/>
      <c r="BX57" s="357"/>
      <c r="BY57" s="357"/>
      <c r="BZ57" s="357"/>
      <c r="CA57" s="357"/>
      <c r="CB57" s="357"/>
      <c r="CC57" s="357"/>
      <c r="CD57" s="357"/>
      <c r="CE57" s="357"/>
      <c r="CF57" s="357"/>
      <c r="CG57" s="357"/>
      <c r="CH57" s="357"/>
      <c r="CI57" s="357"/>
      <c r="CJ57" s="357"/>
      <c r="CK57" s="357"/>
      <c r="CL57" s="357"/>
      <c r="CM57" s="357"/>
      <c r="CN57" s="357"/>
      <c r="CO57" s="357"/>
      <c r="CP57" s="357"/>
      <c r="CQ57" s="357"/>
      <c r="CR57" s="357"/>
      <c r="CS57" s="357"/>
      <c r="CT57" s="357"/>
      <c r="CU57" s="357"/>
      <c r="CV57" s="357"/>
      <c r="CW57" s="357"/>
      <c r="CX57" s="357"/>
      <c r="CY57" s="357"/>
      <c r="CZ57" s="357"/>
      <c r="DA57" s="357"/>
      <c r="DB57" s="357"/>
      <c r="DC57" s="357"/>
      <c r="DD57" s="357"/>
      <c r="DE57" s="357"/>
      <c r="DF57" s="357"/>
      <c r="DG57" s="357"/>
      <c r="DH57" s="357"/>
      <c r="DI57" s="357"/>
      <c r="DJ57" s="357"/>
      <c r="DK57" s="357"/>
      <c r="DL57" s="357"/>
      <c r="DM57" s="357"/>
      <c r="DN57" s="357"/>
      <c r="DO57" s="357"/>
      <c r="DP57" s="357"/>
      <c r="DQ57" s="357"/>
      <c r="DR57" s="357"/>
      <c r="DS57" s="357"/>
      <c r="DT57" s="357"/>
      <c r="DU57" s="357"/>
      <c r="DV57" s="357"/>
      <c r="DW57" s="357"/>
      <c r="DX57" s="357"/>
      <c r="DY57" s="357"/>
      <c r="DZ57" s="357"/>
      <c r="EA57" s="357"/>
      <c r="EB57" s="357"/>
      <c r="EC57" s="357"/>
      <c r="ED57" s="357"/>
      <c r="EE57" s="357"/>
      <c r="EF57" s="357"/>
      <c r="EG57" s="357"/>
      <c r="EH57" s="357"/>
      <c r="EI57" s="357"/>
      <c r="EJ57" s="357"/>
      <c r="EK57" s="357"/>
      <c r="EL57" s="357"/>
      <c r="EM57" s="357"/>
      <c r="EN57" s="357"/>
      <c r="EO57" s="357"/>
      <c r="EP57" s="357"/>
      <c r="EQ57" s="357"/>
      <c r="ER57" s="357"/>
      <c r="ES57" s="357"/>
      <c r="ET57" s="357"/>
      <c r="EU57" s="357"/>
      <c r="EV57" s="357"/>
      <c r="EW57" s="357"/>
      <c r="EX57" s="357"/>
      <c r="EY57" s="357"/>
      <c r="EZ57" s="357"/>
      <c r="FA57" s="357"/>
      <c r="FB57" s="357"/>
      <c r="FC57" s="357"/>
      <c r="FD57" s="357"/>
      <c r="FE57" s="357"/>
      <c r="FF57" s="357"/>
      <c r="FG57" s="357"/>
      <c r="FH57" s="357"/>
      <c r="FI57" s="357"/>
      <c r="FJ57" s="357"/>
      <c r="FK57" s="357"/>
      <c r="FL57" s="357"/>
      <c r="FM57" s="357"/>
      <c r="FN57" s="357"/>
      <c r="FO57" s="357"/>
      <c r="FP57" s="357"/>
      <c r="FQ57" s="357"/>
      <c r="FR57" s="357"/>
      <c r="FS57" s="357"/>
      <c r="FT57" s="357"/>
      <c r="FU57" s="357"/>
      <c r="FV57" s="357"/>
      <c r="FW57" s="357"/>
      <c r="FX57" s="357"/>
      <c r="FY57" s="357"/>
      <c r="FZ57" s="357"/>
      <c r="GA57" s="357"/>
      <c r="GB57" s="357"/>
      <c r="GC57" s="357"/>
      <c r="GD57" s="357"/>
      <c r="GE57" s="357"/>
      <c r="GF57" s="357"/>
      <c r="GG57" s="357"/>
      <c r="GH57" s="357"/>
      <c r="GI57" s="357"/>
      <c r="GJ57" s="357"/>
    </row>
    <row r="58" spans="3:192" ht="12.95" customHeight="1">
      <c r="Z58" s="357"/>
      <c r="AA58" s="357"/>
      <c r="AB58" s="357"/>
      <c r="AC58" s="357"/>
      <c r="AD58" s="357"/>
      <c r="AE58" s="357"/>
      <c r="AF58" s="357"/>
      <c r="AG58" s="357"/>
      <c r="AH58" s="357"/>
      <c r="AI58" s="427"/>
      <c r="AJ58" s="427"/>
      <c r="AK58" s="357"/>
      <c r="AL58" s="357"/>
      <c r="AM58" s="357"/>
      <c r="AN58" s="427"/>
      <c r="AO58" s="427"/>
      <c r="AP58" s="357"/>
      <c r="AQ58" s="357"/>
      <c r="AR58" s="357"/>
      <c r="AS58" s="427"/>
      <c r="AT58" s="427"/>
      <c r="AU58" s="357"/>
      <c r="AV58" s="357"/>
      <c r="AW58" s="357"/>
      <c r="AX58" s="357"/>
      <c r="AY58" s="357"/>
      <c r="AZ58" s="357"/>
      <c r="BA58" s="357"/>
      <c r="BB58" s="357"/>
      <c r="BC58" s="357"/>
      <c r="BD58" s="357"/>
      <c r="BE58" s="357"/>
      <c r="BF58" s="357"/>
      <c r="BG58" s="357"/>
      <c r="BH58" s="357"/>
      <c r="BI58" s="357"/>
      <c r="BJ58" s="357"/>
      <c r="BK58" s="357"/>
      <c r="BL58" s="357"/>
      <c r="BM58" s="357"/>
      <c r="BN58" s="357"/>
      <c r="BO58" s="357"/>
      <c r="BP58" s="357"/>
      <c r="BQ58" s="357"/>
      <c r="BR58" s="357"/>
      <c r="BS58" s="357"/>
      <c r="BT58" s="357"/>
      <c r="BU58" s="357"/>
      <c r="BV58" s="357"/>
      <c r="BW58" s="357"/>
      <c r="BX58" s="357"/>
      <c r="BY58" s="357"/>
      <c r="BZ58" s="357"/>
      <c r="CA58" s="357"/>
      <c r="CB58" s="357"/>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7"/>
      <c r="DR58" s="357"/>
      <c r="DS58" s="357"/>
      <c r="DT58" s="357"/>
      <c r="DU58" s="357"/>
      <c r="DV58" s="357"/>
      <c r="DW58" s="357"/>
      <c r="DX58" s="357"/>
      <c r="DY58" s="357"/>
      <c r="DZ58" s="357"/>
      <c r="EA58" s="357"/>
      <c r="EB58" s="357"/>
      <c r="EC58" s="357"/>
      <c r="ED58" s="357"/>
      <c r="EE58" s="357"/>
      <c r="EF58" s="357"/>
      <c r="EG58" s="357"/>
      <c r="EH58" s="357"/>
      <c r="EI58" s="357"/>
      <c r="EJ58" s="357"/>
      <c r="EK58" s="357"/>
      <c r="EL58" s="357"/>
      <c r="EM58" s="357"/>
      <c r="EN58" s="357"/>
      <c r="EO58" s="357"/>
      <c r="EP58" s="357"/>
      <c r="EQ58" s="357"/>
      <c r="ER58" s="357"/>
      <c r="ES58" s="357"/>
      <c r="ET58" s="357"/>
      <c r="EU58" s="357"/>
      <c r="EV58" s="357"/>
      <c r="EW58" s="357"/>
      <c r="EX58" s="357"/>
      <c r="EY58" s="357"/>
      <c r="EZ58" s="357"/>
      <c r="FA58" s="357"/>
      <c r="FB58" s="357"/>
      <c r="FC58" s="357"/>
      <c r="FD58" s="357"/>
      <c r="FE58" s="357"/>
      <c r="FF58" s="357"/>
      <c r="FG58" s="357"/>
      <c r="FH58" s="357"/>
      <c r="FI58" s="357"/>
      <c r="FJ58" s="357"/>
      <c r="FK58" s="357"/>
      <c r="FL58" s="357"/>
      <c r="FM58" s="357"/>
      <c r="FN58" s="357"/>
      <c r="FO58" s="357"/>
      <c r="FP58" s="357"/>
      <c r="FQ58" s="357"/>
      <c r="FR58" s="357"/>
      <c r="FS58" s="357"/>
      <c r="FT58" s="357"/>
      <c r="FU58" s="357"/>
      <c r="FV58" s="357"/>
      <c r="FW58" s="357"/>
      <c r="FX58" s="357"/>
      <c r="FY58" s="357"/>
      <c r="FZ58" s="357"/>
      <c r="GA58" s="357"/>
      <c r="GB58" s="357"/>
      <c r="GC58" s="357"/>
      <c r="GD58" s="357"/>
      <c r="GE58" s="357"/>
      <c r="GF58" s="357"/>
      <c r="GG58" s="357"/>
      <c r="GH58" s="357"/>
      <c r="GI58" s="357"/>
      <c r="GJ58" s="357"/>
    </row>
    <row r="59" spans="3:192" ht="12.95" customHeight="1">
      <c r="Z59" s="357"/>
      <c r="AA59" s="357"/>
      <c r="AB59" s="357"/>
      <c r="AC59" s="357"/>
      <c r="AD59" s="357"/>
      <c r="AE59" s="357"/>
      <c r="AF59" s="357"/>
      <c r="AG59" s="357"/>
      <c r="AH59" s="357"/>
      <c r="AI59" s="357"/>
      <c r="AJ59" s="357"/>
      <c r="AK59" s="357"/>
      <c r="AL59" s="357"/>
      <c r="AM59" s="357"/>
      <c r="AN59" s="357"/>
      <c r="AO59" s="357"/>
      <c r="AP59" s="357"/>
      <c r="AQ59" s="357"/>
      <c r="AR59" s="357"/>
      <c r="AS59" s="357"/>
      <c r="AT59" s="357"/>
      <c r="AU59" s="357"/>
      <c r="AV59" s="357"/>
      <c r="AW59" s="357"/>
      <c r="AX59" s="357"/>
      <c r="AY59" s="357"/>
      <c r="AZ59" s="357"/>
      <c r="BA59" s="357"/>
      <c r="BB59" s="357"/>
      <c r="BC59" s="357"/>
      <c r="BD59" s="357"/>
      <c r="BE59" s="357"/>
      <c r="BF59" s="357"/>
      <c r="BG59" s="357"/>
      <c r="BH59" s="357"/>
      <c r="BI59" s="357"/>
      <c r="BJ59" s="357"/>
      <c r="BK59" s="357"/>
      <c r="BL59" s="357"/>
      <c r="BM59" s="357"/>
      <c r="BN59" s="357"/>
      <c r="BO59" s="357"/>
      <c r="BP59" s="357"/>
      <c r="BQ59" s="357"/>
      <c r="BR59" s="357"/>
      <c r="BS59" s="357"/>
      <c r="BT59" s="357"/>
      <c r="BU59" s="357"/>
      <c r="BV59" s="357"/>
      <c r="BW59" s="357"/>
      <c r="BX59" s="357"/>
      <c r="BY59" s="357"/>
      <c r="BZ59" s="357"/>
      <c r="CA59" s="357"/>
      <c r="CB59" s="357"/>
      <c r="CC59" s="357"/>
      <c r="CD59" s="357"/>
      <c r="CE59" s="357"/>
      <c r="CF59" s="357"/>
      <c r="CG59" s="357"/>
      <c r="CH59" s="357"/>
      <c r="CI59" s="357"/>
      <c r="CJ59" s="357"/>
      <c r="CK59" s="357"/>
      <c r="CL59" s="357"/>
      <c r="CM59" s="357"/>
      <c r="CN59" s="357"/>
      <c r="CO59" s="357"/>
      <c r="CP59" s="357"/>
      <c r="CQ59" s="357"/>
      <c r="CR59" s="357"/>
      <c r="CS59" s="357"/>
      <c r="CT59" s="357"/>
      <c r="CU59" s="357"/>
      <c r="CV59" s="357"/>
      <c r="CW59" s="357"/>
      <c r="CX59" s="357"/>
      <c r="CY59" s="357"/>
      <c r="CZ59" s="357"/>
      <c r="DA59" s="357"/>
      <c r="DB59" s="357"/>
      <c r="DC59" s="357"/>
      <c r="DD59" s="357"/>
      <c r="DE59" s="357"/>
      <c r="DF59" s="357"/>
      <c r="DG59" s="357"/>
      <c r="DH59" s="357"/>
      <c r="DI59" s="357"/>
      <c r="DJ59" s="357"/>
      <c r="DK59" s="357"/>
      <c r="DL59" s="357"/>
      <c r="DM59" s="357"/>
      <c r="DN59" s="357"/>
      <c r="DO59" s="357"/>
      <c r="DP59" s="357"/>
      <c r="DQ59" s="357"/>
      <c r="DR59" s="357"/>
      <c r="DS59" s="357"/>
      <c r="DT59" s="357"/>
      <c r="DU59" s="357"/>
      <c r="DV59" s="357"/>
      <c r="DW59" s="357"/>
      <c r="DX59" s="357"/>
      <c r="DY59" s="357"/>
      <c r="DZ59" s="357"/>
      <c r="EA59" s="357"/>
      <c r="EB59" s="357"/>
      <c r="EC59" s="357"/>
      <c r="ED59" s="357"/>
      <c r="EE59" s="357"/>
      <c r="EF59" s="357"/>
      <c r="EG59" s="357"/>
      <c r="EH59" s="357"/>
      <c r="EI59" s="357"/>
      <c r="EJ59" s="357"/>
      <c r="EK59" s="357"/>
      <c r="EL59" s="357"/>
      <c r="EM59" s="357"/>
      <c r="EN59" s="357"/>
      <c r="EO59" s="357"/>
      <c r="EP59" s="357"/>
      <c r="EQ59" s="357"/>
      <c r="ER59" s="357"/>
      <c r="ES59" s="357"/>
      <c r="ET59" s="357"/>
      <c r="EU59" s="357"/>
      <c r="EV59" s="357"/>
      <c r="EW59" s="357"/>
      <c r="EX59" s="357"/>
      <c r="EY59" s="357"/>
      <c r="EZ59" s="357"/>
      <c r="FA59" s="357"/>
      <c r="FB59" s="357"/>
      <c r="FC59" s="357"/>
      <c r="FD59" s="357"/>
      <c r="FE59" s="357"/>
      <c r="FF59" s="357"/>
      <c r="FG59" s="357"/>
      <c r="FH59" s="357"/>
      <c r="FI59" s="357"/>
      <c r="FJ59" s="357"/>
      <c r="FK59" s="357"/>
      <c r="FL59" s="357"/>
      <c r="FM59" s="357"/>
      <c r="FN59" s="357"/>
      <c r="FO59" s="357"/>
      <c r="FP59" s="357"/>
      <c r="FQ59" s="357"/>
      <c r="FR59" s="357"/>
      <c r="FS59" s="357"/>
      <c r="FT59" s="357"/>
      <c r="FU59" s="357"/>
      <c r="FV59" s="357"/>
      <c r="FW59" s="357"/>
      <c r="FX59" s="357"/>
      <c r="FY59" s="357"/>
      <c r="FZ59" s="357"/>
      <c r="GA59" s="357"/>
      <c r="GB59" s="357"/>
      <c r="GC59" s="357"/>
      <c r="GD59" s="357"/>
      <c r="GE59" s="357"/>
      <c r="GF59" s="357"/>
      <c r="GG59" s="357"/>
      <c r="GH59" s="357"/>
      <c r="GI59" s="357"/>
      <c r="GJ59" s="357"/>
    </row>
    <row r="60" spans="3:192" ht="12.95" customHeight="1">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L60" s="357"/>
      <c r="BM60" s="357"/>
      <c r="BN60" s="357"/>
      <c r="BO60" s="357"/>
      <c r="BP60" s="357"/>
      <c r="BQ60" s="357"/>
      <c r="BR60" s="357"/>
      <c r="BS60" s="357"/>
      <c r="BT60" s="357"/>
      <c r="BU60" s="357"/>
      <c r="BV60" s="357"/>
      <c r="BW60" s="357"/>
      <c r="BX60" s="357"/>
      <c r="BY60" s="357"/>
      <c r="BZ60" s="357"/>
      <c r="CA60" s="357"/>
      <c r="CB60" s="357"/>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7"/>
      <c r="DR60" s="357"/>
      <c r="DS60" s="357"/>
      <c r="DT60" s="357"/>
      <c r="DU60" s="357"/>
      <c r="DV60" s="357"/>
      <c r="DW60" s="357"/>
      <c r="DX60" s="357"/>
      <c r="DY60" s="357"/>
      <c r="DZ60" s="357"/>
      <c r="EA60" s="357"/>
      <c r="EB60" s="357"/>
      <c r="EC60" s="357"/>
      <c r="ED60" s="357"/>
      <c r="EE60" s="357"/>
      <c r="EF60" s="357"/>
      <c r="EG60" s="357"/>
      <c r="EH60" s="357"/>
      <c r="EI60" s="357"/>
      <c r="EJ60" s="357"/>
      <c r="EK60" s="357"/>
      <c r="EL60" s="357"/>
      <c r="EM60" s="357"/>
      <c r="EN60" s="357"/>
      <c r="EO60" s="357"/>
      <c r="EP60" s="357"/>
      <c r="EQ60" s="357"/>
      <c r="ER60" s="357"/>
      <c r="ES60" s="357"/>
      <c r="ET60" s="357"/>
      <c r="EU60" s="357"/>
      <c r="EV60" s="357"/>
      <c r="EW60" s="357"/>
      <c r="EX60" s="357"/>
      <c r="EY60" s="357"/>
      <c r="EZ60" s="357"/>
      <c r="FA60" s="357"/>
      <c r="FB60" s="357"/>
      <c r="FC60" s="357"/>
      <c r="FD60" s="357"/>
      <c r="FE60" s="357"/>
      <c r="FF60" s="357"/>
      <c r="FG60" s="357"/>
      <c r="FH60" s="357"/>
      <c r="FI60" s="357"/>
      <c r="FJ60" s="357"/>
      <c r="FK60" s="357"/>
      <c r="FL60" s="357"/>
      <c r="FM60" s="357"/>
      <c r="FN60" s="357"/>
      <c r="FO60" s="357"/>
      <c r="FP60" s="357"/>
      <c r="FQ60" s="357"/>
      <c r="FR60" s="357"/>
      <c r="FS60" s="357"/>
      <c r="FT60" s="357"/>
      <c r="FU60" s="357"/>
      <c r="FV60" s="357"/>
      <c r="FW60" s="357"/>
      <c r="FX60" s="357"/>
      <c r="FY60" s="357"/>
      <c r="FZ60" s="357"/>
      <c r="GA60" s="357"/>
      <c r="GB60" s="357"/>
      <c r="GC60" s="357"/>
      <c r="GD60" s="357"/>
      <c r="GE60" s="357"/>
      <c r="GF60" s="357"/>
      <c r="GG60" s="357"/>
      <c r="GH60" s="357"/>
      <c r="GI60" s="357"/>
      <c r="GJ60" s="357"/>
    </row>
    <row r="61" spans="3:192" ht="12.95" customHeight="1">
      <c r="Z61" s="357"/>
      <c r="AA61" s="357"/>
      <c r="AB61" s="357"/>
      <c r="AC61" s="357"/>
      <c r="AD61" s="357"/>
      <c r="AE61" s="357"/>
      <c r="AF61" s="357"/>
      <c r="AG61" s="357"/>
      <c r="AH61" s="357"/>
      <c r="AI61" s="357"/>
      <c r="AJ61" s="357"/>
      <c r="AK61" s="357"/>
      <c r="AL61" s="357"/>
      <c r="AM61" s="357"/>
      <c r="AN61" s="357"/>
      <c r="AO61" s="357"/>
      <c r="AP61" s="357"/>
      <c r="AQ61" s="357"/>
      <c r="AR61" s="357"/>
      <c r="AS61" s="357"/>
      <c r="AT61" s="357"/>
      <c r="AU61" s="357"/>
      <c r="AV61" s="357"/>
      <c r="AW61" s="357"/>
      <c r="AX61" s="357"/>
      <c r="AY61" s="357"/>
      <c r="AZ61" s="357"/>
      <c r="BA61" s="357"/>
      <c r="BB61" s="357"/>
      <c r="BC61" s="357"/>
      <c r="BD61" s="357"/>
      <c r="BE61" s="357"/>
      <c r="BF61" s="357"/>
      <c r="BG61" s="357"/>
      <c r="BH61" s="357"/>
      <c r="BI61" s="357"/>
      <c r="BJ61" s="357"/>
      <c r="BK61" s="357"/>
      <c r="BL61" s="357"/>
      <c r="BM61" s="357"/>
      <c r="BN61" s="357"/>
      <c r="BO61" s="357"/>
      <c r="BP61" s="357"/>
      <c r="BQ61" s="357"/>
      <c r="BR61" s="357"/>
      <c r="BS61" s="357"/>
      <c r="BT61" s="357"/>
      <c r="BU61" s="357"/>
      <c r="BV61" s="357"/>
      <c r="BW61" s="357"/>
      <c r="BX61" s="357"/>
      <c r="BY61" s="357"/>
      <c r="BZ61" s="357"/>
      <c r="CA61" s="357"/>
      <c r="CB61" s="357"/>
      <c r="CC61" s="357"/>
      <c r="CD61" s="357"/>
      <c r="CE61" s="357"/>
      <c r="CF61" s="357"/>
      <c r="CG61" s="357"/>
      <c r="CH61" s="357"/>
      <c r="CI61" s="357"/>
      <c r="CJ61" s="357"/>
      <c r="CK61" s="357"/>
      <c r="CL61" s="357"/>
      <c r="CM61" s="357"/>
      <c r="CN61" s="357"/>
      <c r="CO61" s="357"/>
      <c r="CP61" s="357"/>
      <c r="CQ61" s="357"/>
      <c r="CR61" s="357"/>
      <c r="CS61" s="357"/>
      <c r="CT61" s="357"/>
      <c r="CU61" s="357"/>
      <c r="CV61" s="357"/>
      <c r="CW61" s="357"/>
      <c r="CX61" s="357"/>
      <c r="CY61" s="357"/>
      <c r="CZ61" s="357"/>
      <c r="DA61" s="357"/>
      <c r="DB61" s="357"/>
      <c r="DC61" s="357"/>
      <c r="DD61" s="357"/>
      <c r="DE61" s="357"/>
      <c r="DF61" s="357"/>
      <c r="DG61" s="357"/>
      <c r="DH61" s="357"/>
      <c r="DI61" s="357"/>
      <c r="DJ61" s="357"/>
      <c r="DK61" s="357"/>
      <c r="DL61" s="357"/>
      <c r="DM61" s="357"/>
      <c r="DN61" s="357"/>
      <c r="DO61" s="357"/>
      <c r="DP61" s="357"/>
      <c r="DQ61" s="357"/>
      <c r="DR61" s="357"/>
      <c r="DS61" s="357"/>
      <c r="DT61" s="357"/>
      <c r="DU61" s="357"/>
      <c r="DV61" s="357"/>
      <c r="DW61" s="357"/>
      <c r="DX61" s="357"/>
      <c r="DY61" s="357"/>
      <c r="DZ61" s="357"/>
      <c r="EA61" s="357"/>
      <c r="EB61" s="357"/>
      <c r="EC61" s="357"/>
      <c r="ED61" s="357"/>
      <c r="EE61" s="357"/>
      <c r="EF61" s="357"/>
      <c r="EG61" s="357"/>
      <c r="EH61" s="357"/>
      <c r="EI61" s="357"/>
      <c r="EJ61" s="357"/>
      <c r="EK61" s="357"/>
      <c r="EL61" s="357"/>
      <c r="EM61" s="357"/>
      <c r="EN61" s="357"/>
      <c r="EO61" s="357"/>
      <c r="EP61" s="357"/>
      <c r="EQ61" s="357"/>
      <c r="ER61" s="357"/>
      <c r="ES61" s="357"/>
      <c r="ET61" s="357"/>
      <c r="EU61" s="357"/>
      <c r="EV61" s="357"/>
      <c r="EW61" s="357"/>
      <c r="EX61" s="357"/>
      <c r="EY61" s="357"/>
      <c r="EZ61" s="357"/>
      <c r="FA61" s="357"/>
      <c r="FB61" s="357"/>
      <c r="FC61" s="357"/>
      <c r="FD61" s="357"/>
      <c r="FE61" s="357"/>
      <c r="FF61" s="357"/>
      <c r="FG61" s="357"/>
      <c r="FH61" s="357"/>
      <c r="FI61" s="357"/>
      <c r="FJ61" s="357"/>
      <c r="FK61" s="357"/>
      <c r="FL61" s="357"/>
      <c r="FM61" s="357"/>
      <c r="FN61" s="357"/>
      <c r="FO61" s="357"/>
      <c r="FP61" s="357"/>
      <c r="FQ61" s="357"/>
      <c r="FR61" s="357"/>
      <c r="FS61" s="357"/>
      <c r="FT61" s="357"/>
      <c r="FU61" s="357"/>
      <c r="FV61" s="357"/>
      <c r="FW61" s="357"/>
      <c r="FX61" s="357"/>
      <c r="FY61" s="357"/>
      <c r="FZ61" s="357"/>
      <c r="GA61" s="357"/>
      <c r="GB61" s="357"/>
      <c r="GC61" s="357"/>
      <c r="GD61" s="357"/>
      <c r="GE61" s="357"/>
      <c r="GF61" s="357"/>
      <c r="GG61" s="357"/>
      <c r="GH61" s="357"/>
      <c r="GI61" s="357"/>
      <c r="GJ61" s="357"/>
    </row>
    <row r="62" spans="3:192" ht="12.95" customHeight="1">
      <c r="Z62" s="357"/>
      <c r="AA62" s="357"/>
      <c r="AB62" s="357"/>
      <c r="AC62" s="357"/>
      <c r="AD62" s="357"/>
      <c r="AE62" s="357"/>
      <c r="AF62" s="357"/>
      <c r="AG62" s="357"/>
      <c r="AH62" s="357"/>
      <c r="AI62" s="357"/>
      <c r="AJ62" s="357"/>
      <c r="AK62" s="357"/>
      <c r="AL62" s="357"/>
      <c r="AM62" s="357"/>
      <c r="AN62" s="357"/>
      <c r="AO62" s="357"/>
      <c r="AP62" s="357"/>
      <c r="AQ62" s="357"/>
      <c r="AR62" s="357"/>
      <c r="AS62" s="357"/>
      <c r="AT62" s="357"/>
      <c r="AU62" s="357"/>
      <c r="AV62" s="357"/>
      <c r="AW62" s="357"/>
      <c r="AX62" s="357"/>
      <c r="AY62" s="357"/>
      <c r="AZ62" s="357"/>
      <c r="BA62" s="357"/>
      <c r="BB62" s="357"/>
      <c r="BC62" s="357"/>
      <c r="BD62" s="357"/>
      <c r="BE62" s="357"/>
      <c r="BF62" s="357"/>
      <c r="BG62" s="357"/>
      <c r="BH62" s="357"/>
      <c r="BI62" s="357"/>
      <c r="BJ62" s="357"/>
      <c r="BK62" s="357"/>
      <c r="BL62" s="357"/>
      <c r="BM62" s="357"/>
      <c r="BN62" s="357"/>
      <c r="BO62" s="357"/>
      <c r="BP62" s="357"/>
      <c r="BQ62" s="357"/>
      <c r="BR62" s="357"/>
      <c r="BS62" s="357"/>
      <c r="BT62" s="357"/>
      <c r="BU62" s="357"/>
      <c r="BV62" s="357"/>
      <c r="BW62" s="357"/>
      <c r="BX62" s="357"/>
      <c r="BY62" s="357"/>
      <c r="BZ62" s="357"/>
      <c r="CA62" s="357"/>
      <c r="CB62" s="357"/>
      <c r="CC62" s="357"/>
      <c r="CD62" s="357"/>
      <c r="CE62" s="357"/>
      <c r="CF62" s="357"/>
      <c r="CG62" s="357"/>
      <c r="CH62" s="357"/>
      <c r="CI62" s="357"/>
      <c r="CJ62" s="357"/>
      <c r="CK62" s="357"/>
      <c r="CL62" s="357"/>
      <c r="CM62" s="357"/>
      <c r="CN62" s="357"/>
      <c r="CO62" s="357"/>
      <c r="CP62" s="357"/>
      <c r="CQ62" s="357"/>
      <c r="CR62" s="357"/>
      <c r="CS62" s="357"/>
      <c r="CT62" s="357"/>
      <c r="CU62" s="357"/>
      <c r="CV62" s="357"/>
      <c r="CW62" s="357"/>
      <c r="CX62" s="357"/>
      <c r="CY62" s="357"/>
      <c r="CZ62" s="357"/>
      <c r="DA62" s="357"/>
      <c r="DB62" s="357"/>
      <c r="DC62" s="357"/>
      <c r="DD62" s="357"/>
      <c r="DE62" s="357"/>
      <c r="DF62" s="357"/>
      <c r="DG62" s="357"/>
      <c r="DH62" s="357"/>
      <c r="DI62" s="357"/>
      <c r="DJ62" s="357"/>
      <c r="DK62" s="357"/>
      <c r="DL62" s="357"/>
      <c r="DM62" s="357"/>
      <c r="DN62" s="357"/>
      <c r="DO62" s="357"/>
      <c r="DP62" s="357"/>
      <c r="DQ62" s="357"/>
      <c r="DR62" s="357"/>
      <c r="DS62" s="357"/>
      <c r="DT62" s="357"/>
      <c r="DU62" s="357"/>
      <c r="DV62" s="357"/>
      <c r="DW62" s="357"/>
      <c r="DX62" s="357"/>
      <c r="DY62" s="357"/>
      <c r="DZ62" s="357"/>
      <c r="EA62" s="357"/>
      <c r="EB62" s="357"/>
      <c r="EC62" s="357"/>
      <c r="ED62" s="357"/>
      <c r="EE62" s="357"/>
      <c r="EF62" s="357"/>
      <c r="EG62" s="357"/>
      <c r="EH62" s="357"/>
      <c r="EI62" s="357"/>
      <c r="EJ62" s="357"/>
      <c r="EK62" s="357"/>
      <c r="EL62" s="357"/>
      <c r="EM62" s="357"/>
      <c r="EN62" s="357"/>
      <c r="EO62" s="357"/>
      <c r="EP62" s="357"/>
      <c r="EQ62" s="357"/>
      <c r="ER62" s="357"/>
      <c r="ES62" s="357"/>
      <c r="ET62" s="357"/>
      <c r="EU62" s="357"/>
      <c r="EV62" s="357"/>
      <c r="EW62" s="357"/>
      <c r="EX62" s="357"/>
      <c r="EY62" s="357"/>
      <c r="EZ62" s="357"/>
      <c r="FA62" s="357"/>
      <c r="FB62" s="357"/>
      <c r="FC62" s="357"/>
      <c r="FD62" s="357"/>
      <c r="FE62" s="357"/>
      <c r="FF62" s="357"/>
      <c r="FG62" s="357"/>
      <c r="FH62" s="357"/>
      <c r="FI62" s="357"/>
      <c r="FJ62" s="357"/>
      <c r="FK62" s="357"/>
      <c r="FL62" s="357"/>
      <c r="FM62" s="357"/>
      <c r="FN62" s="357"/>
      <c r="FO62" s="357"/>
      <c r="FP62" s="357"/>
      <c r="FQ62" s="357"/>
      <c r="FR62" s="357"/>
      <c r="FS62" s="357"/>
      <c r="FT62" s="357"/>
      <c r="FU62" s="357"/>
      <c r="FV62" s="357"/>
      <c r="FW62" s="357"/>
      <c r="FX62" s="357"/>
      <c r="FY62" s="357"/>
      <c r="FZ62" s="357"/>
      <c r="GA62" s="357"/>
      <c r="GB62" s="357"/>
      <c r="GC62" s="357"/>
      <c r="GD62" s="357"/>
      <c r="GE62" s="357"/>
      <c r="GF62" s="357"/>
      <c r="GG62" s="357"/>
      <c r="GH62" s="357"/>
      <c r="GI62" s="357"/>
      <c r="GJ62" s="357"/>
    </row>
    <row r="63" spans="3:192" ht="12.95" customHeight="1">
      <c r="Z63" s="357"/>
      <c r="AA63" s="357"/>
      <c r="AB63" s="357"/>
      <c r="AC63" s="357"/>
      <c r="AD63" s="357"/>
      <c r="AE63" s="357"/>
      <c r="AF63" s="357"/>
      <c r="AG63" s="357"/>
      <c r="AH63" s="357"/>
      <c r="AI63" s="357"/>
      <c r="AJ63" s="357"/>
      <c r="AK63" s="357"/>
      <c r="AL63" s="357"/>
      <c r="AM63" s="357"/>
      <c r="AN63" s="357"/>
      <c r="AO63" s="357"/>
      <c r="AP63" s="357"/>
      <c r="AQ63" s="357"/>
      <c r="AR63" s="357"/>
      <c r="AS63" s="357"/>
      <c r="AT63" s="357"/>
      <c r="AU63" s="357"/>
      <c r="AV63" s="357"/>
      <c r="AW63" s="357"/>
      <c r="AX63" s="357"/>
      <c r="AY63" s="357"/>
      <c r="AZ63" s="357"/>
      <c r="BA63" s="357"/>
      <c r="BB63" s="357"/>
      <c r="BC63" s="357"/>
      <c r="BD63" s="357"/>
      <c r="BE63" s="357"/>
      <c r="BF63" s="357"/>
      <c r="BG63" s="357"/>
      <c r="BH63" s="357"/>
      <c r="BI63" s="357"/>
      <c r="BJ63" s="357"/>
      <c r="BK63" s="357"/>
      <c r="BL63" s="357"/>
      <c r="BM63" s="357"/>
      <c r="BN63" s="357"/>
      <c r="BO63" s="357"/>
      <c r="BP63" s="357"/>
      <c r="BQ63" s="357"/>
      <c r="BR63" s="357"/>
      <c r="BS63" s="357"/>
      <c r="BT63" s="357"/>
      <c r="BU63" s="357"/>
      <c r="BV63" s="357"/>
      <c r="BW63" s="357"/>
      <c r="BX63" s="357"/>
      <c r="BY63" s="357"/>
      <c r="BZ63" s="357"/>
      <c r="CA63" s="357"/>
      <c r="CB63" s="357"/>
      <c r="CC63" s="357"/>
      <c r="CD63" s="357"/>
      <c r="CE63" s="357"/>
      <c r="CF63" s="357"/>
      <c r="CG63" s="357"/>
      <c r="CH63" s="357"/>
      <c r="CI63" s="357"/>
      <c r="CJ63" s="357"/>
      <c r="CK63" s="357"/>
      <c r="CL63" s="357"/>
      <c r="CM63" s="357"/>
      <c r="CN63" s="357"/>
      <c r="CO63" s="357"/>
      <c r="CP63" s="357"/>
      <c r="CQ63" s="357"/>
      <c r="CR63" s="357"/>
      <c r="CS63" s="357"/>
      <c r="CT63" s="357"/>
      <c r="CU63" s="357"/>
      <c r="CV63" s="357"/>
      <c r="CW63" s="357"/>
      <c r="CX63" s="357"/>
      <c r="CY63" s="357"/>
      <c r="CZ63" s="357"/>
      <c r="DA63" s="357"/>
      <c r="DB63" s="357"/>
      <c r="DC63" s="357"/>
      <c r="DD63" s="357"/>
      <c r="DE63" s="357"/>
      <c r="DF63" s="357"/>
      <c r="DG63" s="357"/>
      <c r="DH63" s="357"/>
      <c r="DI63" s="357"/>
      <c r="DJ63" s="357"/>
      <c r="DK63" s="357"/>
      <c r="DL63" s="357"/>
      <c r="DM63" s="357"/>
      <c r="DN63" s="357"/>
      <c r="DO63" s="357"/>
      <c r="DP63" s="357"/>
      <c r="DQ63" s="357"/>
      <c r="DR63" s="357"/>
      <c r="DS63" s="357"/>
      <c r="DT63" s="357"/>
      <c r="DU63" s="357"/>
      <c r="DV63" s="357"/>
      <c r="DW63" s="357"/>
      <c r="DX63" s="357"/>
      <c r="DY63" s="357"/>
      <c r="DZ63" s="357"/>
      <c r="EA63" s="357"/>
      <c r="EB63" s="357"/>
      <c r="EC63" s="357"/>
      <c r="ED63" s="357"/>
      <c r="EE63" s="357"/>
      <c r="EF63" s="357"/>
      <c r="EG63" s="357"/>
      <c r="EH63" s="357"/>
      <c r="EI63" s="357"/>
      <c r="EJ63" s="357"/>
      <c r="EK63" s="357"/>
      <c r="EL63" s="357"/>
      <c r="EM63" s="357"/>
      <c r="EN63" s="357"/>
      <c r="EO63" s="357"/>
      <c r="EP63" s="357"/>
      <c r="EQ63" s="357"/>
      <c r="ER63" s="357"/>
      <c r="ES63" s="357"/>
      <c r="ET63" s="357"/>
      <c r="EU63" s="357"/>
      <c r="EV63" s="357"/>
      <c r="EW63" s="357"/>
      <c r="EX63" s="357"/>
      <c r="EY63" s="357"/>
      <c r="EZ63" s="357"/>
      <c r="FA63" s="357"/>
      <c r="FB63" s="357"/>
      <c r="FC63" s="357"/>
      <c r="FD63" s="357"/>
      <c r="FE63" s="357"/>
      <c r="FF63" s="357"/>
      <c r="FG63" s="357"/>
      <c r="FH63" s="357"/>
      <c r="FI63" s="357"/>
      <c r="FJ63" s="357"/>
      <c r="FK63" s="357"/>
      <c r="FL63" s="357"/>
      <c r="FM63" s="357"/>
      <c r="FN63" s="357"/>
      <c r="FO63" s="357"/>
      <c r="FP63" s="357"/>
      <c r="FQ63" s="357"/>
      <c r="FR63" s="357"/>
      <c r="FS63" s="357"/>
      <c r="FT63" s="357"/>
      <c r="FU63" s="357"/>
      <c r="FV63" s="357"/>
      <c r="FW63" s="357"/>
      <c r="FX63" s="357"/>
      <c r="FY63" s="357"/>
      <c r="FZ63" s="357"/>
      <c r="GA63" s="357"/>
      <c r="GB63" s="357"/>
      <c r="GC63" s="357"/>
      <c r="GD63" s="357"/>
      <c r="GE63" s="357"/>
      <c r="GF63" s="357"/>
      <c r="GG63" s="357"/>
      <c r="GH63" s="357"/>
      <c r="GI63" s="357"/>
      <c r="GJ63" s="357"/>
    </row>
    <row r="64" spans="3:192" ht="12.95" customHeight="1">
      <c r="Z64" s="357"/>
      <c r="AA64" s="357"/>
      <c r="AB64" s="357"/>
      <c r="AC64" s="357"/>
      <c r="AD64" s="357"/>
      <c r="AE64" s="357"/>
      <c r="AF64" s="357"/>
      <c r="AG64" s="357"/>
      <c r="AH64" s="357"/>
      <c r="AI64" s="357"/>
      <c r="AJ64" s="357"/>
      <c r="AK64" s="357"/>
      <c r="AL64" s="357"/>
      <c r="AM64" s="357"/>
      <c r="AN64" s="357"/>
      <c r="AO64" s="357"/>
      <c r="AP64" s="357"/>
      <c r="AQ64" s="357"/>
      <c r="AR64" s="357"/>
      <c r="AS64" s="357"/>
      <c r="AT64" s="357"/>
      <c r="AU64" s="357"/>
      <c r="AV64" s="357"/>
      <c r="AW64" s="357"/>
      <c r="AX64" s="357"/>
      <c r="AY64" s="357"/>
      <c r="AZ64" s="357"/>
      <c r="BA64" s="357"/>
      <c r="BB64" s="357"/>
      <c r="BC64" s="357"/>
      <c r="BD64" s="357"/>
      <c r="BE64" s="357"/>
      <c r="BF64" s="357"/>
      <c r="BG64" s="357"/>
      <c r="BH64" s="357"/>
      <c r="BI64" s="357"/>
      <c r="BJ64" s="357"/>
      <c r="BK64" s="357"/>
      <c r="BL64" s="357"/>
      <c r="BM64" s="357"/>
      <c r="BN64" s="357"/>
      <c r="BO64" s="357"/>
      <c r="BP64" s="357"/>
      <c r="BQ64" s="357"/>
      <c r="BR64" s="357"/>
      <c r="BS64" s="357"/>
      <c r="BT64" s="357"/>
      <c r="BU64" s="357"/>
      <c r="BV64" s="357"/>
      <c r="BW64" s="357"/>
      <c r="BX64" s="357"/>
      <c r="BY64" s="357"/>
      <c r="BZ64" s="357"/>
      <c r="CA64" s="357"/>
      <c r="CB64" s="357"/>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7"/>
      <c r="DR64" s="357"/>
      <c r="DS64" s="357"/>
      <c r="DT64" s="357"/>
      <c r="DU64" s="357"/>
      <c r="DV64" s="357"/>
      <c r="DW64" s="357"/>
      <c r="DX64" s="357"/>
      <c r="DY64" s="357"/>
      <c r="DZ64" s="357"/>
      <c r="EA64" s="357"/>
      <c r="EB64" s="357"/>
      <c r="EC64" s="357"/>
      <c r="ED64" s="357"/>
      <c r="EE64" s="357"/>
      <c r="EF64" s="357"/>
      <c r="EG64" s="357"/>
      <c r="EH64" s="357"/>
      <c r="EI64" s="357"/>
      <c r="EJ64" s="357"/>
      <c r="EK64" s="357"/>
      <c r="EL64" s="357"/>
      <c r="EM64" s="357"/>
      <c r="EN64" s="357"/>
      <c r="EO64" s="357"/>
      <c r="EP64" s="357"/>
      <c r="EQ64" s="357"/>
      <c r="ER64" s="357"/>
      <c r="ES64" s="357"/>
      <c r="ET64" s="357"/>
      <c r="EU64" s="357"/>
      <c r="EV64" s="357"/>
      <c r="EW64" s="357"/>
      <c r="EX64" s="357"/>
      <c r="EY64" s="357"/>
      <c r="EZ64" s="357"/>
      <c r="FA64" s="357"/>
      <c r="FB64" s="357"/>
      <c r="FC64" s="357"/>
      <c r="FD64" s="357"/>
      <c r="FE64" s="357"/>
      <c r="FF64" s="357"/>
      <c r="FG64" s="357"/>
      <c r="FH64" s="357"/>
      <c r="FI64" s="357"/>
      <c r="FJ64" s="357"/>
      <c r="FK64" s="357"/>
      <c r="FL64" s="357"/>
      <c r="FM64" s="357"/>
      <c r="FN64" s="357"/>
      <c r="FO64" s="357"/>
      <c r="FP64" s="357"/>
      <c r="FQ64" s="357"/>
      <c r="FR64" s="357"/>
      <c r="FS64" s="357"/>
      <c r="FT64" s="357"/>
      <c r="FU64" s="357"/>
      <c r="FV64" s="357"/>
      <c r="FW64" s="357"/>
      <c r="FX64" s="357"/>
      <c r="FY64" s="357"/>
      <c r="FZ64" s="357"/>
      <c r="GA64" s="357"/>
      <c r="GB64" s="357"/>
      <c r="GC64" s="357"/>
      <c r="GD64" s="357"/>
      <c r="GE64" s="357"/>
      <c r="GF64" s="357"/>
      <c r="GG64" s="357"/>
      <c r="GH64" s="357"/>
      <c r="GI64" s="357"/>
      <c r="GJ64" s="357"/>
    </row>
    <row r="65" spans="26:192" ht="12.95" customHeight="1">
      <c r="Z65" s="357"/>
      <c r="AA65" s="357"/>
      <c r="AB65" s="357"/>
      <c r="AC65" s="357"/>
      <c r="AD65" s="357"/>
      <c r="AE65" s="357"/>
      <c r="AF65" s="357"/>
      <c r="AG65" s="357"/>
      <c r="AH65" s="357"/>
      <c r="AI65" s="357"/>
      <c r="AJ65" s="357"/>
      <c r="AK65" s="357"/>
      <c r="AL65" s="357"/>
      <c r="AM65" s="357"/>
      <c r="AN65" s="357"/>
      <c r="AO65" s="357"/>
      <c r="AP65" s="357"/>
      <c r="AQ65" s="357"/>
      <c r="AR65" s="357"/>
      <c r="AS65" s="357"/>
      <c r="AT65" s="357"/>
      <c r="AU65" s="357"/>
      <c r="AV65" s="357"/>
      <c r="AW65" s="357"/>
      <c r="AX65" s="357"/>
      <c r="AY65" s="357"/>
      <c r="AZ65" s="357"/>
      <c r="BA65" s="357"/>
      <c r="BB65" s="357"/>
      <c r="BC65" s="357"/>
      <c r="BD65" s="357"/>
      <c r="BE65" s="357"/>
      <c r="BF65" s="357"/>
      <c r="BG65" s="357"/>
      <c r="BH65" s="357"/>
      <c r="BI65" s="357"/>
      <c r="BJ65" s="357"/>
      <c r="BK65" s="357"/>
      <c r="BL65" s="357"/>
      <c r="BM65" s="357"/>
      <c r="BN65" s="357"/>
      <c r="BO65" s="357"/>
      <c r="BP65" s="357"/>
      <c r="BQ65" s="357"/>
      <c r="BR65" s="357"/>
      <c r="BS65" s="357"/>
      <c r="BT65" s="357"/>
      <c r="BU65" s="357"/>
      <c r="BV65" s="357"/>
      <c r="BW65" s="357"/>
      <c r="BX65" s="357"/>
      <c r="BY65" s="357"/>
      <c r="BZ65" s="357"/>
      <c r="CA65" s="357"/>
      <c r="CB65" s="357"/>
      <c r="CC65" s="357"/>
      <c r="CD65" s="357"/>
      <c r="CE65" s="357"/>
      <c r="CF65" s="357"/>
      <c r="CG65" s="357"/>
      <c r="CH65" s="357"/>
      <c r="CI65" s="357"/>
      <c r="CJ65" s="357"/>
      <c r="CK65" s="357"/>
      <c r="CL65" s="357"/>
      <c r="CM65" s="357"/>
      <c r="CN65" s="357"/>
      <c r="CO65" s="357"/>
      <c r="CP65" s="357"/>
      <c r="CQ65" s="357"/>
      <c r="CR65" s="357"/>
      <c r="CS65" s="357"/>
      <c r="CT65" s="357"/>
      <c r="CU65" s="357"/>
      <c r="CV65" s="357"/>
      <c r="CW65" s="357"/>
      <c r="CX65" s="357"/>
      <c r="CY65" s="357"/>
      <c r="CZ65" s="357"/>
      <c r="DA65" s="357"/>
      <c r="DB65" s="357"/>
      <c r="DC65" s="357"/>
      <c r="DD65" s="357"/>
      <c r="DE65" s="357"/>
      <c r="DF65" s="357"/>
      <c r="DG65" s="357"/>
      <c r="DH65" s="357"/>
      <c r="DI65" s="357"/>
      <c r="DJ65" s="357"/>
      <c r="DK65" s="357"/>
      <c r="DL65" s="357"/>
      <c r="DM65" s="357"/>
      <c r="DN65" s="357"/>
      <c r="DO65" s="357"/>
      <c r="DP65" s="357"/>
      <c r="DQ65" s="357"/>
      <c r="DR65" s="357"/>
      <c r="DS65" s="357"/>
      <c r="DT65" s="357"/>
      <c r="DU65" s="357"/>
      <c r="DV65" s="357"/>
      <c r="DW65" s="357"/>
      <c r="DX65" s="357"/>
      <c r="DY65" s="357"/>
      <c r="DZ65" s="357"/>
      <c r="EA65" s="357"/>
      <c r="EB65" s="357"/>
      <c r="EC65" s="357"/>
      <c r="ED65" s="357"/>
      <c r="EE65" s="357"/>
      <c r="EF65" s="357"/>
      <c r="EG65" s="357"/>
      <c r="EH65" s="357"/>
      <c r="EI65" s="357"/>
      <c r="EJ65" s="357"/>
      <c r="EK65" s="357"/>
      <c r="EL65" s="357"/>
      <c r="EM65" s="357"/>
      <c r="EN65" s="357"/>
      <c r="EO65" s="357"/>
      <c r="EP65" s="357"/>
      <c r="EQ65" s="357"/>
      <c r="ER65" s="357"/>
      <c r="ES65" s="357"/>
      <c r="ET65" s="357"/>
      <c r="EU65" s="357"/>
      <c r="EV65" s="357"/>
      <c r="EW65" s="357"/>
      <c r="EX65" s="357"/>
      <c r="EY65" s="357"/>
      <c r="EZ65" s="357"/>
      <c r="FA65" s="357"/>
      <c r="FB65" s="357"/>
      <c r="FC65" s="357"/>
      <c r="FD65" s="357"/>
      <c r="FE65" s="357"/>
      <c r="FF65" s="357"/>
      <c r="FG65" s="357"/>
      <c r="FH65" s="357"/>
      <c r="FI65" s="357"/>
      <c r="FJ65" s="357"/>
      <c r="FK65" s="357"/>
      <c r="FL65" s="357"/>
      <c r="FM65" s="357"/>
      <c r="FN65" s="357"/>
      <c r="FO65" s="357"/>
      <c r="FP65" s="357"/>
      <c r="FQ65" s="357"/>
      <c r="FR65" s="357"/>
      <c r="FS65" s="357"/>
      <c r="FT65" s="357"/>
      <c r="FU65" s="357"/>
      <c r="FV65" s="357"/>
      <c r="FW65" s="357"/>
      <c r="FX65" s="357"/>
      <c r="FY65" s="357"/>
      <c r="FZ65" s="357"/>
      <c r="GA65" s="357"/>
      <c r="GB65" s="357"/>
      <c r="GC65" s="357"/>
      <c r="GD65" s="357"/>
      <c r="GE65" s="357"/>
      <c r="GF65" s="357"/>
      <c r="GG65" s="357"/>
      <c r="GH65" s="357"/>
      <c r="GI65" s="357"/>
      <c r="GJ65" s="357"/>
    </row>
    <row r="66" spans="26:192" ht="12.95" customHeight="1">
      <c r="Z66" s="357"/>
      <c r="AA66" s="357"/>
      <c r="AB66" s="357"/>
      <c r="AC66" s="357"/>
      <c r="AD66" s="357"/>
      <c r="AE66" s="357"/>
      <c r="AF66" s="357"/>
      <c r="AG66" s="357"/>
      <c r="AH66" s="357"/>
      <c r="AI66" s="427"/>
      <c r="AJ66" s="427"/>
      <c r="AK66" s="357"/>
      <c r="AL66" s="357"/>
      <c r="AM66" s="357"/>
      <c r="AN66" s="427"/>
      <c r="AO66" s="427"/>
      <c r="AP66" s="357"/>
      <c r="AQ66" s="357"/>
      <c r="AR66" s="357"/>
      <c r="AS66" s="427"/>
      <c r="AT66" s="427"/>
      <c r="AU66" s="357"/>
      <c r="AV66" s="357"/>
      <c r="AW66" s="357"/>
      <c r="AX66" s="357"/>
      <c r="AY66" s="357"/>
      <c r="AZ66" s="357"/>
      <c r="BA66" s="357"/>
      <c r="BB66" s="357"/>
      <c r="BC66" s="357"/>
      <c r="BD66" s="357"/>
      <c r="BE66" s="357"/>
      <c r="BF66" s="357"/>
      <c r="BG66" s="357"/>
      <c r="BH66" s="357"/>
      <c r="BI66" s="357"/>
      <c r="BJ66" s="357"/>
      <c r="BK66" s="357"/>
      <c r="BL66" s="357"/>
      <c r="BM66" s="357"/>
      <c r="BN66" s="357"/>
      <c r="BO66" s="357"/>
      <c r="BP66" s="357"/>
      <c r="BQ66" s="357"/>
      <c r="BR66" s="357"/>
      <c r="BS66" s="357"/>
      <c r="BT66" s="357"/>
      <c r="BU66" s="357"/>
      <c r="BV66" s="357"/>
      <c r="BW66" s="357"/>
      <c r="BX66" s="357"/>
      <c r="BY66" s="357"/>
      <c r="BZ66" s="357"/>
      <c r="CA66" s="357"/>
      <c r="CB66" s="357"/>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7"/>
      <c r="DR66" s="357"/>
      <c r="DS66" s="357"/>
      <c r="DT66" s="357"/>
      <c r="DU66" s="357"/>
      <c r="DV66" s="357"/>
      <c r="DW66" s="357"/>
      <c r="DX66" s="357"/>
      <c r="DY66" s="357"/>
      <c r="DZ66" s="357"/>
      <c r="EA66" s="357"/>
      <c r="EB66" s="357"/>
      <c r="EC66" s="357"/>
      <c r="ED66" s="357"/>
      <c r="EE66" s="357"/>
      <c r="EF66" s="357"/>
      <c r="EG66" s="357"/>
      <c r="EH66" s="357"/>
      <c r="EI66" s="357"/>
      <c r="EJ66" s="357"/>
      <c r="EK66" s="357"/>
      <c r="EL66" s="357"/>
      <c r="EM66" s="357"/>
      <c r="EN66" s="357"/>
      <c r="EO66" s="357"/>
      <c r="EP66" s="357"/>
      <c r="EQ66" s="357"/>
      <c r="ER66" s="357"/>
      <c r="ES66" s="357"/>
      <c r="ET66" s="357"/>
      <c r="EU66" s="357"/>
      <c r="EV66" s="357"/>
      <c r="EW66" s="357"/>
      <c r="EX66" s="357"/>
      <c r="EY66" s="357"/>
      <c r="EZ66" s="357"/>
      <c r="FA66" s="357"/>
      <c r="FB66" s="357"/>
      <c r="FC66" s="357"/>
      <c r="FD66" s="357"/>
      <c r="FE66" s="357"/>
      <c r="FF66" s="357"/>
      <c r="FG66" s="357"/>
      <c r="FH66" s="357"/>
      <c r="FI66" s="357"/>
      <c r="FJ66" s="357"/>
      <c r="FK66" s="357"/>
      <c r="FL66" s="357"/>
      <c r="FM66" s="357"/>
      <c r="FN66" s="357"/>
      <c r="FO66" s="357"/>
      <c r="FP66" s="357"/>
      <c r="FQ66" s="357"/>
      <c r="FR66" s="357"/>
      <c r="FS66" s="357"/>
      <c r="FT66" s="357"/>
      <c r="FU66" s="357"/>
      <c r="FV66" s="357"/>
      <c r="FW66" s="357"/>
      <c r="FX66" s="357"/>
      <c r="FY66" s="357"/>
      <c r="FZ66" s="357"/>
      <c r="GA66" s="357"/>
      <c r="GB66" s="357"/>
      <c r="GC66" s="357"/>
      <c r="GD66" s="357"/>
      <c r="GE66" s="357"/>
      <c r="GF66" s="357"/>
      <c r="GG66" s="357"/>
      <c r="GH66" s="357"/>
      <c r="GI66" s="357"/>
      <c r="GJ66" s="357"/>
    </row>
    <row r="67" spans="26:192" ht="12.95" customHeight="1">
      <c r="Z67" s="357"/>
      <c r="AA67" s="357"/>
      <c r="AB67" s="357"/>
      <c r="AC67" s="357"/>
      <c r="AD67" s="357"/>
      <c r="AE67" s="357"/>
      <c r="AF67" s="357"/>
      <c r="AG67" s="357"/>
      <c r="AH67" s="357"/>
      <c r="AI67" s="357"/>
      <c r="AJ67" s="357"/>
      <c r="AK67" s="357"/>
      <c r="AL67" s="357"/>
      <c r="AM67" s="357"/>
      <c r="AN67" s="357"/>
      <c r="AO67" s="357"/>
      <c r="AP67" s="357"/>
      <c r="AQ67" s="357"/>
      <c r="AR67" s="357"/>
      <c r="AS67" s="357"/>
      <c r="AT67" s="357"/>
      <c r="AU67" s="357"/>
      <c r="AV67" s="357"/>
      <c r="AW67" s="357"/>
      <c r="AX67" s="357"/>
      <c r="AY67" s="357"/>
      <c r="AZ67" s="357"/>
      <c r="BA67" s="357"/>
      <c r="BB67" s="357"/>
      <c r="BC67" s="357"/>
      <c r="BD67" s="357"/>
      <c r="BE67" s="357"/>
      <c r="BF67" s="357"/>
      <c r="BG67" s="357"/>
      <c r="BH67" s="357"/>
      <c r="BI67" s="357"/>
      <c r="BJ67" s="357"/>
      <c r="BK67" s="357"/>
      <c r="BL67" s="357"/>
      <c r="BM67" s="357"/>
      <c r="BN67" s="357"/>
      <c r="BO67" s="357"/>
      <c r="BP67" s="357"/>
      <c r="BQ67" s="357"/>
      <c r="BR67" s="357"/>
      <c r="BS67" s="357"/>
      <c r="BT67" s="357"/>
      <c r="BU67" s="357"/>
      <c r="BV67" s="357"/>
      <c r="BW67" s="357"/>
      <c r="BX67" s="357"/>
      <c r="BY67" s="357"/>
      <c r="BZ67" s="357"/>
      <c r="CA67" s="357"/>
      <c r="CB67" s="357"/>
      <c r="CC67" s="357"/>
      <c r="CD67" s="357"/>
      <c r="CE67" s="357"/>
      <c r="CF67" s="357"/>
      <c r="CG67" s="357"/>
      <c r="CH67" s="357"/>
      <c r="CI67" s="357"/>
      <c r="CJ67" s="357"/>
      <c r="CK67" s="357"/>
      <c r="CL67" s="357"/>
      <c r="CM67" s="357"/>
      <c r="CN67" s="357"/>
      <c r="CO67" s="357"/>
      <c r="CP67" s="357"/>
      <c r="CQ67" s="357"/>
      <c r="CR67" s="357"/>
      <c r="CS67" s="357"/>
      <c r="CT67" s="357"/>
      <c r="CU67" s="357"/>
      <c r="CV67" s="357"/>
      <c r="CW67" s="357"/>
      <c r="CX67" s="357"/>
      <c r="CY67" s="357"/>
      <c r="CZ67" s="357"/>
      <c r="DA67" s="357"/>
      <c r="DB67" s="357"/>
      <c r="DC67" s="357"/>
      <c r="DD67" s="357"/>
      <c r="DE67" s="357"/>
      <c r="DF67" s="357"/>
      <c r="DG67" s="357"/>
      <c r="DH67" s="357"/>
      <c r="DI67" s="357"/>
      <c r="DJ67" s="357"/>
      <c r="DK67" s="357"/>
      <c r="DL67" s="357"/>
      <c r="DM67" s="357"/>
      <c r="DN67" s="357"/>
      <c r="DO67" s="357"/>
      <c r="DP67" s="357"/>
      <c r="DQ67" s="357"/>
      <c r="DR67" s="357"/>
      <c r="DS67" s="357"/>
      <c r="DT67" s="357"/>
      <c r="DU67" s="357"/>
      <c r="DV67" s="357"/>
      <c r="DW67" s="357"/>
      <c r="DX67" s="357"/>
      <c r="DY67" s="357"/>
      <c r="DZ67" s="357"/>
      <c r="EA67" s="357"/>
      <c r="EB67" s="357"/>
      <c r="EC67" s="357"/>
      <c r="ED67" s="357"/>
      <c r="EE67" s="357"/>
      <c r="EF67" s="357"/>
      <c r="EG67" s="357"/>
      <c r="EH67" s="357"/>
      <c r="EI67" s="357"/>
      <c r="EJ67" s="357"/>
      <c r="EK67" s="357"/>
      <c r="EL67" s="357"/>
      <c r="EM67" s="357"/>
      <c r="EN67" s="357"/>
      <c r="EO67" s="357"/>
      <c r="EP67" s="357"/>
      <c r="EQ67" s="357"/>
      <c r="ER67" s="357"/>
      <c r="ES67" s="357"/>
      <c r="ET67" s="357"/>
      <c r="EU67" s="357"/>
      <c r="EV67" s="357"/>
      <c r="EW67" s="357"/>
      <c r="EX67" s="357"/>
      <c r="EY67" s="357"/>
      <c r="EZ67" s="357"/>
      <c r="FA67" s="357"/>
      <c r="FB67" s="357"/>
      <c r="FC67" s="357"/>
      <c r="FD67" s="357"/>
      <c r="FE67" s="357"/>
      <c r="FF67" s="357"/>
      <c r="FG67" s="357"/>
      <c r="FH67" s="357"/>
      <c r="FI67" s="357"/>
      <c r="FJ67" s="357"/>
      <c r="FK67" s="357"/>
      <c r="FL67" s="357"/>
      <c r="FM67" s="357"/>
      <c r="FN67" s="357"/>
      <c r="FO67" s="357"/>
      <c r="FP67" s="357"/>
      <c r="FQ67" s="357"/>
      <c r="FR67" s="357"/>
      <c r="FS67" s="357"/>
      <c r="FT67" s="357"/>
      <c r="FU67" s="357"/>
      <c r="FV67" s="357"/>
      <c r="FW67" s="357"/>
      <c r="FX67" s="357"/>
      <c r="FY67" s="357"/>
      <c r="FZ67" s="357"/>
      <c r="GA67" s="357"/>
      <c r="GB67" s="357"/>
      <c r="GC67" s="357"/>
      <c r="GD67" s="357"/>
      <c r="GE67" s="357"/>
      <c r="GF67" s="357"/>
      <c r="GG67" s="357"/>
      <c r="GH67" s="357"/>
      <c r="GI67" s="357"/>
      <c r="GJ67" s="357"/>
    </row>
    <row r="68" spans="26:192" ht="12.95" customHeight="1">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57"/>
      <c r="BO68" s="357"/>
      <c r="BP68" s="357"/>
      <c r="BQ68" s="357"/>
      <c r="BR68" s="357"/>
      <c r="BS68" s="357"/>
      <c r="BT68" s="357"/>
      <c r="BU68" s="357"/>
      <c r="BV68" s="357"/>
      <c r="BW68" s="357"/>
      <c r="BX68" s="357"/>
      <c r="BY68" s="357"/>
      <c r="BZ68" s="357"/>
      <c r="CA68" s="357"/>
      <c r="CB68" s="357"/>
      <c r="CC68" s="357"/>
      <c r="CD68" s="357"/>
      <c r="CE68" s="357"/>
      <c r="CF68" s="357"/>
      <c r="CG68" s="357"/>
      <c r="CH68" s="357"/>
      <c r="CI68" s="357"/>
      <c r="CJ68" s="357"/>
      <c r="CK68" s="357"/>
      <c r="CL68" s="357"/>
      <c r="CM68" s="357"/>
      <c r="CN68" s="357"/>
      <c r="CO68" s="357"/>
      <c r="CP68" s="357"/>
      <c r="CQ68" s="357"/>
      <c r="CR68" s="357"/>
      <c r="CS68" s="357"/>
      <c r="CT68" s="357"/>
      <c r="CU68" s="357"/>
      <c r="CV68" s="357"/>
      <c r="CW68" s="357"/>
      <c r="CX68" s="357"/>
      <c r="CY68" s="357"/>
      <c r="CZ68" s="357"/>
      <c r="DA68" s="357"/>
      <c r="DB68" s="357"/>
      <c r="DC68" s="357"/>
      <c r="DD68" s="357"/>
      <c r="DE68" s="357"/>
      <c r="DF68" s="357"/>
      <c r="DG68" s="357"/>
      <c r="DH68" s="357"/>
      <c r="DI68" s="357"/>
      <c r="DJ68" s="357"/>
      <c r="DK68" s="357"/>
      <c r="DL68" s="357"/>
      <c r="DM68" s="357"/>
      <c r="DN68" s="357"/>
      <c r="DO68" s="357"/>
      <c r="DP68" s="357"/>
      <c r="DQ68" s="357"/>
      <c r="DR68" s="357"/>
      <c r="DS68" s="357"/>
      <c r="DT68" s="357"/>
      <c r="DU68" s="357"/>
      <c r="DV68" s="357"/>
      <c r="DW68" s="357"/>
      <c r="DX68" s="357"/>
      <c r="DY68" s="357"/>
      <c r="DZ68" s="357"/>
      <c r="EA68" s="357"/>
      <c r="EB68" s="357"/>
      <c r="EC68" s="357"/>
      <c r="ED68" s="357"/>
      <c r="EE68" s="357"/>
      <c r="EF68" s="357"/>
      <c r="EG68" s="357"/>
      <c r="EH68" s="357"/>
      <c r="EI68" s="357"/>
      <c r="EJ68" s="357"/>
      <c r="EK68" s="357"/>
      <c r="EL68" s="357"/>
      <c r="EM68" s="357"/>
      <c r="EN68" s="357"/>
      <c r="EO68" s="357"/>
      <c r="EP68" s="357"/>
      <c r="EQ68" s="357"/>
      <c r="ER68" s="357"/>
      <c r="ES68" s="357"/>
      <c r="ET68" s="357"/>
      <c r="EU68" s="357"/>
      <c r="EV68" s="357"/>
      <c r="EW68" s="357"/>
      <c r="EX68" s="357"/>
      <c r="EY68" s="357"/>
      <c r="EZ68" s="357"/>
      <c r="FA68" s="357"/>
      <c r="FB68" s="357"/>
      <c r="FC68" s="357"/>
      <c r="FD68" s="357"/>
      <c r="FE68" s="357"/>
      <c r="FF68" s="357"/>
      <c r="FG68" s="357"/>
      <c r="FH68" s="357"/>
      <c r="FI68" s="357"/>
      <c r="FJ68" s="357"/>
      <c r="FK68" s="357"/>
      <c r="FL68" s="357"/>
      <c r="FM68" s="357"/>
      <c r="FN68" s="357"/>
      <c r="FO68" s="357"/>
      <c r="FP68" s="357"/>
      <c r="FQ68" s="357"/>
      <c r="FR68" s="357"/>
      <c r="FS68" s="357"/>
      <c r="FT68" s="357"/>
      <c r="FU68" s="357"/>
      <c r="FV68" s="357"/>
      <c r="FW68" s="357"/>
      <c r="FX68" s="357"/>
      <c r="FY68" s="357"/>
      <c r="FZ68" s="357"/>
      <c r="GA68" s="357"/>
      <c r="GB68" s="357"/>
      <c r="GC68" s="357"/>
      <c r="GD68" s="357"/>
      <c r="GE68" s="357"/>
      <c r="GF68" s="357"/>
      <c r="GG68" s="357"/>
      <c r="GH68" s="357"/>
      <c r="GI68" s="357"/>
      <c r="GJ68" s="357"/>
    </row>
    <row r="69" spans="26:192" ht="12.95" customHeight="1">
      <c r="Z69" s="357"/>
      <c r="AA69" s="357"/>
      <c r="AB69" s="357"/>
      <c r="AC69" s="357"/>
      <c r="AD69" s="357"/>
      <c r="AE69" s="357"/>
      <c r="AF69" s="357"/>
      <c r="AG69" s="357"/>
      <c r="AH69" s="357"/>
      <c r="AI69" s="357"/>
      <c r="AJ69" s="357"/>
      <c r="AK69" s="357"/>
      <c r="AL69" s="357"/>
      <c r="AM69" s="357"/>
      <c r="AN69" s="357"/>
      <c r="AO69" s="357"/>
      <c r="AP69" s="357"/>
      <c r="AQ69" s="357"/>
      <c r="AR69" s="357"/>
      <c r="AS69" s="357"/>
      <c r="AT69" s="357"/>
      <c r="AU69" s="357"/>
      <c r="AV69" s="357"/>
      <c r="AW69" s="357"/>
      <c r="AX69" s="357"/>
      <c r="AY69" s="357"/>
      <c r="AZ69" s="357"/>
      <c r="BA69" s="357"/>
      <c r="BB69" s="357"/>
      <c r="BC69" s="357"/>
      <c r="BD69" s="357"/>
      <c r="BE69" s="357"/>
      <c r="BF69" s="357"/>
      <c r="BG69" s="357"/>
      <c r="BH69" s="357"/>
      <c r="BI69" s="357"/>
      <c r="BJ69" s="357"/>
      <c r="BK69" s="357"/>
      <c r="BL69" s="357"/>
      <c r="BM69" s="357"/>
      <c r="BN69" s="357"/>
      <c r="BO69" s="357"/>
      <c r="BP69" s="357"/>
      <c r="BQ69" s="357"/>
      <c r="BR69" s="357"/>
      <c r="BS69" s="357"/>
      <c r="BT69" s="357"/>
      <c r="BU69" s="357"/>
      <c r="BV69" s="357"/>
      <c r="BW69" s="357"/>
      <c r="BX69" s="357"/>
      <c r="BY69" s="357"/>
      <c r="BZ69" s="357"/>
      <c r="CA69" s="357"/>
      <c r="CB69" s="357"/>
      <c r="CC69" s="357"/>
      <c r="CD69" s="357"/>
      <c r="CE69" s="357"/>
      <c r="CF69" s="357"/>
      <c r="CG69" s="357"/>
      <c r="CH69" s="357"/>
      <c r="CI69" s="357"/>
      <c r="CJ69" s="357"/>
      <c r="CK69" s="357"/>
      <c r="CL69" s="357"/>
      <c r="CM69" s="357"/>
      <c r="CN69" s="357"/>
      <c r="CO69" s="357"/>
      <c r="CP69" s="357"/>
      <c r="CQ69" s="357"/>
      <c r="CR69" s="357"/>
      <c r="CS69" s="357"/>
      <c r="CT69" s="357"/>
      <c r="CU69" s="357"/>
      <c r="CV69" s="357"/>
      <c r="CW69" s="357"/>
      <c r="CX69" s="357"/>
      <c r="CY69" s="357"/>
      <c r="CZ69" s="357"/>
      <c r="DA69" s="357"/>
      <c r="DB69" s="357"/>
      <c r="DC69" s="357"/>
      <c r="DD69" s="357"/>
      <c r="DE69" s="357"/>
      <c r="DF69" s="357"/>
      <c r="DG69" s="357"/>
      <c r="DH69" s="357"/>
      <c r="DI69" s="357"/>
      <c r="DJ69" s="357"/>
      <c r="DK69" s="357"/>
      <c r="DL69" s="357"/>
      <c r="DM69" s="357"/>
      <c r="DN69" s="357"/>
      <c r="DO69" s="357"/>
      <c r="DP69" s="357"/>
      <c r="DQ69" s="357"/>
      <c r="DR69" s="357"/>
      <c r="DS69" s="357"/>
      <c r="DT69" s="357"/>
      <c r="DU69" s="357"/>
      <c r="DV69" s="357"/>
      <c r="DW69" s="357"/>
      <c r="DX69" s="357"/>
      <c r="DY69" s="357"/>
      <c r="DZ69" s="357"/>
      <c r="EA69" s="357"/>
      <c r="EB69" s="357"/>
      <c r="EC69" s="357"/>
      <c r="ED69" s="357"/>
      <c r="EE69" s="357"/>
      <c r="EF69" s="357"/>
      <c r="EG69" s="357"/>
      <c r="EH69" s="357"/>
      <c r="EI69" s="357"/>
      <c r="EJ69" s="357"/>
      <c r="EK69" s="357"/>
      <c r="EL69" s="357"/>
      <c r="EM69" s="357"/>
      <c r="EN69" s="357"/>
      <c r="EO69" s="357"/>
      <c r="EP69" s="357"/>
      <c r="EQ69" s="357"/>
      <c r="ER69" s="357"/>
      <c r="ES69" s="357"/>
      <c r="ET69" s="357"/>
      <c r="EU69" s="357"/>
      <c r="EV69" s="357"/>
      <c r="EW69" s="357"/>
      <c r="EX69" s="357"/>
      <c r="EY69" s="357"/>
      <c r="EZ69" s="357"/>
      <c r="FA69" s="357"/>
      <c r="FB69" s="357"/>
      <c r="FC69" s="357"/>
      <c r="FD69" s="357"/>
      <c r="FE69" s="357"/>
      <c r="FF69" s="357"/>
      <c r="FG69" s="357"/>
      <c r="FH69" s="357"/>
      <c r="FI69" s="357"/>
      <c r="FJ69" s="357"/>
      <c r="FK69" s="357"/>
      <c r="FL69" s="357"/>
      <c r="FM69" s="357"/>
      <c r="FN69" s="357"/>
      <c r="FO69" s="357"/>
      <c r="FP69" s="357"/>
      <c r="FQ69" s="357"/>
      <c r="FR69" s="357"/>
      <c r="FS69" s="357"/>
      <c r="FT69" s="357"/>
      <c r="FU69" s="357"/>
      <c r="FV69" s="357"/>
      <c r="FW69" s="357"/>
      <c r="FX69" s="357"/>
      <c r="FY69" s="357"/>
      <c r="FZ69" s="357"/>
      <c r="GA69" s="357"/>
      <c r="GB69" s="357"/>
      <c r="GC69" s="357"/>
      <c r="GD69" s="357"/>
      <c r="GE69" s="357"/>
      <c r="GF69" s="357"/>
      <c r="GG69" s="357"/>
      <c r="GH69" s="357"/>
      <c r="GI69" s="357"/>
      <c r="GJ69" s="357"/>
    </row>
    <row r="70" spans="26:192" ht="12.95" customHeight="1">
      <c r="Z70" s="357"/>
      <c r="AA70" s="357"/>
      <c r="AB70" s="357"/>
      <c r="AC70" s="357"/>
      <c r="AD70" s="357"/>
      <c r="AE70" s="357"/>
      <c r="AF70" s="357"/>
      <c r="AG70" s="357"/>
      <c r="AH70" s="357"/>
      <c r="AI70" s="357"/>
      <c r="AJ70" s="357"/>
      <c r="AK70" s="357"/>
      <c r="AL70" s="357"/>
      <c r="AM70" s="357"/>
      <c r="AN70" s="357"/>
      <c r="AO70" s="357"/>
      <c r="AP70" s="357"/>
      <c r="AQ70" s="357"/>
      <c r="AR70" s="357"/>
      <c r="AS70" s="357"/>
      <c r="AT70" s="357"/>
      <c r="AU70" s="357"/>
      <c r="AV70" s="357"/>
      <c r="AW70" s="357"/>
      <c r="AX70" s="357"/>
      <c r="AY70" s="357"/>
      <c r="AZ70" s="357"/>
      <c r="BA70" s="357"/>
      <c r="BB70" s="357"/>
      <c r="BC70" s="357"/>
      <c r="BD70" s="357"/>
      <c r="BE70" s="357"/>
      <c r="BF70" s="357"/>
      <c r="BG70" s="357"/>
      <c r="BH70" s="357"/>
      <c r="BI70" s="357"/>
      <c r="BJ70" s="357"/>
      <c r="BK70" s="357"/>
      <c r="BL70" s="357"/>
      <c r="BM70" s="357"/>
      <c r="BN70" s="357"/>
      <c r="BO70" s="357"/>
      <c r="BP70" s="357"/>
      <c r="BQ70" s="357"/>
      <c r="BR70" s="357"/>
      <c r="BS70" s="357"/>
      <c r="BT70" s="357"/>
      <c r="BU70" s="357"/>
      <c r="BV70" s="357"/>
      <c r="BW70" s="357"/>
      <c r="BX70" s="357"/>
      <c r="BY70" s="357"/>
      <c r="BZ70" s="357"/>
      <c r="CA70" s="357"/>
      <c r="CB70" s="357"/>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7"/>
      <c r="DR70" s="357"/>
      <c r="DS70" s="357"/>
      <c r="DT70" s="357"/>
      <c r="DU70" s="357"/>
      <c r="DV70" s="357"/>
      <c r="DW70" s="357"/>
      <c r="DX70" s="357"/>
      <c r="DY70" s="357"/>
      <c r="DZ70" s="357"/>
      <c r="EA70" s="357"/>
      <c r="EB70" s="357"/>
      <c r="EC70" s="357"/>
      <c r="ED70" s="357"/>
      <c r="EE70" s="357"/>
      <c r="EF70" s="357"/>
      <c r="EG70" s="357"/>
      <c r="EH70" s="357"/>
      <c r="EI70" s="357"/>
      <c r="EJ70" s="357"/>
      <c r="EK70" s="357"/>
      <c r="EL70" s="357"/>
      <c r="EM70" s="357"/>
      <c r="EN70" s="357"/>
      <c r="EO70" s="357"/>
      <c r="EP70" s="357"/>
      <c r="EQ70" s="357"/>
      <c r="ER70" s="357"/>
      <c r="ES70" s="357"/>
      <c r="ET70" s="357"/>
      <c r="EU70" s="357"/>
      <c r="EV70" s="357"/>
      <c r="EW70" s="357"/>
      <c r="EX70" s="357"/>
      <c r="EY70" s="357"/>
      <c r="EZ70" s="357"/>
      <c r="FA70" s="357"/>
      <c r="FB70" s="357"/>
      <c r="FC70" s="357"/>
      <c r="FD70" s="357"/>
      <c r="FE70" s="357"/>
      <c r="FF70" s="357"/>
      <c r="FG70" s="357"/>
      <c r="FH70" s="357"/>
      <c r="FI70" s="357"/>
      <c r="FJ70" s="357"/>
      <c r="FK70" s="357"/>
      <c r="FL70" s="357"/>
      <c r="FM70" s="357"/>
      <c r="FN70" s="357"/>
      <c r="FO70" s="357"/>
      <c r="FP70" s="357"/>
      <c r="FQ70" s="357"/>
      <c r="FR70" s="357"/>
      <c r="FS70" s="357"/>
      <c r="FT70" s="357"/>
      <c r="FU70" s="357"/>
      <c r="FV70" s="357"/>
      <c r="FW70" s="357"/>
      <c r="FX70" s="357"/>
      <c r="FY70" s="357"/>
      <c r="FZ70" s="357"/>
      <c r="GA70" s="357"/>
      <c r="GB70" s="357"/>
      <c r="GC70" s="357"/>
      <c r="GD70" s="357"/>
      <c r="GE70" s="357"/>
      <c r="GF70" s="357"/>
      <c r="GG70" s="357"/>
      <c r="GH70" s="357"/>
      <c r="GI70" s="357"/>
      <c r="GJ70" s="357"/>
    </row>
    <row r="71" spans="26:192" ht="12.95" customHeight="1">
      <c r="Z71" s="357"/>
      <c r="AA71" s="357"/>
      <c r="AB71" s="357"/>
      <c r="AC71" s="357"/>
      <c r="AD71" s="357"/>
      <c r="AE71" s="357"/>
      <c r="AF71" s="357"/>
      <c r="AG71" s="357"/>
      <c r="AH71" s="357"/>
      <c r="AI71" s="357"/>
      <c r="AJ71" s="357"/>
      <c r="AK71" s="357"/>
      <c r="AL71" s="357"/>
      <c r="AM71" s="357"/>
      <c r="AN71" s="357"/>
      <c r="AO71" s="357"/>
      <c r="AP71" s="357"/>
      <c r="AQ71" s="357"/>
      <c r="AR71" s="357"/>
      <c r="AS71" s="357"/>
      <c r="AT71" s="357"/>
      <c r="AU71" s="357"/>
      <c r="AV71" s="357"/>
      <c r="AW71" s="357"/>
      <c r="AX71" s="357"/>
      <c r="AY71" s="357"/>
      <c r="AZ71" s="357"/>
      <c r="BA71" s="357"/>
      <c r="BB71" s="357"/>
      <c r="BC71" s="357"/>
      <c r="BD71" s="357"/>
      <c r="BE71" s="357"/>
      <c r="BF71" s="357"/>
      <c r="BG71" s="357"/>
      <c r="BH71" s="357"/>
      <c r="BI71" s="357"/>
      <c r="BJ71" s="357"/>
      <c r="BK71" s="357"/>
      <c r="BL71" s="357"/>
      <c r="BM71" s="357"/>
      <c r="BN71" s="357"/>
      <c r="BO71" s="357"/>
      <c r="BP71" s="357"/>
      <c r="BQ71" s="357"/>
      <c r="BR71" s="357"/>
      <c r="BS71" s="357"/>
      <c r="BT71" s="357"/>
      <c r="BU71" s="357"/>
      <c r="BV71" s="357"/>
      <c r="BW71" s="357"/>
      <c r="BX71" s="357"/>
      <c r="BY71" s="357"/>
      <c r="BZ71" s="357"/>
      <c r="CA71" s="357"/>
      <c r="CB71" s="357"/>
      <c r="CC71" s="357"/>
      <c r="CD71" s="357"/>
      <c r="CE71" s="357"/>
      <c r="CF71" s="357"/>
      <c r="CG71" s="357"/>
      <c r="CH71" s="357"/>
      <c r="CI71" s="357"/>
      <c r="CJ71" s="357"/>
      <c r="CK71" s="357"/>
      <c r="CL71" s="357"/>
      <c r="CM71" s="357"/>
      <c r="CN71" s="357"/>
      <c r="CO71" s="357"/>
      <c r="CP71" s="357"/>
      <c r="CQ71" s="357"/>
      <c r="CR71" s="357"/>
      <c r="CS71" s="357"/>
      <c r="CT71" s="357"/>
      <c r="CU71" s="357"/>
      <c r="CV71" s="357"/>
      <c r="CW71" s="357"/>
      <c r="CX71" s="357"/>
      <c r="CY71" s="357"/>
      <c r="CZ71" s="357"/>
      <c r="DA71" s="357"/>
      <c r="DB71" s="357"/>
      <c r="DC71" s="357"/>
      <c r="DD71" s="357"/>
      <c r="DE71" s="357"/>
      <c r="DF71" s="357"/>
      <c r="DG71" s="357"/>
      <c r="DH71" s="357"/>
      <c r="DI71" s="357"/>
      <c r="DJ71" s="357"/>
      <c r="DK71" s="357"/>
      <c r="DL71" s="357"/>
      <c r="DM71" s="357"/>
      <c r="DN71" s="357"/>
      <c r="DO71" s="357"/>
      <c r="DP71" s="357"/>
      <c r="DQ71" s="357"/>
      <c r="DR71" s="357"/>
      <c r="DS71" s="357"/>
      <c r="DT71" s="357"/>
      <c r="DU71" s="357"/>
      <c r="DV71" s="357"/>
      <c r="DW71" s="357"/>
      <c r="DX71" s="357"/>
      <c r="DY71" s="357"/>
      <c r="DZ71" s="357"/>
      <c r="EA71" s="357"/>
      <c r="EB71" s="357"/>
      <c r="EC71" s="357"/>
      <c r="ED71" s="357"/>
      <c r="EE71" s="357"/>
      <c r="EF71" s="357"/>
      <c r="EG71" s="357"/>
      <c r="EH71" s="357"/>
      <c r="EI71" s="357"/>
      <c r="EJ71" s="357"/>
      <c r="EK71" s="357"/>
      <c r="EL71" s="357"/>
      <c r="EM71" s="357"/>
      <c r="EN71" s="357"/>
      <c r="EO71" s="357"/>
      <c r="EP71" s="357"/>
      <c r="EQ71" s="357"/>
      <c r="ER71" s="357"/>
      <c r="ES71" s="357"/>
      <c r="ET71" s="357"/>
      <c r="EU71" s="357"/>
      <c r="EV71" s="357"/>
      <c r="EW71" s="357"/>
      <c r="EX71" s="357"/>
      <c r="EY71" s="357"/>
      <c r="EZ71" s="357"/>
      <c r="FA71" s="357"/>
      <c r="FB71" s="357"/>
      <c r="FC71" s="357"/>
      <c r="FD71" s="357"/>
      <c r="FE71" s="357"/>
      <c r="FF71" s="357"/>
      <c r="FG71" s="357"/>
      <c r="FH71" s="357"/>
      <c r="FI71" s="357"/>
      <c r="FJ71" s="357"/>
      <c r="FK71" s="357"/>
      <c r="FL71" s="357"/>
      <c r="FM71" s="357"/>
      <c r="FN71" s="357"/>
      <c r="FO71" s="357"/>
      <c r="FP71" s="357"/>
      <c r="FQ71" s="357"/>
      <c r="FR71" s="357"/>
      <c r="FS71" s="357"/>
      <c r="FT71" s="357"/>
      <c r="FU71" s="357"/>
      <c r="FV71" s="357"/>
      <c r="FW71" s="357"/>
      <c r="FX71" s="357"/>
      <c r="FY71" s="357"/>
      <c r="FZ71" s="357"/>
      <c r="GA71" s="357"/>
      <c r="GB71" s="357"/>
      <c r="GC71" s="357"/>
      <c r="GD71" s="357"/>
      <c r="GE71" s="357"/>
      <c r="GF71" s="357"/>
      <c r="GG71" s="357"/>
      <c r="GH71" s="357"/>
      <c r="GI71" s="357"/>
      <c r="GJ71" s="357"/>
    </row>
    <row r="72" spans="26:192" ht="12.95" customHeight="1">
      <c r="Z72" s="357"/>
      <c r="AA72" s="357"/>
      <c r="AB72" s="357"/>
      <c r="AC72" s="357"/>
      <c r="AD72" s="357"/>
      <c r="AE72" s="357"/>
      <c r="AF72" s="357"/>
      <c r="AG72" s="357"/>
      <c r="AH72" s="357"/>
      <c r="AI72" s="357"/>
      <c r="AJ72" s="357"/>
      <c r="AK72" s="357"/>
      <c r="AL72" s="357"/>
      <c r="AM72" s="357"/>
      <c r="AN72" s="357"/>
      <c r="AO72" s="357"/>
      <c r="AP72" s="357"/>
      <c r="AQ72" s="357"/>
      <c r="AR72" s="357"/>
      <c r="AS72" s="357"/>
      <c r="AT72" s="357"/>
      <c r="AU72" s="357"/>
      <c r="AV72" s="357"/>
      <c r="AW72" s="357"/>
      <c r="AX72" s="357"/>
      <c r="AY72" s="357"/>
      <c r="AZ72" s="357"/>
      <c r="BA72" s="357"/>
      <c r="BB72" s="357"/>
      <c r="BC72" s="357"/>
      <c r="BD72" s="357"/>
      <c r="BE72" s="357"/>
      <c r="BF72" s="357"/>
      <c r="BG72" s="357"/>
      <c r="BH72" s="357"/>
      <c r="BI72" s="357"/>
      <c r="BJ72" s="357"/>
      <c r="BK72" s="357"/>
      <c r="BL72" s="357"/>
      <c r="BM72" s="357"/>
      <c r="BN72" s="357"/>
      <c r="BO72" s="357"/>
      <c r="BP72" s="357"/>
      <c r="BQ72" s="357"/>
      <c r="BR72" s="357"/>
      <c r="BS72" s="357"/>
      <c r="BT72" s="357"/>
      <c r="BU72" s="357"/>
      <c r="BV72" s="357"/>
      <c r="BW72" s="357"/>
      <c r="BX72" s="357"/>
      <c r="BY72" s="357"/>
      <c r="BZ72" s="357"/>
      <c r="CA72" s="357"/>
      <c r="CB72" s="357"/>
      <c r="CC72" s="357"/>
      <c r="CD72" s="357"/>
      <c r="CE72" s="357"/>
      <c r="CF72" s="357"/>
      <c r="CG72" s="357"/>
      <c r="CH72" s="357"/>
      <c r="CI72" s="357"/>
      <c r="CJ72" s="357"/>
      <c r="CK72" s="357"/>
      <c r="CL72" s="357"/>
      <c r="CM72" s="357"/>
      <c r="CN72" s="357"/>
      <c r="CO72" s="357"/>
      <c r="CP72" s="357"/>
      <c r="CQ72" s="357"/>
      <c r="CR72" s="357"/>
      <c r="CS72" s="357"/>
      <c r="CT72" s="357"/>
      <c r="CU72" s="357"/>
      <c r="CV72" s="357"/>
      <c r="CW72" s="357"/>
      <c r="CX72" s="357"/>
      <c r="CY72" s="357"/>
      <c r="CZ72" s="357"/>
      <c r="DA72" s="357"/>
      <c r="DB72" s="357"/>
      <c r="DC72" s="357"/>
      <c r="DD72" s="357"/>
      <c r="DE72" s="357"/>
      <c r="DF72" s="357"/>
      <c r="DG72" s="357"/>
      <c r="DH72" s="357"/>
      <c r="DI72" s="357"/>
      <c r="DJ72" s="357"/>
      <c r="DK72" s="357"/>
      <c r="DL72" s="357"/>
      <c r="DM72" s="357"/>
      <c r="DN72" s="357"/>
      <c r="DO72" s="357"/>
      <c r="DP72" s="357"/>
      <c r="DQ72" s="357"/>
      <c r="DR72" s="357"/>
      <c r="DS72" s="357"/>
      <c r="DT72" s="357"/>
      <c r="DU72" s="357"/>
      <c r="DV72" s="357"/>
      <c r="DW72" s="357"/>
      <c r="DX72" s="357"/>
      <c r="DY72" s="357"/>
      <c r="DZ72" s="357"/>
      <c r="EA72" s="357"/>
      <c r="EB72" s="357"/>
      <c r="EC72" s="357"/>
      <c r="ED72" s="357"/>
      <c r="EE72" s="357"/>
      <c r="EF72" s="357"/>
      <c r="EG72" s="357"/>
      <c r="EH72" s="357"/>
      <c r="EI72" s="357"/>
      <c r="EJ72" s="357"/>
      <c r="EK72" s="357"/>
      <c r="EL72" s="357"/>
      <c r="EM72" s="357"/>
      <c r="EN72" s="357"/>
      <c r="EO72" s="357"/>
      <c r="EP72" s="357"/>
      <c r="EQ72" s="357"/>
      <c r="ER72" s="357"/>
      <c r="ES72" s="357"/>
      <c r="ET72" s="357"/>
      <c r="EU72" s="357"/>
      <c r="EV72" s="357"/>
      <c r="EW72" s="357"/>
      <c r="EX72" s="357"/>
      <c r="EY72" s="357"/>
      <c r="EZ72" s="357"/>
      <c r="FA72" s="357"/>
      <c r="FB72" s="357"/>
      <c r="FC72" s="357"/>
      <c r="FD72" s="357"/>
      <c r="FE72" s="357"/>
      <c r="FF72" s="357"/>
      <c r="FG72" s="357"/>
      <c r="FH72" s="357"/>
      <c r="FI72" s="357"/>
      <c r="FJ72" s="357"/>
      <c r="FK72" s="357"/>
      <c r="FL72" s="357"/>
      <c r="FM72" s="357"/>
      <c r="FN72" s="357"/>
      <c r="FO72" s="357"/>
      <c r="FP72" s="357"/>
      <c r="FQ72" s="357"/>
      <c r="FR72" s="357"/>
      <c r="FS72" s="357"/>
      <c r="FT72" s="357"/>
      <c r="FU72" s="357"/>
      <c r="FV72" s="357"/>
      <c r="FW72" s="357"/>
      <c r="FX72" s="357"/>
      <c r="FY72" s="357"/>
      <c r="FZ72" s="357"/>
      <c r="GA72" s="357"/>
      <c r="GB72" s="357"/>
      <c r="GC72" s="357"/>
      <c r="GD72" s="357"/>
      <c r="GE72" s="357"/>
      <c r="GF72" s="357"/>
      <c r="GG72" s="357"/>
      <c r="GH72" s="357"/>
      <c r="GI72" s="357"/>
      <c r="GJ72" s="357"/>
    </row>
    <row r="73" spans="26:192" ht="12.95" customHeight="1">
      <c r="Z73" s="357"/>
      <c r="AA73" s="357"/>
      <c r="AB73" s="357"/>
      <c r="AC73" s="357"/>
      <c r="AD73" s="357"/>
      <c r="AE73" s="357"/>
      <c r="AF73" s="357"/>
      <c r="AG73" s="357"/>
      <c r="AH73" s="357"/>
      <c r="AI73" s="357"/>
      <c r="AJ73" s="357"/>
      <c r="AK73" s="357"/>
      <c r="AL73" s="357"/>
      <c r="AM73" s="357"/>
      <c r="AN73" s="357"/>
      <c r="AO73" s="357"/>
      <c r="AP73" s="357"/>
      <c r="AQ73" s="357"/>
      <c r="AR73" s="357"/>
      <c r="AS73" s="357"/>
      <c r="AT73" s="357"/>
      <c r="AU73" s="357"/>
      <c r="AV73" s="357"/>
      <c r="AW73" s="357"/>
      <c r="AX73" s="357"/>
      <c r="AY73" s="357"/>
      <c r="AZ73" s="357"/>
      <c r="BA73" s="357"/>
      <c r="BB73" s="357"/>
      <c r="BC73" s="357"/>
      <c r="BD73" s="357"/>
      <c r="BE73" s="357"/>
      <c r="BF73" s="357"/>
      <c r="BG73" s="357"/>
      <c r="BH73" s="357"/>
      <c r="BI73" s="357"/>
      <c r="BJ73" s="357"/>
      <c r="BK73" s="357"/>
      <c r="BL73" s="357"/>
      <c r="BM73" s="357"/>
      <c r="BN73" s="357"/>
      <c r="BO73" s="357"/>
      <c r="BP73" s="357"/>
      <c r="BQ73" s="357"/>
      <c r="BR73" s="357"/>
      <c r="BS73" s="357"/>
      <c r="BT73" s="357"/>
      <c r="BU73" s="357"/>
      <c r="BV73" s="357"/>
      <c r="BW73" s="357"/>
      <c r="BX73" s="357"/>
      <c r="BY73" s="357"/>
      <c r="BZ73" s="357"/>
      <c r="CA73" s="357"/>
      <c r="CB73" s="357"/>
      <c r="CC73" s="357"/>
      <c r="CD73" s="357"/>
      <c r="CE73" s="357"/>
      <c r="CF73" s="357"/>
      <c r="CG73" s="357"/>
      <c r="CH73" s="357"/>
      <c r="CI73" s="357"/>
      <c r="CJ73" s="357"/>
      <c r="CK73" s="357"/>
      <c r="CL73" s="357"/>
      <c r="CM73" s="357"/>
      <c r="CN73" s="357"/>
      <c r="CO73" s="357"/>
      <c r="CP73" s="357"/>
      <c r="CQ73" s="357"/>
      <c r="CR73" s="357"/>
      <c r="CS73" s="357"/>
      <c r="CT73" s="357"/>
      <c r="CU73" s="357"/>
      <c r="CV73" s="357"/>
      <c r="CW73" s="357"/>
      <c r="CX73" s="357"/>
      <c r="CY73" s="357"/>
      <c r="CZ73" s="357"/>
      <c r="DA73" s="357"/>
      <c r="DB73" s="357"/>
      <c r="DC73" s="357"/>
      <c r="DD73" s="357"/>
      <c r="DE73" s="357"/>
      <c r="DF73" s="357"/>
      <c r="DG73" s="357"/>
      <c r="DH73" s="357"/>
      <c r="DI73" s="357"/>
      <c r="DJ73" s="357"/>
      <c r="DK73" s="357"/>
      <c r="DL73" s="357"/>
      <c r="DM73" s="357"/>
      <c r="DN73" s="357"/>
      <c r="DO73" s="357"/>
      <c r="DP73" s="357"/>
      <c r="DQ73" s="357"/>
      <c r="DR73" s="357"/>
      <c r="DS73" s="357"/>
      <c r="DT73" s="357"/>
      <c r="DU73" s="357"/>
      <c r="DV73" s="357"/>
      <c r="DW73" s="357"/>
      <c r="DX73" s="357"/>
      <c r="DY73" s="357"/>
      <c r="DZ73" s="357"/>
      <c r="EA73" s="357"/>
      <c r="EB73" s="357"/>
      <c r="EC73" s="357"/>
      <c r="ED73" s="357"/>
      <c r="EE73" s="357"/>
      <c r="EF73" s="357"/>
      <c r="EG73" s="357"/>
      <c r="EH73" s="357"/>
      <c r="EI73" s="357"/>
      <c r="EJ73" s="357"/>
      <c r="EK73" s="357"/>
      <c r="EL73" s="357"/>
      <c r="EM73" s="357"/>
      <c r="EN73" s="357"/>
      <c r="EO73" s="357"/>
      <c r="EP73" s="357"/>
      <c r="EQ73" s="357"/>
      <c r="ER73" s="357"/>
      <c r="ES73" s="357"/>
      <c r="ET73" s="357"/>
      <c r="EU73" s="357"/>
      <c r="EV73" s="357"/>
      <c r="EW73" s="357"/>
      <c r="EX73" s="357"/>
      <c r="EY73" s="357"/>
      <c r="EZ73" s="357"/>
      <c r="FA73" s="357"/>
      <c r="FB73" s="357"/>
      <c r="FC73" s="357"/>
      <c r="FD73" s="357"/>
      <c r="FE73" s="357"/>
      <c r="FF73" s="357"/>
      <c r="FG73" s="357"/>
      <c r="FH73" s="357"/>
      <c r="FI73" s="357"/>
      <c r="FJ73" s="357"/>
      <c r="FK73" s="357"/>
      <c r="FL73" s="357"/>
      <c r="FM73" s="357"/>
      <c r="FN73" s="357"/>
      <c r="FO73" s="357"/>
      <c r="FP73" s="357"/>
      <c r="FQ73" s="357"/>
      <c r="FR73" s="357"/>
      <c r="FS73" s="357"/>
      <c r="FT73" s="357"/>
      <c r="FU73" s="357"/>
      <c r="FV73" s="357"/>
      <c r="FW73" s="357"/>
      <c r="FX73" s="357"/>
      <c r="FY73" s="357"/>
      <c r="FZ73" s="357"/>
      <c r="GA73" s="357"/>
      <c r="GB73" s="357"/>
      <c r="GC73" s="357"/>
      <c r="GD73" s="357"/>
      <c r="GE73" s="357"/>
      <c r="GF73" s="357"/>
      <c r="GG73" s="357"/>
      <c r="GH73" s="357"/>
      <c r="GI73" s="357"/>
      <c r="GJ73" s="357"/>
    </row>
    <row r="74" spans="26:192" ht="12.95" customHeight="1">
      <c r="Z74" s="357"/>
      <c r="AA74" s="357"/>
      <c r="AB74" s="357"/>
      <c r="AC74" s="357"/>
      <c r="AD74" s="357"/>
      <c r="AE74" s="357"/>
      <c r="AF74" s="357"/>
      <c r="AG74" s="357"/>
      <c r="AH74" s="357"/>
      <c r="AI74" s="357"/>
      <c r="AJ74" s="357"/>
      <c r="AK74" s="357"/>
      <c r="AL74" s="357"/>
      <c r="AM74" s="357"/>
      <c r="AN74" s="357"/>
      <c r="AO74" s="357"/>
      <c r="AP74" s="357"/>
      <c r="AQ74" s="357"/>
      <c r="AR74" s="357"/>
      <c r="AS74" s="357"/>
      <c r="AT74" s="357"/>
      <c r="AU74" s="357"/>
      <c r="AV74" s="357"/>
      <c r="AW74" s="357"/>
      <c r="AX74" s="357"/>
      <c r="AY74" s="357"/>
      <c r="AZ74" s="357"/>
      <c r="BA74" s="357"/>
      <c r="BB74" s="357"/>
      <c r="BC74" s="357"/>
      <c r="BD74" s="357"/>
      <c r="BE74" s="357"/>
      <c r="BF74" s="357"/>
      <c r="BG74" s="357"/>
      <c r="BH74" s="357"/>
      <c r="BI74" s="357"/>
      <c r="BJ74" s="357"/>
      <c r="BK74" s="357"/>
      <c r="BL74" s="357"/>
      <c r="BM74" s="357"/>
      <c r="BN74" s="357"/>
      <c r="BO74" s="357"/>
      <c r="BP74" s="357"/>
      <c r="BQ74" s="357"/>
      <c r="BR74" s="357"/>
      <c r="BS74" s="357"/>
      <c r="BT74" s="357"/>
      <c r="BU74" s="357"/>
      <c r="BV74" s="357"/>
      <c r="BW74" s="357"/>
      <c r="BX74" s="357"/>
      <c r="BY74" s="357"/>
      <c r="BZ74" s="357"/>
      <c r="CA74" s="357"/>
      <c r="CB74" s="357"/>
      <c r="CC74" s="357"/>
      <c r="CD74" s="357"/>
      <c r="CE74" s="357"/>
      <c r="CF74" s="357"/>
      <c r="CG74" s="357"/>
      <c r="CH74" s="357"/>
      <c r="CI74" s="357"/>
      <c r="CJ74" s="357"/>
      <c r="CK74" s="357"/>
      <c r="CL74" s="357"/>
      <c r="CM74" s="357"/>
      <c r="CN74" s="357"/>
      <c r="CO74" s="357"/>
      <c r="CP74" s="357"/>
      <c r="CQ74" s="357"/>
      <c r="CR74" s="357"/>
      <c r="CS74" s="357"/>
      <c r="CT74" s="357"/>
      <c r="CU74" s="357"/>
      <c r="CV74" s="357"/>
      <c r="CW74" s="357"/>
      <c r="CX74" s="357"/>
      <c r="CY74" s="357"/>
      <c r="CZ74" s="357"/>
      <c r="DA74" s="357"/>
      <c r="DB74" s="357"/>
      <c r="DC74" s="357"/>
      <c r="DD74" s="357"/>
      <c r="DE74" s="357"/>
      <c r="DF74" s="357"/>
      <c r="DG74" s="357"/>
      <c r="DH74" s="357"/>
      <c r="DI74" s="357"/>
      <c r="DJ74" s="357"/>
      <c r="DK74" s="357"/>
      <c r="DL74" s="357"/>
      <c r="DM74" s="357"/>
      <c r="DN74" s="357"/>
      <c r="DO74" s="357"/>
      <c r="DP74" s="357"/>
      <c r="DQ74" s="357"/>
      <c r="DR74" s="357"/>
      <c r="DS74" s="357"/>
      <c r="DT74" s="357"/>
      <c r="DU74" s="357"/>
      <c r="DV74" s="357"/>
      <c r="DW74" s="357"/>
      <c r="DX74" s="357"/>
      <c r="DY74" s="357"/>
      <c r="DZ74" s="357"/>
      <c r="EA74" s="357"/>
      <c r="EB74" s="357"/>
      <c r="EC74" s="357"/>
      <c r="ED74" s="357"/>
      <c r="EE74" s="357"/>
      <c r="EF74" s="357"/>
      <c r="EG74" s="357"/>
      <c r="EH74" s="357"/>
      <c r="EI74" s="357"/>
      <c r="EJ74" s="357"/>
      <c r="EK74" s="357"/>
      <c r="EL74" s="357"/>
      <c r="EM74" s="357"/>
      <c r="EN74" s="357"/>
      <c r="EO74" s="357"/>
      <c r="EP74" s="357"/>
      <c r="EQ74" s="357"/>
      <c r="ER74" s="357"/>
      <c r="ES74" s="357"/>
      <c r="ET74" s="357"/>
      <c r="EU74" s="357"/>
      <c r="EV74" s="357"/>
      <c r="EW74" s="357"/>
      <c r="EX74" s="357"/>
      <c r="EY74" s="357"/>
      <c r="EZ74" s="357"/>
      <c r="FA74" s="357"/>
      <c r="FB74" s="357"/>
      <c r="FC74" s="357"/>
      <c r="FD74" s="357"/>
      <c r="FE74" s="357"/>
      <c r="FF74" s="357"/>
      <c r="FG74" s="357"/>
      <c r="FH74" s="357"/>
      <c r="FI74" s="357"/>
      <c r="FJ74" s="357"/>
      <c r="FK74" s="357"/>
      <c r="FL74" s="357"/>
      <c r="FM74" s="357"/>
      <c r="FN74" s="357"/>
      <c r="FO74" s="357"/>
      <c r="FP74" s="357"/>
      <c r="FQ74" s="357"/>
      <c r="FR74" s="357"/>
      <c r="FS74" s="357"/>
      <c r="FT74" s="357"/>
      <c r="FU74" s="357"/>
      <c r="FV74" s="357"/>
      <c r="FW74" s="357"/>
      <c r="FX74" s="357"/>
      <c r="FY74" s="357"/>
      <c r="FZ74" s="357"/>
      <c r="GA74" s="357"/>
      <c r="GB74" s="357"/>
      <c r="GC74" s="357"/>
      <c r="GD74" s="357"/>
      <c r="GE74" s="357"/>
      <c r="GF74" s="357"/>
      <c r="GG74" s="357"/>
      <c r="GH74" s="357"/>
      <c r="GI74" s="357"/>
      <c r="GJ74" s="357"/>
    </row>
    <row r="75" spans="26:192" ht="12.95" customHeight="1">
      <c r="Z75" s="357"/>
      <c r="AA75" s="357"/>
      <c r="AB75" s="357"/>
      <c r="AC75" s="357"/>
      <c r="AD75" s="357"/>
      <c r="AE75" s="357"/>
      <c r="AF75" s="357"/>
      <c r="AG75" s="357"/>
      <c r="AH75" s="357"/>
      <c r="AI75" s="357"/>
      <c r="AJ75" s="357"/>
      <c r="AK75" s="357"/>
      <c r="AL75" s="357"/>
      <c r="AM75" s="357"/>
      <c r="AN75" s="357"/>
      <c r="AO75" s="357"/>
      <c r="AP75" s="357"/>
      <c r="AQ75" s="357"/>
      <c r="AR75" s="357"/>
      <c r="AS75" s="357"/>
      <c r="AT75" s="357"/>
      <c r="AU75" s="357"/>
      <c r="AV75" s="357"/>
      <c r="AW75" s="357"/>
      <c r="AX75" s="357"/>
      <c r="AY75" s="357"/>
      <c r="AZ75" s="357"/>
      <c r="BA75" s="357"/>
      <c r="BB75" s="357"/>
      <c r="BC75" s="357"/>
      <c r="BD75" s="357"/>
      <c r="BE75" s="357"/>
      <c r="BF75" s="357"/>
      <c r="BG75" s="357"/>
      <c r="BH75" s="357"/>
      <c r="BI75" s="357"/>
      <c r="BJ75" s="357"/>
      <c r="BK75" s="357"/>
      <c r="BL75" s="357"/>
      <c r="BM75" s="357"/>
      <c r="BN75" s="357"/>
      <c r="BO75" s="357"/>
      <c r="BP75" s="357"/>
      <c r="BQ75" s="357"/>
      <c r="BR75" s="357"/>
      <c r="BS75" s="357"/>
      <c r="BT75" s="357"/>
      <c r="BU75" s="357"/>
      <c r="BV75" s="357"/>
      <c r="BW75" s="357"/>
      <c r="BX75" s="357"/>
      <c r="BY75" s="357"/>
      <c r="BZ75" s="357"/>
      <c r="CA75" s="357"/>
      <c r="CB75" s="357"/>
      <c r="CC75" s="357"/>
      <c r="CD75" s="357"/>
      <c r="CE75" s="357"/>
      <c r="CF75" s="357"/>
      <c r="CG75" s="357"/>
      <c r="CH75" s="357"/>
      <c r="CI75" s="357"/>
      <c r="CJ75" s="357"/>
      <c r="CK75" s="357"/>
      <c r="CL75" s="357"/>
      <c r="CM75" s="357"/>
      <c r="CN75" s="357"/>
      <c r="CO75" s="357"/>
      <c r="CP75" s="357"/>
      <c r="CQ75" s="357"/>
      <c r="CR75" s="357"/>
      <c r="CS75" s="357"/>
      <c r="CT75" s="357"/>
      <c r="CU75" s="357"/>
      <c r="CV75" s="357"/>
      <c r="CW75" s="357"/>
      <c r="CX75" s="357"/>
      <c r="CY75" s="357"/>
      <c r="CZ75" s="357"/>
      <c r="DA75" s="357"/>
      <c r="DB75" s="357"/>
      <c r="DC75" s="357"/>
      <c r="DD75" s="357"/>
      <c r="DE75" s="357"/>
      <c r="DF75" s="357"/>
      <c r="DG75" s="357"/>
      <c r="DH75" s="357"/>
      <c r="DI75" s="357"/>
      <c r="DJ75" s="357"/>
      <c r="DK75" s="357"/>
      <c r="DL75" s="357"/>
      <c r="DM75" s="357"/>
      <c r="DN75" s="357"/>
      <c r="DO75" s="357"/>
      <c r="DP75" s="357"/>
      <c r="DQ75" s="357"/>
      <c r="DR75" s="357"/>
      <c r="DS75" s="357"/>
      <c r="DT75" s="357"/>
      <c r="DU75" s="357"/>
      <c r="DV75" s="357"/>
      <c r="DW75" s="357"/>
      <c r="DX75" s="357"/>
      <c r="DY75" s="357"/>
      <c r="DZ75" s="357"/>
      <c r="EA75" s="357"/>
      <c r="EB75" s="357"/>
      <c r="EC75" s="357"/>
      <c r="ED75" s="357"/>
      <c r="EE75" s="357"/>
      <c r="EF75" s="357"/>
      <c r="EG75" s="357"/>
      <c r="EH75" s="357"/>
      <c r="EI75" s="357"/>
      <c r="EJ75" s="357"/>
      <c r="EK75" s="357"/>
      <c r="EL75" s="357"/>
      <c r="EM75" s="357"/>
      <c r="EN75" s="357"/>
      <c r="EO75" s="357"/>
      <c r="EP75" s="357"/>
      <c r="EQ75" s="357"/>
      <c r="ER75" s="357"/>
      <c r="ES75" s="357"/>
      <c r="ET75" s="357"/>
      <c r="EU75" s="357"/>
      <c r="EV75" s="357"/>
      <c r="EW75" s="357"/>
      <c r="EX75" s="357"/>
      <c r="EY75" s="357"/>
      <c r="EZ75" s="357"/>
      <c r="FA75" s="357"/>
      <c r="FB75" s="357"/>
      <c r="FC75" s="357"/>
      <c r="FD75" s="357"/>
      <c r="FE75" s="357"/>
      <c r="FF75" s="357"/>
      <c r="FG75" s="357"/>
      <c r="FH75" s="357"/>
      <c r="FI75" s="357"/>
      <c r="FJ75" s="357"/>
      <c r="FK75" s="357"/>
      <c r="FL75" s="357"/>
      <c r="FM75" s="357"/>
      <c r="FN75" s="357"/>
      <c r="FO75" s="357"/>
      <c r="FP75" s="357"/>
      <c r="FQ75" s="357"/>
      <c r="FR75" s="357"/>
      <c r="FS75" s="357"/>
      <c r="FT75" s="357"/>
      <c r="FU75" s="357"/>
      <c r="FV75" s="357"/>
      <c r="FW75" s="357"/>
      <c r="FX75" s="357"/>
      <c r="FY75" s="357"/>
      <c r="FZ75" s="357"/>
      <c r="GA75" s="357"/>
      <c r="GB75" s="357"/>
      <c r="GC75" s="357"/>
      <c r="GD75" s="357"/>
      <c r="GE75" s="357"/>
      <c r="GF75" s="357"/>
      <c r="GG75" s="357"/>
      <c r="GH75" s="357"/>
      <c r="GI75" s="357"/>
      <c r="GJ75" s="357"/>
    </row>
    <row r="76" spans="26:192" ht="12.95" customHeight="1">
      <c r="Z76" s="357"/>
      <c r="AA76" s="357"/>
      <c r="AB76" s="357"/>
      <c r="AC76" s="357"/>
      <c r="AD76" s="357"/>
      <c r="AE76" s="357"/>
      <c r="AF76" s="357"/>
      <c r="AG76" s="357"/>
      <c r="AH76" s="357"/>
      <c r="AI76" s="357"/>
      <c r="AJ76" s="357"/>
      <c r="AK76" s="357"/>
      <c r="AL76" s="357"/>
      <c r="AM76" s="357"/>
      <c r="AN76" s="357"/>
      <c r="AO76" s="357"/>
      <c r="AP76" s="357"/>
      <c r="AQ76" s="357"/>
      <c r="AR76" s="357"/>
      <c r="AS76" s="357"/>
      <c r="AT76" s="357"/>
      <c r="AU76" s="357"/>
      <c r="AV76" s="357"/>
      <c r="AW76" s="357"/>
      <c r="AX76" s="357"/>
      <c r="AY76" s="357"/>
      <c r="AZ76" s="357"/>
      <c r="BA76" s="357"/>
      <c r="BB76" s="357"/>
      <c r="BC76" s="357"/>
      <c r="BD76" s="357"/>
      <c r="BE76" s="357"/>
      <c r="BF76" s="357"/>
      <c r="BG76" s="357"/>
      <c r="BH76" s="357"/>
      <c r="BI76" s="357"/>
      <c r="BJ76" s="357"/>
      <c r="BK76" s="357"/>
      <c r="BL76" s="357"/>
      <c r="BM76" s="357"/>
      <c r="BN76" s="357"/>
      <c r="BO76" s="357"/>
      <c r="BP76" s="357"/>
      <c r="BQ76" s="357"/>
      <c r="BR76" s="357"/>
      <c r="BS76" s="357"/>
      <c r="BT76" s="357"/>
      <c r="BU76" s="357"/>
      <c r="BV76" s="357"/>
      <c r="BW76" s="357"/>
      <c r="BX76" s="357"/>
      <c r="BY76" s="357"/>
      <c r="BZ76" s="357"/>
      <c r="CA76" s="357"/>
      <c r="CB76" s="357"/>
      <c r="CC76" s="357"/>
      <c r="CD76" s="357"/>
      <c r="CE76" s="357"/>
      <c r="CF76" s="357"/>
      <c r="CG76" s="357"/>
      <c r="CH76" s="357"/>
      <c r="CI76" s="357"/>
      <c r="CJ76" s="357"/>
      <c r="CK76" s="357"/>
      <c r="CL76" s="357"/>
      <c r="CM76" s="357"/>
      <c r="CN76" s="357"/>
      <c r="CO76" s="357"/>
      <c r="CP76" s="357"/>
      <c r="CQ76" s="357"/>
      <c r="CR76" s="357"/>
      <c r="CS76" s="357"/>
      <c r="CT76" s="357"/>
      <c r="CU76" s="357"/>
      <c r="CV76" s="357"/>
      <c r="CW76" s="357"/>
      <c r="CX76" s="357"/>
      <c r="CY76" s="357"/>
      <c r="CZ76" s="357"/>
      <c r="DA76" s="357"/>
      <c r="DB76" s="357"/>
      <c r="DC76" s="357"/>
      <c r="DD76" s="357"/>
      <c r="DE76" s="357"/>
      <c r="DF76" s="357"/>
      <c r="DG76" s="357"/>
      <c r="DH76" s="357"/>
      <c r="DI76" s="357"/>
      <c r="DJ76" s="357"/>
      <c r="DK76" s="357"/>
      <c r="DL76" s="357"/>
      <c r="DM76" s="357"/>
      <c r="DN76" s="357"/>
      <c r="DO76" s="357"/>
      <c r="DP76" s="357"/>
      <c r="DQ76" s="357"/>
      <c r="DR76" s="357"/>
      <c r="DS76" s="357"/>
      <c r="DT76" s="357"/>
      <c r="DU76" s="357"/>
      <c r="DV76" s="357"/>
      <c r="DW76" s="357"/>
      <c r="DX76" s="357"/>
      <c r="DY76" s="357"/>
      <c r="DZ76" s="357"/>
      <c r="EA76" s="357"/>
      <c r="EB76" s="357"/>
      <c r="EC76" s="357"/>
      <c r="ED76" s="357"/>
      <c r="EE76" s="357"/>
      <c r="EF76" s="357"/>
      <c r="EG76" s="357"/>
      <c r="EH76" s="357"/>
      <c r="EI76" s="357"/>
      <c r="EJ76" s="357"/>
      <c r="EK76" s="357"/>
      <c r="EL76" s="357"/>
      <c r="EM76" s="357"/>
      <c r="EN76" s="357"/>
      <c r="EO76" s="357"/>
      <c r="EP76" s="357"/>
      <c r="EQ76" s="357"/>
      <c r="ER76" s="357"/>
      <c r="ES76" s="357"/>
      <c r="ET76" s="357"/>
      <c r="EU76" s="357"/>
      <c r="EV76" s="357"/>
      <c r="EW76" s="357"/>
      <c r="EX76" s="357"/>
      <c r="EY76" s="357"/>
      <c r="EZ76" s="357"/>
      <c r="FA76" s="357"/>
      <c r="FB76" s="357"/>
      <c r="FC76" s="357"/>
      <c r="FD76" s="357"/>
      <c r="FE76" s="357"/>
      <c r="FF76" s="357"/>
      <c r="FG76" s="357"/>
      <c r="FH76" s="357"/>
      <c r="FI76" s="357"/>
      <c r="FJ76" s="357"/>
      <c r="FK76" s="357"/>
      <c r="FL76" s="357"/>
      <c r="FM76" s="357"/>
      <c r="FN76" s="357"/>
      <c r="FO76" s="357"/>
      <c r="FP76" s="357"/>
      <c r="FQ76" s="357"/>
      <c r="FR76" s="357"/>
      <c r="FS76" s="357"/>
      <c r="FT76" s="357"/>
      <c r="FU76" s="357"/>
      <c r="FV76" s="357"/>
      <c r="FW76" s="357"/>
      <c r="FX76" s="357"/>
      <c r="FY76" s="357"/>
      <c r="FZ76" s="357"/>
      <c r="GA76" s="357"/>
      <c r="GB76" s="357"/>
      <c r="GC76" s="357"/>
      <c r="GD76" s="357"/>
      <c r="GE76" s="357"/>
      <c r="GF76" s="357"/>
      <c r="GG76" s="357"/>
      <c r="GH76" s="357"/>
      <c r="GI76" s="357"/>
      <c r="GJ76" s="357"/>
    </row>
    <row r="77" spans="26:192" ht="12.95" customHeight="1">
      <c r="Z77" s="357"/>
      <c r="AA77" s="357"/>
      <c r="AB77" s="357"/>
      <c r="AC77" s="357"/>
      <c r="AD77" s="357"/>
      <c r="AE77" s="357"/>
      <c r="AF77" s="357"/>
      <c r="AG77" s="357"/>
      <c r="AH77" s="357"/>
      <c r="AI77" s="357"/>
      <c r="AJ77" s="357"/>
      <c r="AK77" s="357"/>
      <c r="AL77" s="357"/>
      <c r="AM77" s="357"/>
      <c r="AN77" s="357"/>
      <c r="AO77" s="357"/>
      <c r="AP77" s="357"/>
      <c r="AQ77" s="357"/>
      <c r="AR77" s="357"/>
      <c r="AS77" s="357"/>
      <c r="AT77" s="357"/>
      <c r="AU77" s="357"/>
      <c r="AV77" s="357"/>
      <c r="AW77" s="357"/>
      <c r="AX77" s="357"/>
      <c r="AY77" s="357"/>
      <c r="AZ77" s="357"/>
      <c r="BA77" s="357"/>
      <c r="BB77" s="357"/>
      <c r="BC77" s="357"/>
      <c r="BD77" s="357"/>
      <c r="BE77" s="357"/>
      <c r="BF77" s="357"/>
      <c r="BG77" s="357"/>
      <c r="BH77" s="357"/>
      <c r="BI77" s="357"/>
      <c r="BJ77" s="357"/>
      <c r="BK77" s="357"/>
      <c r="BL77" s="357"/>
      <c r="BM77" s="357"/>
      <c r="BN77" s="357"/>
      <c r="BO77" s="357"/>
      <c r="BP77" s="357"/>
      <c r="BQ77" s="357"/>
      <c r="BR77" s="357"/>
      <c r="BS77" s="357"/>
      <c r="BT77" s="357"/>
      <c r="BU77" s="357"/>
      <c r="BV77" s="357"/>
      <c r="BW77" s="357"/>
      <c r="BX77" s="357"/>
      <c r="BY77" s="357"/>
      <c r="BZ77" s="357"/>
      <c r="CA77" s="357"/>
      <c r="CB77" s="357"/>
      <c r="CC77" s="357"/>
      <c r="CD77" s="357"/>
      <c r="CE77" s="357"/>
      <c r="CF77" s="357"/>
      <c r="CG77" s="357"/>
      <c r="CH77" s="357"/>
      <c r="CI77" s="357"/>
      <c r="CJ77" s="357"/>
      <c r="CK77" s="357"/>
      <c r="CL77" s="357"/>
      <c r="CM77" s="357"/>
      <c r="CN77" s="357"/>
      <c r="CO77" s="357"/>
      <c r="CP77" s="357"/>
      <c r="CQ77" s="357"/>
      <c r="CR77" s="357"/>
      <c r="CS77" s="357"/>
      <c r="CT77" s="357"/>
      <c r="CU77" s="357"/>
      <c r="CV77" s="357"/>
      <c r="CW77" s="357"/>
      <c r="CX77" s="357"/>
      <c r="CY77" s="357"/>
      <c r="CZ77" s="357"/>
      <c r="DA77" s="357"/>
      <c r="DB77" s="357"/>
      <c r="DC77" s="357"/>
      <c r="DD77" s="357"/>
      <c r="DE77" s="357"/>
      <c r="DF77" s="357"/>
      <c r="DG77" s="357"/>
      <c r="DH77" s="357"/>
      <c r="DI77" s="357"/>
      <c r="DJ77" s="357"/>
      <c r="DK77" s="357"/>
      <c r="DL77" s="357"/>
      <c r="DM77" s="357"/>
      <c r="DN77" s="357"/>
      <c r="DO77" s="357"/>
      <c r="DP77" s="357"/>
      <c r="DQ77" s="357"/>
      <c r="DR77" s="357"/>
      <c r="DS77" s="357"/>
      <c r="DT77" s="357"/>
      <c r="DU77" s="357"/>
      <c r="DV77" s="357"/>
      <c r="DW77" s="357"/>
      <c r="DX77" s="357"/>
      <c r="DY77" s="357"/>
      <c r="DZ77" s="357"/>
      <c r="EA77" s="357"/>
      <c r="EB77" s="357"/>
      <c r="EC77" s="357"/>
      <c r="ED77" s="357"/>
      <c r="EE77" s="357"/>
      <c r="EF77" s="357"/>
      <c r="EG77" s="357"/>
      <c r="EH77" s="357"/>
      <c r="EI77" s="357"/>
      <c r="EJ77" s="357"/>
      <c r="EK77" s="357"/>
      <c r="EL77" s="357"/>
      <c r="EM77" s="357"/>
      <c r="EN77" s="357"/>
      <c r="EO77" s="357"/>
      <c r="EP77" s="357"/>
      <c r="EQ77" s="357"/>
      <c r="ER77" s="357"/>
      <c r="ES77" s="357"/>
      <c r="ET77" s="357"/>
      <c r="EU77" s="357"/>
      <c r="EV77" s="357"/>
      <c r="EW77" s="357"/>
      <c r="EX77" s="357"/>
      <c r="EY77" s="357"/>
      <c r="EZ77" s="357"/>
      <c r="FA77" s="357"/>
      <c r="FB77" s="357"/>
      <c r="FC77" s="357"/>
      <c r="FD77" s="357"/>
      <c r="FE77" s="357"/>
      <c r="FF77" s="357"/>
      <c r="FG77" s="357"/>
      <c r="FH77" s="357"/>
      <c r="FI77" s="357"/>
      <c r="FJ77" s="357"/>
      <c r="FK77" s="357"/>
      <c r="FL77" s="357"/>
      <c r="FM77" s="357"/>
      <c r="FN77" s="357"/>
      <c r="FO77" s="357"/>
      <c r="FP77" s="357"/>
      <c r="FQ77" s="357"/>
      <c r="FR77" s="357"/>
      <c r="FS77" s="357"/>
      <c r="FT77" s="357"/>
      <c r="FU77" s="357"/>
      <c r="FV77" s="357"/>
      <c r="FW77" s="357"/>
      <c r="FX77" s="357"/>
      <c r="FY77" s="357"/>
      <c r="FZ77" s="357"/>
      <c r="GA77" s="357"/>
      <c r="GB77" s="357"/>
      <c r="GC77" s="357"/>
      <c r="GD77" s="357"/>
      <c r="GE77" s="357"/>
      <c r="GF77" s="357"/>
      <c r="GG77" s="357"/>
      <c r="GH77" s="357"/>
      <c r="GI77" s="357"/>
      <c r="GJ77" s="357"/>
    </row>
    <row r="78" spans="26:192" ht="12.95" customHeight="1">
      <c r="Z78" s="357"/>
      <c r="AA78" s="357"/>
      <c r="AB78" s="357"/>
      <c r="AC78" s="357"/>
      <c r="AD78" s="357"/>
      <c r="AE78" s="357"/>
      <c r="AF78" s="357"/>
      <c r="AG78" s="357"/>
      <c r="AH78" s="357"/>
      <c r="AI78" s="357"/>
      <c r="AJ78" s="357"/>
      <c r="AK78" s="357"/>
      <c r="AL78" s="357"/>
      <c r="AM78" s="357"/>
      <c r="AN78" s="357"/>
      <c r="AO78" s="357"/>
      <c r="AP78" s="357"/>
      <c r="AQ78" s="357"/>
      <c r="AR78" s="357"/>
      <c r="AS78" s="357"/>
      <c r="AT78" s="357"/>
      <c r="AU78" s="357"/>
      <c r="AV78" s="357"/>
      <c r="AW78" s="357"/>
      <c r="AX78" s="357"/>
      <c r="AY78" s="357"/>
      <c r="AZ78" s="357"/>
      <c r="BA78" s="357"/>
      <c r="BB78" s="357"/>
      <c r="BC78" s="357"/>
      <c r="BD78" s="357"/>
      <c r="BE78" s="357"/>
      <c r="BF78" s="357"/>
      <c r="BG78" s="357"/>
      <c r="BH78" s="357"/>
      <c r="BI78" s="357"/>
      <c r="BJ78" s="357"/>
      <c r="BK78" s="357"/>
      <c r="BL78" s="357"/>
      <c r="BM78" s="357"/>
      <c r="BN78" s="357"/>
      <c r="BO78" s="357"/>
      <c r="BP78" s="357"/>
      <c r="BQ78" s="357"/>
      <c r="BR78" s="357"/>
      <c r="BS78" s="357"/>
      <c r="BT78" s="357"/>
      <c r="BU78" s="357"/>
      <c r="BV78" s="357"/>
      <c r="BW78" s="357"/>
      <c r="BX78" s="357"/>
      <c r="BY78" s="357"/>
      <c r="BZ78" s="357"/>
      <c r="CA78" s="357"/>
      <c r="CB78" s="357"/>
      <c r="CC78" s="357"/>
      <c r="CD78" s="357"/>
      <c r="CE78" s="357"/>
      <c r="CF78" s="357"/>
      <c r="CG78" s="357"/>
      <c r="CH78" s="357"/>
      <c r="CI78" s="357"/>
      <c r="CJ78" s="357"/>
      <c r="CK78" s="357"/>
      <c r="CL78" s="357"/>
      <c r="CM78" s="357"/>
      <c r="CN78" s="357"/>
      <c r="CO78" s="357"/>
      <c r="CP78" s="357"/>
      <c r="CQ78" s="357"/>
      <c r="CR78" s="357"/>
      <c r="CS78" s="357"/>
      <c r="CT78" s="357"/>
      <c r="CU78" s="357"/>
      <c r="CV78" s="357"/>
      <c r="CW78" s="357"/>
      <c r="CX78" s="357"/>
      <c r="CY78" s="357"/>
      <c r="CZ78" s="357"/>
      <c r="DA78" s="357"/>
      <c r="DB78" s="357"/>
      <c r="DC78" s="357"/>
      <c r="DD78" s="357"/>
      <c r="DE78" s="357"/>
      <c r="DF78" s="357"/>
      <c r="DG78" s="357"/>
      <c r="DH78" s="357"/>
      <c r="DI78" s="357"/>
      <c r="DJ78" s="357"/>
      <c r="DK78" s="357"/>
      <c r="DL78" s="357"/>
      <c r="DM78" s="357"/>
      <c r="DN78" s="357"/>
      <c r="DO78" s="357"/>
      <c r="DP78" s="357"/>
      <c r="DQ78" s="357"/>
      <c r="DR78" s="357"/>
      <c r="DS78" s="357"/>
      <c r="DT78" s="357"/>
      <c r="DU78" s="357"/>
      <c r="DV78" s="357"/>
      <c r="DW78" s="357"/>
      <c r="DX78" s="357"/>
      <c r="DY78" s="357"/>
      <c r="DZ78" s="357"/>
      <c r="EA78" s="357"/>
      <c r="EB78" s="357"/>
      <c r="EC78" s="357"/>
      <c r="ED78" s="357"/>
      <c r="EE78" s="357"/>
      <c r="EF78" s="357"/>
      <c r="EG78" s="357"/>
      <c r="EH78" s="357"/>
      <c r="EI78" s="357"/>
      <c r="EJ78" s="357"/>
      <c r="EK78" s="357"/>
      <c r="EL78" s="357"/>
      <c r="EM78" s="357"/>
      <c r="EN78" s="357"/>
      <c r="EO78" s="357"/>
      <c r="EP78" s="357"/>
      <c r="EQ78" s="357"/>
      <c r="ER78" s="357"/>
      <c r="ES78" s="357"/>
      <c r="ET78" s="357"/>
      <c r="EU78" s="357"/>
      <c r="EV78" s="357"/>
      <c r="EW78" s="357"/>
      <c r="EX78" s="357"/>
      <c r="EY78" s="357"/>
      <c r="EZ78" s="357"/>
      <c r="FA78" s="357"/>
      <c r="FB78" s="357"/>
      <c r="FC78" s="357"/>
      <c r="FD78" s="357"/>
      <c r="FE78" s="357"/>
      <c r="FF78" s="357"/>
      <c r="FG78" s="357"/>
      <c r="FH78" s="357"/>
      <c r="FI78" s="357"/>
      <c r="FJ78" s="357"/>
      <c r="FK78" s="357"/>
      <c r="FL78" s="357"/>
      <c r="FM78" s="357"/>
      <c r="FN78" s="357"/>
      <c r="FO78" s="357"/>
      <c r="FP78" s="357"/>
      <c r="FQ78" s="357"/>
      <c r="FR78" s="357"/>
      <c r="FS78" s="357"/>
      <c r="FT78" s="357"/>
      <c r="FU78" s="357"/>
      <c r="FV78" s="357"/>
      <c r="FW78" s="357"/>
      <c r="FX78" s="357"/>
      <c r="FY78" s="357"/>
      <c r="FZ78" s="357"/>
      <c r="GA78" s="357"/>
      <c r="GB78" s="357"/>
      <c r="GC78" s="357"/>
      <c r="GD78" s="357"/>
      <c r="GE78" s="357"/>
      <c r="GF78" s="357"/>
      <c r="GG78" s="357"/>
      <c r="GH78" s="357"/>
      <c r="GI78" s="357"/>
      <c r="GJ78" s="357"/>
    </row>
    <row r="79" spans="26:192" ht="12.95" customHeight="1">
      <c r="Z79" s="357"/>
      <c r="AA79" s="357"/>
      <c r="AB79" s="357"/>
      <c r="AC79" s="357"/>
      <c r="AD79" s="357"/>
      <c r="AE79" s="357"/>
      <c r="AF79" s="357"/>
      <c r="AG79" s="357"/>
      <c r="AH79" s="357"/>
      <c r="AI79" s="357"/>
      <c r="AJ79" s="357"/>
      <c r="AK79" s="357"/>
      <c r="AL79" s="357"/>
      <c r="AM79" s="357"/>
      <c r="AN79" s="357"/>
      <c r="AO79" s="357"/>
      <c r="AP79" s="357"/>
      <c r="AQ79" s="357"/>
      <c r="AR79" s="357"/>
      <c r="AS79" s="357"/>
      <c r="AT79" s="357"/>
      <c r="AU79" s="357"/>
      <c r="AV79" s="357"/>
      <c r="AW79" s="357"/>
      <c r="AX79" s="357"/>
      <c r="AY79" s="357"/>
      <c r="AZ79" s="357"/>
      <c r="BA79" s="357"/>
      <c r="BB79" s="357"/>
      <c r="BC79" s="357"/>
      <c r="BD79" s="357"/>
      <c r="BE79" s="357"/>
      <c r="BF79" s="357"/>
      <c r="BG79" s="357"/>
      <c r="BH79" s="357"/>
      <c r="BI79" s="357"/>
      <c r="BJ79" s="357"/>
      <c r="BK79" s="357"/>
      <c r="BL79" s="357"/>
      <c r="BM79" s="357"/>
      <c r="BN79" s="357"/>
      <c r="BO79" s="357"/>
      <c r="BP79" s="357"/>
      <c r="BQ79" s="357"/>
      <c r="BR79" s="357"/>
      <c r="BS79" s="357"/>
      <c r="BT79" s="357"/>
      <c r="BU79" s="357"/>
      <c r="BV79" s="357"/>
      <c r="BW79" s="357"/>
      <c r="BX79" s="357"/>
      <c r="BY79" s="357"/>
      <c r="BZ79" s="357"/>
      <c r="CA79" s="357"/>
      <c r="CB79" s="357"/>
      <c r="CC79" s="357"/>
      <c r="CD79" s="357"/>
      <c r="CE79" s="357"/>
      <c r="CF79" s="357"/>
      <c r="CG79" s="357"/>
      <c r="CH79" s="357"/>
      <c r="CI79" s="357"/>
      <c r="CJ79" s="357"/>
      <c r="CK79" s="357"/>
      <c r="CL79" s="357"/>
      <c r="CM79" s="357"/>
      <c r="CN79" s="357"/>
      <c r="CO79" s="357"/>
      <c r="CP79" s="357"/>
      <c r="CQ79" s="357"/>
      <c r="CR79" s="357"/>
      <c r="CS79" s="357"/>
      <c r="CT79" s="357"/>
      <c r="CU79" s="357"/>
      <c r="CV79" s="357"/>
      <c r="CW79" s="357"/>
      <c r="CX79" s="357"/>
      <c r="CY79" s="357"/>
      <c r="CZ79" s="357"/>
      <c r="DA79" s="357"/>
      <c r="DB79" s="357"/>
      <c r="DC79" s="357"/>
      <c r="DD79" s="357"/>
      <c r="DE79" s="357"/>
      <c r="DF79" s="357"/>
      <c r="DG79" s="357"/>
      <c r="DH79" s="357"/>
      <c r="DI79" s="357"/>
      <c r="DJ79" s="357"/>
      <c r="DK79" s="357"/>
      <c r="DL79" s="357"/>
      <c r="DM79" s="357"/>
      <c r="DN79" s="357"/>
      <c r="DO79" s="357"/>
      <c r="DP79" s="357"/>
      <c r="DQ79" s="357"/>
      <c r="DR79" s="357"/>
      <c r="DS79" s="357"/>
      <c r="DT79" s="357"/>
      <c r="DU79" s="357"/>
      <c r="DV79" s="357"/>
      <c r="DW79" s="357"/>
      <c r="DX79" s="357"/>
      <c r="DY79" s="357"/>
      <c r="DZ79" s="357"/>
      <c r="EA79" s="357"/>
      <c r="EB79" s="357"/>
      <c r="EC79" s="357"/>
      <c r="ED79" s="357"/>
      <c r="EE79" s="357"/>
      <c r="EF79" s="357"/>
      <c r="EG79" s="357"/>
      <c r="EH79" s="357"/>
      <c r="EI79" s="357"/>
      <c r="EJ79" s="357"/>
      <c r="EK79" s="357"/>
      <c r="EL79" s="357"/>
      <c r="EM79" s="357"/>
      <c r="EN79" s="357"/>
      <c r="EO79" s="357"/>
      <c r="EP79" s="357"/>
      <c r="EQ79" s="357"/>
      <c r="ER79" s="357"/>
      <c r="ES79" s="357"/>
      <c r="ET79" s="357"/>
      <c r="EU79" s="357"/>
      <c r="EV79" s="357"/>
      <c r="EW79" s="357"/>
      <c r="EX79" s="357"/>
      <c r="EY79" s="357"/>
      <c r="EZ79" s="357"/>
      <c r="FA79" s="357"/>
      <c r="FB79" s="357"/>
      <c r="FC79" s="357"/>
      <c r="FD79" s="357"/>
      <c r="FE79" s="357"/>
      <c r="FF79" s="357"/>
      <c r="FG79" s="357"/>
      <c r="FH79" s="357"/>
      <c r="FI79" s="357"/>
      <c r="FJ79" s="357"/>
      <c r="FK79" s="357"/>
      <c r="FL79" s="357"/>
      <c r="FM79" s="357"/>
      <c r="FN79" s="357"/>
      <c r="FO79" s="357"/>
      <c r="FP79" s="357"/>
      <c r="FQ79" s="357"/>
      <c r="FR79" s="357"/>
      <c r="FS79" s="357"/>
      <c r="FT79" s="357"/>
      <c r="FU79" s="357"/>
      <c r="FV79" s="357"/>
      <c r="FW79" s="357"/>
      <c r="FX79" s="357"/>
      <c r="FY79" s="357"/>
      <c r="FZ79" s="357"/>
      <c r="GA79" s="357"/>
      <c r="GB79" s="357"/>
      <c r="GC79" s="357"/>
      <c r="GD79" s="357"/>
      <c r="GE79" s="357"/>
      <c r="GF79" s="357"/>
      <c r="GG79" s="357"/>
      <c r="GH79" s="357"/>
      <c r="GI79" s="357"/>
      <c r="GJ79" s="357"/>
    </row>
    <row r="80" spans="26:192" ht="12.95" customHeight="1">
      <c r="Z80" s="357"/>
      <c r="AA80" s="357"/>
      <c r="AB80" s="357"/>
      <c r="AC80" s="357"/>
      <c r="AD80" s="357"/>
      <c r="AE80" s="357"/>
      <c r="AF80" s="357"/>
      <c r="AG80" s="357"/>
      <c r="AH80" s="357"/>
      <c r="AI80" s="357"/>
      <c r="AJ80" s="357"/>
      <c r="AK80" s="357"/>
      <c r="AL80" s="357"/>
      <c r="AM80" s="357"/>
      <c r="AN80" s="357"/>
      <c r="AO80" s="357"/>
      <c r="AP80" s="357"/>
      <c r="AQ80" s="357"/>
      <c r="AR80" s="357"/>
      <c r="AS80" s="357"/>
      <c r="AT80" s="357"/>
      <c r="AU80" s="357"/>
      <c r="AV80" s="357"/>
      <c r="AW80" s="357"/>
      <c r="AX80" s="357"/>
      <c r="AY80" s="357"/>
      <c r="AZ80" s="357"/>
      <c r="BA80" s="357"/>
      <c r="BB80" s="357"/>
      <c r="BC80" s="357"/>
      <c r="BD80" s="357"/>
      <c r="BE80" s="357"/>
      <c r="BF80" s="357"/>
      <c r="BG80" s="357"/>
      <c r="BH80" s="357"/>
      <c r="BI80" s="357"/>
      <c r="BJ80" s="357"/>
      <c r="BK80" s="357"/>
      <c r="BL80" s="357"/>
      <c r="BM80" s="357"/>
      <c r="BN80" s="357"/>
      <c r="BO80" s="357"/>
      <c r="BP80" s="357"/>
      <c r="BQ80" s="357"/>
      <c r="BR80" s="357"/>
      <c r="BS80" s="357"/>
      <c r="BT80" s="357"/>
      <c r="BU80" s="357"/>
      <c r="BV80" s="357"/>
      <c r="BW80" s="357"/>
      <c r="BX80" s="357"/>
      <c r="BY80" s="357"/>
      <c r="BZ80" s="357"/>
      <c r="CA80" s="357"/>
      <c r="CB80" s="357"/>
      <c r="CC80" s="357"/>
      <c r="CD80" s="357"/>
      <c r="CE80" s="357"/>
      <c r="CF80" s="357"/>
      <c r="CG80" s="357"/>
      <c r="CH80" s="357"/>
      <c r="CI80" s="357"/>
      <c r="CJ80" s="357"/>
      <c r="CK80" s="357"/>
      <c r="CL80" s="357"/>
      <c r="CM80" s="357"/>
      <c r="CN80" s="357"/>
      <c r="CO80" s="357"/>
      <c r="CP80" s="357"/>
      <c r="CQ80" s="357"/>
      <c r="CR80" s="357"/>
      <c r="CS80" s="357"/>
      <c r="CT80" s="357"/>
      <c r="CU80" s="357"/>
      <c r="CV80" s="357"/>
      <c r="CW80" s="357"/>
      <c r="CX80" s="357"/>
      <c r="CY80" s="357"/>
      <c r="CZ80" s="357"/>
      <c r="DA80" s="357"/>
      <c r="DB80" s="357"/>
      <c r="DC80" s="357"/>
      <c r="DD80" s="357"/>
      <c r="DE80" s="357"/>
      <c r="DF80" s="357"/>
      <c r="DG80" s="357"/>
      <c r="DH80" s="357"/>
      <c r="DI80" s="357"/>
      <c r="DJ80" s="357"/>
      <c r="DK80" s="357"/>
      <c r="DL80" s="357"/>
      <c r="DM80" s="357"/>
      <c r="DN80" s="357"/>
      <c r="DO80" s="357"/>
      <c r="DP80" s="357"/>
      <c r="DQ80" s="357"/>
      <c r="DR80" s="357"/>
      <c r="DS80" s="357"/>
      <c r="DT80" s="357"/>
      <c r="DU80" s="357"/>
      <c r="DV80" s="357"/>
      <c r="DW80" s="357"/>
      <c r="DX80" s="357"/>
      <c r="DY80" s="357"/>
      <c r="DZ80" s="357"/>
      <c r="EA80" s="357"/>
      <c r="EB80" s="357"/>
      <c r="EC80" s="357"/>
      <c r="ED80" s="357"/>
      <c r="EE80" s="357"/>
      <c r="EF80" s="357"/>
      <c r="EG80" s="357"/>
      <c r="EH80" s="357"/>
      <c r="EI80" s="357"/>
      <c r="EJ80" s="357"/>
      <c r="EK80" s="357"/>
      <c r="EL80" s="357"/>
      <c r="EM80" s="357"/>
      <c r="EN80" s="357"/>
      <c r="EO80" s="357"/>
      <c r="EP80" s="357"/>
      <c r="EQ80" s="357"/>
      <c r="ER80" s="357"/>
      <c r="ES80" s="357"/>
      <c r="ET80" s="357"/>
      <c r="EU80" s="357"/>
      <c r="EV80" s="357"/>
      <c r="EW80" s="357"/>
      <c r="EX80" s="357"/>
      <c r="EY80" s="357"/>
      <c r="EZ80" s="357"/>
      <c r="FA80" s="357"/>
      <c r="FB80" s="357"/>
      <c r="FC80" s="357"/>
      <c r="FD80" s="357"/>
      <c r="FE80" s="357"/>
      <c r="FF80" s="357"/>
      <c r="FG80" s="357"/>
      <c r="FH80" s="357"/>
      <c r="FI80" s="357"/>
      <c r="FJ80" s="357"/>
      <c r="FK80" s="357"/>
      <c r="FL80" s="357"/>
      <c r="FM80" s="357"/>
      <c r="FN80" s="357"/>
      <c r="FO80" s="357"/>
      <c r="FP80" s="357"/>
      <c r="FQ80" s="357"/>
      <c r="FR80" s="357"/>
      <c r="FS80" s="357"/>
      <c r="FT80" s="357"/>
      <c r="FU80" s="357"/>
      <c r="FV80" s="357"/>
      <c r="FW80" s="357"/>
      <c r="FX80" s="357"/>
      <c r="FY80" s="357"/>
      <c r="FZ80" s="357"/>
      <c r="GA80" s="357"/>
      <c r="GB80" s="357"/>
      <c r="GC80" s="357"/>
      <c r="GD80" s="357"/>
      <c r="GE80" s="357"/>
      <c r="GF80" s="357"/>
      <c r="GG80" s="357"/>
      <c r="GH80" s="357"/>
      <c r="GI80" s="357"/>
      <c r="GJ80" s="357"/>
    </row>
    <row r="81" spans="7:206">
      <c r="R81" s="154"/>
      <c r="S81" s="154"/>
      <c r="T81" s="154"/>
      <c r="U81" s="154"/>
      <c r="V81" s="154"/>
      <c r="W81" s="154"/>
      <c r="X81" s="154"/>
      <c r="Y81" s="154"/>
      <c r="Z81" s="357"/>
      <c r="AA81" s="357"/>
      <c r="AB81" s="357"/>
      <c r="AC81" s="357"/>
      <c r="AD81" s="357"/>
      <c r="AE81" s="357"/>
      <c r="AF81" s="357"/>
      <c r="AG81" s="357"/>
      <c r="AH81" s="357"/>
      <c r="AI81" s="357"/>
      <c r="AJ81" s="357"/>
      <c r="AK81" s="357"/>
      <c r="AL81" s="357"/>
      <c r="AM81" s="357"/>
      <c r="AN81" s="357"/>
      <c r="AO81" s="357"/>
      <c r="AP81" s="357"/>
      <c r="AQ81" s="357"/>
      <c r="AR81" s="357"/>
      <c r="AS81" s="357"/>
      <c r="AT81" s="357"/>
      <c r="AU81" s="357"/>
      <c r="AV81" s="357"/>
      <c r="AW81" s="357"/>
      <c r="AX81" s="357"/>
      <c r="AY81" s="357"/>
      <c r="AZ81" s="357"/>
      <c r="BA81" s="357"/>
      <c r="BB81" s="357"/>
      <c r="BC81" s="357"/>
      <c r="BD81" s="357"/>
      <c r="BE81" s="357"/>
      <c r="BF81" s="357"/>
      <c r="BG81" s="357"/>
      <c r="BH81" s="357"/>
      <c r="BI81" s="357"/>
      <c r="BJ81" s="357"/>
      <c r="BK81" s="357"/>
      <c r="BL81" s="357"/>
      <c r="BM81" s="357"/>
      <c r="BN81" s="357"/>
      <c r="BO81" s="357"/>
      <c r="BP81" s="357"/>
      <c r="BQ81" s="357"/>
      <c r="BR81" s="357"/>
      <c r="BS81" s="357"/>
      <c r="BT81" s="357"/>
      <c r="BU81" s="357"/>
      <c r="BV81" s="357"/>
      <c r="BW81" s="357"/>
      <c r="BX81" s="357"/>
      <c r="BY81" s="357"/>
      <c r="BZ81" s="357"/>
      <c r="CA81" s="357"/>
      <c r="CB81" s="357"/>
      <c r="CC81" s="357"/>
      <c r="CD81" s="357"/>
      <c r="CE81" s="357"/>
      <c r="CF81" s="357"/>
      <c r="CG81" s="357"/>
      <c r="CH81" s="357"/>
      <c r="CI81" s="357"/>
      <c r="CJ81" s="357"/>
      <c r="CK81" s="357"/>
      <c r="CL81" s="357"/>
      <c r="CM81" s="357"/>
      <c r="CN81" s="357"/>
      <c r="CO81" s="357"/>
      <c r="CP81" s="357"/>
      <c r="CQ81" s="357"/>
      <c r="CR81" s="357"/>
      <c r="CS81" s="357"/>
      <c r="CT81" s="357"/>
      <c r="CU81" s="357"/>
      <c r="CV81" s="357"/>
      <c r="CW81" s="357"/>
      <c r="CX81" s="357"/>
      <c r="CY81" s="357"/>
      <c r="CZ81" s="357"/>
      <c r="DA81" s="357"/>
      <c r="DB81" s="357"/>
      <c r="DC81" s="357"/>
      <c r="DD81" s="357"/>
      <c r="DE81" s="357"/>
      <c r="DF81" s="357"/>
      <c r="DG81" s="357"/>
      <c r="DH81" s="357"/>
      <c r="DI81" s="357"/>
      <c r="DJ81" s="357"/>
      <c r="DK81" s="357"/>
      <c r="DL81" s="357"/>
      <c r="DM81" s="357"/>
      <c r="DN81" s="357"/>
      <c r="DO81" s="357"/>
      <c r="DP81" s="357"/>
      <c r="DQ81" s="357"/>
      <c r="DR81" s="357"/>
      <c r="DS81" s="357"/>
      <c r="DT81" s="357"/>
      <c r="DU81" s="357"/>
      <c r="DV81" s="357"/>
      <c r="DW81" s="357"/>
      <c r="DX81" s="357"/>
      <c r="DY81" s="357"/>
      <c r="DZ81" s="357"/>
      <c r="EA81" s="357"/>
      <c r="EB81" s="357"/>
      <c r="EC81" s="357"/>
      <c r="ED81" s="357"/>
      <c r="EE81" s="357"/>
      <c r="EF81" s="357"/>
      <c r="EG81" s="357"/>
      <c r="EH81" s="357"/>
      <c r="EI81" s="357"/>
      <c r="EJ81" s="357"/>
      <c r="EK81" s="357"/>
      <c r="EL81" s="357"/>
      <c r="EM81" s="357"/>
      <c r="EN81" s="357"/>
      <c r="EO81" s="357"/>
      <c r="EP81" s="357"/>
      <c r="EQ81" s="357"/>
      <c r="ER81" s="357"/>
      <c r="ES81" s="357"/>
      <c r="ET81" s="357"/>
      <c r="EU81" s="357"/>
      <c r="EV81" s="357"/>
      <c r="EW81" s="357"/>
      <c r="EX81" s="357"/>
      <c r="EY81" s="357"/>
      <c r="EZ81" s="357"/>
      <c r="FA81" s="357"/>
      <c r="FB81" s="357"/>
      <c r="FC81" s="357"/>
      <c r="FD81" s="357"/>
      <c r="FE81" s="357"/>
      <c r="FF81" s="357"/>
      <c r="FG81" s="357"/>
      <c r="FH81" s="357"/>
      <c r="FI81" s="357"/>
      <c r="FJ81" s="357"/>
      <c r="FK81" s="357"/>
      <c r="FL81" s="357"/>
      <c r="FM81" s="357"/>
      <c r="FN81" s="357"/>
      <c r="FO81" s="357"/>
      <c r="FP81" s="357"/>
      <c r="FQ81" s="357"/>
      <c r="FR81" s="357"/>
      <c r="FS81" s="357"/>
      <c r="FT81" s="357"/>
      <c r="FU81" s="357"/>
      <c r="FV81" s="357"/>
      <c r="FW81" s="357"/>
      <c r="FX81" s="357"/>
      <c r="FY81" s="357"/>
      <c r="FZ81" s="357"/>
      <c r="GA81" s="357"/>
      <c r="GB81" s="357"/>
      <c r="GC81" s="357"/>
      <c r="GD81" s="357"/>
      <c r="GE81" s="357"/>
      <c r="GF81" s="357"/>
      <c r="GG81" s="357"/>
      <c r="GH81" s="357"/>
      <c r="GI81" s="357"/>
      <c r="GJ81" s="357"/>
    </row>
    <row r="82" spans="7:206">
      <c r="R82" s="154"/>
      <c r="S82" s="154"/>
      <c r="T82" s="154"/>
      <c r="U82" s="154"/>
      <c r="V82" s="154"/>
      <c r="W82" s="154"/>
      <c r="X82" s="154"/>
      <c r="Y82" s="154"/>
      <c r="Z82" s="357"/>
      <c r="AA82" s="357"/>
      <c r="AB82" s="357"/>
      <c r="AC82" s="357"/>
      <c r="AD82" s="357"/>
      <c r="AE82" s="357"/>
      <c r="AF82" s="357"/>
      <c r="AG82" s="357"/>
      <c r="AH82" s="357"/>
      <c r="AI82" s="357"/>
      <c r="AJ82" s="357"/>
      <c r="AK82" s="357"/>
      <c r="AL82" s="357"/>
      <c r="AM82" s="357"/>
      <c r="AN82" s="357"/>
      <c r="AO82" s="357"/>
      <c r="AP82" s="357"/>
      <c r="AQ82" s="357"/>
      <c r="AR82" s="357"/>
      <c r="AS82" s="357"/>
      <c r="AT82" s="357"/>
      <c r="AU82" s="357"/>
      <c r="AV82" s="357"/>
      <c r="AW82" s="357"/>
      <c r="AX82" s="357"/>
      <c r="AY82" s="357"/>
      <c r="AZ82" s="357"/>
      <c r="BA82" s="357"/>
      <c r="BB82" s="357"/>
      <c r="BC82" s="357"/>
      <c r="BD82" s="357"/>
      <c r="BE82" s="357"/>
      <c r="BF82" s="357"/>
      <c r="BG82" s="357"/>
      <c r="BH82" s="357"/>
      <c r="BI82" s="357"/>
      <c r="BJ82" s="357"/>
      <c r="BK82" s="357"/>
      <c r="BL82" s="357"/>
      <c r="BM82" s="357"/>
      <c r="BN82" s="357"/>
      <c r="BO82" s="357"/>
      <c r="BP82" s="357"/>
      <c r="BQ82" s="357"/>
      <c r="BR82" s="357"/>
      <c r="BS82" s="357"/>
      <c r="BT82" s="357"/>
      <c r="BU82" s="357"/>
      <c r="BV82" s="357"/>
      <c r="BW82" s="357"/>
      <c r="BX82" s="357"/>
      <c r="BY82" s="357"/>
      <c r="BZ82" s="357"/>
      <c r="CA82" s="357"/>
      <c r="CB82" s="357"/>
      <c r="CC82" s="357"/>
      <c r="CD82" s="357"/>
      <c r="CE82" s="357"/>
      <c r="CF82" s="357"/>
      <c r="CG82" s="357"/>
      <c r="CH82" s="357"/>
      <c r="CI82" s="357"/>
      <c r="CJ82" s="357"/>
      <c r="CK82" s="357"/>
      <c r="CL82" s="357"/>
      <c r="CM82" s="357"/>
      <c r="CN82" s="357"/>
      <c r="CO82" s="357"/>
      <c r="CP82" s="357"/>
      <c r="CQ82" s="357"/>
      <c r="CR82" s="357"/>
      <c r="CS82" s="357"/>
      <c r="CT82" s="357"/>
      <c r="CU82" s="357"/>
      <c r="CV82" s="357"/>
      <c r="CW82" s="357"/>
      <c r="CX82" s="357"/>
      <c r="CY82" s="357"/>
      <c r="CZ82" s="357"/>
      <c r="DA82" s="357"/>
      <c r="DB82" s="357"/>
      <c r="DC82" s="357"/>
      <c r="DD82" s="357"/>
      <c r="DE82" s="357"/>
      <c r="DF82" s="357"/>
      <c r="DG82" s="357"/>
      <c r="DH82" s="357"/>
      <c r="DI82" s="357"/>
      <c r="DJ82" s="357"/>
      <c r="DK82" s="357"/>
      <c r="DL82" s="357"/>
      <c r="DM82" s="357"/>
      <c r="DN82" s="357"/>
      <c r="DO82" s="357"/>
      <c r="DP82" s="357"/>
      <c r="DQ82" s="357"/>
      <c r="DR82" s="357"/>
      <c r="DS82" s="357"/>
      <c r="DT82" s="357"/>
      <c r="DU82" s="357"/>
      <c r="DV82" s="357"/>
      <c r="DW82" s="357"/>
      <c r="DX82" s="357"/>
      <c r="DY82" s="357"/>
      <c r="DZ82" s="357"/>
      <c r="EA82" s="357"/>
      <c r="EB82" s="357"/>
      <c r="EC82" s="357"/>
      <c r="ED82" s="357"/>
      <c r="EE82" s="357"/>
      <c r="EF82" s="357"/>
      <c r="EG82" s="357"/>
      <c r="EH82" s="357"/>
      <c r="EI82" s="357"/>
      <c r="EJ82" s="357"/>
      <c r="EK82" s="357"/>
      <c r="EL82" s="357"/>
      <c r="EM82" s="357"/>
      <c r="EN82" s="357"/>
      <c r="EO82" s="357"/>
      <c r="EP82" s="357"/>
      <c r="EQ82" s="357"/>
      <c r="ER82" s="357"/>
      <c r="ES82" s="357"/>
      <c r="ET82" s="357"/>
      <c r="EU82" s="357"/>
      <c r="EV82" s="357"/>
      <c r="EW82" s="357"/>
      <c r="EX82" s="357"/>
      <c r="EY82" s="357"/>
      <c r="EZ82" s="357"/>
      <c r="FA82" s="357"/>
      <c r="FB82" s="357"/>
      <c r="FC82" s="357"/>
      <c r="FD82" s="357"/>
      <c r="FE82" s="357"/>
      <c r="FF82" s="357"/>
      <c r="FG82" s="357"/>
      <c r="FH82" s="357"/>
      <c r="FI82" s="357"/>
      <c r="FJ82" s="357"/>
      <c r="FK82" s="357"/>
      <c r="FL82" s="357"/>
      <c r="FM82" s="357"/>
      <c r="FN82" s="357"/>
      <c r="FO82" s="357"/>
      <c r="FP82" s="357"/>
      <c r="FQ82" s="357"/>
      <c r="FR82" s="357"/>
      <c r="FS82" s="357"/>
      <c r="FT82" s="357"/>
      <c r="FU82" s="357"/>
      <c r="FV82" s="357"/>
      <c r="FW82" s="357"/>
      <c r="FX82" s="357"/>
      <c r="FY82" s="357"/>
      <c r="FZ82" s="357"/>
      <c r="GA82" s="357"/>
      <c r="GB82" s="357"/>
      <c r="GC82" s="357"/>
      <c r="GD82" s="357"/>
      <c r="GE82" s="357"/>
      <c r="GF82" s="357"/>
      <c r="GG82" s="357"/>
      <c r="GH82" s="357"/>
      <c r="GI82" s="357"/>
      <c r="GJ82" s="357"/>
    </row>
    <row r="83" spans="7:206">
      <c r="R83" s="154"/>
      <c r="S83" s="154"/>
      <c r="T83" s="154"/>
      <c r="U83" s="154"/>
      <c r="V83" s="154"/>
      <c r="W83" s="154"/>
      <c r="X83" s="154"/>
      <c r="Y83" s="154"/>
      <c r="Z83" s="357"/>
      <c r="AA83" s="357"/>
      <c r="AB83" s="357"/>
      <c r="AC83" s="357"/>
      <c r="AD83" s="357"/>
      <c r="AE83" s="357"/>
      <c r="AF83" s="357"/>
      <c r="AG83" s="357"/>
      <c r="AH83" s="357"/>
      <c r="AI83" s="357"/>
      <c r="AJ83" s="357"/>
      <c r="AK83" s="357"/>
      <c r="AL83" s="357"/>
      <c r="AM83" s="357"/>
      <c r="AN83" s="357"/>
      <c r="AO83" s="357"/>
      <c r="AP83" s="357"/>
      <c r="AQ83" s="357"/>
      <c r="AR83" s="357"/>
      <c r="AS83" s="357"/>
      <c r="AT83" s="357"/>
      <c r="AU83" s="357"/>
      <c r="AV83" s="357"/>
      <c r="AW83" s="357"/>
      <c r="AX83" s="357"/>
      <c r="AY83" s="357"/>
      <c r="AZ83" s="357"/>
      <c r="BA83" s="357"/>
      <c r="BB83" s="357"/>
      <c r="BC83" s="357"/>
      <c r="BD83" s="357"/>
      <c r="BE83" s="357"/>
      <c r="BF83" s="357"/>
      <c r="BG83" s="357"/>
      <c r="BH83" s="357"/>
      <c r="BI83" s="357"/>
      <c r="BJ83" s="357"/>
      <c r="BK83" s="357"/>
      <c r="BL83" s="357"/>
      <c r="BM83" s="357"/>
      <c r="BN83" s="357"/>
      <c r="BO83" s="357"/>
      <c r="BP83" s="357"/>
      <c r="BQ83" s="357"/>
      <c r="BR83" s="357"/>
      <c r="BS83" s="357"/>
      <c r="BT83" s="357"/>
      <c r="BU83" s="357"/>
      <c r="BV83" s="357"/>
      <c r="BW83" s="357"/>
      <c r="BX83" s="357"/>
      <c r="BY83" s="357"/>
      <c r="BZ83" s="357"/>
      <c r="CA83" s="357"/>
      <c r="CB83" s="357"/>
      <c r="CC83" s="357"/>
      <c r="CD83" s="357"/>
      <c r="CE83" s="357"/>
      <c r="CF83" s="357"/>
      <c r="CG83" s="357"/>
      <c r="CH83" s="357"/>
      <c r="CI83" s="357"/>
      <c r="CJ83" s="357"/>
      <c r="CK83" s="357"/>
      <c r="CL83" s="357"/>
      <c r="CM83" s="357"/>
      <c r="CN83" s="357"/>
      <c r="CO83" s="357"/>
      <c r="CP83" s="357"/>
      <c r="CQ83" s="357"/>
      <c r="CR83" s="357"/>
      <c r="CS83" s="357"/>
      <c r="CT83" s="357"/>
      <c r="CU83" s="357"/>
      <c r="CV83" s="357"/>
      <c r="CW83" s="357"/>
      <c r="CX83" s="357"/>
      <c r="CY83" s="357"/>
      <c r="CZ83" s="357"/>
      <c r="DA83" s="357"/>
      <c r="DB83" s="357"/>
      <c r="DC83" s="357"/>
      <c r="DD83" s="357"/>
      <c r="DE83" s="357"/>
      <c r="DF83" s="357"/>
      <c r="DG83" s="357"/>
      <c r="DH83" s="357"/>
      <c r="DI83" s="357"/>
      <c r="DJ83" s="357"/>
      <c r="DK83" s="357"/>
      <c r="DL83" s="357"/>
      <c r="DM83" s="357"/>
      <c r="DN83" s="357"/>
      <c r="DO83" s="357"/>
      <c r="DP83" s="357"/>
      <c r="DQ83" s="357"/>
      <c r="DR83" s="357"/>
      <c r="DS83" s="357"/>
      <c r="DT83" s="357"/>
      <c r="DU83" s="357"/>
      <c r="DV83" s="357"/>
      <c r="DW83" s="357"/>
      <c r="DX83" s="357"/>
      <c r="DY83" s="357"/>
      <c r="DZ83" s="357"/>
      <c r="EA83" s="357"/>
      <c r="EB83" s="357"/>
      <c r="EC83" s="357"/>
      <c r="ED83" s="357"/>
      <c r="EE83" s="357"/>
      <c r="EF83" s="357"/>
      <c r="EG83" s="357"/>
      <c r="EH83" s="357"/>
      <c r="EI83" s="357"/>
      <c r="EJ83" s="357"/>
      <c r="EK83" s="357"/>
      <c r="EL83" s="357"/>
      <c r="EM83" s="357"/>
      <c r="EN83" s="357"/>
      <c r="EO83" s="357"/>
      <c r="EP83" s="357"/>
      <c r="EQ83" s="357"/>
      <c r="ER83" s="357"/>
      <c r="ES83" s="357"/>
      <c r="ET83" s="357"/>
      <c r="EU83" s="357"/>
      <c r="EV83" s="357"/>
      <c r="EW83" s="357"/>
      <c r="EX83" s="357"/>
      <c r="EY83" s="357"/>
      <c r="EZ83" s="357"/>
      <c r="FA83" s="357"/>
      <c r="FB83" s="357"/>
      <c r="FC83" s="357"/>
      <c r="FD83" s="357"/>
      <c r="FE83" s="357"/>
      <c r="FF83" s="357"/>
      <c r="FG83" s="357"/>
      <c r="FH83" s="357"/>
      <c r="FI83" s="357"/>
      <c r="FJ83" s="357"/>
      <c r="FK83" s="357"/>
      <c r="FL83" s="357"/>
      <c r="FM83" s="357"/>
      <c r="FN83" s="357"/>
      <c r="FO83" s="357"/>
      <c r="FP83" s="357"/>
      <c r="FQ83" s="357"/>
      <c r="FR83" s="357"/>
      <c r="FS83" s="357"/>
      <c r="FT83" s="357"/>
      <c r="FU83" s="357"/>
      <c r="FV83" s="357"/>
      <c r="FW83" s="357"/>
      <c r="FX83" s="357"/>
      <c r="FY83" s="357"/>
      <c r="FZ83" s="357"/>
      <c r="GA83" s="357"/>
      <c r="GB83" s="357"/>
      <c r="GC83" s="357"/>
      <c r="GD83" s="357"/>
      <c r="GE83" s="357"/>
      <c r="GF83" s="357"/>
      <c r="GG83" s="357"/>
      <c r="GH83" s="357"/>
      <c r="GI83" s="357"/>
      <c r="GJ83" s="357"/>
    </row>
    <row r="84" spans="7:206">
      <c r="R84" s="154"/>
      <c r="S84" s="154"/>
      <c r="T84" s="154"/>
      <c r="U84" s="154"/>
      <c r="V84" s="154"/>
      <c r="W84" s="154"/>
      <c r="X84" s="154"/>
      <c r="Y84" s="154"/>
      <c r="Z84" s="357"/>
      <c r="AA84" s="357"/>
      <c r="AB84" s="357"/>
      <c r="AC84" s="357"/>
      <c r="AD84" s="357"/>
      <c r="AE84" s="357"/>
      <c r="AF84" s="357"/>
      <c r="AG84" s="357"/>
      <c r="AH84" s="357"/>
      <c r="AI84" s="357"/>
      <c r="AJ84" s="357"/>
      <c r="AK84" s="357"/>
      <c r="AL84" s="357"/>
      <c r="AM84" s="357"/>
      <c r="AN84" s="357"/>
      <c r="AO84" s="357"/>
      <c r="AP84" s="357"/>
      <c r="AQ84" s="357"/>
      <c r="AR84" s="357"/>
      <c r="AS84" s="357"/>
      <c r="AT84" s="357"/>
      <c r="AU84" s="357"/>
      <c r="AV84" s="357"/>
      <c r="AW84" s="357"/>
      <c r="AX84" s="357"/>
      <c r="AY84" s="357"/>
      <c r="AZ84" s="357"/>
      <c r="BA84" s="357"/>
      <c r="BB84" s="357"/>
      <c r="BC84" s="357"/>
      <c r="BD84" s="357"/>
      <c r="BE84" s="357"/>
      <c r="BF84" s="357"/>
      <c r="BG84" s="357"/>
      <c r="BH84" s="357"/>
      <c r="BI84" s="357"/>
      <c r="BJ84" s="357"/>
      <c r="BK84" s="357"/>
      <c r="BL84" s="357"/>
      <c r="BM84" s="357"/>
      <c r="BN84" s="357"/>
      <c r="BO84" s="357"/>
      <c r="BP84" s="357"/>
      <c r="BQ84" s="357"/>
      <c r="BR84" s="357"/>
      <c r="BS84" s="357"/>
      <c r="BT84" s="357"/>
      <c r="BU84" s="357"/>
      <c r="BV84" s="357"/>
      <c r="BW84" s="357"/>
      <c r="BX84" s="357"/>
      <c r="BY84" s="357"/>
      <c r="BZ84" s="357"/>
      <c r="CA84" s="357"/>
      <c r="CB84" s="357"/>
      <c r="CC84" s="357"/>
      <c r="CD84" s="357"/>
      <c r="CE84" s="357"/>
      <c r="CF84" s="357"/>
      <c r="CG84" s="357"/>
      <c r="CH84" s="357"/>
      <c r="CI84" s="357"/>
      <c r="CJ84" s="357"/>
      <c r="CK84" s="357"/>
      <c r="CL84" s="357"/>
      <c r="CM84" s="357"/>
      <c r="CN84" s="357"/>
      <c r="CO84" s="357"/>
      <c r="CP84" s="357"/>
      <c r="CQ84" s="357"/>
      <c r="CR84" s="357"/>
      <c r="CS84" s="357"/>
      <c r="CT84" s="357"/>
      <c r="CU84" s="357"/>
      <c r="CV84" s="357"/>
      <c r="CW84" s="357"/>
      <c r="CX84" s="357"/>
      <c r="CY84" s="357"/>
      <c r="CZ84" s="357"/>
      <c r="DA84" s="357"/>
      <c r="DB84" s="357"/>
      <c r="DC84" s="357"/>
      <c r="DD84" s="357"/>
      <c r="DE84" s="357"/>
      <c r="DF84" s="357"/>
      <c r="DG84" s="357"/>
      <c r="DH84" s="357"/>
      <c r="DI84" s="357"/>
      <c r="DJ84" s="357"/>
      <c r="DK84" s="357"/>
      <c r="DL84" s="357"/>
      <c r="DM84" s="357"/>
      <c r="DN84" s="357"/>
      <c r="DO84" s="357"/>
      <c r="DP84" s="357"/>
      <c r="DQ84" s="357"/>
      <c r="DR84" s="357"/>
      <c r="DS84" s="357"/>
      <c r="DT84" s="357"/>
      <c r="DU84" s="357"/>
      <c r="DV84" s="357"/>
      <c r="DW84" s="357"/>
      <c r="DX84" s="357"/>
      <c r="DY84" s="357"/>
      <c r="DZ84" s="357"/>
      <c r="EA84" s="357"/>
      <c r="EB84" s="357"/>
      <c r="EC84" s="357"/>
      <c r="ED84" s="357"/>
      <c r="EE84" s="357"/>
      <c r="EF84" s="357"/>
      <c r="EG84" s="357"/>
      <c r="EH84" s="357"/>
      <c r="EI84" s="357"/>
      <c r="EJ84" s="357"/>
      <c r="EK84" s="357"/>
      <c r="EL84" s="357"/>
      <c r="EM84" s="357"/>
      <c r="EN84" s="357"/>
      <c r="EO84" s="357"/>
      <c r="EP84" s="357"/>
      <c r="EQ84" s="357"/>
      <c r="ER84" s="357"/>
      <c r="ES84" s="357"/>
      <c r="ET84" s="357"/>
      <c r="EU84" s="357"/>
      <c r="EV84" s="357"/>
      <c r="EW84" s="357"/>
      <c r="EX84" s="357"/>
      <c r="EY84" s="357"/>
      <c r="EZ84" s="357"/>
      <c r="FA84" s="357"/>
      <c r="FB84" s="357"/>
      <c r="FC84" s="357"/>
      <c r="FD84" s="357"/>
      <c r="FE84" s="357"/>
      <c r="FF84" s="357"/>
      <c r="FG84" s="357"/>
      <c r="FH84" s="357"/>
      <c r="FI84" s="357"/>
      <c r="FJ84" s="357"/>
      <c r="FK84" s="357"/>
      <c r="FL84" s="357"/>
      <c r="FM84" s="357"/>
      <c r="FN84" s="357"/>
      <c r="FO84" s="357"/>
      <c r="FP84" s="357"/>
      <c r="FQ84" s="357"/>
      <c r="FR84" s="357"/>
      <c r="FS84" s="357"/>
      <c r="FT84" s="357"/>
      <c r="FU84" s="357"/>
      <c r="FV84" s="357"/>
      <c r="FW84" s="357"/>
      <c r="FX84" s="357"/>
      <c r="FY84" s="357"/>
      <c r="FZ84" s="357"/>
      <c r="GA84" s="357"/>
      <c r="GB84" s="357"/>
      <c r="GC84" s="357"/>
      <c r="GD84" s="357"/>
      <c r="GE84" s="357"/>
      <c r="GF84" s="357"/>
      <c r="GG84" s="357"/>
      <c r="GH84" s="357"/>
      <c r="GI84" s="357"/>
      <c r="GJ84" s="357"/>
    </row>
    <row r="85" spans="7:206">
      <c r="G85" s="154"/>
      <c r="H85" s="154"/>
      <c r="I85" s="154"/>
      <c r="J85" s="154"/>
      <c r="K85" s="154"/>
      <c r="L85" s="154"/>
      <c r="M85" s="154"/>
      <c r="N85" s="154"/>
      <c r="O85" s="154"/>
      <c r="P85" s="154"/>
      <c r="Q85" s="154"/>
      <c r="R85" s="154"/>
      <c r="S85" s="154"/>
      <c r="T85" s="154"/>
      <c r="U85" s="154"/>
      <c r="V85" s="154"/>
      <c r="W85" s="154"/>
      <c r="X85" s="154"/>
      <c r="Y85" s="154"/>
      <c r="Z85" s="357"/>
      <c r="AA85" s="357"/>
      <c r="AB85" s="357"/>
      <c r="AC85" s="357"/>
      <c r="AD85" s="357"/>
      <c r="AE85" s="357"/>
      <c r="AF85" s="357"/>
      <c r="AG85" s="357"/>
      <c r="AH85" s="357"/>
      <c r="AI85" s="357"/>
      <c r="AJ85" s="357"/>
      <c r="AK85" s="357"/>
      <c r="AL85" s="357"/>
      <c r="AM85" s="357"/>
      <c r="AN85" s="357"/>
      <c r="AO85" s="357"/>
      <c r="AP85" s="357"/>
      <c r="AQ85" s="357"/>
      <c r="AR85" s="357"/>
      <c r="AS85" s="357"/>
      <c r="AT85" s="357"/>
      <c r="AU85" s="357"/>
      <c r="AV85" s="357"/>
      <c r="AW85" s="357"/>
      <c r="AX85" s="357"/>
      <c r="AY85" s="357"/>
      <c r="AZ85" s="357"/>
      <c r="BA85" s="357"/>
      <c r="BB85" s="357"/>
      <c r="BC85" s="357"/>
      <c r="BD85" s="357"/>
      <c r="BE85" s="357"/>
      <c r="BF85" s="357"/>
      <c r="BG85" s="357"/>
      <c r="BH85" s="357"/>
      <c r="BI85" s="357"/>
      <c r="BJ85" s="357"/>
      <c r="BK85" s="357"/>
      <c r="BL85" s="357"/>
      <c r="BM85" s="357"/>
      <c r="BN85" s="357"/>
      <c r="BO85" s="357"/>
      <c r="BP85" s="357"/>
      <c r="BQ85" s="357"/>
      <c r="BR85" s="357"/>
      <c r="BS85" s="357"/>
      <c r="BT85" s="357"/>
      <c r="BU85" s="357"/>
      <c r="BV85" s="357"/>
      <c r="BW85" s="357"/>
      <c r="BX85" s="357"/>
      <c r="BY85" s="357"/>
      <c r="BZ85" s="357"/>
      <c r="CA85" s="357"/>
      <c r="CB85" s="357"/>
      <c r="CC85" s="357"/>
      <c r="CD85" s="357"/>
      <c r="CE85" s="357"/>
      <c r="CF85" s="357"/>
      <c r="CG85" s="357"/>
      <c r="CH85" s="357"/>
      <c r="CI85" s="357"/>
      <c r="CJ85" s="357"/>
      <c r="CK85" s="357"/>
      <c r="CL85" s="357"/>
      <c r="CM85" s="357"/>
      <c r="CN85" s="357"/>
      <c r="CO85" s="357"/>
      <c r="CP85" s="357"/>
      <c r="CQ85" s="357"/>
      <c r="CR85" s="357"/>
      <c r="CS85" s="357"/>
      <c r="CT85" s="357"/>
      <c r="CU85" s="357"/>
      <c r="CV85" s="357"/>
      <c r="CW85" s="357"/>
      <c r="CX85" s="357"/>
      <c r="CY85" s="357"/>
      <c r="CZ85" s="357"/>
      <c r="DA85" s="357"/>
      <c r="DB85" s="357"/>
      <c r="DC85" s="357"/>
      <c r="DD85" s="357"/>
      <c r="DE85" s="357"/>
      <c r="DF85" s="357"/>
      <c r="DG85" s="357"/>
      <c r="DH85" s="357"/>
      <c r="DI85" s="357"/>
      <c r="DJ85" s="357"/>
      <c r="DK85" s="357"/>
      <c r="DL85" s="357"/>
      <c r="DM85" s="357"/>
      <c r="DN85" s="357"/>
      <c r="DO85" s="357"/>
      <c r="DP85" s="357"/>
      <c r="DQ85" s="357"/>
      <c r="DR85" s="357"/>
      <c r="DS85" s="357"/>
      <c r="DT85" s="357"/>
      <c r="DU85" s="357"/>
      <c r="DV85" s="357"/>
      <c r="DW85" s="357"/>
      <c r="DX85" s="357"/>
      <c r="DY85" s="357"/>
      <c r="DZ85" s="357"/>
      <c r="EA85" s="357"/>
      <c r="EB85" s="357"/>
      <c r="EC85" s="357"/>
      <c r="ED85" s="357"/>
      <c r="EE85" s="357"/>
      <c r="EF85" s="357"/>
      <c r="EG85" s="357"/>
      <c r="EH85" s="357"/>
      <c r="EI85" s="357"/>
      <c r="EJ85" s="357"/>
      <c r="EK85" s="357"/>
      <c r="EL85" s="357"/>
      <c r="EM85" s="357"/>
      <c r="EN85" s="357"/>
      <c r="EO85" s="357"/>
      <c r="EP85" s="357"/>
      <c r="EQ85" s="357"/>
      <c r="ER85" s="357"/>
      <c r="ES85" s="357"/>
      <c r="ET85" s="357"/>
      <c r="EU85" s="357"/>
      <c r="EV85" s="357"/>
      <c r="EW85" s="357"/>
      <c r="EX85" s="357"/>
      <c r="EY85" s="357"/>
      <c r="EZ85" s="357"/>
      <c r="FA85" s="357"/>
      <c r="FB85" s="357"/>
      <c r="FC85" s="357"/>
      <c r="FD85" s="357"/>
      <c r="FE85" s="357"/>
      <c r="FF85" s="357"/>
      <c r="FG85" s="357"/>
      <c r="FH85" s="357"/>
      <c r="FI85" s="357"/>
      <c r="FJ85" s="357"/>
      <c r="FK85" s="357"/>
      <c r="FL85" s="357"/>
      <c r="FM85" s="357"/>
      <c r="FN85" s="357"/>
      <c r="FO85" s="357"/>
      <c r="FP85" s="357"/>
      <c r="FQ85" s="357"/>
      <c r="FR85" s="357"/>
      <c r="FS85" s="357"/>
      <c r="FT85" s="357"/>
      <c r="FU85" s="357"/>
      <c r="FV85" s="357"/>
      <c r="FW85" s="357"/>
      <c r="FX85" s="357"/>
      <c r="FY85" s="357"/>
      <c r="FZ85" s="357"/>
      <c r="GA85" s="357"/>
      <c r="GB85" s="357"/>
      <c r="GC85" s="357"/>
      <c r="GD85" s="357"/>
      <c r="GE85" s="357"/>
      <c r="GF85" s="357"/>
      <c r="GG85" s="357"/>
      <c r="GH85" s="357"/>
      <c r="GI85" s="357"/>
      <c r="GJ85" s="357"/>
      <c r="GK85" s="154"/>
      <c r="GL85" s="154"/>
      <c r="GM85" s="154"/>
      <c r="GN85" s="154"/>
      <c r="GO85" s="154"/>
      <c r="GP85" s="154"/>
      <c r="GQ85" s="154"/>
      <c r="GR85" s="154"/>
      <c r="GS85" s="154"/>
      <c r="GT85" s="154"/>
      <c r="GU85" s="154"/>
      <c r="GV85" s="154"/>
      <c r="GW85" s="154"/>
      <c r="GX85" s="154"/>
    </row>
    <row r="86" spans="7:206">
      <c r="G86" s="154"/>
      <c r="H86" s="154"/>
      <c r="I86" s="154"/>
      <c r="J86" s="154"/>
      <c r="K86" s="154"/>
      <c r="L86" s="154"/>
      <c r="M86" s="154"/>
      <c r="N86" s="154"/>
      <c r="O86" s="154"/>
      <c r="P86" s="154"/>
      <c r="Q86" s="154"/>
      <c r="R86" s="154"/>
      <c r="S86" s="154"/>
      <c r="T86" s="154"/>
      <c r="U86" s="154"/>
      <c r="V86" s="154"/>
      <c r="W86" s="154"/>
      <c r="X86" s="154"/>
      <c r="Y86" s="154"/>
      <c r="Z86" s="357"/>
      <c r="AA86" s="357"/>
      <c r="AB86" s="357"/>
      <c r="AC86" s="357"/>
      <c r="AD86" s="357"/>
      <c r="AE86" s="357"/>
      <c r="AF86" s="357"/>
      <c r="AG86" s="357"/>
      <c r="AH86" s="357"/>
      <c r="AI86" s="357"/>
      <c r="AJ86" s="357"/>
      <c r="AK86" s="357"/>
      <c r="AL86" s="357"/>
      <c r="AM86" s="357"/>
      <c r="AN86" s="357"/>
      <c r="AO86" s="357"/>
      <c r="AP86" s="357"/>
      <c r="AQ86" s="357"/>
      <c r="AR86" s="357"/>
      <c r="AS86" s="357"/>
      <c r="AT86" s="357"/>
      <c r="AU86" s="357"/>
      <c r="AV86" s="357"/>
      <c r="AW86" s="357"/>
      <c r="AX86" s="357"/>
      <c r="AY86" s="357"/>
      <c r="AZ86" s="357"/>
      <c r="BA86" s="357"/>
      <c r="BB86" s="357"/>
      <c r="BC86" s="357"/>
      <c r="BD86" s="357"/>
      <c r="BE86" s="357"/>
      <c r="BF86" s="357"/>
      <c r="BG86" s="357"/>
      <c r="BH86" s="357"/>
      <c r="BI86" s="357"/>
      <c r="BJ86" s="357"/>
      <c r="BK86" s="357"/>
      <c r="BL86" s="357"/>
      <c r="BM86" s="357"/>
      <c r="BN86" s="357"/>
      <c r="BO86" s="357"/>
      <c r="BP86" s="357"/>
      <c r="BQ86" s="357"/>
      <c r="BR86" s="357"/>
      <c r="BS86" s="357"/>
      <c r="BT86" s="357"/>
      <c r="BU86" s="357"/>
      <c r="BV86" s="357"/>
      <c r="BW86" s="357"/>
      <c r="BX86" s="357"/>
      <c r="BY86" s="357"/>
      <c r="BZ86" s="357"/>
      <c r="CA86" s="357"/>
      <c r="CB86" s="357"/>
      <c r="CC86" s="357"/>
      <c r="CD86" s="357"/>
      <c r="CE86" s="357"/>
      <c r="CF86" s="357"/>
      <c r="CG86" s="357"/>
      <c r="CH86" s="357"/>
      <c r="CI86" s="357"/>
      <c r="CJ86" s="357"/>
      <c r="CK86" s="357"/>
      <c r="CL86" s="357"/>
      <c r="CM86" s="357"/>
      <c r="CN86" s="357"/>
      <c r="CO86" s="357"/>
      <c r="CP86" s="357"/>
      <c r="CQ86" s="357"/>
      <c r="CR86" s="357"/>
      <c r="CS86" s="357"/>
      <c r="CT86" s="357"/>
      <c r="CU86" s="357"/>
      <c r="CV86" s="357"/>
      <c r="CW86" s="357"/>
      <c r="CX86" s="357"/>
      <c r="CY86" s="357"/>
      <c r="CZ86" s="357"/>
      <c r="DA86" s="357"/>
      <c r="DB86" s="357"/>
      <c r="DC86" s="357"/>
      <c r="DD86" s="357"/>
      <c r="DE86" s="357"/>
      <c r="DF86" s="357"/>
      <c r="DG86" s="357"/>
      <c r="DH86" s="357"/>
      <c r="DI86" s="357"/>
      <c r="DJ86" s="357"/>
      <c r="DK86" s="357"/>
      <c r="DL86" s="357"/>
      <c r="DM86" s="357"/>
      <c r="DN86" s="357"/>
      <c r="DO86" s="357"/>
      <c r="DP86" s="357"/>
      <c r="DQ86" s="357"/>
      <c r="DR86" s="357"/>
      <c r="DS86" s="357"/>
      <c r="DT86" s="357"/>
      <c r="DU86" s="357"/>
      <c r="DV86" s="357"/>
      <c r="DW86" s="357"/>
      <c r="DX86" s="357"/>
      <c r="DY86" s="357"/>
      <c r="DZ86" s="357"/>
      <c r="EA86" s="357"/>
      <c r="EB86" s="357"/>
      <c r="EC86" s="357"/>
      <c r="ED86" s="357"/>
      <c r="EE86" s="357"/>
      <c r="EF86" s="357"/>
      <c r="EG86" s="357"/>
      <c r="EH86" s="357"/>
      <c r="EI86" s="357"/>
      <c r="EJ86" s="357"/>
      <c r="EK86" s="357"/>
      <c r="EL86" s="357"/>
      <c r="EM86" s="357"/>
      <c r="EN86" s="357"/>
      <c r="EO86" s="357"/>
      <c r="EP86" s="357"/>
      <c r="EQ86" s="357"/>
      <c r="ER86" s="357"/>
      <c r="ES86" s="357"/>
      <c r="ET86" s="357"/>
      <c r="EU86" s="357"/>
      <c r="EV86" s="357"/>
      <c r="EW86" s="357"/>
      <c r="EX86" s="357"/>
      <c r="EY86" s="357"/>
      <c r="EZ86" s="357"/>
      <c r="FA86" s="357"/>
      <c r="FB86" s="357"/>
      <c r="FC86" s="357"/>
      <c r="FD86" s="357"/>
      <c r="FE86" s="357"/>
      <c r="FF86" s="357"/>
      <c r="FG86" s="357"/>
      <c r="FH86" s="357"/>
      <c r="FI86" s="357"/>
      <c r="FJ86" s="357"/>
      <c r="FK86" s="357"/>
      <c r="FL86" s="357"/>
      <c r="FM86" s="357"/>
      <c r="FN86" s="357"/>
      <c r="FO86" s="357"/>
      <c r="FP86" s="357"/>
      <c r="FQ86" s="357"/>
      <c r="FR86" s="357"/>
      <c r="FS86" s="357"/>
      <c r="FT86" s="357"/>
      <c r="FU86" s="357"/>
      <c r="FV86" s="357"/>
      <c r="FW86" s="357"/>
      <c r="FX86" s="357"/>
      <c r="FY86" s="357"/>
      <c r="FZ86" s="357"/>
      <c r="GA86" s="357"/>
      <c r="GB86" s="357"/>
      <c r="GC86" s="357"/>
      <c r="GD86" s="357"/>
      <c r="GE86" s="357"/>
      <c r="GF86" s="357"/>
      <c r="GG86" s="357"/>
      <c r="GH86" s="357"/>
      <c r="GI86" s="357"/>
      <c r="GJ86" s="357"/>
      <c r="GK86" s="154"/>
      <c r="GL86" s="154"/>
      <c r="GM86" s="154"/>
      <c r="GN86" s="154"/>
      <c r="GO86" s="154"/>
      <c r="GP86" s="154"/>
      <c r="GQ86" s="154"/>
      <c r="GR86" s="154"/>
      <c r="GS86" s="154"/>
      <c r="GT86" s="154"/>
      <c r="GU86" s="154"/>
      <c r="GV86" s="154"/>
      <c r="GW86" s="154"/>
      <c r="GX86" s="154"/>
    </row>
    <row r="87" spans="7:206">
      <c r="G87" s="154"/>
      <c r="H87" s="154"/>
      <c r="I87" s="154"/>
      <c r="J87" s="154"/>
      <c r="K87" s="154"/>
      <c r="L87" s="154"/>
      <c r="M87" s="154"/>
      <c r="N87" s="154"/>
      <c r="O87" s="154"/>
      <c r="P87" s="154"/>
      <c r="Q87" s="154"/>
      <c r="R87" s="154"/>
      <c r="S87" s="154"/>
      <c r="T87" s="154"/>
      <c r="U87" s="154"/>
      <c r="V87" s="154"/>
      <c r="W87" s="154"/>
      <c r="X87" s="154"/>
      <c r="Y87" s="154"/>
      <c r="Z87" s="357"/>
      <c r="AA87" s="357"/>
      <c r="AB87" s="357"/>
      <c r="AC87" s="357"/>
      <c r="AD87" s="357"/>
      <c r="AE87" s="357"/>
      <c r="AF87" s="357"/>
      <c r="AG87" s="357"/>
      <c r="AH87" s="357"/>
      <c r="AI87" s="357"/>
      <c r="AJ87" s="357"/>
      <c r="AK87" s="357"/>
      <c r="AL87" s="357"/>
      <c r="AM87" s="357"/>
      <c r="AN87" s="357"/>
      <c r="AO87" s="357"/>
      <c r="AP87" s="357"/>
      <c r="AQ87" s="357"/>
      <c r="AR87" s="357"/>
      <c r="AS87" s="357"/>
      <c r="AT87" s="357"/>
      <c r="AU87" s="357"/>
      <c r="AV87" s="357"/>
      <c r="AW87" s="357"/>
      <c r="AX87" s="357"/>
      <c r="AY87" s="357"/>
      <c r="AZ87" s="357"/>
      <c r="BA87" s="357"/>
      <c r="BB87" s="357"/>
      <c r="BC87" s="357"/>
      <c r="BD87" s="357"/>
      <c r="BE87" s="357"/>
      <c r="BF87" s="357"/>
      <c r="BG87" s="357"/>
      <c r="BH87" s="357"/>
      <c r="BI87" s="357"/>
      <c r="BJ87" s="357"/>
      <c r="BK87" s="357"/>
      <c r="BL87" s="357"/>
      <c r="BM87" s="357"/>
      <c r="BN87" s="357"/>
      <c r="BO87" s="357"/>
      <c r="BP87" s="357"/>
      <c r="BQ87" s="357"/>
      <c r="BR87" s="357"/>
      <c r="BS87" s="357"/>
      <c r="BT87" s="357"/>
      <c r="BU87" s="357"/>
      <c r="BV87" s="357"/>
      <c r="BW87" s="357"/>
      <c r="BX87" s="357"/>
      <c r="BY87" s="357"/>
      <c r="BZ87" s="357"/>
      <c r="CA87" s="357"/>
      <c r="CB87" s="357"/>
      <c r="CC87" s="357"/>
      <c r="CD87" s="357"/>
      <c r="CE87" s="357"/>
      <c r="CF87" s="357"/>
      <c r="CG87" s="357"/>
      <c r="CH87" s="357"/>
      <c r="CI87" s="357"/>
      <c r="CJ87" s="357"/>
      <c r="CK87" s="357"/>
      <c r="CL87" s="357"/>
      <c r="CM87" s="357"/>
      <c r="CN87" s="357"/>
      <c r="CO87" s="357"/>
      <c r="CP87" s="357"/>
      <c r="CQ87" s="357"/>
      <c r="CR87" s="357"/>
      <c r="CS87" s="357"/>
      <c r="CT87" s="357"/>
      <c r="CU87" s="357"/>
      <c r="CV87" s="357"/>
      <c r="CW87" s="357"/>
      <c r="CX87" s="357"/>
      <c r="CY87" s="357"/>
      <c r="CZ87" s="357"/>
      <c r="DA87" s="357"/>
      <c r="DB87" s="357"/>
      <c r="DC87" s="357"/>
      <c r="DD87" s="357"/>
      <c r="DE87" s="357"/>
      <c r="DF87" s="357"/>
      <c r="DG87" s="357"/>
      <c r="DH87" s="357"/>
      <c r="DI87" s="357"/>
      <c r="DJ87" s="357"/>
      <c r="DK87" s="357"/>
      <c r="DL87" s="357"/>
      <c r="DM87" s="357"/>
      <c r="DN87" s="357"/>
      <c r="DO87" s="357"/>
      <c r="DP87" s="357"/>
      <c r="DQ87" s="357"/>
      <c r="DR87" s="357"/>
      <c r="DS87" s="357"/>
      <c r="DT87" s="357"/>
      <c r="DU87" s="357"/>
      <c r="DV87" s="357"/>
      <c r="DW87" s="357"/>
      <c r="DX87" s="357"/>
      <c r="DY87" s="357"/>
      <c r="DZ87" s="357"/>
      <c r="EA87" s="357"/>
      <c r="EB87" s="357"/>
      <c r="EC87" s="357"/>
      <c r="ED87" s="357"/>
      <c r="EE87" s="357"/>
      <c r="EF87" s="357"/>
      <c r="EG87" s="357"/>
      <c r="EH87" s="357"/>
      <c r="EI87" s="357"/>
      <c r="EJ87" s="357"/>
      <c r="EK87" s="357"/>
      <c r="EL87" s="357"/>
      <c r="EM87" s="357"/>
      <c r="EN87" s="357"/>
      <c r="EO87" s="357"/>
      <c r="EP87" s="357"/>
      <c r="EQ87" s="357"/>
      <c r="ER87" s="357"/>
      <c r="ES87" s="357"/>
      <c r="ET87" s="357"/>
      <c r="EU87" s="357"/>
      <c r="EV87" s="357"/>
      <c r="EW87" s="357"/>
      <c r="EX87" s="357"/>
      <c r="EY87" s="357"/>
      <c r="EZ87" s="357"/>
      <c r="FA87" s="357"/>
      <c r="FB87" s="357"/>
      <c r="FC87" s="357"/>
      <c r="FD87" s="357"/>
      <c r="FE87" s="357"/>
      <c r="FF87" s="357"/>
      <c r="FG87" s="357"/>
      <c r="FH87" s="357"/>
      <c r="FI87" s="357"/>
      <c r="FJ87" s="357"/>
      <c r="FK87" s="357"/>
      <c r="FL87" s="357"/>
      <c r="FM87" s="357"/>
      <c r="FN87" s="357"/>
      <c r="FO87" s="357"/>
      <c r="FP87" s="357"/>
      <c r="FQ87" s="357"/>
      <c r="FR87" s="357"/>
      <c r="FS87" s="357"/>
      <c r="FT87" s="357"/>
      <c r="FU87" s="357"/>
      <c r="FV87" s="357"/>
      <c r="FW87" s="357"/>
      <c r="FX87" s="357"/>
      <c r="FY87" s="357"/>
      <c r="FZ87" s="357"/>
      <c r="GA87" s="357"/>
      <c r="GB87" s="357"/>
      <c r="GC87" s="357"/>
      <c r="GD87" s="357"/>
      <c r="GE87" s="357"/>
      <c r="GF87" s="357"/>
      <c r="GG87" s="357"/>
      <c r="GH87" s="357"/>
      <c r="GI87" s="357"/>
      <c r="GJ87" s="357"/>
      <c r="GK87" s="154"/>
      <c r="GL87" s="154"/>
      <c r="GM87" s="154"/>
      <c r="GN87" s="154"/>
      <c r="GO87" s="154"/>
      <c r="GP87" s="154"/>
      <c r="GQ87" s="154"/>
      <c r="GR87" s="154"/>
      <c r="GS87" s="154"/>
      <c r="GT87" s="154"/>
      <c r="GU87" s="154"/>
      <c r="GV87" s="154"/>
      <c r="GW87" s="154"/>
      <c r="GX87" s="154"/>
    </row>
    <row r="88" spans="7:206">
      <c r="G88" s="154"/>
      <c r="H88" s="154"/>
      <c r="I88" s="154"/>
      <c r="J88" s="154"/>
      <c r="K88" s="154"/>
      <c r="L88" s="154"/>
      <c r="M88" s="154"/>
      <c r="N88" s="154"/>
      <c r="O88" s="154"/>
      <c r="P88" s="154"/>
      <c r="Q88" s="154"/>
      <c r="R88" s="154"/>
      <c r="S88" s="154"/>
      <c r="T88" s="154"/>
      <c r="U88" s="154"/>
      <c r="V88" s="154"/>
      <c r="W88" s="154"/>
      <c r="X88" s="154"/>
      <c r="Y88" s="154"/>
      <c r="Z88" s="357"/>
      <c r="AA88" s="357"/>
      <c r="AB88" s="357"/>
      <c r="AC88" s="357"/>
      <c r="AD88" s="357"/>
      <c r="AE88" s="357"/>
      <c r="AF88" s="357"/>
      <c r="AG88" s="357"/>
      <c r="AH88" s="357"/>
      <c r="AI88" s="357"/>
      <c r="AJ88" s="357"/>
      <c r="AK88" s="357"/>
      <c r="AL88" s="357"/>
      <c r="AM88" s="357"/>
      <c r="AN88" s="357"/>
      <c r="AO88" s="357"/>
      <c r="AP88" s="357"/>
      <c r="AQ88" s="357"/>
      <c r="AR88" s="357"/>
      <c r="AS88" s="357"/>
      <c r="AT88" s="357"/>
      <c r="AU88" s="357"/>
      <c r="AV88" s="357"/>
      <c r="AW88" s="357"/>
      <c r="AX88" s="357"/>
      <c r="AY88" s="357"/>
      <c r="AZ88" s="357"/>
      <c r="BA88" s="357"/>
      <c r="BB88" s="357"/>
      <c r="BC88" s="357"/>
      <c r="BD88" s="357"/>
      <c r="BE88" s="357"/>
      <c r="BF88" s="357"/>
      <c r="BG88" s="357"/>
      <c r="BH88" s="357"/>
      <c r="BI88" s="357"/>
      <c r="BJ88" s="357"/>
      <c r="BK88" s="357"/>
      <c r="BL88" s="357"/>
      <c r="BM88" s="357"/>
      <c r="BN88" s="357"/>
      <c r="BO88" s="357"/>
      <c r="BP88" s="357"/>
      <c r="BQ88" s="357"/>
      <c r="BR88" s="357"/>
      <c r="BS88" s="357"/>
      <c r="BT88" s="357"/>
      <c r="BU88" s="357"/>
      <c r="BV88" s="357"/>
      <c r="BW88" s="357"/>
      <c r="BX88" s="357"/>
      <c r="BY88" s="357"/>
      <c r="BZ88" s="357"/>
      <c r="CA88" s="357"/>
      <c r="CB88" s="357"/>
      <c r="CC88" s="357"/>
      <c r="CD88" s="357"/>
      <c r="CE88" s="357"/>
      <c r="CF88" s="357"/>
      <c r="CG88" s="357"/>
      <c r="CH88" s="357"/>
      <c r="CI88" s="357"/>
      <c r="CJ88" s="357"/>
      <c r="CK88" s="357"/>
      <c r="CL88" s="357"/>
      <c r="CM88" s="357"/>
      <c r="CN88" s="357"/>
      <c r="CO88" s="357"/>
      <c r="CP88" s="357"/>
      <c r="CQ88" s="357"/>
      <c r="CR88" s="357"/>
      <c r="CS88" s="357"/>
      <c r="CT88" s="357"/>
      <c r="CU88" s="357"/>
      <c r="CV88" s="357"/>
      <c r="CW88" s="357"/>
      <c r="CX88" s="357"/>
      <c r="CY88" s="357"/>
      <c r="CZ88" s="357"/>
      <c r="DA88" s="357"/>
      <c r="DB88" s="357"/>
      <c r="DC88" s="357"/>
      <c r="DD88" s="357"/>
      <c r="DE88" s="357"/>
      <c r="DF88" s="357"/>
      <c r="DG88" s="357"/>
      <c r="DH88" s="357"/>
      <c r="DI88" s="357"/>
      <c r="DJ88" s="357"/>
      <c r="DK88" s="357"/>
      <c r="DL88" s="357"/>
      <c r="DM88" s="357"/>
      <c r="DN88" s="357"/>
      <c r="DO88" s="357"/>
      <c r="DP88" s="357"/>
      <c r="DQ88" s="357"/>
      <c r="DR88" s="357"/>
      <c r="DS88" s="357"/>
      <c r="DT88" s="357"/>
      <c r="DU88" s="357"/>
      <c r="DV88" s="357"/>
      <c r="DW88" s="357"/>
      <c r="DX88" s="357"/>
      <c r="DY88" s="357"/>
      <c r="DZ88" s="357"/>
      <c r="EA88" s="357"/>
      <c r="EB88" s="357"/>
      <c r="EC88" s="357"/>
      <c r="ED88" s="357"/>
      <c r="EE88" s="357"/>
      <c r="EF88" s="357"/>
      <c r="EG88" s="357"/>
      <c r="EH88" s="357"/>
      <c r="EI88" s="357"/>
      <c r="EJ88" s="357"/>
      <c r="EK88" s="357"/>
      <c r="EL88" s="357"/>
      <c r="EM88" s="357"/>
      <c r="EN88" s="357"/>
      <c r="EO88" s="357"/>
      <c r="EP88" s="357"/>
      <c r="EQ88" s="357"/>
      <c r="ER88" s="357"/>
      <c r="ES88" s="357"/>
      <c r="ET88" s="357"/>
      <c r="EU88" s="357"/>
      <c r="EV88" s="357"/>
      <c r="EW88" s="357"/>
      <c r="EX88" s="357"/>
      <c r="EY88" s="357"/>
      <c r="EZ88" s="357"/>
      <c r="FA88" s="357"/>
      <c r="FB88" s="357"/>
      <c r="FC88" s="357"/>
      <c r="FD88" s="357"/>
      <c r="FE88" s="357"/>
      <c r="FF88" s="357"/>
      <c r="FG88" s="357"/>
      <c r="FH88" s="357"/>
      <c r="FI88" s="357"/>
      <c r="FJ88" s="357"/>
      <c r="FK88" s="357"/>
      <c r="FL88" s="357"/>
      <c r="FM88" s="357"/>
      <c r="FN88" s="357"/>
      <c r="FO88" s="357"/>
      <c r="FP88" s="357"/>
      <c r="FQ88" s="357"/>
      <c r="FR88" s="357"/>
      <c r="FS88" s="357"/>
      <c r="FT88" s="357"/>
      <c r="FU88" s="357"/>
      <c r="FV88" s="357"/>
      <c r="FW88" s="357"/>
      <c r="FX88" s="357"/>
      <c r="FY88" s="357"/>
      <c r="FZ88" s="357"/>
      <c r="GA88" s="357"/>
      <c r="GB88" s="357"/>
      <c r="GC88" s="357"/>
      <c r="GD88" s="357"/>
      <c r="GE88" s="357"/>
      <c r="GF88" s="357"/>
      <c r="GG88" s="357"/>
      <c r="GH88" s="357"/>
      <c r="GI88" s="357"/>
      <c r="GJ88" s="357"/>
      <c r="GK88" s="154"/>
      <c r="GL88" s="154"/>
      <c r="GM88" s="154"/>
      <c r="GN88" s="154"/>
      <c r="GO88" s="154"/>
      <c r="GP88" s="154"/>
      <c r="GQ88" s="154"/>
      <c r="GR88" s="154"/>
      <c r="GS88" s="154"/>
      <c r="GT88" s="154"/>
      <c r="GU88" s="154"/>
      <c r="GV88" s="154"/>
      <c r="GW88" s="154"/>
      <c r="GX88" s="154"/>
    </row>
    <row r="89" spans="7:206">
      <c r="G89" s="154"/>
      <c r="H89" s="154"/>
      <c r="I89" s="154"/>
      <c r="J89" s="154"/>
      <c r="K89" s="154"/>
      <c r="L89" s="154"/>
      <c r="M89" s="154"/>
      <c r="N89" s="154"/>
      <c r="O89" s="154"/>
      <c r="P89" s="154"/>
      <c r="Q89" s="154"/>
      <c r="R89" s="154"/>
      <c r="S89" s="154"/>
      <c r="T89" s="154"/>
      <c r="U89" s="154"/>
      <c r="V89" s="154"/>
      <c r="W89" s="154"/>
      <c r="X89" s="154"/>
      <c r="Y89" s="154"/>
      <c r="Z89" s="357"/>
      <c r="AA89" s="357"/>
      <c r="AB89" s="357"/>
      <c r="AC89" s="357"/>
      <c r="AD89" s="357"/>
      <c r="AE89" s="357"/>
      <c r="AF89" s="357"/>
      <c r="AG89" s="357"/>
      <c r="AH89" s="357"/>
      <c r="AI89" s="357"/>
      <c r="AJ89" s="357"/>
      <c r="AK89" s="357"/>
      <c r="AL89" s="357"/>
      <c r="AM89" s="357"/>
      <c r="AN89" s="357"/>
      <c r="AO89" s="357"/>
      <c r="AP89" s="357"/>
      <c r="AQ89" s="357"/>
      <c r="AR89" s="357"/>
      <c r="AS89" s="357"/>
      <c r="AT89" s="357"/>
      <c r="AU89" s="357"/>
      <c r="AV89" s="357"/>
      <c r="AW89" s="357"/>
      <c r="AX89" s="357"/>
      <c r="AY89" s="357"/>
      <c r="AZ89" s="357"/>
      <c r="BA89" s="357"/>
      <c r="BB89" s="357"/>
      <c r="BC89" s="357"/>
      <c r="BD89" s="357"/>
      <c r="BE89" s="357"/>
      <c r="BF89" s="357"/>
      <c r="BG89" s="357"/>
      <c r="BH89" s="357"/>
      <c r="BI89" s="357"/>
      <c r="BJ89" s="357"/>
      <c r="BK89" s="357"/>
      <c r="BL89" s="357"/>
      <c r="BM89" s="357"/>
      <c r="BN89" s="357"/>
      <c r="BO89" s="357"/>
      <c r="BP89" s="357"/>
      <c r="BQ89" s="357"/>
      <c r="BR89" s="357"/>
      <c r="BS89" s="357"/>
      <c r="BT89" s="357"/>
      <c r="BU89" s="357"/>
      <c r="BV89" s="357"/>
      <c r="BW89" s="357"/>
      <c r="BX89" s="357"/>
      <c r="BY89" s="357"/>
      <c r="BZ89" s="357"/>
      <c r="CA89" s="357"/>
      <c r="CB89" s="357"/>
      <c r="CC89" s="357"/>
      <c r="CD89" s="357"/>
      <c r="CE89" s="357"/>
      <c r="CF89" s="357"/>
      <c r="CG89" s="357"/>
      <c r="CH89" s="357"/>
      <c r="CI89" s="357"/>
      <c r="CJ89" s="357"/>
      <c r="CK89" s="357"/>
      <c r="CL89" s="357"/>
      <c r="CM89" s="357"/>
      <c r="CN89" s="357"/>
      <c r="CO89" s="357"/>
      <c r="CP89" s="357"/>
      <c r="CQ89" s="357"/>
      <c r="CR89" s="357"/>
      <c r="CS89" s="357"/>
      <c r="CT89" s="357"/>
      <c r="CU89" s="357"/>
      <c r="CV89" s="357"/>
      <c r="CW89" s="357"/>
      <c r="CX89" s="357"/>
      <c r="CY89" s="357"/>
      <c r="CZ89" s="357"/>
      <c r="DA89" s="357"/>
      <c r="DB89" s="357"/>
      <c r="DC89" s="357"/>
      <c r="DD89" s="357"/>
      <c r="DE89" s="357"/>
      <c r="DF89" s="357"/>
      <c r="DG89" s="357"/>
      <c r="DH89" s="357"/>
      <c r="DI89" s="357"/>
      <c r="DJ89" s="357"/>
      <c r="DK89" s="357"/>
      <c r="DL89" s="357"/>
      <c r="DM89" s="357"/>
      <c r="DN89" s="357"/>
      <c r="DO89" s="357"/>
      <c r="DP89" s="357"/>
      <c r="DQ89" s="357"/>
      <c r="DR89" s="357"/>
      <c r="DS89" s="357"/>
      <c r="DT89" s="357"/>
      <c r="DU89" s="357"/>
      <c r="DV89" s="357"/>
      <c r="DW89" s="357"/>
      <c r="DX89" s="357"/>
      <c r="DY89" s="357"/>
      <c r="DZ89" s="357"/>
      <c r="EA89" s="357"/>
      <c r="EB89" s="357"/>
      <c r="EC89" s="357"/>
      <c r="ED89" s="357"/>
      <c r="EE89" s="357"/>
      <c r="EF89" s="357"/>
      <c r="EG89" s="357"/>
      <c r="EH89" s="357"/>
      <c r="EI89" s="357"/>
      <c r="EJ89" s="357"/>
      <c r="EK89" s="357"/>
      <c r="EL89" s="357"/>
      <c r="EM89" s="357"/>
      <c r="EN89" s="357"/>
      <c r="EO89" s="357"/>
      <c r="EP89" s="357"/>
      <c r="EQ89" s="357"/>
      <c r="ER89" s="357"/>
      <c r="ES89" s="357"/>
      <c r="ET89" s="357"/>
      <c r="EU89" s="357"/>
      <c r="EV89" s="357"/>
      <c r="EW89" s="357"/>
      <c r="EX89" s="357"/>
      <c r="EY89" s="357"/>
      <c r="EZ89" s="357"/>
      <c r="FA89" s="357"/>
      <c r="FB89" s="357"/>
      <c r="FC89" s="357"/>
      <c r="FD89" s="357"/>
      <c r="FE89" s="357"/>
      <c r="FF89" s="357"/>
      <c r="FG89" s="357"/>
      <c r="FH89" s="357"/>
      <c r="FI89" s="357"/>
      <c r="FJ89" s="357"/>
      <c r="FK89" s="357"/>
      <c r="FL89" s="357"/>
      <c r="FM89" s="357"/>
      <c r="FN89" s="357"/>
      <c r="FO89" s="357"/>
      <c r="FP89" s="357"/>
      <c r="FQ89" s="357"/>
      <c r="FR89" s="357"/>
      <c r="FS89" s="357"/>
      <c r="FT89" s="357"/>
      <c r="FU89" s="357"/>
      <c r="FV89" s="357"/>
      <c r="FW89" s="357"/>
      <c r="FX89" s="357"/>
      <c r="FY89" s="357"/>
      <c r="FZ89" s="357"/>
      <c r="GA89" s="357"/>
      <c r="GB89" s="357"/>
      <c r="GC89" s="357"/>
      <c r="GD89" s="357"/>
      <c r="GE89" s="357"/>
      <c r="GF89" s="357"/>
      <c r="GG89" s="357"/>
      <c r="GH89" s="357"/>
      <c r="GI89" s="357"/>
      <c r="GJ89" s="357"/>
      <c r="GK89" s="154"/>
      <c r="GL89" s="154"/>
      <c r="GM89" s="154"/>
      <c r="GN89" s="154"/>
      <c r="GO89" s="154"/>
      <c r="GP89" s="154"/>
      <c r="GQ89" s="154"/>
      <c r="GR89" s="154"/>
      <c r="GS89" s="154"/>
      <c r="GT89" s="154"/>
      <c r="GU89" s="154"/>
      <c r="GV89" s="154"/>
      <c r="GW89" s="154"/>
      <c r="GX89" s="154"/>
    </row>
    <row r="90" spans="7:206">
      <c r="G90" s="154"/>
      <c r="H90" s="154"/>
      <c r="I90" s="154"/>
      <c r="J90" s="154"/>
      <c r="K90" s="154"/>
      <c r="L90" s="154"/>
      <c r="M90" s="154"/>
      <c r="N90" s="154"/>
      <c r="O90" s="154"/>
      <c r="P90" s="154"/>
      <c r="Q90" s="154"/>
      <c r="R90" s="154"/>
      <c r="S90" s="154"/>
      <c r="T90" s="154"/>
      <c r="U90" s="154"/>
      <c r="V90" s="154"/>
      <c r="W90" s="154"/>
      <c r="X90" s="154"/>
      <c r="Y90" s="154"/>
      <c r="Z90" s="357"/>
      <c r="AA90" s="357"/>
      <c r="AB90" s="357"/>
      <c r="AC90" s="357"/>
      <c r="AD90" s="357"/>
      <c r="AE90" s="357"/>
      <c r="AF90" s="357"/>
      <c r="AG90" s="357"/>
      <c r="AH90" s="357"/>
      <c r="AI90" s="357"/>
      <c r="AJ90" s="357"/>
      <c r="AK90" s="357"/>
      <c r="AL90" s="357"/>
      <c r="AM90" s="357"/>
      <c r="AN90" s="357"/>
      <c r="AO90" s="357"/>
      <c r="AP90" s="357"/>
      <c r="AQ90" s="357"/>
      <c r="AR90" s="357"/>
      <c r="AS90" s="357"/>
      <c r="AT90" s="357"/>
      <c r="AU90" s="357"/>
      <c r="AV90" s="357"/>
      <c r="AW90" s="357"/>
      <c r="AX90" s="357"/>
      <c r="AY90" s="357"/>
      <c r="AZ90" s="357"/>
      <c r="BA90" s="357"/>
      <c r="BB90" s="357"/>
      <c r="BC90" s="357"/>
      <c r="BD90" s="357"/>
      <c r="BE90" s="357"/>
      <c r="BF90" s="357"/>
      <c r="BG90" s="357"/>
      <c r="BH90" s="357"/>
      <c r="BI90" s="357"/>
      <c r="BJ90" s="357"/>
      <c r="BK90" s="357"/>
      <c r="BL90" s="357"/>
      <c r="BM90" s="357"/>
      <c r="BN90" s="357"/>
      <c r="BO90" s="357"/>
      <c r="BP90" s="357"/>
      <c r="BQ90" s="357"/>
      <c r="BR90" s="357"/>
      <c r="BS90" s="357"/>
      <c r="BT90" s="357"/>
      <c r="BU90" s="357"/>
      <c r="BV90" s="357"/>
      <c r="BW90" s="357"/>
      <c r="BX90" s="357"/>
      <c r="BY90" s="357"/>
      <c r="BZ90" s="357"/>
      <c r="CA90" s="357"/>
      <c r="CB90" s="357"/>
      <c r="CC90" s="357"/>
      <c r="CD90" s="357"/>
      <c r="CE90" s="357"/>
      <c r="CF90" s="357"/>
      <c r="CG90" s="357"/>
      <c r="CH90" s="357"/>
      <c r="CI90" s="357"/>
      <c r="CJ90" s="357"/>
      <c r="CK90" s="357"/>
      <c r="CL90" s="357"/>
      <c r="CM90" s="357"/>
      <c r="CN90" s="357"/>
      <c r="CO90" s="357"/>
      <c r="CP90" s="357"/>
      <c r="CQ90" s="357"/>
      <c r="CR90" s="357"/>
      <c r="CS90" s="357"/>
      <c r="CT90" s="357"/>
      <c r="CU90" s="357"/>
      <c r="CV90" s="357"/>
      <c r="CW90" s="357"/>
      <c r="CX90" s="357"/>
      <c r="CY90" s="357"/>
      <c r="CZ90" s="357"/>
      <c r="DA90" s="357"/>
      <c r="DB90" s="357"/>
      <c r="DC90" s="357"/>
      <c r="DD90" s="357"/>
      <c r="DE90" s="357"/>
      <c r="DF90" s="357"/>
      <c r="DG90" s="357"/>
      <c r="DH90" s="357"/>
      <c r="DI90" s="357"/>
      <c r="DJ90" s="357"/>
      <c r="DK90" s="357"/>
      <c r="DL90" s="357"/>
      <c r="DM90" s="357"/>
      <c r="DN90" s="357"/>
      <c r="DO90" s="357"/>
      <c r="DP90" s="357"/>
      <c r="DQ90" s="357"/>
      <c r="DR90" s="357"/>
      <c r="DS90" s="357"/>
      <c r="DT90" s="357"/>
      <c r="DU90" s="357"/>
      <c r="DV90" s="357"/>
      <c r="DW90" s="357"/>
      <c r="DX90" s="357"/>
      <c r="DY90" s="357"/>
      <c r="DZ90" s="357"/>
      <c r="EA90" s="357"/>
      <c r="EB90" s="357"/>
      <c r="EC90" s="357"/>
      <c r="ED90" s="357"/>
      <c r="EE90" s="357"/>
      <c r="EF90" s="357"/>
      <c r="EG90" s="357"/>
      <c r="EH90" s="357"/>
      <c r="EI90" s="357"/>
      <c r="EJ90" s="357"/>
      <c r="EK90" s="357"/>
      <c r="EL90" s="357"/>
      <c r="EM90" s="357"/>
      <c r="EN90" s="357"/>
      <c r="EO90" s="357"/>
      <c r="EP90" s="357"/>
      <c r="EQ90" s="357"/>
      <c r="ER90" s="357"/>
      <c r="ES90" s="357"/>
      <c r="ET90" s="357"/>
      <c r="EU90" s="357"/>
      <c r="EV90" s="357"/>
      <c r="EW90" s="357"/>
      <c r="EX90" s="357"/>
      <c r="EY90" s="357"/>
      <c r="EZ90" s="357"/>
      <c r="FA90" s="357"/>
      <c r="FB90" s="357"/>
      <c r="FC90" s="357"/>
      <c r="FD90" s="357"/>
      <c r="FE90" s="357"/>
      <c r="FF90" s="357"/>
      <c r="FG90" s="357"/>
      <c r="FH90" s="357"/>
      <c r="FI90" s="357"/>
      <c r="FJ90" s="357"/>
      <c r="FK90" s="357"/>
      <c r="FL90" s="357"/>
      <c r="FM90" s="357"/>
      <c r="FN90" s="357"/>
      <c r="FO90" s="357"/>
      <c r="FP90" s="357"/>
      <c r="FQ90" s="357"/>
      <c r="FR90" s="357"/>
      <c r="FS90" s="357"/>
      <c r="FT90" s="357"/>
      <c r="FU90" s="357"/>
      <c r="FV90" s="357"/>
      <c r="FW90" s="357"/>
      <c r="FX90" s="357"/>
      <c r="FY90" s="357"/>
      <c r="FZ90" s="357"/>
      <c r="GA90" s="357"/>
      <c r="GB90" s="357"/>
      <c r="GC90" s="357"/>
      <c r="GD90" s="357"/>
      <c r="GE90" s="357"/>
      <c r="GF90" s="357"/>
      <c r="GG90" s="357"/>
      <c r="GH90" s="357"/>
      <c r="GI90" s="357"/>
      <c r="GJ90" s="357"/>
      <c r="GK90" s="154"/>
      <c r="GL90" s="154"/>
      <c r="GM90" s="154"/>
      <c r="GN90" s="154"/>
      <c r="GO90" s="154"/>
      <c r="GP90" s="154"/>
      <c r="GQ90" s="154"/>
      <c r="GR90" s="154"/>
      <c r="GS90" s="154"/>
      <c r="GT90" s="154"/>
      <c r="GU90" s="154"/>
      <c r="GV90" s="154"/>
      <c r="GW90" s="154"/>
      <c r="GX90" s="154"/>
    </row>
    <row r="91" spans="7:206">
      <c r="G91" s="154"/>
      <c r="H91" s="154"/>
      <c r="I91" s="154"/>
      <c r="J91" s="154"/>
      <c r="K91" s="154"/>
      <c r="L91" s="154"/>
      <c r="M91" s="154"/>
      <c r="N91" s="154"/>
      <c r="O91" s="154"/>
      <c r="P91" s="154"/>
      <c r="Q91" s="154"/>
      <c r="R91" s="154"/>
      <c r="S91" s="154"/>
      <c r="T91" s="154"/>
      <c r="U91" s="154"/>
      <c r="V91" s="154"/>
      <c r="W91" s="154"/>
      <c r="X91" s="154"/>
      <c r="Y91" s="154"/>
      <c r="Z91" s="357"/>
      <c r="AA91" s="357"/>
      <c r="AB91" s="357"/>
      <c r="AC91" s="357"/>
      <c r="AD91" s="357"/>
      <c r="AE91" s="357"/>
      <c r="AF91" s="357"/>
      <c r="AG91" s="357"/>
      <c r="AH91" s="357"/>
      <c r="AI91" s="357"/>
      <c r="AJ91" s="357"/>
      <c r="AK91" s="357"/>
      <c r="AL91" s="357"/>
      <c r="AM91" s="357"/>
      <c r="AN91" s="357"/>
      <c r="AO91" s="357"/>
      <c r="AP91" s="357"/>
      <c r="AQ91" s="357"/>
      <c r="AR91" s="357"/>
      <c r="AS91" s="357"/>
      <c r="AT91" s="357"/>
      <c r="AU91" s="357"/>
      <c r="AV91" s="357"/>
      <c r="AW91" s="357"/>
      <c r="AX91" s="357"/>
      <c r="AY91" s="357"/>
      <c r="AZ91" s="357"/>
      <c r="BA91" s="357"/>
      <c r="BB91" s="357"/>
      <c r="BC91" s="357"/>
      <c r="BD91" s="357"/>
      <c r="BE91" s="357"/>
      <c r="BF91" s="357"/>
      <c r="BG91" s="357"/>
      <c r="BH91" s="357"/>
      <c r="BI91" s="357"/>
      <c r="BJ91" s="357"/>
      <c r="BK91" s="357"/>
      <c r="BL91" s="357"/>
      <c r="BM91" s="357"/>
      <c r="BN91" s="357"/>
      <c r="BO91" s="357"/>
      <c r="BP91" s="357"/>
      <c r="BQ91" s="357"/>
      <c r="BR91" s="357"/>
      <c r="BS91" s="357"/>
      <c r="BT91" s="357"/>
      <c r="BU91" s="357"/>
      <c r="BV91" s="357"/>
      <c r="BW91" s="357"/>
      <c r="BX91" s="357"/>
      <c r="BY91" s="357"/>
      <c r="BZ91" s="357"/>
      <c r="CA91" s="357"/>
      <c r="CB91" s="357"/>
      <c r="CC91" s="357"/>
      <c r="CD91" s="357"/>
      <c r="CE91" s="357"/>
      <c r="CF91" s="357"/>
      <c r="CG91" s="357"/>
      <c r="CH91" s="357"/>
      <c r="CI91" s="357"/>
      <c r="CJ91" s="357"/>
      <c r="CK91" s="357"/>
      <c r="CL91" s="357"/>
      <c r="CM91" s="357"/>
      <c r="CN91" s="357"/>
      <c r="CO91" s="357"/>
      <c r="CP91" s="357"/>
      <c r="CQ91" s="357"/>
      <c r="CR91" s="357"/>
      <c r="CS91" s="357"/>
      <c r="CT91" s="357"/>
      <c r="CU91" s="357"/>
      <c r="CV91" s="357"/>
      <c r="CW91" s="357"/>
      <c r="CX91" s="357"/>
      <c r="CY91" s="357"/>
      <c r="CZ91" s="357"/>
      <c r="DA91" s="357"/>
      <c r="DB91" s="357"/>
      <c r="DC91" s="357"/>
      <c r="DD91" s="357"/>
      <c r="DE91" s="357"/>
      <c r="DF91" s="357"/>
      <c r="DG91" s="357"/>
      <c r="DH91" s="357"/>
      <c r="DI91" s="357"/>
      <c r="DJ91" s="357"/>
      <c r="DK91" s="357"/>
      <c r="DL91" s="357"/>
      <c r="DM91" s="357"/>
      <c r="DN91" s="357"/>
      <c r="DO91" s="357"/>
      <c r="DP91" s="357"/>
      <c r="DQ91" s="357"/>
      <c r="DR91" s="357"/>
      <c r="DS91" s="357"/>
      <c r="DT91" s="357"/>
      <c r="DU91" s="357"/>
      <c r="DV91" s="357"/>
      <c r="DW91" s="357"/>
      <c r="DX91" s="357"/>
      <c r="DY91" s="357"/>
      <c r="DZ91" s="357"/>
      <c r="EA91" s="357"/>
      <c r="EB91" s="357"/>
      <c r="EC91" s="357"/>
      <c r="ED91" s="357"/>
      <c r="EE91" s="357"/>
      <c r="EF91" s="357"/>
      <c r="EG91" s="357"/>
      <c r="EH91" s="357"/>
      <c r="EI91" s="357"/>
      <c r="EJ91" s="357"/>
      <c r="EK91" s="357"/>
      <c r="EL91" s="357"/>
      <c r="EM91" s="357"/>
      <c r="EN91" s="357"/>
      <c r="EO91" s="357"/>
      <c r="EP91" s="357"/>
      <c r="EQ91" s="357"/>
      <c r="ER91" s="357"/>
      <c r="ES91" s="357"/>
      <c r="ET91" s="357"/>
      <c r="EU91" s="357"/>
      <c r="EV91" s="357"/>
      <c r="EW91" s="357"/>
      <c r="EX91" s="357"/>
      <c r="EY91" s="357"/>
      <c r="EZ91" s="357"/>
      <c r="FA91" s="357"/>
      <c r="FB91" s="357"/>
      <c r="FC91" s="357"/>
      <c r="FD91" s="357"/>
      <c r="FE91" s="357"/>
      <c r="FF91" s="357"/>
      <c r="FG91" s="357"/>
      <c r="FH91" s="357"/>
      <c r="FI91" s="357"/>
      <c r="FJ91" s="357"/>
      <c r="FK91" s="357"/>
      <c r="FL91" s="357"/>
      <c r="FM91" s="357"/>
      <c r="FN91" s="357"/>
      <c r="FO91" s="357"/>
      <c r="FP91" s="357"/>
      <c r="FQ91" s="357"/>
      <c r="FR91" s="357"/>
      <c r="FS91" s="357"/>
      <c r="FT91" s="357"/>
      <c r="FU91" s="357"/>
      <c r="FV91" s="357"/>
      <c r="FW91" s="357"/>
      <c r="FX91" s="357"/>
      <c r="FY91" s="357"/>
      <c r="FZ91" s="357"/>
      <c r="GA91" s="357"/>
      <c r="GB91" s="357"/>
      <c r="GC91" s="357"/>
      <c r="GD91" s="357"/>
      <c r="GE91" s="357"/>
      <c r="GF91" s="357"/>
      <c r="GG91" s="357"/>
      <c r="GH91" s="357"/>
      <c r="GI91" s="357"/>
      <c r="GJ91" s="357"/>
      <c r="GK91" s="154"/>
      <c r="GL91" s="154"/>
      <c r="GM91" s="154"/>
      <c r="GN91" s="154"/>
      <c r="GO91" s="154"/>
      <c r="GP91" s="154"/>
      <c r="GQ91" s="154"/>
      <c r="GR91" s="154"/>
      <c r="GS91" s="154"/>
      <c r="GT91" s="154"/>
      <c r="GU91" s="154"/>
      <c r="GV91" s="154"/>
      <c r="GW91" s="154"/>
      <c r="GX91" s="154"/>
    </row>
    <row r="92" spans="7:206">
      <c r="G92" s="154"/>
      <c r="H92" s="154"/>
      <c r="I92" s="154"/>
      <c r="J92" s="154"/>
      <c r="K92" s="154"/>
      <c r="L92" s="154"/>
      <c r="M92" s="154"/>
      <c r="N92" s="154"/>
      <c r="O92" s="154"/>
      <c r="P92" s="154"/>
      <c r="Q92" s="154"/>
      <c r="R92" s="154"/>
      <c r="S92" s="154"/>
      <c r="T92" s="154"/>
      <c r="U92" s="154"/>
      <c r="V92" s="154"/>
      <c r="W92" s="154"/>
      <c r="X92" s="154"/>
      <c r="Y92" s="154"/>
      <c r="Z92" s="357"/>
      <c r="AA92" s="357"/>
      <c r="AB92" s="357"/>
      <c r="AC92" s="357"/>
      <c r="AD92" s="357"/>
      <c r="AE92" s="357"/>
      <c r="AF92" s="357"/>
      <c r="AG92" s="357"/>
      <c r="AH92" s="357"/>
      <c r="AI92" s="357"/>
      <c r="AJ92" s="357"/>
      <c r="AK92" s="357"/>
      <c r="AL92" s="357"/>
      <c r="AM92" s="357"/>
      <c r="AN92" s="357"/>
      <c r="AO92" s="357"/>
      <c r="AP92" s="357"/>
      <c r="AQ92" s="357"/>
      <c r="AR92" s="357"/>
      <c r="AS92" s="357"/>
      <c r="AT92" s="357"/>
      <c r="AU92" s="357"/>
      <c r="AV92" s="357"/>
      <c r="AW92" s="357"/>
      <c r="AX92" s="357"/>
      <c r="AY92" s="357"/>
      <c r="AZ92" s="357"/>
      <c r="BA92" s="357"/>
      <c r="BB92" s="357"/>
      <c r="BC92" s="357"/>
      <c r="BD92" s="357"/>
      <c r="BE92" s="357"/>
      <c r="BF92" s="357"/>
      <c r="BG92" s="357"/>
      <c r="BH92" s="357"/>
      <c r="BI92" s="357"/>
      <c r="BJ92" s="357"/>
      <c r="BK92" s="357"/>
      <c r="BL92" s="357"/>
      <c r="BM92" s="357"/>
      <c r="BN92" s="357"/>
      <c r="BO92" s="357"/>
      <c r="BP92" s="357"/>
      <c r="BQ92" s="357"/>
      <c r="BR92" s="357"/>
      <c r="BS92" s="357"/>
      <c r="BT92" s="357"/>
      <c r="BU92" s="357"/>
      <c r="BV92" s="357"/>
      <c r="BW92" s="357"/>
      <c r="BX92" s="357"/>
      <c r="BY92" s="357"/>
      <c r="BZ92" s="357"/>
      <c r="CA92" s="357"/>
      <c r="CB92" s="357"/>
      <c r="CC92" s="357"/>
      <c r="CD92" s="357"/>
      <c r="CE92" s="357"/>
      <c r="CF92" s="357"/>
      <c r="CG92" s="357"/>
      <c r="CH92" s="357"/>
      <c r="CI92" s="357"/>
      <c r="CJ92" s="357"/>
      <c r="CK92" s="357"/>
      <c r="CL92" s="357"/>
      <c r="CM92" s="357"/>
      <c r="CN92" s="357"/>
      <c r="CO92" s="357"/>
      <c r="CP92" s="357"/>
      <c r="CQ92" s="357"/>
      <c r="CR92" s="357"/>
      <c r="CS92" s="357"/>
      <c r="CT92" s="357"/>
      <c r="CU92" s="357"/>
      <c r="CV92" s="357"/>
      <c r="CW92" s="357"/>
      <c r="CX92" s="357"/>
      <c r="CY92" s="357"/>
      <c r="CZ92" s="357"/>
      <c r="DA92" s="357"/>
      <c r="DB92" s="357"/>
      <c r="DC92" s="357"/>
      <c r="DD92" s="357"/>
      <c r="DE92" s="357"/>
      <c r="DF92" s="357"/>
      <c r="DG92" s="357"/>
      <c r="DH92" s="357"/>
      <c r="DI92" s="357"/>
      <c r="DJ92" s="357"/>
      <c r="DK92" s="357"/>
      <c r="DL92" s="357"/>
      <c r="DM92" s="357"/>
      <c r="DN92" s="357"/>
      <c r="DO92" s="357"/>
      <c r="DP92" s="357"/>
      <c r="DQ92" s="357"/>
      <c r="DR92" s="357"/>
      <c r="DS92" s="357"/>
      <c r="DT92" s="357"/>
      <c r="DU92" s="357"/>
      <c r="DV92" s="357"/>
      <c r="DW92" s="357"/>
      <c r="DX92" s="357"/>
      <c r="DY92" s="357"/>
      <c r="DZ92" s="357"/>
      <c r="EA92" s="357"/>
      <c r="EB92" s="357"/>
      <c r="EC92" s="357"/>
      <c r="ED92" s="357"/>
      <c r="EE92" s="357"/>
      <c r="EF92" s="357"/>
      <c r="EG92" s="357"/>
      <c r="EH92" s="357"/>
      <c r="EI92" s="357"/>
      <c r="EJ92" s="357"/>
      <c r="EK92" s="357"/>
      <c r="EL92" s="357"/>
      <c r="EM92" s="357"/>
      <c r="EN92" s="357"/>
      <c r="EO92" s="357"/>
      <c r="EP92" s="357"/>
      <c r="EQ92" s="357"/>
      <c r="ER92" s="357"/>
      <c r="ES92" s="357"/>
      <c r="ET92" s="357"/>
      <c r="EU92" s="357"/>
      <c r="EV92" s="357"/>
      <c r="EW92" s="357"/>
      <c r="EX92" s="357"/>
      <c r="EY92" s="357"/>
      <c r="EZ92" s="357"/>
      <c r="FA92" s="357"/>
      <c r="FB92" s="357"/>
      <c r="FC92" s="357"/>
      <c r="FD92" s="357"/>
      <c r="FE92" s="357"/>
      <c r="FF92" s="357"/>
      <c r="FG92" s="357"/>
      <c r="FH92" s="357"/>
      <c r="FI92" s="357"/>
      <c r="FJ92" s="357"/>
      <c r="FK92" s="357"/>
      <c r="FL92" s="357"/>
      <c r="FM92" s="357"/>
      <c r="FN92" s="357"/>
      <c r="FO92" s="357"/>
      <c r="FP92" s="357"/>
      <c r="FQ92" s="357"/>
      <c r="FR92" s="357"/>
      <c r="FS92" s="357"/>
      <c r="FT92" s="357"/>
      <c r="FU92" s="357"/>
      <c r="FV92" s="357"/>
      <c r="FW92" s="357"/>
      <c r="FX92" s="357"/>
      <c r="FY92" s="357"/>
      <c r="FZ92" s="357"/>
      <c r="GA92" s="357"/>
      <c r="GB92" s="357"/>
      <c r="GC92" s="357"/>
      <c r="GD92" s="357"/>
      <c r="GE92" s="357"/>
      <c r="GF92" s="357"/>
      <c r="GG92" s="357"/>
      <c r="GH92" s="357"/>
      <c r="GI92" s="357"/>
      <c r="GJ92" s="357"/>
      <c r="GK92" s="154"/>
      <c r="GL92" s="154"/>
      <c r="GM92" s="154"/>
      <c r="GN92" s="154"/>
      <c r="GO92" s="154"/>
      <c r="GP92" s="154"/>
      <c r="GQ92" s="154"/>
      <c r="GR92" s="154"/>
      <c r="GS92" s="154"/>
      <c r="GT92" s="154"/>
      <c r="GU92" s="154"/>
      <c r="GV92" s="154"/>
      <c r="GW92" s="154"/>
      <c r="GX92" s="154"/>
    </row>
    <row r="93" spans="7:206">
      <c r="G93" s="154"/>
      <c r="H93" s="154"/>
      <c r="I93" s="154"/>
      <c r="J93" s="154"/>
      <c r="K93" s="154"/>
      <c r="L93" s="154"/>
      <c r="M93" s="154"/>
      <c r="N93" s="154"/>
      <c r="O93" s="154"/>
      <c r="P93" s="154"/>
      <c r="Q93" s="154"/>
      <c r="R93" s="154"/>
      <c r="S93" s="154"/>
      <c r="T93" s="154"/>
      <c r="U93" s="154"/>
      <c r="V93" s="154"/>
      <c r="W93" s="154"/>
      <c r="X93" s="154"/>
      <c r="Y93" s="154"/>
      <c r="Z93" s="357"/>
      <c r="AA93" s="357"/>
      <c r="AB93" s="357"/>
      <c r="AC93" s="357"/>
      <c r="AD93" s="357"/>
      <c r="AE93" s="357"/>
      <c r="AF93" s="357"/>
      <c r="AG93" s="357"/>
      <c r="AH93" s="357"/>
      <c r="AI93" s="357"/>
      <c r="AJ93" s="357"/>
      <c r="AK93" s="357"/>
      <c r="AL93" s="357"/>
      <c r="AM93" s="357"/>
      <c r="AN93" s="357"/>
      <c r="AO93" s="357"/>
      <c r="AP93" s="357"/>
      <c r="AQ93" s="357"/>
      <c r="AR93" s="357"/>
      <c r="AS93" s="357"/>
      <c r="AT93" s="357"/>
      <c r="AU93" s="357"/>
      <c r="AV93" s="357"/>
      <c r="AW93" s="357"/>
      <c r="AX93" s="357"/>
      <c r="AY93" s="357"/>
      <c r="AZ93" s="357"/>
      <c r="BA93" s="357"/>
      <c r="BB93" s="357"/>
      <c r="BC93" s="357"/>
      <c r="BD93" s="357"/>
      <c r="BE93" s="357"/>
      <c r="BF93" s="357"/>
      <c r="BG93" s="357"/>
      <c r="BH93" s="357"/>
      <c r="BI93" s="357"/>
      <c r="BJ93" s="357"/>
      <c r="BK93" s="357"/>
      <c r="BL93" s="357"/>
      <c r="BM93" s="357"/>
      <c r="BN93" s="357"/>
      <c r="BO93" s="357"/>
      <c r="BP93" s="357"/>
      <c r="BQ93" s="357"/>
      <c r="BR93" s="357"/>
      <c r="BS93" s="357"/>
      <c r="BT93" s="357"/>
      <c r="BU93" s="357"/>
      <c r="BV93" s="357"/>
      <c r="BW93" s="357"/>
      <c r="BX93" s="357"/>
      <c r="BY93" s="357"/>
      <c r="BZ93" s="357"/>
      <c r="CA93" s="357"/>
      <c r="CB93" s="357"/>
      <c r="CC93" s="357"/>
      <c r="CD93" s="357"/>
      <c r="CE93" s="357"/>
      <c r="CF93" s="357"/>
      <c r="CG93" s="357"/>
      <c r="CH93" s="357"/>
      <c r="CI93" s="357"/>
      <c r="CJ93" s="357"/>
      <c r="CK93" s="357"/>
      <c r="CL93" s="357"/>
      <c r="CM93" s="357"/>
      <c r="CN93" s="357"/>
      <c r="CO93" s="357"/>
      <c r="CP93" s="357"/>
      <c r="CQ93" s="357"/>
      <c r="CR93" s="357"/>
      <c r="CS93" s="357"/>
      <c r="CT93" s="357"/>
      <c r="CU93" s="357"/>
      <c r="CV93" s="357"/>
      <c r="CW93" s="357"/>
      <c r="CX93" s="357"/>
      <c r="CY93" s="357"/>
      <c r="CZ93" s="357"/>
      <c r="DA93" s="357"/>
      <c r="DB93" s="357"/>
      <c r="DC93" s="357"/>
      <c r="DD93" s="357"/>
      <c r="DE93" s="357"/>
      <c r="DF93" s="357"/>
      <c r="DG93" s="357"/>
      <c r="DH93" s="357"/>
      <c r="DI93" s="357"/>
      <c r="DJ93" s="357"/>
      <c r="DK93" s="357"/>
      <c r="DL93" s="357"/>
      <c r="DM93" s="357"/>
      <c r="DN93" s="357"/>
      <c r="DO93" s="357"/>
      <c r="DP93" s="357"/>
      <c r="DQ93" s="357"/>
      <c r="DR93" s="357"/>
      <c r="DS93" s="357"/>
      <c r="DT93" s="357"/>
      <c r="DU93" s="357"/>
      <c r="DV93" s="357"/>
      <c r="DW93" s="357"/>
      <c r="DX93" s="357"/>
      <c r="DY93" s="357"/>
      <c r="DZ93" s="357"/>
      <c r="EA93" s="357"/>
      <c r="EB93" s="357"/>
      <c r="EC93" s="357"/>
      <c r="ED93" s="357"/>
      <c r="EE93" s="357"/>
      <c r="EF93" s="357"/>
      <c r="EG93" s="357"/>
      <c r="EH93" s="357"/>
      <c r="EI93" s="357"/>
      <c r="EJ93" s="357"/>
      <c r="EK93" s="357"/>
      <c r="EL93" s="357"/>
      <c r="EM93" s="357"/>
      <c r="EN93" s="357"/>
      <c r="EO93" s="357"/>
      <c r="EP93" s="357"/>
      <c r="EQ93" s="357"/>
      <c r="ER93" s="357"/>
      <c r="ES93" s="357"/>
      <c r="ET93" s="357"/>
      <c r="EU93" s="357"/>
      <c r="EV93" s="357"/>
      <c r="EW93" s="357"/>
      <c r="EX93" s="357"/>
      <c r="EY93" s="357"/>
      <c r="EZ93" s="357"/>
      <c r="FA93" s="357"/>
      <c r="FB93" s="357"/>
      <c r="FC93" s="357"/>
      <c r="FD93" s="357"/>
      <c r="FE93" s="357"/>
      <c r="FF93" s="357"/>
      <c r="FG93" s="357"/>
      <c r="FH93" s="357"/>
      <c r="FI93" s="357"/>
      <c r="FJ93" s="357"/>
      <c r="FK93" s="357"/>
      <c r="FL93" s="357"/>
      <c r="FM93" s="357"/>
      <c r="FN93" s="357"/>
      <c r="FO93" s="357"/>
      <c r="FP93" s="357"/>
      <c r="FQ93" s="357"/>
      <c r="FR93" s="357"/>
      <c r="FS93" s="357"/>
      <c r="FT93" s="357"/>
      <c r="FU93" s="357"/>
      <c r="FV93" s="357"/>
      <c r="FW93" s="357"/>
      <c r="FX93" s="357"/>
      <c r="FY93" s="357"/>
      <c r="FZ93" s="357"/>
      <c r="GA93" s="357"/>
      <c r="GB93" s="357"/>
      <c r="GC93" s="357"/>
      <c r="GD93" s="357"/>
      <c r="GE93" s="357"/>
      <c r="GF93" s="357"/>
      <c r="GG93" s="357"/>
      <c r="GH93" s="357"/>
      <c r="GI93" s="357"/>
      <c r="GJ93" s="357"/>
      <c r="GK93" s="154"/>
      <c r="GL93" s="154"/>
      <c r="GM93" s="154"/>
      <c r="GN93" s="154"/>
      <c r="GO93" s="154"/>
      <c r="GP93" s="154"/>
      <c r="GQ93" s="154"/>
      <c r="GR93" s="154"/>
      <c r="GS93" s="154"/>
      <c r="GT93" s="154"/>
      <c r="GU93" s="154"/>
      <c r="GV93" s="154"/>
      <c r="GW93" s="154"/>
      <c r="GX93" s="154"/>
    </row>
    <row r="94" spans="7:206">
      <c r="G94" s="154"/>
      <c r="H94" s="154"/>
      <c r="I94" s="154"/>
      <c r="J94" s="154"/>
      <c r="K94" s="154"/>
      <c r="L94" s="154"/>
      <c r="M94" s="154"/>
      <c r="N94" s="154"/>
      <c r="O94" s="154"/>
      <c r="P94" s="154"/>
      <c r="Q94" s="154"/>
      <c r="R94" s="154"/>
      <c r="S94" s="154"/>
      <c r="T94" s="154"/>
      <c r="U94" s="154"/>
      <c r="V94" s="154"/>
      <c r="W94" s="154"/>
      <c r="X94" s="154"/>
      <c r="Y94" s="154"/>
      <c r="Z94" s="357"/>
      <c r="AA94" s="357"/>
      <c r="AB94" s="357"/>
      <c r="AC94" s="357"/>
      <c r="AD94" s="357"/>
      <c r="AE94" s="357"/>
      <c r="AF94" s="357"/>
      <c r="AG94" s="357"/>
      <c r="AH94" s="357"/>
      <c r="AI94" s="357"/>
      <c r="AJ94" s="357"/>
      <c r="AK94" s="357"/>
      <c r="AL94" s="357"/>
      <c r="AM94" s="357"/>
      <c r="AN94" s="357"/>
      <c r="AO94" s="357"/>
      <c r="AP94" s="357"/>
      <c r="AQ94" s="357"/>
      <c r="AR94" s="357"/>
      <c r="AS94" s="357"/>
      <c r="AT94" s="357"/>
      <c r="AU94" s="357"/>
      <c r="AV94" s="357"/>
      <c r="AW94" s="357"/>
      <c r="AX94" s="357"/>
      <c r="AY94" s="357"/>
      <c r="AZ94" s="357"/>
      <c r="BA94" s="357"/>
      <c r="BB94" s="357"/>
      <c r="BC94" s="357"/>
      <c r="BD94" s="357"/>
      <c r="BE94" s="357"/>
      <c r="BF94" s="357"/>
      <c r="BG94" s="357"/>
      <c r="BH94" s="357"/>
      <c r="BI94" s="357"/>
      <c r="BJ94" s="357"/>
      <c r="BK94" s="357"/>
      <c r="BL94" s="357"/>
      <c r="BM94" s="357"/>
      <c r="BN94" s="357"/>
      <c r="BO94" s="357"/>
      <c r="BP94" s="357"/>
      <c r="BQ94" s="357"/>
      <c r="BR94" s="357"/>
      <c r="BS94" s="357"/>
      <c r="BT94" s="357"/>
      <c r="BU94" s="357"/>
      <c r="BV94" s="357"/>
      <c r="BW94" s="357"/>
      <c r="BX94" s="357"/>
      <c r="BY94" s="357"/>
      <c r="BZ94" s="357"/>
      <c r="CA94" s="357"/>
      <c r="CB94" s="357"/>
      <c r="CC94" s="357"/>
      <c r="CD94" s="357"/>
      <c r="CE94" s="357"/>
      <c r="CF94" s="357"/>
      <c r="CG94" s="357"/>
      <c r="CH94" s="357"/>
      <c r="CI94" s="357"/>
      <c r="CJ94" s="357"/>
      <c r="CK94" s="357"/>
      <c r="CL94" s="357"/>
      <c r="CM94" s="357"/>
      <c r="CN94" s="357"/>
      <c r="CO94" s="357"/>
      <c r="CP94" s="357"/>
      <c r="CQ94" s="357"/>
      <c r="CR94" s="357"/>
      <c r="CS94" s="357"/>
      <c r="CT94" s="357"/>
      <c r="CU94" s="357"/>
      <c r="CV94" s="357"/>
      <c r="CW94" s="357"/>
      <c r="CX94" s="357"/>
      <c r="CY94" s="357"/>
      <c r="CZ94" s="357"/>
      <c r="DA94" s="357"/>
      <c r="DB94" s="357"/>
      <c r="DC94" s="357"/>
      <c r="DD94" s="357"/>
      <c r="DE94" s="357"/>
      <c r="DF94" s="357"/>
      <c r="DG94" s="357"/>
      <c r="DH94" s="357"/>
      <c r="DI94" s="357"/>
      <c r="DJ94" s="357"/>
      <c r="DK94" s="357"/>
      <c r="DL94" s="357"/>
      <c r="DM94" s="357"/>
      <c r="DN94" s="357"/>
      <c r="DO94" s="357"/>
      <c r="DP94" s="357"/>
      <c r="DQ94" s="357"/>
      <c r="DR94" s="357"/>
      <c r="DS94" s="357"/>
      <c r="DT94" s="357"/>
      <c r="DU94" s="357"/>
      <c r="DV94" s="357"/>
      <c r="DW94" s="357"/>
      <c r="DX94" s="357"/>
      <c r="DY94" s="357"/>
      <c r="DZ94" s="357"/>
      <c r="EA94" s="357"/>
      <c r="EB94" s="357"/>
      <c r="EC94" s="357"/>
      <c r="ED94" s="357"/>
      <c r="EE94" s="357"/>
      <c r="EF94" s="357"/>
      <c r="EG94" s="357"/>
      <c r="EH94" s="357"/>
      <c r="EI94" s="357"/>
      <c r="EJ94" s="357"/>
      <c r="EK94" s="357"/>
      <c r="EL94" s="357"/>
      <c r="EM94" s="357"/>
      <c r="EN94" s="357"/>
      <c r="EO94" s="357"/>
      <c r="EP94" s="357"/>
      <c r="EQ94" s="357"/>
      <c r="ER94" s="357"/>
      <c r="ES94" s="357"/>
      <c r="ET94" s="357"/>
      <c r="EU94" s="357"/>
      <c r="EV94" s="357"/>
      <c r="EW94" s="357"/>
      <c r="EX94" s="357"/>
      <c r="EY94" s="357"/>
      <c r="EZ94" s="357"/>
      <c r="FA94" s="357"/>
      <c r="FB94" s="357"/>
      <c r="FC94" s="357"/>
      <c r="FD94" s="357"/>
      <c r="FE94" s="357"/>
      <c r="FF94" s="357"/>
      <c r="FG94" s="357"/>
      <c r="FH94" s="357"/>
      <c r="FI94" s="357"/>
      <c r="FJ94" s="357"/>
      <c r="FK94" s="357"/>
      <c r="FL94" s="357"/>
      <c r="FM94" s="357"/>
      <c r="FN94" s="357"/>
      <c r="FO94" s="357"/>
      <c r="FP94" s="357"/>
      <c r="FQ94" s="357"/>
      <c r="FR94" s="357"/>
      <c r="FS94" s="357"/>
      <c r="FT94" s="357"/>
      <c r="FU94" s="357"/>
      <c r="FV94" s="357"/>
      <c r="FW94" s="357"/>
      <c r="FX94" s="357"/>
      <c r="FY94" s="357"/>
      <c r="FZ94" s="357"/>
      <c r="GA94" s="357"/>
      <c r="GB94" s="357"/>
      <c r="GC94" s="357"/>
      <c r="GD94" s="357"/>
      <c r="GE94" s="357"/>
      <c r="GF94" s="357"/>
      <c r="GG94" s="357"/>
      <c r="GH94" s="357"/>
      <c r="GI94" s="357"/>
      <c r="GJ94" s="357"/>
      <c r="GK94" s="154"/>
      <c r="GL94" s="154"/>
      <c r="GM94" s="154"/>
      <c r="GN94" s="154"/>
      <c r="GO94" s="154"/>
      <c r="GP94" s="154"/>
      <c r="GQ94" s="154"/>
      <c r="GR94" s="154"/>
      <c r="GS94" s="154"/>
      <c r="GT94" s="154"/>
      <c r="GU94" s="154"/>
      <c r="GV94" s="154"/>
      <c r="GW94" s="154"/>
      <c r="GX94" s="154"/>
    </row>
    <row r="95" spans="7:206">
      <c r="G95" s="154"/>
      <c r="H95" s="154"/>
      <c r="I95" s="154"/>
      <c r="J95" s="154"/>
      <c r="K95" s="154"/>
      <c r="L95" s="154"/>
      <c r="M95" s="154"/>
      <c r="N95" s="154"/>
      <c r="O95" s="154"/>
      <c r="P95" s="154"/>
      <c r="Q95" s="154"/>
      <c r="R95" s="154"/>
      <c r="S95" s="154"/>
      <c r="T95" s="154"/>
      <c r="U95" s="154"/>
      <c r="V95" s="154"/>
      <c r="W95" s="154"/>
      <c r="X95" s="154"/>
      <c r="Y95" s="154"/>
      <c r="Z95" s="357"/>
      <c r="AA95" s="357"/>
      <c r="AB95" s="357"/>
      <c r="AC95" s="357"/>
      <c r="AD95" s="357"/>
      <c r="AE95" s="357"/>
      <c r="AF95" s="357"/>
      <c r="AG95" s="357"/>
      <c r="AH95" s="357"/>
      <c r="AI95" s="357"/>
      <c r="AJ95" s="357"/>
      <c r="AK95" s="357"/>
      <c r="AL95" s="357"/>
      <c r="AM95" s="357"/>
      <c r="AN95" s="357"/>
      <c r="AO95" s="357"/>
      <c r="AP95" s="357"/>
      <c r="AQ95" s="357"/>
      <c r="AR95" s="357"/>
      <c r="AS95" s="357"/>
      <c r="AT95" s="357"/>
      <c r="AU95" s="357"/>
      <c r="AV95" s="357"/>
      <c r="AW95" s="357"/>
      <c r="AX95" s="357"/>
      <c r="AY95" s="357"/>
      <c r="AZ95" s="357"/>
      <c r="BA95" s="357"/>
      <c r="BB95" s="357"/>
      <c r="BC95" s="357"/>
      <c r="BD95" s="357"/>
      <c r="BE95" s="357"/>
      <c r="BF95" s="357"/>
      <c r="BG95" s="357"/>
      <c r="BH95" s="357"/>
      <c r="BI95" s="357"/>
      <c r="BJ95" s="357"/>
      <c r="BK95" s="357"/>
      <c r="BL95" s="357"/>
      <c r="BM95" s="357"/>
      <c r="BN95" s="357"/>
      <c r="BO95" s="357"/>
      <c r="BP95" s="357"/>
      <c r="BQ95" s="357"/>
      <c r="BR95" s="357"/>
      <c r="BS95" s="357"/>
      <c r="BT95" s="357"/>
      <c r="BU95" s="357"/>
      <c r="BV95" s="357"/>
      <c r="BW95" s="357"/>
      <c r="BX95" s="357"/>
      <c r="BY95" s="357"/>
      <c r="BZ95" s="357"/>
      <c r="CA95" s="357"/>
      <c r="CB95" s="357"/>
      <c r="CC95" s="357"/>
      <c r="CD95" s="357"/>
      <c r="CE95" s="357"/>
      <c r="CF95" s="357"/>
      <c r="CG95" s="357"/>
      <c r="CH95" s="357"/>
      <c r="CI95" s="357"/>
      <c r="CJ95" s="357"/>
      <c r="CK95" s="357"/>
      <c r="CL95" s="357"/>
      <c r="CM95" s="357"/>
      <c r="CN95" s="357"/>
      <c r="CO95" s="357"/>
      <c r="CP95" s="357"/>
      <c r="CQ95" s="357"/>
      <c r="CR95" s="357"/>
      <c r="CS95" s="357"/>
      <c r="CT95" s="357"/>
      <c r="CU95" s="357"/>
      <c r="CV95" s="357"/>
      <c r="CW95" s="357"/>
      <c r="CX95" s="357"/>
      <c r="CY95" s="357"/>
      <c r="CZ95" s="357"/>
      <c r="DA95" s="357"/>
      <c r="DB95" s="357"/>
      <c r="DC95" s="357"/>
      <c r="DD95" s="357"/>
      <c r="DE95" s="357"/>
      <c r="DF95" s="357"/>
      <c r="DG95" s="357"/>
      <c r="DH95" s="357"/>
      <c r="DI95" s="357"/>
      <c r="DJ95" s="357"/>
      <c r="DK95" s="357"/>
      <c r="DL95" s="357"/>
      <c r="DM95" s="357"/>
      <c r="DN95" s="357"/>
      <c r="DO95" s="357"/>
      <c r="DP95" s="357"/>
      <c r="DQ95" s="357"/>
      <c r="DR95" s="357"/>
      <c r="DS95" s="357"/>
      <c r="DT95" s="357"/>
      <c r="DU95" s="357"/>
      <c r="DV95" s="357"/>
      <c r="DW95" s="357"/>
      <c r="DX95" s="357"/>
      <c r="DY95" s="357"/>
      <c r="DZ95" s="357"/>
      <c r="EA95" s="357"/>
      <c r="EB95" s="357"/>
      <c r="EC95" s="357"/>
      <c r="ED95" s="357"/>
      <c r="EE95" s="357"/>
      <c r="EF95" s="357"/>
      <c r="EG95" s="357"/>
      <c r="EH95" s="357"/>
      <c r="EI95" s="357"/>
      <c r="EJ95" s="357"/>
      <c r="EK95" s="357"/>
      <c r="EL95" s="357"/>
      <c r="EM95" s="357"/>
      <c r="EN95" s="357"/>
      <c r="EO95" s="357"/>
      <c r="EP95" s="357"/>
      <c r="EQ95" s="357"/>
      <c r="ER95" s="357"/>
      <c r="ES95" s="357"/>
      <c r="ET95" s="357"/>
      <c r="EU95" s="357"/>
      <c r="EV95" s="357"/>
      <c r="EW95" s="357"/>
      <c r="EX95" s="357"/>
      <c r="EY95" s="357"/>
      <c r="EZ95" s="357"/>
      <c r="FA95" s="357"/>
      <c r="FB95" s="357"/>
      <c r="FC95" s="357"/>
      <c r="FD95" s="357"/>
      <c r="FE95" s="357"/>
      <c r="FF95" s="357"/>
      <c r="FG95" s="357"/>
      <c r="FH95" s="357"/>
      <c r="FI95" s="357"/>
      <c r="FJ95" s="357"/>
      <c r="FK95" s="357"/>
      <c r="FL95" s="357"/>
      <c r="FM95" s="357"/>
      <c r="FN95" s="357"/>
      <c r="FO95" s="357"/>
      <c r="FP95" s="357"/>
      <c r="FQ95" s="357"/>
      <c r="FR95" s="357"/>
      <c r="FS95" s="357"/>
      <c r="FT95" s="357"/>
      <c r="FU95" s="357"/>
      <c r="FV95" s="357"/>
      <c r="FW95" s="357"/>
      <c r="FX95" s="357"/>
      <c r="FY95" s="357"/>
      <c r="FZ95" s="357"/>
      <c r="GA95" s="357"/>
      <c r="GB95" s="357"/>
      <c r="GC95" s="357"/>
      <c r="GD95" s="357"/>
      <c r="GE95" s="357"/>
      <c r="GF95" s="357"/>
      <c r="GG95" s="357"/>
      <c r="GH95" s="357"/>
      <c r="GI95" s="357"/>
      <c r="GJ95" s="357"/>
      <c r="GK95" s="154"/>
      <c r="GL95" s="154"/>
      <c r="GM95" s="154"/>
      <c r="GN95" s="154"/>
      <c r="GO95" s="154"/>
      <c r="GP95" s="154"/>
      <c r="GQ95" s="154"/>
      <c r="GR95" s="154"/>
      <c r="GS95" s="154"/>
      <c r="GT95" s="154"/>
      <c r="GU95" s="154"/>
      <c r="GV95" s="154"/>
      <c r="GW95" s="154"/>
      <c r="GX95" s="154"/>
    </row>
    <row r="96" spans="7:206">
      <c r="G96" s="154"/>
      <c r="H96" s="154"/>
      <c r="I96" s="154"/>
      <c r="J96" s="154"/>
      <c r="K96" s="154"/>
      <c r="L96" s="154"/>
      <c r="M96" s="154"/>
      <c r="N96" s="154"/>
      <c r="O96" s="154"/>
      <c r="P96" s="154"/>
      <c r="Q96" s="154"/>
      <c r="R96" s="154"/>
      <c r="S96" s="154"/>
      <c r="T96" s="154"/>
      <c r="U96" s="154"/>
      <c r="V96" s="154"/>
      <c r="W96" s="154"/>
      <c r="X96" s="154"/>
      <c r="Y96" s="154"/>
      <c r="Z96" s="357"/>
      <c r="AA96" s="357"/>
      <c r="AB96" s="357"/>
      <c r="AC96" s="357"/>
      <c r="AD96" s="357"/>
      <c r="AE96" s="357"/>
      <c r="AF96" s="357"/>
      <c r="AG96" s="357"/>
      <c r="AH96" s="357"/>
      <c r="AI96" s="357"/>
      <c r="AJ96" s="357"/>
      <c r="AK96" s="357"/>
      <c r="AL96" s="357"/>
      <c r="AM96" s="357"/>
      <c r="AN96" s="357"/>
      <c r="AO96" s="357"/>
      <c r="AP96" s="357"/>
      <c r="AQ96" s="357"/>
      <c r="AR96" s="357"/>
      <c r="AS96" s="357"/>
      <c r="AT96" s="357"/>
      <c r="AU96" s="357"/>
      <c r="AV96" s="357"/>
      <c r="AW96" s="357"/>
      <c r="AX96" s="357"/>
      <c r="AY96" s="357"/>
      <c r="AZ96" s="357"/>
      <c r="BA96" s="357"/>
      <c r="BB96" s="357"/>
      <c r="BC96" s="357"/>
      <c r="BD96" s="357"/>
      <c r="BE96" s="357"/>
      <c r="BF96" s="357"/>
      <c r="BG96" s="357"/>
      <c r="BH96" s="357"/>
      <c r="BI96" s="357"/>
      <c r="BJ96" s="357"/>
      <c r="BK96" s="357"/>
      <c r="BL96" s="357"/>
      <c r="BM96" s="357"/>
      <c r="BN96" s="357"/>
      <c r="BO96" s="357"/>
      <c r="BP96" s="357"/>
      <c r="BQ96" s="357"/>
      <c r="BR96" s="357"/>
      <c r="BS96" s="357"/>
      <c r="BT96" s="357"/>
      <c r="BU96" s="357"/>
      <c r="BV96" s="357"/>
      <c r="BW96" s="357"/>
      <c r="BX96" s="357"/>
      <c r="BY96" s="357"/>
      <c r="BZ96" s="357"/>
      <c r="CA96" s="357"/>
      <c r="CB96" s="357"/>
      <c r="CC96" s="357"/>
      <c r="CD96" s="357"/>
      <c r="CE96" s="357"/>
      <c r="CF96" s="357"/>
      <c r="CG96" s="357"/>
      <c r="CH96" s="357"/>
      <c r="CI96" s="357"/>
      <c r="CJ96" s="357"/>
      <c r="CK96" s="357"/>
      <c r="CL96" s="357"/>
      <c r="CM96" s="357"/>
      <c r="CN96" s="357"/>
      <c r="CO96" s="357"/>
      <c r="CP96" s="357"/>
      <c r="CQ96" s="357"/>
      <c r="CR96" s="357"/>
      <c r="CS96" s="357"/>
      <c r="CT96" s="357"/>
      <c r="CU96" s="357"/>
      <c r="CV96" s="357"/>
      <c r="CW96" s="357"/>
      <c r="CX96" s="357"/>
      <c r="CY96" s="357"/>
      <c r="CZ96" s="357"/>
      <c r="DA96" s="357"/>
      <c r="DB96" s="357"/>
      <c r="DC96" s="357"/>
      <c r="DD96" s="357"/>
      <c r="DE96" s="357"/>
      <c r="DF96" s="357"/>
      <c r="DG96" s="357"/>
      <c r="DH96" s="357"/>
      <c r="DI96" s="357"/>
      <c r="DJ96" s="357"/>
      <c r="DK96" s="357"/>
      <c r="DL96" s="357"/>
      <c r="DM96" s="357"/>
      <c r="DN96" s="357"/>
      <c r="DO96" s="357"/>
      <c r="DP96" s="357"/>
      <c r="DQ96" s="357"/>
      <c r="DR96" s="357"/>
      <c r="DS96" s="357"/>
      <c r="DT96" s="357"/>
      <c r="DU96" s="357"/>
      <c r="DV96" s="357"/>
      <c r="DW96" s="357"/>
      <c r="DX96" s="357"/>
      <c r="DY96" s="357"/>
      <c r="DZ96" s="357"/>
      <c r="EA96" s="357"/>
      <c r="EB96" s="357"/>
      <c r="EC96" s="357"/>
      <c r="ED96" s="357"/>
      <c r="EE96" s="357"/>
      <c r="EF96" s="357"/>
      <c r="EG96" s="357"/>
      <c r="EH96" s="357"/>
      <c r="EI96" s="357"/>
      <c r="EJ96" s="357"/>
      <c r="EK96" s="357"/>
      <c r="EL96" s="357"/>
      <c r="EM96" s="357"/>
      <c r="EN96" s="357"/>
      <c r="EO96" s="357"/>
      <c r="EP96" s="357"/>
      <c r="EQ96" s="357"/>
      <c r="ER96" s="357"/>
      <c r="ES96" s="357"/>
      <c r="ET96" s="357"/>
      <c r="EU96" s="357"/>
      <c r="EV96" s="357"/>
      <c r="EW96" s="357"/>
      <c r="EX96" s="357"/>
      <c r="EY96" s="357"/>
      <c r="EZ96" s="357"/>
      <c r="FA96" s="357"/>
      <c r="FB96" s="357"/>
      <c r="FC96" s="357"/>
      <c r="FD96" s="357"/>
      <c r="FE96" s="357"/>
      <c r="FF96" s="357"/>
      <c r="FG96" s="357"/>
      <c r="FH96" s="357"/>
      <c r="FI96" s="357"/>
      <c r="FJ96" s="357"/>
      <c r="FK96" s="357"/>
      <c r="FL96" s="357"/>
      <c r="FM96" s="357"/>
      <c r="FN96" s="357"/>
      <c r="FO96" s="357"/>
      <c r="FP96" s="357"/>
      <c r="FQ96" s="357"/>
      <c r="FR96" s="357"/>
      <c r="FS96" s="357"/>
      <c r="FT96" s="357"/>
      <c r="FU96" s="357"/>
      <c r="FV96" s="357"/>
      <c r="FW96" s="357"/>
      <c r="FX96" s="357"/>
      <c r="FY96" s="357"/>
      <c r="FZ96" s="357"/>
      <c r="GA96" s="357"/>
      <c r="GB96" s="357"/>
      <c r="GC96" s="357"/>
      <c r="GD96" s="357"/>
      <c r="GE96" s="357"/>
      <c r="GF96" s="357"/>
      <c r="GG96" s="357"/>
      <c r="GH96" s="357"/>
      <c r="GI96" s="357"/>
      <c r="GJ96" s="357"/>
      <c r="GK96" s="154"/>
      <c r="GL96" s="154"/>
      <c r="GM96" s="154"/>
      <c r="GN96" s="154"/>
      <c r="GO96" s="154"/>
      <c r="GP96" s="154"/>
      <c r="GQ96" s="154"/>
      <c r="GR96" s="154"/>
      <c r="GS96" s="154"/>
      <c r="GT96" s="154"/>
      <c r="GU96" s="154"/>
      <c r="GV96" s="154"/>
      <c r="GW96" s="154"/>
      <c r="GX96" s="154"/>
    </row>
    <row r="97" spans="7:206">
      <c r="G97" s="154"/>
      <c r="H97" s="154"/>
      <c r="I97" s="154"/>
      <c r="J97" s="154"/>
      <c r="K97" s="154"/>
      <c r="L97" s="154"/>
      <c r="M97" s="154"/>
      <c r="N97" s="154"/>
      <c r="O97" s="154"/>
      <c r="P97" s="154"/>
      <c r="Q97" s="154"/>
      <c r="R97" s="154"/>
      <c r="S97" s="154"/>
      <c r="T97" s="154"/>
      <c r="U97" s="154"/>
      <c r="V97" s="154"/>
      <c r="W97" s="154"/>
      <c r="X97" s="154"/>
      <c r="Y97" s="154"/>
      <c r="Z97" s="357"/>
      <c r="AA97" s="357"/>
      <c r="AB97" s="357"/>
      <c r="AC97" s="357"/>
      <c r="AD97" s="357"/>
      <c r="AE97" s="357"/>
      <c r="AF97" s="357"/>
      <c r="AG97" s="357"/>
      <c r="AH97" s="357"/>
      <c r="AI97" s="357"/>
      <c r="AJ97" s="357"/>
      <c r="AK97" s="357"/>
      <c r="AL97" s="357"/>
      <c r="AM97" s="357"/>
      <c r="AN97" s="357"/>
      <c r="AO97" s="357"/>
      <c r="AP97" s="357"/>
      <c r="AQ97" s="357"/>
      <c r="AR97" s="357"/>
      <c r="AS97" s="357"/>
      <c r="AT97" s="357"/>
      <c r="AU97" s="357"/>
      <c r="AV97" s="357"/>
      <c r="AW97" s="357"/>
      <c r="AX97" s="357"/>
      <c r="AY97" s="357"/>
      <c r="AZ97" s="357"/>
      <c r="BA97" s="357"/>
      <c r="BB97" s="357"/>
      <c r="BC97" s="357"/>
      <c r="BD97" s="357"/>
      <c r="BE97" s="357"/>
      <c r="BF97" s="357"/>
      <c r="BG97" s="357"/>
      <c r="BH97" s="357"/>
      <c r="BI97" s="357"/>
      <c r="BJ97" s="357"/>
      <c r="BK97" s="357"/>
      <c r="BL97" s="357"/>
      <c r="BM97" s="357"/>
      <c r="BN97" s="357"/>
      <c r="BO97" s="357"/>
      <c r="BP97" s="357"/>
      <c r="BQ97" s="357"/>
      <c r="BR97" s="357"/>
      <c r="BS97" s="357"/>
      <c r="BT97" s="357"/>
      <c r="BU97" s="357"/>
      <c r="BV97" s="357"/>
      <c r="BW97" s="357"/>
      <c r="BX97" s="357"/>
      <c r="BY97" s="357"/>
      <c r="BZ97" s="357"/>
      <c r="CA97" s="357"/>
      <c r="CB97" s="357"/>
      <c r="CC97" s="357"/>
      <c r="CD97" s="357"/>
      <c r="CE97" s="357"/>
      <c r="CF97" s="357"/>
      <c r="CG97" s="357"/>
      <c r="CH97" s="357"/>
      <c r="CI97" s="357"/>
      <c r="CJ97" s="357"/>
      <c r="CK97" s="357"/>
      <c r="CL97" s="357"/>
      <c r="CM97" s="357"/>
      <c r="CN97" s="357"/>
      <c r="CO97" s="357"/>
      <c r="CP97" s="357"/>
      <c r="CQ97" s="357"/>
      <c r="CR97" s="357"/>
      <c r="CS97" s="357"/>
      <c r="CT97" s="357"/>
      <c r="CU97" s="357"/>
      <c r="CV97" s="357"/>
      <c r="CW97" s="357"/>
      <c r="CX97" s="357"/>
      <c r="CY97" s="357"/>
      <c r="CZ97" s="357"/>
      <c r="DA97" s="357"/>
      <c r="DB97" s="357"/>
      <c r="DC97" s="357"/>
      <c r="DD97" s="357"/>
      <c r="DE97" s="357"/>
      <c r="DF97" s="357"/>
      <c r="DG97" s="357"/>
      <c r="DH97" s="357"/>
      <c r="DI97" s="357"/>
      <c r="DJ97" s="357"/>
      <c r="DK97" s="357"/>
      <c r="DL97" s="357"/>
      <c r="DM97" s="357"/>
      <c r="DN97" s="357"/>
      <c r="DO97" s="357"/>
      <c r="DP97" s="357"/>
      <c r="DQ97" s="357"/>
      <c r="DR97" s="357"/>
      <c r="DS97" s="357"/>
      <c r="DT97" s="357"/>
      <c r="DU97" s="357"/>
      <c r="DV97" s="357"/>
      <c r="DW97" s="357"/>
      <c r="DX97" s="357"/>
      <c r="DY97" s="357"/>
      <c r="DZ97" s="357"/>
      <c r="EA97" s="357"/>
      <c r="EB97" s="357"/>
      <c r="EC97" s="357"/>
      <c r="ED97" s="357"/>
      <c r="EE97" s="357"/>
      <c r="EF97" s="357"/>
      <c r="EG97" s="357"/>
      <c r="EH97" s="357"/>
      <c r="EI97" s="357"/>
      <c r="EJ97" s="357"/>
      <c r="EK97" s="357"/>
      <c r="EL97" s="357"/>
      <c r="EM97" s="357"/>
      <c r="EN97" s="357"/>
      <c r="EO97" s="357"/>
      <c r="EP97" s="357"/>
      <c r="EQ97" s="357"/>
      <c r="ER97" s="357"/>
      <c r="ES97" s="357"/>
      <c r="ET97" s="357"/>
      <c r="EU97" s="357"/>
      <c r="EV97" s="357"/>
      <c r="EW97" s="357"/>
      <c r="EX97" s="357"/>
      <c r="EY97" s="357"/>
      <c r="EZ97" s="357"/>
      <c r="FA97" s="357"/>
      <c r="FB97" s="357"/>
      <c r="FC97" s="357"/>
      <c r="FD97" s="357"/>
      <c r="FE97" s="357"/>
      <c r="FF97" s="357"/>
      <c r="FG97" s="357"/>
      <c r="FH97" s="357"/>
      <c r="FI97" s="357"/>
      <c r="FJ97" s="357"/>
      <c r="FK97" s="357"/>
      <c r="FL97" s="357"/>
      <c r="FM97" s="357"/>
      <c r="FN97" s="357"/>
      <c r="FO97" s="357"/>
      <c r="FP97" s="357"/>
      <c r="FQ97" s="357"/>
      <c r="FR97" s="357"/>
      <c r="FS97" s="357"/>
      <c r="FT97" s="357"/>
      <c r="FU97" s="357"/>
      <c r="FV97" s="357"/>
      <c r="FW97" s="357"/>
      <c r="FX97" s="357"/>
      <c r="FY97" s="357"/>
      <c r="FZ97" s="357"/>
      <c r="GA97" s="357"/>
      <c r="GB97" s="357"/>
      <c r="GC97" s="357"/>
      <c r="GD97" s="357"/>
      <c r="GE97" s="357"/>
      <c r="GF97" s="357"/>
      <c r="GG97" s="357"/>
      <c r="GH97" s="357"/>
      <c r="GI97" s="357"/>
      <c r="GJ97" s="357"/>
      <c r="GK97" s="154"/>
      <c r="GL97" s="154"/>
      <c r="GM97" s="154"/>
      <c r="GN97" s="154"/>
      <c r="GO97" s="154"/>
      <c r="GP97" s="154"/>
      <c r="GQ97" s="154"/>
      <c r="GR97" s="154"/>
      <c r="GS97" s="154"/>
      <c r="GT97" s="154"/>
      <c r="GU97" s="154"/>
      <c r="GV97" s="154"/>
      <c r="GW97" s="154"/>
      <c r="GX97" s="154"/>
    </row>
    <row r="98" spans="7:206">
      <c r="G98" s="154"/>
      <c r="H98" s="154"/>
      <c r="I98" s="154"/>
      <c r="J98" s="154"/>
      <c r="K98" s="154"/>
      <c r="L98" s="154"/>
      <c r="M98" s="154"/>
      <c r="N98" s="154"/>
      <c r="O98" s="154"/>
      <c r="P98" s="154"/>
      <c r="Q98" s="154"/>
      <c r="R98" s="154"/>
      <c r="S98" s="154"/>
      <c r="T98" s="154"/>
      <c r="U98" s="154"/>
      <c r="V98" s="154"/>
      <c r="W98" s="154"/>
      <c r="X98" s="154"/>
      <c r="Y98" s="154"/>
      <c r="Z98" s="357"/>
      <c r="AA98" s="357"/>
      <c r="AB98" s="357"/>
      <c r="AC98" s="357"/>
      <c r="AD98" s="357"/>
      <c r="AE98" s="357"/>
      <c r="AF98" s="357"/>
      <c r="AG98" s="357"/>
      <c r="AH98" s="357"/>
      <c r="AI98" s="357"/>
      <c r="AJ98" s="357"/>
      <c r="AK98" s="357"/>
      <c r="AL98" s="357"/>
      <c r="AM98" s="357"/>
      <c r="AN98" s="357"/>
      <c r="AO98" s="357"/>
      <c r="AP98" s="357"/>
      <c r="AQ98" s="357"/>
      <c r="AR98" s="357"/>
      <c r="AS98" s="357"/>
      <c r="AT98" s="357"/>
      <c r="AU98" s="357"/>
      <c r="AV98" s="357"/>
      <c r="AW98" s="357"/>
      <c r="AX98" s="357"/>
      <c r="AY98" s="357"/>
      <c r="AZ98" s="357"/>
      <c r="BA98" s="357"/>
      <c r="BB98" s="357"/>
      <c r="BC98" s="357"/>
      <c r="BD98" s="357"/>
      <c r="BE98" s="357"/>
      <c r="BF98" s="357"/>
      <c r="BG98" s="357"/>
      <c r="BH98" s="357"/>
      <c r="BI98" s="357"/>
      <c r="BJ98" s="357"/>
      <c r="BK98" s="357"/>
      <c r="BL98" s="357"/>
      <c r="BM98" s="357"/>
      <c r="BN98" s="357"/>
      <c r="BO98" s="357"/>
      <c r="BP98" s="357"/>
      <c r="BQ98" s="357"/>
      <c r="BR98" s="357"/>
      <c r="BS98" s="357"/>
      <c r="BT98" s="357"/>
      <c r="BU98" s="357"/>
      <c r="BV98" s="357"/>
      <c r="BW98" s="357"/>
      <c r="BX98" s="357"/>
      <c r="BY98" s="357"/>
      <c r="BZ98" s="357"/>
      <c r="CA98" s="357"/>
      <c r="CB98" s="357"/>
      <c r="CC98" s="357"/>
      <c r="CD98" s="357"/>
      <c r="CE98" s="357"/>
      <c r="CF98" s="357"/>
      <c r="CG98" s="357"/>
      <c r="CH98" s="357"/>
      <c r="CI98" s="357"/>
      <c r="CJ98" s="357"/>
      <c r="CK98" s="357"/>
      <c r="CL98" s="357"/>
      <c r="CM98" s="357"/>
      <c r="CN98" s="357"/>
      <c r="CO98" s="357"/>
      <c r="CP98" s="357"/>
      <c r="CQ98" s="357"/>
      <c r="CR98" s="357"/>
      <c r="CS98" s="357"/>
      <c r="CT98" s="357"/>
      <c r="CU98" s="357"/>
      <c r="CV98" s="357"/>
      <c r="CW98" s="357"/>
      <c r="CX98" s="357"/>
      <c r="CY98" s="357"/>
      <c r="CZ98" s="357"/>
      <c r="DA98" s="357"/>
      <c r="DB98" s="357"/>
      <c r="DC98" s="357"/>
      <c r="DD98" s="357"/>
      <c r="DE98" s="357"/>
      <c r="DF98" s="357"/>
      <c r="DG98" s="357"/>
      <c r="DH98" s="357"/>
      <c r="DI98" s="357"/>
      <c r="DJ98" s="357"/>
      <c r="DK98" s="357"/>
      <c r="DL98" s="357"/>
      <c r="DM98" s="357"/>
      <c r="DN98" s="357"/>
      <c r="DO98" s="357"/>
      <c r="DP98" s="357"/>
      <c r="DQ98" s="357"/>
      <c r="DR98" s="357"/>
      <c r="DS98" s="357"/>
      <c r="DT98" s="357"/>
      <c r="DU98" s="357"/>
      <c r="DV98" s="357"/>
      <c r="DW98" s="357"/>
      <c r="DX98" s="357"/>
      <c r="DY98" s="357"/>
      <c r="DZ98" s="357"/>
      <c r="EA98" s="357"/>
      <c r="EB98" s="357"/>
      <c r="EC98" s="357"/>
      <c r="ED98" s="357"/>
      <c r="EE98" s="357"/>
      <c r="EF98" s="357"/>
      <c r="EG98" s="357"/>
      <c r="EH98" s="357"/>
      <c r="EI98" s="357"/>
      <c r="EJ98" s="357"/>
      <c r="EK98" s="357"/>
      <c r="EL98" s="357"/>
      <c r="EM98" s="357"/>
      <c r="EN98" s="357"/>
      <c r="EO98" s="357"/>
      <c r="EP98" s="357"/>
      <c r="EQ98" s="357"/>
      <c r="ER98" s="357"/>
      <c r="ES98" s="357"/>
      <c r="ET98" s="357"/>
      <c r="EU98" s="357"/>
      <c r="EV98" s="357"/>
      <c r="EW98" s="357"/>
      <c r="EX98" s="357"/>
      <c r="EY98" s="357"/>
      <c r="EZ98" s="357"/>
      <c r="FA98" s="357"/>
      <c r="FB98" s="357"/>
      <c r="FC98" s="357"/>
      <c r="FD98" s="357"/>
      <c r="FE98" s="357"/>
      <c r="FF98" s="357"/>
      <c r="FG98" s="357"/>
      <c r="FH98" s="357"/>
      <c r="FI98" s="357"/>
      <c r="FJ98" s="357"/>
      <c r="FK98" s="357"/>
      <c r="FL98" s="357"/>
      <c r="FM98" s="357"/>
      <c r="FN98" s="357"/>
      <c r="FO98" s="357"/>
      <c r="FP98" s="357"/>
      <c r="FQ98" s="357"/>
      <c r="FR98" s="357"/>
      <c r="FS98" s="357"/>
      <c r="FT98" s="357"/>
      <c r="FU98" s="357"/>
      <c r="FV98" s="357"/>
      <c r="FW98" s="357"/>
      <c r="FX98" s="357"/>
      <c r="FY98" s="357"/>
      <c r="FZ98" s="357"/>
      <c r="GA98" s="357"/>
      <c r="GB98" s="357"/>
      <c r="GC98" s="357"/>
      <c r="GD98" s="357"/>
      <c r="GE98" s="357"/>
      <c r="GF98" s="357"/>
      <c r="GG98" s="357"/>
      <c r="GH98" s="357"/>
      <c r="GI98" s="357"/>
      <c r="GJ98" s="357"/>
      <c r="GK98" s="154"/>
      <c r="GL98" s="154"/>
      <c r="GM98" s="154"/>
      <c r="GN98" s="154"/>
      <c r="GO98" s="154"/>
      <c r="GP98" s="154"/>
      <c r="GQ98" s="154"/>
      <c r="GR98" s="154"/>
      <c r="GS98" s="154"/>
      <c r="GT98" s="154"/>
      <c r="GU98" s="154"/>
      <c r="GV98" s="154"/>
      <c r="GW98" s="154"/>
      <c r="GX98" s="154"/>
    </row>
    <row r="99" spans="7:206">
      <c r="G99" s="154"/>
      <c r="H99" s="154"/>
      <c r="I99" s="154"/>
      <c r="J99" s="154"/>
      <c r="K99" s="154"/>
      <c r="L99" s="154"/>
      <c r="M99" s="154"/>
      <c r="N99" s="154"/>
      <c r="O99" s="154"/>
      <c r="P99" s="154"/>
      <c r="Q99" s="154"/>
      <c r="R99" s="154"/>
      <c r="S99" s="154"/>
      <c r="T99" s="154"/>
      <c r="U99" s="154"/>
      <c r="V99" s="154"/>
      <c r="W99" s="154"/>
      <c r="X99" s="154"/>
      <c r="Y99" s="154"/>
      <c r="Z99" s="357"/>
      <c r="AA99" s="357"/>
      <c r="AB99" s="357"/>
      <c r="AC99" s="357"/>
      <c r="AD99" s="357"/>
      <c r="AE99" s="357"/>
      <c r="AF99" s="357"/>
      <c r="AG99" s="357"/>
      <c r="AH99" s="357"/>
      <c r="AI99" s="357"/>
      <c r="AJ99" s="357"/>
      <c r="AK99" s="357"/>
      <c r="AL99" s="357"/>
      <c r="AM99" s="357"/>
      <c r="AN99" s="357"/>
      <c r="AO99" s="357"/>
      <c r="AP99" s="357"/>
      <c r="AQ99" s="357"/>
      <c r="AR99" s="357"/>
      <c r="AS99" s="357"/>
      <c r="AT99" s="357"/>
      <c r="AU99" s="357"/>
      <c r="AV99" s="357"/>
      <c r="AW99" s="357"/>
      <c r="AX99" s="357"/>
      <c r="AY99" s="357"/>
      <c r="AZ99" s="357"/>
      <c r="BA99" s="357"/>
      <c r="BB99" s="357"/>
      <c r="BC99" s="357"/>
      <c r="BD99" s="357"/>
      <c r="BE99" s="357"/>
      <c r="BF99" s="357"/>
      <c r="BG99" s="357"/>
      <c r="BH99" s="357"/>
      <c r="BI99" s="357"/>
      <c r="BJ99" s="357"/>
      <c r="BK99" s="357"/>
      <c r="BL99" s="357"/>
      <c r="BM99" s="357"/>
      <c r="BN99" s="357"/>
      <c r="BO99" s="357"/>
      <c r="BP99" s="357"/>
      <c r="BQ99" s="357"/>
      <c r="BR99" s="357"/>
      <c r="BS99" s="357"/>
      <c r="BT99" s="357"/>
      <c r="BU99" s="357"/>
      <c r="BV99" s="357"/>
      <c r="BW99" s="357"/>
      <c r="BX99" s="357"/>
      <c r="BY99" s="357"/>
      <c r="BZ99" s="357"/>
      <c r="CA99" s="357"/>
      <c r="CB99" s="357"/>
      <c r="CC99" s="357"/>
      <c r="CD99" s="357"/>
      <c r="CE99" s="357"/>
      <c r="CF99" s="357"/>
      <c r="CG99" s="357"/>
      <c r="CH99" s="357"/>
      <c r="CI99" s="357"/>
      <c r="CJ99" s="357"/>
      <c r="CK99" s="357"/>
      <c r="CL99" s="357"/>
      <c r="CM99" s="357"/>
      <c r="CN99" s="357"/>
      <c r="CO99" s="357"/>
      <c r="CP99" s="357"/>
      <c r="CQ99" s="357"/>
      <c r="CR99" s="357"/>
      <c r="CS99" s="357"/>
      <c r="CT99" s="357"/>
      <c r="CU99" s="357"/>
      <c r="CV99" s="357"/>
      <c r="CW99" s="357"/>
      <c r="CX99" s="357"/>
      <c r="CY99" s="357"/>
      <c r="CZ99" s="357"/>
      <c r="DA99" s="357"/>
      <c r="DB99" s="357"/>
      <c r="DC99" s="357"/>
      <c r="DD99" s="357"/>
      <c r="DE99" s="357"/>
      <c r="DF99" s="357"/>
      <c r="DG99" s="357"/>
      <c r="DH99" s="357"/>
      <c r="DI99" s="357"/>
      <c r="DJ99" s="357"/>
      <c r="DK99" s="357"/>
      <c r="DL99" s="357"/>
      <c r="DM99" s="357"/>
      <c r="DN99" s="357"/>
      <c r="DO99" s="357"/>
      <c r="DP99" s="357"/>
      <c r="DQ99" s="357"/>
      <c r="DR99" s="357"/>
      <c r="DS99" s="357"/>
      <c r="DT99" s="357"/>
      <c r="DU99" s="357"/>
      <c r="DV99" s="357"/>
      <c r="DW99" s="357"/>
      <c r="DX99" s="357"/>
      <c r="DY99" s="357"/>
      <c r="DZ99" s="357"/>
      <c r="EA99" s="357"/>
      <c r="EB99" s="357"/>
      <c r="EC99" s="357"/>
      <c r="ED99" s="357"/>
      <c r="EE99" s="357"/>
      <c r="EF99" s="357"/>
      <c r="EG99" s="357"/>
      <c r="EH99" s="357"/>
      <c r="EI99" s="357"/>
      <c r="EJ99" s="357"/>
      <c r="EK99" s="357"/>
      <c r="EL99" s="357"/>
      <c r="EM99" s="357"/>
      <c r="EN99" s="357"/>
      <c r="EO99" s="357"/>
      <c r="EP99" s="357"/>
      <c r="EQ99" s="357"/>
      <c r="ER99" s="357"/>
      <c r="ES99" s="357"/>
      <c r="ET99" s="357"/>
      <c r="EU99" s="357"/>
      <c r="EV99" s="357"/>
      <c r="EW99" s="357"/>
      <c r="EX99" s="357"/>
      <c r="EY99" s="357"/>
      <c r="EZ99" s="357"/>
      <c r="FA99" s="357"/>
      <c r="FB99" s="357"/>
      <c r="FC99" s="357"/>
      <c r="FD99" s="357"/>
      <c r="FE99" s="357"/>
      <c r="FF99" s="357"/>
      <c r="FG99" s="357"/>
      <c r="FH99" s="357"/>
      <c r="FI99" s="357"/>
      <c r="FJ99" s="357"/>
      <c r="FK99" s="357"/>
      <c r="FL99" s="357"/>
      <c r="FM99" s="357"/>
      <c r="FN99" s="357"/>
      <c r="FO99" s="357"/>
      <c r="FP99" s="357"/>
      <c r="FQ99" s="357"/>
      <c r="FR99" s="357"/>
      <c r="FS99" s="357"/>
      <c r="FT99" s="357"/>
      <c r="FU99" s="357"/>
      <c r="FV99" s="357"/>
      <c r="FW99" s="357"/>
      <c r="FX99" s="357"/>
      <c r="FY99" s="357"/>
      <c r="FZ99" s="357"/>
      <c r="GA99" s="357"/>
      <c r="GB99" s="357"/>
      <c r="GC99" s="357"/>
      <c r="GD99" s="357"/>
      <c r="GE99" s="357"/>
      <c r="GF99" s="357"/>
      <c r="GG99" s="357"/>
      <c r="GH99" s="357"/>
      <c r="GI99" s="357"/>
      <c r="GJ99" s="357"/>
      <c r="GK99" s="154"/>
      <c r="GL99" s="154"/>
      <c r="GM99" s="154"/>
      <c r="GN99" s="154"/>
      <c r="GO99" s="154"/>
      <c r="GP99" s="154"/>
      <c r="GQ99" s="154"/>
      <c r="GR99" s="154"/>
      <c r="GS99" s="154"/>
      <c r="GT99" s="154"/>
      <c r="GU99" s="154"/>
      <c r="GV99" s="154"/>
      <c r="GW99" s="154"/>
      <c r="GX99" s="154"/>
    </row>
    <row r="100" spans="7:206">
      <c r="G100" s="154"/>
      <c r="H100" s="154"/>
      <c r="I100" s="154"/>
      <c r="J100" s="154"/>
      <c r="K100" s="154"/>
      <c r="L100" s="154"/>
      <c r="M100" s="154"/>
      <c r="N100" s="154"/>
      <c r="O100" s="154"/>
      <c r="P100" s="154"/>
      <c r="Q100" s="154"/>
      <c r="R100" s="154"/>
      <c r="S100" s="154"/>
      <c r="T100" s="154"/>
      <c r="U100" s="154"/>
      <c r="V100" s="154"/>
      <c r="W100" s="154"/>
      <c r="X100" s="154"/>
      <c r="Y100" s="154"/>
      <c r="Z100" s="357"/>
      <c r="AA100" s="357"/>
      <c r="AB100" s="357"/>
      <c r="AC100" s="357"/>
      <c r="AD100" s="357"/>
      <c r="AE100" s="357"/>
      <c r="AF100" s="357"/>
      <c r="AG100" s="357"/>
      <c r="AH100" s="357"/>
      <c r="AI100" s="357"/>
      <c r="AJ100" s="357"/>
      <c r="AK100" s="357"/>
      <c r="AL100" s="357"/>
      <c r="AM100" s="357"/>
      <c r="AN100" s="357"/>
      <c r="AO100" s="357"/>
      <c r="AP100" s="357"/>
      <c r="AQ100" s="357"/>
      <c r="AR100" s="357"/>
      <c r="AS100" s="357"/>
      <c r="AT100" s="357"/>
      <c r="AU100" s="357"/>
      <c r="AV100" s="357"/>
      <c r="AW100" s="357"/>
      <c r="AX100" s="357"/>
      <c r="AY100" s="357"/>
      <c r="AZ100" s="357"/>
      <c r="BA100" s="357"/>
      <c r="BB100" s="357"/>
      <c r="BC100" s="357"/>
      <c r="BD100" s="357"/>
      <c r="BE100" s="357"/>
      <c r="BF100" s="357"/>
      <c r="BG100" s="357"/>
      <c r="BH100" s="357"/>
      <c r="BI100" s="357"/>
      <c r="BJ100" s="357"/>
      <c r="BK100" s="357"/>
      <c r="BL100" s="357"/>
      <c r="BM100" s="357"/>
      <c r="BN100" s="357"/>
      <c r="BO100" s="357"/>
      <c r="BP100" s="357"/>
      <c r="BQ100" s="357"/>
      <c r="BR100" s="357"/>
      <c r="BS100" s="357"/>
      <c r="BT100" s="357"/>
      <c r="BU100" s="357"/>
      <c r="BV100" s="357"/>
      <c r="BW100" s="357"/>
      <c r="BX100" s="357"/>
      <c r="BY100" s="357"/>
      <c r="BZ100" s="357"/>
      <c r="CA100" s="357"/>
      <c r="CB100" s="357"/>
      <c r="CC100" s="357"/>
      <c r="CD100" s="357"/>
      <c r="CE100" s="357"/>
      <c r="CF100" s="357"/>
      <c r="CG100" s="357"/>
      <c r="CH100" s="357"/>
      <c r="CI100" s="357"/>
      <c r="CJ100" s="357"/>
      <c r="CK100" s="357"/>
      <c r="CL100" s="357"/>
      <c r="CM100" s="357"/>
      <c r="CN100" s="357"/>
      <c r="CO100" s="357"/>
      <c r="CP100" s="357"/>
      <c r="CQ100" s="357"/>
      <c r="CR100" s="357"/>
      <c r="CS100" s="357"/>
      <c r="CT100" s="357"/>
      <c r="CU100" s="357"/>
      <c r="CV100" s="357"/>
      <c r="CW100" s="357"/>
      <c r="CX100" s="357"/>
      <c r="CY100" s="357"/>
      <c r="CZ100" s="357"/>
      <c r="DA100" s="357"/>
      <c r="DB100" s="357"/>
      <c r="DC100" s="357"/>
      <c r="DD100" s="357"/>
      <c r="DE100" s="357"/>
      <c r="DF100" s="357"/>
      <c r="DG100" s="357"/>
      <c r="DH100" s="357"/>
      <c r="DI100" s="357"/>
      <c r="DJ100" s="357"/>
      <c r="DK100" s="357"/>
      <c r="DL100" s="357"/>
      <c r="DM100" s="357"/>
      <c r="DN100" s="357"/>
      <c r="DO100" s="357"/>
      <c r="DP100" s="357"/>
      <c r="DQ100" s="357"/>
      <c r="DR100" s="357"/>
      <c r="DS100" s="357"/>
      <c r="DT100" s="357"/>
      <c r="DU100" s="357"/>
      <c r="DV100" s="357"/>
      <c r="DW100" s="357"/>
      <c r="DX100" s="357"/>
      <c r="DY100" s="357"/>
      <c r="DZ100" s="357"/>
      <c r="EA100" s="357"/>
      <c r="EB100" s="357"/>
      <c r="EC100" s="357"/>
      <c r="ED100" s="357"/>
      <c r="EE100" s="357"/>
      <c r="EF100" s="357"/>
      <c r="EG100" s="357"/>
      <c r="EH100" s="357"/>
      <c r="EI100" s="357"/>
      <c r="EJ100" s="357"/>
      <c r="EK100" s="357"/>
      <c r="EL100" s="357"/>
      <c r="EM100" s="357"/>
      <c r="EN100" s="357"/>
      <c r="EO100" s="357"/>
      <c r="EP100" s="357"/>
      <c r="EQ100" s="357"/>
      <c r="ER100" s="357"/>
      <c r="ES100" s="357"/>
      <c r="ET100" s="357"/>
      <c r="EU100" s="357"/>
      <c r="EV100" s="357"/>
      <c r="EW100" s="357"/>
      <c r="EX100" s="357"/>
      <c r="EY100" s="357"/>
      <c r="EZ100" s="357"/>
      <c r="FA100" s="357"/>
      <c r="FB100" s="357"/>
      <c r="FC100" s="357"/>
      <c r="FD100" s="357"/>
      <c r="FE100" s="357"/>
      <c r="FF100" s="357"/>
      <c r="FG100" s="357"/>
      <c r="FH100" s="357"/>
      <c r="FI100" s="357"/>
      <c r="FJ100" s="357"/>
      <c r="FK100" s="357"/>
      <c r="FL100" s="357"/>
      <c r="FM100" s="357"/>
      <c r="FN100" s="357"/>
      <c r="FO100" s="357"/>
      <c r="FP100" s="357"/>
      <c r="FQ100" s="357"/>
      <c r="FR100" s="357"/>
      <c r="FS100" s="357"/>
      <c r="FT100" s="357"/>
      <c r="FU100" s="357"/>
      <c r="FV100" s="357"/>
      <c r="FW100" s="357"/>
      <c r="FX100" s="357"/>
      <c r="FY100" s="357"/>
      <c r="FZ100" s="357"/>
      <c r="GA100" s="357"/>
      <c r="GB100" s="357"/>
      <c r="GC100" s="357"/>
      <c r="GD100" s="357"/>
      <c r="GE100" s="357"/>
      <c r="GF100" s="357"/>
      <c r="GG100" s="357"/>
      <c r="GH100" s="357"/>
      <c r="GI100" s="357"/>
      <c r="GJ100" s="357"/>
      <c r="GK100" s="154"/>
      <c r="GL100" s="154"/>
      <c r="GM100" s="154"/>
      <c r="GN100" s="154"/>
      <c r="GO100" s="154"/>
      <c r="GP100" s="154"/>
      <c r="GQ100" s="154"/>
      <c r="GR100" s="154"/>
      <c r="GS100" s="154"/>
      <c r="GT100" s="154"/>
      <c r="GU100" s="154"/>
      <c r="GV100" s="154"/>
      <c r="GW100" s="154"/>
      <c r="GX100" s="154"/>
    </row>
    <row r="101" spans="7:206">
      <c r="G101" s="154"/>
      <c r="H101" s="154"/>
      <c r="I101" s="154"/>
      <c r="J101" s="154"/>
      <c r="K101" s="154"/>
      <c r="L101" s="154"/>
      <c r="M101" s="154"/>
      <c r="N101" s="154"/>
      <c r="O101" s="154"/>
      <c r="P101" s="154"/>
      <c r="Q101" s="154"/>
      <c r="R101" s="154"/>
      <c r="S101" s="154"/>
      <c r="T101" s="154"/>
      <c r="U101" s="154"/>
      <c r="V101" s="154"/>
      <c r="W101" s="154"/>
      <c r="X101" s="154"/>
      <c r="Y101" s="154"/>
      <c r="Z101" s="357"/>
      <c r="AA101" s="357"/>
      <c r="AB101" s="357"/>
      <c r="AC101" s="357"/>
      <c r="AD101" s="357"/>
      <c r="AE101" s="357"/>
      <c r="AF101" s="357"/>
      <c r="AG101" s="357"/>
      <c r="AH101" s="357"/>
      <c r="AI101" s="357"/>
      <c r="AJ101" s="357"/>
      <c r="AK101" s="357"/>
      <c r="AL101" s="357"/>
      <c r="AM101" s="357"/>
      <c r="AN101" s="357"/>
      <c r="AO101" s="357"/>
      <c r="AP101" s="357"/>
      <c r="AQ101" s="357"/>
      <c r="AR101" s="357"/>
      <c r="AS101" s="357"/>
      <c r="AT101" s="357"/>
      <c r="AU101" s="357"/>
      <c r="AV101" s="357"/>
      <c r="AW101" s="357"/>
      <c r="AX101" s="357"/>
      <c r="AY101" s="357"/>
      <c r="AZ101" s="357"/>
      <c r="BA101" s="357"/>
      <c r="BB101" s="357"/>
      <c r="BC101" s="357"/>
      <c r="BD101" s="357"/>
      <c r="BE101" s="357"/>
      <c r="BF101" s="357"/>
      <c r="BG101" s="357"/>
      <c r="BH101" s="357"/>
      <c r="BI101" s="357"/>
      <c r="BJ101" s="357"/>
      <c r="BK101" s="357"/>
      <c r="BL101" s="357"/>
      <c r="BM101" s="357"/>
      <c r="BN101" s="357"/>
      <c r="BO101" s="357"/>
      <c r="BP101" s="357"/>
      <c r="BQ101" s="357"/>
      <c r="BR101" s="357"/>
      <c r="BS101" s="357"/>
      <c r="BT101" s="357"/>
      <c r="BU101" s="357"/>
      <c r="BV101" s="357"/>
      <c r="BW101" s="357"/>
      <c r="BX101" s="357"/>
      <c r="BY101" s="357"/>
      <c r="BZ101" s="357"/>
      <c r="CA101" s="357"/>
      <c r="CB101" s="357"/>
      <c r="CC101" s="357"/>
      <c r="CD101" s="357"/>
      <c r="CE101" s="357"/>
      <c r="CF101" s="357"/>
      <c r="CG101" s="357"/>
      <c r="CH101" s="357"/>
      <c r="CI101" s="357"/>
      <c r="CJ101" s="357"/>
      <c r="CK101" s="357"/>
      <c r="CL101" s="357"/>
      <c r="CM101" s="357"/>
      <c r="CN101" s="357"/>
      <c r="CO101" s="357"/>
      <c r="CP101" s="357"/>
      <c r="CQ101" s="357"/>
      <c r="CR101" s="357"/>
      <c r="CS101" s="357"/>
      <c r="CT101" s="357"/>
      <c r="CU101" s="357"/>
      <c r="CV101" s="357"/>
      <c r="CW101" s="357"/>
      <c r="CX101" s="357"/>
      <c r="CY101" s="357"/>
      <c r="CZ101" s="357"/>
      <c r="DA101" s="357"/>
      <c r="DB101" s="357"/>
      <c r="DC101" s="357"/>
      <c r="DD101" s="357"/>
      <c r="DE101" s="357"/>
      <c r="DF101" s="357"/>
      <c r="DG101" s="357"/>
      <c r="DH101" s="357"/>
      <c r="DI101" s="357"/>
      <c r="DJ101" s="357"/>
      <c r="DK101" s="357"/>
      <c r="DL101" s="357"/>
      <c r="DM101" s="357"/>
      <c r="DN101" s="357"/>
      <c r="DO101" s="357"/>
      <c r="DP101" s="357"/>
      <c r="DQ101" s="357"/>
      <c r="DR101" s="357"/>
      <c r="DS101" s="357"/>
      <c r="DT101" s="357"/>
      <c r="DU101" s="357"/>
      <c r="DV101" s="357"/>
      <c r="DW101" s="357"/>
      <c r="DX101" s="357"/>
      <c r="DY101" s="357"/>
      <c r="DZ101" s="357"/>
      <c r="EA101" s="357"/>
      <c r="EB101" s="357"/>
      <c r="EC101" s="357"/>
      <c r="ED101" s="357"/>
      <c r="EE101" s="357"/>
      <c r="EF101" s="357"/>
      <c r="EG101" s="357"/>
      <c r="EH101" s="357"/>
      <c r="EI101" s="357"/>
      <c r="EJ101" s="357"/>
      <c r="EK101" s="357"/>
      <c r="EL101" s="357"/>
      <c r="EM101" s="357"/>
      <c r="EN101" s="357"/>
      <c r="EO101" s="357"/>
      <c r="EP101" s="357"/>
      <c r="EQ101" s="357"/>
      <c r="ER101" s="357"/>
      <c r="ES101" s="357"/>
      <c r="ET101" s="357"/>
      <c r="EU101" s="357"/>
      <c r="EV101" s="357"/>
      <c r="EW101" s="357"/>
      <c r="EX101" s="357"/>
      <c r="EY101" s="357"/>
      <c r="EZ101" s="357"/>
      <c r="FA101" s="357"/>
      <c r="FB101" s="357"/>
      <c r="FC101" s="357"/>
      <c r="FD101" s="357"/>
      <c r="FE101" s="357"/>
      <c r="FF101" s="357"/>
      <c r="FG101" s="357"/>
      <c r="FH101" s="357"/>
      <c r="FI101" s="357"/>
      <c r="FJ101" s="357"/>
      <c r="FK101" s="357"/>
      <c r="FL101" s="357"/>
      <c r="FM101" s="357"/>
      <c r="FN101" s="357"/>
      <c r="FO101" s="357"/>
      <c r="FP101" s="357"/>
      <c r="FQ101" s="357"/>
      <c r="FR101" s="357"/>
      <c r="FS101" s="357"/>
      <c r="FT101" s="357"/>
      <c r="FU101" s="357"/>
      <c r="FV101" s="357"/>
      <c r="FW101" s="357"/>
      <c r="FX101" s="357"/>
      <c r="FY101" s="357"/>
      <c r="FZ101" s="357"/>
      <c r="GA101" s="357"/>
      <c r="GB101" s="357"/>
      <c r="GC101" s="357"/>
      <c r="GD101" s="357"/>
      <c r="GE101" s="357"/>
      <c r="GF101" s="357"/>
      <c r="GG101" s="357"/>
      <c r="GH101" s="357"/>
      <c r="GI101" s="357"/>
      <c r="GJ101" s="357"/>
      <c r="GK101" s="154"/>
      <c r="GL101" s="154"/>
      <c r="GM101" s="154"/>
      <c r="GN101" s="154"/>
      <c r="GO101" s="154"/>
      <c r="GP101" s="154"/>
      <c r="GQ101" s="154"/>
      <c r="GR101" s="154"/>
      <c r="GS101" s="154"/>
      <c r="GT101" s="154"/>
      <c r="GU101" s="154"/>
      <c r="GV101" s="154"/>
      <c r="GW101" s="154"/>
      <c r="GX101" s="154"/>
    </row>
    <row r="102" spans="7:206">
      <c r="G102" s="154"/>
      <c r="H102" s="154"/>
      <c r="I102" s="154"/>
      <c r="J102" s="154"/>
      <c r="K102" s="154"/>
      <c r="L102" s="154"/>
      <c r="M102" s="154"/>
      <c r="N102" s="154"/>
      <c r="O102" s="154"/>
      <c r="P102" s="154"/>
      <c r="Q102" s="154"/>
      <c r="R102" s="154"/>
      <c r="S102" s="154"/>
      <c r="T102" s="154"/>
      <c r="U102" s="154"/>
      <c r="V102" s="154"/>
      <c r="W102" s="154"/>
      <c r="X102" s="154"/>
      <c r="Y102" s="154"/>
      <c r="Z102" s="357"/>
      <c r="AA102" s="357"/>
      <c r="AB102" s="357"/>
      <c r="AC102" s="357"/>
      <c r="AD102" s="357"/>
      <c r="AE102" s="357"/>
      <c r="AF102" s="357"/>
      <c r="AG102" s="357"/>
      <c r="AH102" s="357"/>
      <c r="AI102" s="357"/>
      <c r="AJ102" s="357"/>
      <c r="AK102" s="357"/>
      <c r="AL102" s="357"/>
      <c r="AM102" s="357"/>
      <c r="AN102" s="357"/>
      <c r="AO102" s="357"/>
      <c r="AP102" s="357"/>
      <c r="AQ102" s="357"/>
      <c r="AR102" s="357"/>
      <c r="AS102" s="357"/>
      <c r="AT102" s="357"/>
      <c r="AU102" s="357"/>
      <c r="AV102" s="357"/>
      <c r="AW102" s="357"/>
      <c r="AX102" s="357"/>
      <c r="AY102" s="357"/>
      <c r="AZ102" s="357"/>
      <c r="BA102" s="357"/>
      <c r="BB102" s="357"/>
      <c r="BC102" s="357"/>
      <c r="BD102" s="357"/>
      <c r="BE102" s="357"/>
      <c r="BF102" s="357"/>
      <c r="BG102" s="357"/>
      <c r="BH102" s="357"/>
      <c r="BI102" s="357"/>
      <c r="BJ102" s="357"/>
      <c r="BK102" s="357"/>
      <c r="BL102" s="357"/>
      <c r="BM102" s="357"/>
      <c r="BN102" s="357"/>
      <c r="BO102" s="357"/>
      <c r="BP102" s="357"/>
      <c r="BQ102" s="357"/>
      <c r="BR102" s="357"/>
      <c r="BS102" s="357"/>
      <c r="BT102" s="357"/>
      <c r="BU102" s="357"/>
      <c r="BV102" s="357"/>
      <c r="BW102" s="357"/>
      <c r="BX102" s="357"/>
      <c r="BY102" s="357"/>
      <c r="BZ102" s="357"/>
      <c r="CA102" s="357"/>
      <c r="CB102" s="357"/>
      <c r="CC102" s="357"/>
      <c r="CD102" s="357"/>
      <c r="CE102" s="357"/>
      <c r="CF102" s="357"/>
      <c r="CG102" s="357"/>
      <c r="CH102" s="357"/>
      <c r="CI102" s="357"/>
      <c r="CJ102" s="357"/>
      <c r="CK102" s="357"/>
      <c r="CL102" s="357"/>
      <c r="CM102" s="357"/>
      <c r="CN102" s="357"/>
      <c r="CO102" s="357"/>
      <c r="CP102" s="357"/>
      <c r="CQ102" s="357"/>
      <c r="CR102" s="357"/>
      <c r="CS102" s="357"/>
      <c r="CT102" s="357"/>
      <c r="CU102" s="357"/>
      <c r="CV102" s="357"/>
      <c r="CW102" s="357"/>
      <c r="CX102" s="357"/>
      <c r="CY102" s="357"/>
      <c r="CZ102" s="357"/>
      <c r="DA102" s="357"/>
      <c r="DB102" s="357"/>
      <c r="DC102" s="357"/>
      <c r="DD102" s="357"/>
      <c r="DE102" s="357"/>
      <c r="DF102" s="357"/>
      <c r="DG102" s="357"/>
      <c r="DH102" s="357"/>
      <c r="DI102" s="357"/>
      <c r="DJ102" s="357"/>
      <c r="DK102" s="357"/>
      <c r="DL102" s="357"/>
      <c r="DM102" s="357"/>
      <c r="DN102" s="357"/>
      <c r="DO102" s="357"/>
      <c r="DP102" s="357"/>
      <c r="DQ102" s="357"/>
      <c r="DR102" s="357"/>
      <c r="DS102" s="357"/>
      <c r="DT102" s="357"/>
      <c r="DU102" s="357"/>
      <c r="DV102" s="357"/>
      <c r="DW102" s="357"/>
      <c r="DX102" s="357"/>
      <c r="DY102" s="357"/>
      <c r="DZ102" s="357"/>
      <c r="EA102" s="357"/>
      <c r="EB102" s="357"/>
      <c r="EC102" s="357"/>
      <c r="ED102" s="357"/>
      <c r="EE102" s="357"/>
      <c r="EF102" s="357"/>
      <c r="EG102" s="357"/>
      <c r="EH102" s="357"/>
      <c r="EI102" s="357"/>
      <c r="EJ102" s="357"/>
      <c r="EK102" s="357"/>
      <c r="EL102" s="357"/>
      <c r="EM102" s="357"/>
      <c r="EN102" s="357"/>
      <c r="EO102" s="357"/>
      <c r="EP102" s="357"/>
      <c r="EQ102" s="357"/>
      <c r="ER102" s="357"/>
      <c r="ES102" s="357"/>
      <c r="ET102" s="357"/>
      <c r="EU102" s="357"/>
      <c r="EV102" s="357"/>
      <c r="EW102" s="357"/>
      <c r="EX102" s="357"/>
      <c r="EY102" s="357"/>
      <c r="EZ102" s="357"/>
      <c r="FA102" s="357"/>
      <c r="FB102" s="357"/>
      <c r="FC102" s="357"/>
      <c r="FD102" s="357"/>
      <c r="FE102" s="357"/>
      <c r="FF102" s="357"/>
      <c r="FG102" s="357"/>
      <c r="FH102" s="357"/>
      <c r="FI102" s="357"/>
      <c r="FJ102" s="357"/>
      <c r="FK102" s="357"/>
      <c r="FL102" s="357"/>
      <c r="FM102" s="357"/>
      <c r="FN102" s="357"/>
      <c r="FO102" s="357"/>
      <c r="FP102" s="357"/>
      <c r="FQ102" s="357"/>
      <c r="FR102" s="357"/>
      <c r="FS102" s="357"/>
      <c r="FT102" s="357"/>
      <c r="FU102" s="357"/>
      <c r="FV102" s="357"/>
      <c r="FW102" s="357"/>
      <c r="FX102" s="357"/>
      <c r="FY102" s="357"/>
      <c r="FZ102" s="357"/>
      <c r="GA102" s="357"/>
      <c r="GB102" s="357"/>
      <c r="GC102" s="357"/>
      <c r="GD102" s="357"/>
      <c r="GE102" s="357"/>
      <c r="GF102" s="357"/>
      <c r="GG102" s="357"/>
      <c r="GH102" s="357"/>
      <c r="GI102" s="357"/>
      <c r="GJ102" s="357"/>
      <c r="GK102" s="154"/>
      <c r="GL102" s="154"/>
      <c r="GM102" s="154"/>
      <c r="GN102" s="154"/>
      <c r="GO102" s="154"/>
      <c r="GP102" s="154"/>
      <c r="GQ102" s="154"/>
      <c r="GR102" s="154"/>
      <c r="GS102" s="154"/>
      <c r="GT102" s="154"/>
      <c r="GU102" s="154"/>
      <c r="GV102" s="154"/>
      <c r="GW102" s="154"/>
      <c r="GX102" s="154"/>
    </row>
    <row r="103" spans="7:206">
      <c r="G103" s="154"/>
      <c r="H103" s="154"/>
      <c r="I103" s="154"/>
      <c r="J103" s="154"/>
      <c r="K103" s="154"/>
      <c r="L103" s="154"/>
      <c r="M103" s="154"/>
      <c r="N103" s="154"/>
      <c r="O103" s="154"/>
      <c r="P103" s="154"/>
      <c r="Q103" s="154"/>
      <c r="R103" s="154"/>
      <c r="S103" s="154"/>
      <c r="T103" s="154"/>
      <c r="U103" s="154"/>
      <c r="V103" s="154"/>
      <c r="W103" s="154"/>
      <c r="X103" s="154"/>
      <c r="Y103" s="154"/>
      <c r="Z103" s="357"/>
      <c r="AA103" s="357"/>
      <c r="AB103" s="357"/>
      <c r="AC103" s="357"/>
      <c r="AD103" s="357"/>
      <c r="AE103" s="357"/>
      <c r="AF103" s="357"/>
      <c r="AG103" s="357"/>
      <c r="AH103" s="357"/>
      <c r="AI103" s="357"/>
      <c r="AJ103" s="357"/>
      <c r="AK103" s="357"/>
      <c r="AL103" s="357"/>
      <c r="AM103" s="357"/>
      <c r="AN103" s="357"/>
      <c r="AO103" s="357"/>
      <c r="AP103" s="357"/>
      <c r="AQ103" s="357"/>
      <c r="AR103" s="357"/>
      <c r="AS103" s="357"/>
      <c r="AT103" s="357"/>
      <c r="AU103" s="357"/>
      <c r="AV103" s="357"/>
      <c r="AW103" s="357"/>
      <c r="AX103" s="357"/>
      <c r="AY103" s="357"/>
      <c r="AZ103" s="357"/>
      <c r="BA103" s="357"/>
      <c r="BB103" s="357"/>
      <c r="BC103" s="357"/>
      <c r="BD103" s="357"/>
      <c r="BE103" s="357"/>
      <c r="BF103" s="357"/>
      <c r="BG103" s="357"/>
      <c r="BH103" s="357"/>
      <c r="BI103" s="357"/>
      <c r="BJ103" s="357"/>
      <c r="BK103" s="357"/>
      <c r="BL103" s="357"/>
      <c r="BM103" s="357"/>
      <c r="BN103" s="357"/>
      <c r="BO103" s="357"/>
      <c r="BP103" s="357"/>
      <c r="BQ103" s="357"/>
      <c r="BR103" s="357"/>
      <c r="BS103" s="357"/>
      <c r="BT103" s="357"/>
      <c r="BU103" s="357"/>
      <c r="BV103" s="357"/>
      <c r="BW103" s="357"/>
      <c r="BX103" s="357"/>
      <c r="BY103" s="357"/>
      <c r="BZ103" s="357"/>
      <c r="CA103" s="357"/>
      <c r="CB103" s="357"/>
      <c r="CC103" s="357"/>
      <c r="CD103" s="357"/>
      <c r="CE103" s="357"/>
      <c r="CF103" s="357"/>
      <c r="CG103" s="357"/>
      <c r="CH103" s="357"/>
      <c r="CI103" s="357"/>
      <c r="CJ103" s="357"/>
      <c r="CK103" s="357"/>
      <c r="CL103" s="357"/>
      <c r="CM103" s="357"/>
      <c r="CN103" s="357"/>
      <c r="CO103" s="357"/>
      <c r="CP103" s="357"/>
      <c r="CQ103" s="357"/>
      <c r="CR103" s="357"/>
      <c r="CS103" s="357"/>
      <c r="CT103" s="357"/>
      <c r="CU103" s="357"/>
      <c r="CV103" s="357"/>
      <c r="CW103" s="357"/>
      <c r="CX103" s="357"/>
      <c r="CY103" s="357"/>
      <c r="CZ103" s="357"/>
      <c r="DA103" s="357"/>
      <c r="DB103" s="357"/>
      <c r="DC103" s="357"/>
      <c r="DD103" s="357"/>
      <c r="DE103" s="357"/>
      <c r="DF103" s="357"/>
      <c r="DG103" s="357"/>
      <c r="DH103" s="357"/>
      <c r="DI103" s="357"/>
      <c r="DJ103" s="357"/>
      <c r="DK103" s="357"/>
      <c r="DL103" s="357"/>
      <c r="DM103" s="357"/>
      <c r="DN103" s="357"/>
      <c r="DO103" s="357"/>
      <c r="DP103" s="357"/>
      <c r="DQ103" s="357"/>
      <c r="DR103" s="357"/>
      <c r="DS103" s="357"/>
      <c r="DT103" s="357"/>
      <c r="DU103" s="357"/>
      <c r="DV103" s="357"/>
      <c r="DW103" s="357"/>
      <c r="DX103" s="357"/>
      <c r="DY103" s="357"/>
      <c r="DZ103" s="357"/>
      <c r="EA103" s="357"/>
      <c r="EB103" s="357"/>
      <c r="EC103" s="357"/>
      <c r="ED103" s="357"/>
      <c r="EE103" s="357"/>
      <c r="EF103" s="357"/>
      <c r="EG103" s="357"/>
      <c r="EH103" s="357"/>
      <c r="EI103" s="357"/>
      <c r="EJ103" s="357"/>
      <c r="EK103" s="357"/>
      <c r="EL103" s="357"/>
      <c r="EM103" s="357"/>
      <c r="EN103" s="357"/>
      <c r="EO103" s="357"/>
      <c r="EP103" s="357"/>
      <c r="EQ103" s="357"/>
      <c r="ER103" s="357"/>
      <c r="ES103" s="357"/>
      <c r="ET103" s="357"/>
      <c r="EU103" s="357"/>
      <c r="EV103" s="357"/>
      <c r="EW103" s="357"/>
      <c r="EX103" s="357"/>
      <c r="EY103" s="357"/>
      <c r="EZ103" s="357"/>
      <c r="FA103" s="357"/>
      <c r="FB103" s="357"/>
      <c r="FC103" s="357"/>
      <c r="FD103" s="357"/>
      <c r="FE103" s="357"/>
      <c r="FF103" s="357"/>
      <c r="FG103" s="357"/>
      <c r="FH103" s="357"/>
      <c r="FI103" s="357"/>
      <c r="FJ103" s="357"/>
      <c r="FK103" s="357"/>
      <c r="FL103" s="357"/>
      <c r="FM103" s="357"/>
      <c r="FN103" s="357"/>
      <c r="FO103" s="357"/>
      <c r="FP103" s="357"/>
      <c r="FQ103" s="357"/>
      <c r="FR103" s="357"/>
      <c r="FS103" s="357"/>
      <c r="FT103" s="357"/>
      <c r="FU103" s="357"/>
      <c r="FV103" s="357"/>
      <c r="FW103" s="357"/>
      <c r="FX103" s="357"/>
      <c r="FY103" s="357"/>
      <c r="FZ103" s="357"/>
      <c r="GA103" s="357"/>
      <c r="GB103" s="357"/>
      <c r="GC103" s="357"/>
      <c r="GD103" s="357"/>
      <c r="GE103" s="357"/>
      <c r="GF103" s="357"/>
      <c r="GG103" s="357"/>
      <c r="GH103" s="357"/>
      <c r="GI103" s="357"/>
      <c r="GJ103" s="357"/>
      <c r="GK103" s="154"/>
      <c r="GL103" s="154"/>
      <c r="GM103" s="154"/>
      <c r="GN103" s="154"/>
      <c r="GO103" s="154"/>
      <c r="GP103" s="154"/>
      <c r="GQ103" s="154"/>
      <c r="GR103" s="154"/>
      <c r="GS103" s="154"/>
      <c r="GT103" s="154"/>
      <c r="GU103" s="154"/>
      <c r="GV103" s="154"/>
      <c r="GW103" s="154"/>
      <c r="GX103" s="154"/>
    </row>
    <row r="104" spans="7:206">
      <c r="G104" s="154"/>
      <c r="H104" s="154"/>
      <c r="I104" s="154"/>
      <c r="J104" s="154"/>
      <c r="K104" s="154"/>
      <c r="L104" s="154"/>
      <c r="M104" s="154"/>
      <c r="N104" s="154"/>
      <c r="O104" s="154"/>
      <c r="P104" s="154"/>
      <c r="Q104" s="154"/>
      <c r="R104" s="154"/>
      <c r="S104" s="154"/>
      <c r="T104" s="154"/>
      <c r="U104" s="154"/>
      <c r="V104" s="154"/>
      <c r="W104" s="154"/>
      <c r="X104" s="154"/>
      <c r="Y104" s="154"/>
      <c r="Z104" s="357"/>
      <c r="AA104" s="357"/>
      <c r="AB104" s="357"/>
      <c r="AC104" s="357"/>
      <c r="AD104" s="357"/>
      <c r="AE104" s="357"/>
      <c r="AF104" s="357"/>
      <c r="AG104" s="357"/>
      <c r="AH104" s="357"/>
      <c r="AI104" s="357"/>
      <c r="AJ104" s="357"/>
      <c r="AK104" s="357"/>
      <c r="AL104" s="357"/>
      <c r="AM104" s="357"/>
      <c r="AN104" s="357"/>
      <c r="AO104" s="357"/>
      <c r="AP104" s="357"/>
      <c r="AQ104" s="357"/>
      <c r="AR104" s="357"/>
      <c r="AS104" s="357"/>
      <c r="AT104" s="357"/>
      <c r="AU104" s="357"/>
      <c r="AV104" s="357"/>
      <c r="AW104" s="357"/>
      <c r="AX104" s="357"/>
      <c r="AY104" s="357"/>
      <c r="AZ104" s="357"/>
      <c r="BA104" s="357"/>
      <c r="BB104" s="357"/>
      <c r="BC104" s="357"/>
      <c r="BD104" s="357"/>
      <c r="BE104" s="357"/>
      <c r="BF104" s="357"/>
      <c r="BG104" s="357"/>
      <c r="BH104" s="357"/>
      <c r="BI104" s="357"/>
      <c r="BJ104" s="357"/>
      <c r="BK104" s="357"/>
      <c r="BL104" s="357"/>
      <c r="BM104" s="357"/>
      <c r="BN104" s="357"/>
      <c r="BO104" s="357"/>
      <c r="BP104" s="357"/>
      <c r="BQ104" s="357"/>
      <c r="BR104" s="357"/>
      <c r="BS104" s="357"/>
      <c r="BT104" s="357"/>
      <c r="BU104" s="357"/>
      <c r="BV104" s="357"/>
      <c r="BW104" s="357"/>
      <c r="BX104" s="357"/>
      <c r="BY104" s="357"/>
      <c r="BZ104" s="357"/>
      <c r="CA104" s="357"/>
      <c r="CB104" s="357"/>
      <c r="CC104" s="357"/>
      <c r="CD104" s="357"/>
      <c r="CE104" s="357"/>
      <c r="CF104" s="357"/>
      <c r="CG104" s="357"/>
      <c r="CH104" s="357"/>
      <c r="CI104" s="357"/>
      <c r="CJ104" s="357"/>
      <c r="CK104" s="357"/>
      <c r="CL104" s="357"/>
      <c r="CM104" s="357"/>
      <c r="CN104" s="357"/>
      <c r="CO104" s="357"/>
      <c r="CP104" s="357"/>
      <c r="CQ104" s="357"/>
      <c r="CR104" s="357"/>
      <c r="CS104" s="357"/>
      <c r="CT104" s="357"/>
      <c r="CU104" s="357"/>
      <c r="CV104" s="357"/>
      <c r="CW104" s="357"/>
      <c r="CX104" s="357"/>
      <c r="CY104" s="357"/>
      <c r="CZ104" s="357"/>
      <c r="DA104" s="357"/>
      <c r="DB104" s="357"/>
      <c r="DC104" s="357"/>
      <c r="DD104" s="357"/>
      <c r="DE104" s="357"/>
      <c r="DF104" s="357"/>
      <c r="DG104" s="357"/>
      <c r="DH104" s="357"/>
      <c r="DI104" s="357"/>
      <c r="DJ104" s="357"/>
      <c r="DK104" s="357"/>
      <c r="DL104" s="357"/>
      <c r="DM104" s="357"/>
      <c r="DN104" s="357"/>
      <c r="DO104" s="357"/>
      <c r="DP104" s="357"/>
      <c r="DQ104" s="357"/>
      <c r="DR104" s="357"/>
      <c r="DS104" s="357"/>
      <c r="DT104" s="357"/>
      <c r="DU104" s="357"/>
      <c r="DV104" s="357"/>
      <c r="DW104" s="357"/>
      <c r="DX104" s="357"/>
      <c r="DY104" s="357"/>
      <c r="DZ104" s="357"/>
      <c r="EA104" s="357"/>
      <c r="EB104" s="357"/>
      <c r="EC104" s="357"/>
      <c r="ED104" s="357"/>
      <c r="EE104" s="357"/>
      <c r="EF104" s="357"/>
      <c r="EG104" s="357"/>
      <c r="EH104" s="357"/>
      <c r="EI104" s="357"/>
      <c r="EJ104" s="357"/>
      <c r="EK104" s="357"/>
      <c r="EL104" s="357"/>
      <c r="EM104" s="357"/>
      <c r="EN104" s="357"/>
      <c r="EO104" s="357"/>
      <c r="EP104" s="357"/>
      <c r="EQ104" s="357"/>
      <c r="ER104" s="357"/>
      <c r="ES104" s="357"/>
      <c r="ET104" s="357"/>
      <c r="EU104" s="357"/>
      <c r="EV104" s="357"/>
      <c r="EW104" s="357"/>
      <c r="EX104" s="357"/>
      <c r="EY104" s="357"/>
      <c r="EZ104" s="357"/>
      <c r="FA104" s="357"/>
      <c r="FB104" s="357"/>
      <c r="FC104" s="357"/>
      <c r="FD104" s="357"/>
      <c r="FE104" s="357"/>
      <c r="FF104" s="357"/>
      <c r="FG104" s="357"/>
      <c r="FH104" s="357"/>
      <c r="FI104" s="357"/>
      <c r="FJ104" s="357"/>
      <c r="FK104" s="357"/>
      <c r="FL104" s="357"/>
      <c r="FM104" s="357"/>
      <c r="FN104" s="357"/>
      <c r="FO104" s="357"/>
      <c r="FP104" s="357"/>
      <c r="FQ104" s="357"/>
      <c r="FR104" s="357"/>
      <c r="FS104" s="357"/>
      <c r="FT104" s="357"/>
      <c r="FU104" s="357"/>
      <c r="FV104" s="357"/>
      <c r="FW104" s="357"/>
      <c r="FX104" s="357"/>
      <c r="FY104" s="357"/>
      <c r="FZ104" s="357"/>
      <c r="GA104" s="357"/>
      <c r="GB104" s="357"/>
      <c r="GC104" s="357"/>
      <c r="GD104" s="357"/>
      <c r="GE104" s="357"/>
      <c r="GF104" s="357"/>
      <c r="GG104" s="357"/>
      <c r="GH104" s="357"/>
      <c r="GI104" s="357"/>
      <c r="GJ104" s="357"/>
      <c r="GK104" s="154"/>
      <c r="GL104" s="154"/>
      <c r="GM104" s="154"/>
      <c r="GN104" s="154"/>
      <c r="GO104" s="154"/>
      <c r="GP104" s="154"/>
      <c r="GQ104" s="154"/>
      <c r="GR104" s="154"/>
      <c r="GS104" s="154"/>
      <c r="GT104" s="154"/>
      <c r="GU104" s="154"/>
      <c r="GV104" s="154"/>
      <c r="GW104" s="154"/>
      <c r="GX104" s="154"/>
    </row>
    <row r="105" spans="7:206">
      <c r="G105" s="154"/>
      <c r="H105" s="154"/>
      <c r="I105" s="154"/>
      <c r="J105" s="154"/>
      <c r="K105" s="154"/>
      <c r="L105" s="154"/>
      <c r="M105" s="154"/>
      <c r="N105" s="154"/>
      <c r="O105" s="154"/>
      <c r="P105" s="154"/>
      <c r="Q105" s="154"/>
      <c r="R105" s="154"/>
      <c r="S105" s="154"/>
      <c r="T105" s="154"/>
      <c r="U105" s="154"/>
      <c r="V105" s="154"/>
      <c r="W105" s="154"/>
      <c r="X105" s="154"/>
      <c r="Y105" s="154"/>
      <c r="Z105" s="357"/>
      <c r="AA105" s="357"/>
      <c r="AB105" s="357"/>
      <c r="AC105" s="357"/>
      <c r="AD105" s="357"/>
      <c r="AE105" s="357"/>
      <c r="AF105" s="357"/>
      <c r="AG105" s="357"/>
      <c r="AH105" s="357"/>
      <c r="AI105" s="357"/>
      <c r="AJ105" s="357"/>
      <c r="AK105" s="357"/>
      <c r="AL105" s="357"/>
      <c r="AM105" s="357"/>
      <c r="AN105" s="357"/>
      <c r="AO105" s="357"/>
      <c r="AP105" s="357"/>
      <c r="AQ105" s="357"/>
      <c r="AR105" s="357"/>
      <c r="AS105" s="357"/>
      <c r="AT105" s="357"/>
      <c r="AU105" s="357"/>
      <c r="AV105" s="357"/>
      <c r="AW105" s="357"/>
      <c r="AX105" s="357"/>
      <c r="AY105" s="357"/>
      <c r="AZ105" s="357"/>
      <c r="BA105" s="357"/>
      <c r="BB105" s="357"/>
      <c r="BC105" s="357"/>
      <c r="BD105" s="357"/>
      <c r="BE105" s="357"/>
      <c r="BF105" s="357"/>
      <c r="BG105" s="357"/>
      <c r="BH105" s="357"/>
      <c r="BI105" s="357"/>
      <c r="BJ105" s="357"/>
      <c r="BK105" s="357"/>
      <c r="BL105" s="357"/>
      <c r="BM105" s="357"/>
      <c r="BN105" s="357"/>
      <c r="BO105" s="357"/>
      <c r="BP105" s="357"/>
      <c r="BQ105" s="357"/>
      <c r="BR105" s="357"/>
      <c r="BS105" s="357"/>
      <c r="BT105" s="357"/>
      <c r="BU105" s="357"/>
      <c r="BV105" s="357"/>
      <c r="BW105" s="357"/>
      <c r="BX105" s="357"/>
      <c r="BY105" s="357"/>
      <c r="BZ105" s="357"/>
      <c r="CA105" s="357"/>
      <c r="CB105" s="357"/>
      <c r="CC105" s="357"/>
      <c r="CD105" s="357"/>
      <c r="CE105" s="357"/>
      <c r="CF105" s="357"/>
      <c r="CG105" s="357"/>
      <c r="CH105" s="357"/>
      <c r="CI105" s="357"/>
      <c r="CJ105" s="357"/>
      <c r="CK105" s="357"/>
      <c r="CL105" s="357"/>
      <c r="CM105" s="357"/>
      <c r="CN105" s="357"/>
      <c r="CO105" s="357"/>
      <c r="CP105" s="357"/>
      <c r="CQ105" s="357"/>
      <c r="CR105" s="357"/>
      <c r="CS105" s="357"/>
      <c r="CT105" s="357"/>
      <c r="CU105" s="357"/>
      <c r="CV105" s="357"/>
      <c r="CW105" s="357"/>
      <c r="CX105" s="357"/>
      <c r="CY105" s="357"/>
      <c r="CZ105" s="357"/>
      <c r="DA105" s="357"/>
      <c r="DB105" s="357"/>
      <c r="DC105" s="357"/>
      <c r="DD105" s="357"/>
      <c r="DE105" s="357"/>
      <c r="DF105" s="357"/>
      <c r="DG105" s="357"/>
      <c r="DH105" s="357"/>
      <c r="DI105" s="357"/>
      <c r="DJ105" s="357"/>
      <c r="DK105" s="357"/>
      <c r="DL105" s="357"/>
      <c r="DM105" s="357"/>
      <c r="DN105" s="357"/>
      <c r="DO105" s="357"/>
      <c r="DP105" s="357"/>
      <c r="DQ105" s="357"/>
      <c r="DR105" s="357"/>
      <c r="DS105" s="357"/>
      <c r="DT105" s="357"/>
      <c r="DU105" s="357"/>
      <c r="DV105" s="357"/>
      <c r="DW105" s="357"/>
      <c r="DX105" s="357"/>
      <c r="DY105" s="357"/>
      <c r="DZ105" s="357"/>
      <c r="EA105" s="357"/>
      <c r="EB105" s="357"/>
      <c r="EC105" s="357"/>
      <c r="ED105" s="357"/>
      <c r="EE105" s="357"/>
      <c r="EF105" s="357"/>
      <c r="EG105" s="357"/>
      <c r="EH105" s="357"/>
      <c r="EI105" s="357"/>
      <c r="EJ105" s="357"/>
      <c r="EK105" s="357"/>
      <c r="EL105" s="357"/>
      <c r="EM105" s="357"/>
      <c r="EN105" s="357"/>
      <c r="EO105" s="357"/>
      <c r="EP105" s="357"/>
      <c r="EQ105" s="357"/>
      <c r="ER105" s="357"/>
      <c r="ES105" s="357"/>
      <c r="ET105" s="357"/>
      <c r="EU105" s="357"/>
      <c r="EV105" s="357"/>
      <c r="EW105" s="357"/>
      <c r="EX105" s="357"/>
      <c r="EY105" s="357"/>
      <c r="EZ105" s="357"/>
      <c r="FA105" s="357"/>
      <c r="FB105" s="357"/>
      <c r="FC105" s="357"/>
      <c r="FD105" s="357"/>
      <c r="FE105" s="357"/>
      <c r="FF105" s="357"/>
      <c r="FG105" s="357"/>
      <c r="FH105" s="357"/>
      <c r="FI105" s="357"/>
      <c r="FJ105" s="357"/>
      <c r="FK105" s="357"/>
      <c r="FL105" s="357"/>
      <c r="FM105" s="357"/>
      <c r="FN105" s="357"/>
      <c r="FO105" s="357"/>
      <c r="FP105" s="357"/>
      <c r="FQ105" s="357"/>
      <c r="FR105" s="357"/>
      <c r="FS105" s="357"/>
      <c r="FT105" s="357"/>
      <c r="FU105" s="357"/>
      <c r="FV105" s="357"/>
      <c r="FW105" s="357"/>
      <c r="FX105" s="357"/>
      <c r="FY105" s="357"/>
      <c r="FZ105" s="357"/>
      <c r="GA105" s="357"/>
      <c r="GB105" s="357"/>
      <c r="GC105" s="357"/>
      <c r="GD105" s="357"/>
      <c r="GE105" s="357"/>
      <c r="GF105" s="357"/>
      <c r="GG105" s="357"/>
      <c r="GH105" s="357"/>
      <c r="GI105" s="357"/>
      <c r="GJ105" s="357"/>
      <c r="GK105" s="154"/>
      <c r="GL105" s="154"/>
      <c r="GM105" s="154"/>
      <c r="GN105" s="154"/>
      <c r="GO105" s="154"/>
      <c r="GP105" s="154"/>
      <c r="GQ105" s="154"/>
      <c r="GR105" s="154"/>
      <c r="GS105" s="154"/>
      <c r="GT105" s="154"/>
      <c r="GU105" s="154"/>
      <c r="GV105" s="154"/>
      <c r="GW105" s="154"/>
      <c r="GX105" s="154"/>
    </row>
    <row r="106" spans="7:206">
      <c r="G106" s="154"/>
      <c r="H106" s="154"/>
      <c r="I106" s="154"/>
      <c r="J106" s="154"/>
      <c r="K106" s="154"/>
      <c r="L106" s="154"/>
      <c r="M106" s="154"/>
      <c r="N106" s="154"/>
      <c r="O106" s="154"/>
      <c r="P106" s="154"/>
      <c r="Q106" s="154"/>
      <c r="R106" s="154"/>
      <c r="S106" s="154"/>
      <c r="T106" s="154"/>
      <c r="U106" s="154"/>
      <c r="V106" s="154"/>
      <c r="W106" s="154"/>
      <c r="X106" s="154"/>
      <c r="Y106" s="154"/>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357"/>
      <c r="BB106" s="357"/>
      <c r="BC106" s="357"/>
      <c r="BD106" s="357"/>
      <c r="BE106" s="357"/>
      <c r="BF106" s="357"/>
      <c r="BG106" s="357"/>
      <c r="BH106" s="357"/>
      <c r="BI106" s="357"/>
      <c r="BJ106" s="357"/>
      <c r="BK106" s="357"/>
      <c r="BL106" s="357"/>
      <c r="BM106" s="357"/>
      <c r="BN106" s="357"/>
      <c r="BO106" s="357"/>
      <c r="BP106" s="357"/>
      <c r="BQ106" s="357"/>
      <c r="BR106" s="357"/>
      <c r="BS106" s="357"/>
      <c r="BT106" s="357"/>
      <c r="BU106" s="357"/>
      <c r="BV106" s="357"/>
      <c r="BW106" s="357"/>
      <c r="BX106" s="357"/>
      <c r="BY106" s="357"/>
      <c r="BZ106" s="357"/>
      <c r="CA106" s="357"/>
      <c r="CB106" s="357"/>
      <c r="CC106" s="357"/>
      <c r="CD106" s="357"/>
      <c r="CE106" s="357"/>
      <c r="CF106" s="357"/>
      <c r="CG106" s="357"/>
      <c r="CH106" s="357"/>
      <c r="CI106" s="357"/>
      <c r="CJ106" s="357"/>
      <c r="CK106" s="357"/>
      <c r="CL106" s="357"/>
      <c r="CM106" s="357"/>
      <c r="CN106" s="357"/>
      <c r="CO106" s="357"/>
      <c r="CP106" s="357"/>
      <c r="CQ106" s="357"/>
      <c r="CR106" s="357"/>
      <c r="CS106" s="357"/>
      <c r="CT106" s="357"/>
      <c r="CU106" s="357"/>
      <c r="CV106" s="357"/>
      <c r="CW106" s="357"/>
      <c r="CX106" s="357"/>
      <c r="CY106" s="357"/>
      <c r="CZ106" s="357"/>
      <c r="DA106" s="357"/>
      <c r="DB106" s="357"/>
      <c r="DC106" s="357"/>
      <c r="DD106" s="357"/>
      <c r="DE106" s="357"/>
      <c r="DF106" s="357"/>
      <c r="DG106" s="357"/>
      <c r="DH106" s="357"/>
      <c r="DI106" s="357"/>
      <c r="DJ106" s="357"/>
      <c r="DK106" s="357"/>
      <c r="DL106" s="357"/>
      <c r="DM106" s="357"/>
      <c r="DN106" s="357"/>
      <c r="DO106" s="357"/>
      <c r="DP106" s="357"/>
      <c r="DQ106" s="357"/>
      <c r="DR106" s="357"/>
      <c r="DS106" s="357"/>
      <c r="DT106" s="357"/>
      <c r="DU106" s="357"/>
      <c r="DV106" s="357"/>
      <c r="DW106" s="357"/>
      <c r="DX106" s="357"/>
      <c r="DY106" s="357"/>
      <c r="DZ106" s="357"/>
      <c r="EA106" s="357"/>
      <c r="EB106" s="357"/>
      <c r="EC106" s="357"/>
      <c r="ED106" s="357"/>
      <c r="EE106" s="357"/>
      <c r="EF106" s="357"/>
      <c r="EG106" s="357"/>
      <c r="EH106" s="357"/>
      <c r="EI106" s="357"/>
      <c r="EJ106" s="357"/>
      <c r="EK106" s="357"/>
      <c r="EL106" s="357"/>
      <c r="EM106" s="357"/>
      <c r="EN106" s="357"/>
      <c r="EO106" s="357"/>
      <c r="EP106" s="357"/>
      <c r="EQ106" s="357"/>
      <c r="ER106" s="357"/>
      <c r="ES106" s="357"/>
      <c r="ET106" s="357"/>
      <c r="EU106" s="357"/>
      <c r="EV106" s="357"/>
      <c r="EW106" s="357"/>
      <c r="EX106" s="357"/>
      <c r="EY106" s="357"/>
      <c r="EZ106" s="357"/>
      <c r="FA106" s="357"/>
      <c r="FB106" s="357"/>
      <c r="FC106" s="357"/>
      <c r="FD106" s="357"/>
      <c r="FE106" s="357"/>
      <c r="FF106" s="357"/>
      <c r="FG106" s="357"/>
      <c r="FH106" s="357"/>
      <c r="FI106" s="357"/>
      <c r="FJ106" s="357"/>
      <c r="FK106" s="357"/>
      <c r="FL106" s="357"/>
      <c r="FM106" s="357"/>
      <c r="FN106" s="357"/>
      <c r="FO106" s="357"/>
      <c r="FP106" s="357"/>
      <c r="FQ106" s="357"/>
      <c r="FR106" s="357"/>
      <c r="FS106" s="357"/>
      <c r="FT106" s="357"/>
      <c r="FU106" s="357"/>
      <c r="FV106" s="357"/>
      <c r="FW106" s="357"/>
      <c r="FX106" s="357"/>
      <c r="FY106" s="357"/>
      <c r="FZ106" s="357"/>
      <c r="GA106" s="357"/>
      <c r="GB106" s="357"/>
      <c r="GC106" s="357"/>
      <c r="GD106" s="357"/>
      <c r="GE106" s="357"/>
      <c r="GF106" s="357"/>
      <c r="GG106" s="357"/>
      <c r="GH106" s="357"/>
      <c r="GI106" s="357"/>
      <c r="GJ106" s="357"/>
      <c r="GK106" s="154"/>
      <c r="GL106" s="154"/>
      <c r="GM106" s="154"/>
      <c r="GN106" s="154"/>
      <c r="GO106" s="154"/>
      <c r="GP106" s="154"/>
      <c r="GQ106" s="154"/>
      <c r="GR106" s="154"/>
      <c r="GS106" s="154"/>
      <c r="GT106" s="154"/>
      <c r="GU106" s="154"/>
      <c r="GV106" s="154"/>
      <c r="GW106" s="154"/>
      <c r="GX106" s="154"/>
    </row>
    <row r="107" spans="7:206">
      <c r="G107" s="154"/>
      <c r="H107" s="154"/>
      <c r="I107" s="154"/>
      <c r="J107" s="154"/>
      <c r="K107" s="154"/>
      <c r="L107" s="154"/>
      <c r="M107" s="154"/>
      <c r="N107" s="154"/>
      <c r="O107" s="154"/>
      <c r="P107" s="154"/>
      <c r="Q107" s="154"/>
      <c r="R107" s="154"/>
      <c r="S107" s="154"/>
      <c r="T107" s="154"/>
      <c r="U107" s="154"/>
      <c r="V107" s="154"/>
      <c r="W107" s="154"/>
      <c r="X107" s="154"/>
      <c r="Y107" s="154"/>
      <c r="Z107" s="357"/>
      <c r="AA107" s="357"/>
      <c r="AB107" s="357"/>
      <c r="AC107" s="357"/>
      <c r="AD107" s="357"/>
      <c r="AE107" s="357"/>
      <c r="AF107" s="357"/>
      <c r="AG107" s="357"/>
      <c r="AH107" s="357"/>
      <c r="AI107" s="357"/>
      <c r="AJ107" s="357"/>
      <c r="AK107" s="357"/>
      <c r="AL107" s="357"/>
      <c r="AM107" s="357"/>
      <c r="AN107" s="357"/>
      <c r="AO107" s="357"/>
      <c r="AP107" s="357"/>
      <c r="AQ107" s="357"/>
      <c r="AR107" s="357"/>
      <c r="AS107" s="357"/>
      <c r="AT107" s="357"/>
      <c r="AU107" s="357"/>
      <c r="AV107" s="357"/>
      <c r="AW107" s="357"/>
      <c r="AX107" s="357"/>
      <c r="AY107" s="357"/>
      <c r="AZ107" s="357"/>
      <c r="BA107" s="357"/>
      <c r="BB107" s="357"/>
      <c r="BC107" s="357"/>
      <c r="BD107" s="357"/>
      <c r="BE107" s="357"/>
      <c r="BF107" s="357"/>
      <c r="BG107" s="357"/>
      <c r="BH107" s="357"/>
      <c r="BI107" s="357"/>
      <c r="BJ107" s="357"/>
      <c r="BK107" s="357"/>
      <c r="BL107" s="357"/>
      <c r="BM107" s="357"/>
      <c r="BN107" s="357"/>
      <c r="BO107" s="357"/>
      <c r="BP107" s="357"/>
      <c r="BQ107" s="357"/>
      <c r="BR107" s="357"/>
      <c r="BS107" s="357"/>
      <c r="BT107" s="357"/>
      <c r="BU107" s="357"/>
      <c r="BV107" s="357"/>
      <c r="BW107" s="357"/>
      <c r="BX107" s="357"/>
      <c r="BY107" s="357"/>
      <c r="BZ107" s="357"/>
      <c r="CA107" s="357"/>
      <c r="CB107" s="357"/>
      <c r="CC107" s="357"/>
      <c r="CD107" s="357"/>
      <c r="CE107" s="357"/>
      <c r="CF107" s="357"/>
      <c r="CG107" s="357"/>
      <c r="CH107" s="357"/>
      <c r="CI107" s="357"/>
      <c r="CJ107" s="357"/>
      <c r="CK107" s="357"/>
      <c r="CL107" s="357"/>
      <c r="CM107" s="357"/>
      <c r="CN107" s="357"/>
      <c r="CO107" s="357"/>
      <c r="CP107" s="357"/>
      <c r="CQ107" s="357"/>
      <c r="CR107" s="357"/>
      <c r="CS107" s="357"/>
      <c r="CT107" s="357"/>
      <c r="CU107" s="357"/>
      <c r="CV107" s="357"/>
      <c r="CW107" s="357"/>
      <c r="CX107" s="357"/>
      <c r="CY107" s="357"/>
      <c r="CZ107" s="357"/>
      <c r="DA107" s="357"/>
      <c r="DB107" s="357"/>
      <c r="DC107" s="357"/>
      <c r="DD107" s="357"/>
      <c r="DE107" s="357"/>
      <c r="DF107" s="357"/>
      <c r="DG107" s="357"/>
      <c r="DH107" s="357"/>
      <c r="DI107" s="357"/>
      <c r="DJ107" s="357"/>
      <c r="DK107" s="357"/>
      <c r="DL107" s="357"/>
      <c r="DM107" s="357"/>
      <c r="DN107" s="357"/>
      <c r="DO107" s="357"/>
      <c r="DP107" s="357"/>
      <c r="DQ107" s="357"/>
      <c r="DR107" s="357"/>
      <c r="DS107" s="357"/>
      <c r="DT107" s="357"/>
      <c r="DU107" s="357"/>
      <c r="DV107" s="357"/>
      <c r="DW107" s="357"/>
      <c r="DX107" s="357"/>
      <c r="DY107" s="357"/>
      <c r="DZ107" s="357"/>
      <c r="EA107" s="357"/>
      <c r="EB107" s="357"/>
      <c r="EC107" s="357"/>
      <c r="ED107" s="357"/>
      <c r="EE107" s="357"/>
      <c r="EF107" s="357"/>
      <c r="EG107" s="357"/>
      <c r="EH107" s="357"/>
      <c r="EI107" s="357"/>
      <c r="EJ107" s="357"/>
      <c r="EK107" s="357"/>
      <c r="EL107" s="357"/>
      <c r="EM107" s="357"/>
      <c r="EN107" s="357"/>
      <c r="EO107" s="357"/>
      <c r="EP107" s="357"/>
      <c r="EQ107" s="357"/>
      <c r="ER107" s="357"/>
      <c r="ES107" s="357"/>
      <c r="ET107" s="357"/>
      <c r="EU107" s="357"/>
      <c r="EV107" s="357"/>
      <c r="EW107" s="357"/>
      <c r="EX107" s="357"/>
      <c r="EY107" s="357"/>
      <c r="EZ107" s="357"/>
      <c r="FA107" s="357"/>
      <c r="FB107" s="357"/>
      <c r="FC107" s="357"/>
      <c r="FD107" s="357"/>
      <c r="FE107" s="357"/>
      <c r="FF107" s="357"/>
      <c r="FG107" s="357"/>
      <c r="FH107" s="357"/>
      <c r="FI107" s="357"/>
      <c r="FJ107" s="357"/>
      <c r="FK107" s="357"/>
      <c r="FL107" s="357"/>
      <c r="FM107" s="357"/>
      <c r="FN107" s="357"/>
      <c r="FO107" s="357"/>
      <c r="FP107" s="357"/>
      <c r="FQ107" s="357"/>
      <c r="FR107" s="357"/>
      <c r="FS107" s="357"/>
      <c r="FT107" s="357"/>
      <c r="FU107" s="357"/>
      <c r="FV107" s="357"/>
      <c r="FW107" s="357"/>
      <c r="FX107" s="357"/>
      <c r="FY107" s="357"/>
      <c r="FZ107" s="357"/>
      <c r="GA107" s="357"/>
      <c r="GB107" s="357"/>
      <c r="GC107" s="357"/>
      <c r="GD107" s="357"/>
      <c r="GE107" s="357"/>
      <c r="GF107" s="357"/>
      <c r="GG107" s="357"/>
      <c r="GH107" s="357"/>
      <c r="GI107" s="357"/>
      <c r="GJ107" s="357"/>
      <c r="GK107" s="154"/>
      <c r="GL107" s="154"/>
      <c r="GM107" s="154"/>
      <c r="GN107" s="154"/>
      <c r="GO107" s="154"/>
      <c r="GP107" s="154"/>
      <c r="GQ107" s="154"/>
      <c r="GR107" s="154"/>
      <c r="GS107" s="154"/>
      <c r="GT107" s="154"/>
      <c r="GU107" s="154"/>
      <c r="GV107" s="154"/>
      <c r="GW107" s="154"/>
      <c r="GX107" s="154"/>
    </row>
    <row r="108" spans="7:206">
      <c r="G108" s="154"/>
      <c r="H108" s="154"/>
      <c r="I108" s="154"/>
      <c r="J108" s="154"/>
      <c r="K108" s="154"/>
      <c r="L108" s="154"/>
      <c r="M108" s="154"/>
      <c r="N108" s="154"/>
      <c r="O108" s="154"/>
      <c r="P108" s="154"/>
      <c r="Q108" s="154"/>
      <c r="R108" s="154"/>
      <c r="S108" s="154"/>
      <c r="T108" s="154"/>
      <c r="U108" s="154"/>
      <c r="V108" s="154"/>
      <c r="W108" s="154"/>
      <c r="X108" s="154"/>
      <c r="Y108" s="154"/>
      <c r="Z108" s="357"/>
      <c r="AA108" s="357"/>
      <c r="AB108" s="357"/>
      <c r="AC108" s="357"/>
      <c r="AD108" s="357"/>
      <c r="AE108" s="357"/>
      <c r="AF108" s="357"/>
      <c r="AG108" s="357"/>
      <c r="AH108" s="357"/>
      <c r="AI108" s="357"/>
      <c r="AJ108" s="357"/>
      <c r="AK108" s="357"/>
      <c r="AL108" s="357"/>
      <c r="AM108" s="357"/>
      <c r="AN108" s="357"/>
      <c r="AO108" s="357"/>
      <c r="AP108" s="357"/>
      <c r="AQ108" s="357"/>
      <c r="AR108" s="357"/>
      <c r="AS108" s="357"/>
      <c r="AT108" s="357"/>
      <c r="AU108" s="357"/>
      <c r="AV108" s="357"/>
      <c r="AW108" s="357"/>
      <c r="AX108" s="357"/>
      <c r="AY108" s="357"/>
      <c r="AZ108" s="357"/>
      <c r="BA108" s="357"/>
      <c r="BB108" s="357"/>
      <c r="BC108" s="357"/>
      <c r="BD108" s="357"/>
      <c r="BE108" s="357"/>
      <c r="BF108" s="357"/>
      <c r="BG108" s="357"/>
      <c r="BH108" s="357"/>
      <c r="BI108" s="357"/>
      <c r="BJ108" s="357"/>
      <c r="BK108" s="357"/>
      <c r="BL108" s="357"/>
      <c r="BM108" s="357"/>
      <c r="BN108" s="357"/>
      <c r="BO108" s="357"/>
      <c r="BP108" s="357"/>
      <c r="BQ108" s="357"/>
      <c r="BR108" s="357"/>
      <c r="BS108" s="357"/>
      <c r="BT108" s="357"/>
      <c r="BU108" s="357"/>
      <c r="BV108" s="357"/>
      <c r="BW108" s="357"/>
      <c r="BX108" s="357"/>
      <c r="BY108" s="357"/>
      <c r="BZ108" s="357"/>
      <c r="CA108" s="357"/>
      <c r="CB108" s="357"/>
      <c r="CC108" s="357"/>
      <c r="CD108" s="357"/>
      <c r="CE108" s="357"/>
      <c r="CF108" s="357"/>
      <c r="CG108" s="357"/>
      <c r="CH108" s="357"/>
      <c r="CI108" s="357"/>
      <c r="CJ108" s="357"/>
      <c r="CK108" s="357"/>
      <c r="CL108" s="357"/>
      <c r="CM108" s="357"/>
      <c r="CN108" s="357"/>
      <c r="CO108" s="357"/>
      <c r="CP108" s="357"/>
      <c r="CQ108" s="357"/>
      <c r="CR108" s="357"/>
      <c r="CS108" s="357"/>
      <c r="CT108" s="357"/>
      <c r="CU108" s="357"/>
      <c r="CV108" s="357"/>
      <c r="CW108" s="357"/>
      <c r="CX108" s="357"/>
      <c r="CY108" s="357"/>
      <c r="CZ108" s="357"/>
      <c r="DA108" s="357"/>
      <c r="DB108" s="357"/>
      <c r="DC108" s="357"/>
      <c r="DD108" s="357"/>
      <c r="DE108" s="357"/>
      <c r="DF108" s="357"/>
      <c r="DG108" s="357"/>
      <c r="DH108" s="357"/>
      <c r="DI108" s="357"/>
      <c r="DJ108" s="357"/>
      <c r="DK108" s="357"/>
      <c r="DL108" s="357"/>
      <c r="DM108" s="357"/>
      <c r="DN108" s="357"/>
      <c r="DO108" s="357"/>
      <c r="DP108" s="357"/>
      <c r="DQ108" s="357"/>
      <c r="DR108" s="357"/>
      <c r="DS108" s="357"/>
      <c r="DT108" s="357"/>
      <c r="DU108" s="357"/>
      <c r="DV108" s="357"/>
      <c r="DW108" s="357"/>
      <c r="DX108" s="357"/>
      <c r="DY108" s="357"/>
      <c r="DZ108" s="357"/>
      <c r="EA108" s="357"/>
      <c r="EB108" s="357"/>
      <c r="EC108" s="357"/>
      <c r="ED108" s="357"/>
      <c r="EE108" s="357"/>
      <c r="EF108" s="357"/>
      <c r="EG108" s="357"/>
      <c r="EH108" s="357"/>
      <c r="EI108" s="357"/>
      <c r="EJ108" s="357"/>
      <c r="EK108" s="357"/>
      <c r="EL108" s="357"/>
      <c r="EM108" s="357"/>
      <c r="EN108" s="357"/>
      <c r="EO108" s="357"/>
      <c r="EP108" s="357"/>
      <c r="EQ108" s="357"/>
      <c r="ER108" s="357"/>
      <c r="ES108" s="357"/>
      <c r="ET108" s="357"/>
      <c r="EU108" s="357"/>
      <c r="EV108" s="357"/>
      <c r="EW108" s="357"/>
      <c r="EX108" s="357"/>
      <c r="EY108" s="357"/>
      <c r="EZ108" s="357"/>
      <c r="FA108" s="357"/>
      <c r="FB108" s="357"/>
      <c r="FC108" s="357"/>
      <c r="FD108" s="357"/>
      <c r="FE108" s="357"/>
      <c r="FF108" s="357"/>
      <c r="FG108" s="357"/>
      <c r="FH108" s="357"/>
      <c r="FI108" s="357"/>
      <c r="FJ108" s="357"/>
      <c r="FK108" s="357"/>
      <c r="FL108" s="357"/>
      <c r="FM108" s="357"/>
      <c r="FN108" s="357"/>
      <c r="FO108" s="357"/>
      <c r="FP108" s="357"/>
      <c r="FQ108" s="357"/>
      <c r="FR108" s="357"/>
      <c r="FS108" s="357"/>
      <c r="FT108" s="357"/>
      <c r="FU108" s="357"/>
      <c r="FV108" s="357"/>
      <c r="FW108" s="357"/>
      <c r="FX108" s="357"/>
      <c r="FY108" s="357"/>
      <c r="FZ108" s="357"/>
      <c r="GA108" s="357"/>
      <c r="GB108" s="357"/>
      <c r="GC108" s="357"/>
      <c r="GD108" s="357"/>
      <c r="GE108" s="357"/>
      <c r="GF108" s="357"/>
      <c r="GG108" s="357"/>
      <c r="GH108" s="357"/>
      <c r="GI108" s="357"/>
      <c r="GJ108" s="357"/>
      <c r="GK108" s="154"/>
      <c r="GL108" s="154"/>
      <c r="GM108" s="154"/>
      <c r="GN108" s="154"/>
      <c r="GO108" s="154"/>
      <c r="GP108" s="154"/>
      <c r="GQ108" s="154"/>
      <c r="GR108" s="154"/>
      <c r="GS108" s="154"/>
      <c r="GT108" s="154"/>
      <c r="GU108" s="154"/>
      <c r="GV108" s="154"/>
      <c r="GW108" s="154"/>
      <c r="GX108" s="154"/>
    </row>
    <row r="109" spans="7:206">
      <c r="G109" s="154"/>
      <c r="H109" s="154"/>
      <c r="I109" s="154"/>
      <c r="J109" s="154"/>
      <c r="K109" s="154"/>
      <c r="L109" s="154"/>
      <c r="M109" s="154"/>
      <c r="N109" s="154"/>
      <c r="O109" s="154"/>
      <c r="P109" s="154"/>
      <c r="Q109" s="154"/>
      <c r="R109" s="154"/>
      <c r="S109" s="154"/>
      <c r="T109" s="154"/>
      <c r="U109" s="154"/>
      <c r="V109" s="154"/>
      <c r="W109" s="154"/>
      <c r="X109" s="154"/>
      <c r="Y109" s="154"/>
      <c r="Z109" s="357"/>
      <c r="AA109" s="357"/>
      <c r="AB109" s="357"/>
      <c r="AC109" s="357"/>
      <c r="AD109" s="357"/>
      <c r="AE109" s="357"/>
      <c r="AF109" s="357"/>
      <c r="AG109" s="357"/>
      <c r="AH109" s="357"/>
      <c r="AI109" s="357"/>
      <c r="AJ109" s="357"/>
      <c r="AK109" s="357"/>
      <c r="AL109" s="357"/>
      <c r="AM109" s="357"/>
      <c r="AN109" s="357"/>
      <c r="AO109" s="357"/>
      <c r="AP109" s="357"/>
      <c r="AQ109" s="357"/>
      <c r="AR109" s="357"/>
      <c r="AS109" s="357"/>
      <c r="AT109" s="357"/>
      <c r="AU109" s="357"/>
      <c r="AV109" s="357"/>
      <c r="AW109" s="357"/>
      <c r="AX109" s="357"/>
      <c r="AY109" s="357"/>
      <c r="AZ109" s="357"/>
      <c r="BA109" s="357"/>
      <c r="BB109" s="357"/>
      <c r="BC109" s="357"/>
      <c r="BD109" s="357"/>
      <c r="BE109" s="357"/>
      <c r="BF109" s="357"/>
      <c r="BG109" s="357"/>
      <c r="BH109" s="357"/>
      <c r="BI109" s="357"/>
      <c r="BJ109" s="357"/>
      <c r="BK109" s="357"/>
      <c r="BL109" s="357"/>
      <c r="BM109" s="357"/>
      <c r="BN109" s="357"/>
      <c r="BO109" s="357"/>
      <c r="BP109" s="357"/>
      <c r="BQ109" s="357"/>
      <c r="BR109" s="357"/>
      <c r="BS109" s="357"/>
      <c r="BT109" s="357"/>
      <c r="BU109" s="357"/>
      <c r="BV109" s="357"/>
      <c r="BW109" s="357"/>
      <c r="BX109" s="357"/>
      <c r="BY109" s="357"/>
      <c r="BZ109" s="357"/>
      <c r="CA109" s="357"/>
      <c r="CB109" s="357"/>
      <c r="CC109" s="357"/>
      <c r="CD109" s="357"/>
      <c r="CE109" s="357"/>
      <c r="CF109" s="357"/>
      <c r="CG109" s="357"/>
      <c r="CH109" s="357"/>
      <c r="CI109" s="357"/>
      <c r="CJ109" s="357"/>
      <c r="CK109" s="357"/>
      <c r="CL109" s="357"/>
      <c r="CM109" s="357"/>
      <c r="CN109" s="357"/>
      <c r="CO109" s="357"/>
      <c r="CP109" s="357"/>
      <c r="CQ109" s="357"/>
      <c r="CR109" s="357"/>
      <c r="CS109" s="357"/>
      <c r="CT109" s="357"/>
      <c r="CU109" s="357"/>
      <c r="CV109" s="357"/>
      <c r="CW109" s="357"/>
      <c r="CX109" s="357"/>
      <c r="CY109" s="357"/>
      <c r="CZ109" s="357"/>
      <c r="DA109" s="357"/>
      <c r="DB109" s="357"/>
      <c r="DC109" s="357"/>
      <c r="DD109" s="357"/>
      <c r="DE109" s="357"/>
      <c r="DF109" s="357"/>
      <c r="DG109" s="357"/>
      <c r="DH109" s="357"/>
      <c r="DI109" s="357"/>
      <c r="DJ109" s="357"/>
      <c r="DK109" s="357"/>
      <c r="DL109" s="357"/>
      <c r="DM109" s="357"/>
      <c r="DN109" s="357"/>
      <c r="DO109" s="357"/>
      <c r="DP109" s="357"/>
      <c r="DQ109" s="357"/>
      <c r="DR109" s="357"/>
      <c r="DS109" s="357"/>
      <c r="DT109" s="357"/>
      <c r="DU109" s="357"/>
      <c r="DV109" s="357"/>
      <c r="DW109" s="357"/>
      <c r="DX109" s="357"/>
      <c r="DY109" s="357"/>
      <c r="DZ109" s="357"/>
      <c r="EA109" s="357"/>
      <c r="EB109" s="357"/>
      <c r="EC109" s="357"/>
      <c r="ED109" s="357"/>
      <c r="EE109" s="357"/>
      <c r="EF109" s="357"/>
      <c r="EG109" s="357"/>
      <c r="EH109" s="357"/>
      <c r="EI109" s="357"/>
      <c r="EJ109" s="357"/>
      <c r="EK109" s="357"/>
      <c r="EL109" s="357"/>
      <c r="EM109" s="357"/>
      <c r="EN109" s="357"/>
      <c r="EO109" s="357"/>
      <c r="EP109" s="357"/>
      <c r="EQ109" s="357"/>
      <c r="ER109" s="357"/>
      <c r="ES109" s="357"/>
      <c r="ET109" s="357"/>
      <c r="EU109" s="357"/>
      <c r="EV109" s="357"/>
      <c r="EW109" s="357"/>
      <c r="EX109" s="357"/>
      <c r="EY109" s="357"/>
      <c r="EZ109" s="357"/>
      <c r="FA109" s="357"/>
      <c r="FB109" s="357"/>
      <c r="FC109" s="357"/>
      <c r="FD109" s="357"/>
      <c r="FE109" s="357"/>
      <c r="FF109" s="357"/>
      <c r="FG109" s="357"/>
      <c r="FH109" s="357"/>
      <c r="FI109" s="357"/>
      <c r="FJ109" s="357"/>
      <c r="FK109" s="357"/>
      <c r="FL109" s="357"/>
      <c r="FM109" s="357"/>
      <c r="FN109" s="357"/>
      <c r="FO109" s="357"/>
      <c r="FP109" s="357"/>
      <c r="FQ109" s="357"/>
      <c r="FR109" s="357"/>
      <c r="FS109" s="357"/>
      <c r="FT109" s="357"/>
      <c r="FU109" s="357"/>
      <c r="FV109" s="357"/>
      <c r="FW109" s="357"/>
      <c r="FX109" s="357"/>
      <c r="FY109" s="357"/>
      <c r="FZ109" s="357"/>
      <c r="GA109" s="357"/>
      <c r="GB109" s="357"/>
      <c r="GC109" s="357"/>
      <c r="GD109" s="357"/>
      <c r="GE109" s="357"/>
      <c r="GF109" s="357"/>
      <c r="GG109" s="357"/>
      <c r="GH109" s="357"/>
      <c r="GI109" s="357"/>
      <c r="GJ109" s="357"/>
      <c r="GK109" s="154"/>
      <c r="GL109" s="154"/>
      <c r="GM109" s="154"/>
      <c r="GN109" s="154"/>
      <c r="GO109" s="154"/>
      <c r="GP109" s="154"/>
      <c r="GQ109" s="154"/>
      <c r="GR109" s="154"/>
      <c r="GS109" s="154"/>
      <c r="GT109" s="154"/>
      <c r="GU109" s="154"/>
      <c r="GV109" s="154"/>
      <c r="GW109" s="154"/>
      <c r="GX109" s="154"/>
    </row>
    <row r="110" spans="7:206">
      <c r="G110" s="154"/>
      <c r="H110" s="154"/>
      <c r="I110" s="154"/>
      <c r="J110" s="154"/>
      <c r="K110" s="154"/>
      <c r="L110" s="154"/>
      <c r="M110" s="154"/>
      <c r="N110" s="154"/>
      <c r="O110" s="154"/>
      <c r="P110" s="154"/>
      <c r="Q110" s="154"/>
      <c r="R110" s="154"/>
      <c r="S110" s="154"/>
      <c r="T110" s="154"/>
      <c r="U110" s="154"/>
      <c r="V110" s="154"/>
      <c r="W110" s="154"/>
      <c r="X110" s="154"/>
      <c r="Y110" s="154"/>
      <c r="Z110" s="357"/>
      <c r="AA110" s="357"/>
      <c r="AB110" s="357"/>
      <c r="AC110" s="357"/>
      <c r="AD110" s="357"/>
      <c r="AE110" s="357"/>
      <c r="AF110" s="357"/>
      <c r="AG110" s="357"/>
      <c r="AH110" s="357"/>
      <c r="AI110" s="357"/>
      <c r="AJ110" s="357"/>
      <c r="AK110" s="357"/>
      <c r="AL110" s="357"/>
      <c r="AM110" s="357"/>
      <c r="AN110" s="357"/>
      <c r="AO110" s="357"/>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357"/>
      <c r="BM110" s="357"/>
      <c r="BN110" s="357"/>
      <c r="BO110" s="357"/>
      <c r="BP110" s="357"/>
      <c r="BQ110" s="357"/>
      <c r="BR110" s="357"/>
      <c r="BS110" s="357"/>
      <c r="BT110" s="357"/>
      <c r="BU110" s="357"/>
      <c r="BV110" s="357"/>
      <c r="BW110" s="357"/>
      <c r="BX110" s="357"/>
      <c r="BY110" s="357"/>
      <c r="BZ110" s="357"/>
      <c r="CA110" s="357"/>
      <c r="CB110" s="357"/>
      <c r="CC110" s="357"/>
      <c r="CD110" s="357"/>
      <c r="CE110" s="357"/>
      <c r="CF110" s="357"/>
      <c r="CG110" s="357"/>
      <c r="CH110" s="357"/>
      <c r="CI110" s="357"/>
      <c r="CJ110" s="357"/>
      <c r="CK110" s="357"/>
      <c r="CL110" s="357"/>
      <c r="CM110" s="357"/>
      <c r="CN110" s="357"/>
      <c r="CO110" s="357"/>
      <c r="CP110" s="357"/>
      <c r="CQ110" s="357"/>
      <c r="CR110" s="357"/>
      <c r="CS110" s="357"/>
      <c r="CT110" s="357"/>
      <c r="CU110" s="357"/>
      <c r="CV110" s="357"/>
      <c r="CW110" s="357"/>
      <c r="CX110" s="357"/>
      <c r="CY110" s="357"/>
      <c r="CZ110" s="357"/>
      <c r="DA110" s="357"/>
      <c r="DB110" s="357"/>
      <c r="DC110" s="357"/>
      <c r="DD110" s="357"/>
      <c r="DE110" s="357"/>
      <c r="DF110" s="357"/>
      <c r="DG110" s="357"/>
      <c r="DH110" s="357"/>
      <c r="DI110" s="357"/>
      <c r="DJ110" s="357"/>
      <c r="DK110" s="357"/>
      <c r="DL110" s="357"/>
      <c r="DM110" s="357"/>
      <c r="DN110" s="357"/>
      <c r="DO110" s="357"/>
      <c r="DP110" s="357"/>
      <c r="DQ110" s="357"/>
      <c r="DR110" s="357"/>
      <c r="DS110" s="357"/>
      <c r="DT110" s="357"/>
      <c r="DU110" s="357"/>
      <c r="DV110" s="357"/>
      <c r="DW110" s="357"/>
      <c r="DX110" s="357"/>
      <c r="DY110" s="357"/>
      <c r="DZ110" s="357"/>
      <c r="EA110" s="357"/>
      <c r="EB110" s="357"/>
      <c r="EC110" s="357"/>
      <c r="ED110" s="357"/>
      <c r="EE110" s="357"/>
      <c r="EF110" s="357"/>
      <c r="EG110" s="357"/>
      <c r="EH110" s="357"/>
      <c r="EI110" s="357"/>
      <c r="EJ110" s="357"/>
      <c r="EK110" s="357"/>
      <c r="EL110" s="357"/>
      <c r="EM110" s="357"/>
      <c r="EN110" s="357"/>
      <c r="EO110" s="357"/>
      <c r="EP110" s="357"/>
      <c r="EQ110" s="357"/>
      <c r="ER110" s="357"/>
      <c r="ES110" s="357"/>
      <c r="ET110" s="357"/>
      <c r="EU110" s="357"/>
      <c r="EV110" s="357"/>
      <c r="EW110" s="357"/>
      <c r="EX110" s="357"/>
      <c r="EY110" s="357"/>
      <c r="EZ110" s="357"/>
      <c r="FA110" s="357"/>
      <c r="FB110" s="357"/>
      <c r="FC110" s="357"/>
      <c r="FD110" s="357"/>
      <c r="FE110" s="357"/>
      <c r="FF110" s="357"/>
      <c r="FG110" s="357"/>
      <c r="FH110" s="357"/>
      <c r="FI110" s="357"/>
      <c r="FJ110" s="357"/>
      <c r="FK110" s="357"/>
      <c r="FL110" s="357"/>
      <c r="FM110" s="357"/>
      <c r="FN110" s="357"/>
      <c r="FO110" s="357"/>
      <c r="FP110" s="357"/>
      <c r="FQ110" s="357"/>
      <c r="FR110" s="357"/>
      <c r="FS110" s="357"/>
      <c r="FT110" s="357"/>
      <c r="FU110" s="357"/>
      <c r="FV110" s="357"/>
      <c r="FW110" s="357"/>
      <c r="FX110" s="357"/>
      <c r="FY110" s="357"/>
      <c r="FZ110" s="357"/>
      <c r="GA110" s="357"/>
      <c r="GB110" s="357"/>
      <c r="GC110" s="357"/>
      <c r="GD110" s="357"/>
      <c r="GE110" s="357"/>
      <c r="GF110" s="357"/>
      <c r="GG110" s="357"/>
      <c r="GH110" s="357"/>
      <c r="GI110" s="357"/>
      <c r="GJ110" s="357"/>
      <c r="GK110" s="154"/>
      <c r="GL110" s="154"/>
      <c r="GM110" s="154"/>
      <c r="GN110" s="154"/>
      <c r="GO110" s="154"/>
      <c r="GP110" s="154"/>
      <c r="GQ110" s="154"/>
      <c r="GR110" s="154"/>
      <c r="GS110" s="154"/>
      <c r="GT110" s="154"/>
      <c r="GU110" s="154"/>
      <c r="GV110" s="154"/>
      <c r="GW110" s="154"/>
      <c r="GX110" s="154"/>
    </row>
    <row r="111" spans="7:206">
      <c r="G111" s="154"/>
      <c r="H111" s="154"/>
      <c r="I111" s="154"/>
      <c r="J111" s="154"/>
      <c r="K111" s="154"/>
      <c r="L111" s="154"/>
      <c r="M111" s="154"/>
      <c r="N111" s="154"/>
      <c r="O111" s="154"/>
      <c r="P111" s="154"/>
      <c r="Q111" s="154"/>
      <c r="R111" s="154"/>
      <c r="S111" s="154"/>
      <c r="T111" s="154"/>
      <c r="U111" s="154"/>
      <c r="V111" s="154"/>
      <c r="W111" s="154"/>
      <c r="X111" s="154"/>
      <c r="Y111" s="154"/>
      <c r="Z111" s="357"/>
      <c r="AA111" s="357"/>
      <c r="AB111" s="357"/>
      <c r="AC111" s="357"/>
      <c r="AD111" s="357"/>
      <c r="AE111" s="357"/>
      <c r="AF111" s="357"/>
      <c r="AG111" s="357"/>
      <c r="AH111" s="357"/>
      <c r="AI111" s="357"/>
      <c r="AJ111" s="357"/>
      <c r="AK111" s="357"/>
      <c r="AL111" s="357"/>
      <c r="AM111" s="357"/>
      <c r="AN111" s="357"/>
      <c r="AO111" s="357"/>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357"/>
      <c r="BM111" s="357"/>
      <c r="BN111" s="357"/>
      <c r="BO111" s="357"/>
      <c r="BP111" s="357"/>
      <c r="BQ111" s="357"/>
      <c r="BR111" s="357"/>
      <c r="BS111" s="357"/>
      <c r="BT111" s="357"/>
      <c r="BU111" s="357"/>
      <c r="BV111" s="357"/>
      <c r="BW111" s="357"/>
      <c r="BX111" s="357"/>
      <c r="BY111" s="357"/>
      <c r="BZ111" s="357"/>
      <c r="CA111" s="357"/>
      <c r="CB111" s="357"/>
      <c r="CC111" s="357"/>
      <c r="CD111" s="357"/>
      <c r="CE111" s="357"/>
      <c r="CF111" s="357"/>
      <c r="CG111" s="357"/>
      <c r="CH111" s="357"/>
      <c r="CI111" s="357"/>
      <c r="CJ111" s="357"/>
      <c r="CK111" s="357"/>
      <c r="CL111" s="357"/>
      <c r="CM111" s="357"/>
      <c r="CN111" s="357"/>
      <c r="CO111" s="357"/>
      <c r="CP111" s="357"/>
      <c r="CQ111" s="357"/>
      <c r="CR111" s="357"/>
      <c r="CS111" s="357"/>
      <c r="CT111" s="357"/>
      <c r="CU111" s="357"/>
      <c r="CV111" s="357"/>
      <c r="CW111" s="357"/>
      <c r="CX111" s="357"/>
      <c r="CY111" s="357"/>
      <c r="CZ111" s="357"/>
      <c r="DA111" s="357"/>
      <c r="DB111" s="357"/>
      <c r="DC111" s="357"/>
      <c r="DD111" s="357"/>
      <c r="DE111" s="357"/>
      <c r="DF111" s="357"/>
      <c r="DG111" s="357"/>
      <c r="DH111" s="357"/>
      <c r="DI111" s="357"/>
      <c r="DJ111" s="357"/>
      <c r="DK111" s="357"/>
      <c r="DL111" s="357"/>
      <c r="DM111" s="357"/>
      <c r="DN111" s="357"/>
      <c r="DO111" s="357"/>
      <c r="DP111" s="357"/>
      <c r="DQ111" s="357"/>
      <c r="DR111" s="357"/>
      <c r="DS111" s="357"/>
      <c r="DT111" s="357"/>
      <c r="DU111" s="357"/>
      <c r="DV111" s="357"/>
      <c r="DW111" s="357"/>
      <c r="DX111" s="357"/>
      <c r="DY111" s="357"/>
      <c r="DZ111" s="357"/>
      <c r="EA111" s="357"/>
      <c r="EB111" s="357"/>
      <c r="EC111" s="357"/>
      <c r="ED111" s="357"/>
      <c r="EE111" s="357"/>
      <c r="EF111" s="357"/>
      <c r="EG111" s="357"/>
      <c r="EH111" s="357"/>
      <c r="EI111" s="357"/>
      <c r="EJ111" s="357"/>
      <c r="EK111" s="357"/>
      <c r="EL111" s="357"/>
      <c r="EM111" s="357"/>
      <c r="EN111" s="357"/>
      <c r="EO111" s="357"/>
      <c r="EP111" s="357"/>
      <c r="EQ111" s="357"/>
      <c r="ER111" s="357"/>
      <c r="ES111" s="357"/>
      <c r="ET111" s="357"/>
      <c r="EU111" s="357"/>
      <c r="EV111" s="357"/>
      <c r="EW111" s="357"/>
      <c r="EX111" s="357"/>
      <c r="EY111" s="357"/>
      <c r="EZ111" s="357"/>
      <c r="FA111" s="357"/>
      <c r="FB111" s="357"/>
      <c r="FC111" s="357"/>
      <c r="FD111" s="357"/>
      <c r="FE111" s="357"/>
      <c r="FF111" s="357"/>
      <c r="FG111" s="357"/>
      <c r="FH111" s="357"/>
      <c r="FI111" s="357"/>
      <c r="FJ111" s="357"/>
      <c r="FK111" s="357"/>
      <c r="FL111" s="357"/>
      <c r="FM111" s="357"/>
      <c r="FN111" s="357"/>
      <c r="FO111" s="357"/>
      <c r="FP111" s="357"/>
      <c r="FQ111" s="357"/>
      <c r="FR111" s="357"/>
      <c r="FS111" s="357"/>
      <c r="FT111" s="357"/>
      <c r="FU111" s="357"/>
      <c r="FV111" s="357"/>
      <c r="FW111" s="357"/>
      <c r="FX111" s="357"/>
      <c r="FY111" s="357"/>
      <c r="FZ111" s="357"/>
      <c r="GA111" s="357"/>
      <c r="GB111" s="357"/>
      <c r="GC111" s="357"/>
      <c r="GD111" s="357"/>
      <c r="GE111" s="357"/>
      <c r="GF111" s="357"/>
      <c r="GG111" s="357"/>
      <c r="GH111" s="357"/>
      <c r="GI111" s="357"/>
      <c r="GJ111" s="357"/>
      <c r="GK111" s="154"/>
      <c r="GL111" s="154"/>
      <c r="GM111" s="154"/>
      <c r="GN111" s="154"/>
      <c r="GO111" s="154"/>
      <c r="GP111" s="154"/>
      <c r="GQ111" s="154"/>
      <c r="GR111" s="154"/>
      <c r="GS111" s="154"/>
      <c r="GT111" s="154"/>
      <c r="GU111" s="154"/>
      <c r="GV111" s="154"/>
      <c r="GW111" s="154"/>
      <c r="GX111" s="154"/>
    </row>
    <row r="112" spans="7:206">
      <c r="G112" s="154"/>
      <c r="H112" s="154"/>
      <c r="I112" s="154"/>
      <c r="J112" s="154"/>
      <c r="K112" s="154"/>
      <c r="L112" s="154"/>
      <c r="M112" s="154"/>
      <c r="N112" s="154"/>
      <c r="O112" s="154"/>
      <c r="P112" s="154"/>
      <c r="Q112" s="154"/>
      <c r="R112" s="154"/>
      <c r="S112" s="154"/>
      <c r="T112" s="154"/>
      <c r="U112" s="154"/>
      <c r="V112" s="154"/>
      <c r="W112" s="154"/>
      <c r="X112" s="154"/>
      <c r="Y112" s="154"/>
      <c r="Z112" s="357"/>
      <c r="AA112" s="357"/>
      <c r="AB112" s="357"/>
      <c r="AC112" s="357"/>
      <c r="AD112" s="357"/>
      <c r="AE112" s="357"/>
      <c r="AF112" s="357"/>
      <c r="AG112" s="357"/>
      <c r="AH112" s="357"/>
      <c r="AI112" s="357"/>
      <c r="AJ112" s="357"/>
      <c r="AK112" s="357"/>
      <c r="AL112" s="357"/>
      <c r="AM112" s="357"/>
      <c r="AN112" s="357"/>
      <c r="AO112" s="357"/>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357"/>
      <c r="BM112" s="357"/>
      <c r="BN112" s="357"/>
      <c r="BO112" s="357"/>
      <c r="BP112" s="357"/>
      <c r="BQ112" s="357"/>
      <c r="BR112" s="357"/>
      <c r="BS112" s="357"/>
      <c r="BT112" s="357"/>
      <c r="BU112" s="357"/>
      <c r="BV112" s="357"/>
      <c r="BW112" s="357"/>
      <c r="BX112" s="357"/>
      <c r="BY112" s="357"/>
      <c r="BZ112" s="357"/>
      <c r="CA112" s="357"/>
      <c r="CB112" s="357"/>
      <c r="CC112" s="357"/>
      <c r="CD112" s="357"/>
      <c r="CE112" s="357"/>
      <c r="CF112" s="357"/>
      <c r="CG112" s="357"/>
      <c r="CH112" s="357"/>
      <c r="CI112" s="357"/>
      <c r="CJ112" s="357"/>
      <c r="CK112" s="357"/>
      <c r="CL112" s="357"/>
      <c r="CM112" s="357"/>
      <c r="CN112" s="357"/>
      <c r="CO112" s="357"/>
      <c r="CP112" s="357"/>
      <c r="CQ112" s="357"/>
      <c r="CR112" s="357"/>
      <c r="CS112" s="357"/>
      <c r="CT112" s="357"/>
      <c r="CU112" s="357"/>
      <c r="CV112" s="357"/>
      <c r="CW112" s="357"/>
      <c r="CX112" s="357"/>
      <c r="CY112" s="357"/>
      <c r="CZ112" s="357"/>
      <c r="DA112" s="357"/>
      <c r="DB112" s="357"/>
      <c r="DC112" s="357"/>
      <c r="DD112" s="357"/>
      <c r="DE112" s="357"/>
      <c r="DF112" s="357"/>
      <c r="DG112" s="357"/>
      <c r="DH112" s="357"/>
      <c r="DI112" s="357"/>
      <c r="DJ112" s="357"/>
      <c r="DK112" s="357"/>
      <c r="DL112" s="357"/>
      <c r="DM112" s="357"/>
      <c r="DN112" s="357"/>
      <c r="DO112" s="357"/>
      <c r="DP112" s="357"/>
      <c r="DQ112" s="357"/>
      <c r="DR112" s="357"/>
      <c r="DS112" s="357"/>
      <c r="DT112" s="357"/>
      <c r="DU112" s="357"/>
      <c r="DV112" s="357"/>
      <c r="DW112" s="357"/>
      <c r="DX112" s="357"/>
      <c r="DY112" s="357"/>
      <c r="DZ112" s="357"/>
      <c r="EA112" s="357"/>
      <c r="EB112" s="357"/>
      <c r="EC112" s="357"/>
      <c r="ED112" s="357"/>
      <c r="EE112" s="357"/>
      <c r="EF112" s="357"/>
      <c r="EG112" s="357"/>
      <c r="EH112" s="357"/>
      <c r="EI112" s="357"/>
      <c r="EJ112" s="357"/>
      <c r="EK112" s="357"/>
      <c r="EL112" s="357"/>
      <c r="EM112" s="357"/>
      <c r="EN112" s="357"/>
      <c r="EO112" s="357"/>
      <c r="EP112" s="357"/>
      <c r="EQ112" s="357"/>
      <c r="ER112" s="357"/>
      <c r="ES112" s="357"/>
      <c r="ET112" s="357"/>
      <c r="EU112" s="357"/>
      <c r="EV112" s="357"/>
      <c r="EW112" s="357"/>
      <c r="EX112" s="357"/>
      <c r="EY112" s="357"/>
      <c r="EZ112" s="357"/>
      <c r="FA112" s="357"/>
      <c r="FB112" s="357"/>
      <c r="FC112" s="357"/>
      <c r="FD112" s="357"/>
      <c r="FE112" s="357"/>
      <c r="FF112" s="357"/>
      <c r="FG112" s="357"/>
      <c r="FH112" s="357"/>
      <c r="FI112" s="357"/>
      <c r="FJ112" s="357"/>
      <c r="FK112" s="357"/>
      <c r="FL112" s="357"/>
      <c r="FM112" s="357"/>
      <c r="FN112" s="357"/>
      <c r="FO112" s="357"/>
      <c r="FP112" s="357"/>
      <c r="FQ112" s="357"/>
      <c r="FR112" s="357"/>
      <c r="FS112" s="357"/>
      <c r="FT112" s="357"/>
      <c r="FU112" s="357"/>
      <c r="FV112" s="357"/>
      <c r="FW112" s="357"/>
      <c r="FX112" s="357"/>
      <c r="FY112" s="357"/>
      <c r="FZ112" s="357"/>
      <c r="GA112" s="357"/>
      <c r="GB112" s="357"/>
      <c r="GC112" s="357"/>
      <c r="GD112" s="357"/>
      <c r="GE112" s="357"/>
      <c r="GF112" s="357"/>
      <c r="GG112" s="357"/>
      <c r="GH112" s="357"/>
      <c r="GI112" s="357"/>
      <c r="GJ112" s="357"/>
      <c r="GK112" s="154"/>
      <c r="GL112" s="154"/>
      <c r="GM112" s="154"/>
      <c r="GN112" s="154"/>
      <c r="GO112" s="154"/>
      <c r="GP112" s="154"/>
      <c r="GQ112" s="154"/>
      <c r="GR112" s="154"/>
      <c r="GS112" s="154"/>
      <c r="GT112" s="154"/>
      <c r="GU112" s="154"/>
      <c r="GV112" s="154"/>
      <c r="GW112" s="154"/>
      <c r="GX112" s="154"/>
    </row>
    <row r="113" spans="7:206">
      <c r="G113" s="154"/>
      <c r="H113" s="154"/>
      <c r="I113" s="154"/>
      <c r="J113" s="154"/>
      <c r="K113" s="154"/>
      <c r="L113" s="154"/>
      <c r="M113" s="154"/>
      <c r="N113" s="154"/>
      <c r="O113" s="154"/>
      <c r="P113" s="154"/>
      <c r="Q113" s="154"/>
      <c r="R113" s="154"/>
      <c r="S113" s="154"/>
      <c r="T113" s="154"/>
      <c r="U113" s="154"/>
      <c r="V113" s="154"/>
      <c r="W113" s="154"/>
      <c r="X113" s="154"/>
      <c r="Y113" s="154"/>
      <c r="Z113" s="357"/>
      <c r="AA113" s="357"/>
      <c r="AB113" s="357"/>
      <c r="AC113" s="357"/>
      <c r="AD113" s="357"/>
      <c r="AE113" s="357"/>
      <c r="AF113" s="357"/>
      <c r="AG113" s="357"/>
      <c r="AH113" s="357"/>
      <c r="AI113" s="357"/>
      <c r="AJ113" s="357"/>
      <c r="AK113" s="357"/>
      <c r="AL113" s="357"/>
      <c r="AM113" s="357"/>
      <c r="AN113" s="357"/>
      <c r="AO113" s="357"/>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357"/>
      <c r="BM113" s="357"/>
      <c r="BN113" s="357"/>
      <c r="BO113" s="357"/>
      <c r="BP113" s="357"/>
      <c r="BQ113" s="357"/>
      <c r="BR113" s="357"/>
      <c r="BS113" s="357"/>
      <c r="BT113" s="357"/>
      <c r="BU113" s="357"/>
      <c r="BV113" s="357"/>
      <c r="BW113" s="357"/>
      <c r="BX113" s="357"/>
      <c r="BY113" s="357"/>
      <c r="BZ113" s="357"/>
      <c r="CA113" s="357"/>
      <c r="CB113" s="357"/>
      <c r="CC113" s="357"/>
      <c r="CD113" s="357"/>
      <c r="CE113" s="357"/>
      <c r="CF113" s="357"/>
      <c r="CG113" s="357"/>
      <c r="CH113" s="357"/>
      <c r="CI113" s="357"/>
      <c r="CJ113" s="357"/>
      <c r="CK113" s="357"/>
      <c r="CL113" s="357"/>
      <c r="CM113" s="357"/>
      <c r="CN113" s="357"/>
      <c r="CO113" s="357"/>
      <c r="CP113" s="357"/>
      <c r="CQ113" s="357"/>
      <c r="CR113" s="357"/>
      <c r="CS113" s="357"/>
      <c r="CT113" s="357"/>
      <c r="CU113" s="357"/>
      <c r="CV113" s="357"/>
      <c r="CW113" s="357"/>
      <c r="CX113" s="357"/>
      <c r="CY113" s="357"/>
      <c r="CZ113" s="357"/>
      <c r="DA113" s="357"/>
      <c r="DB113" s="357"/>
      <c r="DC113" s="357"/>
      <c r="DD113" s="357"/>
      <c r="DE113" s="357"/>
      <c r="DF113" s="357"/>
      <c r="DG113" s="357"/>
      <c r="DH113" s="357"/>
      <c r="DI113" s="357"/>
      <c r="DJ113" s="357"/>
      <c r="DK113" s="357"/>
      <c r="DL113" s="357"/>
      <c r="DM113" s="357"/>
      <c r="DN113" s="357"/>
      <c r="DO113" s="357"/>
      <c r="DP113" s="357"/>
      <c r="DQ113" s="357"/>
      <c r="DR113" s="357"/>
      <c r="DS113" s="357"/>
      <c r="DT113" s="357"/>
      <c r="DU113" s="357"/>
      <c r="DV113" s="357"/>
      <c r="DW113" s="357"/>
      <c r="DX113" s="357"/>
      <c r="DY113" s="357"/>
      <c r="DZ113" s="357"/>
      <c r="EA113" s="357"/>
      <c r="EB113" s="357"/>
      <c r="EC113" s="357"/>
      <c r="ED113" s="357"/>
      <c r="EE113" s="357"/>
      <c r="EF113" s="357"/>
      <c r="EG113" s="357"/>
      <c r="EH113" s="357"/>
      <c r="EI113" s="357"/>
      <c r="EJ113" s="357"/>
      <c r="EK113" s="357"/>
      <c r="EL113" s="357"/>
      <c r="EM113" s="357"/>
      <c r="EN113" s="357"/>
      <c r="EO113" s="357"/>
      <c r="EP113" s="357"/>
      <c r="EQ113" s="357"/>
      <c r="ER113" s="357"/>
      <c r="ES113" s="357"/>
      <c r="ET113" s="357"/>
      <c r="EU113" s="357"/>
      <c r="EV113" s="357"/>
      <c r="EW113" s="357"/>
      <c r="EX113" s="357"/>
      <c r="EY113" s="357"/>
      <c r="EZ113" s="357"/>
      <c r="FA113" s="357"/>
      <c r="FB113" s="357"/>
      <c r="FC113" s="357"/>
      <c r="FD113" s="357"/>
      <c r="FE113" s="357"/>
      <c r="FF113" s="357"/>
      <c r="FG113" s="357"/>
      <c r="FH113" s="357"/>
      <c r="FI113" s="357"/>
      <c r="FJ113" s="357"/>
      <c r="FK113" s="357"/>
      <c r="FL113" s="357"/>
      <c r="FM113" s="357"/>
      <c r="FN113" s="357"/>
      <c r="FO113" s="357"/>
      <c r="FP113" s="357"/>
      <c r="FQ113" s="357"/>
      <c r="FR113" s="357"/>
      <c r="FS113" s="357"/>
      <c r="FT113" s="357"/>
      <c r="FU113" s="357"/>
      <c r="FV113" s="357"/>
      <c r="FW113" s="357"/>
      <c r="FX113" s="357"/>
      <c r="FY113" s="357"/>
      <c r="FZ113" s="357"/>
      <c r="GA113" s="357"/>
      <c r="GB113" s="357"/>
      <c r="GC113" s="357"/>
      <c r="GD113" s="357"/>
      <c r="GE113" s="357"/>
      <c r="GF113" s="357"/>
      <c r="GG113" s="357"/>
      <c r="GH113" s="357"/>
      <c r="GI113" s="357"/>
      <c r="GJ113" s="357"/>
      <c r="GK113" s="154"/>
      <c r="GL113" s="154"/>
      <c r="GM113" s="154"/>
      <c r="GN113" s="154"/>
      <c r="GO113" s="154"/>
      <c r="GP113" s="154"/>
      <c r="GQ113" s="154"/>
      <c r="GR113" s="154"/>
      <c r="GS113" s="154"/>
      <c r="GT113" s="154"/>
      <c r="GU113" s="154"/>
      <c r="GV113" s="154"/>
      <c r="GW113" s="154"/>
      <c r="GX113" s="154"/>
    </row>
    <row r="114" spans="7:206">
      <c r="G114" s="154"/>
      <c r="H114" s="154"/>
      <c r="I114" s="154"/>
      <c r="J114" s="154"/>
      <c r="K114" s="154"/>
      <c r="L114" s="154"/>
      <c r="M114" s="154"/>
      <c r="N114" s="154"/>
      <c r="O114" s="154"/>
      <c r="P114" s="154"/>
      <c r="Q114" s="154"/>
      <c r="R114" s="154"/>
      <c r="S114" s="154"/>
      <c r="T114" s="154"/>
      <c r="U114" s="154"/>
      <c r="V114" s="154"/>
      <c r="W114" s="154"/>
      <c r="X114" s="154"/>
      <c r="Y114" s="154"/>
      <c r="Z114" s="357"/>
      <c r="AA114" s="357"/>
      <c r="AB114" s="357"/>
      <c r="AC114" s="357"/>
      <c r="AD114" s="357"/>
      <c r="AE114" s="357"/>
      <c r="AF114" s="357"/>
      <c r="AG114" s="357"/>
      <c r="AH114" s="357"/>
      <c r="AI114" s="357"/>
      <c r="AJ114" s="357"/>
      <c r="AK114" s="357"/>
      <c r="AL114" s="357"/>
      <c r="AM114" s="357"/>
      <c r="AN114" s="357"/>
      <c r="AO114" s="357"/>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357"/>
      <c r="BM114" s="357"/>
      <c r="BN114" s="357"/>
      <c r="BO114" s="357"/>
      <c r="BP114" s="357"/>
      <c r="BQ114" s="357"/>
      <c r="BR114" s="357"/>
      <c r="BS114" s="357"/>
      <c r="BT114" s="357"/>
      <c r="BU114" s="357"/>
      <c r="BV114" s="357"/>
      <c r="BW114" s="357"/>
      <c r="BX114" s="357"/>
      <c r="BY114" s="357"/>
      <c r="BZ114" s="357"/>
      <c r="CA114" s="357"/>
      <c r="CB114" s="357"/>
      <c r="CC114" s="357"/>
      <c r="CD114" s="357"/>
      <c r="CE114" s="357"/>
      <c r="CF114" s="357"/>
      <c r="CG114" s="357"/>
      <c r="CH114" s="357"/>
      <c r="CI114" s="357"/>
      <c r="CJ114" s="357"/>
      <c r="CK114" s="357"/>
      <c r="CL114" s="357"/>
      <c r="CM114" s="357"/>
      <c r="CN114" s="357"/>
      <c r="CO114" s="357"/>
      <c r="CP114" s="357"/>
      <c r="CQ114" s="357"/>
      <c r="CR114" s="357"/>
      <c r="CS114" s="357"/>
      <c r="CT114" s="357"/>
      <c r="CU114" s="357"/>
      <c r="CV114" s="357"/>
      <c r="CW114" s="357"/>
      <c r="CX114" s="357"/>
      <c r="CY114" s="357"/>
      <c r="CZ114" s="357"/>
      <c r="DA114" s="357"/>
      <c r="DB114" s="357"/>
      <c r="DC114" s="357"/>
      <c r="DD114" s="357"/>
      <c r="DE114" s="357"/>
      <c r="DF114" s="357"/>
      <c r="DG114" s="357"/>
      <c r="DH114" s="357"/>
      <c r="DI114" s="357"/>
      <c r="DJ114" s="357"/>
      <c r="DK114" s="357"/>
      <c r="DL114" s="357"/>
      <c r="DM114" s="357"/>
      <c r="DN114" s="357"/>
      <c r="DO114" s="357"/>
      <c r="DP114" s="357"/>
      <c r="DQ114" s="357"/>
      <c r="DR114" s="357"/>
      <c r="DS114" s="357"/>
      <c r="DT114" s="357"/>
      <c r="DU114" s="357"/>
      <c r="DV114" s="357"/>
      <c r="DW114" s="357"/>
      <c r="DX114" s="357"/>
      <c r="DY114" s="357"/>
      <c r="DZ114" s="357"/>
      <c r="EA114" s="357"/>
      <c r="EB114" s="357"/>
      <c r="EC114" s="357"/>
      <c r="ED114" s="357"/>
      <c r="EE114" s="357"/>
      <c r="EF114" s="357"/>
      <c r="EG114" s="357"/>
      <c r="EH114" s="357"/>
      <c r="EI114" s="357"/>
      <c r="EJ114" s="357"/>
      <c r="EK114" s="357"/>
      <c r="EL114" s="357"/>
      <c r="EM114" s="357"/>
      <c r="EN114" s="357"/>
      <c r="EO114" s="357"/>
      <c r="EP114" s="357"/>
      <c r="EQ114" s="357"/>
      <c r="ER114" s="357"/>
      <c r="ES114" s="357"/>
      <c r="ET114" s="357"/>
      <c r="EU114" s="357"/>
      <c r="EV114" s="357"/>
      <c r="EW114" s="357"/>
      <c r="EX114" s="357"/>
      <c r="EY114" s="357"/>
      <c r="EZ114" s="357"/>
      <c r="FA114" s="357"/>
      <c r="FB114" s="357"/>
      <c r="FC114" s="357"/>
      <c r="FD114" s="357"/>
      <c r="FE114" s="357"/>
      <c r="FF114" s="357"/>
      <c r="FG114" s="357"/>
      <c r="FH114" s="357"/>
      <c r="FI114" s="357"/>
      <c r="FJ114" s="357"/>
      <c r="FK114" s="357"/>
      <c r="FL114" s="357"/>
      <c r="FM114" s="357"/>
      <c r="FN114" s="357"/>
      <c r="FO114" s="357"/>
      <c r="FP114" s="357"/>
      <c r="FQ114" s="357"/>
      <c r="FR114" s="357"/>
      <c r="FS114" s="357"/>
      <c r="FT114" s="357"/>
      <c r="FU114" s="357"/>
      <c r="FV114" s="357"/>
      <c r="FW114" s="357"/>
      <c r="FX114" s="357"/>
      <c r="FY114" s="357"/>
      <c r="FZ114" s="357"/>
      <c r="GA114" s="357"/>
      <c r="GB114" s="357"/>
      <c r="GC114" s="357"/>
      <c r="GD114" s="357"/>
      <c r="GE114" s="357"/>
      <c r="GF114" s="357"/>
      <c r="GG114" s="357"/>
      <c r="GH114" s="357"/>
      <c r="GI114" s="357"/>
      <c r="GJ114" s="357"/>
      <c r="GK114" s="154"/>
      <c r="GL114" s="154"/>
      <c r="GM114" s="154"/>
      <c r="GN114" s="154"/>
      <c r="GO114" s="154"/>
      <c r="GP114" s="154"/>
      <c r="GQ114" s="154"/>
      <c r="GR114" s="154"/>
      <c r="GS114" s="154"/>
      <c r="GT114" s="154"/>
      <c r="GU114" s="154"/>
      <c r="GV114" s="154"/>
      <c r="GW114" s="154"/>
      <c r="GX114" s="154"/>
    </row>
    <row r="115" spans="7:206">
      <c r="G115" s="154"/>
      <c r="H115" s="154"/>
      <c r="I115" s="154"/>
      <c r="J115" s="154"/>
      <c r="K115" s="154"/>
      <c r="L115" s="154"/>
      <c r="M115" s="154"/>
      <c r="N115" s="154"/>
      <c r="O115" s="154"/>
      <c r="P115" s="154"/>
      <c r="Q115" s="154"/>
      <c r="R115" s="154"/>
      <c r="S115" s="154"/>
      <c r="T115" s="154"/>
      <c r="U115" s="154"/>
      <c r="V115" s="154"/>
      <c r="W115" s="154"/>
      <c r="X115" s="154"/>
      <c r="Y115" s="154"/>
      <c r="Z115" s="357"/>
      <c r="AA115" s="357"/>
      <c r="AB115" s="357"/>
      <c r="AC115" s="357"/>
      <c r="AD115" s="357"/>
      <c r="AE115" s="357"/>
      <c r="AF115" s="357"/>
      <c r="AG115" s="357"/>
      <c r="AH115" s="357"/>
      <c r="AI115" s="357"/>
      <c r="AJ115" s="357"/>
      <c r="AK115" s="357"/>
      <c r="AL115" s="357"/>
      <c r="AM115" s="357"/>
      <c r="AN115" s="357"/>
      <c r="AO115" s="357"/>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357"/>
      <c r="BM115" s="357"/>
      <c r="BN115" s="357"/>
      <c r="BO115" s="357"/>
      <c r="BP115" s="357"/>
      <c r="BQ115" s="357"/>
      <c r="BR115" s="357"/>
      <c r="BS115" s="357"/>
      <c r="BT115" s="357"/>
      <c r="BU115" s="357"/>
      <c r="BV115" s="357"/>
      <c r="BW115" s="357"/>
      <c r="BX115" s="357"/>
      <c r="BY115" s="357"/>
      <c r="BZ115" s="357"/>
      <c r="CA115" s="357"/>
      <c r="CB115" s="357"/>
      <c r="CC115" s="357"/>
      <c r="CD115" s="357"/>
      <c r="CE115" s="357"/>
      <c r="CF115" s="357"/>
      <c r="CG115" s="357"/>
      <c r="CH115" s="357"/>
      <c r="CI115" s="357"/>
      <c r="CJ115" s="357"/>
      <c r="CK115" s="357"/>
      <c r="CL115" s="357"/>
      <c r="CM115" s="357"/>
      <c r="CN115" s="357"/>
      <c r="CO115" s="357"/>
      <c r="CP115" s="357"/>
      <c r="CQ115" s="357"/>
      <c r="CR115" s="357"/>
      <c r="CS115" s="357"/>
      <c r="CT115" s="357"/>
      <c r="CU115" s="357"/>
      <c r="CV115" s="357"/>
      <c r="CW115" s="357"/>
      <c r="CX115" s="357"/>
      <c r="CY115" s="357"/>
      <c r="CZ115" s="357"/>
      <c r="DA115" s="357"/>
      <c r="DB115" s="357"/>
      <c r="DC115" s="357"/>
      <c r="DD115" s="357"/>
      <c r="DE115" s="357"/>
      <c r="DF115" s="357"/>
      <c r="DG115" s="357"/>
      <c r="DH115" s="357"/>
      <c r="DI115" s="357"/>
      <c r="DJ115" s="357"/>
      <c r="DK115" s="357"/>
      <c r="DL115" s="357"/>
      <c r="DM115" s="357"/>
      <c r="DN115" s="357"/>
      <c r="DO115" s="357"/>
      <c r="DP115" s="357"/>
      <c r="DQ115" s="357"/>
      <c r="DR115" s="357"/>
      <c r="DS115" s="357"/>
      <c r="DT115" s="357"/>
      <c r="DU115" s="357"/>
      <c r="DV115" s="357"/>
      <c r="DW115" s="357"/>
      <c r="DX115" s="357"/>
      <c r="DY115" s="357"/>
      <c r="DZ115" s="357"/>
      <c r="EA115" s="357"/>
      <c r="EB115" s="357"/>
      <c r="EC115" s="357"/>
      <c r="ED115" s="357"/>
      <c r="EE115" s="357"/>
      <c r="EF115" s="357"/>
      <c r="EG115" s="357"/>
      <c r="EH115" s="357"/>
      <c r="EI115" s="357"/>
      <c r="EJ115" s="357"/>
      <c r="EK115" s="357"/>
      <c r="EL115" s="357"/>
      <c r="EM115" s="357"/>
      <c r="EN115" s="357"/>
      <c r="EO115" s="357"/>
      <c r="EP115" s="357"/>
      <c r="EQ115" s="357"/>
      <c r="ER115" s="357"/>
      <c r="ES115" s="357"/>
      <c r="ET115" s="357"/>
      <c r="EU115" s="357"/>
      <c r="EV115" s="357"/>
      <c r="EW115" s="357"/>
      <c r="EX115" s="357"/>
      <c r="EY115" s="357"/>
      <c r="EZ115" s="357"/>
      <c r="FA115" s="357"/>
      <c r="FB115" s="357"/>
      <c r="FC115" s="357"/>
      <c r="FD115" s="357"/>
      <c r="FE115" s="357"/>
      <c r="FF115" s="357"/>
      <c r="FG115" s="357"/>
      <c r="FH115" s="357"/>
      <c r="FI115" s="357"/>
      <c r="FJ115" s="357"/>
      <c r="FK115" s="357"/>
      <c r="FL115" s="357"/>
      <c r="FM115" s="357"/>
      <c r="FN115" s="357"/>
      <c r="FO115" s="357"/>
      <c r="FP115" s="357"/>
      <c r="FQ115" s="357"/>
      <c r="FR115" s="357"/>
      <c r="FS115" s="357"/>
      <c r="FT115" s="357"/>
      <c r="FU115" s="357"/>
      <c r="FV115" s="357"/>
      <c r="FW115" s="357"/>
      <c r="FX115" s="357"/>
      <c r="FY115" s="357"/>
      <c r="FZ115" s="357"/>
      <c r="GA115" s="357"/>
      <c r="GB115" s="357"/>
      <c r="GC115" s="357"/>
      <c r="GD115" s="357"/>
      <c r="GE115" s="357"/>
      <c r="GF115" s="357"/>
      <c r="GG115" s="357"/>
      <c r="GH115" s="357"/>
      <c r="GI115" s="357"/>
      <c r="GJ115" s="357"/>
      <c r="GK115" s="154"/>
      <c r="GL115" s="154"/>
      <c r="GM115" s="154"/>
      <c r="GN115" s="154"/>
      <c r="GO115" s="154"/>
      <c r="GP115" s="154"/>
      <c r="GQ115" s="154"/>
      <c r="GR115" s="154"/>
      <c r="GS115" s="154"/>
      <c r="GT115" s="154"/>
      <c r="GU115" s="154"/>
      <c r="GV115" s="154"/>
      <c r="GW115" s="154"/>
      <c r="GX115" s="154"/>
    </row>
    <row r="116" spans="7:206">
      <c r="G116" s="154"/>
      <c r="H116" s="154"/>
      <c r="I116" s="154"/>
      <c r="J116" s="154"/>
      <c r="K116" s="154"/>
      <c r="L116" s="154"/>
      <c r="M116" s="154"/>
      <c r="N116" s="154"/>
      <c r="O116" s="154"/>
      <c r="P116" s="154"/>
      <c r="Q116" s="154"/>
      <c r="R116" s="154"/>
      <c r="S116" s="154"/>
      <c r="T116" s="154"/>
      <c r="U116" s="154"/>
      <c r="V116" s="154"/>
      <c r="W116" s="154"/>
      <c r="X116" s="154"/>
      <c r="Y116" s="154"/>
      <c r="Z116" s="357"/>
      <c r="AA116" s="357"/>
      <c r="AB116" s="357"/>
      <c r="AC116" s="357"/>
      <c r="AD116" s="357"/>
      <c r="AE116" s="357"/>
      <c r="AF116" s="357"/>
      <c r="AG116" s="357"/>
      <c r="AH116" s="357"/>
      <c r="AI116" s="357"/>
      <c r="AJ116" s="357"/>
      <c r="AK116" s="357"/>
      <c r="AL116" s="357"/>
      <c r="AM116" s="357"/>
      <c r="AN116" s="357"/>
      <c r="AO116" s="357"/>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357"/>
      <c r="BM116" s="357"/>
      <c r="BN116" s="357"/>
      <c r="BO116" s="357"/>
      <c r="BP116" s="357"/>
      <c r="BQ116" s="357"/>
      <c r="BR116" s="357"/>
      <c r="BS116" s="357"/>
      <c r="BT116" s="357"/>
      <c r="BU116" s="357"/>
      <c r="BV116" s="357"/>
      <c r="BW116" s="357"/>
      <c r="BX116" s="357"/>
      <c r="BY116" s="357"/>
      <c r="BZ116" s="357"/>
      <c r="CA116" s="357"/>
      <c r="CB116" s="357"/>
      <c r="CC116" s="357"/>
      <c r="CD116" s="357"/>
      <c r="CE116" s="357"/>
      <c r="CF116" s="357"/>
      <c r="CG116" s="357"/>
      <c r="CH116" s="357"/>
      <c r="CI116" s="357"/>
      <c r="CJ116" s="357"/>
      <c r="CK116" s="357"/>
      <c r="CL116" s="357"/>
      <c r="CM116" s="357"/>
      <c r="CN116" s="357"/>
      <c r="CO116" s="357"/>
      <c r="CP116" s="357"/>
      <c r="CQ116" s="357"/>
      <c r="CR116" s="357"/>
      <c r="CS116" s="357"/>
      <c r="CT116" s="357"/>
      <c r="CU116" s="357"/>
      <c r="CV116" s="357"/>
      <c r="CW116" s="357"/>
      <c r="CX116" s="357"/>
      <c r="CY116" s="357"/>
      <c r="CZ116" s="357"/>
      <c r="DA116" s="357"/>
      <c r="DB116" s="357"/>
      <c r="DC116" s="357"/>
      <c r="DD116" s="357"/>
      <c r="DE116" s="357"/>
      <c r="DF116" s="357"/>
      <c r="DG116" s="357"/>
      <c r="DH116" s="357"/>
      <c r="DI116" s="357"/>
      <c r="DJ116" s="357"/>
      <c r="DK116" s="357"/>
      <c r="DL116" s="357"/>
      <c r="DM116" s="357"/>
      <c r="DN116" s="357"/>
      <c r="DO116" s="357"/>
      <c r="DP116" s="357"/>
      <c r="DQ116" s="357"/>
      <c r="DR116" s="357"/>
      <c r="DS116" s="357"/>
      <c r="DT116" s="357"/>
      <c r="DU116" s="357"/>
      <c r="DV116" s="357"/>
      <c r="DW116" s="357"/>
      <c r="DX116" s="357"/>
      <c r="DY116" s="357"/>
      <c r="DZ116" s="357"/>
      <c r="EA116" s="357"/>
      <c r="EB116" s="357"/>
      <c r="EC116" s="357"/>
      <c r="ED116" s="357"/>
      <c r="EE116" s="357"/>
      <c r="EF116" s="357"/>
      <c r="EG116" s="357"/>
      <c r="EH116" s="357"/>
      <c r="EI116" s="357"/>
      <c r="EJ116" s="357"/>
      <c r="EK116" s="357"/>
      <c r="EL116" s="357"/>
      <c r="EM116" s="357"/>
      <c r="EN116" s="357"/>
      <c r="EO116" s="357"/>
      <c r="EP116" s="357"/>
      <c r="EQ116" s="357"/>
      <c r="ER116" s="357"/>
      <c r="ES116" s="357"/>
      <c r="ET116" s="357"/>
      <c r="EU116" s="357"/>
      <c r="EV116" s="357"/>
      <c r="EW116" s="357"/>
      <c r="EX116" s="357"/>
      <c r="EY116" s="357"/>
      <c r="EZ116" s="357"/>
      <c r="FA116" s="357"/>
      <c r="FB116" s="357"/>
      <c r="FC116" s="357"/>
      <c r="FD116" s="357"/>
      <c r="FE116" s="357"/>
      <c r="FF116" s="357"/>
      <c r="FG116" s="357"/>
      <c r="FH116" s="357"/>
      <c r="FI116" s="357"/>
      <c r="FJ116" s="357"/>
      <c r="FK116" s="357"/>
      <c r="FL116" s="357"/>
      <c r="FM116" s="357"/>
      <c r="FN116" s="357"/>
      <c r="FO116" s="357"/>
      <c r="FP116" s="357"/>
      <c r="FQ116" s="357"/>
      <c r="FR116" s="357"/>
      <c r="FS116" s="357"/>
      <c r="FT116" s="357"/>
      <c r="FU116" s="357"/>
      <c r="FV116" s="357"/>
      <c r="FW116" s="357"/>
      <c r="FX116" s="357"/>
      <c r="FY116" s="357"/>
      <c r="FZ116" s="357"/>
      <c r="GA116" s="357"/>
      <c r="GB116" s="357"/>
      <c r="GC116" s="357"/>
      <c r="GD116" s="357"/>
      <c r="GE116" s="357"/>
      <c r="GF116" s="357"/>
      <c r="GG116" s="357"/>
      <c r="GH116" s="357"/>
      <c r="GI116" s="357"/>
      <c r="GJ116" s="357"/>
      <c r="GK116" s="154"/>
      <c r="GL116" s="154"/>
      <c r="GM116" s="154"/>
      <c r="GN116" s="154"/>
      <c r="GO116" s="154"/>
      <c r="GP116" s="154"/>
      <c r="GQ116" s="154"/>
      <c r="GR116" s="154"/>
      <c r="GS116" s="154"/>
      <c r="GT116" s="154"/>
      <c r="GU116" s="154"/>
      <c r="GV116" s="154"/>
      <c r="GW116" s="154"/>
      <c r="GX116" s="154"/>
    </row>
    <row r="117" spans="7:206">
      <c r="G117" s="154"/>
      <c r="H117" s="154"/>
      <c r="I117" s="154"/>
      <c r="J117" s="154"/>
      <c r="K117" s="154"/>
      <c r="L117" s="154"/>
      <c r="M117" s="154"/>
      <c r="N117" s="154"/>
      <c r="O117" s="154"/>
      <c r="P117" s="154"/>
      <c r="Q117" s="154"/>
      <c r="R117" s="154"/>
      <c r="S117" s="154"/>
      <c r="T117" s="154"/>
      <c r="U117" s="154"/>
      <c r="V117" s="154"/>
      <c r="W117" s="154"/>
      <c r="X117" s="154"/>
      <c r="Y117" s="154"/>
      <c r="Z117" s="357"/>
      <c r="AA117" s="357"/>
      <c r="AB117" s="357"/>
      <c r="AC117" s="357"/>
      <c r="AD117" s="357"/>
      <c r="AE117" s="357"/>
      <c r="AF117" s="357"/>
      <c r="AG117" s="357"/>
      <c r="AH117" s="357"/>
      <c r="AI117" s="357"/>
      <c r="AJ117" s="357"/>
      <c r="AK117" s="357"/>
      <c r="AL117" s="357"/>
      <c r="AM117" s="357"/>
      <c r="AN117" s="357"/>
      <c r="AO117" s="357"/>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357"/>
      <c r="BM117" s="357"/>
      <c r="BN117" s="357"/>
      <c r="BO117" s="357"/>
      <c r="BP117" s="357"/>
      <c r="BQ117" s="357"/>
      <c r="BR117" s="357"/>
      <c r="BS117" s="357"/>
      <c r="BT117" s="357"/>
      <c r="BU117" s="357"/>
      <c r="BV117" s="357"/>
      <c r="BW117" s="357"/>
      <c r="BX117" s="357"/>
      <c r="BY117" s="357"/>
      <c r="BZ117" s="357"/>
      <c r="CA117" s="357"/>
      <c r="CB117" s="357"/>
      <c r="CC117" s="357"/>
      <c r="CD117" s="357"/>
      <c r="CE117" s="357"/>
      <c r="CF117" s="357"/>
      <c r="CG117" s="357"/>
      <c r="CH117" s="357"/>
      <c r="CI117" s="357"/>
      <c r="CJ117" s="357"/>
      <c r="CK117" s="357"/>
      <c r="CL117" s="357"/>
      <c r="CM117" s="357"/>
      <c r="CN117" s="357"/>
      <c r="CO117" s="357"/>
      <c r="CP117" s="357"/>
      <c r="CQ117" s="357"/>
      <c r="CR117" s="357"/>
      <c r="CS117" s="357"/>
      <c r="CT117" s="357"/>
      <c r="CU117" s="357"/>
      <c r="CV117" s="357"/>
      <c r="CW117" s="357"/>
      <c r="CX117" s="357"/>
      <c r="CY117" s="357"/>
      <c r="CZ117" s="357"/>
      <c r="DA117" s="357"/>
      <c r="DB117" s="357"/>
      <c r="DC117" s="357"/>
      <c r="DD117" s="357"/>
      <c r="DE117" s="357"/>
      <c r="DF117" s="357"/>
      <c r="DG117" s="357"/>
      <c r="DH117" s="357"/>
      <c r="DI117" s="357"/>
      <c r="DJ117" s="357"/>
      <c r="DK117" s="357"/>
      <c r="DL117" s="357"/>
      <c r="DM117" s="357"/>
      <c r="DN117" s="357"/>
      <c r="DO117" s="357"/>
      <c r="DP117" s="357"/>
      <c r="DQ117" s="357"/>
      <c r="DR117" s="357"/>
      <c r="DS117" s="357"/>
      <c r="DT117" s="357"/>
      <c r="DU117" s="357"/>
      <c r="DV117" s="357"/>
      <c r="DW117" s="357"/>
      <c r="DX117" s="357"/>
      <c r="DY117" s="357"/>
      <c r="DZ117" s="357"/>
      <c r="EA117" s="357"/>
      <c r="EB117" s="357"/>
      <c r="EC117" s="357"/>
      <c r="ED117" s="357"/>
      <c r="EE117" s="357"/>
      <c r="EF117" s="357"/>
      <c r="EG117" s="357"/>
      <c r="EH117" s="357"/>
      <c r="EI117" s="357"/>
      <c r="EJ117" s="357"/>
      <c r="EK117" s="357"/>
      <c r="EL117" s="357"/>
      <c r="EM117" s="357"/>
      <c r="EN117" s="357"/>
      <c r="EO117" s="357"/>
      <c r="EP117" s="357"/>
      <c r="EQ117" s="357"/>
      <c r="ER117" s="357"/>
      <c r="ES117" s="357"/>
      <c r="ET117" s="357"/>
      <c r="EU117" s="357"/>
      <c r="EV117" s="357"/>
      <c r="EW117" s="357"/>
      <c r="EX117" s="357"/>
      <c r="EY117" s="357"/>
      <c r="EZ117" s="357"/>
      <c r="FA117" s="357"/>
      <c r="FB117" s="357"/>
      <c r="FC117" s="357"/>
      <c r="FD117" s="357"/>
      <c r="FE117" s="357"/>
      <c r="FF117" s="357"/>
      <c r="FG117" s="357"/>
      <c r="FH117" s="357"/>
      <c r="FI117" s="357"/>
      <c r="FJ117" s="357"/>
      <c r="FK117" s="357"/>
      <c r="FL117" s="357"/>
      <c r="FM117" s="357"/>
      <c r="FN117" s="357"/>
      <c r="FO117" s="357"/>
      <c r="FP117" s="357"/>
      <c r="FQ117" s="357"/>
      <c r="FR117" s="357"/>
      <c r="FS117" s="357"/>
      <c r="FT117" s="357"/>
      <c r="FU117" s="357"/>
      <c r="FV117" s="357"/>
      <c r="FW117" s="357"/>
      <c r="FX117" s="357"/>
      <c r="FY117" s="357"/>
      <c r="FZ117" s="357"/>
      <c r="GA117" s="357"/>
      <c r="GB117" s="357"/>
      <c r="GC117" s="357"/>
      <c r="GD117" s="357"/>
      <c r="GE117" s="357"/>
      <c r="GF117" s="357"/>
      <c r="GG117" s="357"/>
      <c r="GH117" s="357"/>
      <c r="GI117" s="357"/>
      <c r="GJ117" s="357"/>
      <c r="GK117" s="154"/>
      <c r="GL117" s="154"/>
      <c r="GM117" s="154"/>
      <c r="GN117" s="154"/>
      <c r="GO117" s="154"/>
      <c r="GP117" s="154"/>
      <c r="GQ117" s="154"/>
      <c r="GR117" s="154"/>
      <c r="GS117" s="154"/>
      <c r="GT117" s="154"/>
      <c r="GU117" s="154"/>
      <c r="GV117" s="154"/>
      <c r="GW117" s="154"/>
      <c r="GX117" s="154"/>
    </row>
    <row r="118" spans="7:206">
      <c r="G118" s="154"/>
      <c r="H118" s="154"/>
      <c r="I118" s="154"/>
      <c r="J118" s="154"/>
      <c r="K118" s="154"/>
      <c r="L118" s="154"/>
      <c r="M118" s="154"/>
      <c r="N118" s="154"/>
      <c r="O118" s="154"/>
      <c r="P118" s="154"/>
      <c r="Q118" s="154"/>
      <c r="R118" s="154"/>
      <c r="S118" s="154"/>
      <c r="T118" s="154"/>
      <c r="U118" s="154"/>
      <c r="V118" s="154"/>
      <c r="W118" s="154"/>
      <c r="X118" s="154"/>
      <c r="Y118" s="154"/>
      <c r="Z118" s="357"/>
      <c r="AA118" s="357"/>
      <c r="AB118" s="357"/>
      <c r="AC118" s="357"/>
      <c r="AD118" s="357"/>
      <c r="AE118" s="357"/>
      <c r="AF118" s="357"/>
      <c r="AG118" s="357"/>
      <c r="AH118" s="357"/>
      <c r="AI118" s="357"/>
      <c r="AJ118" s="357"/>
      <c r="AK118" s="357"/>
      <c r="AL118" s="357"/>
      <c r="AM118" s="357"/>
      <c r="AN118" s="357"/>
      <c r="AO118" s="357"/>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357"/>
      <c r="BM118" s="357"/>
      <c r="BN118" s="357"/>
      <c r="BO118" s="357"/>
      <c r="BP118" s="357"/>
      <c r="BQ118" s="357"/>
      <c r="BR118" s="357"/>
      <c r="BS118" s="357"/>
      <c r="BT118" s="357"/>
      <c r="BU118" s="357"/>
      <c r="BV118" s="357"/>
      <c r="BW118" s="357"/>
      <c r="BX118" s="357"/>
      <c r="BY118" s="357"/>
      <c r="BZ118" s="357"/>
      <c r="CA118" s="357"/>
      <c r="CB118" s="357"/>
      <c r="CC118" s="357"/>
      <c r="CD118" s="357"/>
      <c r="CE118" s="357"/>
      <c r="CF118" s="357"/>
      <c r="CG118" s="357"/>
      <c r="CH118" s="357"/>
      <c r="CI118" s="357"/>
      <c r="CJ118" s="357"/>
      <c r="CK118" s="357"/>
      <c r="CL118" s="357"/>
      <c r="CM118" s="357"/>
      <c r="CN118" s="357"/>
      <c r="CO118" s="357"/>
      <c r="CP118" s="357"/>
      <c r="CQ118" s="357"/>
      <c r="CR118" s="357"/>
      <c r="CS118" s="357"/>
      <c r="CT118" s="357"/>
      <c r="CU118" s="357"/>
      <c r="CV118" s="357"/>
      <c r="CW118" s="357"/>
      <c r="CX118" s="357"/>
      <c r="CY118" s="357"/>
      <c r="CZ118" s="357"/>
      <c r="DA118" s="357"/>
      <c r="DB118" s="357"/>
      <c r="DC118" s="357"/>
      <c r="DD118" s="357"/>
      <c r="DE118" s="357"/>
      <c r="DF118" s="357"/>
      <c r="DG118" s="357"/>
      <c r="DH118" s="357"/>
      <c r="DI118" s="357"/>
      <c r="DJ118" s="357"/>
      <c r="DK118" s="357"/>
      <c r="DL118" s="357"/>
      <c r="DM118" s="357"/>
      <c r="DN118" s="357"/>
      <c r="DO118" s="357"/>
      <c r="DP118" s="357"/>
      <c r="DQ118" s="357"/>
      <c r="DR118" s="357"/>
      <c r="DS118" s="357"/>
      <c r="DT118" s="357"/>
      <c r="DU118" s="357"/>
      <c r="DV118" s="357"/>
      <c r="DW118" s="357"/>
      <c r="DX118" s="357"/>
      <c r="DY118" s="357"/>
      <c r="DZ118" s="357"/>
      <c r="EA118" s="357"/>
      <c r="EB118" s="357"/>
      <c r="EC118" s="357"/>
      <c r="ED118" s="357"/>
      <c r="EE118" s="357"/>
      <c r="EF118" s="357"/>
      <c r="EG118" s="357"/>
      <c r="EH118" s="357"/>
      <c r="EI118" s="357"/>
      <c r="EJ118" s="357"/>
      <c r="EK118" s="357"/>
      <c r="EL118" s="357"/>
      <c r="EM118" s="357"/>
      <c r="EN118" s="357"/>
      <c r="EO118" s="357"/>
      <c r="EP118" s="357"/>
      <c r="EQ118" s="357"/>
      <c r="ER118" s="357"/>
      <c r="ES118" s="357"/>
      <c r="ET118" s="357"/>
      <c r="EU118" s="357"/>
      <c r="EV118" s="357"/>
      <c r="EW118" s="357"/>
      <c r="EX118" s="357"/>
      <c r="EY118" s="357"/>
      <c r="EZ118" s="357"/>
      <c r="FA118" s="357"/>
      <c r="FB118" s="357"/>
      <c r="FC118" s="357"/>
      <c r="FD118" s="357"/>
      <c r="FE118" s="357"/>
      <c r="FF118" s="357"/>
      <c r="FG118" s="357"/>
      <c r="FH118" s="357"/>
      <c r="FI118" s="357"/>
      <c r="FJ118" s="357"/>
      <c r="FK118" s="357"/>
      <c r="FL118" s="357"/>
      <c r="FM118" s="357"/>
      <c r="FN118" s="357"/>
      <c r="FO118" s="357"/>
      <c r="FP118" s="357"/>
      <c r="FQ118" s="357"/>
      <c r="FR118" s="357"/>
      <c r="FS118" s="357"/>
      <c r="FT118" s="357"/>
      <c r="FU118" s="357"/>
      <c r="FV118" s="357"/>
      <c r="FW118" s="357"/>
      <c r="FX118" s="357"/>
      <c r="FY118" s="357"/>
      <c r="FZ118" s="357"/>
      <c r="GA118" s="357"/>
      <c r="GB118" s="357"/>
      <c r="GC118" s="357"/>
      <c r="GD118" s="357"/>
      <c r="GE118" s="357"/>
      <c r="GF118" s="357"/>
      <c r="GG118" s="357"/>
      <c r="GH118" s="357"/>
      <c r="GI118" s="357"/>
      <c r="GJ118" s="357"/>
      <c r="GK118" s="154"/>
      <c r="GL118" s="154"/>
      <c r="GM118" s="154"/>
      <c r="GN118" s="154"/>
      <c r="GO118" s="154"/>
      <c r="GP118" s="154"/>
      <c r="GQ118" s="154"/>
      <c r="GR118" s="154"/>
      <c r="GS118" s="154"/>
      <c r="GT118" s="154"/>
      <c r="GU118" s="154"/>
      <c r="GV118" s="154"/>
      <c r="GW118" s="154"/>
      <c r="GX118" s="154"/>
    </row>
    <row r="119" spans="7:206">
      <c r="G119" s="154"/>
      <c r="H119" s="154"/>
      <c r="I119" s="154"/>
      <c r="J119" s="154"/>
      <c r="K119" s="154"/>
      <c r="L119" s="154"/>
      <c r="M119" s="154"/>
      <c r="N119" s="154"/>
      <c r="O119" s="154"/>
      <c r="P119" s="154"/>
      <c r="Q119" s="154"/>
      <c r="R119" s="154"/>
      <c r="S119" s="154"/>
      <c r="T119" s="154"/>
      <c r="U119" s="154"/>
      <c r="V119" s="154"/>
      <c r="W119" s="154"/>
      <c r="X119" s="154"/>
      <c r="Y119" s="154"/>
      <c r="Z119" s="357"/>
      <c r="AA119" s="357"/>
      <c r="AB119" s="357"/>
      <c r="AC119" s="357"/>
      <c r="AD119" s="357"/>
      <c r="AE119" s="357"/>
      <c r="AF119" s="357"/>
      <c r="AG119" s="357"/>
      <c r="AH119" s="357"/>
      <c r="AI119" s="357"/>
      <c r="AJ119" s="357"/>
      <c r="AK119" s="357"/>
      <c r="AL119" s="357"/>
      <c r="AM119" s="357"/>
      <c r="AN119" s="357"/>
      <c r="AO119" s="357"/>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357"/>
      <c r="BM119" s="357"/>
      <c r="BN119" s="357"/>
      <c r="BO119" s="357"/>
      <c r="BP119" s="357"/>
      <c r="BQ119" s="357"/>
      <c r="BR119" s="357"/>
      <c r="BS119" s="357"/>
      <c r="BT119" s="357"/>
      <c r="BU119" s="357"/>
      <c r="BV119" s="357"/>
      <c r="BW119" s="357"/>
      <c r="BX119" s="357"/>
      <c r="BY119" s="357"/>
      <c r="BZ119" s="357"/>
      <c r="CA119" s="357"/>
      <c r="CB119" s="357"/>
      <c r="CC119" s="357"/>
      <c r="CD119" s="357"/>
      <c r="CE119" s="357"/>
      <c r="CF119" s="357"/>
      <c r="CG119" s="357"/>
      <c r="CH119" s="357"/>
      <c r="CI119" s="357"/>
      <c r="CJ119" s="357"/>
      <c r="CK119" s="357"/>
      <c r="CL119" s="357"/>
      <c r="CM119" s="357"/>
      <c r="CN119" s="357"/>
      <c r="CO119" s="357"/>
      <c r="CP119" s="357"/>
      <c r="CQ119" s="357"/>
      <c r="CR119" s="357"/>
      <c r="CS119" s="357"/>
      <c r="CT119" s="357"/>
      <c r="CU119" s="357"/>
      <c r="CV119" s="357"/>
      <c r="CW119" s="357"/>
      <c r="CX119" s="357"/>
      <c r="CY119" s="357"/>
      <c r="CZ119" s="357"/>
      <c r="DA119" s="357"/>
      <c r="DB119" s="357"/>
      <c r="DC119" s="357"/>
      <c r="DD119" s="357"/>
      <c r="DE119" s="357"/>
      <c r="DF119" s="357"/>
      <c r="DG119" s="357"/>
      <c r="DH119" s="357"/>
      <c r="DI119" s="357"/>
      <c r="DJ119" s="357"/>
      <c r="DK119" s="357"/>
      <c r="DL119" s="357"/>
      <c r="DM119" s="357"/>
      <c r="DN119" s="357"/>
      <c r="DO119" s="357"/>
      <c r="DP119" s="357"/>
      <c r="DQ119" s="357"/>
      <c r="DR119" s="357"/>
      <c r="DS119" s="357"/>
      <c r="DT119" s="357"/>
      <c r="DU119" s="357"/>
      <c r="DV119" s="357"/>
      <c r="DW119" s="357"/>
      <c r="DX119" s="357"/>
      <c r="DY119" s="357"/>
      <c r="DZ119" s="357"/>
      <c r="EA119" s="357"/>
      <c r="EB119" s="357"/>
      <c r="EC119" s="357"/>
      <c r="ED119" s="357"/>
      <c r="EE119" s="357"/>
      <c r="EF119" s="357"/>
      <c r="EG119" s="357"/>
      <c r="EH119" s="357"/>
      <c r="EI119" s="357"/>
      <c r="EJ119" s="357"/>
      <c r="EK119" s="357"/>
      <c r="EL119" s="357"/>
      <c r="EM119" s="357"/>
      <c r="EN119" s="357"/>
      <c r="EO119" s="357"/>
      <c r="EP119" s="357"/>
      <c r="EQ119" s="357"/>
      <c r="ER119" s="357"/>
      <c r="ES119" s="357"/>
      <c r="ET119" s="357"/>
      <c r="EU119" s="357"/>
      <c r="EV119" s="357"/>
      <c r="EW119" s="357"/>
      <c r="EX119" s="357"/>
      <c r="EY119" s="357"/>
      <c r="EZ119" s="357"/>
      <c r="FA119" s="357"/>
      <c r="FB119" s="357"/>
      <c r="FC119" s="357"/>
      <c r="FD119" s="357"/>
      <c r="FE119" s="357"/>
      <c r="FF119" s="357"/>
      <c r="FG119" s="357"/>
      <c r="FH119" s="357"/>
      <c r="FI119" s="357"/>
      <c r="FJ119" s="357"/>
      <c r="FK119" s="357"/>
      <c r="FL119" s="357"/>
      <c r="FM119" s="357"/>
      <c r="FN119" s="357"/>
      <c r="FO119" s="357"/>
      <c r="FP119" s="357"/>
      <c r="FQ119" s="357"/>
      <c r="FR119" s="357"/>
      <c r="FS119" s="357"/>
      <c r="FT119" s="357"/>
      <c r="FU119" s="357"/>
      <c r="FV119" s="357"/>
      <c r="FW119" s="357"/>
      <c r="FX119" s="357"/>
      <c r="FY119" s="357"/>
      <c r="FZ119" s="357"/>
      <c r="GA119" s="357"/>
      <c r="GB119" s="357"/>
      <c r="GC119" s="357"/>
      <c r="GD119" s="357"/>
      <c r="GE119" s="357"/>
      <c r="GF119" s="357"/>
      <c r="GG119" s="357"/>
      <c r="GH119" s="357"/>
      <c r="GI119" s="357"/>
      <c r="GJ119" s="357"/>
      <c r="GK119" s="154"/>
      <c r="GL119" s="154"/>
      <c r="GM119" s="154"/>
      <c r="GN119" s="154"/>
      <c r="GO119" s="154"/>
      <c r="GP119" s="154"/>
      <c r="GQ119" s="154"/>
      <c r="GR119" s="154"/>
      <c r="GS119" s="154"/>
      <c r="GT119" s="154"/>
      <c r="GU119" s="154"/>
      <c r="GV119" s="154"/>
      <c r="GW119" s="154"/>
      <c r="GX119" s="154"/>
    </row>
    <row r="120" spans="7:206">
      <c r="G120" s="154"/>
      <c r="H120" s="154"/>
      <c r="I120" s="154"/>
      <c r="J120" s="154"/>
      <c r="K120" s="154"/>
      <c r="L120" s="154"/>
      <c r="M120" s="154"/>
      <c r="N120" s="154"/>
      <c r="O120" s="154"/>
      <c r="P120" s="154"/>
      <c r="Q120" s="154"/>
      <c r="R120" s="154"/>
      <c r="S120" s="154"/>
      <c r="T120" s="154"/>
      <c r="U120" s="154"/>
      <c r="V120" s="154"/>
      <c r="W120" s="154"/>
      <c r="X120" s="154"/>
      <c r="Y120" s="154"/>
      <c r="Z120" s="357"/>
      <c r="AA120" s="357"/>
      <c r="AB120" s="357"/>
      <c r="AC120" s="357"/>
      <c r="AD120" s="357"/>
      <c r="AE120" s="357"/>
      <c r="AF120" s="357"/>
      <c r="AG120" s="357"/>
      <c r="AH120" s="357"/>
      <c r="AI120" s="357"/>
      <c r="AJ120" s="357"/>
      <c r="AK120" s="357"/>
      <c r="AL120" s="357"/>
      <c r="AM120" s="357"/>
      <c r="AN120" s="357"/>
      <c r="AO120" s="357"/>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357"/>
      <c r="BM120" s="357"/>
      <c r="BN120" s="357"/>
      <c r="BO120" s="357"/>
      <c r="BP120" s="357"/>
      <c r="BQ120" s="357"/>
      <c r="BR120" s="357"/>
      <c r="BS120" s="357"/>
      <c r="BT120" s="357"/>
      <c r="BU120" s="357"/>
      <c r="BV120" s="357"/>
      <c r="BW120" s="357"/>
      <c r="BX120" s="357"/>
      <c r="BY120" s="357"/>
      <c r="BZ120" s="357"/>
      <c r="CA120" s="357"/>
      <c r="CB120" s="357"/>
      <c r="CC120" s="357"/>
      <c r="CD120" s="357"/>
      <c r="CE120" s="357"/>
      <c r="CF120" s="357"/>
      <c r="CG120" s="357"/>
      <c r="CH120" s="357"/>
      <c r="CI120" s="357"/>
      <c r="CJ120" s="357"/>
      <c r="CK120" s="357"/>
      <c r="CL120" s="357"/>
      <c r="CM120" s="357"/>
      <c r="CN120" s="357"/>
      <c r="CO120" s="357"/>
      <c r="CP120" s="357"/>
      <c r="CQ120" s="357"/>
      <c r="CR120" s="357"/>
      <c r="CS120" s="357"/>
      <c r="CT120" s="357"/>
      <c r="CU120" s="357"/>
      <c r="CV120" s="357"/>
      <c r="CW120" s="357"/>
      <c r="CX120" s="357"/>
      <c r="CY120" s="357"/>
      <c r="CZ120" s="357"/>
      <c r="DA120" s="357"/>
      <c r="DB120" s="357"/>
      <c r="DC120" s="357"/>
      <c r="DD120" s="357"/>
      <c r="DE120" s="357"/>
      <c r="DF120" s="357"/>
      <c r="DG120" s="357"/>
      <c r="DH120" s="357"/>
      <c r="DI120" s="357"/>
      <c r="DJ120" s="357"/>
      <c r="DK120" s="357"/>
      <c r="DL120" s="357"/>
      <c r="DM120" s="357"/>
      <c r="DN120" s="357"/>
      <c r="DO120" s="357"/>
      <c r="DP120" s="357"/>
      <c r="DQ120" s="357"/>
      <c r="DR120" s="357"/>
      <c r="DS120" s="357"/>
      <c r="DT120" s="357"/>
      <c r="DU120" s="357"/>
      <c r="DV120" s="357"/>
      <c r="DW120" s="357"/>
      <c r="DX120" s="357"/>
      <c r="DY120" s="357"/>
      <c r="DZ120" s="357"/>
      <c r="EA120" s="357"/>
      <c r="EB120" s="357"/>
      <c r="EC120" s="357"/>
      <c r="ED120" s="357"/>
      <c r="EE120" s="357"/>
      <c r="EF120" s="357"/>
      <c r="EG120" s="357"/>
      <c r="EH120" s="357"/>
      <c r="EI120" s="357"/>
      <c r="EJ120" s="357"/>
      <c r="EK120" s="357"/>
      <c r="EL120" s="357"/>
      <c r="EM120" s="357"/>
      <c r="EN120" s="357"/>
      <c r="EO120" s="357"/>
      <c r="EP120" s="357"/>
      <c r="EQ120" s="357"/>
      <c r="ER120" s="357"/>
      <c r="ES120" s="357"/>
      <c r="ET120" s="357"/>
      <c r="EU120" s="357"/>
      <c r="EV120" s="357"/>
      <c r="EW120" s="357"/>
      <c r="EX120" s="357"/>
      <c r="EY120" s="357"/>
      <c r="EZ120" s="357"/>
      <c r="FA120" s="357"/>
      <c r="FB120" s="357"/>
      <c r="FC120" s="357"/>
      <c r="FD120" s="357"/>
      <c r="FE120" s="357"/>
      <c r="FF120" s="357"/>
      <c r="FG120" s="357"/>
      <c r="FH120" s="357"/>
      <c r="FI120" s="357"/>
      <c r="FJ120" s="357"/>
      <c r="FK120" s="357"/>
      <c r="FL120" s="357"/>
      <c r="FM120" s="357"/>
      <c r="FN120" s="357"/>
      <c r="FO120" s="357"/>
      <c r="FP120" s="357"/>
      <c r="FQ120" s="357"/>
      <c r="FR120" s="357"/>
      <c r="FS120" s="357"/>
      <c r="FT120" s="357"/>
      <c r="FU120" s="357"/>
      <c r="FV120" s="357"/>
      <c r="FW120" s="357"/>
      <c r="FX120" s="357"/>
      <c r="FY120" s="357"/>
      <c r="FZ120" s="357"/>
      <c r="GA120" s="357"/>
      <c r="GB120" s="357"/>
      <c r="GC120" s="357"/>
      <c r="GD120" s="357"/>
      <c r="GE120" s="357"/>
      <c r="GF120" s="357"/>
      <c r="GG120" s="357"/>
      <c r="GH120" s="357"/>
      <c r="GI120" s="357"/>
      <c r="GJ120" s="357"/>
      <c r="GK120" s="154"/>
      <c r="GL120" s="154"/>
      <c r="GM120" s="154"/>
      <c r="GN120" s="154"/>
      <c r="GO120" s="154"/>
      <c r="GP120" s="154"/>
      <c r="GQ120" s="154"/>
      <c r="GR120" s="154"/>
      <c r="GS120" s="154"/>
      <c r="GT120" s="154"/>
      <c r="GU120" s="154"/>
      <c r="GV120" s="154"/>
      <c r="GW120" s="154"/>
      <c r="GX120" s="154"/>
    </row>
    <row r="121" spans="7:206">
      <c r="G121" s="154"/>
      <c r="H121" s="154"/>
      <c r="I121" s="154"/>
      <c r="J121" s="154"/>
      <c r="K121" s="154"/>
      <c r="L121" s="154"/>
      <c r="M121" s="154"/>
      <c r="N121" s="154"/>
      <c r="O121" s="154"/>
      <c r="P121" s="154"/>
      <c r="Q121" s="154"/>
      <c r="R121" s="154"/>
      <c r="S121" s="154"/>
      <c r="T121" s="154"/>
      <c r="U121" s="154"/>
      <c r="V121" s="154"/>
      <c r="W121" s="154"/>
      <c r="X121" s="154"/>
      <c r="Y121" s="154"/>
      <c r="Z121" s="357"/>
      <c r="AA121" s="357"/>
      <c r="AB121" s="357"/>
      <c r="AC121" s="357"/>
      <c r="AD121" s="357"/>
      <c r="AE121" s="357"/>
      <c r="AF121" s="357"/>
      <c r="AG121" s="357"/>
      <c r="AH121" s="357"/>
      <c r="AI121" s="357"/>
      <c r="AJ121" s="357"/>
      <c r="AK121" s="357"/>
      <c r="AL121" s="357"/>
      <c r="AM121" s="357"/>
      <c r="AN121" s="357"/>
      <c r="AO121" s="357"/>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357"/>
      <c r="BM121" s="357"/>
      <c r="BN121" s="357"/>
      <c r="BO121" s="357"/>
      <c r="BP121" s="357"/>
      <c r="BQ121" s="357"/>
      <c r="BR121" s="357"/>
      <c r="BS121" s="357"/>
      <c r="BT121" s="357"/>
      <c r="BU121" s="357"/>
      <c r="BV121" s="357"/>
      <c r="BW121" s="357"/>
      <c r="BX121" s="357"/>
      <c r="BY121" s="357"/>
      <c r="BZ121" s="357"/>
      <c r="CA121" s="357"/>
      <c r="CB121" s="357"/>
      <c r="CC121" s="357"/>
      <c r="CD121" s="357"/>
      <c r="CE121" s="357"/>
      <c r="CF121" s="357"/>
      <c r="CG121" s="357"/>
      <c r="CH121" s="357"/>
      <c r="CI121" s="357"/>
      <c r="CJ121" s="357"/>
      <c r="CK121" s="357"/>
      <c r="CL121" s="357"/>
      <c r="CM121" s="357"/>
      <c r="CN121" s="357"/>
      <c r="CO121" s="357"/>
      <c r="CP121" s="357"/>
      <c r="CQ121" s="357"/>
      <c r="CR121" s="357"/>
      <c r="CS121" s="357"/>
      <c r="CT121" s="357"/>
      <c r="CU121" s="357"/>
      <c r="CV121" s="357"/>
      <c r="CW121" s="357"/>
      <c r="CX121" s="357"/>
      <c r="CY121" s="357"/>
      <c r="CZ121" s="357"/>
      <c r="DA121" s="357"/>
      <c r="DB121" s="357"/>
      <c r="DC121" s="357"/>
      <c r="DD121" s="357"/>
      <c r="DE121" s="357"/>
      <c r="DF121" s="357"/>
      <c r="DG121" s="357"/>
      <c r="DH121" s="357"/>
      <c r="DI121" s="357"/>
      <c r="DJ121" s="357"/>
      <c r="DK121" s="357"/>
      <c r="DL121" s="357"/>
      <c r="DM121" s="357"/>
      <c r="DN121" s="357"/>
      <c r="DO121" s="357"/>
      <c r="DP121" s="357"/>
      <c r="DQ121" s="357"/>
      <c r="DR121" s="357"/>
      <c r="DS121" s="357"/>
      <c r="DT121" s="357"/>
      <c r="DU121" s="357"/>
      <c r="DV121" s="357"/>
      <c r="DW121" s="357"/>
      <c r="DX121" s="357"/>
      <c r="DY121" s="357"/>
      <c r="DZ121" s="357"/>
      <c r="EA121" s="357"/>
      <c r="EB121" s="357"/>
      <c r="EC121" s="357"/>
      <c r="ED121" s="357"/>
      <c r="EE121" s="357"/>
      <c r="EF121" s="357"/>
      <c r="EG121" s="357"/>
      <c r="EH121" s="357"/>
      <c r="EI121" s="357"/>
      <c r="EJ121" s="357"/>
      <c r="EK121" s="357"/>
      <c r="EL121" s="357"/>
      <c r="EM121" s="357"/>
      <c r="EN121" s="357"/>
      <c r="EO121" s="357"/>
      <c r="EP121" s="357"/>
      <c r="EQ121" s="357"/>
      <c r="ER121" s="357"/>
      <c r="ES121" s="357"/>
      <c r="ET121" s="357"/>
      <c r="EU121" s="357"/>
      <c r="EV121" s="357"/>
      <c r="EW121" s="357"/>
      <c r="EX121" s="357"/>
      <c r="EY121" s="357"/>
      <c r="EZ121" s="357"/>
      <c r="FA121" s="357"/>
      <c r="FB121" s="357"/>
      <c r="FC121" s="357"/>
      <c r="FD121" s="357"/>
      <c r="FE121" s="357"/>
      <c r="FF121" s="357"/>
      <c r="FG121" s="357"/>
      <c r="FH121" s="357"/>
      <c r="FI121" s="357"/>
      <c r="FJ121" s="357"/>
      <c r="FK121" s="357"/>
      <c r="FL121" s="357"/>
      <c r="FM121" s="357"/>
      <c r="FN121" s="357"/>
      <c r="FO121" s="357"/>
      <c r="FP121" s="357"/>
      <c r="FQ121" s="357"/>
      <c r="FR121" s="357"/>
      <c r="FS121" s="357"/>
      <c r="FT121" s="357"/>
      <c r="FU121" s="357"/>
      <c r="FV121" s="357"/>
      <c r="FW121" s="357"/>
      <c r="FX121" s="357"/>
      <c r="FY121" s="357"/>
      <c r="FZ121" s="357"/>
      <c r="GA121" s="357"/>
      <c r="GB121" s="357"/>
      <c r="GC121" s="357"/>
      <c r="GD121" s="357"/>
      <c r="GE121" s="357"/>
      <c r="GF121" s="357"/>
      <c r="GG121" s="357"/>
      <c r="GH121" s="357"/>
      <c r="GI121" s="357"/>
      <c r="GJ121" s="357"/>
      <c r="GK121" s="154"/>
      <c r="GL121" s="154"/>
      <c r="GM121" s="154"/>
      <c r="GN121" s="154"/>
      <c r="GO121" s="154"/>
      <c r="GP121" s="154"/>
      <c r="GQ121" s="154"/>
      <c r="GR121" s="154"/>
      <c r="GS121" s="154"/>
      <c r="GT121" s="154"/>
      <c r="GU121" s="154"/>
      <c r="GV121" s="154"/>
      <c r="GW121" s="154"/>
      <c r="GX121" s="154"/>
    </row>
    <row r="122" spans="7:206">
      <c r="G122" s="154"/>
      <c r="H122" s="154"/>
      <c r="I122" s="154"/>
      <c r="J122" s="154"/>
      <c r="K122" s="154"/>
      <c r="L122" s="154"/>
      <c r="M122" s="154"/>
      <c r="N122" s="154"/>
      <c r="O122" s="154"/>
      <c r="P122" s="154"/>
      <c r="Q122" s="154"/>
      <c r="R122" s="154"/>
      <c r="S122" s="154"/>
      <c r="T122" s="154"/>
      <c r="U122" s="154"/>
      <c r="V122" s="154"/>
      <c r="W122" s="154"/>
      <c r="X122" s="154"/>
      <c r="Y122" s="154"/>
      <c r="Z122" s="357"/>
      <c r="AA122" s="357"/>
      <c r="AB122" s="357"/>
      <c r="AC122" s="357"/>
      <c r="AD122" s="357"/>
      <c r="AE122" s="357"/>
      <c r="AF122" s="357"/>
      <c r="AG122" s="357"/>
      <c r="AH122" s="357"/>
      <c r="AI122" s="357"/>
      <c r="AJ122" s="357"/>
      <c r="AK122" s="357"/>
      <c r="AL122" s="357"/>
      <c r="AM122" s="357"/>
      <c r="AN122" s="357"/>
      <c r="AO122" s="357"/>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357"/>
      <c r="BM122" s="357"/>
      <c r="BN122" s="357"/>
      <c r="BO122" s="357"/>
      <c r="BP122" s="357"/>
      <c r="BQ122" s="357"/>
      <c r="BR122" s="357"/>
      <c r="BS122" s="357"/>
      <c r="BT122" s="357"/>
      <c r="BU122" s="357"/>
      <c r="BV122" s="357"/>
      <c r="BW122" s="357"/>
      <c r="BX122" s="357"/>
      <c r="BY122" s="357"/>
      <c r="BZ122" s="357"/>
      <c r="CA122" s="357"/>
      <c r="CB122" s="357"/>
      <c r="CC122" s="357"/>
      <c r="CD122" s="357"/>
      <c r="CE122" s="357"/>
      <c r="CF122" s="357"/>
      <c r="CG122" s="357"/>
      <c r="CH122" s="357"/>
      <c r="CI122" s="357"/>
      <c r="CJ122" s="357"/>
      <c r="CK122" s="357"/>
      <c r="CL122" s="357"/>
      <c r="CM122" s="357"/>
      <c r="CN122" s="357"/>
      <c r="CO122" s="357"/>
      <c r="CP122" s="357"/>
      <c r="CQ122" s="357"/>
      <c r="CR122" s="357"/>
      <c r="CS122" s="357"/>
      <c r="CT122" s="357"/>
      <c r="CU122" s="357"/>
      <c r="CV122" s="357"/>
      <c r="CW122" s="357"/>
      <c r="CX122" s="357"/>
      <c r="CY122" s="357"/>
      <c r="CZ122" s="357"/>
      <c r="DA122" s="357"/>
      <c r="DB122" s="357"/>
      <c r="DC122" s="357"/>
      <c r="DD122" s="357"/>
      <c r="DE122" s="357"/>
      <c r="DF122" s="357"/>
      <c r="DG122" s="357"/>
      <c r="DH122" s="357"/>
      <c r="DI122" s="357"/>
      <c r="DJ122" s="357"/>
      <c r="DK122" s="357"/>
      <c r="DL122" s="357"/>
      <c r="DM122" s="357"/>
      <c r="DN122" s="357"/>
      <c r="DO122" s="357"/>
      <c r="DP122" s="357"/>
      <c r="DQ122" s="357"/>
      <c r="DR122" s="357"/>
      <c r="DS122" s="357"/>
      <c r="DT122" s="357"/>
      <c r="DU122" s="357"/>
      <c r="DV122" s="357"/>
      <c r="DW122" s="357"/>
      <c r="DX122" s="357"/>
      <c r="DY122" s="357"/>
      <c r="DZ122" s="357"/>
      <c r="EA122" s="357"/>
      <c r="EB122" s="357"/>
      <c r="EC122" s="357"/>
      <c r="ED122" s="357"/>
      <c r="EE122" s="357"/>
      <c r="EF122" s="357"/>
      <c r="EG122" s="357"/>
      <c r="EH122" s="357"/>
      <c r="EI122" s="357"/>
      <c r="EJ122" s="357"/>
      <c r="EK122" s="357"/>
      <c r="EL122" s="357"/>
      <c r="EM122" s="357"/>
      <c r="EN122" s="357"/>
      <c r="EO122" s="357"/>
      <c r="EP122" s="357"/>
      <c r="EQ122" s="357"/>
      <c r="ER122" s="357"/>
      <c r="ES122" s="357"/>
      <c r="ET122" s="357"/>
      <c r="EU122" s="357"/>
      <c r="EV122" s="357"/>
      <c r="EW122" s="357"/>
      <c r="EX122" s="357"/>
      <c r="EY122" s="357"/>
      <c r="EZ122" s="357"/>
      <c r="FA122" s="357"/>
      <c r="FB122" s="357"/>
      <c r="FC122" s="357"/>
      <c r="FD122" s="357"/>
      <c r="FE122" s="357"/>
      <c r="FF122" s="357"/>
      <c r="FG122" s="357"/>
      <c r="FH122" s="357"/>
      <c r="FI122" s="357"/>
      <c r="FJ122" s="357"/>
      <c r="FK122" s="357"/>
      <c r="FL122" s="357"/>
      <c r="FM122" s="357"/>
      <c r="FN122" s="357"/>
      <c r="FO122" s="357"/>
      <c r="FP122" s="357"/>
      <c r="FQ122" s="357"/>
      <c r="FR122" s="357"/>
      <c r="FS122" s="357"/>
      <c r="FT122" s="357"/>
      <c r="FU122" s="357"/>
      <c r="FV122" s="357"/>
      <c r="FW122" s="357"/>
      <c r="FX122" s="357"/>
      <c r="FY122" s="357"/>
      <c r="FZ122" s="357"/>
      <c r="GA122" s="357"/>
      <c r="GB122" s="357"/>
      <c r="GC122" s="357"/>
      <c r="GD122" s="357"/>
      <c r="GE122" s="357"/>
      <c r="GF122" s="357"/>
      <c r="GG122" s="357"/>
      <c r="GH122" s="357"/>
      <c r="GI122" s="357"/>
      <c r="GJ122" s="357"/>
      <c r="GK122" s="154"/>
      <c r="GL122" s="154"/>
      <c r="GM122" s="154"/>
      <c r="GN122" s="154"/>
      <c r="GO122" s="154"/>
      <c r="GP122" s="154"/>
      <c r="GQ122" s="154"/>
      <c r="GR122" s="154"/>
      <c r="GS122" s="154"/>
      <c r="GT122" s="154"/>
      <c r="GU122" s="154"/>
      <c r="GV122" s="154"/>
      <c r="GW122" s="154"/>
      <c r="GX122" s="154"/>
    </row>
    <row r="123" spans="7:206">
      <c r="G123" s="154"/>
      <c r="H123" s="154"/>
      <c r="I123" s="154"/>
      <c r="J123" s="154"/>
      <c r="K123" s="154"/>
      <c r="L123" s="154"/>
      <c r="M123" s="154"/>
      <c r="N123" s="154"/>
      <c r="O123" s="154"/>
      <c r="P123" s="154"/>
      <c r="Q123" s="154"/>
      <c r="R123" s="154"/>
      <c r="S123" s="154"/>
      <c r="T123" s="154"/>
      <c r="U123" s="154"/>
      <c r="V123" s="154"/>
      <c r="W123" s="154"/>
      <c r="X123" s="154"/>
      <c r="Y123" s="154"/>
      <c r="Z123" s="357"/>
      <c r="AA123" s="357"/>
      <c r="AB123" s="357"/>
      <c r="AC123" s="357"/>
      <c r="AD123" s="357"/>
      <c r="AE123" s="357"/>
      <c r="AF123" s="357"/>
      <c r="AG123" s="357"/>
      <c r="AH123" s="357"/>
      <c r="AI123" s="357"/>
      <c r="AJ123" s="357"/>
      <c r="AK123" s="357"/>
      <c r="AL123" s="357"/>
      <c r="AM123" s="357"/>
      <c r="AN123" s="357"/>
      <c r="AO123" s="357"/>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357"/>
      <c r="BM123" s="357"/>
      <c r="BN123" s="357"/>
      <c r="BO123" s="357"/>
      <c r="BP123" s="357"/>
      <c r="BQ123" s="357"/>
      <c r="BR123" s="357"/>
      <c r="BS123" s="357"/>
      <c r="BT123" s="357"/>
      <c r="BU123" s="357"/>
      <c r="BV123" s="357"/>
      <c r="BW123" s="357"/>
      <c r="BX123" s="357"/>
      <c r="BY123" s="357"/>
      <c r="BZ123" s="357"/>
      <c r="CA123" s="357"/>
      <c r="CB123" s="357"/>
      <c r="CC123" s="357"/>
      <c r="CD123" s="357"/>
      <c r="CE123" s="357"/>
      <c r="CF123" s="357"/>
      <c r="CG123" s="357"/>
      <c r="CH123" s="357"/>
      <c r="CI123" s="357"/>
      <c r="CJ123" s="357"/>
      <c r="CK123" s="357"/>
      <c r="CL123" s="357"/>
      <c r="CM123" s="357"/>
      <c r="CN123" s="357"/>
      <c r="CO123" s="357"/>
      <c r="CP123" s="357"/>
      <c r="CQ123" s="357"/>
      <c r="CR123" s="357"/>
      <c r="CS123" s="357"/>
      <c r="CT123" s="357"/>
      <c r="CU123" s="357"/>
      <c r="CV123" s="357"/>
      <c r="CW123" s="357"/>
      <c r="CX123" s="357"/>
      <c r="CY123" s="357"/>
      <c r="CZ123" s="357"/>
      <c r="DA123" s="357"/>
      <c r="DB123" s="357"/>
      <c r="DC123" s="357"/>
      <c r="DD123" s="357"/>
      <c r="DE123" s="357"/>
      <c r="DF123" s="357"/>
      <c r="DG123" s="357"/>
      <c r="DH123" s="357"/>
      <c r="DI123" s="357"/>
      <c r="DJ123" s="357"/>
      <c r="DK123" s="357"/>
      <c r="DL123" s="357"/>
      <c r="DM123" s="357"/>
      <c r="DN123" s="357"/>
      <c r="DO123" s="357"/>
      <c r="DP123" s="357"/>
      <c r="DQ123" s="357"/>
      <c r="DR123" s="357"/>
      <c r="DS123" s="357"/>
      <c r="DT123" s="357"/>
      <c r="DU123" s="357"/>
      <c r="DV123" s="357"/>
      <c r="DW123" s="357"/>
      <c r="DX123" s="357"/>
      <c r="DY123" s="357"/>
      <c r="DZ123" s="357"/>
      <c r="EA123" s="357"/>
      <c r="EB123" s="357"/>
      <c r="EC123" s="357"/>
      <c r="ED123" s="357"/>
      <c r="EE123" s="357"/>
      <c r="EF123" s="357"/>
      <c r="EG123" s="357"/>
      <c r="EH123" s="357"/>
      <c r="EI123" s="357"/>
      <c r="EJ123" s="357"/>
      <c r="EK123" s="357"/>
      <c r="EL123" s="357"/>
      <c r="EM123" s="357"/>
      <c r="EN123" s="357"/>
      <c r="EO123" s="357"/>
      <c r="EP123" s="357"/>
      <c r="EQ123" s="357"/>
      <c r="ER123" s="357"/>
      <c r="ES123" s="357"/>
      <c r="ET123" s="357"/>
      <c r="EU123" s="357"/>
      <c r="EV123" s="357"/>
      <c r="EW123" s="357"/>
      <c r="EX123" s="357"/>
      <c r="EY123" s="357"/>
      <c r="EZ123" s="357"/>
      <c r="FA123" s="357"/>
      <c r="FB123" s="357"/>
      <c r="FC123" s="357"/>
      <c r="FD123" s="357"/>
      <c r="FE123" s="357"/>
      <c r="FF123" s="357"/>
      <c r="FG123" s="357"/>
      <c r="FH123" s="357"/>
      <c r="FI123" s="357"/>
      <c r="FJ123" s="357"/>
      <c r="FK123" s="357"/>
      <c r="FL123" s="357"/>
      <c r="FM123" s="357"/>
      <c r="FN123" s="357"/>
      <c r="FO123" s="357"/>
      <c r="FP123" s="357"/>
      <c r="FQ123" s="357"/>
      <c r="FR123" s="357"/>
      <c r="FS123" s="357"/>
      <c r="FT123" s="357"/>
      <c r="FU123" s="357"/>
      <c r="FV123" s="357"/>
      <c r="FW123" s="357"/>
      <c r="FX123" s="357"/>
      <c r="FY123" s="357"/>
      <c r="FZ123" s="357"/>
      <c r="GA123" s="357"/>
      <c r="GB123" s="357"/>
      <c r="GC123" s="357"/>
      <c r="GD123" s="357"/>
      <c r="GE123" s="357"/>
      <c r="GF123" s="357"/>
      <c r="GG123" s="357"/>
      <c r="GH123" s="357"/>
      <c r="GI123" s="357"/>
      <c r="GJ123" s="357"/>
      <c r="GK123" s="154"/>
      <c r="GL123" s="154"/>
      <c r="GM123" s="154"/>
      <c r="GN123" s="154"/>
      <c r="GO123" s="154"/>
      <c r="GP123" s="154"/>
      <c r="GQ123" s="154"/>
      <c r="GR123" s="154"/>
      <c r="GS123" s="154"/>
      <c r="GT123" s="154"/>
      <c r="GU123" s="154"/>
      <c r="GV123" s="154"/>
      <c r="GW123" s="154"/>
      <c r="GX123" s="154"/>
    </row>
    <row r="124" spans="7:206">
      <c r="G124" s="154"/>
      <c r="H124" s="154"/>
      <c r="I124" s="154"/>
      <c r="J124" s="154"/>
      <c r="K124" s="154"/>
      <c r="L124" s="154"/>
      <c r="M124" s="154"/>
      <c r="N124" s="154"/>
      <c r="O124" s="154"/>
      <c r="P124" s="154"/>
      <c r="Q124" s="154"/>
      <c r="R124" s="154"/>
      <c r="S124" s="154"/>
      <c r="T124" s="154"/>
      <c r="U124" s="154"/>
      <c r="V124" s="154"/>
      <c r="W124" s="154"/>
      <c r="X124" s="154"/>
      <c r="Y124" s="154"/>
      <c r="Z124" s="357"/>
      <c r="AA124" s="357"/>
      <c r="AB124" s="357"/>
      <c r="AC124" s="357"/>
      <c r="AD124" s="357"/>
      <c r="AE124" s="357"/>
      <c r="AF124" s="357"/>
      <c r="AG124" s="357"/>
      <c r="AH124" s="357"/>
      <c r="AI124" s="357"/>
      <c r="AJ124" s="357"/>
      <c r="AK124" s="357"/>
      <c r="AL124" s="357"/>
      <c r="AM124" s="357"/>
      <c r="AN124" s="357"/>
      <c r="AO124" s="357"/>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357"/>
      <c r="BM124" s="357"/>
      <c r="BN124" s="357"/>
      <c r="BO124" s="357"/>
      <c r="BP124" s="357"/>
      <c r="BQ124" s="357"/>
      <c r="BR124" s="357"/>
      <c r="BS124" s="357"/>
      <c r="BT124" s="357"/>
      <c r="BU124" s="357"/>
      <c r="BV124" s="357"/>
      <c r="BW124" s="357"/>
      <c r="BX124" s="357"/>
      <c r="BY124" s="357"/>
      <c r="BZ124" s="357"/>
      <c r="CA124" s="357"/>
      <c r="CB124" s="357"/>
      <c r="CC124" s="357"/>
      <c r="CD124" s="357"/>
      <c r="CE124" s="357"/>
      <c r="CF124" s="357"/>
      <c r="CG124" s="357"/>
      <c r="CH124" s="357"/>
      <c r="CI124" s="357"/>
      <c r="CJ124" s="357"/>
      <c r="CK124" s="357"/>
      <c r="CL124" s="357"/>
      <c r="CM124" s="357"/>
      <c r="CN124" s="357"/>
      <c r="CO124" s="357"/>
      <c r="CP124" s="357"/>
      <c r="CQ124" s="357"/>
      <c r="CR124" s="357"/>
      <c r="CS124" s="357"/>
      <c r="CT124" s="357"/>
      <c r="CU124" s="357"/>
      <c r="CV124" s="357"/>
      <c r="CW124" s="357"/>
      <c r="CX124" s="357"/>
      <c r="CY124" s="357"/>
      <c r="CZ124" s="357"/>
      <c r="DA124" s="357"/>
      <c r="DB124" s="357"/>
      <c r="DC124" s="357"/>
      <c r="DD124" s="357"/>
      <c r="DE124" s="357"/>
      <c r="DF124" s="357"/>
      <c r="DG124" s="357"/>
      <c r="DH124" s="357"/>
      <c r="DI124" s="357"/>
      <c r="DJ124" s="357"/>
      <c r="DK124" s="357"/>
      <c r="DL124" s="357"/>
      <c r="DM124" s="357"/>
      <c r="DN124" s="357"/>
      <c r="DO124" s="357"/>
      <c r="DP124" s="357"/>
      <c r="DQ124" s="357"/>
      <c r="DR124" s="357"/>
      <c r="DS124" s="357"/>
      <c r="DT124" s="357"/>
      <c r="DU124" s="357"/>
      <c r="DV124" s="357"/>
      <c r="DW124" s="357"/>
      <c r="DX124" s="357"/>
      <c r="DY124" s="357"/>
      <c r="DZ124" s="357"/>
      <c r="EA124" s="357"/>
      <c r="EB124" s="357"/>
      <c r="EC124" s="357"/>
      <c r="ED124" s="357"/>
      <c r="EE124" s="357"/>
      <c r="EF124" s="357"/>
      <c r="EG124" s="357"/>
      <c r="EH124" s="357"/>
      <c r="EI124" s="357"/>
      <c r="EJ124" s="357"/>
      <c r="EK124" s="357"/>
      <c r="EL124" s="357"/>
      <c r="EM124" s="357"/>
      <c r="EN124" s="357"/>
      <c r="EO124" s="357"/>
      <c r="EP124" s="357"/>
      <c r="EQ124" s="357"/>
      <c r="ER124" s="357"/>
      <c r="ES124" s="357"/>
      <c r="ET124" s="357"/>
      <c r="EU124" s="357"/>
      <c r="EV124" s="357"/>
      <c r="EW124" s="357"/>
      <c r="EX124" s="357"/>
      <c r="EY124" s="357"/>
      <c r="EZ124" s="357"/>
      <c r="FA124" s="357"/>
      <c r="FB124" s="357"/>
      <c r="FC124" s="357"/>
      <c r="FD124" s="357"/>
      <c r="FE124" s="357"/>
      <c r="FF124" s="357"/>
      <c r="FG124" s="357"/>
      <c r="FH124" s="357"/>
      <c r="FI124" s="357"/>
      <c r="FJ124" s="357"/>
      <c r="FK124" s="357"/>
      <c r="FL124" s="357"/>
      <c r="FM124" s="357"/>
      <c r="FN124" s="357"/>
      <c r="FO124" s="357"/>
      <c r="FP124" s="357"/>
      <c r="FQ124" s="357"/>
      <c r="FR124" s="357"/>
      <c r="FS124" s="357"/>
      <c r="FT124" s="357"/>
      <c r="FU124" s="357"/>
      <c r="FV124" s="357"/>
      <c r="FW124" s="357"/>
      <c r="FX124" s="357"/>
      <c r="FY124" s="357"/>
      <c r="FZ124" s="357"/>
      <c r="GA124" s="357"/>
      <c r="GB124" s="357"/>
      <c r="GC124" s="357"/>
      <c r="GD124" s="357"/>
      <c r="GE124" s="357"/>
      <c r="GF124" s="357"/>
      <c r="GG124" s="357"/>
      <c r="GH124" s="357"/>
      <c r="GI124" s="357"/>
      <c r="GJ124" s="357"/>
      <c r="GK124" s="154"/>
      <c r="GL124" s="154"/>
      <c r="GM124" s="154"/>
      <c r="GN124" s="154"/>
      <c r="GO124" s="154"/>
      <c r="GP124" s="154"/>
      <c r="GQ124" s="154"/>
      <c r="GR124" s="154"/>
      <c r="GS124" s="154"/>
      <c r="GT124" s="154"/>
      <c r="GU124" s="154"/>
      <c r="GV124" s="154"/>
      <c r="GW124" s="154"/>
      <c r="GX124" s="154"/>
    </row>
    <row r="125" spans="7:206">
      <c r="G125" s="154"/>
      <c r="H125" s="154"/>
      <c r="I125" s="154"/>
      <c r="J125" s="154"/>
      <c r="K125" s="154"/>
      <c r="L125" s="154"/>
      <c r="M125" s="154"/>
      <c r="N125" s="154"/>
      <c r="O125" s="154"/>
      <c r="P125" s="154"/>
      <c r="Q125" s="154"/>
      <c r="R125" s="154"/>
      <c r="S125" s="154"/>
      <c r="T125" s="154"/>
      <c r="U125" s="154"/>
      <c r="V125" s="154"/>
      <c r="W125" s="154"/>
      <c r="X125" s="154"/>
      <c r="Y125" s="154"/>
      <c r="Z125" s="357"/>
      <c r="AA125" s="357"/>
      <c r="AB125" s="357"/>
      <c r="AC125" s="357"/>
      <c r="AD125" s="357"/>
      <c r="AE125" s="357"/>
      <c r="AF125" s="357"/>
      <c r="AG125" s="357"/>
      <c r="AH125" s="357"/>
      <c r="AI125" s="357"/>
      <c r="AJ125" s="357"/>
      <c r="AK125" s="357"/>
      <c r="AL125" s="357"/>
      <c r="AM125" s="357"/>
      <c r="AN125" s="357"/>
      <c r="AO125" s="357"/>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357"/>
      <c r="BM125" s="357"/>
      <c r="BN125" s="357"/>
      <c r="BO125" s="357"/>
      <c r="BP125" s="357"/>
      <c r="BQ125" s="357"/>
      <c r="BR125" s="357"/>
      <c r="BS125" s="357"/>
      <c r="BT125" s="357"/>
      <c r="BU125" s="357"/>
      <c r="BV125" s="357"/>
      <c r="BW125" s="357"/>
      <c r="BX125" s="357"/>
      <c r="BY125" s="357"/>
      <c r="BZ125" s="357"/>
      <c r="CA125" s="357"/>
      <c r="CB125" s="357"/>
      <c r="CC125" s="357"/>
      <c r="CD125" s="357"/>
      <c r="CE125" s="357"/>
      <c r="CF125" s="357"/>
      <c r="CG125" s="357"/>
      <c r="CH125" s="357"/>
      <c r="CI125" s="357"/>
      <c r="CJ125" s="357"/>
      <c r="CK125" s="357"/>
      <c r="CL125" s="357"/>
      <c r="CM125" s="357"/>
      <c r="CN125" s="357"/>
      <c r="CO125" s="357"/>
      <c r="CP125" s="357"/>
      <c r="CQ125" s="357"/>
      <c r="CR125" s="357"/>
      <c r="CS125" s="357"/>
      <c r="CT125" s="357"/>
      <c r="CU125" s="357"/>
      <c r="CV125" s="357"/>
      <c r="CW125" s="357"/>
      <c r="CX125" s="357"/>
      <c r="CY125" s="357"/>
      <c r="CZ125" s="357"/>
      <c r="DA125" s="357"/>
      <c r="DB125" s="357"/>
      <c r="DC125" s="357"/>
      <c r="DD125" s="357"/>
      <c r="DE125" s="357"/>
      <c r="DF125" s="357"/>
      <c r="DG125" s="357"/>
      <c r="DH125" s="357"/>
      <c r="DI125" s="357"/>
      <c r="DJ125" s="357"/>
      <c r="DK125" s="357"/>
      <c r="DL125" s="357"/>
      <c r="DM125" s="357"/>
      <c r="DN125" s="357"/>
      <c r="DO125" s="357"/>
      <c r="DP125" s="357"/>
      <c r="DQ125" s="357"/>
      <c r="DR125" s="357"/>
      <c r="DS125" s="357"/>
      <c r="DT125" s="357"/>
      <c r="DU125" s="357"/>
      <c r="DV125" s="357"/>
      <c r="DW125" s="357"/>
      <c r="DX125" s="357"/>
      <c r="DY125" s="357"/>
      <c r="DZ125" s="357"/>
      <c r="EA125" s="357"/>
      <c r="EB125" s="357"/>
      <c r="EC125" s="357"/>
      <c r="ED125" s="357"/>
      <c r="EE125" s="357"/>
      <c r="EF125" s="357"/>
      <c r="EG125" s="357"/>
      <c r="EH125" s="357"/>
      <c r="EI125" s="357"/>
      <c r="EJ125" s="357"/>
      <c r="EK125" s="357"/>
      <c r="EL125" s="357"/>
      <c r="EM125" s="357"/>
      <c r="EN125" s="357"/>
      <c r="EO125" s="357"/>
      <c r="EP125" s="357"/>
      <c r="EQ125" s="357"/>
      <c r="ER125" s="357"/>
      <c r="ES125" s="357"/>
      <c r="ET125" s="357"/>
      <c r="EU125" s="357"/>
      <c r="EV125" s="357"/>
      <c r="EW125" s="357"/>
      <c r="EX125" s="357"/>
      <c r="EY125" s="357"/>
      <c r="EZ125" s="357"/>
      <c r="FA125" s="357"/>
      <c r="FB125" s="357"/>
      <c r="FC125" s="357"/>
      <c r="FD125" s="357"/>
      <c r="FE125" s="357"/>
      <c r="FF125" s="357"/>
      <c r="FG125" s="357"/>
      <c r="FH125" s="357"/>
      <c r="FI125" s="357"/>
      <c r="FJ125" s="357"/>
      <c r="FK125" s="357"/>
      <c r="FL125" s="357"/>
      <c r="FM125" s="357"/>
      <c r="FN125" s="357"/>
      <c r="FO125" s="357"/>
      <c r="FP125" s="357"/>
      <c r="FQ125" s="357"/>
      <c r="FR125" s="357"/>
      <c r="FS125" s="357"/>
      <c r="FT125" s="357"/>
      <c r="FU125" s="357"/>
      <c r="FV125" s="357"/>
      <c r="FW125" s="357"/>
      <c r="FX125" s="357"/>
      <c r="FY125" s="357"/>
      <c r="FZ125" s="357"/>
      <c r="GA125" s="357"/>
      <c r="GB125" s="357"/>
      <c r="GC125" s="357"/>
      <c r="GD125" s="357"/>
      <c r="GE125" s="357"/>
      <c r="GF125" s="357"/>
      <c r="GG125" s="357"/>
      <c r="GH125" s="357"/>
      <c r="GI125" s="357"/>
      <c r="GJ125" s="357"/>
      <c r="GK125" s="154"/>
      <c r="GL125" s="154"/>
      <c r="GM125" s="154"/>
      <c r="GN125" s="154"/>
      <c r="GO125" s="154"/>
      <c r="GP125" s="154"/>
      <c r="GQ125" s="154"/>
      <c r="GR125" s="154"/>
      <c r="GS125" s="154"/>
      <c r="GT125" s="154"/>
      <c r="GU125" s="154"/>
      <c r="GV125" s="154"/>
      <c r="GW125" s="154"/>
      <c r="GX125" s="154"/>
    </row>
    <row r="126" spans="7:206">
      <c r="G126" s="154"/>
      <c r="H126" s="154"/>
      <c r="I126" s="154"/>
      <c r="J126" s="154"/>
      <c r="K126" s="154"/>
      <c r="L126" s="154"/>
      <c r="M126" s="154"/>
      <c r="N126" s="154"/>
      <c r="O126" s="154"/>
      <c r="P126" s="154"/>
      <c r="Q126" s="154"/>
      <c r="R126" s="154"/>
      <c r="S126" s="154"/>
      <c r="T126" s="154"/>
      <c r="U126" s="154"/>
      <c r="V126" s="154"/>
      <c r="W126" s="154"/>
      <c r="X126" s="154"/>
      <c r="Y126" s="154"/>
      <c r="Z126" s="357"/>
      <c r="AA126" s="357"/>
      <c r="AB126" s="357"/>
      <c r="AC126" s="357"/>
      <c r="AD126" s="357"/>
      <c r="AE126" s="357"/>
      <c r="AF126" s="357"/>
      <c r="AG126" s="357"/>
      <c r="AH126" s="357"/>
      <c r="AI126" s="357"/>
      <c r="AJ126" s="357"/>
      <c r="AK126" s="357"/>
      <c r="AL126" s="357"/>
      <c r="AM126" s="357"/>
      <c r="AN126" s="357"/>
      <c r="AO126" s="357"/>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357"/>
      <c r="BM126" s="357"/>
      <c r="BN126" s="357"/>
      <c r="BO126" s="357"/>
      <c r="BP126" s="357"/>
      <c r="BQ126" s="357"/>
      <c r="BR126" s="357"/>
      <c r="BS126" s="357"/>
      <c r="BT126" s="357"/>
      <c r="BU126" s="357"/>
      <c r="BV126" s="357"/>
      <c r="BW126" s="357"/>
      <c r="BX126" s="357"/>
      <c r="BY126" s="357"/>
      <c r="BZ126" s="357"/>
      <c r="CA126" s="357"/>
      <c r="CB126" s="357"/>
      <c r="CC126" s="357"/>
      <c r="CD126" s="357"/>
      <c r="CE126" s="357"/>
      <c r="CF126" s="357"/>
      <c r="CG126" s="357"/>
      <c r="CH126" s="357"/>
      <c r="CI126" s="357"/>
      <c r="CJ126" s="357"/>
      <c r="CK126" s="357"/>
      <c r="CL126" s="357"/>
      <c r="CM126" s="357"/>
      <c r="CN126" s="357"/>
      <c r="CO126" s="357"/>
      <c r="CP126" s="357"/>
      <c r="CQ126" s="357"/>
      <c r="CR126" s="357"/>
      <c r="CS126" s="357"/>
      <c r="CT126" s="357"/>
      <c r="CU126" s="357"/>
      <c r="CV126" s="357"/>
      <c r="CW126" s="357"/>
      <c r="CX126" s="357"/>
      <c r="CY126" s="357"/>
      <c r="CZ126" s="357"/>
      <c r="DA126" s="357"/>
      <c r="DB126" s="357"/>
      <c r="DC126" s="357"/>
      <c r="DD126" s="357"/>
      <c r="DE126" s="357"/>
      <c r="DF126" s="357"/>
      <c r="DG126" s="357"/>
      <c r="DH126" s="357"/>
      <c r="DI126" s="357"/>
      <c r="DJ126" s="357"/>
      <c r="DK126" s="357"/>
      <c r="DL126" s="357"/>
      <c r="DM126" s="357"/>
      <c r="DN126" s="357"/>
      <c r="DO126" s="357"/>
      <c r="DP126" s="357"/>
      <c r="DQ126" s="357"/>
      <c r="DR126" s="357"/>
      <c r="DS126" s="357"/>
      <c r="DT126" s="357"/>
      <c r="DU126" s="357"/>
      <c r="DV126" s="357"/>
      <c r="DW126" s="357"/>
      <c r="DX126" s="357"/>
      <c r="DY126" s="357"/>
      <c r="DZ126" s="357"/>
      <c r="EA126" s="357"/>
      <c r="EB126" s="357"/>
      <c r="EC126" s="357"/>
      <c r="ED126" s="357"/>
      <c r="EE126" s="357"/>
      <c r="EF126" s="357"/>
      <c r="EG126" s="357"/>
      <c r="EH126" s="357"/>
      <c r="EI126" s="357"/>
      <c r="EJ126" s="357"/>
      <c r="EK126" s="357"/>
      <c r="EL126" s="357"/>
      <c r="EM126" s="357"/>
      <c r="EN126" s="357"/>
      <c r="EO126" s="357"/>
      <c r="EP126" s="357"/>
      <c r="EQ126" s="357"/>
      <c r="ER126" s="357"/>
      <c r="ES126" s="357"/>
      <c r="ET126" s="357"/>
      <c r="EU126" s="357"/>
      <c r="EV126" s="357"/>
      <c r="EW126" s="357"/>
      <c r="EX126" s="357"/>
      <c r="EY126" s="357"/>
      <c r="EZ126" s="357"/>
      <c r="FA126" s="357"/>
      <c r="FB126" s="357"/>
      <c r="FC126" s="357"/>
      <c r="FD126" s="357"/>
      <c r="FE126" s="357"/>
      <c r="FF126" s="357"/>
      <c r="FG126" s="357"/>
      <c r="FH126" s="357"/>
      <c r="FI126" s="357"/>
      <c r="FJ126" s="357"/>
      <c r="FK126" s="357"/>
      <c r="FL126" s="357"/>
      <c r="FM126" s="357"/>
      <c r="FN126" s="357"/>
      <c r="FO126" s="357"/>
      <c r="FP126" s="357"/>
      <c r="FQ126" s="357"/>
      <c r="FR126" s="357"/>
      <c r="FS126" s="357"/>
      <c r="FT126" s="357"/>
      <c r="FU126" s="357"/>
      <c r="FV126" s="357"/>
      <c r="FW126" s="357"/>
      <c r="FX126" s="357"/>
      <c r="FY126" s="357"/>
      <c r="FZ126" s="357"/>
      <c r="GA126" s="357"/>
      <c r="GB126" s="357"/>
      <c r="GC126" s="357"/>
      <c r="GD126" s="357"/>
      <c r="GE126" s="357"/>
      <c r="GF126" s="357"/>
      <c r="GG126" s="357"/>
      <c r="GH126" s="357"/>
      <c r="GI126" s="357"/>
      <c r="GJ126" s="357"/>
      <c r="GK126" s="154"/>
      <c r="GL126" s="154"/>
      <c r="GM126" s="154"/>
      <c r="GN126" s="154"/>
      <c r="GO126" s="154"/>
      <c r="GP126" s="154"/>
      <c r="GQ126" s="154"/>
      <c r="GR126" s="154"/>
      <c r="GS126" s="154"/>
      <c r="GT126" s="154"/>
      <c r="GU126" s="154"/>
      <c r="GV126" s="154"/>
      <c r="GW126" s="154"/>
      <c r="GX126" s="154"/>
    </row>
    <row r="127" spans="7:206">
      <c r="G127" s="154"/>
      <c r="H127" s="154"/>
      <c r="I127" s="154"/>
      <c r="J127" s="154"/>
      <c r="K127" s="154"/>
      <c r="L127" s="154"/>
      <c r="M127" s="154"/>
      <c r="N127" s="154"/>
      <c r="O127" s="154"/>
      <c r="P127" s="154"/>
      <c r="Q127" s="154"/>
      <c r="R127" s="154"/>
      <c r="S127" s="154"/>
      <c r="T127" s="154"/>
      <c r="U127" s="154"/>
      <c r="V127" s="154"/>
      <c r="W127" s="154"/>
      <c r="X127" s="154"/>
      <c r="Y127" s="154"/>
      <c r="Z127" s="357"/>
      <c r="AA127" s="357"/>
      <c r="AB127" s="357"/>
      <c r="AC127" s="357"/>
      <c r="AD127" s="357"/>
      <c r="AE127" s="357"/>
      <c r="AF127" s="357"/>
      <c r="AG127" s="357"/>
      <c r="AH127" s="357"/>
      <c r="AI127" s="357"/>
      <c r="AJ127" s="357"/>
      <c r="AK127" s="357"/>
      <c r="AL127" s="357"/>
      <c r="AM127" s="357"/>
      <c r="AN127" s="357"/>
      <c r="AO127" s="357"/>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357"/>
      <c r="BM127" s="357"/>
      <c r="BN127" s="357"/>
      <c r="BO127" s="357"/>
      <c r="BP127" s="357"/>
      <c r="BQ127" s="357"/>
      <c r="BR127" s="357"/>
      <c r="BS127" s="357"/>
      <c r="BT127" s="357"/>
      <c r="BU127" s="357"/>
      <c r="BV127" s="357"/>
      <c r="BW127" s="357"/>
      <c r="BX127" s="357"/>
      <c r="BY127" s="357"/>
      <c r="BZ127" s="357"/>
      <c r="CA127" s="357"/>
      <c r="CB127" s="357"/>
      <c r="CC127" s="357"/>
      <c r="CD127" s="357"/>
      <c r="CE127" s="357"/>
      <c r="CF127" s="357"/>
      <c r="CG127" s="357"/>
      <c r="CH127" s="357"/>
      <c r="CI127" s="357"/>
      <c r="CJ127" s="357"/>
      <c r="CK127" s="357"/>
      <c r="CL127" s="357"/>
      <c r="CM127" s="357"/>
      <c r="CN127" s="357"/>
      <c r="CO127" s="357"/>
      <c r="CP127" s="357"/>
      <c r="CQ127" s="357"/>
      <c r="CR127" s="357"/>
      <c r="CS127" s="357"/>
      <c r="CT127" s="357"/>
      <c r="CU127" s="357"/>
      <c r="CV127" s="357"/>
      <c r="CW127" s="357"/>
      <c r="CX127" s="357"/>
      <c r="CY127" s="357"/>
      <c r="CZ127" s="357"/>
      <c r="DA127" s="357"/>
      <c r="DB127" s="357"/>
      <c r="DC127" s="357"/>
      <c r="DD127" s="357"/>
      <c r="DE127" s="357"/>
      <c r="DF127" s="357"/>
      <c r="DG127" s="357"/>
      <c r="DH127" s="357"/>
      <c r="DI127" s="357"/>
      <c r="DJ127" s="357"/>
      <c r="DK127" s="357"/>
      <c r="DL127" s="357"/>
      <c r="DM127" s="357"/>
      <c r="DN127" s="357"/>
      <c r="DO127" s="357"/>
      <c r="DP127" s="357"/>
      <c r="DQ127" s="357"/>
      <c r="DR127" s="357"/>
      <c r="DS127" s="357"/>
      <c r="DT127" s="357"/>
      <c r="DU127" s="357"/>
      <c r="DV127" s="357"/>
      <c r="DW127" s="357"/>
      <c r="DX127" s="357"/>
      <c r="DY127" s="357"/>
      <c r="DZ127" s="357"/>
      <c r="EA127" s="357"/>
      <c r="EB127" s="357"/>
      <c r="EC127" s="357"/>
      <c r="ED127" s="357"/>
      <c r="EE127" s="357"/>
      <c r="EF127" s="357"/>
      <c r="EG127" s="357"/>
      <c r="EH127" s="357"/>
      <c r="EI127" s="357"/>
      <c r="EJ127" s="357"/>
      <c r="EK127" s="357"/>
      <c r="EL127" s="357"/>
      <c r="EM127" s="357"/>
      <c r="EN127" s="357"/>
      <c r="EO127" s="357"/>
      <c r="EP127" s="357"/>
      <c r="EQ127" s="357"/>
      <c r="ER127" s="357"/>
      <c r="ES127" s="357"/>
      <c r="ET127" s="357"/>
      <c r="EU127" s="357"/>
      <c r="EV127" s="357"/>
      <c r="EW127" s="357"/>
      <c r="EX127" s="357"/>
      <c r="EY127" s="357"/>
      <c r="EZ127" s="357"/>
      <c r="FA127" s="357"/>
      <c r="FB127" s="357"/>
      <c r="FC127" s="357"/>
      <c r="FD127" s="357"/>
      <c r="FE127" s="357"/>
      <c r="FF127" s="357"/>
      <c r="FG127" s="357"/>
      <c r="FH127" s="357"/>
      <c r="FI127" s="357"/>
      <c r="FJ127" s="357"/>
      <c r="FK127" s="357"/>
      <c r="FL127" s="357"/>
      <c r="FM127" s="357"/>
      <c r="FN127" s="357"/>
      <c r="FO127" s="357"/>
      <c r="FP127" s="357"/>
      <c r="FQ127" s="357"/>
      <c r="FR127" s="357"/>
      <c r="FS127" s="357"/>
      <c r="FT127" s="357"/>
      <c r="FU127" s="357"/>
      <c r="FV127" s="357"/>
      <c r="FW127" s="357"/>
      <c r="FX127" s="357"/>
      <c r="FY127" s="357"/>
      <c r="FZ127" s="357"/>
      <c r="GA127" s="357"/>
      <c r="GB127" s="357"/>
      <c r="GC127" s="357"/>
      <c r="GD127" s="357"/>
      <c r="GE127" s="357"/>
      <c r="GF127" s="357"/>
      <c r="GG127" s="357"/>
      <c r="GH127" s="357"/>
      <c r="GI127" s="357"/>
      <c r="GJ127" s="357"/>
      <c r="GK127" s="154"/>
      <c r="GL127" s="154"/>
      <c r="GM127" s="154"/>
      <c r="GN127" s="154"/>
      <c r="GO127" s="154"/>
      <c r="GP127" s="154"/>
      <c r="GQ127" s="154"/>
      <c r="GR127" s="154"/>
      <c r="GS127" s="154"/>
      <c r="GT127" s="154"/>
      <c r="GU127" s="154"/>
      <c r="GV127" s="154"/>
      <c r="GW127" s="154"/>
      <c r="GX127" s="154"/>
    </row>
    <row r="128" spans="7:206">
      <c r="G128" s="154"/>
      <c r="H128" s="154"/>
      <c r="I128" s="154"/>
      <c r="J128" s="154"/>
      <c r="K128" s="154"/>
      <c r="L128" s="154"/>
      <c r="M128" s="154"/>
      <c r="N128" s="154"/>
      <c r="O128" s="154"/>
      <c r="P128" s="154"/>
      <c r="Q128" s="154"/>
      <c r="R128" s="154"/>
      <c r="S128" s="154"/>
      <c r="T128" s="154"/>
      <c r="U128" s="154"/>
      <c r="V128" s="154"/>
      <c r="W128" s="154"/>
      <c r="X128" s="154"/>
      <c r="Y128" s="154"/>
      <c r="Z128" s="357"/>
      <c r="AA128" s="357"/>
      <c r="AB128" s="357"/>
      <c r="AC128" s="357"/>
      <c r="AD128" s="357"/>
      <c r="AE128" s="357"/>
      <c r="AF128" s="357"/>
      <c r="AG128" s="357"/>
      <c r="AH128" s="357"/>
      <c r="AI128" s="357"/>
      <c r="AJ128" s="357"/>
      <c r="AK128" s="357"/>
      <c r="AL128" s="357"/>
      <c r="AM128" s="357"/>
      <c r="AN128" s="357"/>
      <c r="AO128" s="357"/>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357"/>
      <c r="BM128" s="357"/>
      <c r="BN128" s="357"/>
      <c r="BO128" s="357"/>
      <c r="BP128" s="357"/>
      <c r="BQ128" s="357"/>
      <c r="BR128" s="357"/>
      <c r="BS128" s="357"/>
      <c r="BT128" s="357"/>
      <c r="BU128" s="357"/>
      <c r="BV128" s="357"/>
      <c r="BW128" s="357"/>
      <c r="BX128" s="357"/>
      <c r="BY128" s="357"/>
      <c r="BZ128" s="357"/>
      <c r="CA128" s="357"/>
      <c r="CB128" s="357"/>
      <c r="CC128" s="357"/>
      <c r="CD128" s="357"/>
      <c r="CE128" s="357"/>
      <c r="CF128" s="357"/>
      <c r="CG128" s="357"/>
      <c r="CH128" s="357"/>
      <c r="CI128" s="357"/>
      <c r="CJ128" s="357"/>
      <c r="CK128" s="357"/>
      <c r="CL128" s="357"/>
      <c r="CM128" s="357"/>
      <c r="CN128" s="357"/>
      <c r="CO128" s="357"/>
      <c r="CP128" s="357"/>
      <c r="CQ128" s="357"/>
      <c r="CR128" s="357"/>
      <c r="CS128" s="357"/>
      <c r="CT128" s="357"/>
      <c r="CU128" s="357"/>
      <c r="CV128" s="357"/>
      <c r="CW128" s="357"/>
      <c r="CX128" s="357"/>
      <c r="CY128" s="357"/>
      <c r="CZ128" s="357"/>
      <c r="DA128" s="357"/>
      <c r="DB128" s="357"/>
      <c r="DC128" s="357"/>
      <c r="DD128" s="357"/>
      <c r="DE128" s="357"/>
      <c r="DF128" s="357"/>
      <c r="DG128" s="357"/>
      <c r="DH128" s="357"/>
      <c r="DI128" s="357"/>
      <c r="DJ128" s="357"/>
      <c r="DK128" s="357"/>
      <c r="DL128" s="357"/>
      <c r="DM128" s="357"/>
      <c r="DN128" s="357"/>
      <c r="DO128" s="357"/>
      <c r="DP128" s="357"/>
      <c r="DQ128" s="357"/>
      <c r="DR128" s="357"/>
      <c r="DS128" s="357"/>
      <c r="DT128" s="357"/>
      <c r="DU128" s="357"/>
      <c r="DV128" s="357"/>
      <c r="DW128" s="357"/>
      <c r="DX128" s="357"/>
      <c r="DY128" s="357"/>
      <c r="DZ128" s="357"/>
      <c r="EA128" s="357"/>
      <c r="EB128" s="357"/>
      <c r="EC128" s="357"/>
      <c r="ED128" s="357"/>
      <c r="EE128" s="357"/>
      <c r="EF128" s="357"/>
      <c r="EG128" s="357"/>
      <c r="EH128" s="357"/>
      <c r="EI128" s="357"/>
      <c r="EJ128" s="357"/>
      <c r="EK128" s="357"/>
      <c r="EL128" s="357"/>
      <c r="EM128" s="357"/>
      <c r="EN128" s="357"/>
      <c r="EO128" s="357"/>
      <c r="EP128" s="357"/>
      <c r="EQ128" s="357"/>
      <c r="ER128" s="357"/>
      <c r="ES128" s="357"/>
      <c r="ET128" s="357"/>
      <c r="EU128" s="357"/>
      <c r="EV128" s="357"/>
      <c r="EW128" s="357"/>
      <c r="EX128" s="357"/>
      <c r="EY128" s="357"/>
      <c r="EZ128" s="357"/>
      <c r="FA128" s="357"/>
      <c r="FB128" s="357"/>
      <c r="FC128" s="357"/>
      <c r="FD128" s="357"/>
      <c r="FE128" s="357"/>
      <c r="FF128" s="357"/>
      <c r="FG128" s="357"/>
      <c r="FH128" s="357"/>
      <c r="FI128" s="357"/>
      <c r="FJ128" s="357"/>
      <c r="FK128" s="357"/>
      <c r="FL128" s="357"/>
      <c r="FM128" s="357"/>
      <c r="FN128" s="357"/>
      <c r="FO128" s="357"/>
      <c r="FP128" s="357"/>
      <c r="FQ128" s="357"/>
      <c r="FR128" s="357"/>
      <c r="FS128" s="357"/>
      <c r="FT128" s="357"/>
      <c r="FU128" s="357"/>
      <c r="FV128" s="357"/>
      <c r="FW128" s="357"/>
      <c r="FX128" s="357"/>
      <c r="FY128" s="357"/>
      <c r="FZ128" s="357"/>
      <c r="GA128" s="357"/>
      <c r="GB128" s="357"/>
      <c r="GC128" s="357"/>
      <c r="GD128" s="357"/>
      <c r="GE128" s="357"/>
      <c r="GF128" s="357"/>
      <c r="GG128" s="357"/>
      <c r="GH128" s="357"/>
      <c r="GI128" s="357"/>
      <c r="GJ128" s="357"/>
      <c r="GK128" s="154"/>
      <c r="GL128" s="154"/>
      <c r="GM128" s="154"/>
      <c r="GN128" s="154"/>
      <c r="GO128" s="154"/>
      <c r="GP128" s="154"/>
      <c r="GQ128" s="154"/>
      <c r="GR128" s="154"/>
      <c r="GS128" s="154"/>
      <c r="GT128" s="154"/>
      <c r="GU128" s="154"/>
      <c r="GV128" s="154"/>
      <c r="GW128" s="154"/>
      <c r="GX128" s="154"/>
    </row>
    <row r="129" spans="7:206">
      <c r="G129" s="154"/>
      <c r="H129" s="154"/>
      <c r="I129" s="154"/>
      <c r="J129" s="154"/>
      <c r="K129" s="154"/>
      <c r="L129" s="154"/>
      <c r="M129" s="154"/>
      <c r="N129" s="154"/>
      <c r="O129" s="154"/>
      <c r="P129" s="154"/>
      <c r="Q129" s="154"/>
      <c r="R129" s="154"/>
      <c r="S129" s="154"/>
      <c r="T129" s="154"/>
      <c r="U129" s="154"/>
      <c r="V129" s="154"/>
      <c r="W129" s="154"/>
      <c r="X129" s="154"/>
      <c r="Y129" s="154"/>
      <c r="Z129" s="357"/>
      <c r="AA129" s="357"/>
      <c r="AB129" s="357"/>
      <c r="AC129" s="357"/>
      <c r="AD129" s="357"/>
      <c r="AE129" s="357"/>
      <c r="AF129" s="357"/>
      <c r="AG129" s="357"/>
      <c r="AH129" s="357"/>
      <c r="AI129" s="357"/>
      <c r="AJ129" s="357"/>
      <c r="AK129" s="357"/>
      <c r="AL129" s="357"/>
      <c r="AM129" s="357"/>
      <c r="AN129" s="357"/>
      <c r="AO129" s="357"/>
      <c r="AP129" s="357"/>
      <c r="AQ129" s="357"/>
      <c r="AR129" s="357"/>
      <c r="AS129" s="357"/>
      <c r="AT129" s="357"/>
      <c r="AU129" s="357"/>
      <c r="AV129" s="357"/>
      <c r="AW129" s="357"/>
      <c r="AX129" s="357"/>
      <c r="AY129" s="357"/>
      <c r="AZ129" s="357"/>
      <c r="BA129" s="357"/>
      <c r="BB129" s="357"/>
      <c r="BC129" s="357"/>
      <c r="BD129" s="357"/>
      <c r="BE129" s="357"/>
      <c r="BF129" s="357"/>
      <c r="BG129" s="357"/>
      <c r="BH129" s="357"/>
      <c r="BI129" s="357"/>
      <c r="BJ129" s="357"/>
      <c r="BK129" s="357"/>
      <c r="BL129" s="357"/>
      <c r="BM129" s="357"/>
      <c r="BN129" s="357"/>
      <c r="BO129" s="357"/>
      <c r="BP129" s="357"/>
      <c r="BQ129" s="357"/>
      <c r="BR129" s="357"/>
      <c r="BS129" s="357"/>
      <c r="BT129" s="357"/>
      <c r="BU129" s="357"/>
      <c r="BV129" s="357"/>
      <c r="BW129" s="357"/>
      <c r="BX129" s="357"/>
      <c r="BY129" s="357"/>
      <c r="BZ129" s="357"/>
      <c r="CA129" s="357"/>
      <c r="CB129" s="357"/>
      <c r="CC129" s="357"/>
      <c r="CD129" s="357"/>
      <c r="CE129" s="357"/>
      <c r="CF129" s="357"/>
      <c r="CG129" s="357"/>
      <c r="CH129" s="357"/>
      <c r="CI129" s="357"/>
      <c r="CJ129" s="357"/>
      <c r="CK129" s="357"/>
      <c r="CL129" s="357"/>
      <c r="CM129" s="357"/>
      <c r="CN129" s="357"/>
      <c r="CO129" s="357"/>
      <c r="CP129" s="357"/>
      <c r="CQ129" s="357"/>
      <c r="CR129" s="357"/>
      <c r="CS129" s="357"/>
      <c r="CT129" s="357"/>
      <c r="CU129" s="357"/>
      <c r="CV129" s="357"/>
      <c r="CW129" s="357"/>
      <c r="CX129" s="357"/>
      <c r="CY129" s="357"/>
      <c r="CZ129" s="357"/>
      <c r="DA129" s="357"/>
      <c r="DB129" s="357"/>
      <c r="DC129" s="357"/>
      <c r="DD129" s="357"/>
      <c r="DE129" s="357"/>
      <c r="DF129" s="357"/>
      <c r="DG129" s="357"/>
      <c r="DH129" s="357"/>
      <c r="DI129" s="357"/>
      <c r="DJ129" s="357"/>
      <c r="DK129" s="357"/>
      <c r="DL129" s="357"/>
      <c r="DM129" s="357"/>
      <c r="DN129" s="357"/>
      <c r="DO129" s="357"/>
      <c r="DP129" s="357"/>
      <c r="DQ129" s="357"/>
      <c r="DR129" s="357"/>
      <c r="DS129" s="357"/>
      <c r="DT129" s="357"/>
      <c r="DU129" s="357"/>
      <c r="DV129" s="357"/>
      <c r="DW129" s="357"/>
      <c r="DX129" s="357"/>
      <c r="DY129" s="357"/>
      <c r="DZ129" s="357"/>
      <c r="EA129" s="357"/>
      <c r="EB129" s="357"/>
      <c r="EC129" s="357"/>
      <c r="ED129" s="357"/>
      <c r="EE129" s="357"/>
      <c r="EF129" s="357"/>
      <c r="EG129" s="357"/>
      <c r="EH129" s="357"/>
      <c r="EI129" s="357"/>
      <c r="EJ129" s="357"/>
      <c r="EK129" s="357"/>
      <c r="EL129" s="357"/>
      <c r="EM129" s="357"/>
      <c r="EN129" s="357"/>
      <c r="EO129" s="357"/>
      <c r="EP129" s="357"/>
      <c r="EQ129" s="357"/>
      <c r="ER129" s="357"/>
      <c r="ES129" s="357"/>
      <c r="ET129" s="357"/>
      <c r="EU129" s="357"/>
      <c r="EV129" s="357"/>
      <c r="EW129" s="357"/>
      <c r="EX129" s="357"/>
      <c r="EY129" s="357"/>
      <c r="EZ129" s="357"/>
      <c r="FA129" s="357"/>
      <c r="FB129" s="357"/>
      <c r="FC129" s="357"/>
      <c r="FD129" s="357"/>
      <c r="FE129" s="357"/>
      <c r="FF129" s="357"/>
      <c r="FG129" s="357"/>
      <c r="FH129" s="357"/>
      <c r="FI129" s="357"/>
      <c r="FJ129" s="357"/>
      <c r="FK129" s="357"/>
      <c r="FL129" s="357"/>
      <c r="FM129" s="357"/>
      <c r="FN129" s="357"/>
      <c r="FO129" s="357"/>
      <c r="FP129" s="357"/>
      <c r="FQ129" s="357"/>
      <c r="FR129" s="357"/>
      <c r="FS129" s="357"/>
      <c r="FT129" s="357"/>
      <c r="FU129" s="357"/>
      <c r="FV129" s="357"/>
      <c r="FW129" s="357"/>
      <c r="FX129" s="357"/>
      <c r="FY129" s="357"/>
      <c r="FZ129" s="357"/>
      <c r="GA129" s="357"/>
      <c r="GB129" s="357"/>
      <c r="GC129" s="357"/>
      <c r="GD129" s="357"/>
      <c r="GE129" s="357"/>
      <c r="GF129" s="357"/>
      <c r="GG129" s="357"/>
      <c r="GH129" s="357"/>
      <c r="GI129" s="357"/>
      <c r="GJ129" s="357"/>
      <c r="GK129" s="154"/>
      <c r="GL129" s="154"/>
      <c r="GM129" s="154"/>
      <c r="GN129" s="154"/>
      <c r="GO129" s="154"/>
      <c r="GP129" s="154"/>
      <c r="GQ129" s="154"/>
      <c r="GR129" s="154"/>
      <c r="GS129" s="154"/>
      <c r="GT129" s="154"/>
      <c r="GU129" s="154"/>
      <c r="GV129" s="154"/>
      <c r="GW129" s="154"/>
      <c r="GX129" s="154"/>
    </row>
    <row r="130" spans="7:206">
      <c r="G130" s="154"/>
      <c r="H130" s="154"/>
      <c r="I130" s="154"/>
      <c r="J130" s="154"/>
      <c r="K130" s="154"/>
      <c r="L130" s="154"/>
      <c r="M130" s="154"/>
      <c r="N130" s="154"/>
      <c r="O130" s="154"/>
      <c r="P130" s="154"/>
      <c r="Q130" s="154"/>
      <c r="R130" s="154"/>
      <c r="S130" s="154"/>
      <c r="T130" s="154"/>
      <c r="U130" s="154"/>
      <c r="V130" s="154"/>
      <c r="W130" s="154"/>
      <c r="X130" s="154"/>
      <c r="Y130" s="154"/>
      <c r="Z130" s="357"/>
      <c r="AA130" s="357"/>
      <c r="AB130" s="357"/>
      <c r="AC130" s="357"/>
      <c r="AD130" s="357"/>
      <c r="AE130" s="357"/>
      <c r="AF130" s="357"/>
      <c r="AG130" s="357"/>
      <c r="AH130" s="357"/>
      <c r="AI130" s="357"/>
      <c r="AJ130" s="357"/>
      <c r="AK130" s="357"/>
      <c r="AL130" s="357"/>
      <c r="AM130" s="357"/>
      <c r="AN130" s="357"/>
      <c r="AO130" s="357"/>
      <c r="AP130" s="357"/>
      <c r="AQ130" s="357"/>
      <c r="AR130" s="357"/>
      <c r="AS130" s="357"/>
      <c r="AT130" s="357"/>
      <c r="AU130" s="357"/>
      <c r="AV130" s="357"/>
      <c r="AW130" s="357"/>
      <c r="AX130" s="357"/>
      <c r="AY130" s="357"/>
      <c r="AZ130" s="357"/>
      <c r="BA130" s="357"/>
      <c r="BB130" s="357"/>
      <c r="BC130" s="357"/>
      <c r="BD130" s="357"/>
      <c r="BE130" s="357"/>
      <c r="BF130" s="357"/>
      <c r="BG130" s="357"/>
      <c r="BH130" s="357"/>
      <c r="BI130" s="357"/>
      <c r="BJ130" s="357"/>
      <c r="BK130" s="357"/>
      <c r="BL130" s="357"/>
      <c r="BM130" s="357"/>
      <c r="BN130" s="357"/>
      <c r="BO130" s="357"/>
      <c r="BP130" s="357"/>
      <c r="BQ130" s="357"/>
      <c r="BR130" s="357"/>
      <c r="BS130" s="357"/>
      <c r="BT130" s="357"/>
      <c r="BU130" s="357"/>
      <c r="BV130" s="357"/>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c r="DA130" s="357"/>
      <c r="DB130" s="357"/>
      <c r="DC130" s="357"/>
      <c r="DD130" s="357"/>
      <c r="DE130" s="357"/>
      <c r="DF130" s="357"/>
      <c r="DG130" s="357"/>
      <c r="DH130" s="357"/>
      <c r="DI130" s="357"/>
      <c r="DJ130" s="357"/>
      <c r="DK130" s="357"/>
      <c r="DL130" s="357"/>
      <c r="DM130" s="357"/>
      <c r="DN130" s="357"/>
      <c r="DO130" s="357"/>
      <c r="DP130" s="357"/>
      <c r="DQ130" s="357"/>
      <c r="DR130" s="357"/>
      <c r="DS130" s="357"/>
      <c r="DT130" s="357"/>
      <c r="DU130" s="357"/>
      <c r="DV130" s="357"/>
      <c r="DW130" s="357"/>
      <c r="DX130" s="357"/>
      <c r="DY130" s="357"/>
      <c r="DZ130" s="357"/>
      <c r="EA130" s="357"/>
      <c r="EB130" s="357"/>
      <c r="EC130" s="357"/>
      <c r="ED130" s="357"/>
      <c r="EE130" s="357"/>
      <c r="EF130" s="357"/>
      <c r="EG130" s="357"/>
      <c r="EH130" s="357"/>
      <c r="EI130" s="357"/>
      <c r="EJ130" s="357"/>
      <c r="EK130" s="357"/>
      <c r="EL130" s="357"/>
      <c r="EM130" s="357"/>
      <c r="EN130" s="357"/>
      <c r="EO130" s="357"/>
      <c r="EP130" s="357"/>
      <c r="EQ130" s="357"/>
      <c r="ER130" s="357"/>
      <c r="ES130" s="357"/>
      <c r="ET130" s="357"/>
      <c r="EU130" s="357"/>
      <c r="EV130" s="357"/>
      <c r="EW130" s="357"/>
      <c r="EX130" s="357"/>
      <c r="EY130" s="357"/>
      <c r="EZ130" s="357"/>
      <c r="FA130" s="357"/>
      <c r="FB130" s="357"/>
      <c r="FC130" s="357"/>
      <c r="FD130" s="357"/>
      <c r="FE130" s="357"/>
      <c r="FF130" s="357"/>
      <c r="FG130" s="357"/>
      <c r="FH130" s="357"/>
      <c r="FI130" s="357"/>
      <c r="FJ130" s="357"/>
      <c r="FK130" s="357"/>
      <c r="FL130" s="357"/>
      <c r="FM130" s="357"/>
      <c r="FN130" s="357"/>
      <c r="FO130" s="357"/>
      <c r="FP130" s="357"/>
      <c r="FQ130" s="357"/>
      <c r="FR130" s="357"/>
      <c r="FS130" s="357"/>
      <c r="FT130" s="357"/>
      <c r="FU130" s="357"/>
      <c r="FV130" s="357"/>
      <c r="FW130" s="357"/>
      <c r="FX130" s="357"/>
      <c r="FY130" s="357"/>
      <c r="FZ130" s="357"/>
      <c r="GA130" s="357"/>
      <c r="GB130" s="357"/>
      <c r="GC130" s="357"/>
      <c r="GD130" s="357"/>
      <c r="GE130" s="357"/>
      <c r="GF130" s="357"/>
      <c r="GG130" s="357"/>
      <c r="GH130" s="357"/>
      <c r="GI130" s="357"/>
      <c r="GJ130" s="357"/>
      <c r="GK130" s="154"/>
      <c r="GL130" s="154"/>
      <c r="GM130" s="154"/>
      <c r="GN130" s="154"/>
      <c r="GO130" s="154"/>
      <c r="GP130" s="154"/>
      <c r="GQ130" s="154"/>
      <c r="GR130" s="154"/>
      <c r="GS130" s="154"/>
      <c r="GT130" s="154"/>
      <c r="GU130" s="154"/>
      <c r="GV130" s="154"/>
      <c r="GW130" s="154"/>
      <c r="GX130" s="154"/>
    </row>
    <row r="131" spans="7:206">
      <c r="G131" s="154"/>
      <c r="H131" s="154"/>
      <c r="I131" s="154"/>
      <c r="J131" s="154"/>
      <c r="K131" s="154"/>
      <c r="L131" s="154"/>
      <c r="M131" s="154"/>
      <c r="N131" s="154"/>
      <c r="O131" s="154"/>
      <c r="P131" s="154"/>
      <c r="Q131" s="154"/>
      <c r="R131" s="154"/>
      <c r="S131" s="154"/>
      <c r="T131" s="154"/>
      <c r="U131" s="154"/>
      <c r="V131" s="154"/>
      <c r="W131" s="154"/>
      <c r="X131" s="154"/>
      <c r="Y131" s="154"/>
      <c r="Z131" s="357"/>
      <c r="AA131" s="357"/>
      <c r="AB131" s="357"/>
      <c r="AC131" s="357"/>
      <c r="AD131" s="357"/>
      <c r="AE131" s="357"/>
      <c r="AF131" s="357"/>
      <c r="AG131" s="357"/>
      <c r="AH131" s="357"/>
      <c r="AI131" s="357"/>
      <c r="AJ131" s="357"/>
      <c r="AK131" s="357"/>
      <c r="AL131" s="357"/>
      <c r="AM131" s="357"/>
      <c r="AN131" s="357"/>
      <c r="AO131" s="357"/>
      <c r="AP131" s="357"/>
      <c r="AQ131" s="357"/>
      <c r="AR131" s="357"/>
      <c r="AS131" s="357"/>
      <c r="AT131" s="357"/>
      <c r="AU131" s="357"/>
      <c r="AV131" s="357"/>
      <c r="AW131" s="357"/>
      <c r="AX131" s="357"/>
      <c r="AY131" s="357"/>
      <c r="AZ131" s="357"/>
      <c r="BA131" s="357"/>
      <c r="BB131" s="357"/>
      <c r="BC131" s="357"/>
      <c r="BD131" s="357"/>
      <c r="BE131" s="357"/>
      <c r="BF131" s="357"/>
      <c r="BG131" s="357"/>
      <c r="BH131" s="357"/>
      <c r="BI131" s="357"/>
      <c r="BJ131" s="357"/>
      <c r="BK131" s="357"/>
      <c r="BL131" s="357"/>
      <c r="BM131" s="357"/>
      <c r="BN131" s="357"/>
      <c r="BO131" s="357"/>
      <c r="BP131" s="357"/>
      <c r="BQ131" s="357"/>
      <c r="BR131" s="357"/>
      <c r="BS131" s="357"/>
      <c r="BT131" s="357"/>
      <c r="BU131" s="357"/>
      <c r="BV131" s="357"/>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c r="DA131" s="357"/>
      <c r="DB131" s="357"/>
      <c r="DC131" s="357"/>
      <c r="DD131" s="357"/>
      <c r="DE131" s="357"/>
      <c r="DF131" s="357"/>
      <c r="DG131" s="357"/>
      <c r="DH131" s="357"/>
      <c r="DI131" s="357"/>
      <c r="DJ131" s="357"/>
      <c r="DK131" s="357"/>
      <c r="DL131" s="357"/>
      <c r="DM131" s="357"/>
      <c r="DN131" s="357"/>
      <c r="DO131" s="357"/>
      <c r="DP131" s="357"/>
      <c r="DQ131" s="357"/>
      <c r="DR131" s="357"/>
      <c r="DS131" s="357"/>
      <c r="DT131" s="357"/>
      <c r="DU131" s="357"/>
      <c r="DV131" s="357"/>
      <c r="DW131" s="357"/>
      <c r="DX131" s="357"/>
      <c r="DY131" s="357"/>
      <c r="DZ131" s="357"/>
      <c r="EA131" s="357"/>
      <c r="EB131" s="357"/>
      <c r="EC131" s="357"/>
      <c r="ED131" s="357"/>
      <c r="EE131" s="357"/>
      <c r="EF131" s="357"/>
      <c r="EG131" s="357"/>
      <c r="EH131" s="357"/>
      <c r="EI131" s="357"/>
      <c r="EJ131" s="357"/>
      <c r="EK131" s="357"/>
      <c r="EL131" s="357"/>
      <c r="EM131" s="357"/>
      <c r="EN131" s="357"/>
      <c r="EO131" s="357"/>
      <c r="EP131" s="357"/>
      <c r="EQ131" s="357"/>
      <c r="ER131" s="357"/>
      <c r="ES131" s="357"/>
      <c r="ET131" s="357"/>
      <c r="EU131" s="357"/>
      <c r="EV131" s="357"/>
      <c r="EW131" s="357"/>
      <c r="EX131" s="357"/>
      <c r="EY131" s="357"/>
      <c r="EZ131" s="357"/>
      <c r="FA131" s="357"/>
      <c r="FB131" s="357"/>
      <c r="FC131" s="357"/>
      <c r="FD131" s="357"/>
      <c r="FE131" s="357"/>
      <c r="FF131" s="357"/>
      <c r="FG131" s="357"/>
      <c r="FH131" s="357"/>
      <c r="FI131" s="357"/>
      <c r="FJ131" s="357"/>
      <c r="FK131" s="357"/>
      <c r="FL131" s="357"/>
      <c r="FM131" s="357"/>
      <c r="FN131" s="357"/>
      <c r="FO131" s="357"/>
      <c r="FP131" s="357"/>
      <c r="FQ131" s="357"/>
      <c r="FR131" s="357"/>
      <c r="FS131" s="357"/>
      <c r="FT131" s="357"/>
      <c r="FU131" s="357"/>
      <c r="FV131" s="357"/>
      <c r="FW131" s="357"/>
      <c r="FX131" s="357"/>
      <c r="FY131" s="357"/>
      <c r="FZ131" s="357"/>
      <c r="GA131" s="357"/>
      <c r="GB131" s="357"/>
      <c r="GC131" s="357"/>
      <c r="GD131" s="357"/>
      <c r="GE131" s="357"/>
      <c r="GF131" s="357"/>
      <c r="GG131" s="357"/>
      <c r="GH131" s="357"/>
      <c r="GI131" s="357"/>
      <c r="GJ131" s="357"/>
      <c r="GK131" s="154"/>
      <c r="GL131" s="154"/>
      <c r="GM131" s="154"/>
      <c r="GN131" s="154"/>
      <c r="GO131" s="154"/>
      <c r="GP131" s="154"/>
      <c r="GQ131" s="154"/>
      <c r="GR131" s="154"/>
      <c r="GS131" s="154"/>
      <c r="GT131" s="154"/>
      <c r="GU131" s="154"/>
      <c r="GV131" s="154"/>
      <c r="GW131" s="154"/>
      <c r="GX131" s="154"/>
    </row>
    <row r="132" spans="7:206">
      <c r="G132" s="154"/>
      <c r="H132" s="154"/>
      <c r="I132" s="154"/>
      <c r="J132" s="154"/>
      <c r="K132" s="154"/>
      <c r="L132" s="154"/>
      <c r="M132" s="154"/>
      <c r="N132" s="154"/>
      <c r="O132" s="154"/>
      <c r="P132" s="154"/>
      <c r="Q132" s="154"/>
      <c r="R132" s="154"/>
      <c r="S132" s="154"/>
      <c r="T132" s="154"/>
      <c r="U132" s="154"/>
      <c r="V132" s="154"/>
      <c r="W132" s="154"/>
      <c r="X132" s="154"/>
      <c r="Y132" s="154"/>
      <c r="Z132" s="357"/>
      <c r="AA132" s="357"/>
      <c r="AB132" s="357"/>
      <c r="AC132" s="357"/>
      <c r="AD132" s="357"/>
      <c r="AE132" s="357"/>
      <c r="AF132" s="357"/>
      <c r="AG132" s="357"/>
      <c r="AH132" s="357"/>
      <c r="AI132" s="357"/>
      <c r="AJ132" s="357"/>
      <c r="AK132" s="357"/>
      <c r="AL132" s="357"/>
      <c r="AM132" s="357"/>
      <c r="AN132" s="357"/>
      <c r="AO132" s="357"/>
      <c r="AP132" s="357"/>
      <c r="AQ132" s="357"/>
      <c r="AR132" s="357"/>
      <c r="AS132" s="357"/>
      <c r="AT132" s="357"/>
      <c r="AU132" s="357"/>
      <c r="AV132" s="357"/>
      <c r="AW132" s="357"/>
      <c r="AX132" s="357"/>
      <c r="AY132" s="357"/>
      <c r="AZ132" s="357"/>
      <c r="BA132" s="357"/>
      <c r="BB132" s="357"/>
      <c r="BC132" s="357"/>
      <c r="BD132" s="357"/>
      <c r="BE132" s="357"/>
      <c r="BF132" s="357"/>
      <c r="BG132" s="357"/>
      <c r="BH132" s="357"/>
      <c r="BI132" s="357"/>
      <c r="BJ132" s="357"/>
      <c r="BK132" s="357"/>
      <c r="BL132" s="357"/>
      <c r="BM132" s="357"/>
      <c r="BN132" s="357"/>
      <c r="BO132" s="357"/>
      <c r="BP132" s="357"/>
      <c r="BQ132" s="357"/>
      <c r="BR132" s="357"/>
      <c r="BS132" s="357"/>
      <c r="BT132" s="357"/>
      <c r="BU132" s="357"/>
      <c r="BV132" s="357"/>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c r="DA132" s="357"/>
      <c r="DB132" s="357"/>
      <c r="DC132" s="357"/>
      <c r="DD132" s="357"/>
      <c r="DE132" s="357"/>
      <c r="DF132" s="357"/>
      <c r="DG132" s="357"/>
      <c r="DH132" s="357"/>
      <c r="DI132" s="357"/>
      <c r="DJ132" s="357"/>
      <c r="DK132" s="357"/>
      <c r="DL132" s="357"/>
      <c r="DM132" s="357"/>
      <c r="DN132" s="357"/>
      <c r="DO132" s="357"/>
      <c r="DP132" s="357"/>
      <c r="DQ132" s="357"/>
      <c r="DR132" s="357"/>
      <c r="DS132" s="357"/>
      <c r="DT132" s="357"/>
      <c r="DU132" s="357"/>
      <c r="DV132" s="357"/>
      <c r="DW132" s="357"/>
      <c r="DX132" s="357"/>
      <c r="DY132" s="357"/>
      <c r="DZ132" s="357"/>
      <c r="EA132" s="357"/>
      <c r="EB132" s="357"/>
      <c r="EC132" s="357"/>
      <c r="ED132" s="357"/>
      <c r="EE132" s="357"/>
      <c r="EF132" s="357"/>
      <c r="EG132" s="357"/>
      <c r="EH132" s="357"/>
      <c r="EI132" s="357"/>
      <c r="EJ132" s="357"/>
      <c r="EK132" s="357"/>
      <c r="EL132" s="357"/>
      <c r="EM132" s="357"/>
      <c r="EN132" s="357"/>
      <c r="EO132" s="357"/>
      <c r="EP132" s="357"/>
      <c r="EQ132" s="357"/>
      <c r="ER132" s="357"/>
      <c r="ES132" s="357"/>
      <c r="ET132" s="357"/>
      <c r="EU132" s="357"/>
      <c r="EV132" s="357"/>
      <c r="EW132" s="357"/>
      <c r="EX132" s="357"/>
      <c r="EY132" s="357"/>
      <c r="EZ132" s="357"/>
      <c r="FA132" s="357"/>
      <c r="FB132" s="357"/>
      <c r="FC132" s="357"/>
      <c r="FD132" s="357"/>
      <c r="FE132" s="357"/>
      <c r="FF132" s="357"/>
      <c r="FG132" s="357"/>
      <c r="FH132" s="357"/>
      <c r="FI132" s="357"/>
      <c r="FJ132" s="357"/>
      <c r="FK132" s="357"/>
      <c r="FL132" s="357"/>
      <c r="FM132" s="357"/>
      <c r="FN132" s="357"/>
      <c r="FO132" s="357"/>
      <c r="FP132" s="357"/>
      <c r="FQ132" s="357"/>
      <c r="FR132" s="357"/>
      <c r="FS132" s="357"/>
      <c r="FT132" s="357"/>
      <c r="FU132" s="357"/>
      <c r="FV132" s="357"/>
      <c r="FW132" s="357"/>
      <c r="FX132" s="357"/>
      <c r="FY132" s="357"/>
      <c r="FZ132" s="357"/>
      <c r="GA132" s="357"/>
      <c r="GB132" s="357"/>
      <c r="GC132" s="357"/>
      <c r="GD132" s="357"/>
      <c r="GE132" s="357"/>
      <c r="GF132" s="357"/>
      <c r="GG132" s="357"/>
      <c r="GH132" s="357"/>
      <c r="GI132" s="357"/>
      <c r="GJ132" s="357"/>
      <c r="GK132" s="154"/>
      <c r="GL132" s="154"/>
      <c r="GM132" s="154"/>
      <c r="GN132" s="154"/>
      <c r="GO132" s="154"/>
      <c r="GP132" s="154"/>
      <c r="GQ132" s="154"/>
      <c r="GR132" s="154"/>
      <c r="GS132" s="154"/>
      <c r="GT132" s="154"/>
      <c r="GU132" s="154"/>
      <c r="GV132" s="154"/>
      <c r="GW132" s="154"/>
      <c r="GX132" s="154"/>
    </row>
    <row r="133" spans="7:206">
      <c r="G133" s="154"/>
      <c r="H133" s="154"/>
      <c r="I133" s="154"/>
      <c r="J133" s="154"/>
      <c r="K133" s="154"/>
      <c r="L133" s="154"/>
      <c r="M133" s="154"/>
      <c r="N133" s="154"/>
      <c r="O133" s="154"/>
      <c r="P133" s="154"/>
      <c r="Q133" s="154"/>
      <c r="R133" s="154"/>
      <c r="S133" s="154"/>
      <c r="T133" s="154"/>
      <c r="U133" s="154"/>
      <c r="V133" s="154"/>
      <c r="W133" s="154"/>
      <c r="X133" s="154"/>
      <c r="Y133" s="154"/>
      <c r="Z133" s="357"/>
      <c r="AA133" s="357"/>
      <c r="AB133" s="357"/>
      <c r="AC133" s="357"/>
      <c r="AD133" s="357"/>
      <c r="AE133" s="357"/>
      <c r="AF133" s="357"/>
      <c r="AG133" s="357"/>
      <c r="AH133" s="357"/>
      <c r="AI133" s="357"/>
      <c r="AJ133" s="357"/>
      <c r="AK133" s="357"/>
      <c r="AL133" s="357"/>
      <c r="AM133" s="357"/>
      <c r="AN133" s="357"/>
      <c r="AO133" s="357"/>
      <c r="AP133" s="357"/>
      <c r="AQ133" s="357"/>
      <c r="AR133" s="357"/>
      <c r="AS133" s="357"/>
      <c r="AT133" s="357"/>
      <c r="AU133" s="357"/>
      <c r="AV133" s="357"/>
      <c r="AW133" s="357"/>
      <c r="AX133" s="357"/>
      <c r="AY133" s="357"/>
      <c r="AZ133" s="357"/>
      <c r="BA133" s="357"/>
      <c r="BB133" s="357"/>
      <c r="BC133" s="357"/>
      <c r="BD133" s="357"/>
      <c r="BE133" s="357"/>
      <c r="BF133" s="357"/>
      <c r="BG133" s="357"/>
      <c r="BH133" s="357"/>
      <c r="BI133" s="357"/>
      <c r="BJ133" s="357"/>
      <c r="BK133" s="357"/>
      <c r="BL133" s="357"/>
      <c r="BM133" s="357"/>
      <c r="BN133" s="357"/>
      <c r="BO133" s="357"/>
      <c r="BP133" s="357"/>
      <c r="BQ133" s="357"/>
      <c r="BR133" s="357"/>
      <c r="BS133" s="357"/>
      <c r="BT133" s="357"/>
      <c r="BU133" s="357"/>
      <c r="BV133" s="357"/>
      <c r="BW133" s="357"/>
      <c r="BX133" s="357"/>
      <c r="BY133" s="357"/>
      <c r="BZ133" s="357"/>
      <c r="CA133" s="357"/>
      <c r="CB133" s="357"/>
      <c r="CC133" s="357"/>
      <c r="CD133" s="357"/>
      <c r="CE133" s="357"/>
      <c r="CF133" s="357"/>
      <c r="CG133" s="357"/>
      <c r="CH133" s="357"/>
      <c r="CI133" s="357"/>
      <c r="CJ133" s="357"/>
      <c r="CK133" s="357"/>
      <c r="CL133" s="357"/>
      <c r="CM133" s="357"/>
      <c r="CN133" s="357"/>
      <c r="CO133" s="357"/>
      <c r="CP133" s="357"/>
      <c r="CQ133" s="357"/>
      <c r="CR133" s="357"/>
      <c r="CS133" s="357"/>
      <c r="CT133" s="357"/>
      <c r="CU133" s="357"/>
      <c r="CV133" s="357"/>
      <c r="CW133" s="357"/>
      <c r="CX133" s="357"/>
      <c r="CY133" s="357"/>
      <c r="CZ133" s="357"/>
      <c r="DA133" s="357"/>
      <c r="DB133" s="357"/>
      <c r="DC133" s="357"/>
      <c r="DD133" s="357"/>
      <c r="DE133" s="357"/>
      <c r="DF133" s="357"/>
      <c r="DG133" s="357"/>
      <c r="DH133" s="357"/>
      <c r="DI133" s="357"/>
      <c r="DJ133" s="357"/>
      <c r="DK133" s="357"/>
      <c r="DL133" s="357"/>
      <c r="DM133" s="357"/>
      <c r="DN133" s="357"/>
      <c r="DO133" s="357"/>
      <c r="DP133" s="357"/>
      <c r="DQ133" s="357"/>
      <c r="DR133" s="357"/>
      <c r="DS133" s="357"/>
      <c r="DT133" s="357"/>
      <c r="DU133" s="357"/>
      <c r="DV133" s="357"/>
      <c r="DW133" s="357"/>
      <c r="DX133" s="357"/>
      <c r="DY133" s="357"/>
      <c r="DZ133" s="357"/>
      <c r="EA133" s="357"/>
      <c r="EB133" s="357"/>
      <c r="EC133" s="357"/>
      <c r="ED133" s="357"/>
      <c r="EE133" s="357"/>
      <c r="EF133" s="357"/>
      <c r="EG133" s="357"/>
      <c r="EH133" s="357"/>
      <c r="EI133" s="357"/>
      <c r="EJ133" s="357"/>
      <c r="EK133" s="357"/>
      <c r="EL133" s="357"/>
      <c r="EM133" s="357"/>
      <c r="EN133" s="357"/>
      <c r="EO133" s="357"/>
      <c r="EP133" s="357"/>
      <c r="EQ133" s="357"/>
      <c r="ER133" s="357"/>
      <c r="ES133" s="357"/>
      <c r="ET133" s="357"/>
      <c r="EU133" s="357"/>
      <c r="EV133" s="357"/>
      <c r="EW133" s="357"/>
      <c r="EX133" s="357"/>
      <c r="EY133" s="357"/>
      <c r="EZ133" s="357"/>
      <c r="FA133" s="357"/>
      <c r="FB133" s="357"/>
      <c r="FC133" s="357"/>
      <c r="FD133" s="357"/>
      <c r="FE133" s="357"/>
      <c r="FF133" s="357"/>
      <c r="FG133" s="357"/>
      <c r="FH133" s="357"/>
      <c r="FI133" s="357"/>
      <c r="FJ133" s="357"/>
      <c r="FK133" s="357"/>
      <c r="FL133" s="357"/>
      <c r="FM133" s="357"/>
      <c r="FN133" s="357"/>
      <c r="FO133" s="357"/>
      <c r="FP133" s="357"/>
      <c r="FQ133" s="357"/>
      <c r="FR133" s="357"/>
      <c r="FS133" s="357"/>
      <c r="FT133" s="357"/>
      <c r="FU133" s="357"/>
      <c r="FV133" s="357"/>
      <c r="FW133" s="357"/>
      <c r="FX133" s="357"/>
      <c r="FY133" s="357"/>
      <c r="FZ133" s="357"/>
      <c r="GA133" s="357"/>
      <c r="GB133" s="357"/>
      <c r="GC133" s="357"/>
      <c r="GD133" s="357"/>
      <c r="GE133" s="357"/>
      <c r="GF133" s="357"/>
      <c r="GG133" s="357"/>
      <c r="GH133" s="357"/>
      <c r="GI133" s="357"/>
      <c r="GJ133" s="357"/>
      <c r="GK133" s="154"/>
      <c r="GL133" s="154"/>
      <c r="GM133" s="154"/>
      <c r="GN133" s="154"/>
      <c r="GO133" s="154"/>
      <c r="GP133" s="154"/>
      <c r="GQ133" s="154"/>
      <c r="GR133" s="154"/>
      <c r="GS133" s="154"/>
      <c r="GT133" s="154"/>
      <c r="GU133" s="154"/>
      <c r="GV133" s="154"/>
      <c r="GW133" s="154"/>
      <c r="GX133" s="154"/>
    </row>
    <row r="134" spans="7:206">
      <c r="G134" s="154"/>
      <c r="H134" s="154"/>
      <c r="I134" s="154"/>
      <c r="J134" s="154"/>
      <c r="K134" s="154"/>
      <c r="L134" s="154"/>
      <c r="M134" s="154"/>
      <c r="N134" s="154"/>
      <c r="O134" s="154"/>
      <c r="P134" s="154"/>
      <c r="Q134" s="154"/>
      <c r="R134" s="154"/>
      <c r="S134" s="154"/>
      <c r="T134" s="154"/>
      <c r="U134" s="154"/>
      <c r="V134" s="154"/>
      <c r="W134" s="154"/>
      <c r="X134" s="154"/>
      <c r="Y134" s="154"/>
      <c r="Z134" s="357"/>
      <c r="AA134" s="357"/>
      <c r="AB134" s="357"/>
      <c r="AC134" s="357"/>
      <c r="AD134" s="357"/>
      <c r="AE134" s="357"/>
      <c r="AF134" s="357"/>
      <c r="AG134" s="357"/>
      <c r="AH134" s="357"/>
      <c r="AI134" s="357"/>
      <c r="AJ134" s="357"/>
      <c r="AK134" s="357"/>
      <c r="AL134" s="357"/>
      <c r="AM134" s="357"/>
      <c r="AN134" s="357"/>
      <c r="AO134" s="357"/>
      <c r="AP134" s="357"/>
      <c r="AQ134" s="357"/>
      <c r="AR134" s="357"/>
      <c r="AS134" s="357"/>
      <c r="AT134" s="357"/>
      <c r="AU134" s="357"/>
      <c r="AV134" s="357"/>
      <c r="AW134" s="357"/>
      <c r="AX134" s="357"/>
      <c r="AY134" s="357"/>
      <c r="AZ134" s="357"/>
      <c r="BA134" s="357"/>
      <c r="BB134" s="357"/>
      <c r="BC134" s="357"/>
      <c r="BD134" s="357"/>
      <c r="BE134" s="357"/>
      <c r="BF134" s="357"/>
      <c r="BG134" s="357"/>
      <c r="BH134" s="357"/>
      <c r="BI134" s="357"/>
      <c r="BJ134" s="357"/>
      <c r="BK134" s="357"/>
      <c r="BL134" s="357"/>
      <c r="BM134" s="357"/>
      <c r="BN134" s="357"/>
      <c r="BO134" s="357"/>
      <c r="BP134" s="357"/>
      <c r="BQ134" s="357"/>
      <c r="BR134" s="357"/>
      <c r="BS134" s="357"/>
      <c r="BT134" s="357"/>
      <c r="BU134" s="357"/>
      <c r="BV134" s="357"/>
      <c r="BW134" s="357"/>
      <c r="BX134" s="357"/>
      <c r="BY134" s="357"/>
      <c r="BZ134" s="357"/>
      <c r="CA134" s="357"/>
      <c r="CB134" s="357"/>
      <c r="CC134" s="357"/>
      <c r="CD134" s="357"/>
      <c r="CE134" s="357"/>
      <c r="CF134" s="357"/>
      <c r="CG134" s="357"/>
      <c r="CH134" s="357"/>
      <c r="CI134" s="357"/>
      <c r="CJ134" s="357"/>
      <c r="CK134" s="357"/>
      <c r="CL134" s="357"/>
      <c r="CM134" s="357"/>
      <c r="CN134" s="357"/>
      <c r="CO134" s="357"/>
      <c r="CP134" s="357"/>
      <c r="CQ134" s="357"/>
      <c r="CR134" s="357"/>
      <c r="CS134" s="357"/>
      <c r="CT134" s="357"/>
      <c r="CU134" s="357"/>
      <c r="CV134" s="357"/>
      <c r="CW134" s="357"/>
      <c r="CX134" s="357"/>
      <c r="CY134" s="357"/>
      <c r="CZ134" s="357"/>
      <c r="DA134" s="357"/>
      <c r="DB134" s="357"/>
      <c r="DC134" s="357"/>
      <c r="DD134" s="357"/>
      <c r="DE134" s="357"/>
      <c r="DF134" s="357"/>
      <c r="DG134" s="357"/>
      <c r="DH134" s="357"/>
      <c r="DI134" s="357"/>
      <c r="DJ134" s="357"/>
      <c r="DK134" s="357"/>
      <c r="DL134" s="357"/>
      <c r="DM134" s="357"/>
      <c r="DN134" s="357"/>
      <c r="DO134" s="357"/>
      <c r="DP134" s="357"/>
      <c r="DQ134" s="357"/>
      <c r="DR134" s="357"/>
      <c r="DS134" s="357"/>
      <c r="DT134" s="357"/>
      <c r="DU134" s="357"/>
      <c r="DV134" s="357"/>
      <c r="DW134" s="357"/>
      <c r="DX134" s="357"/>
      <c r="DY134" s="357"/>
      <c r="DZ134" s="357"/>
      <c r="EA134" s="357"/>
      <c r="EB134" s="357"/>
      <c r="EC134" s="357"/>
      <c r="ED134" s="357"/>
      <c r="EE134" s="357"/>
      <c r="EF134" s="357"/>
      <c r="EG134" s="357"/>
      <c r="EH134" s="357"/>
      <c r="EI134" s="357"/>
      <c r="EJ134" s="357"/>
      <c r="EK134" s="357"/>
      <c r="EL134" s="357"/>
      <c r="EM134" s="357"/>
      <c r="EN134" s="357"/>
      <c r="EO134" s="357"/>
      <c r="EP134" s="357"/>
      <c r="EQ134" s="357"/>
      <c r="ER134" s="357"/>
      <c r="ES134" s="357"/>
      <c r="ET134" s="357"/>
      <c r="EU134" s="357"/>
      <c r="EV134" s="357"/>
      <c r="EW134" s="357"/>
      <c r="EX134" s="357"/>
      <c r="EY134" s="357"/>
      <c r="EZ134" s="357"/>
      <c r="FA134" s="357"/>
      <c r="FB134" s="357"/>
      <c r="FC134" s="357"/>
      <c r="FD134" s="357"/>
      <c r="FE134" s="357"/>
      <c r="FF134" s="357"/>
      <c r="FG134" s="357"/>
      <c r="FH134" s="357"/>
      <c r="FI134" s="357"/>
      <c r="FJ134" s="357"/>
      <c r="FK134" s="357"/>
      <c r="FL134" s="357"/>
      <c r="FM134" s="357"/>
      <c r="FN134" s="357"/>
      <c r="FO134" s="357"/>
      <c r="FP134" s="357"/>
      <c r="FQ134" s="357"/>
      <c r="FR134" s="357"/>
      <c r="FS134" s="357"/>
      <c r="FT134" s="357"/>
      <c r="FU134" s="357"/>
      <c r="FV134" s="357"/>
      <c r="FW134" s="357"/>
      <c r="FX134" s="357"/>
      <c r="FY134" s="357"/>
      <c r="FZ134" s="357"/>
      <c r="GA134" s="357"/>
      <c r="GB134" s="357"/>
      <c r="GC134" s="357"/>
      <c r="GD134" s="357"/>
      <c r="GE134" s="357"/>
      <c r="GF134" s="357"/>
      <c r="GG134" s="357"/>
      <c r="GH134" s="357"/>
      <c r="GI134" s="357"/>
      <c r="GJ134" s="357"/>
      <c r="GK134" s="154"/>
      <c r="GL134" s="154"/>
      <c r="GM134" s="154"/>
      <c r="GN134" s="154"/>
      <c r="GO134" s="154"/>
      <c r="GP134" s="154"/>
      <c r="GQ134" s="154"/>
      <c r="GR134" s="154"/>
      <c r="GS134" s="154"/>
      <c r="GT134" s="154"/>
      <c r="GU134" s="154"/>
      <c r="GV134" s="154"/>
      <c r="GW134" s="154"/>
      <c r="GX134" s="154"/>
    </row>
    <row r="135" spans="7:206">
      <c r="G135" s="154"/>
      <c r="H135" s="154"/>
      <c r="I135" s="154"/>
      <c r="J135" s="154"/>
      <c r="K135" s="154"/>
      <c r="L135" s="154"/>
      <c r="M135" s="154"/>
      <c r="N135" s="154"/>
      <c r="O135" s="154"/>
      <c r="P135" s="154"/>
      <c r="Q135" s="154"/>
      <c r="R135" s="154"/>
      <c r="S135" s="154"/>
      <c r="T135" s="154"/>
      <c r="U135" s="154"/>
      <c r="V135" s="154"/>
      <c r="W135" s="154"/>
      <c r="X135" s="154"/>
      <c r="Y135" s="154"/>
      <c r="Z135" s="357"/>
      <c r="AA135" s="357"/>
      <c r="AB135" s="357"/>
      <c r="AC135" s="357"/>
      <c r="AD135" s="357"/>
      <c r="AE135" s="357"/>
      <c r="AF135" s="357"/>
      <c r="AG135" s="357"/>
      <c r="AH135" s="357"/>
      <c r="AI135" s="357"/>
      <c r="AJ135" s="357"/>
      <c r="AK135" s="357"/>
      <c r="AL135" s="357"/>
      <c r="AM135" s="357"/>
      <c r="AN135" s="357"/>
      <c r="AO135" s="357"/>
      <c r="AP135" s="357"/>
      <c r="AQ135" s="357"/>
      <c r="AR135" s="357"/>
      <c r="AS135" s="357"/>
      <c r="AT135" s="357"/>
      <c r="AU135" s="357"/>
      <c r="AV135" s="357"/>
      <c r="AW135" s="357"/>
      <c r="AX135" s="357"/>
      <c r="AY135" s="357"/>
      <c r="AZ135" s="357"/>
      <c r="BA135" s="357"/>
      <c r="BB135" s="357"/>
      <c r="BC135" s="357"/>
      <c r="BD135" s="357"/>
      <c r="BE135" s="357"/>
      <c r="BF135" s="357"/>
      <c r="BG135" s="357"/>
      <c r="BH135" s="357"/>
      <c r="BI135" s="357"/>
      <c r="BJ135" s="357"/>
      <c r="BK135" s="357"/>
      <c r="BL135" s="357"/>
      <c r="BM135" s="357"/>
      <c r="BN135" s="357"/>
      <c r="BO135" s="357"/>
      <c r="BP135" s="357"/>
      <c r="BQ135" s="357"/>
      <c r="BR135" s="357"/>
      <c r="BS135" s="357"/>
      <c r="BT135" s="357"/>
      <c r="BU135" s="357"/>
      <c r="BV135" s="357"/>
      <c r="BW135" s="357"/>
      <c r="BX135" s="357"/>
      <c r="BY135" s="357"/>
      <c r="BZ135" s="357"/>
      <c r="CA135" s="357"/>
      <c r="CB135" s="357"/>
      <c r="CC135" s="357"/>
      <c r="CD135" s="357"/>
      <c r="CE135" s="357"/>
      <c r="CF135" s="357"/>
      <c r="CG135" s="357"/>
      <c r="CH135" s="357"/>
      <c r="CI135" s="357"/>
      <c r="CJ135" s="357"/>
      <c r="CK135" s="357"/>
      <c r="CL135" s="357"/>
      <c r="CM135" s="357"/>
      <c r="CN135" s="357"/>
      <c r="CO135" s="357"/>
      <c r="CP135" s="357"/>
      <c r="CQ135" s="357"/>
      <c r="CR135" s="357"/>
      <c r="CS135" s="357"/>
      <c r="CT135" s="357"/>
      <c r="CU135" s="357"/>
      <c r="CV135" s="357"/>
      <c r="CW135" s="357"/>
      <c r="CX135" s="357"/>
      <c r="CY135" s="357"/>
      <c r="CZ135" s="357"/>
      <c r="DA135" s="357"/>
      <c r="DB135" s="357"/>
      <c r="DC135" s="357"/>
      <c r="DD135" s="357"/>
      <c r="DE135" s="357"/>
      <c r="DF135" s="357"/>
      <c r="DG135" s="357"/>
      <c r="DH135" s="357"/>
      <c r="DI135" s="357"/>
      <c r="DJ135" s="357"/>
      <c r="DK135" s="357"/>
      <c r="DL135" s="357"/>
      <c r="DM135" s="357"/>
      <c r="DN135" s="357"/>
      <c r="DO135" s="357"/>
      <c r="DP135" s="357"/>
      <c r="DQ135" s="357"/>
      <c r="DR135" s="357"/>
      <c r="DS135" s="357"/>
      <c r="DT135" s="357"/>
      <c r="DU135" s="357"/>
      <c r="DV135" s="357"/>
      <c r="DW135" s="357"/>
      <c r="DX135" s="357"/>
      <c r="DY135" s="357"/>
      <c r="DZ135" s="357"/>
      <c r="EA135" s="357"/>
      <c r="EB135" s="357"/>
      <c r="EC135" s="357"/>
      <c r="ED135" s="357"/>
      <c r="EE135" s="357"/>
      <c r="EF135" s="357"/>
      <c r="EG135" s="357"/>
      <c r="EH135" s="357"/>
      <c r="EI135" s="357"/>
      <c r="EJ135" s="357"/>
      <c r="EK135" s="357"/>
      <c r="EL135" s="357"/>
      <c r="EM135" s="357"/>
      <c r="EN135" s="357"/>
      <c r="EO135" s="357"/>
      <c r="EP135" s="357"/>
      <c r="EQ135" s="357"/>
      <c r="ER135" s="357"/>
      <c r="ES135" s="357"/>
      <c r="ET135" s="357"/>
      <c r="EU135" s="357"/>
      <c r="EV135" s="357"/>
      <c r="EW135" s="357"/>
      <c r="EX135" s="357"/>
      <c r="EY135" s="357"/>
      <c r="EZ135" s="357"/>
      <c r="FA135" s="357"/>
      <c r="FB135" s="357"/>
      <c r="FC135" s="357"/>
      <c r="FD135" s="357"/>
      <c r="FE135" s="357"/>
      <c r="FF135" s="357"/>
      <c r="FG135" s="357"/>
      <c r="FH135" s="357"/>
      <c r="FI135" s="357"/>
      <c r="FJ135" s="357"/>
      <c r="FK135" s="357"/>
      <c r="FL135" s="357"/>
      <c r="FM135" s="357"/>
      <c r="FN135" s="357"/>
      <c r="FO135" s="357"/>
      <c r="FP135" s="357"/>
      <c r="FQ135" s="357"/>
      <c r="FR135" s="357"/>
      <c r="FS135" s="357"/>
      <c r="FT135" s="357"/>
      <c r="FU135" s="357"/>
      <c r="FV135" s="357"/>
      <c r="FW135" s="357"/>
      <c r="FX135" s="357"/>
      <c r="FY135" s="357"/>
      <c r="FZ135" s="357"/>
      <c r="GA135" s="357"/>
      <c r="GB135" s="357"/>
      <c r="GC135" s="357"/>
      <c r="GD135" s="357"/>
      <c r="GE135" s="357"/>
      <c r="GF135" s="357"/>
      <c r="GG135" s="357"/>
      <c r="GH135" s="357"/>
      <c r="GI135" s="357"/>
      <c r="GJ135" s="357"/>
      <c r="GK135" s="154"/>
      <c r="GL135" s="154"/>
      <c r="GM135" s="154"/>
      <c r="GN135" s="154"/>
      <c r="GO135" s="154"/>
      <c r="GP135" s="154"/>
      <c r="GQ135" s="154"/>
      <c r="GR135" s="154"/>
      <c r="GS135" s="154"/>
      <c r="GT135" s="154"/>
      <c r="GU135" s="154"/>
      <c r="GV135" s="154"/>
      <c r="GW135" s="154"/>
      <c r="GX135" s="154"/>
    </row>
    <row r="136" spans="7:206">
      <c r="G136" s="154"/>
      <c r="H136" s="154"/>
      <c r="I136" s="154"/>
      <c r="J136" s="154"/>
      <c r="K136" s="154"/>
      <c r="L136" s="154"/>
      <c r="M136" s="154"/>
      <c r="N136" s="154"/>
      <c r="O136" s="154"/>
      <c r="P136" s="154"/>
      <c r="Q136" s="154"/>
      <c r="R136" s="154"/>
      <c r="S136" s="154"/>
      <c r="T136" s="154"/>
      <c r="U136" s="154"/>
      <c r="V136" s="154"/>
      <c r="W136" s="154"/>
      <c r="X136" s="154"/>
      <c r="Y136" s="154"/>
      <c r="Z136" s="357"/>
      <c r="AA136" s="357"/>
      <c r="AB136" s="357"/>
      <c r="AC136" s="357"/>
      <c r="AD136" s="357"/>
      <c r="AE136" s="357"/>
      <c r="AF136" s="357"/>
      <c r="AG136" s="357"/>
      <c r="AH136" s="357"/>
      <c r="AI136" s="357"/>
      <c r="AJ136" s="357"/>
      <c r="AK136" s="357"/>
      <c r="AL136" s="357"/>
      <c r="AM136" s="357"/>
      <c r="AN136" s="357"/>
      <c r="AO136" s="357"/>
      <c r="AP136" s="357"/>
      <c r="AQ136" s="357"/>
      <c r="AR136" s="357"/>
      <c r="AS136" s="357"/>
      <c r="AT136" s="357"/>
      <c r="AU136" s="357"/>
      <c r="AV136" s="357"/>
      <c r="AW136" s="357"/>
      <c r="AX136" s="357"/>
      <c r="AY136" s="357"/>
      <c r="AZ136" s="357"/>
      <c r="BA136" s="357"/>
      <c r="BB136" s="357"/>
      <c r="BC136" s="357"/>
      <c r="BD136" s="357"/>
      <c r="BE136" s="357"/>
      <c r="BF136" s="357"/>
      <c r="BG136" s="357"/>
      <c r="BH136" s="357"/>
      <c r="BI136" s="357"/>
      <c r="BJ136" s="357"/>
      <c r="BK136" s="357"/>
      <c r="BL136" s="357"/>
      <c r="BM136" s="357"/>
      <c r="BN136" s="357"/>
      <c r="BO136" s="357"/>
      <c r="BP136" s="357"/>
      <c r="BQ136" s="357"/>
      <c r="BR136" s="357"/>
      <c r="BS136" s="357"/>
      <c r="BT136" s="357"/>
      <c r="BU136" s="357"/>
      <c r="BV136" s="357"/>
      <c r="BW136" s="357"/>
      <c r="BX136" s="357"/>
      <c r="BY136" s="357"/>
      <c r="BZ136" s="357"/>
      <c r="CA136" s="357"/>
      <c r="CB136" s="357"/>
      <c r="CC136" s="357"/>
      <c r="CD136" s="357"/>
      <c r="CE136" s="357"/>
      <c r="CF136" s="357"/>
      <c r="CG136" s="357"/>
      <c r="CH136" s="357"/>
      <c r="CI136" s="357"/>
      <c r="CJ136" s="357"/>
      <c r="CK136" s="357"/>
      <c r="CL136" s="357"/>
      <c r="CM136" s="357"/>
      <c r="CN136" s="357"/>
      <c r="CO136" s="357"/>
      <c r="CP136" s="357"/>
      <c r="CQ136" s="357"/>
      <c r="CR136" s="357"/>
      <c r="CS136" s="357"/>
      <c r="CT136" s="357"/>
      <c r="CU136" s="357"/>
      <c r="CV136" s="357"/>
      <c r="CW136" s="357"/>
      <c r="CX136" s="357"/>
      <c r="CY136" s="357"/>
      <c r="CZ136" s="357"/>
      <c r="DA136" s="357"/>
      <c r="DB136" s="357"/>
      <c r="DC136" s="357"/>
      <c r="DD136" s="357"/>
      <c r="DE136" s="357"/>
      <c r="DF136" s="357"/>
      <c r="DG136" s="357"/>
      <c r="DH136" s="357"/>
      <c r="DI136" s="357"/>
      <c r="DJ136" s="357"/>
      <c r="DK136" s="357"/>
      <c r="DL136" s="357"/>
      <c r="DM136" s="357"/>
      <c r="DN136" s="357"/>
      <c r="DO136" s="357"/>
      <c r="DP136" s="357"/>
      <c r="DQ136" s="357"/>
      <c r="DR136" s="357"/>
      <c r="DS136" s="357"/>
      <c r="DT136" s="357"/>
      <c r="DU136" s="357"/>
      <c r="DV136" s="357"/>
      <c r="DW136" s="357"/>
      <c r="DX136" s="357"/>
      <c r="DY136" s="357"/>
      <c r="DZ136" s="357"/>
      <c r="EA136" s="357"/>
      <c r="EB136" s="357"/>
      <c r="EC136" s="357"/>
      <c r="ED136" s="357"/>
      <c r="EE136" s="357"/>
      <c r="EF136" s="357"/>
      <c r="EG136" s="357"/>
      <c r="EH136" s="357"/>
      <c r="EI136" s="357"/>
      <c r="EJ136" s="357"/>
      <c r="EK136" s="357"/>
      <c r="EL136" s="357"/>
      <c r="EM136" s="357"/>
      <c r="EN136" s="357"/>
      <c r="EO136" s="357"/>
      <c r="EP136" s="357"/>
      <c r="EQ136" s="357"/>
      <c r="ER136" s="357"/>
      <c r="ES136" s="357"/>
      <c r="ET136" s="357"/>
      <c r="EU136" s="357"/>
      <c r="EV136" s="357"/>
      <c r="EW136" s="357"/>
      <c r="EX136" s="357"/>
      <c r="EY136" s="357"/>
      <c r="EZ136" s="357"/>
      <c r="FA136" s="357"/>
      <c r="FB136" s="357"/>
      <c r="FC136" s="357"/>
      <c r="FD136" s="357"/>
      <c r="FE136" s="357"/>
      <c r="FF136" s="357"/>
      <c r="FG136" s="357"/>
      <c r="FH136" s="357"/>
      <c r="FI136" s="357"/>
      <c r="FJ136" s="357"/>
      <c r="FK136" s="357"/>
      <c r="FL136" s="357"/>
      <c r="FM136" s="357"/>
      <c r="FN136" s="357"/>
      <c r="FO136" s="357"/>
      <c r="FP136" s="357"/>
      <c r="FQ136" s="357"/>
      <c r="FR136" s="357"/>
      <c r="FS136" s="357"/>
      <c r="FT136" s="357"/>
      <c r="FU136" s="357"/>
      <c r="FV136" s="357"/>
      <c r="FW136" s="357"/>
      <c r="FX136" s="357"/>
      <c r="FY136" s="357"/>
      <c r="FZ136" s="357"/>
      <c r="GA136" s="357"/>
      <c r="GB136" s="357"/>
      <c r="GC136" s="357"/>
      <c r="GD136" s="357"/>
      <c r="GE136" s="357"/>
      <c r="GF136" s="357"/>
      <c r="GG136" s="357"/>
      <c r="GH136" s="357"/>
      <c r="GI136" s="357"/>
      <c r="GJ136" s="357"/>
      <c r="GK136" s="154"/>
      <c r="GL136" s="154"/>
      <c r="GM136" s="154"/>
      <c r="GN136" s="154"/>
      <c r="GO136" s="154"/>
      <c r="GP136" s="154"/>
      <c r="GQ136" s="154"/>
      <c r="GR136" s="154"/>
      <c r="GS136" s="154"/>
      <c r="GT136" s="154"/>
      <c r="GU136" s="154"/>
      <c r="GV136" s="154"/>
      <c r="GW136" s="154"/>
      <c r="GX136" s="154"/>
    </row>
    <row r="137" spans="7:206">
      <c r="G137" s="154"/>
      <c r="H137" s="154"/>
      <c r="I137" s="154"/>
      <c r="J137" s="154"/>
      <c r="K137" s="154"/>
      <c r="L137" s="154"/>
      <c r="M137" s="154"/>
      <c r="N137" s="154"/>
      <c r="O137" s="154"/>
      <c r="P137" s="154"/>
      <c r="Q137" s="154"/>
      <c r="R137" s="154"/>
      <c r="S137" s="154"/>
      <c r="T137" s="154"/>
      <c r="U137" s="154"/>
      <c r="V137" s="154"/>
      <c r="W137" s="154"/>
      <c r="X137" s="154"/>
      <c r="Y137" s="154"/>
      <c r="Z137" s="357"/>
      <c r="AA137" s="357"/>
      <c r="AB137" s="357"/>
      <c r="AC137" s="357"/>
      <c r="AD137" s="357"/>
      <c r="AE137" s="357"/>
      <c r="AF137" s="357"/>
      <c r="AG137" s="357"/>
      <c r="AH137" s="357"/>
      <c r="AI137" s="357"/>
      <c r="AJ137" s="357"/>
      <c r="AK137" s="357"/>
      <c r="AL137" s="357"/>
      <c r="AM137" s="357"/>
      <c r="AN137" s="357"/>
      <c r="AO137" s="357"/>
      <c r="AP137" s="357"/>
      <c r="AQ137" s="357"/>
      <c r="AR137" s="357"/>
      <c r="AS137" s="357"/>
      <c r="AT137" s="357"/>
      <c r="AU137" s="357"/>
      <c r="AV137" s="357"/>
      <c r="AW137" s="357"/>
      <c r="AX137" s="357"/>
      <c r="AY137" s="357"/>
      <c r="AZ137" s="357"/>
      <c r="BA137" s="357"/>
      <c r="BB137" s="357"/>
      <c r="BC137" s="357"/>
      <c r="BD137" s="357"/>
      <c r="BE137" s="357"/>
      <c r="BF137" s="357"/>
      <c r="BG137" s="357"/>
      <c r="BH137" s="357"/>
      <c r="BI137" s="357"/>
      <c r="BJ137" s="357"/>
      <c r="BK137" s="357"/>
      <c r="BL137" s="357"/>
      <c r="BM137" s="357"/>
      <c r="BN137" s="357"/>
      <c r="BO137" s="357"/>
      <c r="BP137" s="357"/>
      <c r="BQ137" s="357"/>
      <c r="BR137" s="357"/>
      <c r="BS137" s="357"/>
      <c r="BT137" s="357"/>
      <c r="BU137" s="357"/>
      <c r="BV137" s="357"/>
      <c r="BW137" s="357"/>
      <c r="BX137" s="357"/>
      <c r="BY137" s="357"/>
      <c r="BZ137" s="357"/>
      <c r="CA137" s="357"/>
      <c r="CB137" s="357"/>
      <c r="CC137" s="357"/>
      <c r="CD137" s="357"/>
      <c r="CE137" s="357"/>
      <c r="CF137" s="357"/>
      <c r="CG137" s="357"/>
      <c r="CH137" s="357"/>
      <c r="CI137" s="357"/>
      <c r="CJ137" s="357"/>
      <c r="CK137" s="357"/>
      <c r="CL137" s="357"/>
      <c r="CM137" s="357"/>
      <c r="CN137" s="357"/>
      <c r="CO137" s="357"/>
      <c r="CP137" s="357"/>
      <c r="CQ137" s="357"/>
      <c r="CR137" s="357"/>
      <c r="CS137" s="357"/>
      <c r="CT137" s="357"/>
      <c r="CU137" s="357"/>
      <c r="CV137" s="357"/>
      <c r="CW137" s="357"/>
      <c r="CX137" s="357"/>
      <c r="CY137" s="357"/>
      <c r="CZ137" s="357"/>
      <c r="DA137" s="357"/>
      <c r="DB137" s="357"/>
      <c r="DC137" s="357"/>
      <c r="DD137" s="357"/>
      <c r="DE137" s="357"/>
      <c r="DF137" s="357"/>
      <c r="DG137" s="357"/>
      <c r="DH137" s="357"/>
      <c r="DI137" s="357"/>
      <c r="DJ137" s="357"/>
      <c r="DK137" s="357"/>
      <c r="DL137" s="357"/>
      <c r="DM137" s="357"/>
      <c r="DN137" s="357"/>
      <c r="DO137" s="357"/>
      <c r="DP137" s="357"/>
      <c r="DQ137" s="357"/>
      <c r="DR137" s="357"/>
      <c r="DS137" s="357"/>
      <c r="DT137" s="357"/>
      <c r="DU137" s="357"/>
      <c r="DV137" s="357"/>
      <c r="DW137" s="357"/>
      <c r="DX137" s="357"/>
      <c r="DY137" s="357"/>
      <c r="DZ137" s="357"/>
      <c r="EA137" s="357"/>
      <c r="EB137" s="357"/>
      <c r="EC137" s="357"/>
      <c r="ED137" s="357"/>
      <c r="EE137" s="357"/>
      <c r="EF137" s="357"/>
      <c r="EG137" s="357"/>
      <c r="EH137" s="357"/>
      <c r="EI137" s="357"/>
      <c r="EJ137" s="357"/>
      <c r="EK137" s="357"/>
      <c r="EL137" s="357"/>
      <c r="EM137" s="357"/>
      <c r="EN137" s="357"/>
      <c r="EO137" s="357"/>
      <c r="EP137" s="357"/>
      <c r="EQ137" s="357"/>
      <c r="ER137" s="357"/>
      <c r="ES137" s="357"/>
      <c r="ET137" s="357"/>
      <c r="EU137" s="357"/>
      <c r="EV137" s="357"/>
      <c r="EW137" s="357"/>
      <c r="EX137" s="357"/>
      <c r="EY137" s="357"/>
      <c r="EZ137" s="357"/>
      <c r="FA137" s="357"/>
      <c r="FB137" s="357"/>
      <c r="FC137" s="357"/>
      <c r="FD137" s="357"/>
      <c r="FE137" s="357"/>
      <c r="FF137" s="357"/>
      <c r="FG137" s="357"/>
      <c r="FH137" s="357"/>
      <c r="FI137" s="357"/>
      <c r="FJ137" s="357"/>
      <c r="FK137" s="357"/>
      <c r="FL137" s="357"/>
      <c r="FM137" s="357"/>
      <c r="FN137" s="357"/>
      <c r="FO137" s="357"/>
      <c r="FP137" s="357"/>
      <c r="FQ137" s="357"/>
      <c r="FR137" s="357"/>
      <c r="FS137" s="357"/>
      <c r="FT137" s="357"/>
      <c r="FU137" s="357"/>
      <c r="FV137" s="357"/>
      <c r="FW137" s="357"/>
      <c r="FX137" s="357"/>
      <c r="FY137" s="357"/>
      <c r="FZ137" s="357"/>
      <c r="GA137" s="357"/>
      <c r="GB137" s="357"/>
      <c r="GC137" s="357"/>
      <c r="GD137" s="357"/>
      <c r="GE137" s="357"/>
      <c r="GF137" s="357"/>
      <c r="GG137" s="357"/>
      <c r="GH137" s="357"/>
      <c r="GI137" s="357"/>
      <c r="GJ137" s="357"/>
      <c r="GK137" s="154"/>
      <c r="GL137" s="154"/>
      <c r="GM137" s="154"/>
      <c r="GN137" s="154"/>
      <c r="GO137" s="154"/>
      <c r="GP137" s="154"/>
      <c r="GQ137" s="154"/>
      <c r="GR137" s="154"/>
      <c r="GS137" s="154"/>
      <c r="GT137" s="154"/>
      <c r="GU137" s="154"/>
      <c r="GV137" s="154"/>
      <c r="GW137" s="154"/>
      <c r="GX137" s="154"/>
    </row>
    <row r="138" spans="7:206">
      <c r="G138" s="154"/>
      <c r="H138" s="154"/>
      <c r="I138" s="154"/>
      <c r="J138" s="154"/>
      <c r="K138" s="154"/>
      <c r="L138" s="154"/>
      <c r="M138" s="154"/>
      <c r="N138" s="154"/>
      <c r="O138" s="154"/>
      <c r="P138" s="154"/>
      <c r="Q138" s="154"/>
      <c r="R138" s="154"/>
      <c r="S138" s="154"/>
      <c r="T138" s="154"/>
      <c r="U138" s="154"/>
      <c r="V138" s="154"/>
      <c r="W138" s="154"/>
      <c r="X138" s="154"/>
      <c r="Y138" s="154"/>
      <c r="Z138" s="357"/>
      <c r="AA138" s="357"/>
      <c r="AB138" s="357"/>
      <c r="AC138" s="357"/>
      <c r="AD138" s="357"/>
      <c r="AE138" s="357"/>
      <c r="AF138" s="357"/>
      <c r="AG138" s="357"/>
      <c r="AH138" s="357"/>
      <c r="AI138" s="357"/>
      <c r="AJ138" s="357"/>
      <c r="AK138" s="357"/>
      <c r="AL138" s="357"/>
      <c r="AM138" s="357"/>
      <c r="AN138" s="357"/>
      <c r="AO138" s="357"/>
      <c r="AP138" s="357"/>
      <c r="AQ138" s="357"/>
      <c r="AR138" s="357"/>
      <c r="AS138" s="357"/>
      <c r="AT138" s="357"/>
      <c r="AU138" s="357"/>
      <c r="AV138" s="357"/>
      <c r="AW138" s="357"/>
      <c r="AX138" s="357"/>
      <c r="AY138" s="357"/>
      <c r="AZ138" s="357"/>
      <c r="BA138" s="357"/>
      <c r="BB138" s="357"/>
      <c r="BC138" s="357"/>
      <c r="BD138" s="357"/>
      <c r="BE138" s="357"/>
      <c r="BF138" s="357"/>
      <c r="BG138" s="357"/>
      <c r="BH138" s="357"/>
      <c r="BI138" s="357"/>
      <c r="BJ138" s="357"/>
      <c r="BK138" s="357"/>
      <c r="BL138" s="357"/>
      <c r="BM138" s="357"/>
      <c r="BN138" s="357"/>
      <c r="BO138" s="357"/>
      <c r="BP138" s="357"/>
      <c r="BQ138" s="357"/>
      <c r="BR138" s="357"/>
      <c r="BS138" s="357"/>
      <c r="BT138" s="357"/>
      <c r="BU138" s="357"/>
      <c r="BV138" s="357"/>
      <c r="BW138" s="357"/>
      <c r="BX138" s="357"/>
      <c r="BY138" s="357"/>
      <c r="BZ138" s="357"/>
      <c r="CA138" s="357"/>
      <c r="CB138" s="357"/>
      <c r="CC138" s="357"/>
      <c r="CD138" s="357"/>
      <c r="CE138" s="357"/>
      <c r="CF138" s="357"/>
      <c r="CG138" s="357"/>
      <c r="CH138" s="357"/>
      <c r="CI138" s="357"/>
      <c r="CJ138" s="357"/>
      <c r="CK138" s="357"/>
      <c r="CL138" s="357"/>
      <c r="CM138" s="357"/>
      <c r="CN138" s="357"/>
      <c r="CO138" s="357"/>
      <c r="CP138" s="357"/>
      <c r="CQ138" s="357"/>
      <c r="CR138" s="357"/>
      <c r="CS138" s="357"/>
      <c r="CT138" s="357"/>
      <c r="CU138" s="357"/>
      <c r="CV138" s="357"/>
      <c r="CW138" s="357"/>
      <c r="CX138" s="357"/>
      <c r="CY138" s="357"/>
      <c r="CZ138" s="357"/>
      <c r="DA138" s="357"/>
      <c r="DB138" s="357"/>
      <c r="DC138" s="357"/>
      <c r="DD138" s="357"/>
      <c r="DE138" s="357"/>
      <c r="DF138" s="357"/>
      <c r="DG138" s="357"/>
      <c r="DH138" s="357"/>
      <c r="DI138" s="357"/>
      <c r="DJ138" s="357"/>
      <c r="DK138" s="357"/>
      <c r="DL138" s="357"/>
      <c r="DM138" s="357"/>
      <c r="DN138" s="357"/>
      <c r="DO138" s="357"/>
      <c r="DP138" s="357"/>
      <c r="DQ138" s="357"/>
      <c r="DR138" s="357"/>
      <c r="DS138" s="357"/>
      <c r="DT138" s="357"/>
      <c r="DU138" s="357"/>
      <c r="DV138" s="357"/>
      <c r="DW138" s="357"/>
      <c r="DX138" s="357"/>
      <c r="DY138" s="357"/>
      <c r="DZ138" s="357"/>
      <c r="EA138" s="357"/>
      <c r="EB138" s="357"/>
      <c r="EC138" s="357"/>
      <c r="ED138" s="357"/>
      <c r="EE138" s="357"/>
      <c r="EF138" s="357"/>
      <c r="EG138" s="357"/>
      <c r="EH138" s="357"/>
      <c r="EI138" s="357"/>
      <c r="EJ138" s="357"/>
      <c r="EK138" s="357"/>
      <c r="EL138" s="357"/>
      <c r="EM138" s="357"/>
      <c r="EN138" s="357"/>
      <c r="EO138" s="357"/>
      <c r="EP138" s="357"/>
      <c r="EQ138" s="357"/>
      <c r="ER138" s="357"/>
      <c r="ES138" s="357"/>
      <c r="ET138" s="357"/>
      <c r="EU138" s="357"/>
      <c r="EV138" s="357"/>
      <c r="EW138" s="357"/>
      <c r="EX138" s="357"/>
      <c r="EY138" s="357"/>
      <c r="EZ138" s="357"/>
      <c r="FA138" s="357"/>
      <c r="FB138" s="357"/>
      <c r="FC138" s="357"/>
      <c r="FD138" s="357"/>
      <c r="FE138" s="357"/>
      <c r="FF138" s="357"/>
      <c r="FG138" s="357"/>
      <c r="FH138" s="357"/>
      <c r="FI138" s="357"/>
      <c r="FJ138" s="357"/>
      <c r="FK138" s="357"/>
      <c r="FL138" s="357"/>
      <c r="FM138" s="357"/>
      <c r="FN138" s="357"/>
      <c r="FO138" s="357"/>
      <c r="FP138" s="357"/>
      <c r="FQ138" s="357"/>
      <c r="FR138" s="357"/>
      <c r="FS138" s="357"/>
      <c r="FT138" s="357"/>
      <c r="FU138" s="357"/>
      <c r="FV138" s="357"/>
      <c r="FW138" s="357"/>
      <c r="FX138" s="357"/>
      <c r="FY138" s="357"/>
      <c r="FZ138" s="357"/>
      <c r="GA138" s="357"/>
      <c r="GB138" s="357"/>
      <c r="GC138" s="357"/>
      <c r="GD138" s="357"/>
      <c r="GE138" s="357"/>
      <c r="GF138" s="357"/>
      <c r="GG138" s="357"/>
      <c r="GH138" s="357"/>
      <c r="GI138" s="357"/>
      <c r="GJ138" s="357"/>
      <c r="GK138" s="154"/>
      <c r="GL138" s="154"/>
      <c r="GM138" s="154"/>
      <c r="GN138" s="154"/>
      <c r="GO138" s="154"/>
      <c r="GP138" s="154"/>
      <c r="GQ138" s="154"/>
      <c r="GR138" s="154"/>
      <c r="GS138" s="154"/>
      <c r="GT138" s="154"/>
      <c r="GU138" s="154"/>
      <c r="GV138" s="154"/>
      <c r="GW138" s="154"/>
      <c r="GX138" s="154"/>
    </row>
    <row r="139" spans="7:206">
      <c r="G139" s="154"/>
      <c r="H139" s="154"/>
      <c r="I139" s="154"/>
      <c r="J139" s="154"/>
      <c r="K139" s="154"/>
      <c r="L139" s="154"/>
      <c r="M139" s="154"/>
      <c r="N139" s="154"/>
      <c r="O139" s="154"/>
      <c r="P139" s="154"/>
      <c r="Q139" s="154"/>
      <c r="R139" s="154"/>
      <c r="S139" s="154"/>
      <c r="T139" s="154"/>
      <c r="U139" s="154"/>
      <c r="V139" s="154"/>
      <c r="W139" s="154"/>
      <c r="X139" s="154"/>
      <c r="Y139" s="154"/>
      <c r="Z139" s="357"/>
      <c r="AA139" s="357"/>
      <c r="AB139" s="357"/>
      <c r="AC139" s="357"/>
      <c r="AD139" s="357"/>
      <c r="AE139" s="357"/>
      <c r="AF139" s="357"/>
      <c r="AG139" s="357"/>
      <c r="AH139" s="357"/>
      <c r="AI139" s="357"/>
      <c r="AJ139" s="357"/>
      <c r="AK139" s="357"/>
      <c r="AL139" s="357"/>
      <c r="AM139" s="357"/>
      <c r="AN139" s="357"/>
      <c r="AO139" s="357"/>
      <c r="AP139" s="357"/>
      <c r="AQ139" s="357"/>
      <c r="AR139" s="357"/>
      <c r="AS139" s="357"/>
      <c r="AT139" s="357"/>
      <c r="AU139" s="357"/>
      <c r="AV139" s="357"/>
      <c r="AW139" s="357"/>
      <c r="AX139" s="357"/>
      <c r="AY139" s="357"/>
      <c r="AZ139" s="357"/>
      <c r="BA139" s="357"/>
      <c r="BB139" s="357"/>
      <c r="BC139" s="357"/>
      <c r="BD139" s="357"/>
      <c r="BE139" s="357"/>
      <c r="BF139" s="357"/>
      <c r="BG139" s="357"/>
      <c r="BH139" s="357"/>
      <c r="BI139" s="357"/>
      <c r="BJ139" s="357"/>
      <c r="BK139" s="357"/>
      <c r="BL139" s="357"/>
      <c r="BM139" s="357"/>
      <c r="BN139" s="357"/>
      <c r="BO139" s="357"/>
      <c r="BP139" s="357"/>
      <c r="BQ139" s="357"/>
      <c r="BR139" s="357"/>
      <c r="BS139" s="357"/>
      <c r="BT139" s="357"/>
      <c r="BU139" s="357"/>
      <c r="BV139" s="357"/>
      <c r="BW139" s="357"/>
      <c r="BX139" s="357"/>
      <c r="BY139" s="357"/>
      <c r="BZ139" s="357"/>
      <c r="CA139" s="357"/>
      <c r="CB139" s="357"/>
      <c r="CC139" s="357"/>
      <c r="CD139" s="357"/>
      <c r="CE139" s="357"/>
      <c r="CF139" s="357"/>
      <c r="CG139" s="357"/>
      <c r="CH139" s="357"/>
      <c r="CI139" s="357"/>
      <c r="CJ139" s="357"/>
      <c r="CK139" s="357"/>
      <c r="CL139" s="357"/>
      <c r="CM139" s="357"/>
      <c r="CN139" s="357"/>
      <c r="CO139" s="357"/>
      <c r="CP139" s="357"/>
      <c r="CQ139" s="357"/>
      <c r="CR139" s="357"/>
      <c r="CS139" s="357"/>
      <c r="CT139" s="357"/>
      <c r="CU139" s="357"/>
      <c r="CV139" s="357"/>
      <c r="CW139" s="357"/>
      <c r="CX139" s="357"/>
      <c r="CY139" s="357"/>
      <c r="CZ139" s="357"/>
      <c r="DA139" s="357"/>
      <c r="DB139" s="357"/>
      <c r="DC139" s="357"/>
      <c r="DD139" s="357"/>
      <c r="DE139" s="357"/>
      <c r="DF139" s="357"/>
      <c r="DG139" s="357"/>
      <c r="DH139" s="357"/>
      <c r="DI139" s="357"/>
      <c r="DJ139" s="357"/>
      <c r="DK139" s="357"/>
      <c r="DL139" s="357"/>
      <c r="DM139" s="357"/>
      <c r="DN139" s="357"/>
      <c r="DO139" s="357"/>
      <c r="DP139" s="357"/>
      <c r="DQ139" s="357"/>
      <c r="DR139" s="357"/>
      <c r="DS139" s="357"/>
      <c r="DT139" s="357"/>
      <c r="DU139" s="357"/>
      <c r="DV139" s="357"/>
      <c r="DW139" s="357"/>
      <c r="DX139" s="357"/>
      <c r="DY139" s="357"/>
      <c r="DZ139" s="357"/>
      <c r="EA139" s="357"/>
      <c r="EB139" s="357"/>
      <c r="EC139" s="357"/>
      <c r="ED139" s="357"/>
      <c r="EE139" s="357"/>
      <c r="EF139" s="357"/>
      <c r="EG139" s="357"/>
      <c r="EH139" s="357"/>
      <c r="EI139" s="357"/>
      <c r="EJ139" s="357"/>
      <c r="EK139" s="357"/>
      <c r="EL139" s="357"/>
      <c r="EM139" s="357"/>
      <c r="EN139" s="357"/>
      <c r="EO139" s="357"/>
      <c r="EP139" s="357"/>
      <c r="EQ139" s="357"/>
      <c r="ER139" s="357"/>
      <c r="ES139" s="357"/>
      <c r="ET139" s="357"/>
      <c r="EU139" s="357"/>
      <c r="EV139" s="357"/>
      <c r="EW139" s="357"/>
      <c r="EX139" s="357"/>
      <c r="EY139" s="357"/>
      <c r="EZ139" s="357"/>
      <c r="FA139" s="357"/>
      <c r="FB139" s="357"/>
      <c r="FC139" s="357"/>
      <c r="FD139" s="357"/>
      <c r="FE139" s="357"/>
      <c r="FF139" s="357"/>
      <c r="FG139" s="357"/>
      <c r="FH139" s="357"/>
      <c r="FI139" s="357"/>
      <c r="FJ139" s="357"/>
      <c r="FK139" s="357"/>
      <c r="FL139" s="357"/>
      <c r="FM139" s="357"/>
      <c r="FN139" s="357"/>
      <c r="FO139" s="357"/>
      <c r="FP139" s="357"/>
      <c r="FQ139" s="357"/>
      <c r="FR139" s="357"/>
      <c r="FS139" s="357"/>
      <c r="FT139" s="357"/>
      <c r="FU139" s="357"/>
      <c r="FV139" s="357"/>
      <c r="FW139" s="357"/>
      <c r="FX139" s="357"/>
      <c r="FY139" s="357"/>
      <c r="FZ139" s="357"/>
      <c r="GA139" s="357"/>
      <c r="GB139" s="357"/>
      <c r="GC139" s="357"/>
      <c r="GD139" s="357"/>
      <c r="GE139" s="357"/>
      <c r="GF139" s="357"/>
      <c r="GG139" s="357"/>
      <c r="GH139" s="357"/>
      <c r="GI139" s="357"/>
      <c r="GJ139" s="357"/>
      <c r="GK139" s="154"/>
      <c r="GL139" s="154"/>
      <c r="GM139" s="154"/>
      <c r="GN139" s="154"/>
      <c r="GO139" s="154"/>
      <c r="GP139" s="154"/>
      <c r="GQ139" s="154"/>
      <c r="GR139" s="154"/>
      <c r="GS139" s="154"/>
      <c r="GT139" s="154"/>
      <c r="GU139" s="154"/>
      <c r="GV139" s="154"/>
      <c r="GW139" s="154"/>
      <c r="GX139" s="154"/>
    </row>
    <row r="140" spans="7:206">
      <c r="G140" s="154"/>
      <c r="H140" s="154"/>
      <c r="I140" s="154"/>
      <c r="J140" s="154"/>
      <c r="K140" s="154"/>
      <c r="L140" s="154"/>
      <c r="M140" s="154"/>
      <c r="N140" s="154"/>
      <c r="O140" s="154"/>
      <c r="P140" s="154"/>
      <c r="Q140" s="154"/>
      <c r="R140" s="154"/>
      <c r="S140" s="154"/>
      <c r="T140" s="154"/>
      <c r="U140" s="154"/>
      <c r="V140" s="154"/>
      <c r="W140" s="154"/>
      <c r="X140" s="154"/>
      <c r="Y140" s="154"/>
      <c r="Z140" s="357"/>
      <c r="AA140" s="357"/>
      <c r="AB140" s="357"/>
      <c r="AC140" s="357"/>
      <c r="AD140" s="357"/>
      <c r="AE140" s="357"/>
      <c r="AF140" s="357"/>
      <c r="AG140" s="357"/>
      <c r="AH140" s="357"/>
      <c r="AI140" s="357"/>
      <c r="AJ140" s="357"/>
      <c r="AK140" s="357"/>
      <c r="AL140" s="357"/>
      <c r="AM140" s="357"/>
      <c r="AN140" s="357"/>
      <c r="AO140" s="357"/>
      <c r="AP140" s="357"/>
      <c r="AQ140" s="357"/>
      <c r="AR140" s="357"/>
      <c r="AS140" s="357"/>
      <c r="AT140" s="357"/>
      <c r="AU140" s="357"/>
      <c r="AV140" s="357"/>
      <c r="AW140" s="357"/>
      <c r="AX140" s="357"/>
      <c r="AY140" s="357"/>
      <c r="AZ140" s="357"/>
      <c r="BA140" s="357"/>
      <c r="BB140" s="357"/>
      <c r="BC140" s="357"/>
      <c r="BD140" s="357"/>
      <c r="BE140" s="357"/>
      <c r="BF140" s="357"/>
      <c r="BG140" s="357"/>
      <c r="BH140" s="357"/>
      <c r="BI140" s="357"/>
      <c r="BJ140" s="357"/>
      <c r="BK140" s="357"/>
      <c r="BL140" s="357"/>
      <c r="BM140" s="357"/>
      <c r="BN140" s="357"/>
      <c r="BO140" s="357"/>
      <c r="BP140" s="357"/>
      <c r="BQ140" s="357"/>
      <c r="BR140" s="357"/>
      <c r="BS140" s="357"/>
      <c r="BT140" s="357"/>
      <c r="BU140" s="357"/>
      <c r="BV140" s="357"/>
      <c r="BW140" s="357"/>
      <c r="BX140" s="357"/>
      <c r="BY140" s="357"/>
      <c r="BZ140" s="357"/>
      <c r="CA140" s="357"/>
      <c r="CB140" s="357"/>
      <c r="CC140" s="357"/>
      <c r="CD140" s="357"/>
      <c r="CE140" s="357"/>
      <c r="CF140" s="357"/>
      <c r="CG140" s="357"/>
      <c r="CH140" s="357"/>
      <c r="CI140" s="357"/>
      <c r="CJ140" s="357"/>
      <c r="CK140" s="357"/>
      <c r="CL140" s="357"/>
      <c r="CM140" s="357"/>
      <c r="CN140" s="357"/>
      <c r="CO140" s="357"/>
      <c r="CP140" s="357"/>
      <c r="CQ140" s="357"/>
      <c r="CR140" s="357"/>
      <c r="CS140" s="357"/>
      <c r="CT140" s="357"/>
      <c r="CU140" s="357"/>
      <c r="CV140" s="357"/>
      <c r="CW140" s="357"/>
      <c r="CX140" s="357"/>
      <c r="CY140" s="357"/>
      <c r="CZ140" s="357"/>
      <c r="DA140" s="357"/>
      <c r="DB140" s="357"/>
      <c r="DC140" s="357"/>
      <c r="DD140" s="357"/>
      <c r="DE140" s="357"/>
      <c r="DF140" s="357"/>
      <c r="DG140" s="357"/>
      <c r="DH140" s="357"/>
      <c r="DI140" s="357"/>
      <c r="DJ140" s="357"/>
      <c r="DK140" s="357"/>
      <c r="DL140" s="357"/>
      <c r="DM140" s="357"/>
      <c r="DN140" s="357"/>
      <c r="DO140" s="357"/>
      <c r="DP140" s="357"/>
      <c r="DQ140" s="357"/>
      <c r="DR140" s="357"/>
      <c r="DS140" s="357"/>
      <c r="DT140" s="357"/>
      <c r="DU140" s="357"/>
      <c r="DV140" s="357"/>
      <c r="DW140" s="357"/>
      <c r="DX140" s="357"/>
      <c r="DY140" s="357"/>
      <c r="DZ140" s="357"/>
      <c r="EA140" s="357"/>
      <c r="EB140" s="357"/>
      <c r="EC140" s="357"/>
      <c r="ED140" s="357"/>
      <c r="EE140" s="357"/>
      <c r="EF140" s="357"/>
      <c r="EG140" s="357"/>
      <c r="EH140" s="357"/>
      <c r="EI140" s="357"/>
      <c r="EJ140" s="357"/>
      <c r="EK140" s="357"/>
      <c r="EL140" s="357"/>
      <c r="EM140" s="357"/>
      <c r="EN140" s="357"/>
      <c r="EO140" s="357"/>
      <c r="EP140" s="357"/>
      <c r="EQ140" s="357"/>
      <c r="ER140" s="357"/>
      <c r="ES140" s="357"/>
      <c r="ET140" s="357"/>
      <c r="EU140" s="357"/>
      <c r="EV140" s="357"/>
      <c r="EW140" s="357"/>
      <c r="EX140" s="357"/>
      <c r="EY140" s="357"/>
      <c r="EZ140" s="357"/>
      <c r="FA140" s="357"/>
      <c r="FB140" s="357"/>
      <c r="FC140" s="357"/>
      <c r="FD140" s="357"/>
      <c r="FE140" s="357"/>
      <c r="FF140" s="357"/>
      <c r="FG140" s="357"/>
      <c r="FH140" s="357"/>
      <c r="FI140" s="357"/>
      <c r="FJ140" s="357"/>
      <c r="FK140" s="357"/>
      <c r="FL140" s="357"/>
      <c r="FM140" s="357"/>
      <c r="FN140" s="357"/>
      <c r="FO140" s="357"/>
      <c r="FP140" s="357"/>
      <c r="FQ140" s="357"/>
      <c r="FR140" s="357"/>
      <c r="FS140" s="357"/>
      <c r="FT140" s="357"/>
      <c r="FU140" s="357"/>
      <c r="FV140" s="357"/>
      <c r="FW140" s="357"/>
      <c r="FX140" s="357"/>
      <c r="FY140" s="357"/>
      <c r="FZ140" s="357"/>
      <c r="GA140" s="357"/>
      <c r="GB140" s="357"/>
      <c r="GC140" s="357"/>
      <c r="GD140" s="357"/>
      <c r="GE140" s="357"/>
      <c r="GF140" s="357"/>
      <c r="GG140" s="357"/>
      <c r="GH140" s="357"/>
      <c r="GI140" s="357"/>
      <c r="GJ140" s="357"/>
      <c r="GK140" s="154"/>
      <c r="GL140" s="154"/>
      <c r="GM140" s="154"/>
      <c r="GN140" s="154"/>
      <c r="GO140" s="154"/>
      <c r="GP140" s="154"/>
      <c r="GQ140" s="154"/>
      <c r="GR140" s="154"/>
      <c r="GS140" s="154"/>
      <c r="GT140" s="154"/>
      <c r="GU140" s="154"/>
      <c r="GV140" s="154"/>
      <c r="GW140" s="154"/>
      <c r="GX140" s="154"/>
    </row>
    <row r="141" spans="7:206">
      <c r="G141" s="154"/>
      <c r="H141" s="154"/>
      <c r="I141" s="154"/>
      <c r="J141" s="154"/>
      <c r="K141" s="154"/>
      <c r="L141" s="154"/>
      <c r="M141" s="154"/>
      <c r="N141" s="154"/>
      <c r="O141" s="154"/>
      <c r="P141" s="154"/>
      <c r="Q141" s="154"/>
      <c r="R141" s="154"/>
      <c r="S141" s="154"/>
      <c r="T141" s="154"/>
      <c r="U141" s="154"/>
      <c r="V141" s="154"/>
      <c r="W141" s="154"/>
      <c r="X141" s="154"/>
      <c r="Y141" s="154"/>
      <c r="Z141" s="357"/>
      <c r="AA141" s="357"/>
      <c r="AB141" s="357"/>
      <c r="AC141" s="357"/>
      <c r="AD141" s="357"/>
      <c r="AE141" s="357"/>
      <c r="AF141" s="357"/>
      <c r="AG141" s="357"/>
      <c r="AH141" s="357"/>
      <c r="AI141" s="357"/>
      <c r="AJ141" s="357"/>
      <c r="AK141" s="357"/>
      <c r="AL141" s="357"/>
      <c r="AM141" s="357"/>
      <c r="AN141" s="357"/>
      <c r="AO141" s="357"/>
      <c r="AP141" s="357"/>
      <c r="AQ141" s="357"/>
      <c r="AR141" s="357"/>
      <c r="AS141" s="357"/>
      <c r="AT141" s="357"/>
      <c r="AU141" s="357"/>
      <c r="AV141" s="357"/>
      <c r="AW141" s="357"/>
      <c r="AX141" s="357"/>
      <c r="AY141" s="357"/>
      <c r="AZ141" s="357"/>
      <c r="BA141" s="357"/>
      <c r="BB141" s="357"/>
      <c r="BC141" s="357"/>
      <c r="BD141" s="357"/>
      <c r="BE141" s="357"/>
      <c r="BF141" s="357"/>
      <c r="BG141" s="357"/>
      <c r="BH141" s="357"/>
      <c r="BI141" s="357"/>
      <c r="BJ141" s="357"/>
      <c r="BK141" s="357"/>
      <c r="BL141" s="357"/>
      <c r="BM141" s="357"/>
      <c r="BN141" s="357"/>
      <c r="BO141" s="357"/>
      <c r="BP141" s="357"/>
      <c r="BQ141" s="357"/>
      <c r="BR141" s="357"/>
      <c r="BS141" s="357"/>
      <c r="BT141" s="357"/>
      <c r="BU141" s="357"/>
      <c r="BV141" s="357"/>
      <c r="BW141" s="357"/>
      <c r="BX141" s="357"/>
      <c r="BY141" s="357"/>
      <c r="BZ141" s="357"/>
      <c r="CA141" s="357"/>
      <c r="CB141" s="357"/>
      <c r="CC141" s="357"/>
      <c r="CD141" s="357"/>
      <c r="CE141" s="357"/>
      <c r="CF141" s="357"/>
      <c r="CG141" s="357"/>
      <c r="CH141" s="357"/>
      <c r="CI141" s="357"/>
      <c r="CJ141" s="357"/>
      <c r="CK141" s="357"/>
      <c r="CL141" s="357"/>
      <c r="CM141" s="357"/>
      <c r="CN141" s="357"/>
      <c r="CO141" s="357"/>
      <c r="CP141" s="357"/>
      <c r="CQ141" s="357"/>
      <c r="CR141" s="357"/>
      <c r="CS141" s="357"/>
      <c r="CT141" s="357"/>
      <c r="CU141" s="357"/>
      <c r="CV141" s="357"/>
      <c r="CW141" s="357"/>
      <c r="CX141" s="357"/>
      <c r="CY141" s="357"/>
      <c r="CZ141" s="357"/>
      <c r="DA141" s="357"/>
      <c r="DB141" s="357"/>
      <c r="DC141" s="357"/>
      <c r="DD141" s="357"/>
      <c r="DE141" s="357"/>
      <c r="DF141" s="357"/>
      <c r="DG141" s="357"/>
      <c r="DH141" s="357"/>
      <c r="DI141" s="357"/>
      <c r="DJ141" s="357"/>
      <c r="DK141" s="357"/>
      <c r="DL141" s="357"/>
      <c r="DM141" s="357"/>
      <c r="DN141" s="357"/>
      <c r="DO141" s="357"/>
      <c r="DP141" s="357"/>
      <c r="DQ141" s="357"/>
      <c r="DR141" s="357"/>
      <c r="DS141" s="357"/>
      <c r="DT141" s="357"/>
      <c r="DU141" s="357"/>
      <c r="DV141" s="357"/>
      <c r="DW141" s="357"/>
      <c r="DX141" s="357"/>
      <c r="DY141" s="357"/>
      <c r="DZ141" s="357"/>
      <c r="EA141" s="357"/>
      <c r="EB141" s="357"/>
      <c r="EC141" s="357"/>
      <c r="ED141" s="357"/>
      <c r="EE141" s="357"/>
      <c r="EF141" s="357"/>
      <c r="EG141" s="357"/>
      <c r="EH141" s="357"/>
      <c r="EI141" s="357"/>
      <c r="EJ141" s="357"/>
      <c r="EK141" s="357"/>
      <c r="EL141" s="357"/>
      <c r="EM141" s="357"/>
      <c r="EN141" s="357"/>
      <c r="EO141" s="357"/>
      <c r="EP141" s="357"/>
      <c r="EQ141" s="357"/>
      <c r="ER141" s="357"/>
      <c r="ES141" s="357"/>
      <c r="ET141" s="357"/>
      <c r="EU141" s="357"/>
      <c r="EV141" s="357"/>
      <c r="EW141" s="357"/>
      <c r="EX141" s="357"/>
      <c r="EY141" s="357"/>
      <c r="EZ141" s="357"/>
      <c r="FA141" s="357"/>
      <c r="FB141" s="357"/>
      <c r="FC141" s="357"/>
      <c r="FD141" s="357"/>
      <c r="FE141" s="357"/>
      <c r="FF141" s="357"/>
      <c r="FG141" s="357"/>
      <c r="FH141" s="357"/>
      <c r="FI141" s="357"/>
      <c r="FJ141" s="357"/>
      <c r="FK141" s="357"/>
      <c r="FL141" s="357"/>
      <c r="FM141" s="357"/>
      <c r="FN141" s="357"/>
      <c r="FO141" s="357"/>
      <c r="FP141" s="357"/>
      <c r="FQ141" s="357"/>
      <c r="FR141" s="357"/>
      <c r="FS141" s="357"/>
      <c r="FT141" s="357"/>
      <c r="FU141" s="357"/>
      <c r="FV141" s="357"/>
      <c r="FW141" s="357"/>
      <c r="FX141" s="357"/>
      <c r="FY141" s="357"/>
      <c r="FZ141" s="357"/>
      <c r="GA141" s="357"/>
      <c r="GB141" s="357"/>
      <c r="GC141" s="357"/>
      <c r="GD141" s="357"/>
      <c r="GE141" s="357"/>
      <c r="GF141" s="357"/>
      <c r="GG141" s="357"/>
      <c r="GH141" s="357"/>
      <c r="GI141" s="357"/>
      <c r="GJ141" s="357"/>
      <c r="GK141" s="154"/>
      <c r="GL141" s="154"/>
      <c r="GM141" s="154"/>
      <c r="GN141" s="154"/>
      <c r="GO141" s="154"/>
      <c r="GP141" s="154"/>
      <c r="GQ141" s="154"/>
      <c r="GR141" s="154"/>
      <c r="GS141" s="154"/>
      <c r="GT141" s="154"/>
      <c r="GU141" s="154"/>
      <c r="GV141" s="154"/>
      <c r="GW141" s="154"/>
      <c r="GX141" s="154"/>
    </row>
    <row r="142" spans="7:206">
      <c r="G142" s="154"/>
      <c r="H142" s="154"/>
      <c r="I142" s="154"/>
      <c r="J142" s="154"/>
      <c r="K142" s="154"/>
      <c r="L142" s="154"/>
      <c r="M142" s="154"/>
      <c r="N142" s="154"/>
      <c r="O142" s="154"/>
      <c r="P142" s="154"/>
      <c r="Q142" s="154"/>
      <c r="R142" s="154"/>
      <c r="S142" s="154"/>
      <c r="T142" s="154"/>
      <c r="U142" s="154"/>
      <c r="V142" s="154"/>
      <c r="W142" s="154"/>
      <c r="X142" s="154"/>
      <c r="Y142" s="154"/>
      <c r="Z142" s="357"/>
      <c r="AA142" s="357"/>
      <c r="AB142" s="357"/>
      <c r="AC142" s="357"/>
      <c r="AD142" s="357"/>
      <c r="AE142" s="357"/>
      <c r="AF142" s="357"/>
      <c r="AG142" s="357"/>
      <c r="AH142" s="357"/>
      <c r="AI142" s="357"/>
      <c r="AJ142" s="357"/>
      <c r="AK142" s="357"/>
      <c r="AL142" s="357"/>
      <c r="AM142" s="357"/>
      <c r="AN142" s="357"/>
      <c r="AO142" s="357"/>
      <c r="AP142" s="357"/>
      <c r="AQ142" s="357"/>
      <c r="AR142" s="357"/>
      <c r="AS142" s="357"/>
      <c r="AT142" s="357"/>
      <c r="AU142" s="357"/>
      <c r="AV142" s="357"/>
      <c r="AW142" s="357"/>
      <c r="AX142" s="357"/>
      <c r="AY142" s="357"/>
      <c r="AZ142" s="357"/>
      <c r="BA142" s="357"/>
      <c r="BB142" s="357"/>
      <c r="BC142" s="357"/>
      <c r="BD142" s="357"/>
      <c r="BE142" s="357"/>
      <c r="BF142" s="357"/>
      <c r="BG142" s="357"/>
      <c r="BH142" s="357"/>
      <c r="BI142" s="357"/>
      <c r="BJ142" s="357"/>
      <c r="BK142" s="357"/>
      <c r="BL142" s="357"/>
      <c r="BM142" s="357"/>
      <c r="BN142" s="357"/>
      <c r="BO142" s="357"/>
      <c r="BP142" s="357"/>
      <c r="BQ142" s="357"/>
      <c r="BR142" s="357"/>
      <c r="BS142" s="357"/>
      <c r="BT142" s="357"/>
      <c r="BU142" s="357"/>
      <c r="BV142" s="357"/>
      <c r="BW142" s="357"/>
      <c r="BX142" s="357"/>
      <c r="BY142" s="357"/>
      <c r="BZ142" s="357"/>
      <c r="CA142" s="357"/>
      <c r="CB142" s="357"/>
      <c r="CC142" s="357"/>
      <c r="CD142" s="357"/>
      <c r="CE142" s="357"/>
      <c r="CF142" s="357"/>
      <c r="CG142" s="357"/>
      <c r="CH142" s="357"/>
      <c r="CI142" s="357"/>
      <c r="CJ142" s="357"/>
      <c r="CK142" s="357"/>
      <c r="CL142" s="357"/>
      <c r="CM142" s="357"/>
      <c r="CN142" s="357"/>
      <c r="CO142" s="357"/>
      <c r="CP142" s="357"/>
      <c r="CQ142" s="357"/>
      <c r="CR142" s="357"/>
      <c r="CS142" s="357"/>
      <c r="CT142" s="357"/>
      <c r="CU142" s="357"/>
      <c r="CV142" s="357"/>
      <c r="CW142" s="357"/>
      <c r="CX142" s="357"/>
      <c r="CY142" s="357"/>
      <c r="CZ142" s="357"/>
      <c r="DA142" s="357"/>
      <c r="DB142" s="357"/>
      <c r="DC142" s="357"/>
      <c r="DD142" s="357"/>
      <c r="DE142" s="357"/>
      <c r="DF142" s="357"/>
      <c r="DG142" s="357"/>
      <c r="DH142" s="357"/>
      <c r="DI142" s="357"/>
      <c r="DJ142" s="357"/>
      <c r="DK142" s="357"/>
      <c r="DL142" s="357"/>
      <c r="DM142" s="357"/>
      <c r="DN142" s="357"/>
      <c r="DO142" s="357"/>
      <c r="DP142" s="357"/>
      <c r="DQ142" s="357"/>
      <c r="DR142" s="357"/>
      <c r="DS142" s="357"/>
      <c r="DT142" s="357"/>
      <c r="DU142" s="357"/>
      <c r="DV142" s="357"/>
      <c r="DW142" s="357"/>
      <c r="DX142" s="357"/>
      <c r="DY142" s="357"/>
      <c r="DZ142" s="357"/>
      <c r="EA142" s="357"/>
      <c r="EB142" s="357"/>
      <c r="EC142" s="357"/>
      <c r="ED142" s="357"/>
      <c r="EE142" s="357"/>
      <c r="EF142" s="357"/>
      <c r="EG142" s="357"/>
      <c r="EH142" s="357"/>
      <c r="EI142" s="357"/>
      <c r="EJ142" s="357"/>
      <c r="EK142" s="357"/>
      <c r="EL142" s="357"/>
      <c r="EM142" s="357"/>
      <c r="EN142" s="357"/>
      <c r="EO142" s="357"/>
      <c r="EP142" s="357"/>
      <c r="EQ142" s="357"/>
      <c r="ER142" s="357"/>
      <c r="ES142" s="357"/>
      <c r="ET142" s="357"/>
      <c r="EU142" s="357"/>
      <c r="EV142" s="357"/>
      <c r="EW142" s="357"/>
      <c r="EX142" s="357"/>
      <c r="EY142" s="357"/>
      <c r="EZ142" s="357"/>
      <c r="FA142" s="357"/>
      <c r="FB142" s="357"/>
      <c r="FC142" s="357"/>
      <c r="FD142" s="357"/>
      <c r="FE142" s="357"/>
      <c r="FF142" s="357"/>
      <c r="FG142" s="357"/>
      <c r="FH142" s="357"/>
      <c r="FI142" s="357"/>
      <c r="FJ142" s="357"/>
      <c r="FK142" s="357"/>
      <c r="FL142" s="357"/>
      <c r="FM142" s="357"/>
      <c r="FN142" s="357"/>
      <c r="FO142" s="357"/>
      <c r="FP142" s="357"/>
      <c r="FQ142" s="357"/>
      <c r="FR142" s="357"/>
      <c r="FS142" s="357"/>
      <c r="FT142" s="357"/>
      <c r="FU142" s="357"/>
      <c r="FV142" s="357"/>
      <c r="FW142" s="357"/>
      <c r="FX142" s="357"/>
      <c r="FY142" s="357"/>
      <c r="FZ142" s="357"/>
      <c r="GA142" s="357"/>
      <c r="GB142" s="357"/>
      <c r="GC142" s="357"/>
      <c r="GD142" s="357"/>
      <c r="GE142" s="357"/>
      <c r="GF142" s="357"/>
      <c r="GG142" s="357"/>
      <c r="GH142" s="357"/>
      <c r="GI142" s="357"/>
      <c r="GJ142" s="357"/>
      <c r="GK142" s="154"/>
      <c r="GL142" s="154"/>
      <c r="GM142" s="154"/>
      <c r="GN142" s="154"/>
      <c r="GO142" s="154"/>
      <c r="GP142" s="154"/>
      <c r="GQ142" s="154"/>
      <c r="GR142" s="154"/>
      <c r="GS142" s="154"/>
      <c r="GT142" s="154"/>
      <c r="GU142" s="154"/>
      <c r="GV142" s="154"/>
      <c r="GW142" s="154"/>
      <c r="GX142" s="154"/>
    </row>
    <row r="143" spans="7:206">
      <c r="G143" s="154"/>
      <c r="H143" s="154"/>
      <c r="I143" s="154"/>
      <c r="J143" s="154"/>
      <c r="K143" s="154"/>
      <c r="L143" s="154"/>
      <c r="M143" s="154"/>
      <c r="N143" s="154"/>
      <c r="O143" s="154"/>
      <c r="P143" s="154"/>
      <c r="Q143" s="154"/>
      <c r="R143" s="154"/>
      <c r="S143" s="154"/>
      <c r="T143" s="154"/>
      <c r="U143" s="154"/>
      <c r="V143" s="154"/>
      <c r="W143" s="154"/>
      <c r="X143" s="154"/>
      <c r="Y143" s="154"/>
      <c r="Z143" s="357"/>
      <c r="AA143" s="357"/>
      <c r="AB143" s="357"/>
      <c r="AC143" s="357"/>
      <c r="AD143" s="357"/>
      <c r="AE143" s="357"/>
      <c r="AF143" s="357"/>
      <c r="AG143" s="357"/>
      <c r="AH143" s="357"/>
      <c r="AI143" s="357"/>
      <c r="AJ143" s="357"/>
      <c r="AK143" s="357"/>
      <c r="AL143" s="357"/>
      <c r="AM143" s="357"/>
      <c r="AN143" s="357"/>
      <c r="AO143" s="357"/>
      <c r="AP143" s="357"/>
      <c r="AQ143" s="357"/>
      <c r="AR143" s="357"/>
      <c r="AS143" s="357"/>
      <c r="AT143" s="357"/>
      <c r="AU143" s="357"/>
      <c r="AV143" s="357"/>
      <c r="AW143" s="357"/>
      <c r="AX143" s="357"/>
      <c r="AY143" s="357"/>
      <c r="AZ143" s="357"/>
      <c r="BA143" s="357"/>
      <c r="BB143" s="357"/>
      <c r="BC143" s="357"/>
      <c r="BD143" s="357"/>
      <c r="BE143" s="357"/>
      <c r="BF143" s="357"/>
      <c r="BG143" s="357"/>
      <c r="BH143" s="357"/>
      <c r="BI143" s="357"/>
      <c r="BJ143" s="357"/>
      <c r="BK143" s="357"/>
      <c r="BL143" s="357"/>
      <c r="BM143" s="357"/>
      <c r="BN143" s="357"/>
      <c r="BO143" s="357"/>
      <c r="BP143" s="357"/>
      <c r="BQ143" s="357"/>
      <c r="BR143" s="357"/>
      <c r="BS143" s="357"/>
      <c r="BT143" s="357"/>
      <c r="BU143" s="357"/>
      <c r="BV143" s="357"/>
      <c r="BW143" s="357"/>
      <c r="BX143" s="357"/>
      <c r="BY143" s="357"/>
      <c r="BZ143" s="357"/>
      <c r="CA143" s="357"/>
      <c r="CB143" s="357"/>
      <c r="CC143" s="357"/>
      <c r="CD143" s="357"/>
      <c r="CE143" s="357"/>
      <c r="CF143" s="357"/>
      <c r="CG143" s="357"/>
      <c r="CH143" s="357"/>
      <c r="CI143" s="357"/>
      <c r="CJ143" s="357"/>
      <c r="CK143" s="357"/>
      <c r="CL143" s="357"/>
      <c r="CM143" s="357"/>
      <c r="CN143" s="357"/>
      <c r="CO143" s="357"/>
      <c r="CP143" s="357"/>
      <c r="CQ143" s="357"/>
      <c r="CR143" s="357"/>
      <c r="CS143" s="357"/>
      <c r="CT143" s="357"/>
      <c r="CU143" s="357"/>
      <c r="CV143" s="357"/>
      <c r="CW143" s="357"/>
      <c r="CX143" s="357"/>
      <c r="CY143" s="357"/>
      <c r="CZ143" s="357"/>
      <c r="DA143" s="357"/>
      <c r="DB143" s="357"/>
      <c r="DC143" s="357"/>
      <c r="DD143" s="357"/>
      <c r="DE143" s="357"/>
      <c r="DF143" s="357"/>
      <c r="DG143" s="357"/>
      <c r="DH143" s="357"/>
      <c r="DI143" s="357"/>
      <c r="DJ143" s="357"/>
      <c r="DK143" s="357"/>
      <c r="DL143" s="357"/>
      <c r="DM143" s="357"/>
      <c r="DN143" s="357"/>
      <c r="DO143" s="357"/>
      <c r="DP143" s="357"/>
      <c r="DQ143" s="357"/>
      <c r="DR143" s="357"/>
      <c r="DS143" s="357"/>
      <c r="DT143" s="357"/>
      <c r="DU143" s="357"/>
      <c r="DV143" s="357"/>
      <c r="DW143" s="357"/>
      <c r="DX143" s="357"/>
      <c r="DY143" s="357"/>
      <c r="DZ143" s="357"/>
      <c r="EA143" s="357"/>
      <c r="EB143" s="357"/>
      <c r="EC143" s="357"/>
      <c r="ED143" s="357"/>
      <c r="EE143" s="357"/>
      <c r="EF143" s="357"/>
      <c r="EG143" s="357"/>
      <c r="EH143" s="357"/>
      <c r="EI143" s="357"/>
      <c r="EJ143" s="357"/>
      <c r="EK143" s="357"/>
      <c r="EL143" s="357"/>
      <c r="EM143" s="357"/>
      <c r="EN143" s="357"/>
      <c r="EO143" s="357"/>
      <c r="EP143" s="357"/>
      <c r="EQ143" s="357"/>
      <c r="ER143" s="357"/>
      <c r="ES143" s="357"/>
      <c r="ET143" s="357"/>
      <c r="EU143" s="357"/>
      <c r="EV143" s="357"/>
      <c r="EW143" s="357"/>
      <c r="EX143" s="357"/>
      <c r="EY143" s="357"/>
      <c r="EZ143" s="357"/>
      <c r="FA143" s="357"/>
      <c r="FB143" s="357"/>
      <c r="FC143" s="357"/>
      <c r="FD143" s="357"/>
      <c r="FE143" s="357"/>
      <c r="FF143" s="357"/>
      <c r="FG143" s="357"/>
      <c r="FH143" s="357"/>
      <c r="FI143" s="357"/>
      <c r="FJ143" s="357"/>
      <c r="FK143" s="357"/>
      <c r="FL143" s="357"/>
      <c r="FM143" s="357"/>
      <c r="FN143" s="357"/>
      <c r="FO143" s="357"/>
      <c r="FP143" s="357"/>
      <c r="FQ143" s="357"/>
      <c r="FR143" s="357"/>
      <c r="FS143" s="357"/>
      <c r="FT143" s="357"/>
      <c r="FU143" s="357"/>
      <c r="FV143" s="357"/>
      <c r="FW143" s="357"/>
      <c r="FX143" s="357"/>
      <c r="FY143" s="357"/>
      <c r="FZ143" s="357"/>
      <c r="GA143" s="357"/>
      <c r="GB143" s="357"/>
      <c r="GC143" s="357"/>
      <c r="GD143" s="357"/>
      <c r="GE143" s="357"/>
      <c r="GF143" s="357"/>
      <c r="GG143" s="357"/>
      <c r="GH143" s="357"/>
      <c r="GI143" s="357"/>
      <c r="GJ143" s="357"/>
      <c r="GK143" s="154"/>
      <c r="GL143" s="154"/>
      <c r="GM143" s="154"/>
      <c r="GN143" s="154"/>
      <c r="GO143" s="154"/>
      <c r="GP143" s="154"/>
      <c r="GQ143" s="154"/>
      <c r="GR143" s="154"/>
      <c r="GS143" s="154"/>
      <c r="GT143" s="154"/>
      <c r="GU143" s="154"/>
      <c r="GV143" s="154"/>
      <c r="GW143" s="154"/>
      <c r="GX143" s="154"/>
    </row>
    <row r="144" spans="7:206">
      <c r="G144" s="154"/>
      <c r="H144" s="154"/>
      <c r="I144" s="154"/>
      <c r="J144" s="154"/>
      <c r="K144" s="154"/>
      <c r="L144" s="154"/>
      <c r="M144" s="154"/>
      <c r="N144" s="154"/>
      <c r="O144" s="154"/>
      <c r="P144" s="154"/>
      <c r="Q144" s="154"/>
      <c r="R144" s="154"/>
      <c r="S144" s="154"/>
      <c r="T144" s="154"/>
      <c r="U144" s="154"/>
      <c r="V144" s="154"/>
      <c r="W144" s="154"/>
      <c r="X144" s="154"/>
      <c r="Y144" s="154"/>
      <c r="Z144" s="357"/>
      <c r="AA144" s="357"/>
      <c r="AB144" s="357"/>
      <c r="AC144" s="357"/>
      <c r="AD144" s="357"/>
      <c r="AE144" s="357"/>
      <c r="AF144" s="357"/>
      <c r="AG144" s="357"/>
      <c r="AH144" s="357"/>
      <c r="AI144" s="357"/>
      <c r="AJ144" s="357"/>
      <c r="AK144" s="357"/>
      <c r="AL144" s="357"/>
      <c r="AM144" s="357"/>
      <c r="AN144" s="357"/>
      <c r="AO144" s="357"/>
      <c r="AP144" s="357"/>
      <c r="AQ144" s="357"/>
      <c r="AR144" s="357"/>
      <c r="AS144" s="357"/>
      <c r="AT144" s="357"/>
      <c r="AU144" s="357"/>
      <c r="AV144" s="357"/>
      <c r="AW144" s="357"/>
      <c r="AX144" s="357"/>
      <c r="AY144" s="357"/>
      <c r="AZ144" s="357"/>
      <c r="BA144" s="357"/>
      <c r="BB144" s="357"/>
      <c r="BC144" s="357"/>
      <c r="BD144" s="357"/>
      <c r="BE144" s="357"/>
      <c r="BF144" s="357"/>
      <c r="BG144" s="357"/>
      <c r="BH144" s="357"/>
      <c r="BI144" s="357"/>
      <c r="BJ144" s="357"/>
      <c r="BK144" s="357"/>
      <c r="BL144" s="357"/>
      <c r="BM144" s="357"/>
      <c r="BN144" s="357"/>
      <c r="BO144" s="357"/>
      <c r="BP144" s="357"/>
      <c r="BQ144" s="357"/>
      <c r="BR144" s="357"/>
      <c r="BS144" s="357"/>
      <c r="BT144" s="357"/>
      <c r="BU144" s="357"/>
      <c r="BV144" s="357"/>
      <c r="BW144" s="357"/>
      <c r="BX144" s="357"/>
      <c r="BY144" s="357"/>
      <c r="BZ144" s="357"/>
      <c r="CA144" s="357"/>
      <c r="CB144" s="357"/>
      <c r="CC144" s="357"/>
      <c r="CD144" s="357"/>
      <c r="CE144" s="357"/>
      <c r="CF144" s="357"/>
      <c r="CG144" s="357"/>
      <c r="CH144" s="357"/>
      <c r="CI144" s="357"/>
      <c r="CJ144" s="357"/>
      <c r="CK144" s="357"/>
      <c r="CL144" s="357"/>
      <c r="CM144" s="357"/>
      <c r="CN144" s="357"/>
      <c r="CO144" s="357"/>
      <c r="CP144" s="357"/>
      <c r="CQ144" s="357"/>
      <c r="CR144" s="357"/>
      <c r="CS144" s="357"/>
      <c r="CT144" s="357"/>
      <c r="CU144" s="357"/>
      <c r="CV144" s="357"/>
      <c r="CW144" s="357"/>
      <c r="CX144" s="357"/>
      <c r="CY144" s="357"/>
      <c r="CZ144" s="357"/>
      <c r="DA144" s="357"/>
      <c r="DB144" s="357"/>
      <c r="DC144" s="357"/>
      <c r="DD144" s="357"/>
      <c r="DE144" s="357"/>
      <c r="DF144" s="357"/>
      <c r="DG144" s="357"/>
      <c r="DH144" s="357"/>
      <c r="DI144" s="357"/>
      <c r="DJ144" s="357"/>
      <c r="DK144" s="357"/>
      <c r="DL144" s="357"/>
      <c r="DM144" s="357"/>
      <c r="DN144" s="357"/>
      <c r="DO144" s="357"/>
      <c r="DP144" s="357"/>
      <c r="DQ144" s="357"/>
      <c r="DR144" s="357"/>
      <c r="DS144" s="357"/>
      <c r="DT144" s="357"/>
      <c r="DU144" s="357"/>
      <c r="DV144" s="357"/>
      <c r="DW144" s="357"/>
      <c r="DX144" s="357"/>
      <c r="DY144" s="357"/>
      <c r="DZ144" s="357"/>
      <c r="EA144" s="357"/>
      <c r="EB144" s="357"/>
      <c r="EC144" s="357"/>
      <c r="ED144" s="357"/>
      <c r="EE144" s="357"/>
      <c r="EF144" s="357"/>
      <c r="EG144" s="357"/>
      <c r="EH144" s="357"/>
      <c r="EI144" s="357"/>
      <c r="EJ144" s="357"/>
      <c r="EK144" s="357"/>
      <c r="EL144" s="357"/>
      <c r="EM144" s="357"/>
      <c r="EN144" s="357"/>
      <c r="EO144" s="357"/>
      <c r="EP144" s="357"/>
      <c r="EQ144" s="357"/>
      <c r="ER144" s="357"/>
      <c r="ES144" s="357"/>
      <c r="ET144" s="357"/>
      <c r="EU144" s="357"/>
      <c r="EV144" s="357"/>
      <c r="EW144" s="357"/>
      <c r="EX144" s="357"/>
      <c r="EY144" s="357"/>
      <c r="EZ144" s="357"/>
      <c r="FA144" s="357"/>
      <c r="FB144" s="357"/>
      <c r="FC144" s="357"/>
      <c r="FD144" s="357"/>
      <c r="FE144" s="357"/>
      <c r="FF144" s="357"/>
      <c r="FG144" s="357"/>
      <c r="FH144" s="357"/>
      <c r="FI144" s="357"/>
      <c r="FJ144" s="357"/>
      <c r="FK144" s="357"/>
      <c r="FL144" s="357"/>
      <c r="FM144" s="357"/>
      <c r="FN144" s="357"/>
      <c r="FO144" s="357"/>
      <c r="FP144" s="357"/>
      <c r="FQ144" s="357"/>
      <c r="FR144" s="357"/>
      <c r="FS144" s="357"/>
      <c r="FT144" s="357"/>
      <c r="FU144" s="357"/>
      <c r="FV144" s="357"/>
      <c r="FW144" s="357"/>
      <c r="FX144" s="357"/>
      <c r="FY144" s="357"/>
      <c r="FZ144" s="357"/>
      <c r="GA144" s="357"/>
      <c r="GB144" s="357"/>
      <c r="GC144" s="357"/>
      <c r="GD144" s="357"/>
      <c r="GE144" s="357"/>
      <c r="GF144" s="357"/>
      <c r="GG144" s="357"/>
      <c r="GH144" s="357"/>
      <c r="GI144" s="357"/>
      <c r="GJ144" s="357"/>
      <c r="GK144" s="154"/>
      <c r="GL144" s="154"/>
      <c r="GM144" s="154"/>
      <c r="GN144" s="154"/>
      <c r="GO144" s="154"/>
      <c r="GP144" s="154"/>
      <c r="GQ144" s="154"/>
      <c r="GR144" s="154"/>
      <c r="GS144" s="154"/>
      <c r="GT144" s="154"/>
      <c r="GU144" s="154"/>
      <c r="GV144" s="154"/>
      <c r="GW144" s="154"/>
      <c r="GX144" s="154"/>
    </row>
    <row r="145" spans="7:206">
      <c r="G145" s="154"/>
      <c r="H145" s="154"/>
      <c r="I145" s="154"/>
      <c r="J145" s="154"/>
      <c r="K145" s="154"/>
      <c r="L145" s="154"/>
      <c r="M145" s="154"/>
      <c r="N145" s="154"/>
      <c r="O145" s="154"/>
      <c r="P145" s="154"/>
      <c r="Q145" s="154"/>
      <c r="R145" s="154"/>
      <c r="S145" s="154"/>
      <c r="T145" s="154"/>
      <c r="U145" s="154"/>
      <c r="V145" s="154"/>
      <c r="W145" s="154"/>
      <c r="X145" s="154"/>
      <c r="Y145" s="154"/>
      <c r="Z145" s="357"/>
      <c r="AA145" s="357"/>
      <c r="AB145" s="357"/>
      <c r="AC145" s="357"/>
      <c r="AD145" s="357"/>
      <c r="AE145" s="357"/>
      <c r="AF145" s="357"/>
      <c r="AG145" s="357"/>
      <c r="AH145" s="357"/>
      <c r="AI145" s="357"/>
      <c r="AJ145" s="357"/>
      <c r="AK145" s="357"/>
      <c r="AL145" s="357"/>
      <c r="AM145" s="357"/>
      <c r="AN145" s="357"/>
      <c r="AO145" s="357"/>
      <c r="AP145" s="357"/>
      <c r="AQ145" s="357"/>
      <c r="AR145" s="357"/>
      <c r="AS145" s="357"/>
      <c r="AT145" s="357"/>
      <c r="AU145" s="357"/>
      <c r="AV145" s="357"/>
      <c r="AW145" s="357"/>
      <c r="AX145" s="357"/>
      <c r="AY145" s="357"/>
      <c r="AZ145" s="357"/>
      <c r="BA145" s="357"/>
      <c r="BB145" s="357"/>
      <c r="BC145" s="357"/>
      <c r="BD145" s="357"/>
      <c r="BE145" s="357"/>
      <c r="BF145" s="357"/>
      <c r="BG145" s="357"/>
      <c r="BH145" s="357"/>
      <c r="BI145" s="357"/>
      <c r="BJ145" s="357"/>
      <c r="BK145" s="357"/>
      <c r="BL145" s="357"/>
      <c r="BM145" s="357"/>
      <c r="BN145" s="357"/>
      <c r="BO145" s="357"/>
      <c r="BP145" s="357"/>
      <c r="BQ145" s="357"/>
      <c r="BR145" s="357"/>
      <c r="BS145" s="357"/>
      <c r="BT145" s="357"/>
      <c r="BU145" s="357"/>
      <c r="BV145" s="357"/>
      <c r="BW145" s="357"/>
      <c r="BX145" s="357"/>
      <c r="BY145" s="357"/>
      <c r="BZ145" s="357"/>
      <c r="CA145" s="357"/>
      <c r="CB145" s="357"/>
      <c r="CC145" s="357"/>
      <c r="CD145" s="357"/>
      <c r="CE145" s="357"/>
      <c r="CF145" s="357"/>
      <c r="CG145" s="357"/>
      <c r="CH145" s="357"/>
      <c r="CI145" s="357"/>
      <c r="CJ145" s="357"/>
      <c r="CK145" s="357"/>
      <c r="CL145" s="357"/>
      <c r="CM145" s="357"/>
      <c r="CN145" s="357"/>
      <c r="CO145" s="357"/>
      <c r="CP145" s="357"/>
      <c r="CQ145" s="357"/>
      <c r="CR145" s="357"/>
      <c r="CS145" s="357"/>
      <c r="CT145" s="357"/>
      <c r="CU145" s="357"/>
      <c r="CV145" s="357"/>
      <c r="CW145" s="357"/>
      <c r="CX145" s="357"/>
      <c r="CY145" s="357"/>
      <c r="CZ145" s="357"/>
      <c r="DA145" s="357"/>
      <c r="DB145" s="357"/>
      <c r="DC145" s="357"/>
      <c r="DD145" s="357"/>
      <c r="DE145" s="357"/>
      <c r="DF145" s="357"/>
      <c r="DG145" s="357"/>
      <c r="DH145" s="357"/>
      <c r="DI145" s="357"/>
      <c r="DJ145" s="357"/>
      <c r="DK145" s="357"/>
      <c r="DL145" s="357"/>
      <c r="DM145" s="357"/>
      <c r="DN145" s="357"/>
      <c r="DO145" s="357"/>
      <c r="DP145" s="357"/>
      <c r="DQ145" s="357"/>
      <c r="DR145" s="357"/>
      <c r="DS145" s="357"/>
      <c r="DT145" s="357"/>
      <c r="DU145" s="357"/>
      <c r="DV145" s="357"/>
      <c r="DW145" s="357"/>
      <c r="DX145" s="357"/>
      <c r="DY145" s="357"/>
      <c r="DZ145" s="357"/>
      <c r="EA145" s="357"/>
      <c r="EB145" s="357"/>
      <c r="EC145" s="357"/>
      <c r="ED145" s="357"/>
      <c r="EE145" s="357"/>
      <c r="EF145" s="357"/>
      <c r="EG145" s="357"/>
      <c r="EH145" s="357"/>
      <c r="EI145" s="357"/>
      <c r="EJ145" s="357"/>
      <c r="EK145" s="357"/>
      <c r="EL145" s="357"/>
      <c r="EM145" s="357"/>
      <c r="EN145" s="357"/>
      <c r="EO145" s="357"/>
      <c r="EP145" s="357"/>
      <c r="EQ145" s="357"/>
      <c r="ER145" s="357"/>
      <c r="ES145" s="357"/>
      <c r="ET145" s="357"/>
      <c r="EU145" s="357"/>
      <c r="EV145" s="357"/>
      <c r="EW145" s="357"/>
      <c r="EX145" s="357"/>
      <c r="EY145" s="357"/>
      <c r="EZ145" s="357"/>
      <c r="FA145" s="357"/>
      <c r="FB145" s="357"/>
      <c r="FC145" s="357"/>
      <c r="FD145" s="357"/>
      <c r="FE145" s="357"/>
      <c r="FF145" s="357"/>
      <c r="FG145" s="357"/>
      <c r="FH145" s="357"/>
      <c r="FI145" s="357"/>
      <c r="FJ145" s="357"/>
      <c r="FK145" s="357"/>
      <c r="FL145" s="357"/>
      <c r="FM145" s="357"/>
      <c r="FN145" s="357"/>
      <c r="FO145" s="357"/>
      <c r="FP145" s="357"/>
      <c r="FQ145" s="357"/>
      <c r="FR145" s="357"/>
      <c r="FS145" s="357"/>
      <c r="FT145" s="357"/>
      <c r="FU145" s="357"/>
      <c r="FV145" s="357"/>
      <c r="FW145" s="357"/>
      <c r="FX145" s="357"/>
      <c r="FY145" s="357"/>
      <c r="FZ145" s="357"/>
      <c r="GA145" s="357"/>
      <c r="GB145" s="357"/>
      <c r="GC145" s="357"/>
      <c r="GD145" s="357"/>
      <c r="GE145" s="357"/>
      <c r="GF145" s="357"/>
      <c r="GG145" s="357"/>
      <c r="GH145" s="357"/>
      <c r="GI145" s="357"/>
      <c r="GJ145" s="357"/>
      <c r="GK145" s="154"/>
      <c r="GL145" s="154"/>
      <c r="GM145" s="154"/>
      <c r="GN145" s="154"/>
      <c r="GO145" s="154"/>
      <c r="GP145" s="154"/>
      <c r="GQ145" s="154"/>
      <c r="GR145" s="154"/>
      <c r="GS145" s="154"/>
      <c r="GT145" s="154"/>
      <c r="GU145" s="154"/>
      <c r="GV145" s="154"/>
      <c r="GW145" s="154"/>
      <c r="GX145" s="154"/>
    </row>
    <row r="146" spans="7:206">
      <c r="G146" s="154"/>
      <c r="H146" s="154"/>
      <c r="I146" s="154"/>
      <c r="J146" s="154"/>
      <c r="K146" s="154"/>
      <c r="L146" s="154"/>
      <c r="M146" s="154"/>
      <c r="N146" s="154"/>
      <c r="O146" s="154"/>
      <c r="P146" s="154"/>
      <c r="Q146" s="154"/>
      <c r="R146" s="154"/>
      <c r="S146" s="154"/>
      <c r="T146" s="154"/>
      <c r="U146" s="154"/>
      <c r="V146" s="154"/>
      <c r="W146" s="154"/>
      <c r="X146" s="154"/>
      <c r="Y146" s="154"/>
      <c r="Z146" s="357"/>
      <c r="AA146" s="357"/>
      <c r="AB146" s="357"/>
      <c r="AC146" s="357"/>
      <c r="AD146" s="357"/>
      <c r="AE146" s="357"/>
      <c r="AF146" s="357"/>
      <c r="AG146" s="357"/>
      <c r="AH146" s="357"/>
      <c r="AI146" s="357"/>
      <c r="AJ146" s="357"/>
      <c r="AK146" s="357"/>
      <c r="AL146" s="357"/>
      <c r="AM146" s="357"/>
      <c r="AN146" s="357"/>
      <c r="AO146" s="357"/>
      <c r="AP146" s="357"/>
      <c r="AQ146" s="357"/>
      <c r="AR146" s="357"/>
      <c r="AS146" s="357"/>
      <c r="AT146" s="357"/>
      <c r="AU146" s="357"/>
      <c r="AV146" s="357"/>
      <c r="AW146" s="357"/>
      <c r="AX146" s="357"/>
      <c r="AY146" s="357"/>
      <c r="AZ146" s="357"/>
      <c r="BA146" s="357"/>
      <c r="BB146" s="357"/>
      <c r="BC146" s="357"/>
      <c r="BD146" s="357"/>
      <c r="BE146" s="357"/>
      <c r="BF146" s="357"/>
      <c r="BG146" s="357"/>
      <c r="BH146" s="357"/>
      <c r="BI146" s="357"/>
      <c r="BJ146" s="357"/>
      <c r="BK146" s="357"/>
      <c r="BL146" s="357"/>
      <c r="BM146" s="357"/>
      <c r="BN146" s="357"/>
      <c r="BO146" s="357"/>
      <c r="BP146" s="357"/>
      <c r="BQ146" s="357"/>
      <c r="BR146" s="357"/>
      <c r="BS146" s="357"/>
      <c r="BT146" s="357"/>
      <c r="BU146" s="357"/>
      <c r="BV146" s="357"/>
      <c r="BW146" s="357"/>
      <c r="BX146" s="357"/>
      <c r="BY146" s="357"/>
      <c r="BZ146" s="357"/>
      <c r="CA146" s="357"/>
      <c r="CB146" s="357"/>
      <c r="CC146" s="357"/>
      <c r="CD146" s="357"/>
      <c r="CE146" s="357"/>
      <c r="CF146" s="357"/>
      <c r="CG146" s="357"/>
      <c r="CH146" s="357"/>
      <c r="CI146" s="357"/>
      <c r="CJ146" s="357"/>
      <c r="CK146" s="357"/>
      <c r="CL146" s="357"/>
      <c r="CM146" s="357"/>
      <c r="CN146" s="357"/>
      <c r="CO146" s="357"/>
      <c r="CP146" s="357"/>
      <c r="CQ146" s="357"/>
      <c r="CR146" s="357"/>
      <c r="CS146" s="357"/>
      <c r="CT146" s="357"/>
      <c r="CU146" s="357"/>
      <c r="CV146" s="357"/>
      <c r="CW146" s="357"/>
      <c r="CX146" s="357"/>
      <c r="CY146" s="357"/>
      <c r="CZ146" s="357"/>
      <c r="DA146" s="357"/>
      <c r="DB146" s="357"/>
      <c r="DC146" s="357"/>
      <c r="DD146" s="357"/>
      <c r="DE146" s="357"/>
      <c r="DF146" s="357"/>
      <c r="DG146" s="357"/>
      <c r="DH146" s="357"/>
      <c r="DI146" s="357"/>
      <c r="DJ146" s="357"/>
      <c r="DK146" s="357"/>
      <c r="DL146" s="357"/>
      <c r="DM146" s="357"/>
      <c r="DN146" s="357"/>
      <c r="DO146" s="357"/>
      <c r="DP146" s="357"/>
      <c r="DQ146" s="357"/>
      <c r="DR146" s="357"/>
      <c r="DS146" s="357"/>
      <c r="DT146" s="357"/>
      <c r="DU146" s="357"/>
      <c r="DV146" s="357"/>
      <c r="DW146" s="357"/>
      <c r="DX146" s="357"/>
      <c r="DY146" s="357"/>
      <c r="DZ146" s="357"/>
      <c r="EA146" s="357"/>
      <c r="EB146" s="357"/>
      <c r="EC146" s="357"/>
      <c r="ED146" s="357"/>
      <c r="EE146" s="357"/>
      <c r="EF146" s="357"/>
      <c r="EG146" s="357"/>
      <c r="EH146" s="357"/>
      <c r="EI146" s="357"/>
      <c r="EJ146" s="357"/>
      <c r="EK146" s="357"/>
      <c r="EL146" s="357"/>
      <c r="EM146" s="357"/>
      <c r="EN146" s="357"/>
      <c r="EO146" s="357"/>
      <c r="EP146" s="357"/>
      <c r="EQ146" s="357"/>
      <c r="ER146" s="357"/>
      <c r="ES146" s="357"/>
      <c r="ET146" s="357"/>
      <c r="EU146" s="357"/>
      <c r="EV146" s="357"/>
      <c r="EW146" s="357"/>
      <c r="EX146" s="357"/>
      <c r="EY146" s="357"/>
      <c r="EZ146" s="357"/>
      <c r="FA146" s="357"/>
      <c r="FB146" s="357"/>
      <c r="FC146" s="357"/>
      <c r="FD146" s="357"/>
      <c r="FE146" s="357"/>
      <c r="FF146" s="357"/>
      <c r="FG146" s="357"/>
      <c r="FH146" s="357"/>
      <c r="FI146" s="357"/>
      <c r="FJ146" s="357"/>
      <c r="FK146" s="357"/>
      <c r="FL146" s="357"/>
      <c r="FM146" s="357"/>
      <c r="FN146" s="357"/>
      <c r="FO146" s="357"/>
      <c r="FP146" s="357"/>
      <c r="FQ146" s="357"/>
      <c r="FR146" s="357"/>
      <c r="FS146" s="357"/>
      <c r="FT146" s="357"/>
      <c r="FU146" s="357"/>
      <c r="FV146" s="357"/>
      <c r="FW146" s="357"/>
      <c r="FX146" s="357"/>
      <c r="FY146" s="357"/>
      <c r="FZ146" s="357"/>
      <c r="GA146" s="357"/>
      <c r="GB146" s="357"/>
      <c r="GC146" s="357"/>
      <c r="GD146" s="357"/>
      <c r="GE146" s="357"/>
      <c r="GF146" s="357"/>
      <c r="GG146" s="357"/>
      <c r="GH146" s="357"/>
      <c r="GI146" s="357"/>
      <c r="GJ146" s="357"/>
      <c r="GK146" s="154"/>
      <c r="GL146" s="154"/>
      <c r="GM146" s="154"/>
      <c r="GN146" s="154"/>
      <c r="GO146" s="154"/>
      <c r="GP146" s="154"/>
      <c r="GQ146" s="154"/>
      <c r="GR146" s="154"/>
      <c r="GS146" s="154"/>
      <c r="GT146" s="154"/>
      <c r="GU146" s="154"/>
      <c r="GV146" s="154"/>
      <c r="GW146" s="154"/>
      <c r="GX146" s="154"/>
    </row>
    <row r="147" spans="7:206">
      <c r="G147" s="154"/>
      <c r="H147" s="154"/>
      <c r="I147" s="154"/>
      <c r="J147" s="154"/>
      <c r="K147" s="154"/>
      <c r="L147" s="154"/>
      <c r="M147" s="154"/>
      <c r="N147" s="154"/>
      <c r="O147" s="154"/>
      <c r="P147" s="154"/>
      <c r="Q147" s="154"/>
      <c r="R147" s="154"/>
      <c r="S147" s="154"/>
      <c r="T147" s="154"/>
      <c r="U147" s="154"/>
      <c r="V147" s="154"/>
      <c r="W147" s="154"/>
      <c r="X147" s="154"/>
      <c r="Y147" s="154"/>
      <c r="Z147" s="357"/>
      <c r="AA147" s="357"/>
      <c r="AB147" s="357"/>
      <c r="AC147" s="357"/>
      <c r="AD147" s="357"/>
      <c r="AE147" s="357"/>
      <c r="AF147" s="357"/>
      <c r="AG147" s="357"/>
      <c r="AH147" s="357"/>
      <c r="AI147" s="357"/>
      <c r="AJ147" s="357"/>
      <c r="AK147" s="357"/>
      <c r="AL147" s="357"/>
      <c r="AM147" s="357"/>
      <c r="AN147" s="357"/>
      <c r="AO147" s="357"/>
      <c r="AP147" s="357"/>
      <c r="AQ147" s="357"/>
      <c r="AR147" s="357"/>
      <c r="AS147" s="357"/>
      <c r="AT147" s="357"/>
      <c r="AU147" s="357"/>
      <c r="AV147" s="357"/>
      <c r="AW147" s="357"/>
      <c r="AX147" s="357"/>
      <c r="AY147" s="357"/>
      <c r="AZ147" s="357"/>
      <c r="BA147" s="357"/>
      <c r="BB147" s="357"/>
      <c r="BC147" s="357"/>
      <c r="BD147" s="357"/>
      <c r="BE147" s="357"/>
      <c r="BF147" s="357"/>
      <c r="BG147" s="357"/>
      <c r="BH147" s="357"/>
      <c r="BI147" s="357"/>
      <c r="BJ147" s="357"/>
      <c r="BK147" s="357"/>
      <c r="BL147" s="357"/>
      <c r="BM147" s="357"/>
      <c r="BN147" s="357"/>
      <c r="BO147" s="357"/>
      <c r="BP147" s="357"/>
      <c r="BQ147" s="357"/>
      <c r="BR147" s="357"/>
      <c r="BS147" s="357"/>
      <c r="BT147" s="357"/>
      <c r="BU147" s="357"/>
      <c r="BV147" s="357"/>
      <c r="BW147" s="357"/>
      <c r="BX147" s="357"/>
      <c r="BY147" s="357"/>
      <c r="BZ147" s="357"/>
      <c r="CA147" s="357"/>
      <c r="CB147" s="357"/>
      <c r="CC147" s="357"/>
      <c r="CD147" s="357"/>
      <c r="CE147" s="357"/>
      <c r="CF147" s="357"/>
      <c r="CG147" s="357"/>
      <c r="CH147" s="357"/>
      <c r="CI147" s="357"/>
      <c r="CJ147" s="357"/>
      <c r="CK147" s="357"/>
      <c r="CL147" s="357"/>
      <c r="CM147" s="357"/>
      <c r="CN147" s="357"/>
      <c r="CO147" s="357"/>
      <c r="CP147" s="357"/>
      <c r="CQ147" s="357"/>
      <c r="CR147" s="357"/>
      <c r="CS147" s="357"/>
      <c r="CT147" s="357"/>
      <c r="CU147" s="357"/>
      <c r="CV147" s="357"/>
      <c r="CW147" s="357"/>
      <c r="CX147" s="357"/>
      <c r="CY147" s="357"/>
      <c r="CZ147" s="357"/>
      <c r="DA147" s="357"/>
      <c r="DB147" s="357"/>
      <c r="DC147" s="357"/>
      <c r="DD147" s="357"/>
      <c r="DE147" s="357"/>
      <c r="DF147" s="357"/>
      <c r="DG147" s="357"/>
      <c r="DH147" s="357"/>
      <c r="DI147" s="357"/>
      <c r="DJ147" s="357"/>
      <c r="DK147" s="357"/>
      <c r="DL147" s="357"/>
      <c r="DM147" s="357"/>
      <c r="DN147" s="357"/>
      <c r="DO147" s="357"/>
      <c r="DP147" s="357"/>
      <c r="DQ147" s="357"/>
      <c r="DR147" s="357"/>
      <c r="DS147" s="357"/>
      <c r="DT147" s="357"/>
      <c r="DU147" s="357"/>
      <c r="DV147" s="357"/>
      <c r="DW147" s="357"/>
      <c r="DX147" s="357"/>
      <c r="DY147" s="357"/>
      <c r="DZ147" s="357"/>
      <c r="EA147" s="357"/>
      <c r="EB147" s="357"/>
      <c r="EC147" s="357"/>
      <c r="ED147" s="357"/>
      <c r="EE147" s="357"/>
      <c r="EF147" s="357"/>
      <c r="EG147" s="357"/>
      <c r="EH147" s="357"/>
      <c r="EI147" s="357"/>
      <c r="EJ147" s="357"/>
      <c r="EK147" s="357"/>
      <c r="EL147" s="357"/>
      <c r="EM147" s="357"/>
      <c r="EN147" s="357"/>
      <c r="EO147" s="357"/>
      <c r="EP147" s="357"/>
      <c r="EQ147" s="357"/>
      <c r="ER147" s="357"/>
      <c r="ES147" s="357"/>
      <c r="ET147" s="357"/>
      <c r="EU147" s="357"/>
      <c r="EV147" s="357"/>
      <c r="EW147" s="357"/>
      <c r="EX147" s="357"/>
      <c r="EY147" s="357"/>
      <c r="EZ147" s="357"/>
      <c r="FA147" s="357"/>
      <c r="FB147" s="357"/>
      <c r="FC147" s="357"/>
      <c r="FD147" s="357"/>
      <c r="FE147" s="357"/>
      <c r="FF147" s="357"/>
      <c r="FG147" s="357"/>
      <c r="FH147" s="357"/>
      <c r="FI147" s="357"/>
      <c r="FJ147" s="357"/>
      <c r="FK147" s="357"/>
      <c r="FL147" s="357"/>
      <c r="FM147" s="357"/>
      <c r="FN147" s="357"/>
      <c r="FO147" s="357"/>
      <c r="FP147" s="357"/>
      <c r="FQ147" s="357"/>
      <c r="FR147" s="357"/>
      <c r="FS147" s="357"/>
      <c r="FT147" s="357"/>
      <c r="FU147" s="357"/>
      <c r="FV147" s="357"/>
      <c r="FW147" s="357"/>
      <c r="FX147" s="357"/>
      <c r="FY147" s="357"/>
      <c r="FZ147" s="357"/>
      <c r="GA147" s="357"/>
      <c r="GB147" s="357"/>
      <c r="GC147" s="357"/>
      <c r="GD147" s="357"/>
      <c r="GE147" s="357"/>
      <c r="GF147" s="357"/>
      <c r="GG147" s="357"/>
      <c r="GH147" s="357"/>
      <c r="GI147" s="357"/>
      <c r="GJ147" s="357"/>
      <c r="GK147" s="154"/>
      <c r="GL147" s="154"/>
      <c r="GM147" s="154"/>
      <c r="GN147" s="154"/>
      <c r="GO147" s="154"/>
      <c r="GP147" s="154"/>
      <c r="GQ147" s="154"/>
      <c r="GR147" s="154"/>
      <c r="GS147" s="154"/>
      <c r="GT147" s="154"/>
      <c r="GU147" s="154"/>
      <c r="GV147" s="154"/>
      <c r="GW147" s="154"/>
      <c r="GX147" s="154"/>
    </row>
    <row r="148" spans="7:206">
      <c r="G148" s="154"/>
      <c r="H148" s="154"/>
      <c r="I148" s="154"/>
      <c r="J148" s="154"/>
      <c r="K148" s="154"/>
      <c r="L148" s="154"/>
      <c r="M148" s="154"/>
      <c r="N148" s="154"/>
      <c r="O148" s="154"/>
      <c r="P148" s="154"/>
      <c r="Q148" s="154"/>
      <c r="R148" s="154"/>
      <c r="S148" s="154"/>
      <c r="T148" s="154"/>
      <c r="U148" s="154"/>
      <c r="V148" s="154"/>
      <c r="W148" s="154"/>
      <c r="X148" s="154"/>
      <c r="Y148" s="154"/>
      <c r="Z148" s="357"/>
      <c r="AA148" s="357"/>
      <c r="AB148" s="357"/>
      <c r="AC148" s="357"/>
      <c r="AD148" s="357"/>
      <c r="AE148" s="357"/>
      <c r="AF148" s="357"/>
      <c r="AG148" s="357"/>
      <c r="AH148" s="357"/>
      <c r="AI148" s="357"/>
      <c r="AJ148" s="357"/>
      <c r="AK148" s="357"/>
      <c r="AL148" s="357"/>
      <c r="AM148" s="357"/>
      <c r="AN148" s="357"/>
      <c r="AO148" s="357"/>
      <c r="AP148" s="357"/>
      <c r="AQ148" s="357"/>
      <c r="AR148" s="357"/>
      <c r="AS148" s="357"/>
      <c r="AT148" s="357"/>
      <c r="AU148" s="357"/>
      <c r="AV148" s="357"/>
      <c r="AW148" s="357"/>
      <c r="AX148" s="357"/>
      <c r="AY148" s="357"/>
      <c r="AZ148" s="357"/>
      <c r="BA148" s="357"/>
      <c r="BB148" s="357"/>
      <c r="BC148" s="357"/>
      <c r="BD148" s="357"/>
      <c r="BE148" s="357"/>
      <c r="BF148" s="357"/>
      <c r="BG148" s="357"/>
      <c r="BH148" s="357"/>
      <c r="BI148" s="357"/>
      <c r="BJ148" s="357"/>
      <c r="BK148" s="357"/>
      <c r="BL148" s="357"/>
      <c r="BM148" s="357"/>
      <c r="BN148" s="357"/>
      <c r="BO148" s="357"/>
      <c r="BP148" s="357"/>
      <c r="BQ148" s="357"/>
      <c r="BR148" s="357"/>
      <c r="BS148" s="357"/>
      <c r="BT148" s="357"/>
      <c r="BU148" s="357"/>
      <c r="BV148" s="357"/>
      <c r="BW148" s="357"/>
      <c r="BX148" s="357"/>
      <c r="BY148" s="357"/>
      <c r="BZ148" s="357"/>
      <c r="CA148" s="357"/>
      <c r="CB148" s="357"/>
      <c r="CC148" s="357"/>
      <c r="CD148" s="357"/>
      <c r="CE148" s="357"/>
      <c r="CF148" s="357"/>
      <c r="CG148" s="357"/>
      <c r="CH148" s="357"/>
      <c r="CI148" s="357"/>
      <c r="CJ148" s="357"/>
      <c r="CK148" s="357"/>
      <c r="CL148" s="357"/>
      <c r="CM148" s="357"/>
      <c r="CN148" s="357"/>
      <c r="CO148" s="357"/>
      <c r="CP148" s="357"/>
      <c r="CQ148" s="357"/>
      <c r="CR148" s="357"/>
      <c r="CS148" s="357"/>
      <c r="CT148" s="357"/>
      <c r="CU148" s="357"/>
      <c r="CV148" s="357"/>
      <c r="CW148" s="357"/>
      <c r="CX148" s="357"/>
      <c r="CY148" s="357"/>
      <c r="CZ148" s="357"/>
      <c r="DA148" s="357"/>
      <c r="DB148" s="357"/>
      <c r="DC148" s="357"/>
      <c r="DD148" s="357"/>
      <c r="DE148" s="357"/>
      <c r="DF148" s="357"/>
      <c r="DG148" s="357"/>
      <c r="DH148" s="357"/>
      <c r="DI148" s="357"/>
      <c r="DJ148" s="357"/>
      <c r="DK148" s="357"/>
      <c r="DL148" s="357"/>
      <c r="DM148" s="357"/>
      <c r="DN148" s="357"/>
      <c r="DO148" s="357"/>
      <c r="DP148" s="357"/>
      <c r="DQ148" s="357"/>
      <c r="DR148" s="357"/>
      <c r="DS148" s="357"/>
      <c r="DT148" s="357"/>
      <c r="DU148" s="357"/>
      <c r="DV148" s="357"/>
      <c r="DW148" s="357"/>
      <c r="DX148" s="357"/>
      <c r="DY148" s="357"/>
      <c r="DZ148" s="357"/>
      <c r="EA148" s="357"/>
      <c r="EB148" s="357"/>
      <c r="EC148" s="357"/>
      <c r="ED148" s="357"/>
      <c r="EE148" s="357"/>
      <c r="EF148" s="357"/>
      <c r="EG148" s="357"/>
      <c r="EH148" s="357"/>
      <c r="EI148" s="357"/>
      <c r="EJ148" s="357"/>
      <c r="EK148" s="357"/>
      <c r="EL148" s="357"/>
      <c r="EM148" s="357"/>
      <c r="EN148" s="357"/>
      <c r="EO148" s="357"/>
      <c r="EP148" s="357"/>
      <c r="EQ148" s="357"/>
      <c r="ER148" s="357"/>
      <c r="ES148" s="357"/>
      <c r="ET148" s="357"/>
      <c r="EU148" s="357"/>
      <c r="EV148" s="357"/>
      <c r="EW148" s="357"/>
      <c r="EX148" s="357"/>
      <c r="EY148" s="357"/>
      <c r="EZ148" s="357"/>
      <c r="FA148" s="357"/>
      <c r="FB148" s="357"/>
      <c r="FC148" s="357"/>
      <c r="FD148" s="357"/>
      <c r="FE148" s="357"/>
      <c r="FF148" s="357"/>
      <c r="FG148" s="357"/>
      <c r="FH148" s="357"/>
      <c r="FI148" s="357"/>
      <c r="FJ148" s="357"/>
      <c r="FK148" s="357"/>
      <c r="FL148" s="357"/>
      <c r="FM148" s="357"/>
      <c r="FN148" s="357"/>
      <c r="FO148" s="357"/>
      <c r="FP148" s="357"/>
      <c r="FQ148" s="357"/>
      <c r="FR148" s="357"/>
      <c r="FS148" s="357"/>
      <c r="FT148" s="357"/>
      <c r="FU148" s="357"/>
      <c r="FV148" s="357"/>
      <c r="FW148" s="357"/>
      <c r="FX148" s="357"/>
      <c r="FY148" s="357"/>
      <c r="FZ148" s="357"/>
      <c r="GA148" s="357"/>
      <c r="GB148" s="357"/>
      <c r="GC148" s="357"/>
      <c r="GD148" s="357"/>
      <c r="GE148" s="357"/>
      <c r="GF148" s="357"/>
      <c r="GG148" s="357"/>
      <c r="GH148" s="357"/>
      <c r="GI148" s="357"/>
      <c r="GJ148" s="357"/>
      <c r="GK148" s="154"/>
      <c r="GL148" s="154"/>
      <c r="GM148" s="154"/>
      <c r="GN148" s="154"/>
      <c r="GO148" s="154"/>
      <c r="GP148" s="154"/>
      <c r="GQ148" s="154"/>
      <c r="GR148" s="154"/>
      <c r="GS148" s="154"/>
      <c r="GT148" s="154"/>
      <c r="GU148" s="154"/>
      <c r="GV148" s="154"/>
      <c r="GW148" s="154"/>
      <c r="GX148" s="154"/>
    </row>
    <row r="149" spans="7:206">
      <c r="G149" s="154"/>
      <c r="H149" s="154"/>
      <c r="I149" s="154"/>
      <c r="J149" s="154"/>
      <c r="K149" s="154"/>
      <c r="L149" s="154"/>
      <c r="M149" s="154"/>
      <c r="N149" s="154"/>
      <c r="O149" s="154"/>
      <c r="P149" s="154"/>
      <c r="Q149" s="154"/>
      <c r="R149" s="154"/>
      <c r="S149" s="154"/>
      <c r="T149" s="154"/>
      <c r="U149" s="154"/>
      <c r="V149" s="154"/>
      <c r="W149" s="154"/>
      <c r="X149" s="154"/>
      <c r="Y149" s="154"/>
      <c r="Z149" s="357"/>
      <c r="AA149" s="357"/>
      <c r="AB149" s="357"/>
      <c r="AC149" s="357"/>
      <c r="AD149" s="357"/>
      <c r="AE149" s="357"/>
      <c r="AF149" s="357"/>
      <c r="AG149" s="357"/>
      <c r="AH149" s="357"/>
      <c r="AI149" s="357"/>
      <c r="AJ149" s="357"/>
      <c r="AK149" s="357"/>
      <c r="AL149" s="357"/>
      <c r="AM149" s="357"/>
      <c r="AN149" s="357"/>
      <c r="AO149" s="357"/>
      <c r="AP149" s="357"/>
      <c r="AQ149" s="357"/>
      <c r="AR149" s="357"/>
      <c r="AS149" s="357"/>
      <c r="AT149" s="357"/>
      <c r="AU149" s="357"/>
      <c r="AV149" s="357"/>
      <c r="AW149" s="357"/>
      <c r="AX149" s="357"/>
      <c r="AY149" s="357"/>
      <c r="AZ149" s="357"/>
      <c r="BA149" s="357"/>
      <c r="BB149" s="357"/>
      <c r="BC149" s="357"/>
      <c r="BD149" s="357"/>
      <c r="BE149" s="357"/>
      <c r="BF149" s="357"/>
      <c r="BG149" s="357"/>
      <c r="BH149" s="357"/>
      <c r="BI149" s="357"/>
      <c r="BJ149" s="357"/>
      <c r="BK149" s="357"/>
      <c r="BL149" s="357"/>
      <c r="BM149" s="357"/>
      <c r="BN149" s="357"/>
      <c r="BO149" s="357"/>
      <c r="BP149" s="357"/>
      <c r="BQ149" s="357"/>
      <c r="BR149" s="357"/>
      <c r="BS149" s="357"/>
      <c r="BT149" s="357"/>
      <c r="BU149" s="357"/>
      <c r="BV149" s="357"/>
      <c r="BW149" s="357"/>
      <c r="BX149" s="357"/>
      <c r="BY149" s="357"/>
      <c r="BZ149" s="357"/>
      <c r="CA149" s="357"/>
      <c r="CB149" s="357"/>
      <c r="CC149" s="357"/>
      <c r="CD149" s="357"/>
      <c r="CE149" s="357"/>
      <c r="CF149" s="357"/>
      <c r="CG149" s="357"/>
      <c r="CH149" s="357"/>
      <c r="CI149" s="357"/>
      <c r="CJ149" s="357"/>
      <c r="CK149" s="357"/>
      <c r="CL149" s="357"/>
      <c r="CM149" s="357"/>
      <c r="CN149" s="357"/>
      <c r="CO149" s="357"/>
      <c r="CP149" s="357"/>
      <c r="CQ149" s="357"/>
      <c r="CR149" s="357"/>
      <c r="CS149" s="357"/>
      <c r="CT149" s="357"/>
      <c r="CU149" s="357"/>
      <c r="CV149" s="357"/>
      <c r="CW149" s="357"/>
      <c r="CX149" s="357"/>
      <c r="CY149" s="357"/>
      <c r="CZ149" s="357"/>
      <c r="DA149" s="357"/>
      <c r="DB149" s="357"/>
      <c r="DC149" s="357"/>
      <c r="DD149" s="357"/>
      <c r="DE149" s="357"/>
      <c r="DF149" s="357"/>
      <c r="DG149" s="357"/>
      <c r="DH149" s="357"/>
      <c r="DI149" s="357"/>
      <c r="DJ149" s="357"/>
      <c r="DK149" s="357"/>
      <c r="DL149" s="357"/>
      <c r="DM149" s="357"/>
      <c r="DN149" s="357"/>
      <c r="DO149" s="357"/>
      <c r="DP149" s="357"/>
      <c r="DQ149" s="357"/>
      <c r="DR149" s="357"/>
      <c r="DS149" s="357"/>
      <c r="DT149" s="357"/>
      <c r="DU149" s="357"/>
      <c r="DV149" s="357"/>
      <c r="DW149" s="357"/>
      <c r="DX149" s="357"/>
      <c r="DY149" s="357"/>
      <c r="DZ149" s="357"/>
      <c r="EA149" s="357"/>
      <c r="EB149" s="357"/>
      <c r="EC149" s="357"/>
      <c r="ED149" s="357"/>
      <c r="EE149" s="357"/>
      <c r="EF149" s="357"/>
      <c r="EG149" s="357"/>
      <c r="EH149" s="357"/>
      <c r="EI149" s="357"/>
      <c r="EJ149" s="357"/>
      <c r="EK149" s="357"/>
      <c r="EL149" s="357"/>
      <c r="EM149" s="357"/>
      <c r="EN149" s="357"/>
      <c r="EO149" s="357"/>
      <c r="EP149" s="357"/>
      <c r="EQ149" s="357"/>
      <c r="ER149" s="357"/>
      <c r="ES149" s="357"/>
      <c r="ET149" s="357"/>
      <c r="EU149" s="357"/>
      <c r="EV149" s="357"/>
      <c r="EW149" s="357"/>
      <c r="EX149" s="357"/>
      <c r="EY149" s="357"/>
      <c r="EZ149" s="357"/>
      <c r="FA149" s="357"/>
      <c r="FB149" s="357"/>
      <c r="FC149" s="357"/>
      <c r="FD149" s="357"/>
      <c r="FE149" s="357"/>
      <c r="FF149" s="357"/>
      <c r="FG149" s="357"/>
      <c r="FH149" s="357"/>
      <c r="FI149" s="357"/>
      <c r="FJ149" s="357"/>
      <c r="FK149" s="357"/>
      <c r="FL149" s="357"/>
      <c r="FM149" s="357"/>
      <c r="FN149" s="357"/>
      <c r="FO149" s="357"/>
      <c r="FP149" s="357"/>
      <c r="FQ149" s="357"/>
      <c r="FR149" s="357"/>
      <c r="FS149" s="357"/>
      <c r="FT149" s="357"/>
      <c r="FU149" s="357"/>
      <c r="FV149" s="357"/>
      <c r="FW149" s="357"/>
      <c r="FX149" s="357"/>
      <c r="FY149" s="357"/>
      <c r="FZ149" s="357"/>
      <c r="GA149" s="357"/>
      <c r="GB149" s="357"/>
      <c r="GC149" s="357"/>
      <c r="GD149" s="357"/>
      <c r="GE149" s="357"/>
      <c r="GF149" s="357"/>
      <c r="GG149" s="357"/>
      <c r="GH149" s="357"/>
      <c r="GI149" s="357"/>
      <c r="GJ149" s="357"/>
      <c r="GK149" s="154"/>
      <c r="GL149" s="154"/>
      <c r="GM149" s="154"/>
      <c r="GN149" s="154"/>
      <c r="GO149" s="154"/>
      <c r="GP149" s="154"/>
      <c r="GQ149" s="154"/>
      <c r="GR149" s="154"/>
      <c r="GS149" s="154"/>
      <c r="GT149" s="154"/>
      <c r="GU149" s="154"/>
      <c r="GV149" s="154"/>
      <c r="GW149" s="154"/>
      <c r="GX149" s="154"/>
    </row>
    <row r="150" spans="7:206">
      <c r="G150" s="154"/>
      <c r="H150" s="154"/>
      <c r="I150" s="154"/>
      <c r="J150" s="154"/>
      <c r="K150" s="154"/>
      <c r="L150" s="154"/>
      <c r="M150" s="154"/>
      <c r="N150" s="154"/>
      <c r="O150" s="154"/>
      <c r="P150" s="154"/>
      <c r="Q150" s="154"/>
      <c r="R150" s="154"/>
      <c r="S150" s="154"/>
      <c r="T150" s="154"/>
      <c r="U150" s="154"/>
      <c r="V150" s="154"/>
      <c r="W150" s="154"/>
      <c r="X150" s="154"/>
      <c r="Y150" s="154"/>
      <c r="Z150" s="357"/>
      <c r="AA150" s="357"/>
      <c r="AB150" s="357"/>
      <c r="AC150" s="357"/>
      <c r="AD150" s="357"/>
      <c r="AE150" s="357"/>
      <c r="AF150" s="357"/>
      <c r="AG150" s="357"/>
      <c r="AH150" s="357"/>
      <c r="AI150" s="357"/>
      <c r="AJ150" s="357"/>
      <c r="AK150" s="357"/>
      <c r="AL150" s="357"/>
      <c r="AM150" s="357"/>
      <c r="AN150" s="357"/>
      <c r="AO150" s="357"/>
      <c r="AP150" s="357"/>
      <c r="AQ150" s="357"/>
      <c r="AR150" s="357"/>
      <c r="AS150" s="357"/>
      <c r="AT150" s="357"/>
      <c r="AU150" s="357"/>
      <c r="AV150" s="357"/>
      <c r="AW150" s="357"/>
      <c r="AX150" s="357"/>
      <c r="AY150" s="357"/>
      <c r="AZ150" s="357"/>
      <c r="BA150" s="357"/>
      <c r="BB150" s="357"/>
      <c r="BC150" s="357"/>
      <c r="BD150" s="357"/>
      <c r="BE150" s="357"/>
      <c r="BF150" s="357"/>
      <c r="BG150" s="357"/>
      <c r="BH150" s="357"/>
      <c r="BI150" s="357"/>
      <c r="BJ150" s="357"/>
      <c r="BK150" s="357"/>
      <c r="BL150" s="357"/>
      <c r="BM150" s="357"/>
      <c r="BN150" s="357"/>
      <c r="BO150" s="357"/>
      <c r="BP150" s="357"/>
      <c r="BQ150" s="357"/>
      <c r="BR150" s="357"/>
      <c r="BS150" s="357"/>
      <c r="BT150" s="357"/>
      <c r="BU150" s="357"/>
      <c r="BV150" s="357"/>
      <c r="BW150" s="357"/>
      <c r="BX150" s="357"/>
      <c r="BY150" s="357"/>
      <c r="BZ150" s="357"/>
      <c r="CA150" s="357"/>
      <c r="CB150" s="357"/>
      <c r="CC150" s="357"/>
      <c r="CD150" s="357"/>
      <c r="CE150" s="357"/>
      <c r="CF150" s="357"/>
      <c r="CG150" s="357"/>
      <c r="CH150" s="357"/>
      <c r="CI150" s="357"/>
      <c r="CJ150" s="357"/>
      <c r="CK150" s="357"/>
      <c r="CL150" s="357"/>
      <c r="CM150" s="357"/>
      <c r="CN150" s="357"/>
      <c r="CO150" s="357"/>
      <c r="CP150" s="357"/>
      <c r="CQ150" s="357"/>
      <c r="CR150" s="357"/>
      <c r="CS150" s="357"/>
      <c r="CT150" s="357"/>
      <c r="CU150" s="357"/>
      <c r="CV150" s="357"/>
      <c r="CW150" s="357"/>
      <c r="CX150" s="357"/>
      <c r="CY150" s="357"/>
      <c r="CZ150" s="357"/>
      <c r="DA150" s="357"/>
      <c r="DB150" s="357"/>
      <c r="DC150" s="357"/>
      <c r="DD150" s="357"/>
      <c r="DE150" s="357"/>
      <c r="DF150" s="357"/>
      <c r="DG150" s="357"/>
      <c r="DH150" s="357"/>
      <c r="DI150" s="357"/>
      <c r="DJ150" s="357"/>
      <c r="DK150" s="357"/>
      <c r="DL150" s="357"/>
      <c r="DM150" s="357"/>
      <c r="DN150" s="357"/>
      <c r="DO150" s="357"/>
      <c r="DP150" s="357"/>
      <c r="DQ150" s="357"/>
      <c r="DR150" s="357"/>
      <c r="DS150" s="357"/>
      <c r="DT150" s="357"/>
      <c r="DU150" s="357"/>
      <c r="DV150" s="357"/>
      <c r="DW150" s="357"/>
      <c r="DX150" s="357"/>
      <c r="DY150" s="357"/>
      <c r="DZ150" s="357"/>
      <c r="EA150" s="357"/>
      <c r="EB150" s="357"/>
      <c r="EC150" s="357"/>
      <c r="ED150" s="357"/>
      <c r="EE150" s="357"/>
      <c r="EF150" s="357"/>
      <c r="EG150" s="357"/>
      <c r="EH150" s="357"/>
      <c r="EI150" s="357"/>
      <c r="EJ150" s="357"/>
      <c r="EK150" s="357"/>
      <c r="EL150" s="357"/>
      <c r="EM150" s="357"/>
      <c r="EN150" s="357"/>
      <c r="EO150" s="357"/>
      <c r="EP150" s="357"/>
      <c r="EQ150" s="357"/>
      <c r="ER150" s="357"/>
      <c r="ES150" s="357"/>
      <c r="ET150" s="357"/>
      <c r="EU150" s="357"/>
      <c r="EV150" s="357"/>
      <c r="EW150" s="357"/>
      <c r="EX150" s="357"/>
      <c r="EY150" s="357"/>
      <c r="EZ150" s="357"/>
      <c r="FA150" s="357"/>
      <c r="FB150" s="357"/>
      <c r="FC150" s="357"/>
      <c r="FD150" s="357"/>
      <c r="FE150" s="357"/>
      <c r="FF150" s="357"/>
      <c r="FG150" s="357"/>
      <c r="FH150" s="357"/>
      <c r="FI150" s="357"/>
      <c r="FJ150" s="357"/>
      <c r="FK150" s="357"/>
      <c r="FL150" s="357"/>
      <c r="FM150" s="357"/>
      <c r="FN150" s="357"/>
      <c r="FO150" s="357"/>
      <c r="FP150" s="357"/>
      <c r="FQ150" s="357"/>
      <c r="FR150" s="357"/>
      <c r="FS150" s="357"/>
      <c r="FT150" s="357"/>
      <c r="FU150" s="357"/>
      <c r="FV150" s="357"/>
      <c r="FW150" s="357"/>
      <c r="FX150" s="357"/>
      <c r="FY150" s="357"/>
      <c r="FZ150" s="357"/>
      <c r="GA150" s="357"/>
      <c r="GB150" s="357"/>
      <c r="GC150" s="357"/>
      <c r="GD150" s="357"/>
      <c r="GE150" s="357"/>
      <c r="GF150" s="357"/>
      <c r="GG150" s="357"/>
      <c r="GH150" s="357"/>
      <c r="GI150" s="357"/>
      <c r="GJ150" s="357"/>
      <c r="GK150" s="154"/>
      <c r="GL150" s="154"/>
      <c r="GM150" s="154"/>
      <c r="GN150" s="154"/>
      <c r="GO150" s="154"/>
      <c r="GP150" s="154"/>
      <c r="GQ150" s="154"/>
      <c r="GR150" s="154"/>
      <c r="GS150" s="154"/>
      <c r="GT150" s="154"/>
      <c r="GU150" s="154"/>
      <c r="GV150" s="154"/>
      <c r="GW150" s="154"/>
      <c r="GX150" s="154"/>
    </row>
    <row r="151" spans="7:206">
      <c r="G151" s="154"/>
      <c r="H151" s="154"/>
      <c r="I151" s="154"/>
      <c r="J151" s="154"/>
      <c r="K151" s="154"/>
      <c r="L151" s="154"/>
      <c r="M151" s="154"/>
      <c r="N151" s="154"/>
      <c r="O151" s="154"/>
      <c r="P151" s="154"/>
      <c r="Q151" s="154"/>
      <c r="R151" s="154"/>
      <c r="S151" s="154"/>
      <c r="T151" s="154"/>
      <c r="U151" s="154"/>
      <c r="V151" s="154"/>
      <c r="W151" s="154"/>
      <c r="X151" s="154"/>
      <c r="Y151" s="154"/>
      <c r="Z151" s="357"/>
      <c r="AA151" s="357"/>
      <c r="AB151" s="357"/>
      <c r="AC151" s="357"/>
      <c r="AD151" s="357"/>
      <c r="AE151" s="357"/>
      <c r="AF151" s="357"/>
      <c r="AG151" s="357"/>
      <c r="AH151" s="357"/>
      <c r="AI151" s="357"/>
      <c r="AJ151" s="357"/>
      <c r="AK151" s="357"/>
      <c r="AL151" s="357"/>
      <c r="AM151" s="357"/>
      <c r="AN151" s="357"/>
      <c r="AO151" s="357"/>
      <c r="AP151" s="357"/>
      <c r="AQ151" s="357"/>
      <c r="AR151" s="357"/>
      <c r="AS151" s="357"/>
      <c r="AT151" s="357"/>
      <c r="AU151" s="357"/>
      <c r="AV151" s="357"/>
      <c r="AW151" s="357"/>
      <c r="AX151" s="357"/>
      <c r="AY151" s="357"/>
      <c r="AZ151" s="357"/>
      <c r="BA151" s="357"/>
      <c r="BB151" s="357"/>
      <c r="BC151" s="357"/>
      <c r="BD151" s="357"/>
      <c r="BE151" s="357"/>
      <c r="BF151" s="357"/>
      <c r="BG151" s="357"/>
      <c r="BH151" s="357"/>
      <c r="BI151" s="357"/>
      <c r="BJ151" s="357"/>
      <c r="BK151" s="357"/>
      <c r="BL151" s="357"/>
      <c r="BM151" s="357"/>
      <c r="BN151" s="357"/>
      <c r="BO151" s="357"/>
      <c r="BP151" s="357"/>
      <c r="BQ151" s="357"/>
      <c r="BR151" s="357"/>
      <c r="BS151" s="357"/>
      <c r="BT151" s="357"/>
      <c r="BU151" s="357"/>
      <c r="BV151" s="357"/>
      <c r="BW151" s="357"/>
      <c r="BX151" s="357"/>
      <c r="BY151" s="357"/>
      <c r="BZ151" s="357"/>
      <c r="CA151" s="357"/>
      <c r="CB151" s="357"/>
      <c r="CC151" s="357"/>
      <c r="CD151" s="357"/>
      <c r="CE151" s="357"/>
      <c r="CF151" s="357"/>
      <c r="CG151" s="357"/>
      <c r="CH151" s="357"/>
      <c r="CI151" s="357"/>
      <c r="CJ151" s="357"/>
      <c r="CK151" s="357"/>
      <c r="CL151" s="357"/>
      <c r="CM151" s="357"/>
      <c r="CN151" s="357"/>
      <c r="CO151" s="357"/>
      <c r="CP151" s="357"/>
      <c r="CQ151" s="357"/>
      <c r="CR151" s="357"/>
      <c r="CS151" s="357"/>
      <c r="CT151" s="357"/>
      <c r="CU151" s="357"/>
      <c r="CV151" s="357"/>
      <c r="CW151" s="357"/>
      <c r="CX151" s="357"/>
      <c r="CY151" s="357"/>
      <c r="CZ151" s="357"/>
      <c r="DA151" s="357"/>
      <c r="DB151" s="357"/>
      <c r="DC151" s="357"/>
      <c r="DD151" s="357"/>
      <c r="DE151" s="357"/>
      <c r="DF151" s="357"/>
      <c r="DG151" s="357"/>
      <c r="DH151" s="357"/>
      <c r="DI151" s="357"/>
      <c r="DJ151" s="357"/>
      <c r="DK151" s="357"/>
      <c r="DL151" s="357"/>
      <c r="DM151" s="357"/>
      <c r="DN151" s="357"/>
      <c r="DO151" s="357"/>
      <c r="DP151" s="357"/>
      <c r="DQ151" s="357"/>
      <c r="DR151" s="357"/>
      <c r="DS151" s="357"/>
      <c r="DT151" s="357"/>
      <c r="DU151" s="357"/>
      <c r="DV151" s="357"/>
      <c r="DW151" s="357"/>
      <c r="DX151" s="357"/>
      <c r="DY151" s="357"/>
      <c r="DZ151" s="357"/>
      <c r="EA151" s="357"/>
      <c r="EB151" s="357"/>
      <c r="EC151" s="357"/>
      <c r="ED151" s="357"/>
      <c r="EE151" s="357"/>
      <c r="EF151" s="357"/>
      <c r="EG151" s="357"/>
      <c r="EH151" s="357"/>
      <c r="EI151" s="357"/>
      <c r="EJ151" s="357"/>
      <c r="EK151" s="357"/>
      <c r="EL151" s="357"/>
      <c r="EM151" s="357"/>
      <c r="EN151" s="357"/>
      <c r="EO151" s="357"/>
      <c r="EP151" s="357"/>
      <c r="EQ151" s="357"/>
      <c r="ER151" s="357"/>
      <c r="ES151" s="357"/>
      <c r="ET151" s="357"/>
      <c r="EU151" s="357"/>
      <c r="EV151" s="357"/>
      <c r="EW151" s="357"/>
      <c r="EX151" s="357"/>
      <c r="EY151" s="357"/>
      <c r="EZ151" s="357"/>
      <c r="FA151" s="357"/>
      <c r="FB151" s="357"/>
      <c r="FC151" s="357"/>
      <c r="FD151" s="357"/>
      <c r="FE151" s="357"/>
      <c r="FF151" s="357"/>
      <c r="FG151" s="357"/>
      <c r="FH151" s="357"/>
      <c r="FI151" s="357"/>
      <c r="FJ151" s="357"/>
      <c r="FK151" s="357"/>
      <c r="FL151" s="357"/>
      <c r="FM151" s="357"/>
      <c r="FN151" s="357"/>
      <c r="FO151" s="357"/>
      <c r="FP151" s="357"/>
      <c r="FQ151" s="357"/>
      <c r="FR151" s="357"/>
      <c r="FS151" s="357"/>
      <c r="FT151" s="357"/>
      <c r="FU151" s="357"/>
      <c r="FV151" s="357"/>
      <c r="FW151" s="357"/>
      <c r="FX151" s="357"/>
      <c r="FY151" s="357"/>
      <c r="FZ151" s="357"/>
      <c r="GA151" s="357"/>
      <c r="GB151" s="357"/>
      <c r="GC151" s="357"/>
      <c r="GD151" s="357"/>
      <c r="GE151" s="357"/>
      <c r="GF151" s="357"/>
      <c r="GG151" s="357"/>
      <c r="GH151" s="357"/>
      <c r="GI151" s="357"/>
      <c r="GJ151" s="357"/>
      <c r="GK151" s="154"/>
      <c r="GL151" s="154"/>
      <c r="GM151" s="154"/>
      <c r="GN151" s="154"/>
      <c r="GO151" s="154"/>
      <c r="GP151" s="154"/>
      <c r="GQ151" s="154"/>
      <c r="GR151" s="154"/>
      <c r="GS151" s="154"/>
      <c r="GT151" s="154"/>
      <c r="GU151" s="154"/>
      <c r="GV151" s="154"/>
      <c r="GW151" s="154"/>
      <c r="GX151" s="154"/>
    </row>
    <row r="152" spans="7:206">
      <c r="G152" s="154"/>
      <c r="H152" s="154"/>
      <c r="I152" s="154"/>
      <c r="J152" s="154"/>
      <c r="K152" s="154"/>
      <c r="L152" s="154"/>
      <c r="M152" s="154"/>
      <c r="N152" s="154"/>
      <c r="O152" s="154"/>
      <c r="P152" s="154"/>
      <c r="Q152" s="154"/>
      <c r="R152" s="154"/>
      <c r="S152" s="154"/>
      <c r="T152" s="154"/>
      <c r="U152" s="154"/>
      <c r="V152" s="154"/>
      <c r="W152" s="154"/>
      <c r="X152" s="154"/>
      <c r="Y152" s="154"/>
      <c r="Z152" s="357"/>
      <c r="AA152" s="357"/>
      <c r="AB152" s="357"/>
      <c r="AC152" s="357"/>
      <c r="AD152" s="357"/>
      <c r="AE152" s="357"/>
      <c r="AF152" s="357"/>
      <c r="AG152" s="357"/>
      <c r="AH152" s="357"/>
      <c r="AI152" s="357"/>
      <c r="AJ152" s="357"/>
      <c r="AK152" s="357"/>
      <c r="AL152" s="357"/>
      <c r="AM152" s="357"/>
      <c r="AN152" s="357"/>
      <c r="AO152" s="357"/>
      <c r="AP152" s="357"/>
      <c r="AQ152" s="357"/>
      <c r="AR152" s="357"/>
      <c r="AS152" s="357"/>
      <c r="AT152" s="357"/>
      <c r="AU152" s="357"/>
      <c r="AV152" s="357"/>
      <c r="AW152" s="357"/>
      <c r="AX152" s="357"/>
      <c r="AY152" s="357"/>
      <c r="AZ152" s="357"/>
      <c r="BA152" s="357"/>
      <c r="BB152" s="357"/>
      <c r="BC152" s="357"/>
      <c r="BD152" s="357"/>
      <c r="BE152" s="357"/>
      <c r="BF152" s="357"/>
      <c r="BG152" s="357"/>
      <c r="BH152" s="357"/>
      <c r="BI152" s="357"/>
      <c r="BJ152" s="357"/>
      <c r="BK152" s="357"/>
      <c r="BL152" s="357"/>
      <c r="BM152" s="357"/>
      <c r="BN152" s="357"/>
      <c r="BO152" s="357"/>
      <c r="BP152" s="357"/>
      <c r="BQ152" s="357"/>
      <c r="BR152" s="357"/>
      <c r="BS152" s="357"/>
      <c r="BT152" s="357"/>
      <c r="BU152" s="357"/>
      <c r="BV152" s="357"/>
      <c r="BW152" s="357"/>
      <c r="BX152" s="357"/>
      <c r="BY152" s="357"/>
      <c r="BZ152" s="357"/>
      <c r="CA152" s="357"/>
      <c r="CB152" s="357"/>
      <c r="CC152" s="357"/>
      <c r="CD152" s="357"/>
      <c r="CE152" s="357"/>
      <c r="CF152" s="357"/>
      <c r="CG152" s="357"/>
      <c r="CH152" s="357"/>
      <c r="CI152" s="357"/>
      <c r="CJ152" s="357"/>
      <c r="CK152" s="357"/>
      <c r="CL152" s="357"/>
      <c r="CM152" s="357"/>
      <c r="CN152" s="357"/>
      <c r="CO152" s="357"/>
      <c r="CP152" s="357"/>
      <c r="CQ152" s="357"/>
      <c r="CR152" s="357"/>
      <c r="CS152" s="357"/>
      <c r="CT152" s="357"/>
      <c r="CU152" s="357"/>
      <c r="CV152" s="357"/>
      <c r="CW152" s="357"/>
      <c r="CX152" s="357"/>
      <c r="CY152" s="357"/>
      <c r="CZ152" s="357"/>
      <c r="DA152" s="357"/>
      <c r="DB152" s="357"/>
      <c r="DC152" s="357"/>
      <c r="DD152" s="357"/>
      <c r="DE152" s="357"/>
      <c r="DF152" s="357"/>
      <c r="DG152" s="357"/>
      <c r="DH152" s="357"/>
      <c r="DI152" s="357"/>
      <c r="DJ152" s="357"/>
      <c r="DK152" s="357"/>
      <c r="DL152" s="357"/>
      <c r="DM152" s="357"/>
      <c r="DN152" s="357"/>
      <c r="DO152" s="357"/>
      <c r="DP152" s="357"/>
      <c r="DQ152" s="357"/>
      <c r="DR152" s="357"/>
      <c r="DS152" s="357"/>
      <c r="DT152" s="357"/>
      <c r="DU152" s="357"/>
      <c r="DV152" s="357"/>
      <c r="DW152" s="357"/>
      <c r="DX152" s="357"/>
      <c r="DY152" s="357"/>
      <c r="DZ152" s="357"/>
      <c r="EA152" s="357"/>
      <c r="EB152" s="357"/>
      <c r="EC152" s="357"/>
      <c r="ED152" s="357"/>
      <c r="EE152" s="357"/>
      <c r="EF152" s="357"/>
      <c r="EG152" s="357"/>
      <c r="EH152" s="357"/>
      <c r="EI152" s="357"/>
      <c r="EJ152" s="357"/>
      <c r="EK152" s="357"/>
      <c r="EL152" s="357"/>
      <c r="EM152" s="357"/>
      <c r="EN152" s="357"/>
      <c r="EO152" s="357"/>
      <c r="EP152" s="357"/>
      <c r="EQ152" s="357"/>
      <c r="ER152" s="357"/>
      <c r="ES152" s="357"/>
      <c r="ET152" s="357"/>
      <c r="EU152" s="357"/>
      <c r="EV152" s="357"/>
      <c r="EW152" s="357"/>
      <c r="EX152" s="357"/>
      <c r="EY152" s="357"/>
      <c r="EZ152" s="357"/>
      <c r="FA152" s="357"/>
      <c r="FB152" s="357"/>
      <c r="FC152" s="357"/>
      <c r="FD152" s="357"/>
      <c r="FE152" s="357"/>
      <c r="FF152" s="357"/>
      <c r="FG152" s="357"/>
      <c r="FH152" s="357"/>
      <c r="FI152" s="357"/>
      <c r="FJ152" s="357"/>
      <c r="FK152" s="357"/>
      <c r="FL152" s="357"/>
      <c r="FM152" s="357"/>
      <c r="FN152" s="357"/>
      <c r="FO152" s="357"/>
      <c r="FP152" s="357"/>
      <c r="FQ152" s="357"/>
      <c r="FR152" s="357"/>
      <c r="FS152" s="357"/>
      <c r="FT152" s="357"/>
      <c r="FU152" s="357"/>
      <c r="FV152" s="357"/>
      <c r="FW152" s="357"/>
      <c r="FX152" s="357"/>
      <c r="FY152" s="357"/>
      <c r="FZ152" s="357"/>
      <c r="GA152" s="357"/>
      <c r="GB152" s="357"/>
      <c r="GC152" s="357"/>
      <c r="GD152" s="357"/>
      <c r="GE152" s="357"/>
      <c r="GF152" s="357"/>
      <c r="GG152" s="357"/>
      <c r="GH152" s="357"/>
      <c r="GI152" s="357"/>
      <c r="GJ152" s="357"/>
      <c r="GK152" s="154"/>
      <c r="GL152" s="154"/>
      <c r="GM152" s="154"/>
      <c r="GN152" s="154"/>
      <c r="GO152" s="154"/>
      <c r="GP152" s="154"/>
      <c r="GQ152" s="154"/>
      <c r="GR152" s="154"/>
      <c r="GS152" s="154"/>
      <c r="GT152" s="154"/>
      <c r="GU152" s="154"/>
      <c r="GV152" s="154"/>
      <c r="GW152" s="154"/>
      <c r="GX152" s="154"/>
    </row>
    <row r="153" spans="7:206">
      <c r="G153" s="154"/>
      <c r="H153" s="154"/>
      <c r="I153" s="154"/>
      <c r="J153" s="154"/>
      <c r="K153" s="154"/>
      <c r="L153" s="154"/>
      <c r="M153" s="154"/>
      <c r="N153" s="154"/>
      <c r="O153" s="154"/>
      <c r="P153" s="154"/>
      <c r="Q153" s="154"/>
      <c r="R153" s="154"/>
      <c r="S153" s="154"/>
      <c r="T153" s="154"/>
      <c r="U153" s="154"/>
      <c r="V153" s="154"/>
      <c r="W153" s="154"/>
      <c r="X153" s="154"/>
      <c r="Y153" s="154"/>
      <c r="Z153" s="357"/>
      <c r="AA153" s="357"/>
      <c r="AB153" s="357"/>
      <c r="AC153" s="357"/>
      <c r="AD153" s="357"/>
      <c r="AE153" s="357"/>
      <c r="AF153" s="357"/>
      <c r="AG153" s="357"/>
      <c r="AH153" s="357"/>
      <c r="AI153" s="357"/>
      <c r="AJ153" s="357"/>
      <c r="AK153" s="357"/>
      <c r="AL153" s="357"/>
      <c r="AM153" s="357"/>
      <c r="AN153" s="357"/>
      <c r="AO153" s="357"/>
      <c r="AP153" s="357"/>
      <c r="AQ153" s="357"/>
      <c r="AR153" s="357"/>
      <c r="AS153" s="357"/>
      <c r="AT153" s="357"/>
      <c r="AU153" s="357"/>
      <c r="AV153" s="357"/>
      <c r="AW153" s="357"/>
      <c r="AX153" s="357"/>
      <c r="AY153" s="357"/>
      <c r="AZ153" s="357"/>
      <c r="BA153" s="357"/>
      <c r="BB153" s="357"/>
      <c r="BC153" s="357"/>
      <c r="BD153" s="357"/>
      <c r="BE153" s="357"/>
      <c r="BF153" s="357"/>
      <c r="BG153" s="357"/>
      <c r="BH153" s="357"/>
      <c r="BI153" s="357"/>
      <c r="BJ153" s="357"/>
      <c r="BK153" s="357"/>
      <c r="BL153" s="357"/>
      <c r="BM153" s="357"/>
      <c r="BN153" s="357"/>
      <c r="BO153" s="357"/>
      <c r="BP153" s="357"/>
      <c r="BQ153" s="357"/>
      <c r="BR153" s="357"/>
      <c r="BS153" s="357"/>
      <c r="BT153" s="357"/>
      <c r="BU153" s="357"/>
      <c r="BV153" s="357"/>
      <c r="BW153" s="357"/>
      <c r="BX153" s="357"/>
      <c r="BY153" s="357"/>
      <c r="BZ153" s="357"/>
      <c r="CA153" s="357"/>
      <c r="CB153" s="357"/>
      <c r="CC153" s="357"/>
      <c r="CD153" s="357"/>
      <c r="CE153" s="357"/>
      <c r="CF153" s="357"/>
      <c r="CG153" s="357"/>
      <c r="CH153" s="357"/>
      <c r="CI153" s="357"/>
      <c r="CJ153" s="357"/>
      <c r="CK153" s="357"/>
      <c r="CL153" s="357"/>
      <c r="CM153" s="357"/>
      <c r="CN153" s="357"/>
      <c r="CO153" s="357"/>
      <c r="CP153" s="357"/>
      <c r="CQ153" s="357"/>
      <c r="CR153" s="357"/>
      <c r="CS153" s="357"/>
      <c r="CT153" s="357"/>
      <c r="CU153" s="357"/>
      <c r="CV153" s="357"/>
      <c r="CW153" s="357"/>
      <c r="CX153" s="357"/>
      <c r="CY153" s="357"/>
      <c r="CZ153" s="357"/>
      <c r="DA153" s="357"/>
      <c r="DB153" s="357"/>
      <c r="DC153" s="357"/>
      <c r="DD153" s="357"/>
      <c r="DE153" s="357"/>
      <c r="DF153" s="357"/>
      <c r="DG153" s="357"/>
      <c r="DH153" s="357"/>
      <c r="DI153" s="357"/>
      <c r="DJ153" s="357"/>
      <c r="DK153" s="357"/>
      <c r="DL153" s="357"/>
      <c r="DM153" s="357"/>
      <c r="DN153" s="357"/>
      <c r="DO153" s="357"/>
      <c r="DP153" s="357"/>
      <c r="DQ153" s="357"/>
      <c r="DR153" s="357"/>
      <c r="DS153" s="357"/>
      <c r="DT153" s="357"/>
      <c r="DU153" s="357"/>
      <c r="DV153" s="357"/>
      <c r="DW153" s="357"/>
      <c r="DX153" s="357"/>
      <c r="DY153" s="357"/>
      <c r="DZ153" s="357"/>
      <c r="EA153" s="357"/>
      <c r="EB153" s="357"/>
      <c r="EC153" s="357"/>
      <c r="ED153" s="357"/>
      <c r="EE153" s="357"/>
      <c r="EF153" s="357"/>
      <c r="EG153" s="357"/>
      <c r="EH153" s="357"/>
      <c r="EI153" s="357"/>
      <c r="EJ153" s="357"/>
      <c r="EK153" s="357"/>
      <c r="EL153" s="357"/>
      <c r="EM153" s="357"/>
      <c r="EN153" s="357"/>
      <c r="EO153" s="357"/>
      <c r="EP153" s="357"/>
      <c r="EQ153" s="357"/>
      <c r="ER153" s="357"/>
      <c r="ES153" s="357"/>
      <c r="ET153" s="357"/>
      <c r="EU153" s="357"/>
      <c r="EV153" s="357"/>
      <c r="EW153" s="357"/>
      <c r="EX153" s="357"/>
      <c r="EY153" s="357"/>
      <c r="EZ153" s="357"/>
      <c r="FA153" s="357"/>
      <c r="FB153" s="357"/>
      <c r="FC153" s="357"/>
      <c r="FD153" s="357"/>
      <c r="FE153" s="357"/>
      <c r="FF153" s="357"/>
      <c r="FG153" s="357"/>
      <c r="FH153" s="357"/>
      <c r="FI153" s="357"/>
      <c r="FJ153" s="357"/>
      <c r="FK153" s="357"/>
      <c r="FL153" s="357"/>
      <c r="FM153" s="357"/>
      <c r="FN153" s="357"/>
      <c r="FO153" s="357"/>
      <c r="FP153" s="357"/>
      <c r="FQ153" s="357"/>
      <c r="FR153" s="357"/>
      <c r="FS153" s="357"/>
      <c r="FT153" s="357"/>
      <c r="FU153" s="357"/>
      <c r="FV153" s="357"/>
      <c r="FW153" s="357"/>
      <c r="FX153" s="357"/>
      <c r="FY153" s="357"/>
      <c r="FZ153" s="357"/>
      <c r="GA153" s="357"/>
      <c r="GB153" s="357"/>
      <c r="GC153" s="357"/>
      <c r="GD153" s="357"/>
      <c r="GE153" s="357"/>
      <c r="GF153" s="357"/>
      <c r="GG153" s="357"/>
      <c r="GH153" s="357"/>
      <c r="GI153" s="357"/>
      <c r="GJ153" s="357"/>
      <c r="GK153" s="154"/>
      <c r="GL153" s="154"/>
      <c r="GM153" s="154"/>
      <c r="GN153" s="154"/>
      <c r="GO153" s="154"/>
      <c r="GP153" s="154"/>
      <c r="GQ153" s="154"/>
      <c r="GR153" s="154"/>
      <c r="GS153" s="154"/>
      <c r="GT153" s="154"/>
      <c r="GU153" s="154"/>
      <c r="GV153" s="154"/>
      <c r="GW153" s="154"/>
      <c r="GX153" s="154"/>
    </row>
    <row r="154" spans="7:206">
      <c r="G154" s="154"/>
      <c r="H154" s="154"/>
      <c r="I154" s="154"/>
      <c r="J154" s="154"/>
      <c r="K154" s="154"/>
      <c r="L154" s="154"/>
      <c r="M154" s="154"/>
      <c r="N154" s="154"/>
      <c r="O154" s="154"/>
      <c r="P154" s="154"/>
      <c r="Q154" s="154"/>
      <c r="R154" s="154"/>
      <c r="S154" s="154"/>
      <c r="T154" s="154"/>
      <c r="U154" s="154"/>
      <c r="V154" s="154"/>
      <c r="W154" s="154"/>
      <c r="X154" s="154"/>
      <c r="Y154" s="154"/>
      <c r="Z154" s="357"/>
      <c r="AA154" s="357"/>
      <c r="AB154" s="357"/>
      <c r="AC154" s="357"/>
      <c r="AD154" s="357"/>
      <c r="AE154" s="357"/>
      <c r="AF154" s="357"/>
      <c r="AG154" s="357"/>
      <c r="AH154" s="357"/>
      <c r="AI154" s="357"/>
      <c r="AJ154" s="357"/>
      <c r="AK154" s="357"/>
      <c r="AL154" s="357"/>
      <c r="AM154" s="357"/>
      <c r="AN154" s="357"/>
      <c r="AO154" s="357"/>
      <c r="AP154" s="357"/>
      <c r="AQ154" s="357"/>
      <c r="AR154" s="357"/>
      <c r="AS154" s="357"/>
      <c r="AT154" s="357"/>
      <c r="AU154" s="357"/>
      <c r="AV154" s="357"/>
      <c r="AW154" s="357"/>
      <c r="AX154" s="357"/>
      <c r="AY154" s="357"/>
      <c r="AZ154" s="357"/>
      <c r="BA154" s="357"/>
      <c r="BB154" s="357"/>
      <c r="BC154" s="357"/>
      <c r="BD154" s="357"/>
      <c r="BE154" s="357"/>
      <c r="BF154" s="357"/>
      <c r="BG154" s="357"/>
      <c r="BH154" s="357"/>
      <c r="BI154" s="357"/>
      <c r="BJ154" s="357"/>
      <c r="BK154" s="357"/>
      <c r="BL154" s="357"/>
      <c r="BM154" s="357"/>
      <c r="BN154" s="357"/>
      <c r="BO154" s="357"/>
      <c r="BP154" s="357"/>
      <c r="BQ154" s="357"/>
      <c r="BR154" s="357"/>
      <c r="BS154" s="357"/>
      <c r="BT154" s="357"/>
      <c r="BU154" s="357"/>
      <c r="BV154" s="357"/>
      <c r="BW154" s="357"/>
      <c r="BX154" s="357"/>
      <c r="BY154" s="357"/>
      <c r="BZ154" s="357"/>
      <c r="CA154" s="357"/>
      <c r="CB154" s="357"/>
      <c r="CC154" s="357"/>
      <c r="CD154" s="357"/>
      <c r="CE154" s="357"/>
      <c r="CF154" s="357"/>
      <c r="CG154" s="357"/>
      <c r="CH154" s="357"/>
      <c r="CI154" s="357"/>
      <c r="CJ154" s="357"/>
      <c r="CK154" s="357"/>
      <c r="CL154" s="357"/>
      <c r="CM154" s="357"/>
      <c r="CN154" s="357"/>
      <c r="CO154" s="357"/>
      <c r="CP154" s="357"/>
      <c r="CQ154" s="357"/>
      <c r="CR154" s="357"/>
      <c r="CS154" s="357"/>
      <c r="CT154" s="357"/>
      <c r="CU154" s="357"/>
      <c r="CV154" s="357"/>
      <c r="CW154" s="357"/>
      <c r="CX154" s="357"/>
      <c r="CY154" s="357"/>
      <c r="CZ154" s="357"/>
      <c r="DA154" s="357"/>
      <c r="DB154" s="357"/>
      <c r="DC154" s="357"/>
      <c r="DD154" s="357"/>
      <c r="DE154" s="357"/>
      <c r="DF154" s="357"/>
      <c r="DG154" s="357"/>
      <c r="DH154" s="357"/>
      <c r="DI154" s="357"/>
      <c r="DJ154" s="357"/>
      <c r="DK154" s="357"/>
      <c r="DL154" s="357"/>
      <c r="DM154" s="357"/>
      <c r="DN154" s="357"/>
      <c r="DO154" s="357"/>
      <c r="DP154" s="357"/>
      <c r="DQ154" s="357"/>
      <c r="DR154" s="357"/>
      <c r="DS154" s="357"/>
      <c r="DT154" s="357"/>
      <c r="DU154" s="357"/>
      <c r="DV154" s="357"/>
      <c r="DW154" s="357"/>
      <c r="DX154" s="357"/>
      <c r="DY154" s="357"/>
      <c r="DZ154" s="357"/>
      <c r="EA154" s="357"/>
      <c r="EB154" s="357"/>
      <c r="EC154" s="357"/>
      <c r="ED154" s="357"/>
      <c r="EE154" s="357"/>
      <c r="EF154" s="357"/>
      <c r="EG154" s="357"/>
      <c r="EH154" s="357"/>
      <c r="EI154" s="357"/>
      <c r="EJ154" s="357"/>
      <c r="EK154" s="357"/>
      <c r="EL154" s="357"/>
      <c r="EM154" s="357"/>
      <c r="EN154" s="357"/>
      <c r="EO154" s="357"/>
      <c r="EP154" s="357"/>
      <c r="EQ154" s="357"/>
      <c r="ER154" s="357"/>
      <c r="ES154" s="357"/>
      <c r="ET154" s="357"/>
      <c r="EU154" s="357"/>
      <c r="EV154" s="357"/>
      <c r="EW154" s="357"/>
      <c r="EX154" s="357"/>
      <c r="EY154" s="357"/>
      <c r="EZ154" s="357"/>
      <c r="FA154" s="357"/>
      <c r="FB154" s="357"/>
      <c r="FC154" s="357"/>
      <c r="FD154" s="357"/>
      <c r="FE154" s="357"/>
      <c r="FF154" s="357"/>
      <c r="FG154" s="357"/>
      <c r="FH154" s="357"/>
      <c r="FI154" s="357"/>
      <c r="FJ154" s="357"/>
      <c r="FK154" s="357"/>
      <c r="FL154" s="357"/>
      <c r="FM154" s="357"/>
      <c r="FN154" s="357"/>
      <c r="FO154" s="357"/>
      <c r="FP154" s="357"/>
      <c r="FQ154" s="357"/>
      <c r="FR154" s="357"/>
      <c r="FS154" s="357"/>
      <c r="FT154" s="357"/>
      <c r="FU154" s="357"/>
      <c r="FV154" s="357"/>
      <c r="FW154" s="357"/>
      <c r="FX154" s="357"/>
      <c r="FY154" s="357"/>
      <c r="FZ154" s="357"/>
      <c r="GA154" s="357"/>
      <c r="GB154" s="357"/>
      <c r="GC154" s="357"/>
      <c r="GD154" s="357"/>
      <c r="GE154" s="357"/>
      <c r="GF154" s="357"/>
      <c r="GG154" s="357"/>
      <c r="GH154" s="357"/>
      <c r="GI154" s="357"/>
      <c r="GJ154" s="357"/>
      <c r="GK154" s="154"/>
      <c r="GL154" s="154"/>
      <c r="GM154" s="154"/>
      <c r="GN154" s="154"/>
      <c r="GO154" s="154"/>
      <c r="GP154" s="154"/>
      <c r="GQ154" s="154"/>
      <c r="GR154" s="154"/>
      <c r="GS154" s="154"/>
      <c r="GT154" s="154"/>
      <c r="GU154" s="154"/>
      <c r="GV154" s="154"/>
      <c r="GW154" s="154"/>
      <c r="GX154" s="154"/>
    </row>
    <row r="155" spans="7:206">
      <c r="G155" s="154"/>
      <c r="H155" s="154"/>
      <c r="I155" s="154"/>
      <c r="J155" s="154"/>
      <c r="K155" s="154"/>
      <c r="L155" s="154"/>
      <c r="M155" s="154"/>
      <c r="N155" s="154"/>
      <c r="O155" s="154"/>
      <c r="P155" s="154"/>
      <c r="Q155" s="154"/>
      <c r="R155" s="154"/>
      <c r="S155" s="154"/>
      <c r="T155" s="154"/>
      <c r="U155" s="154"/>
      <c r="V155" s="154"/>
      <c r="W155" s="154"/>
      <c r="X155" s="154"/>
      <c r="Y155" s="154"/>
      <c r="Z155" s="357"/>
      <c r="AA155" s="357"/>
      <c r="AB155" s="357"/>
      <c r="AC155" s="357"/>
      <c r="AD155" s="357"/>
      <c r="AE155" s="357"/>
      <c r="AF155" s="357"/>
      <c r="AG155" s="357"/>
      <c r="AH155" s="357"/>
      <c r="AI155" s="357"/>
      <c r="AJ155" s="357"/>
      <c r="AK155" s="357"/>
      <c r="AL155" s="357"/>
      <c r="AM155" s="357"/>
      <c r="AN155" s="357"/>
      <c r="AO155" s="357"/>
      <c r="AP155" s="357"/>
      <c r="AQ155" s="357"/>
      <c r="AR155" s="357"/>
      <c r="AS155" s="357"/>
      <c r="AT155" s="357"/>
      <c r="AU155" s="357"/>
      <c r="AV155" s="357"/>
      <c r="AW155" s="357"/>
      <c r="AX155" s="357"/>
      <c r="AY155" s="357"/>
      <c r="AZ155" s="357"/>
      <c r="BA155" s="357"/>
      <c r="BB155" s="357"/>
      <c r="BC155" s="357"/>
      <c r="BD155" s="357"/>
      <c r="BE155" s="357"/>
      <c r="BF155" s="357"/>
      <c r="BG155" s="357"/>
      <c r="BH155" s="357"/>
      <c r="BI155" s="357"/>
      <c r="BJ155" s="357"/>
      <c r="BK155" s="357"/>
      <c r="BL155" s="357"/>
      <c r="BM155" s="357"/>
      <c r="BN155" s="357"/>
      <c r="BO155" s="357"/>
      <c r="BP155" s="357"/>
      <c r="BQ155" s="357"/>
      <c r="BR155" s="357"/>
      <c r="BS155" s="357"/>
      <c r="BT155" s="357"/>
      <c r="BU155" s="357"/>
      <c r="BV155" s="357"/>
      <c r="BW155" s="357"/>
      <c r="BX155" s="357"/>
      <c r="BY155" s="357"/>
      <c r="BZ155" s="357"/>
      <c r="CA155" s="357"/>
      <c r="CB155" s="357"/>
      <c r="CC155" s="357"/>
      <c r="CD155" s="357"/>
      <c r="CE155" s="357"/>
      <c r="CF155" s="357"/>
      <c r="CG155" s="357"/>
      <c r="CH155" s="357"/>
      <c r="CI155" s="357"/>
      <c r="CJ155" s="357"/>
      <c r="CK155" s="357"/>
      <c r="CL155" s="357"/>
      <c r="CM155" s="357"/>
      <c r="CN155" s="357"/>
      <c r="CO155" s="357"/>
      <c r="CP155" s="357"/>
      <c r="CQ155" s="357"/>
      <c r="CR155" s="357"/>
      <c r="CS155" s="357"/>
      <c r="CT155" s="357"/>
      <c r="CU155" s="357"/>
      <c r="CV155" s="357"/>
      <c r="CW155" s="357"/>
      <c r="CX155" s="357"/>
      <c r="CY155" s="357"/>
      <c r="CZ155" s="357"/>
      <c r="DA155" s="357"/>
      <c r="DB155" s="357"/>
      <c r="DC155" s="357"/>
      <c r="DD155" s="357"/>
      <c r="DE155" s="357"/>
      <c r="DF155" s="357"/>
      <c r="DG155" s="357"/>
      <c r="DH155" s="357"/>
      <c r="DI155" s="357"/>
      <c r="DJ155" s="357"/>
      <c r="DK155" s="357"/>
      <c r="DL155" s="357"/>
      <c r="DM155" s="357"/>
      <c r="DN155" s="357"/>
      <c r="DO155" s="357"/>
      <c r="DP155" s="357"/>
      <c r="DQ155" s="357"/>
      <c r="DR155" s="357"/>
      <c r="DS155" s="357"/>
      <c r="DT155" s="357"/>
      <c r="DU155" s="357"/>
      <c r="DV155" s="357"/>
      <c r="DW155" s="357"/>
      <c r="DX155" s="357"/>
      <c r="DY155" s="357"/>
      <c r="DZ155" s="357"/>
      <c r="EA155" s="357"/>
      <c r="EB155" s="357"/>
      <c r="EC155" s="357"/>
      <c r="ED155" s="357"/>
      <c r="EE155" s="357"/>
      <c r="EF155" s="357"/>
      <c r="EG155" s="357"/>
      <c r="EH155" s="357"/>
      <c r="EI155" s="357"/>
      <c r="EJ155" s="357"/>
      <c r="EK155" s="357"/>
      <c r="EL155" s="357"/>
      <c r="EM155" s="357"/>
      <c r="EN155" s="357"/>
      <c r="EO155" s="357"/>
      <c r="EP155" s="357"/>
      <c r="EQ155" s="357"/>
      <c r="ER155" s="357"/>
      <c r="ES155" s="357"/>
      <c r="ET155" s="357"/>
      <c r="EU155" s="357"/>
      <c r="EV155" s="357"/>
      <c r="EW155" s="357"/>
      <c r="EX155" s="357"/>
      <c r="EY155" s="357"/>
      <c r="EZ155" s="357"/>
      <c r="FA155" s="357"/>
      <c r="FB155" s="357"/>
      <c r="FC155" s="357"/>
      <c r="FD155" s="357"/>
      <c r="FE155" s="357"/>
      <c r="FF155" s="357"/>
      <c r="FG155" s="357"/>
      <c r="FH155" s="357"/>
      <c r="FI155" s="357"/>
      <c r="FJ155" s="357"/>
      <c r="FK155" s="357"/>
      <c r="FL155" s="357"/>
      <c r="FM155" s="357"/>
      <c r="FN155" s="357"/>
      <c r="FO155" s="357"/>
      <c r="FP155" s="357"/>
      <c r="FQ155" s="357"/>
      <c r="FR155" s="357"/>
      <c r="FS155" s="357"/>
      <c r="FT155" s="357"/>
      <c r="FU155" s="357"/>
      <c r="FV155" s="357"/>
      <c r="FW155" s="357"/>
      <c r="FX155" s="357"/>
      <c r="FY155" s="357"/>
      <c r="FZ155" s="357"/>
      <c r="GA155" s="357"/>
      <c r="GB155" s="357"/>
      <c r="GC155" s="357"/>
      <c r="GD155" s="357"/>
      <c r="GE155" s="357"/>
      <c r="GF155" s="357"/>
      <c r="GG155" s="357"/>
      <c r="GH155" s="357"/>
      <c r="GI155" s="357"/>
      <c r="GJ155" s="357"/>
      <c r="GK155" s="154"/>
      <c r="GL155" s="154"/>
      <c r="GM155" s="154"/>
      <c r="GN155" s="154"/>
      <c r="GO155" s="154"/>
      <c r="GP155" s="154"/>
      <c r="GQ155" s="154"/>
      <c r="GR155" s="154"/>
      <c r="GS155" s="154"/>
      <c r="GT155" s="154"/>
      <c r="GU155" s="154"/>
      <c r="GV155" s="154"/>
      <c r="GW155" s="154"/>
      <c r="GX155" s="154"/>
    </row>
    <row r="156" spans="7:206">
      <c r="G156" s="154"/>
      <c r="H156" s="154"/>
      <c r="I156" s="154"/>
      <c r="J156" s="154"/>
      <c r="K156" s="154"/>
      <c r="L156" s="154"/>
      <c r="M156" s="154"/>
      <c r="N156" s="154"/>
      <c r="O156" s="154"/>
      <c r="P156" s="154"/>
      <c r="Q156" s="154"/>
      <c r="R156" s="154"/>
      <c r="S156" s="154"/>
      <c r="T156" s="154"/>
      <c r="U156" s="154"/>
      <c r="V156" s="154"/>
      <c r="W156" s="154"/>
      <c r="X156" s="154"/>
      <c r="Y156" s="154"/>
      <c r="Z156" s="357"/>
      <c r="AA156" s="357"/>
      <c r="AB156" s="357"/>
      <c r="AC156" s="357"/>
      <c r="AD156" s="357"/>
      <c r="AE156" s="357"/>
      <c r="AF156" s="357"/>
      <c r="AG156" s="357"/>
      <c r="AH156" s="357"/>
      <c r="AI156" s="357"/>
      <c r="AJ156" s="357"/>
      <c r="AK156" s="357"/>
      <c r="AL156" s="357"/>
      <c r="AM156" s="357"/>
      <c r="AN156" s="357"/>
      <c r="AO156" s="357"/>
      <c r="AP156" s="357"/>
      <c r="AQ156" s="357"/>
      <c r="AR156" s="357"/>
      <c r="AS156" s="357"/>
      <c r="AT156" s="357"/>
      <c r="AU156" s="357"/>
      <c r="AV156" s="357"/>
      <c r="AW156" s="357"/>
      <c r="AX156" s="357"/>
      <c r="AY156" s="357"/>
      <c r="AZ156" s="357"/>
      <c r="BA156" s="357"/>
      <c r="BB156" s="357"/>
      <c r="BC156" s="357"/>
      <c r="BD156" s="357"/>
      <c r="BE156" s="357"/>
      <c r="BF156" s="357"/>
      <c r="BG156" s="357"/>
      <c r="BH156" s="357"/>
      <c r="BI156" s="357"/>
      <c r="BJ156" s="357"/>
      <c r="BK156" s="357"/>
      <c r="BL156" s="357"/>
      <c r="BM156" s="357"/>
      <c r="BN156" s="357"/>
      <c r="BO156" s="357"/>
      <c r="BP156" s="357"/>
      <c r="BQ156" s="357"/>
      <c r="BR156" s="357"/>
      <c r="BS156" s="357"/>
      <c r="BT156" s="357"/>
      <c r="BU156" s="357"/>
      <c r="BV156" s="357"/>
      <c r="BW156" s="357"/>
      <c r="BX156" s="357"/>
      <c r="BY156" s="357"/>
      <c r="BZ156" s="357"/>
      <c r="CA156" s="357"/>
      <c r="CB156" s="357"/>
      <c r="CC156" s="357"/>
      <c r="CD156" s="357"/>
      <c r="CE156" s="357"/>
      <c r="CF156" s="357"/>
      <c r="CG156" s="357"/>
      <c r="CH156" s="357"/>
      <c r="CI156" s="357"/>
      <c r="CJ156" s="357"/>
      <c r="CK156" s="357"/>
      <c r="CL156" s="357"/>
      <c r="CM156" s="357"/>
      <c r="CN156" s="357"/>
      <c r="CO156" s="357"/>
      <c r="CP156" s="357"/>
      <c r="CQ156" s="357"/>
      <c r="CR156" s="357"/>
      <c r="CS156" s="357"/>
      <c r="CT156" s="357"/>
      <c r="CU156" s="357"/>
      <c r="CV156" s="357"/>
      <c r="CW156" s="357"/>
      <c r="CX156" s="357"/>
      <c r="CY156" s="357"/>
      <c r="CZ156" s="357"/>
      <c r="DA156" s="357"/>
      <c r="DB156" s="357"/>
      <c r="DC156" s="357"/>
      <c r="DD156" s="357"/>
      <c r="DE156" s="357"/>
      <c r="DF156" s="357"/>
      <c r="DG156" s="357"/>
      <c r="DH156" s="357"/>
      <c r="DI156" s="357"/>
      <c r="DJ156" s="357"/>
      <c r="DK156" s="357"/>
      <c r="DL156" s="357"/>
      <c r="DM156" s="357"/>
      <c r="DN156" s="357"/>
      <c r="DO156" s="357"/>
      <c r="DP156" s="357"/>
      <c r="DQ156" s="357"/>
      <c r="DR156" s="357"/>
      <c r="DS156" s="357"/>
      <c r="DT156" s="357"/>
      <c r="DU156" s="357"/>
      <c r="DV156" s="357"/>
      <c r="DW156" s="357"/>
      <c r="DX156" s="357"/>
      <c r="DY156" s="357"/>
      <c r="DZ156" s="357"/>
      <c r="EA156" s="357"/>
      <c r="EB156" s="357"/>
      <c r="EC156" s="357"/>
      <c r="ED156" s="357"/>
      <c r="EE156" s="357"/>
      <c r="EF156" s="357"/>
      <c r="EG156" s="357"/>
      <c r="EH156" s="357"/>
      <c r="EI156" s="357"/>
      <c r="EJ156" s="357"/>
      <c r="EK156" s="357"/>
      <c r="EL156" s="357"/>
      <c r="EM156" s="357"/>
      <c r="EN156" s="357"/>
      <c r="EO156" s="357"/>
      <c r="EP156" s="357"/>
      <c r="EQ156" s="357"/>
      <c r="ER156" s="357"/>
      <c r="ES156" s="357"/>
      <c r="ET156" s="357"/>
      <c r="EU156" s="357"/>
      <c r="EV156" s="357"/>
      <c r="EW156" s="357"/>
      <c r="EX156" s="357"/>
      <c r="EY156" s="357"/>
      <c r="EZ156" s="357"/>
      <c r="FA156" s="357"/>
      <c r="FB156" s="357"/>
      <c r="FC156" s="357"/>
      <c r="FD156" s="357"/>
      <c r="FE156" s="357"/>
      <c r="FF156" s="357"/>
      <c r="FG156" s="357"/>
      <c r="FH156" s="357"/>
      <c r="FI156" s="357"/>
      <c r="FJ156" s="357"/>
      <c r="FK156" s="357"/>
      <c r="FL156" s="357"/>
      <c r="FM156" s="357"/>
      <c r="FN156" s="357"/>
      <c r="FO156" s="357"/>
      <c r="FP156" s="357"/>
      <c r="FQ156" s="357"/>
      <c r="FR156" s="357"/>
      <c r="FS156" s="357"/>
      <c r="FT156" s="357"/>
      <c r="FU156" s="357"/>
      <c r="FV156" s="357"/>
      <c r="FW156" s="357"/>
      <c r="FX156" s="357"/>
      <c r="FY156" s="357"/>
      <c r="FZ156" s="357"/>
      <c r="GA156" s="357"/>
      <c r="GB156" s="357"/>
      <c r="GC156" s="357"/>
      <c r="GD156" s="357"/>
      <c r="GE156" s="357"/>
      <c r="GF156" s="357"/>
      <c r="GG156" s="357"/>
      <c r="GH156" s="357"/>
      <c r="GI156" s="357"/>
      <c r="GJ156" s="357"/>
      <c r="GK156" s="154"/>
      <c r="GL156" s="154"/>
      <c r="GM156" s="154"/>
      <c r="GN156" s="154"/>
      <c r="GO156" s="154"/>
      <c r="GP156" s="154"/>
      <c r="GQ156" s="154"/>
      <c r="GR156" s="154"/>
      <c r="GS156" s="154"/>
      <c r="GT156" s="154"/>
      <c r="GU156" s="154"/>
      <c r="GV156" s="154"/>
      <c r="GW156" s="154"/>
      <c r="GX156" s="154"/>
    </row>
    <row r="157" spans="7:206">
      <c r="G157" s="154"/>
      <c r="H157" s="154"/>
      <c r="I157" s="154"/>
      <c r="J157" s="154"/>
      <c r="K157" s="154"/>
      <c r="L157" s="154"/>
      <c r="M157" s="154"/>
      <c r="N157" s="154"/>
      <c r="O157" s="154"/>
      <c r="P157" s="154"/>
      <c r="Q157" s="154"/>
      <c r="R157" s="154"/>
      <c r="S157" s="154"/>
      <c r="T157" s="154"/>
      <c r="U157" s="154"/>
      <c r="V157" s="154"/>
      <c r="W157" s="154"/>
      <c r="X157" s="154"/>
      <c r="Y157" s="154"/>
      <c r="Z157" s="357"/>
      <c r="AA157" s="357"/>
      <c r="AB157" s="357"/>
      <c r="AC157" s="357"/>
      <c r="AD157" s="357"/>
      <c r="AE157" s="357"/>
      <c r="AF157" s="357"/>
      <c r="AG157" s="357"/>
      <c r="AH157" s="357"/>
      <c r="AI157" s="357"/>
      <c r="AJ157" s="357"/>
      <c r="AK157" s="357"/>
      <c r="AL157" s="357"/>
      <c r="AM157" s="357"/>
      <c r="AN157" s="357"/>
      <c r="AO157" s="357"/>
      <c r="AP157" s="357"/>
      <c r="AQ157" s="357"/>
      <c r="AR157" s="357"/>
      <c r="AS157" s="357"/>
      <c r="AT157" s="357"/>
      <c r="AU157" s="357"/>
      <c r="AV157" s="357"/>
      <c r="AW157" s="357"/>
      <c r="AX157" s="357"/>
      <c r="AY157" s="357"/>
      <c r="AZ157" s="357"/>
      <c r="BA157" s="357"/>
      <c r="BB157" s="357"/>
      <c r="BC157" s="357"/>
      <c r="BD157" s="357"/>
      <c r="BE157" s="357"/>
      <c r="BF157" s="357"/>
      <c r="BG157" s="357"/>
      <c r="BH157" s="357"/>
      <c r="BI157" s="357"/>
      <c r="BJ157" s="357"/>
      <c r="BK157" s="357"/>
      <c r="BL157" s="357"/>
      <c r="BM157" s="357"/>
      <c r="BN157" s="357"/>
      <c r="BO157" s="357"/>
      <c r="BP157" s="357"/>
      <c r="BQ157" s="357"/>
      <c r="BR157" s="357"/>
      <c r="BS157" s="357"/>
      <c r="BT157" s="357"/>
      <c r="BU157" s="357"/>
      <c r="BV157" s="357"/>
      <c r="BW157" s="357"/>
      <c r="BX157" s="357"/>
      <c r="BY157" s="357"/>
      <c r="BZ157" s="357"/>
      <c r="CA157" s="357"/>
      <c r="CB157" s="357"/>
      <c r="CC157" s="357"/>
      <c r="CD157" s="357"/>
      <c r="CE157" s="357"/>
      <c r="CF157" s="357"/>
      <c r="CG157" s="357"/>
      <c r="CH157" s="357"/>
      <c r="CI157" s="357"/>
      <c r="CJ157" s="357"/>
      <c r="CK157" s="357"/>
      <c r="CL157" s="357"/>
      <c r="CM157" s="357"/>
      <c r="CN157" s="357"/>
      <c r="CO157" s="357"/>
      <c r="CP157" s="357"/>
      <c r="CQ157" s="357"/>
      <c r="CR157" s="357"/>
      <c r="CS157" s="357"/>
      <c r="CT157" s="357"/>
      <c r="CU157" s="357"/>
      <c r="CV157" s="357"/>
      <c r="CW157" s="357"/>
      <c r="CX157" s="357"/>
      <c r="CY157" s="357"/>
      <c r="CZ157" s="357"/>
      <c r="DA157" s="357"/>
      <c r="DB157" s="357"/>
      <c r="DC157" s="357"/>
      <c r="DD157" s="357"/>
      <c r="DE157" s="357"/>
      <c r="DF157" s="357"/>
      <c r="DG157" s="357"/>
      <c r="DH157" s="357"/>
      <c r="DI157" s="357"/>
      <c r="DJ157" s="357"/>
      <c r="DK157" s="357"/>
      <c r="DL157" s="357"/>
      <c r="DM157" s="357"/>
      <c r="DN157" s="357"/>
      <c r="DO157" s="357"/>
      <c r="DP157" s="357"/>
      <c r="DQ157" s="357"/>
      <c r="DR157" s="357"/>
      <c r="DS157" s="357"/>
      <c r="DT157" s="357"/>
      <c r="DU157" s="357"/>
      <c r="DV157" s="357"/>
      <c r="DW157" s="357"/>
      <c r="DX157" s="357"/>
      <c r="DY157" s="357"/>
      <c r="DZ157" s="357"/>
      <c r="EA157" s="357"/>
      <c r="EB157" s="357"/>
      <c r="EC157" s="357"/>
      <c r="ED157" s="357"/>
      <c r="EE157" s="357"/>
      <c r="EF157" s="357"/>
      <c r="EG157" s="357"/>
      <c r="EH157" s="357"/>
      <c r="EI157" s="357"/>
      <c r="EJ157" s="357"/>
      <c r="EK157" s="357"/>
      <c r="EL157" s="357"/>
      <c r="EM157" s="357"/>
      <c r="EN157" s="357"/>
      <c r="EO157" s="357"/>
      <c r="EP157" s="357"/>
      <c r="EQ157" s="357"/>
      <c r="ER157" s="357"/>
      <c r="ES157" s="357"/>
      <c r="ET157" s="357"/>
      <c r="EU157" s="357"/>
      <c r="EV157" s="357"/>
      <c r="EW157" s="357"/>
      <c r="EX157" s="357"/>
      <c r="EY157" s="357"/>
      <c r="EZ157" s="357"/>
      <c r="FA157" s="357"/>
      <c r="FB157" s="357"/>
      <c r="FC157" s="357"/>
      <c r="FD157" s="357"/>
      <c r="FE157" s="357"/>
      <c r="FF157" s="357"/>
      <c r="FG157" s="357"/>
      <c r="FH157" s="357"/>
      <c r="FI157" s="357"/>
      <c r="FJ157" s="357"/>
      <c r="FK157" s="357"/>
      <c r="FL157" s="357"/>
      <c r="FM157" s="357"/>
      <c r="FN157" s="357"/>
      <c r="FO157" s="357"/>
      <c r="FP157" s="357"/>
      <c r="FQ157" s="357"/>
      <c r="FR157" s="357"/>
      <c r="FS157" s="357"/>
      <c r="FT157" s="357"/>
      <c r="FU157" s="357"/>
      <c r="FV157" s="357"/>
      <c r="FW157" s="357"/>
      <c r="FX157" s="357"/>
      <c r="FY157" s="357"/>
      <c r="FZ157" s="357"/>
      <c r="GA157" s="357"/>
      <c r="GB157" s="357"/>
      <c r="GC157" s="357"/>
      <c r="GD157" s="357"/>
      <c r="GE157" s="357"/>
      <c r="GF157" s="357"/>
      <c r="GG157" s="357"/>
      <c r="GH157" s="357"/>
      <c r="GI157" s="357"/>
      <c r="GJ157" s="357"/>
      <c r="GK157" s="154"/>
      <c r="GL157" s="154"/>
      <c r="GM157" s="154"/>
      <c r="GN157" s="154"/>
      <c r="GO157" s="154"/>
      <c r="GP157" s="154"/>
      <c r="GQ157" s="154"/>
      <c r="GR157" s="154"/>
      <c r="GS157" s="154"/>
      <c r="GT157" s="154"/>
      <c r="GU157" s="154"/>
      <c r="GV157" s="154"/>
      <c r="GW157" s="154"/>
      <c r="GX157" s="154"/>
    </row>
    <row r="158" spans="7:206">
      <c r="G158" s="154"/>
      <c r="H158" s="154"/>
      <c r="I158" s="154"/>
      <c r="J158" s="154"/>
      <c r="K158" s="154"/>
      <c r="L158" s="154"/>
      <c r="M158" s="154"/>
      <c r="N158" s="154"/>
      <c r="O158" s="154"/>
      <c r="P158" s="154"/>
      <c r="Q158" s="154"/>
      <c r="R158" s="154"/>
      <c r="S158" s="154"/>
      <c r="T158" s="154"/>
      <c r="U158" s="154"/>
      <c r="V158" s="154"/>
      <c r="W158" s="154"/>
      <c r="X158" s="154"/>
      <c r="Y158" s="154"/>
      <c r="Z158" s="357"/>
      <c r="AA158" s="357"/>
      <c r="AB158" s="357"/>
      <c r="AC158" s="357"/>
      <c r="AD158" s="357"/>
      <c r="AE158" s="357"/>
      <c r="AF158" s="357"/>
      <c r="AG158" s="357"/>
      <c r="AH158" s="357"/>
      <c r="AI158" s="357"/>
      <c r="AJ158" s="357"/>
      <c r="AK158" s="357"/>
      <c r="AL158" s="357"/>
      <c r="AM158" s="357"/>
      <c r="AN158" s="357"/>
      <c r="AO158" s="357"/>
      <c r="AP158" s="357"/>
      <c r="AQ158" s="357"/>
      <c r="AR158" s="357"/>
      <c r="AS158" s="357"/>
      <c r="AT158" s="357"/>
      <c r="AU158" s="357"/>
      <c r="AV158" s="357"/>
      <c r="AW158" s="357"/>
      <c r="AX158" s="357"/>
      <c r="AY158" s="357"/>
      <c r="AZ158" s="357"/>
      <c r="BA158" s="357"/>
      <c r="BB158" s="357"/>
      <c r="BC158" s="357"/>
      <c r="BD158" s="357"/>
      <c r="BE158" s="357"/>
      <c r="BF158" s="357"/>
      <c r="BG158" s="357"/>
      <c r="BH158" s="357"/>
      <c r="BI158" s="357"/>
      <c r="BJ158" s="357"/>
      <c r="BK158" s="357"/>
      <c r="BL158" s="357"/>
      <c r="BM158" s="357"/>
      <c r="BN158" s="357"/>
      <c r="BO158" s="357"/>
      <c r="BP158" s="357"/>
      <c r="BQ158" s="357"/>
      <c r="BR158" s="357"/>
      <c r="BS158" s="357"/>
      <c r="BT158" s="357"/>
      <c r="BU158" s="357"/>
      <c r="BV158" s="357"/>
      <c r="BW158" s="357"/>
      <c r="BX158" s="357"/>
      <c r="BY158" s="357"/>
      <c r="BZ158" s="357"/>
      <c r="CA158" s="357"/>
      <c r="CB158" s="357"/>
      <c r="CC158" s="357"/>
      <c r="CD158" s="357"/>
      <c r="CE158" s="357"/>
      <c r="CF158" s="357"/>
      <c r="CG158" s="357"/>
      <c r="CH158" s="357"/>
      <c r="CI158" s="357"/>
      <c r="CJ158" s="357"/>
      <c r="CK158" s="357"/>
      <c r="CL158" s="357"/>
      <c r="CM158" s="357"/>
      <c r="CN158" s="357"/>
      <c r="CO158" s="357"/>
      <c r="CP158" s="357"/>
      <c r="CQ158" s="357"/>
      <c r="CR158" s="357"/>
      <c r="CS158" s="357"/>
      <c r="CT158" s="357"/>
      <c r="CU158" s="357"/>
      <c r="CV158" s="357"/>
      <c r="CW158" s="357"/>
      <c r="CX158" s="357"/>
      <c r="CY158" s="357"/>
      <c r="CZ158" s="357"/>
      <c r="DA158" s="357"/>
      <c r="DB158" s="357"/>
      <c r="DC158" s="357"/>
      <c r="DD158" s="357"/>
      <c r="DE158" s="357"/>
      <c r="DF158" s="357"/>
      <c r="DG158" s="357"/>
      <c r="DH158" s="357"/>
      <c r="DI158" s="357"/>
      <c r="DJ158" s="357"/>
      <c r="DK158" s="357"/>
      <c r="DL158" s="357"/>
      <c r="DM158" s="357"/>
      <c r="DN158" s="357"/>
      <c r="DO158" s="357"/>
      <c r="DP158" s="357"/>
      <c r="DQ158" s="357"/>
      <c r="DR158" s="357"/>
      <c r="DS158" s="357"/>
      <c r="DT158" s="357"/>
      <c r="DU158" s="357"/>
      <c r="DV158" s="357"/>
      <c r="DW158" s="357"/>
      <c r="DX158" s="357"/>
      <c r="DY158" s="357"/>
      <c r="DZ158" s="357"/>
      <c r="EA158" s="357"/>
      <c r="EB158" s="357"/>
      <c r="EC158" s="357"/>
      <c r="ED158" s="357"/>
      <c r="EE158" s="357"/>
      <c r="EF158" s="357"/>
      <c r="EG158" s="357"/>
      <c r="EH158" s="357"/>
      <c r="EI158" s="357"/>
      <c r="EJ158" s="357"/>
      <c r="EK158" s="357"/>
      <c r="EL158" s="357"/>
      <c r="EM158" s="357"/>
      <c r="EN158" s="357"/>
      <c r="EO158" s="357"/>
      <c r="EP158" s="357"/>
      <c r="EQ158" s="357"/>
      <c r="ER158" s="357"/>
      <c r="ES158" s="357"/>
      <c r="ET158" s="357"/>
      <c r="EU158" s="357"/>
      <c r="EV158" s="357"/>
      <c r="EW158" s="357"/>
      <c r="EX158" s="357"/>
      <c r="EY158" s="357"/>
      <c r="EZ158" s="357"/>
      <c r="FA158" s="357"/>
      <c r="FB158" s="357"/>
      <c r="FC158" s="357"/>
      <c r="FD158" s="357"/>
      <c r="FE158" s="357"/>
      <c r="FF158" s="357"/>
      <c r="FG158" s="357"/>
      <c r="FH158" s="357"/>
      <c r="FI158" s="357"/>
      <c r="FJ158" s="357"/>
      <c r="FK158" s="357"/>
      <c r="FL158" s="357"/>
      <c r="FM158" s="357"/>
      <c r="FN158" s="357"/>
      <c r="FO158" s="357"/>
      <c r="FP158" s="357"/>
      <c r="FQ158" s="357"/>
      <c r="FR158" s="357"/>
      <c r="FS158" s="357"/>
      <c r="FT158" s="357"/>
      <c r="FU158" s="357"/>
      <c r="FV158" s="357"/>
      <c r="FW158" s="357"/>
      <c r="FX158" s="357"/>
      <c r="FY158" s="357"/>
      <c r="FZ158" s="357"/>
      <c r="GA158" s="357"/>
      <c r="GB158" s="357"/>
      <c r="GC158" s="357"/>
      <c r="GD158" s="357"/>
      <c r="GE158" s="357"/>
      <c r="GF158" s="357"/>
      <c r="GG158" s="357"/>
      <c r="GH158" s="357"/>
      <c r="GI158" s="357"/>
      <c r="GJ158" s="357"/>
      <c r="GK158" s="154"/>
      <c r="GL158" s="154"/>
      <c r="GM158" s="154"/>
      <c r="GN158" s="154"/>
      <c r="GO158" s="154"/>
      <c r="GP158" s="154"/>
      <c r="GQ158" s="154"/>
      <c r="GR158" s="154"/>
      <c r="GS158" s="154"/>
      <c r="GT158" s="154"/>
      <c r="GU158" s="154"/>
      <c r="GV158" s="154"/>
      <c r="GW158" s="154"/>
      <c r="GX158" s="154"/>
    </row>
    <row r="159" spans="7:206">
      <c r="G159" s="154"/>
      <c r="H159" s="154"/>
      <c r="I159" s="154"/>
      <c r="J159" s="154"/>
      <c r="K159" s="154"/>
      <c r="L159" s="154"/>
      <c r="M159" s="154"/>
      <c r="N159" s="154"/>
      <c r="O159" s="154"/>
      <c r="P159" s="154"/>
      <c r="Q159" s="154"/>
      <c r="R159" s="154"/>
      <c r="S159" s="154"/>
      <c r="T159" s="154"/>
      <c r="U159" s="154"/>
      <c r="V159" s="154"/>
      <c r="W159" s="154"/>
      <c r="X159" s="154"/>
      <c r="Y159" s="154"/>
      <c r="Z159" s="357"/>
      <c r="AA159" s="357"/>
      <c r="AB159" s="357"/>
      <c r="AC159" s="357"/>
      <c r="AD159" s="357"/>
      <c r="AE159" s="357"/>
      <c r="AF159" s="357"/>
      <c r="AG159" s="357"/>
      <c r="AH159" s="357"/>
      <c r="AI159" s="357"/>
      <c r="AJ159" s="357"/>
      <c r="AK159" s="357"/>
      <c r="AL159" s="357"/>
      <c r="AM159" s="357"/>
      <c r="AN159" s="357"/>
      <c r="AO159" s="357"/>
      <c r="AP159" s="357"/>
      <c r="AQ159" s="357"/>
      <c r="AR159" s="357"/>
      <c r="AS159" s="357"/>
      <c r="AT159" s="357"/>
      <c r="AU159" s="357"/>
      <c r="AV159" s="357"/>
      <c r="AW159" s="357"/>
      <c r="AX159" s="357"/>
      <c r="AY159" s="357"/>
      <c r="AZ159" s="357"/>
      <c r="BA159" s="357"/>
      <c r="BB159" s="357"/>
      <c r="BC159" s="357"/>
      <c r="BD159" s="357"/>
      <c r="BE159" s="357"/>
      <c r="BF159" s="357"/>
      <c r="BG159" s="357"/>
      <c r="BH159" s="357"/>
      <c r="BI159" s="357"/>
      <c r="BJ159" s="357"/>
      <c r="BK159" s="357"/>
      <c r="BL159" s="357"/>
      <c r="BM159" s="357"/>
      <c r="BN159" s="357"/>
      <c r="BO159" s="357"/>
      <c r="BP159" s="357"/>
      <c r="BQ159" s="357"/>
      <c r="BR159" s="357"/>
      <c r="BS159" s="357"/>
      <c r="BT159" s="357"/>
      <c r="BU159" s="357"/>
      <c r="BV159" s="357"/>
      <c r="BW159" s="357"/>
      <c r="BX159" s="357"/>
      <c r="BY159" s="357"/>
      <c r="BZ159" s="357"/>
      <c r="CA159" s="357"/>
      <c r="CB159" s="357"/>
      <c r="CC159" s="357"/>
      <c r="CD159" s="357"/>
      <c r="CE159" s="357"/>
      <c r="CF159" s="357"/>
      <c r="CG159" s="357"/>
      <c r="CH159" s="357"/>
      <c r="CI159" s="357"/>
      <c r="CJ159" s="357"/>
      <c r="CK159" s="357"/>
      <c r="CL159" s="357"/>
      <c r="CM159" s="357"/>
      <c r="CN159" s="357"/>
      <c r="CO159" s="357"/>
      <c r="CP159" s="357"/>
      <c r="CQ159" s="357"/>
      <c r="CR159" s="357"/>
      <c r="CS159" s="357"/>
      <c r="CT159" s="357"/>
      <c r="CU159" s="357"/>
      <c r="CV159" s="357"/>
      <c r="CW159" s="357"/>
      <c r="CX159" s="357"/>
      <c r="CY159" s="357"/>
      <c r="CZ159" s="357"/>
      <c r="DA159" s="357"/>
      <c r="DB159" s="357"/>
      <c r="DC159" s="357"/>
      <c r="DD159" s="357"/>
      <c r="DE159" s="357"/>
      <c r="DF159" s="357"/>
      <c r="DG159" s="357"/>
      <c r="DH159" s="357"/>
      <c r="DI159" s="357"/>
      <c r="DJ159" s="357"/>
      <c r="DK159" s="357"/>
      <c r="DL159" s="357"/>
      <c r="DM159" s="357"/>
      <c r="DN159" s="357"/>
      <c r="DO159" s="357"/>
      <c r="DP159" s="357"/>
      <c r="DQ159" s="357"/>
      <c r="DR159" s="357"/>
      <c r="DS159" s="357"/>
      <c r="DT159" s="357"/>
      <c r="DU159" s="357"/>
      <c r="DV159" s="357"/>
      <c r="DW159" s="357"/>
      <c r="DX159" s="357"/>
      <c r="DY159" s="357"/>
      <c r="DZ159" s="357"/>
      <c r="EA159" s="357"/>
      <c r="EB159" s="357"/>
      <c r="EC159" s="357"/>
      <c r="ED159" s="357"/>
      <c r="EE159" s="357"/>
      <c r="EF159" s="357"/>
      <c r="EG159" s="357"/>
      <c r="EH159" s="357"/>
      <c r="EI159" s="357"/>
      <c r="EJ159" s="357"/>
      <c r="EK159" s="357"/>
      <c r="EL159" s="357"/>
      <c r="EM159" s="357"/>
      <c r="EN159" s="357"/>
      <c r="EO159" s="357"/>
      <c r="EP159" s="357"/>
      <c r="EQ159" s="357"/>
      <c r="ER159" s="357"/>
      <c r="ES159" s="357"/>
      <c r="ET159" s="357"/>
      <c r="EU159" s="357"/>
      <c r="EV159" s="357"/>
      <c r="EW159" s="357"/>
      <c r="EX159" s="357"/>
      <c r="EY159" s="357"/>
      <c r="EZ159" s="357"/>
      <c r="FA159" s="357"/>
      <c r="FB159" s="357"/>
      <c r="FC159" s="357"/>
      <c r="FD159" s="357"/>
      <c r="FE159" s="357"/>
      <c r="FF159" s="357"/>
      <c r="FG159" s="357"/>
      <c r="FH159" s="357"/>
      <c r="FI159" s="357"/>
      <c r="FJ159" s="357"/>
      <c r="FK159" s="357"/>
      <c r="FL159" s="357"/>
      <c r="FM159" s="357"/>
      <c r="FN159" s="357"/>
      <c r="FO159" s="357"/>
      <c r="FP159" s="357"/>
      <c r="FQ159" s="357"/>
      <c r="FR159" s="357"/>
      <c r="FS159" s="357"/>
      <c r="FT159" s="357"/>
      <c r="FU159" s="357"/>
      <c r="FV159" s="357"/>
      <c r="FW159" s="357"/>
      <c r="FX159" s="357"/>
      <c r="FY159" s="357"/>
      <c r="FZ159" s="357"/>
      <c r="GA159" s="357"/>
      <c r="GB159" s="357"/>
      <c r="GC159" s="357"/>
      <c r="GD159" s="357"/>
      <c r="GE159" s="357"/>
      <c r="GF159" s="357"/>
      <c r="GG159" s="357"/>
      <c r="GH159" s="357"/>
      <c r="GI159" s="357"/>
      <c r="GJ159" s="357"/>
      <c r="GK159" s="154"/>
      <c r="GL159" s="154"/>
      <c r="GM159" s="154"/>
      <c r="GN159" s="154"/>
      <c r="GO159" s="154"/>
      <c r="GP159" s="154"/>
      <c r="GQ159" s="154"/>
      <c r="GR159" s="154"/>
      <c r="GS159" s="154"/>
      <c r="GT159" s="154"/>
      <c r="GU159" s="154"/>
      <c r="GV159" s="154"/>
      <c r="GW159" s="154"/>
      <c r="GX159" s="154"/>
    </row>
    <row r="160" spans="7:206">
      <c r="G160" s="154"/>
      <c r="H160" s="154"/>
      <c r="I160" s="154"/>
      <c r="J160" s="154"/>
      <c r="K160" s="154"/>
      <c r="L160" s="154"/>
      <c r="M160" s="154"/>
      <c r="N160" s="154"/>
      <c r="O160" s="154"/>
      <c r="P160" s="154"/>
      <c r="Q160" s="154"/>
      <c r="R160" s="154"/>
      <c r="S160" s="154"/>
      <c r="T160" s="154"/>
      <c r="U160" s="154"/>
      <c r="V160" s="154"/>
      <c r="W160" s="154"/>
      <c r="X160" s="154"/>
      <c r="Y160" s="154"/>
      <c r="Z160" s="357"/>
      <c r="AA160" s="357"/>
      <c r="AB160" s="357"/>
      <c r="AC160" s="357"/>
      <c r="AD160" s="357"/>
      <c r="AE160" s="357"/>
      <c r="AF160" s="357"/>
      <c r="AG160" s="357"/>
      <c r="AH160" s="357"/>
      <c r="AI160" s="357"/>
      <c r="AJ160" s="357"/>
      <c r="AK160" s="357"/>
      <c r="AL160" s="357"/>
      <c r="AM160" s="357"/>
      <c r="AN160" s="357"/>
      <c r="AO160" s="357"/>
      <c r="AP160" s="357"/>
      <c r="AQ160" s="357"/>
      <c r="AR160" s="357"/>
      <c r="AS160" s="357"/>
      <c r="AT160" s="357"/>
      <c r="AU160" s="357"/>
      <c r="AV160" s="357"/>
      <c r="AW160" s="357"/>
      <c r="AX160" s="357"/>
      <c r="AY160" s="357"/>
      <c r="AZ160" s="357"/>
      <c r="BA160" s="357"/>
      <c r="BB160" s="357"/>
      <c r="BC160" s="357"/>
      <c r="BD160" s="357"/>
      <c r="BE160" s="357"/>
      <c r="BF160" s="357"/>
      <c r="BG160" s="357"/>
      <c r="BH160" s="357"/>
      <c r="BI160" s="357"/>
      <c r="BJ160" s="357"/>
      <c r="BK160" s="357"/>
      <c r="BL160" s="357"/>
      <c r="BM160" s="357"/>
      <c r="BN160" s="357"/>
      <c r="BO160" s="357"/>
      <c r="BP160" s="357"/>
      <c r="BQ160" s="357"/>
      <c r="BR160" s="357"/>
      <c r="BS160" s="357"/>
      <c r="BT160" s="357"/>
      <c r="BU160" s="357"/>
      <c r="BV160" s="357"/>
      <c r="BW160" s="357"/>
      <c r="BX160" s="357"/>
      <c r="BY160" s="357"/>
      <c r="BZ160" s="357"/>
      <c r="CA160" s="357"/>
      <c r="CB160" s="357"/>
      <c r="CC160" s="357"/>
      <c r="CD160" s="357"/>
      <c r="CE160" s="357"/>
      <c r="CF160" s="357"/>
      <c r="CG160" s="357"/>
      <c r="CH160" s="357"/>
      <c r="CI160" s="357"/>
      <c r="CJ160" s="357"/>
      <c r="CK160" s="357"/>
      <c r="CL160" s="357"/>
      <c r="CM160" s="357"/>
      <c r="CN160" s="357"/>
      <c r="CO160" s="357"/>
      <c r="CP160" s="357"/>
      <c r="CQ160" s="357"/>
      <c r="CR160" s="357"/>
      <c r="CS160" s="357"/>
      <c r="CT160" s="357"/>
      <c r="CU160" s="357"/>
      <c r="CV160" s="357"/>
      <c r="CW160" s="357"/>
      <c r="CX160" s="357"/>
      <c r="CY160" s="357"/>
      <c r="CZ160" s="357"/>
      <c r="DA160" s="357"/>
      <c r="DB160" s="357"/>
      <c r="DC160" s="357"/>
      <c r="DD160" s="357"/>
      <c r="DE160" s="357"/>
      <c r="DF160" s="357"/>
      <c r="DG160" s="357"/>
      <c r="DH160" s="357"/>
      <c r="DI160" s="357"/>
      <c r="DJ160" s="357"/>
      <c r="DK160" s="357"/>
      <c r="DL160" s="357"/>
      <c r="DM160" s="357"/>
      <c r="DN160" s="357"/>
      <c r="DO160" s="357"/>
      <c r="DP160" s="357"/>
      <c r="DQ160" s="357"/>
      <c r="DR160" s="357"/>
      <c r="DS160" s="357"/>
      <c r="DT160" s="357"/>
      <c r="DU160" s="357"/>
      <c r="DV160" s="357"/>
      <c r="DW160" s="357"/>
      <c r="DX160" s="357"/>
      <c r="DY160" s="357"/>
      <c r="DZ160" s="357"/>
      <c r="EA160" s="357"/>
      <c r="EB160" s="357"/>
      <c r="EC160" s="357"/>
      <c r="ED160" s="357"/>
      <c r="EE160" s="357"/>
      <c r="EF160" s="357"/>
      <c r="EG160" s="357"/>
      <c r="EH160" s="357"/>
      <c r="EI160" s="357"/>
      <c r="EJ160" s="357"/>
      <c r="EK160" s="357"/>
      <c r="EL160" s="357"/>
      <c r="EM160" s="357"/>
      <c r="EN160" s="357"/>
      <c r="EO160" s="357"/>
      <c r="EP160" s="357"/>
      <c r="EQ160" s="357"/>
      <c r="ER160" s="357"/>
      <c r="ES160" s="357"/>
      <c r="ET160" s="357"/>
      <c r="EU160" s="357"/>
      <c r="EV160" s="357"/>
      <c r="EW160" s="357"/>
      <c r="EX160" s="357"/>
      <c r="EY160" s="357"/>
      <c r="EZ160" s="357"/>
      <c r="FA160" s="357"/>
      <c r="FB160" s="357"/>
      <c r="FC160" s="357"/>
      <c r="FD160" s="357"/>
      <c r="FE160" s="357"/>
      <c r="FF160" s="357"/>
      <c r="FG160" s="357"/>
      <c r="FH160" s="357"/>
      <c r="FI160" s="357"/>
      <c r="FJ160" s="357"/>
      <c r="FK160" s="357"/>
      <c r="FL160" s="357"/>
      <c r="FM160" s="357"/>
      <c r="FN160" s="357"/>
      <c r="FO160" s="357"/>
      <c r="FP160" s="357"/>
      <c r="FQ160" s="357"/>
      <c r="FR160" s="357"/>
      <c r="FS160" s="357"/>
      <c r="FT160" s="357"/>
      <c r="FU160" s="357"/>
      <c r="FV160" s="357"/>
      <c r="FW160" s="357"/>
      <c r="FX160" s="357"/>
      <c r="FY160" s="357"/>
      <c r="FZ160" s="357"/>
      <c r="GA160" s="357"/>
      <c r="GB160" s="357"/>
      <c r="GC160" s="357"/>
      <c r="GD160" s="357"/>
      <c r="GE160" s="357"/>
      <c r="GF160" s="357"/>
      <c r="GG160" s="357"/>
      <c r="GH160" s="357"/>
      <c r="GI160" s="357"/>
      <c r="GJ160" s="357"/>
      <c r="GK160" s="154"/>
      <c r="GL160" s="154"/>
      <c r="GM160" s="154"/>
      <c r="GN160" s="154"/>
      <c r="GO160" s="154"/>
      <c r="GP160" s="154"/>
      <c r="GQ160" s="154"/>
      <c r="GR160" s="154"/>
      <c r="GS160" s="154"/>
      <c r="GT160" s="154"/>
      <c r="GU160" s="154"/>
      <c r="GV160" s="154"/>
      <c r="GW160" s="154"/>
      <c r="GX160" s="154"/>
    </row>
    <row r="161" spans="7:206">
      <c r="G161" s="154"/>
      <c r="H161" s="154"/>
      <c r="I161" s="154"/>
      <c r="J161" s="154"/>
      <c r="K161" s="154"/>
      <c r="L161" s="154"/>
      <c r="M161" s="154"/>
      <c r="N161" s="154"/>
      <c r="O161" s="154"/>
      <c r="P161" s="154"/>
      <c r="Q161" s="154"/>
      <c r="R161" s="154"/>
      <c r="S161" s="154"/>
      <c r="T161" s="154"/>
      <c r="U161" s="154"/>
      <c r="V161" s="154"/>
      <c r="W161" s="154"/>
      <c r="X161" s="154"/>
      <c r="Y161" s="154"/>
      <c r="Z161" s="357"/>
      <c r="AA161" s="357"/>
      <c r="AB161" s="357"/>
      <c r="AC161" s="357"/>
      <c r="AD161" s="357"/>
      <c r="AE161" s="357"/>
      <c r="AF161" s="357"/>
      <c r="AG161" s="357"/>
      <c r="AH161" s="357"/>
      <c r="AI161" s="357"/>
      <c r="AJ161" s="357"/>
      <c r="AK161" s="357"/>
      <c r="AL161" s="357"/>
      <c r="AM161" s="357"/>
      <c r="AN161" s="357"/>
      <c r="AO161" s="357"/>
      <c r="AP161" s="357"/>
      <c r="AQ161" s="357"/>
      <c r="AR161" s="357"/>
      <c r="AS161" s="357"/>
      <c r="AT161" s="357"/>
      <c r="AU161" s="357"/>
      <c r="AV161" s="357"/>
      <c r="AW161" s="357"/>
      <c r="AX161" s="357"/>
      <c r="AY161" s="357"/>
      <c r="AZ161" s="357"/>
      <c r="BA161" s="357"/>
      <c r="BB161" s="357"/>
      <c r="BC161" s="357"/>
      <c r="BD161" s="357"/>
      <c r="BE161" s="357"/>
      <c r="BF161" s="357"/>
      <c r="BG161" s="357"/>
      <c r="BH161" s="357"/>
      <c r="BI161" s="357"/>
      <c r="BJ161" s="357"/>
      <c r="BK161" s="357"/>
      <c r="BL161" s="357"/>
      <c r="BM161" s="357"/>
      <c r="BN161" s="357"/>
      <c r="BO161" s="357"/>
      <c r="BP161" s="357"/>
      <c r="BQ161" s="357"/>
      <c r="BR161" s="357"/>
      <c r="BS161" s="357"/>
      <c r="BT161" s="357"/>
      <c r="BU161" s="357"/>
      <c r="BV161" s="357"/>
      <c r="BW161" s="357"/>
      <c r="BX161" s="357"/>
      <c r="BY161" s="357"/>
      <c r="BZ161" s="357"/>
      <c r="CA161" s="357"/>
      <c r="CB161" s="357"/>
      <c r="CC161" s="357"/>
      <c r="CD161" s="357"/>
      <c r="CE161" s="357"/>
      <c r="CF161" s="357"/>
      <c r="CG161" s="357"/>
      <c r="CH161" s="357"/>
      <c r="CI161" s="357"/>
      <c r="CJ161" s="357"/>
      <c r="CK161" s="357"/>
      <c r="CL161" s="357"/>
      <c r="CM161" s="357"/>
      <c r="CN161" s="357"/>
      <c r="CO161" s="357"/>
      <c r="CP161" s="357"/>
      <c r="CQ161" s="357"/>
      <c r="CR161" s="357"/>
      <c r="CS161" s="357"/>
      <c r="CT161" s="357"/>
      <c r="CU161" s="357"/>
      <c r="CV161" s="357"/>
      <c r="CW161" s="357"/>
      <c r="CX161" s="357"/>
      <c r="CY161" s="357"/>
      <c r="CZ161" s="357"/>
      <c r="DA161" s="357"/>
      <c r="DB161" s="357"/>
      <c r="DC161" s="357"/>
      <c r="DD161" s="357"/>
      <c r="DE161" s="357"/>
      <c r="DF161" s="357"/>
      <c r="DG161" s="357"/>
      <c r="DH161" s="357"/>
      <c r="DI161" s="357"/>
      <c r="DJ161" s="357"/>
      <c r="DK161" s="357"/>
      <c r="DL161" s="357"/>
      <c r="DM161" s="357"/>
      <c r="DN161" s="357"/>
      <c r="DO161" s="357"/>
      <c r="DP161" s="357"/>
      <c r="DQ161" s="357"/>
      <c r="DR161" s="357"/>
      <c r="DS161" s="357"/>
      <c r="DT161" s="357"/>
      <c r="DU161" s="357"/>
      <c r="DV161" s="357"/>
      <c r="DW161" s="357"/>
      <c r="DX161" s="357"/>
      <c r="DY161" s="357"/>
      <c r="DZ161" s="357"/>
      <c r="EA161" s="357"/>
      <c r="EB161" s="357"/>
      <c r="EC161" s="357"/>
      <c r="ED161" s="357"/>
      <c r="EE161" s="357"/>
      <c r="EF161" s="357"/>
      <c r="EG161" s="357"/>
      <c r="EH161" s="357"/>
      <c r="EI161" s="357"/>
      <c r="EJ161" s="357"/>
      <c r="EK161" s="357"/>
      <c r="EL161" s="357"/>
      <c r="EM161" s="357"/>
      <c r="EN161" s="357"/>
      <c r="EO161" s="357"/>
      <c r="EP161" s="357"/>
      <c r="EQ161" s="357"/>
      <c r="ER161" s="357"/>
      <c r="ES161" s="357"/>
      <c r="ET161" s="357"/>
      <c r="EU161" s="357"/>
      <c r="EV161" s="357"/>
      <c r="EW161" s="357"/>
      <c r="EX161" s="357"/>
      <c r="EY161" s="357"/>
      <c r="EZ161" s="357"/>
      <c r="FA161" s="357"/>
      <c r="FB161" s="357"/>
      <c r="FC161" s="357"/>
      <c r="FD161" s="357"/>
      <c r="FE161" s="357"/>
      <c r="FF161" s="357"/>
      <c r="FG161" s="357"/>
      <c r="FH161" s="357"/>
      <c r="FI161" s="357"/>
      <c r="FJ161" s="357"/>
      <c r="FK161" s="357"/>
      <c r="FL161" s="357"/>
      <c r="FM161" s="357"/>
      <c r="FN161" s="357"/>
      <c r="FO161" s="357"/>
      <c r="FP161" s="357"/>
      <c r="FQ161" s="357"/>
      <c r="FR161" s="357"/>
      <c r="FS161" s="357"/>
      <c r="FT161" s="357"/>
      <c r="FU161" s="357"/>
      <c r="FV161" s="357"/>
      <c r="FW161" s="357"/>
      <c r="FX161" s="357"/>
      <c r="FY161" s="357"/>
      <c r="FZ161" s="357"/>
      <c r="GA161" s="357"/>
      <c r="GB161" s="357"/>
      <c r="GC161" s="357"/>
      <c r="GD161" s="357"/>
      <c r="GE161" s="357"/>
      <c r="GF161" s="357"/>
      <c r="GG161" s="357"/>
      <c r="GH161" s="357"/>
      <c r="GI161" s="357"/>
      <c r="GJ161" s="357"/>
      <c r="GK161" s="154"/>
      <c r="GL161" s="154"/>
      <c r="GM161" s="154"/>
      <c r="GN161" s="154"/>
      <c r="GO161" s="154"/>
      <c r="GP161" s="154"/>
      <c r="GQ161" s="154"/>
      <c r="GR161" s="154"/>
      <c r="GS161" s="154"/>
      <c r="GT161" s="154"/>
      <c r="GU161" s="154"/>
      <c r="GV161" s="154"/>
      <c r="GW161" s="154"/>
      <c r="GX161" s="154"/>
    </row>
    <row r="162" spans="7:206">
      <c r="G162" s="154"/>
      <c r="H162" s="154"/>
      <c r="I162" s="154"/>
      <c r="J162" s="154"/>
      <c r="K162" s="154"/>
      <c r="L162" s="154"/>
      <c r="M162" s="154"/>
      <c r="N162" s="154"/>
      <c r="O162" s="154"/>
      <c r="P162" s="154"/>
      <c r="Q162" s="154"/>
      <c r="R162" s="154"/>
      <c r="S162" s="154"/>
      <c r="T162" s="154"/>
      <c r="U162" s="154"/>
      <c r="V162" s="154"/>
      <c r="W162" s="154"/>
      <c r="X162" s="154"/>
      <c r="Y162" s="154"/>
      <c r="Z162" s="357"/>
      <c r="AA162" s="357"/>
      <c r="AB162" s="357"/>
      <c r="AC162" s="357"/>
      <c r="AD162" s="357"/>
      <c r="AE162" s="357"/>
      <c r="AF162" s="357"/>
      <c r="AG162" s="357"/>
      <c r="AH162" s="357"/>
      <c r="AI162" s="357"/>
      <c r="AJ162" s="357"/>
      <c r="AK162" s="357"/>
      <c r="AL162" s="357"/>
      <c r="AM162" s="357"/>
      <c r="AN162" s="357"/>
      <c r="AO162" s="357"/>
      <c r="AP162" s="357"/>
      <c r="AQ162" s="357"/>
      <c r="AR162" s="357"/>
      <c r="AS162" s="357"/>
      <c r="AT162" s="357"/>
      <c r="AU162" s="357"/>
      <c r="AV162" s="357"/>
      <c r="AW162" s="357"/>
      <c r="AX162" s="357"/>
      <c r="AY162" s="357"/>
      <c r="AZ162" s="357"/>
      <c r="BA162" s="357"/>
      <c r="BB162" s="357"/>
      <c r="BC162" s="357"/>
      <c r="BD162" s="357"/>
      <c r="BE162" s="357"/>
      <c r="BF162" s="357"/>
      <c r="BG162" s="357"/>
      <c r="BH162" s="357"/>
      <c r="BI162" s="357"/>
      <c r="BJ162" s="357"/>
      <c r="BK162" s="357"/>
      <c r="BL162" s="357"/>
      <c r="BM162" s="357"/>
      <c r="BN162" s="357"/>
      <c r="BO162" s="357"/>
      <c r="BP162" s="357"/>
      <c r="BQ162" s="357"/>
      <c r="BR162" s="357"/>
      <c r="BS162" s="357"/>
      <c r="BT162" s="357"/>
      <c r="BU162" s="357"/>
      <c r="BV162" s="357"/>
      <c r="BW162" s="357"/>
      <c r="BX162" s="357"/>
      <c r="BY162" s="357"/>
      <c r="BZ162" s="357"/>
      <c r="CA162" s="357"/>
      <c r="CB162" s="357"/>
      <c r="CC162" s="357"/>
      <c r="CD162" s="357"/>
      <c r="CE162" s="357"/>
      <c r="CF162" s="357"/>
      <c r="CG162" s="357"/>
      <c r="CH162" s="357"/>
      <c r="CI162" s="357"/>
      <c r="CJ162" s="357"/>
      <c r="CK162" s="357"/>
      <c r="CL162" s="357"/>
      <c r="CM162" s="357"/>
      <c r="CN162" s="357"/>
      <c r="CO162" s="357"/>
      <c r="CP162" s="357"/>
      <c r="CQ162" s="357"/>
      <c r="CR162" s="357"/>
      <c r="CS162" s="357"/>
      <c r="CT162" s="357"/>
      <c r="CU162" s="357"/>
      <c r="CV162" s="357"/>
      <c r="CW162" s="357"/>
      <c r="CX162" s="357"/>
      <c r="CY162" s="357"/>
      <c r="CZ162" s="357"/>
      <c r="DA162" s="357"/>
      <c r="DB162" s="357"/>
      <c r="DC162" s="357"/>
      <c r="DD162" s="357"/>
      <c r="DE162" s="357"/>
      <c r="DF162" s="357"/>
      <c r="DG162" s="357"/>
      <c r="DH162" s="357"/>
      <c r="DI162" s="357"/>
      <c r="DJ162" s="357"/>
      <c r="DK162" s="357"/>
      <c r="DL162" s="357"/>
      <c r="DM162" s="357"/>
      <c r="DN162" s="357"/>
      <c r="DO162" s="357"/>
      <c r="DP162" s="357"/>
      <c r="DQ162" s="357"/>
      <c r="DR162" s="357"/>
      <c r="DS162" s="357"/>
      <c r="DT162" s="357"/>
      <c r="DU162" s="357"/>
      <c r="DV162" s="357"/>
      <c r="DW162" s="357"/>
      <c r="DX162" s="357"/>
      <c r="DY162" s="357"/>
      <c r="DZ162" s="357"/>
      <c r="EA162" s="357"/>
      <c r="EB162" s="357"/>
      <c r="EC162" s="357"/>
      <c r="ED162" s="357"/>
      <c r="EE162" s="357"/>
      <c r="EF162" s="357"/>
      <c r="EG162" s="357"/>
      <c r="EH162" s="357"/>
      <c r="EI162" s="357"/>
      <c r="EJ162" s="357"/>
      <c r="EK162" s="357"/>
      <c r="EL162" s="357"/>
      <c r="EM162" s="357"/>
      <c r="EN162" s="357"/>
      <c r="EO162" s="357"/>
      <c r="EP162" s="357"/>
      <c r="EQ162" s="357"/>
      <c r="ER162" s="357"/>
      <c r="ES162" s="357"/>
      <c r="ET162" s="357"/>
      <c r="EU162" s="357"/>
      <c r="EV162" s="357"/>
      <c r="EW162" s="357"/>
      <c r="EX162" s="357"/>
      <c r="EY162" s="357"/>
      <c r="EZ162" s="357"/>
      <c r="FA162" s="357"/>
      <c r="FB162" s="357"/>
      <c r="FC162" s="357"/>
      <c r="FD162" s="357"/>
      <c r="FE162" s="357"/>
      <c r="FF162" s="357"/>
      <c r="FG162" s="357"/>
      <c r="FH162" s="357"/>
      <c r="FI162" s="357"/>
      <c r="FJ162" s="357"/>
      <c r="FK162" s="357"/>
      <c r="FL162" s="357"/>
      <c r="FM162" s="357"/>
      <c r="FN162" s="357"/>
      <c r="FO162" s="357"/>
      <c r="FP162" s="357"/>
      <c r="FQ162" s="357"/>
      <c r="FR162" s="357"/>
      <c r="FS162" s="357"/>
      <c r="FT162" s="357"/>
      <c r="FU162" s="357"/>
      <c r="FV162" s="357"/>
      <c r="FW162" s="357"/>
      <c r="FX162" s="357"/>
      <c r="FY162" s="357"/>
      <c r="FZ162" s="357"/>
      <c r="GA162" s="357"/>
      <c r="GB162" s="357"/>
      <c r="GC162" s="357"/>
      <c r="GD162" s="357"/>
      <c r="GE162" s="357"/>
      <c r="GF162" s="357"/>
      <c r="GG162" s="357"/>
      <c r="GH162" s="357"/>
      <c r="GI162" s="357"/>
      <c r="GJ162" s="357"/>
      <c r="GK162" s="154"/>
      <c r="GL162" s="154"/>
      <c r="GM162" s="154"/>
      <c r="GN162" s="154"/>
      <c r="GO162" s="154"/>
      <c r="GP162" s="154"/>
      <c r="GQ162" s="154"/>
      <c r="GR162" s="154"/>
      <c r="GS162" s="154"/>
      <c r="GT162" s="154"/>
      <c r="GU162" s="154"/>
      <c r="GV162" s="154"/>
      <c r="GW162" s="154"/>
      <c r="GX162" s="154"/>
    </row>
    <row r="163" spans="7:206">
      <c r="G163" s="154"/>
      <c r="H163" s="154"/>
      <c r="I163" s="154"/>
      <c r="J163" s="154"/>
      <c r="K163" s="154"/>
      <c r="L163" s="154"/>
      <c r="M163" s="154"/>
      <c r="N163" s="154"/>
      <c r="O163" s="154"/>
      <c r="P163" s="154"/>
      <c r="Q163" s="154"/>
      <c r="R163" s="154"/>
      <c r="S163" s="154"/>
      <c r="T163" s="154"/>
      <c r="U163" s="154"/>
      <c r="V163" s="154"/>
      <c r="W163" s="154"/>
      <c r="X163" s="154"/>
      <c r="Y163" s="154"/>
      <c r="Z163" s="357"/>
      <c r="AA163" s="357"/>
      <c r="AB163" s="357"/>
      <c r="AC163" s="357"/>
      <c r="AD163" s="357"/>
      <c r="AE163" s="357"/>
      <c r="AF163" s="357"/>
      <c r="AG163" s="357"/>
      <c r="AH163" s="357"/>
      <c r="AI163" s="357"/>
      <c r="AJ163" s="357"/>
      <c r="AK163" s="357"/>
      <c r="AL163" s="357"/>
      <c r="AM163" s="357"/>
      <c r="AN163" s="357"/>
      <c r="AO163" s="357"/>
      <c r="AP163" s="357"/>
      <c r="AQ163" s="357"/>
      <c r="AR163" s="357"/>
      <c r="AS163" s="357"/>
      <c r="AT163" s="357"/>
      <c r="AU163" s="357"/>
      <c r="AV163" s="357"/>
      <c r="AW163" s="357"/>
      <c r="AX163" s="357"/>
      <c r="AY163" s="357"/>
      <c r="AZ163" s="357"/>
      <c r="BA163" s="357"/>
      <c r="BB163" s="357"/>
      <c r="BC163" s="357"/>
      <c r="BD163" s="357"/>
      <c r="BE163" s="357"/>
      <c r="BF163" s="357"/>
      <c r="BG163" s="357"/>
      <c r="BH163" s="357"/>
      <c r="BI163" s="357"/>
      <c r="BJ163" s="357"/>
      <c r="BK163" s="357"/>
      <c r="BL163" s="357"/>
      <c r="BM163" s="357"/>
      <c r="BN163" s="357"/>
      <c r="BO163" s="357"/>
      <c r="BP163" s="357"/>
      <c r="BQ163" s="357"/>
      <c r="BR163" s="357"/>
      <c r="BS163" s="357"/>
      <c r="BT163" s="357"/>
      <c r="BU163" s="357"/>
      <c r="BV163" s="357"/>
      <c r="BW163" s="357"/>
      <c r="BX163" s="357"/>
      <c r="BY163" s="357"/>
      <c r="BZ163" s="357"/>
      <c r="CA163" s="357"/>
      <c r="CB163" s="357"/>
      <c r="CC163" s="357"/>
      <c r="CD163" s="357"/>
      <c r="CE163" s="357"/>
      <c r="CF163" s="357"/>
      <c r="CG163" s="357"/>
      <c r="CH163" s="357"/>
      <c r="CI163" s="357"/>
      <c r="CJ163" s="357"/>
      <c r="CK163" s="357"/>
      <c r="CL163" s="357"/>
      <c r="CM163" s="357"/>
      <c r="CN163" s="357"/>
      <c r="CO163" s="357"/>
      <c r="CP163" s="357"/>
      <c r="CQ163" s="357"/>
      <c r="CR163" s="357"/>
      <c r="CS163" s="357"/>
      <c r="CT163" s="357"/>
      <c r="CU163" s="357"/>
      <c r="CV163" s="357"/>
      <c r="CW163" s="357"/>
      <c r="CX163" s="357"/>
      <c r="CY163" s="357"/>
      <c r="CZ163" s="357"/>
      <c r="DA163" s="357"/>
      <c r="DB163" s="357"/>
      <c r="DC163" s="357"/>
      <c r="DD163" s="357"/>
      <c r="DE163" s="357"/>
      <c r="DF163" s="357"/>
      <c r="DG163" s="357"/>
      <c r="DH163" s="357"/>
      <c r="DI163" s="357"/>
      <c r="DJ163" s="357"/>
      <c r="DK163" s="357"/>
      <c r="DL163" s="357"/>
      <c r="DM163" s="357"/>
      <c r="DN163" s="357"/>
      <c r="DO163" s="357"/>
      <c r="DP163" s="357"/>
      <c r="DQ163" s="357"/>
      <c r="DR163" s="357"/>
      <c r="DS163" s="357"/>
      <c r="DT163" s="357"/>
      <c r="DU163" s="357"/>
      <c r="DV163" s="357"/>
      <c r="DW163" s="357"/>
      <c r="DX163" s="357"/>
      <c r="DY163" s="357"/>
      <c r="DZ163" s="357"/>
      <c r="EA163" s="357"/>
      <c r="EB163" s="357"/>
      <c r="EC163" s="357"/>
      <c r="ED163" s="357"/>
      <c r="EE163" s="357"/>
      <c r="EF163" s="357"/>
      <c r="EG163" s="357"/>
      <c r="EH163" s="357"/>
      <c r="EI163" s="357"/>
      <c r="EJ163" s="357"/>
      <c r="EK163" s="357"/>
      <c r="EL163" s="357"/>
      <c r="EM163" s="357"/>
      <c r="EN163" s="357"/>
      <c r="EO163" s="357"/>
      <c r="EP163" s="357"/>
      <c r="EQ163" s="357"/>
      <c r="ER163" s="357"/>
      <c r="ES163" s="357"/>
      <c r="ET163" s="357"/>
      <c r="EU163" s="357"/>
      <c r="EV163" s="357"/>
      <c r="EW163" s="357"/>
      <c r="EX163" s="357"/>
      <c r="EY163" s="357"/>
      <c r="EZ163" s="357"/>
      <c r="FA163" s="357"/>
      <c r="FB163" s="357"/>
      <c r="FC163" s="357"/>
      <c r="FD163" s="357"/>
      <c r="FE163" s="357"/>
      <c r="FF163" s="357"/>
      <c r="FG163" s="357"/>
      <c r="FH163" s="357"/>
      <c r="FI163" s="357"/>
      <c r="FJ163" s="357"/>
      <c r="FK163" s="357"/>
      <c r="FL163" s="357"/>
      <c r="FM163" s="357"/>
      <c r="FN163" s="357"/>
      <c r="FO163" s="357"/>
      <c r="FP163" s="357"/>
      <c r="FQ163" s="357"/>
      <c r="FR163" s="357"/>
      <c r="FS163" s="357"/>
      <c r="FT163" s="357"/>
      <c r="FU163" s="357"/>
      <c r="FV163" s="357"/>
      <c r="FW163" s="357"/>
      <c r="FX163" s="357"/>
      <c r="FY163" s="357"/>
      <c r="FZ163" s="357"/>
      <c r="GA163" s="357"/>
      <c r="GB163" s="357"/>
      <c r="GC163" s="357"/>
      <c r="GD163" s="357"/>
      <c r="GE163" s="357"/>
      <c r="GF163" s="357"/>
      <c r="GG163" s="357"/>
      <c r="GH163" s="357"/>
      <c r="GI163" s="357"/>
      <c r="GJ163" s="357"/>
      <c r="GK163" s="154"/>
      <c r="GL163" s="154"/>
      <c r="GM163" s="154"/>
      <c r="GN163" s="154"/>
      <c r="GO163" s="154"/>
      <c r="GP163" s="154"/>
      <c r="GQ163" s="154"/>
      <c r="GR163" s="154"/>
      <c r="GS163" s="154"/>
      <c r="GT163" s="154"/>
      <c r="GU163" s="154"/>
      <c r="GV163" s="154"/>
      <c r="GW163" s="154"/>
      <c r="GX163" s="154"/>
    </row>
    <row r="164" spans="7:206">
      <c r="G164" s="154"/>
      <c r="H164" s="154"/>
      <c r="I164" s="154"/>
      <c r="J164" s="154"/>
      <c r="K164" s="154"/>
      <c r="L164" s="154"/>
      <c r="M164" s="154"/>
      <c r="N164" s="154"/>
      <c r="O164" s="154"/>
      <c r="P164" s="154"/>
      <c r="Q164" s="154"/>
      <c r="R164" s="154"/>
      <c r="S164" s="154"/>
      <c r="T164" s="154"/>
      <c r="U164" s="154"/>
      <c r="V164" s="154"/>
      <c r="W164" s="154"/>
      <c r="X164" s="154"/>
      <c r="Y164" s="154"/>
      <c r="Z164" s="357"/>
      <c r="AA164" s="357"/>
      <c r="AB164" s="357"/>
      <c r="AC164" s="357"/>
      <c r="AD164" s="357"/>
      <c r="AE164" s="357"/>
      <c r="AF164" s="357"/>
      <c r="AG164" s="357"/>
      <c r="AH164" s="357"/>
      <c r="AI164" s="357"/>
      <c r="AJ164" s="357"/>
      <c r="AK164" s="357"/>
      <c r="AL164" s="357"/>
      <c r="AM164" s="357"/>
      <c r="AN164" s="357"/>
      <c r="AO164" s="357"/>
      <c r="AP164" s="357"/>
      <c r="AQ164" s="357"/>
      <c r="AR164" s="357"/>
      <c r="AS164" s="357"/>
      <c r="AT164" s="357"/>
      <c r="AU164" s="357"/>
      <c r="AV164" s="357"/>
      <c r="AW164" s="357"/>
      <c r="AX164" s="357"/>
      <c r="AY164" s="357"/>
      <c r="AZ164" s="357"/>
      <c r="BA164" s="357"/>
      <c r="BB164" s="357"/>
      <c r="BC164" s="357"/>
      <c r="BD164" s="357"/>
      <c r="BE164" s="357"/>
      <c r="BF164" s="357"/>
      <c r="BG164" s="357"/>
      <c r="BH164" s="357"/>
      <c r="BI164" s="357"/>
      <c r="BJ164" s="357"/>
      <c r="BK164" s="357"/>
      <c r="BL164" s="357"/>
      <c r="BM164" s="357"/>
      <c r="BN164" s="357"/>
      <c r="BO164" s="357"/>
      <c r="BP164" s="357"/>
      <c r="BQ164" s="357"/>
      <c r="BR164" s="357"/>
      <c r="BS164" s="357"/>
      <c r="BT164" s="357"/>
      <c r="BU164" s="357"/>
      <c r="BV164" s="357"/>
      <c r="BW164" s="357"/>
      <c r="BX164" s="357"/>
      <c r="BY164" s="357"/>
      <c r="BZ164" s="357"/>
      <c r="CA164" s="357"/>
      <c r="CB164" s="357"/>
      <c r="CC164" s="357"/>
      <c r="CD164" s="357"/>
      <c r="CE164" s="357"/>
      <c r="CF164" s="357"/>
      <c r="CG164" s="357"/>
      <c r="CH164" s="357"/>
      <c r="CI164" s="357"/>
      <c r="CJ164" s="357"/>
      <c r="CK164" s="357"/>
      <c r="CL164" s="357"/>
      <c r="CM164" s="357"/>
      <c r="CN164" s="357"/>
      <c r="CO164" s="357"/>
      <c r="CP164" s="357"/>
      <c r="CQ164" s="357"/>
      <c r="CR164" s="357"/>
      <c r="CS164" s="357"/>
      <c r="CT164" s="357"/>
      <c r="CU164" s="357"/>
      <c r="CV164" s="357"/>
      <c r="CW164" s="357"/>
      <c r="CX164" s="357"/>
      <c r="CY164" s="357"/>
      <c r="CZ164" s="357"/>
      <c r="DA164" s="357"/>
      <c r="DB164" s="357"/>
      <c r="DC164" s="357"/>
      <c r="DD164" s="357"/>
      <c r="DE164" s="357"/>
      <c r="DF164" s="357"/>
      <c r="DG164" s="357"/>
      <c r="DH164" s="357"/>
      <c r="DI164" s="357"/>
      <c r="DJ164" s="357"/>
      <c r="DK164" s="357"/>
      <c r="DL164" s="357"/>
      <c r="DM164" s="357"/>
      <c r="DN164" s="357"/>
      <c r="DO164" s="357"/>
      <c r="DP164" s="357"/>
      <c r="DQ164" s="357"/>
      <c r="DR164" s="357"/>
      <c r="DS164" s="357"/>
      <c r="DT164" s="357"/>
      <c r="DU164" s="357"/>
      <c r="DV164" s="357"/>
      <c r="DW164" s="357"/>
      <c r="DX164" s="357"/>
      <c r="DY164" s="357"/>
      <c r="DZ164" s="357"/>
      <c r="EA164" s="357"/>
      <c r="EB164" s="357"/>
      <c r="EC164" s="357"/>
      <c r="ED164" s="357"/>
      <c r="EE164" s="357"/>
      <c r="EF164" s="357"/>
      <c r="EG164" s="357"/>
      <c r="EH164" s="357"/>
      <c r="EI164" s="357"/>
      <c r="EJ164" s="357"/>
      <c r="EK164" s="357"/>
      <c r="EL164" s="357"/>
      <c r="EM164" s="357"/>
      <c r="EN164" s="357"/>
      <c r="EO164" s="357"/>
      <c r="EP164" s="357"/>
      <c r="EQ164" s="357"/>
      <c r="ER164" s="357"/>
      <c r="ES164" s="357"/>
      <c r="ET164" s="357"/>
      <c r="EU164" s="357"/>
      <c r="EV164" s="357"/>
      <c r="EW164" s="357"/>
      <c r="EX164" s="357"/>
      <c r="EY164" s="357"/>
      <c r="EZ164" s="357"/>
      <c r="FA164" s="357"/>
      <c r="FB164" s="357"/>
      <c r="FC164" s="357"/>
      <c r="FD164" s="357"/>
      <c r="FE164" s="357"/>
      <c r="FF164" s="357"/>
      <c r="FG164" s="357"/>
      <c r="FH164" s="357"/>
      <c r="FI164" s="357"/>
      <c r="FJ164" s="357"/>
      <c r="FK164" s="357"/>
      <c r="FL164" s="357"/>
      <c r="FM164" s="357"/>
      <c r="FN164" s="357"/>
      <c r="FO164" s="357"/>
      <c r="FP164" s="357"/>
      <c r="FQ164" s="357"/>
      <c r="FR164" s="357"/>
      <c r="FS164" s="357"/>
      <c r="FT164" s="357"/>
      <c r="FU164" s="357"/>
      <c r="FV164" s="357"/>
      <c r="FW164" s="357"/>
      <c r="FX164" s="357"/>
      <c r="FY164" s="357"/>
      <c r="FZ164" s="357"/>
      <c r="GA164" s="357"/>
      <c r="GB164" s="357"/>
      <c r="GC164" s="357"/>
      <c r="GD164" s="357"/>
      <c r="GE164" s="357"/>
      <c r="GF164" s="357"/>
      <c r="GG164" s="357"/>
      <c r="GH164" s="357"/>
      <c r="GI164" s="357"/>
      <c r="GJ164" s="357"/>
      <c r="GK164" s="154"/>
      <c r="GL164" s="154"/>
      <c r="GM164" s="154"/>
      <c r="GN164" s="154"/>
      <c r="GO164" s="154"/>
      <c r="GP164" s="154"/>
      <c r="GQ164" s="154"/>
      <c r="GR164" s="154"/>
      <c r="GS164" s="154"/>
      <c r="GT164" s="154"/>
      <c r="GU164" s="154"/>
      <c r="GV164" s="154"/>
      <c r="GW164" s="154"/>
      <c r="GX164" s="154"/>
    </row>
    <row r="165" spans="7:206">
      <c r="G165" s="154"/>
      <c r="H165" s="154"/>
      <c r="I165" s="154"/>
      <c r="J165" s="154"/>
      <c r="K165" s="154"/>
      <c r="L165" s="154"/>
      <c r="M165" s="154"/>
      <c r="N165" s="154"/>
      <c r="O165" s="154"/>
      <c r="P165" s="154"/>
      <c r="Q165" s="154"/>
      <c r="R165" s="154"/>
      <c r="S165" s="154"/>
      <c r="T165" s="154"/>
      <c r="U165" s="154"/>
      <c r="V165" s="154"/>
      <c r="W165" s="154"/>
      <c r="X165" s="154"/>
      <c r="Y165" s="154"/>
      <c r="Z165" s="357"/>
      <c r="AA165" s="357"/>
      <c r="AB165" s="357"/>
      <c r="AC165" s="357"/>
      <c r="AD165" s="357"/>
      <c r="AE165" s="357"/>
      <c r="AF165" s="357"/>
      <c r="AG165" s="357"/>
      <c r="AH165" s="357"/>
      <c r="AI165" s="357"/>
      <c r="AJ165" s="357"/>
      <c r="AK165" s="357"/>
      <c r="AL165" s="357"/>
      <c r="AM165" s="357"/>
      <c r="AN165" s="357"/>
      <c r="AO165" s="357"/>
      <c r="AP165" s="357"/>
      <c r="AQ165" s="357"/>
      <c r="AR165" s="357"/>
      <c r="AS165" s="357"/>
      <c r="AT165" s="357"/>
      <c r="AU165" s="357"/>
      <c r="AV165" s="357"/>
      <c r="AW165" s="357"/>
      <c r="AX165" s="357"/>
      <c r="AY165" s="357"/>
      <c r="AZ165" s="357"/>
      <c r="BA165" s="357"/>
      <c r="BB165" s="357"/>
      <c r="BC165" s="357"/>
      <c r="BD165" s="357"/>
      <c r="BE165" s="357"/>
      <c r="BF165" s="357"/>
      <c r="BG165" s="357"/>
      <c r="BH165" s="357"/>
      <c r="BI165" s="357"/>
      <c r="BJ165" s="357"/>
      <c r="BK165" s="357"/>
      <c r="BL165" s="357"/>
      <c r="BM165" s="357"/>
      <c r="BN165" s="357"/>
      <c r="BO165" s="357"/>
      <c r="BP165" s="357"/>
      <c r="BQ165" s="357"/>
      <c r="BR165" s="357"/>
      <c r="BS165" s="357"/>
      <c r="BT165" s="357"/>
      <c r="BU165" s="357"/>
      <c r="BV165" s="357"/>
      <c r="BW165" s="357"/>
      <c r="BX165" s="357"/>
      <c r="BY165" s="357"/>
      <c r="BZ165" s="357"/>
      <c r="CA165" s="357"/>
      <c r="CB165" s="357"/>
      <c r="CC165" s="357"/>
      <c r="CD165" s="357"/>
      <c r="CE165" s="357"/>
      <c r="CF165" s="357"/>
      <c r="CG165" s="357"/>
      <c r="CH165" s="357"/>
      <c r="CI165" s="357"/>
      <c r="CJ165" s="357"/>
      <c r="CK165" s="357"/>
      <c r="CL165" s="357"/>
      <c r="CM165" s="357"/>
      <c r="CN165" s="357"/>
      <c r="CO165" s="357"/>
      <c r="CP165" s="357"/>
      <c r="CQ165" s="357"/>
      <c r="CR165" s="357"/>
      <c r="CS165" s="357"/>
      <c r="CT165" s="357"/>
      <c r="CU165" s="357"/>
      <c r="CV165" s="357"/>
      <c r="CW165" s="357"/>
      <c r="CX165" s="357"/>
      <c r="CY165" s="357"/>
      <c r="CZ165" s="357"/>
      <c r="DA165" s="357"/>
      <c r="DB165" s="357"/>
      <c r="DC165" s="357"/>
      <c r="DD165" s="357"/>
      <c r="DE165" s="357"/>
      <c r="DF165" s="357"/>
      <c r="DG165" s="357"/>
      <c r="DH165" s="357"/>
      <c r="DI165" s="357"/>
      <c r="DJ165" s="357"/>
      <c r="DK165" s="357"/>
      <c r="DL165" s="357"/>
      <c r="DM165" s="357"/>
      <c r="DN165" s="357"/>
      <c r="DO165" s="357"/>
      <c r="DP165" s="357"/>
      <c r="DQ165" s="357"/>
      <c r="DR165" s="357"/>
      <c r="DS165" s="357"/>
      <c r="DT165" s="357"/>
      <c r="DU165" s="357"/>
      <c r="DV165" s="357"/>
      <c r="DW165" s="357"/>
      <c r="DX165" s="357"/>
      <c r="DY165" s="357"/>
      <c r="DZ165" s="357"/>
      <c r="EA165" s="357"/>
      <c r="EB165" s="357"/>
      <c r="EC165" s="357"/>
      <c r="ED165" s="357"/>
      <c r="EE165" s="357"/>
      <c r="EF165" s="357"/>
      <c r="EG165" s="357"/>
      <c r="EH165" s="357"/>
      <c r="EI165" s="357"/>
      <c r="EJ165" s="357"/>
      <c r="EK165" s="357"/>
      <c r="EL165" s="357"/>
      <c r="EM165" s="357"/>
      <c r="EN165" s="357"/>
      <c r="EO165" s="357"/>
      <c r="EP165" s="357"/>
      <c r="EQ165" s="357"/>
      <c r="ER165" s="357"/>
      <c r="ES165" s="357"/>
      <c r="ET165" s="357"/>
      <c r="EU165" s="357"/>
      <c r="EV165" s="357"/>
      <c r="EW165" s="357"/>
      <c r="EX165" s="357"/>
      <c r="EY165" s="357"/>
      <c r="EZ165" s="357"/>
      <c r="FA165" s="357"/>
      <c r="FB165" s="357"/>
      <c r="FC165" s="357"/>
      <c r="FD165" s="357"/>
      <c r="FE165" s="357"/>
      <c r="FF165" s="357"/>
      <c r="FG165" s="357"/>
      <c r="FH165" s="357"/>
      <c r="FI165" s="357"/>
      <c r="FJ165" s="357"/>
      <c r="FK165" s="357"/>
      <c r="FL165" s="357"/>
      <c r="FM165" s="357"/>
      <c r="FN165" s="357"/>
      <c r="FO165" s="357"/>
      <c r="FP165" s="357"/>
      <c r="FQ165" s="357"/>
      <c r="FR165" s="357"/>
      <c r="FS165" s="357"/>
      <c r="FT165" s="357"/>
      <c r="FU165" s="357"/>
      <c r="FV165" s="357"/>
      <c r="FW165" s="357"/>
      <c r="FX165" s="357"/>
      <c r="FY165" s="357"/>
      <c r="FZ165" s="357"/>
      <c r="GA165" s="357"/>
      <c r="GB165" s="357"/>
      <c r="GC165" s="357"/>
      <c r="GD165" s="357"/>
      <c r="GE165" s="357"/>
      <c r="GF165" s="357"/>
      <c r="GG165" s="357"/>
      <c r="GH165" s="357"/>
      <c r="GI165" s="357"/>
      <c r="GJ165" s="357"/>
      <c r="GK165" s="154"/>
      <c r="GL165" s="154"/>
      <c r="GM165" s="154"/>
      <c r="GN165" s="154"/>
      <c r="GO165" s="154"/>
      <c r="GP165" s="154"/>
      <c r="GQ165" s="154"/>
      <c r="GR165" s="154"/>
      <c r="GS165" s="154"/>
      <c r="GT165" s="154"/>
      <c r="GU165" s="154"/>
      <c r="GV165" s="154"/>
      <c r="GW165" s="154"/>
      <c r="GX165" s="154"/>
    </row>
    <row r="166" spans="7:206">
      <c r="G166" s="154"/>
      <c r="H166" s="154"/>
      <c r="I166" s="154"/>
      <c r="J166" s="154"/>
      <c r="K166" s="154"/>
      <c r="L166" s="154"/>
      <c r="M166" s="154"/>
      <c r="N166" s="154"/>
      <c r="O166" s="154"/>
      <c r="P166" s="154"/>
      <c r="Q166" s="154"/>
      <c r="R166" s="154"/>
      <c r="S166" s="154"/>
      <c r="T166" s="154"/>
      <c r="U166" s="154"/>
      <c r="V166" s="154"/>
      <c r="W166" s="154"/>
      <c r="X166" s="154"/>
      <c r="Y166" s="154"/>
      <c r="Z166" s="357"/>
      <c r="AA166" s="357"/>
      <c r="AB166" s="357"/>
      <c r="AC166" s="357"/>
      <c r="AD166" s="357"/>
      <c r="AE166" s="357"/>
      <c r="AF166" s="357"/>
      <c r="AG166" s="357"/>
      <c r="AH166" s="357"/>
      <c r="AI166" s="357"/>
      <c r="AJ166" s="357"/>
      <c r="AK166" s="357"/>
      <c r="AL166" s="357"/>
      <c r="AM166" s="357"/>
      <c r="AN166" s="357"/>
      <c r="AO166" s="357"/>
      <c r="AP166" s="357"/>
      <c r="AQ166" s="357"/>
      <c r="AR166" s="357"/>
      <c r="AS166" s="357"/>
      <c r="AT166" s="357"/>
      <c r="AU166" s="357"/>
      <c r="AV166" s="357"/>
      <c r="AW166" s="357"/>
      <c r="AX166" s="357"/>
      <c r="AY166" s="357"/>
      <c r="AZ166" s="357"/>
      <c r="BA166" s="357"/>
      <c r="BB166" s="357"/>
      <c r="BC166" s="357"/>
      <c r="BD166" s="357"/>
      <c r="BE166" s="357"/>
      <c r="BF166" s="357"/>
      <c r="BG166" s="357"/>
      <c r="BH166" s="357"/>
      <c r="BI166" s="357"/>
      <c r="BJ166" s="357"/>
      <c r="BK166" s="357"/>
      <c r="BL166" s="357"/>
      <c r="BM166" s="357"/>
      <c r="BN166" s="357"/>
      <c r="BO166" s="357"/>
      <c r="BP166" s="357"/>
      <c r="BQ166" s="357"/>
      <c r="BR166" s="357"/>
      <c r="BS166" s="357"/>
      <c r="BT166" s="357"/>
      <c r="BU166" s="357"/>
      <c r="BV166" s="357"/>
      <c r="BW166" s="357"/>
      <c r="BX166" s="357"/>
      <c r="BY166" s="357"/>
      <c r="BZ166" s="357"/>
      <c r="CA166" s="357"/>
      <c r="CB166" s="357"/>
      <c r="CC166" s="357"/>
      <c r="CD166" s="357"/>
      <c r="CE166" s="357"/>
      <c r="CF166" s="357"/>
      <c r="CG166" s="357"/>
      <c r="CH166" s="357"/>
      <c r="CI166" s="357"/>
      <c r="CJ166" s="357"/>
      <c r="CK166" s="357"/>
      <c r="CL166" s="357"/>
      <c r="CM166" s="357"/>
      <c r="CN166" s="357"/>
      <c r="CO166" s="357"/>
      <c r="CP166" s="357"/>
      <c r="CQ166" s="357"/>
      <c r="CR166" s="357"/>
      <c r="CS166" s="357"/>
      <c r="CT166" s="357"/>
      <c r="CU166" s="357"/>
      <c r="CV166" s="357"/>
      <c r="CW166" s="357"/>
      <c r="CX166" s="357"/>
      <c r="CY166" s="357"/>
      <c r="CZ166" s="357"/>
      <c r="DA166" s="357"/>
      <c r="DB166" s="357"/>
      <c r="DC166" s="357"/>
      <c r="DD166" s="357"/>
      <c r="DE166" s="357"/>
      <c r="DF166" s="357"/>
      <c r="DG166" s="357"/>
      <c r="DH166" s="357"/>
      <c r="DI166" s="357"/>
      <c r="DJ166" s="357"/>
      <c r="DK166" s="357"/>
      <c r="DL166" s="357"/>
      <c r="DM166" s="357"/>
      <c r="DN166" s="357"/>
      <c r="DO166" s="357"/>
      <c r="DP166" s="357"/>
      <c r="DQ166" s="357"/>
      <c r="DR166" s="357"/>
      <c r="DS166" s="357"/>
      <c r="DT166" s="357"/>
      <c r="DU166" s="357"/>
      <c r="DV166" s="357"/>
      <c r="DW166" s="357"/>
      <c r="DX166" s="357"/>
      <c r="DY166" s="357"/>
      <c r="DZ166" s="357"/>
      <c r="EA166" s="357"/>
      <c r="EB166" s="357"/>
      <c r="EC166" s="357"/>
      <c r="ED166" s="357"/>
      <c r="EE166" s="357"/>
      <c r="EF166" s="357"/>
      <c r="EG166" s="357"/>
      <c r="EH166" s="357"/>
      <c r="EI166" s="357"/>
      <c r="EJ166" s="357"/>
      <c r="EK166" s="357"/>
      <c r="EL166" s="357"/>
      <c r="EM166" s="357"/>
      <c r="EN166" s="357"/>
      <c r="EO166" s="357"/>
      <c r="EP166" s="357"/>
      <c r="EQ166" s="357"/>
      <c r="ER166" s="357"/>
      <c r="ES166" s="357"/>
      <c r="ET166" s="357"/>
      <c r="EU166" s="357"/>
      <c r="EV166" s="357"/>
      <c r="EW166" s="357"/>
      <c r="EX166" s="357"/>
      <c r="EY166" s="357"/>
      <c r="EZ166" s="357"/>
      <c r="FA166" s="357"/>
      <c r="FB166" s="357"/>
      <c r="FC166" s="357"/>
      <c r="FD166" s="357"/>
      <c r="FE166" s="357"/>
      <c r="FF166" s="357"/>
      <c r="FG166" s="357"/>
      <c r="FH166" s="357"/>
      <c r="FI166" s="357"/>
      <c r="FJ166" s="357"/>
      <c r="FK166" s="357"/>
      <c r="FL166" s="357"/>
      <c r="FM166" s="357"/>
      <c r="FN166" s="357"/>
      <c r="FO166" s="357"/>
      <c r="FP166" s="357"/>
      <c r="FQ166" s="357"/>
      <c r="FR166" s="357"/>
      <c r="FS166" s="357"/>
      <c r="FT166" s="357"/>
      <c r="FU166" s="357"/>
      <c r="FV166" s="357"/>
      <c r="FW166" s="357"/>
      <c r="FX166" s="357"/>
      <c r="FY166" s="357"/>
      <c r="FZ166" s="357"/>
      <c r="GA166" s="357"/>
      <c r="GB166" s="357"/>
      <c r="GC166" s="357"/>
      <c r="GD166" s="357"/>
      <c r="GE166" s="357"/>
      <c r="GF166" s="357"/>
      <c r="GG166" s="357"/>
      <c r="GH166" s="357"/>
      <c r="GI166" s="357"/>
      <c r="GJ166" s="357"/>
      <c r="GK166" s="154"/>
      <c r="GL166" s="154"/>
      <c r="GM166" s="154"/>
      <c r="GN166" s="154"/>
      <c r="GO166" s="154"/>
      <c r="GP166" s="154"/>
      <c r="GQ166" s="154"/>
      <c r="GR166" s="154"/>
      <c r="GS166" s="154"/>
      <c r="GT166" s="154"/>
      <c r="GU166" s="154"/>
      <c r="GV166" s="154"/>
      <c r="GW166" s="154"/>
      <c r="GX166" s="154"/>
    </row>
    <row r="167" spans="7:206">
      <c r="G167" s="154"/>
      <c r="H167" s="154"/>
      <c r="I167" s="154"/>
      <c r="J167" s="154"/>
      <c r="K167" s="154"/>
      <c r="L167" s="154"/>
      <c r="M167" s="154"/>
      <c r="N167" s="154"/>
      <c r="O167" s="154"/>
      <c r="P167" s="154"/>
      <c r="Q167" s="154"/>
      <c r="R167" s="154"/>
      <c r="S167" s="154"/>
      <c r="T167" s="154"/>
      <c r="U167" s="154"/>
      <c r="V167" s="154"/>
      <c r="W167" s="154"/>
      <c r="X167" s="154"/>
      <c r="Y167" s="154"/>
      <c r="Z167" s="357"/>
      <c r="AA167" s="357"/>
      <c r="AB167" s="357"/>
      <c r="AC167" s="357"/>
      <c r="AD167" s="357"/>
      <c r="AE167" s="357"/>
      <c r="AF167" s="357"/>
      <c r="AG167" s="357"/>
      <c r="AH167" s="357"/>
      <c r="AI167" s="357"/>
      <c r="AJ167" s="357"/>
      <c r="AK167" s="357"/>
      <c r="AL167" s="357"/>
      <c r="AM167" s="357"/>
      <c r="AN167" s="357"/>
      <c r="AO167" s="357"/>
      <c r="AP167" s="357"/>
      <c r="AQ167" s="357"/>
      <c r="AR167" s="357"/>
      <c r="AS167" s="357"/>
      <c r="AT167" s="357"/>
      <c r="AU167" s="357"/>
      <c r="AV167" s="357"/>
      <c r="AW167" s="357"/>
      <c r="AX167" s="357"/>
      <c r="AY167" s="357"/>
      <c r="AZ167" s="357"/>
      <c r="BA167" s="357"/>
      <c r="BB167" s="357"/>
      <c r="BC167" s="357"/>
      <c r="BD167" s="357"/>
      <c r="BE167" s="357"/>
      <c r="BF167" s="357"/>
      <c r="BG167" s="357"/>
      <c r="BH167" s="357"/>
      <c r="BI167" s="357"/>
      <c r="BJ167" s="357"/>
      <c r="BK167" s="357"/>
      <c r="BL167" s="357"/>
      <c r="BM167" s="357"/>
      <c r="BN167" s="357"/>
      <c r="BO167" s="357"/>
      <c r="BP167" s="357"/>
      <c r="BQ167" s="357"/>
      <c r="BR167" s="357"/>
      <c r="BS167" s="357"/>
      <c r="BT167" s="357"/>
      <c r="BU167" s="357"/>
      <c r="BV167" s="357"/>
      <c r="BW167" s="357"/>
      <c r="BX167" s="357"/>
      <c r="BY167" s="357"/>
      <c r="BZ167" s="357"/>
      <c r="CA167" s="357"/>
      <c r="CB167" s="357"/>
      <c r="CC167" s="357"/>
      <c r="CD167" s="357"/>
      <c r="CE167" s="357"/>
      <c r="CF167" s="357"/>
      <c r="CG167" s="357"/>
      <c r="CH167" s="357"/>
      <c r="CI167" s="357"/>
      <c r="CJ167" s="357"/>
      <c r="CK167" s="357"/>
      <c r="CL167" s="357"/>
      <c r="CM167" s="357"/>
      <c r="CN167" s="357"/>
      <c r="CO167" s="357"/>
      <c r="CP167" s="357"/>
      <c r="CQ167" s="357"/>
      <c r="CR167" s="357"/>
      <c r="CS167" s="357"/>
      <c r="CT167" s="357"/>
      <c r="CU167" s="357"/>
      <c r="CV167" s="357"/>
      <c r="CW167" s="357"/>
      <c r="CX167" s="357"/>
      <c r="CY167" s="357"/>
      <c r="CZ167" s="357"/>
      <c r="DA167" s="357"/>
      <c r="DB167" s="357"/>
      <c r="DC167" s="357"/>
      <c r="DD167" s="357"/>
      <c r="DE167" s="357"/>
      <c r="DF167" s="357"/>
      <c r="DG167" s="357"/>
      <c r="DH167" s="357"/>
      <c r="DI167" s="357"/>
      <c r="DJ167" s="357"/>
      <c r="DK167" s="357"/>
      <c r="DL167" s="357"/>
      <c r="DM167" s="357"/>
      <c r="DN167" s="357"/>
      <c r="DO167" s="357"/>
      <c r="DP167" s="357"/>
      <c r="DQ167" s="357"/>
      <c r="DR167" s="357"/>
      <c r="DS167" s="357"/>
      <c r="DT167" s="357"/>
      <c r="DU167" s="357"/>
      <c r="DV167" s="357"/>
      <c r="DW167" s="357"/>
      <c r="DX167" s="357"/>
      <c r="DY167" s="357"/>
      <c r="DZ167" s="357"/>
      <c r="EA167" s="357"/>
      <c r="EB167" s="357"/>
      <c r="EC167" s="357"/>
      <c r="ED167" s="357"/>
      <c r="EE167" s="357"/>
      <c r="EF167" s="357"/>
      <c r="EG167" s="357"/>
      <c r="EH167" s="357"/>
      <c r="EI167" s="357"/>
      <c r="EJ167" s="357"/>
      <c r="EK167" s="357"/>
      <c r="EL167" s="357"/>
      <c r="EM167" s="357"/>
      <c r="EN167" s="357"/>
      <c r="EO167" s="357"/>
      <c r="EP167" s="357"/>
      <c r="EQ167" s="357"/>
      <c r="ER167" s="357"/>
      <c r="ES167" s="357"/>
      <c r="ET167" s="357"/>
      <c r="EU167" s="357"/>
      <c r="EV167" s="357"/>
      <c r="EW167" s="357"/>
      <c r="EX167" s="357"/>
      <c r="EY167" s="357"/>
      <c r="EZ167" s="357"/>
      <c r="FA167" s="357"/>
      <c r="FB167" s="357"/>
      <c r="FC167" s="357"/>
      <c r="FD167" s="357"/>
      <c r="FE167" s="357"/>
      <c r="FF167" s="357"/>
      <c r="FG167" s="357"/>
      <c r="FH167" s="357"/>
      <c r="FI167" s="357"/>
      <c r="FJ167" s="357"/>
      <c r="FK167" s="357"/>
      <c r="FL167" s="357"/>
      <c r="FM167" s="357"/>
      <c r="FN167" s="357"/>
      <c r="FO167" s="357"/>
      <c r="FP167" s="357"/>
      <c r="FQ167" s="357"/>
      <c r="FR167" s="357"/>
      <c r="FS167" s="357"/>
      <c r="FT167" s="357"/>
      <c r="FU167" s="357"/>
      <c r="FV167" s="357"/>
      <c r="FW167" s="357"/>
      <c r="FX167" s="357"/>
      <c r="FY167" s="357"/>
      <c r="FZ167" s="357"/>
      <c r="GA167" s="357"/>
      <c r="GB167" s="357"/>
      <c r="GC167" s="357"/>
      <c r="GD167" s="357"/>
      <c r="GE167" s="357"/>
      <c r="GF167" s="357"/>
      <c r="GG167" s="357"/>
      <c r="GH167" s="357"/>
      <c r="GI167" s="357"/>
      <c r="GJ167" s="357"/>
      <c r="GK167" s="154"/>
      <c r="GL167" s="154"/>
      <c r="GM167" s="154"/>
      <c r="GN167" s="154"/>
      <c r="GO167" s="154"/>
      <c r="GP167" s="154"/>
      <c r="GQ167" s="154"/>
      <c r="GR167" s="154"/>
      <c r="GS167" s="154"/>
      <c r="GT167" s="154"/>
      <c r="GU167" s="154"/>
      <c r="GV167" s="154"/>
      <c r="GW167" s="154"/>
      <c r="GX167" s="154"/>
    </row>
    <row r="168" spans="7:206">
      <c r="G168" s="154"/>
      <c r="H168" s="154"/>
      <c r="I168" s="154"/>
      <c r="J168" s="154"/>
      <c r="K168" s="154"/>
      <c r="L168" s="154"/>
      <c r="M168" s="154"/>
      <c r="N168" s="154"/>
      <c r="O168" s="154"/>
      <c r="P168" s="154"/>
      <c r="Q168" s="154"/>
      <c r="R168" s="154"/>
      <c r="S168" s="154"/>
      <c r="T168" s="154"/>
      <c r="U168" s="154"/>
      <c r="V168" s="154"/>
      <c r="W168" s="154"/>
      <c r="X168" s="154"/>
      <c r="Y168" s="154"/>
      <c r="Z168" s="357"/>
      <c r="AA168" s="357"/>
      <c r="AB168" s="357"/>
      <c r="AC168" s="357"/>
      <c r="AD168" s="357"/>
      <c r="AE168" s="357"/>
      <c r="AF168" s="357"/>
      <c r="AG168" s="357"/>
      <c r="AH168" s="357"/>
      <c r="AI168" s="357"/>
      <c r="AJ168" s="357"/>
      <c r="AK168" s="357"/>
      <c r="AL168" s="357"/>
      <c r="AM168" s="357"/>
      <c r="AN168" s="357"/>
      <c r="AO168" s="357"/>
      <c r="AP168" s="357"/>
      <c r="AQ168" s="357"/>
      <c r="AR168" s="357"/>
      <c r="AS168" s="357"/>
      <c r="AT168" s="357"/>
      <c r="AU168" s="357"/>
      <c r="AV168" s="357"/>
      <c r="AW168" s="357"/>
      <c r="AX168" s="357"/>
      <c r="AY168" s="357"/>
      <c r="AZ168" s="357"/>
      <c r="BA168" s="357"/>
      <c r="BB168" s="357"/>
      <c r="BC168" s="357"/>
      <c r="BD168" s="357"/>
      <c r="BE168" s="357"/>
      <c r="BF168" s="357"/>
      <c r="BG168" s="357"/>
      <c r="BH168" s="357"/>
      <c r="BI168" s="357"/>
      <c r="BJ168" s="357"/>
      <c r="BK168" s="357"/>
      <c r="BL168" s="357"/>
      <c r="BM168" s="357"/>
      <c r="BN168" s="357"/>
      <c r="BO168" s="357"/>
      <c r="BP168" s="357"/>
      <c r="BQ168" s="357"/>
      <c r="BR168" s="357"/>
      <c r="BS168" s="357"/>
      <c r="BT168" s="357"/>
      <c r="BU168" s="357"/>
      <c r="BV168" s="357"/>
      <c r="BW168" s="357"/>
      <c r="BX168" s="357"/>
      <c r="BY168" s="357"/>
      <c r="BZ168" s="357"/>
      <c r="CA168" s="357"/>
      <c r="CB168" s="357"/>
      <c r="CC168" s="357"/>
      <c r="CD168" s="357"/>
      <c r="CE168" s="357"/>
      <c r="CF168" s="357"/>
      <c r="CG168" s="357"/>
      <c r="CH168" s="357"/>
      <c r="CI168" s="357"/>
      <c r="CJ168" s="357"/>
      <c r="CK168" s="357"/>
      <c r="CL168" s="357"/>
      <c r="CM168" s="357"/>
      <c r="CN168" s="357"/>
      <c r="CO168" s="357"/>
      <c r="CP168" s="357"/>
      <c r="CQ168" s="357"/>
      <c r="CR168" s="357"/>
      <c r="CS168" s="357"/>
      <c r="CT168" s="357"/>
      <c r="CU168" s="357"/>
      <c r="CV168" s="357"/>
      <c r="CW168" s="357"/>
      <c r="CX168" s="357"/>
      <c r="CY168" s="357"/>
      <c r="CZ168" s="357"/>
      <c r="DA168" s="357"/>
      <c r="DB168" s="357"/>
      <c r="DC168" s="357"/>
      <c r="DD168" s="357"/>
      <c r="DE168" s="357"/>
      <c r="DF168" s="357"/>
      <c r="DG168" s="357"/>
      <c r="DH168" s="357"/>
      <c r="DI168" s="357"/>
      <c r="DJ168" s="357"/>
      <c r="DK168" s="357"/>
      <c r="DL168" s="357"/>
      <c r="DM168" s="357"/>
      <c r="DN168" s="357"/>
      <c r="DO168" s="357"/>
      <c r="DP168" s="357"/>
      <c r="DQ168" s="357"/>
      <c r="DR168" s="357"/>
      <c r="DS168" s="357"/>
      <c r="DT168" s="357"/>
      <c r="DU168" s="357"/>
      <c r="DV168" s="357"/>
      <c r="DW168" s="357"/>
      <c r="DX168" s="357"/>
      <c r="DY168" s="357"/>
      <c r="DZ168" s="357"/>
      <c r="EA168" s="357"/>
      <c r="EB168" s="357"/>
      <c r="EC168" s="357"/>
      <c r="ED168" s="357"/>
      <c r="EE168" s="357"/>
      <c r="EF168" s="357"/>
      <c r="EG168" s="357"/>
      <c r="EH168" s="357"/>
      <c r="EI168" s="357"/>
      <c r="EJ168" s="357"/>
      <c r="EK168" s="357"/>
      <c r="EL168" s="357"/>
      <c r="EM168" s="357"/>
      <c r="EN168" s="357"/>
      <c r="EO168" s="357"/>
      <c r="EP168" s="357"/>
      <c r="EQ168" s="357"/>
      <c r="ER168" s="357"/>
      <c r="ES168" s="357"/>
      <c r="ET168" s="357"/>
      <c r="EU168" s="357"/>
      <c r="EV168" s="357"/>
      <c r="EW168" s="357"/>
      <c r="EX168" s="357"/>
      <c r="EY168" s="357"/>
      <c r="EZ168" s="357"/>
      <c r="FA168" s="357"/>
      <c r="FB168" s="357"/>
      <c r="FC168" s="357"/>
      <c r="FD168" s="357"/>
      <c r="FE168" s="357"/>
      <c r="FF168" s="357"/>
      <c r="FG168" s="357"/>
      <c r="FH168" s="357"/>
      <c r="FI168" s="357"/>
      <c r="FJ168" s="357"/>
      <c r="FK168" s="357"/>
      <c r="FL168" s="357"/>
      <c r="FM168" s="357"/>
      <c r="FN168" s="357"/>
      <c r="FO168" s="357"/>
      <c r="FP168" s="357"/>
      <c r="FQ168" s="357"/>
      <c r="FR168" s="357"/>
      <c r="FS168" s="357"/>
      <c r="FT168" s="357"/>
      <c r="FU168" s="357"/>
      <c r="FV168" s="357"/>
      <c r="FW168" s="357"/>
      <c r="FX168" s="357"/>
      <c r="FY168" s="357"/>
      <c r="FZ168" s="357"/>
      <c r="GA168" s="357"/>
      <c r="GB168" s="357"/>
      <c r="GC168" s="357"/>
      <c r="GD168" s="357"/>
      <c r="GE168" s="357"/>
      <c r="GF168" s="357"/>
      <c r="GG168" s="357"/>
      <c r="GH168" s="357"/>
      <c r="GI168" s="357"/>
      <c r="GJ168" s="357"/>
      <c r="GK168" s="154"/>
      <c r="GL168" s="154"/>
      <c r="GM168" s="154"/>
      <c r="GN168" s="154"/>
      <c r="GO168" s="154"/>
      <c r="GP168" s="154"/>
      <c r="GQ168" s="154"/>
      <c r="GR168" s="154"/>
      <c r="GS168" s="154"/>
      <c r="GT168" s="154"/>
      <c r="GU168" s="154"/>
      <c r="GV168" s="154"/>
      <c r="GW168" s="154"/>
      <c r="GX168" s="154"/>
    </row>
    <row r="169" spans="7:206">
      <c r="G169" s="154"/>
      <c r="H169" s="154"/>
      <c r="I169" s="154"/>
      <c r="J169" s="154"/>
      <c r="K169" s="154"/>
      <c r="L169" s="154"/>
      <c r="M169" s="154"/>
      <c r="N169" s="154"/>
      <c r="O169" s="154"/>
      <c r="P169" s="154"/>
      <c r="Q169" s="154"/>
      <c r="R169" s="154"/>
      <c r="S169" s="154"/>
      <c r="T169" s="154"/>
      <c r="U169" s="154"/>
      <c r="V169" s="154"/>
      <c r="W169" s="154"/>
      <c r="X169" s="154"/>
      <c r="Y169" s="154"/>
      <c r="Z169" s="357"/>
      <c r="AA169" s="357"/>
      <c r="AB169" s="357"/>
      <c r="AC169" s="357"/>
      <c r="AD169" s="357"/>
      <c r="AE169" s="357"/>
      <c r="AF169" s="357"/>
      <c r="AG169" s="357"/>
      <c r="AH169" s="357"/>
      <c r="AI169" s="357"/>
      <c r="AJ169" s="357"/>
      <c r="AK169" s="357"/>
      <c r="AL169" s="357"/>
      <c r="AM169" s="357"/>
      <c r="AN169" s="357"/>
      <c r="AO169" s="357"/>
      <c r="AP169" s="357"/>
      <c r="AQ169" s="357"/>
      <c r="AR169" s="357"/>
      <c r="AS169" s="357"/>
      <c r="AT169" s="357"/>
      <c r="AU169" s="357"/>
      <c r="AV169" s="357"/>
      <c r="AW169" s="357"/>
      <c r="AX169" s="357"/>
      <c r="AY169" s="357"/>
      <c r="AZ169" s="357"/>
      <c r="BA169" s="357"/>
      <c r="BB169" s="357"/>
      <c r="BC169" s="357"/>
      <c r="BD169" s="357"/>
      <c r="BE169" s="357"/>
      <c r="BF169" s="357"/>
      <c r="BG169" s="357"/>
      <c r="BH169" s="357"/>
      <c r="BI169" s="357"/>
      <c r="BJ169" s="357"/>
      <c r="BK169" s="357"/>
      <c r="BL169" s="357"/>
      <c r="BM169" s="357"/>
      <c r="BN169" s="357"/>
      <c r="BO169" s="357"/>
      <c r="BP169" s="357"/>
      <c r="BQ169" s="357"/>
      <c r="BR169" s="357"/>
      <c r="BS169" s="357"/>
      <c r="BT169" s="357"/>
      <c r="BU169" s="357"/>
      <c r="BV169" s="357"/>
      <c r="BW169" s="357"/>
      <c r="BX169" s="357"/>
      <c r="BY169" s="357"/>
      <c r="BZ169" s="357"/>
      <c r="CA169" s="357"/>
      <c r="CB169" s="357"/>
      <c r="CC169" s="357"/>
      <c r="CD169" s="357"/>
      <c r="CE169" s="357"/>
      <c r="CF169" s="357"/>
      <c r="CG169" s="357"/>
      <c r="CH169" s="357"/>
      <c r="CI169" s="357"/>
      <c r="CJ169" s="357"/>
      <c r="CK169" s="357"/>
      <c r="CL169" s="357"/>
      <c r="CM169" s="357"/>
      <c r="CN169" s="357"/>
      <c r="CO169" s="357"/>
      <c r="CP169" s="357"/>
      <c r="CQ169" s="357"/>
      <c r="CR169" s="357"/>
      <c r="CS169" s="357"/>
      <c r="CT169" s="357"/>
      <c r="CU169" s="357"/>
      <c r="CV169" s="357"/>
      <c r="CW169" s="357"/>
      <c r="CX169" s="357"/>
      <c r="CY169" s="357"/>
      <c r="CZ169" s="357"/>
      <c r="DA169" s="357"/>
      <c r="DB169" s="357"/>
      <c r="DC169" s="357"/>
      <c r="DD169" s="357"/>
      <c r="DE169" s="357"/>
      <c r="DF169" s="357"/>
      <c r="DG169" s="357"/>
      <c r="DH169" s="357"/>
      <c r="DI169" s="357"/>
      <c r="DJ169" s="357"/>
      <c r="DK169" s="357"/>
      <c r="DL169" s="357"/>
      <c r="DM169" s="357"/>
      <c r="DN169" s="357"/>
      <c r="DO169" s="357"/>
      <c r="DP169" s="357"/>
      <c r="DQ169" s="357"/>
      <c r="DR169" s="357"/>
      <c r="DS169" s="357"/>
      <c r="DT169" s="357"/>
      <c r="DU169" s="357"/>
      <c r="DV169" s="357"/>
      <c r="DW169" s="357"/>
      <c r="DX169" s="357"/>
      <c r="DY169" s="357"/>
      <c r="DZ169" s="357"/>
      <c r="EA169" s="357"/>
      <c r="EB169" s="357"/>
      <c r="EC169" s="357"/>
      <c r="ED169" s="357"/>
      <c r="EE169" s="357"/>
      <c r="EF169" s="357"/>
      <c r="EG169" s="357"/>
      <c r="EH169" s="357"/>
      <c r="EI169" s="357"/>
      <c r="EJ169" s="357"/>
      <c r="EK169" s="357"/>
      <c r="EL169" s="357"/>
      <c r="EM169" s="357"/>
      <c r="EN169" s="357"/>
      <c r="EO169" s="357"/>
      <c r="EP169" s="357"/>
      <c r="EQ169" s="357"/>
      <c r="ER169" s="357"/>
      <c r="ES169" s="357"/>
      <c r="ET169" s="357"/>
      <c r="EU169" s="357"/>
      <c r="EV169" s="357"/>
      <c r="EW169" s="357"/>
      <c r="EX169" s="357"/>
      <c r="EY169" s="357"/>
      <c r="EZ169" s="357"/>
      <c r="FA169" s="357"/>
      <c r="FB169" s="357"/>
      <c r="FC169" s="357"/>
      <c r="FD169" s="357"/>
      <c r="FE169" s="357"/>
      <c r="FF169" s="357"/>
      <c r="FG169" s="357"/>
      <c r="FH169" s="357"/>
      <c r="FI169" s="357"/>
      <c r="FJ169" s="357"/>
      <c r="FK169" s="357"/>
      <c r="FL169" s="357"/>
      <c r="FM169" s="357"/>
      <c r="FN169" s="357"/>
      <c r="FO169" s="357"/>
      <c r="FP169" s="357"/>
      <c r="FQ169" s="357"/>
      <c r="FR169" s="357"/>
      <c r="FS169" s="357"/>
      <c r="FT169" s="357"/>
      <c r="FU169" s="357"/>
      <c r="FV169" s="357"/>
      <c r="FW169" s="357"/>
      <c r="FX169" s="357"/>
      <c r="FY169" s="357"/>
      <c r="FZ169" s="357"/>
      <c r="GA169" s="357"/>
      <c r="GB169" s="357"/>
      <c r="GC169" s="357"/>
      <c r="GD169" s="357"/>
      <c r="GE169" s="357"/>
      <c r="GF169" s="357"/>
      <c r="GG169" s="357"/>
      <c r="GH169" s="357"/>
      <c r="GI169" s="357"/>
      <c r="GJ169" s="357"/>
      <c r="GK169" s="154"/>
      <c r="GL169" s="154"/>
      <c r="GM169" s="154"/>
      <c r="GN169" s="154"/>
      <c r="GO169" s="154"/>
      <c r="GP169" s="154"/>
      <c r="GQ169" s="154"/>
      <c r="GR169" s="154"/>
      <c r="GS169" s="154"/>
      <c r="GT169" s="154"/>
      <c r="GU169" s="154"/>
      <c r="GV169" s="154"/>
      <c r="GW169" s="154"/>
      <c r="GX169" s="154"/>
    </row>
    <row r="170" spans="7:206">
      <c r="G170" s="154"/>
      <c r="H170" s="154"/>
      <c r="I170" s="154"/>
      <c r="J170" s="154"/>
      <c r="K170" s="154"/>
      <c r="L170" s="154"/>
      <c r="M170" s="154"/>
      <c r="N170" s="154"/>
      <c r="O170" s="154"/>
      <c r="P170" s="154"/>
      <c r="Q170" s="154"/>
      <c r="R170" s="154"/>
      <c r="S170" s="154"/>
      <c r="T170" s="154"/>
      <c r="U170" s="154"/>
      <c r="V170" s="154"/>
      <c r="W170" s="154"/>
      <c r="X170" s="154"/>
      <c r="Y170" s="154"/>
      <c r="Z170" s="357"/>
      <c r="AA170" s="357"/>
      <c r="AB170" s="357"/>
      <c r="AC170" s="357"/>
      <c r="AD170" s="357"/>
      <c r="AE170" s="357"/>
      <c r="AF170" s="357"/>
      <c r="AG170" s="357"/>
      <c r="AH170" s="357"/>
      <c r="AI170" s="357"/>
      <c r="AJ170" s="357"/>
      <c r="AK170" s="357"/>
      <c r="AL170" s="357"/>
      <c r="AM170" s="357"/>
      <c r="AN170" s="357"/>
      <c r="AO170" s="357"/>
      <c r="AP170" s="357"/>
      <c r="AQ170" s="357"/>
      <c r="AR170" s="357"/>
      <c r="AS170" s="357"/>
      <c r="AT170" s="357"/>
      <c r="AU170" s="357"/>
      <c r="AV170" s="357"/>
      <c r="AW170" s="357"/>
      <c r="AX170" s="357"/>
      <c r="AY170" s="357"/>
      <c r="AZ170" s="357"/>
      <c r="BA170" s="357"/>
      <c r="BB170" s="357"/>
      <c r="BC170" s="357"/>
      <c r="BD170" s="357"/>
      <c r="BE170" s="357"/>
      <c r="BF170" s="357"/>
      <c r="BG170" s="357"/>
      <c r="BH170" s="357"/>
      <c r="BI170" s="357"/>
      <c r="BJ170" s="357"/>
      <c r="BK170" s="357"/>
      <c r="BL170" s="357"/>
      <c r="BM170" s="357"/>
      <c r="BN170" s="357"/>
      <c r="BO170" s="357"/>
      <c r="BP170" s="357"/>
      <c r="BQ170" s="357"/>
      <c r="BR170" s="357"/>
      <c r="BS170" s="357"/>
      <c r="BT170" s="357"/>
      <c r="BU170" s="357"/>
      <c r="BV170" s="357"/>
      <c r="BW170" s="357"/>
      <c r="BX170" s="357"/>
      <c r="BY170" s="357"/>
      <c r="BZ170" s="357"/>
      <c r="CA170" s="357"/>
      <c r="CB170" s="357"/>
      <c r="CC170" s="357"/>
      <c r="CD170" s="357"/>
      <c r="CE170" s="357"/>
      <c r="CF170" s="357"/>
      <c r="CG170" s="357"/>
      <c r="CH170" s="357"/>
      <c r="CI170" s="357"/>
      <c r="CJ170" s="357"/>
      <c r="CK170" s="357"/>
      <c r="CL170" s="357"/>
      <c r="CM170" s="357"/>
      <c r="CN170" s="357"/>
      <c r="CO170" s="357"/>
      <c r="CP170" s="357"/>
      <c r="CQ170" s="357"/>
      <c r="CR170" s="357"/>
      <c r="CS170" s="357"/>
      <c r="CT170" s="357"/>
      <c r="CU170" s="357"/>
      <c r="CV170" s="357"/>
      <c r="CW170" s="357"/>
      <c r="CX170" s="357"/>
      <c r="CY170" s="357"/>
      <c r="CZ170" s="357"/>
      <c r="DA170" s="357"/>
      <c r="DB170" s="357"/>
      <c r="DC170" s="357"/>
      <c r="DD170" s="357"/>
      <c r="DE170" s="357"/>
      <c r="DF170" s="357"/>
      <c r="DG170" s="357"/>
      <c r="DH170" s="357"/>
      <c r="DI170" s="357"/>
      <c r="DJ170" s="357"/>
      <c r="DK170" s="357"/>
      <c r="DL170" s="357"/>
      <c r="DM170" s="357"/>
      <c r="DN170" s="357"/>
      <c r="DO170" s="357"/>
      <c r="DP170" s="357"/>
      <c r="DQ170" s="357"/>
      <c r="DR170" s="357"/>
      <c r="DS170" s="357"/>
      <c r="DT170" s="357"/>
      <c r="DU170" s="357"/>
      <c r="DV170" s="357"/>
      <c r="DW170" s="357"/>
      <c r="DX170" s="357"/>
      <c r="DY170" s="357"/>
      <c r="DZ170" s="357"/>
      <c r="EA170" s="357"/>
      <c r="EB170" s="357"/>
      <c r="EC170" s="357"/>
      <c r="ED170" s="357"/>
      <c r="EE170" s="357"/>
      <c r="EF170" s="357"/>
      <c r="EG170" s="357"/>
      <c r="EH170" s="357"/>
      <c r="EI170" s="357"/>
      <c r="EJ170" s="357"/>
      <c r="EK170" s="357"/>
      <c r="EL170" s="357"/>
      <c r="EM170" s="357"/>
      <c r="EN170" s="357"/>
      <c r="EO170" s="357"/>
      <c r="EP170" s="357"/>
      <c r="EQ170" s="357"/>
      <c r="ER170" s="357"/>
      <c r="ES170" s="357"/>
      <c r="ET170" s="357"/>
      <c r="EU170" s="357"/>
      <c r="EV170" s="357"/>
      <c r="EW170" s="357"/>
      <c r="EX170" s="357"/>
      <c r="EY170" s="357"/>
      <c r="EZ170" s="357"/>
      <c r="FA170" s="357"/>
      <c r="FB170" s="357"/>
      <c r="FC170" s="357"/>
      <c r="FD170" s="357"/>
      <c r="FE170" s="357"/>
      <c r="FF170" s="357"/>
      <c r="FG170" s="357"/>
      <c r="FH170" s="357"/>
      <c r="FI170" s="357"/>
      <c r="FJ170" s="357"/>
      <c r="FK170" s="357"/>
      <c r="FL170" s="357"/>
      <c r="FM170" s="357"/>
      <c r="FN170" s="357"/>
      <c r="FO170" s="357"/>
      <c r="FP170" s="357"/>
      <c r="FQ170" s="357"/>
      <c r="FR170" s="357"/>
      <c r="FS170" s="357"/>
      <c r="FT170" s="357"/>
      <c r="FU170" s="357"/>
      <c r="FV170" s="357"/>
      <c r="FW170" s="357"/>
      <c r="FX170" s="357"/>
      <c r="FY170" s="357"/>
      <c r="FZ170" s="357"/>
      <c r="GA170" s="357"/>
      <c r="GB170" s="357"/>
      <c r="GC170" s="357"/>
      <c r="GD170" s="357"/>
      <c r="GE170" s="357"/>
      <c r="GF170" s="357"/>
      <c r="GG170" s="357"/>
      <c r="GH170" s="357"/>
      <c r="GI170" s="357"/>
      <c r="GJ170" s="357"/>
      <c r="GK170" s="154"/>
      <c r="GL170" s="154"/>
      <c r="GM170" s="154"/>
      <c r="GN170" s="154"/>
      <c r="GO170" s="154"/>
      <c r="GP170" s="154"/>
      <c r="GQ170" s="154"/>
      <c r="GR170" s="154"/>
      <c r="GS170" s="154"/>
      <c r="GT170" s="154"/>
      <c r="GU170" s="154"/>
      <c r="GV170" s="154"/>
      <c r="GW170" s="154"/>
      <c r="GX170" s="154"/>
    </row>
    <row r="171" spans="7:206">
      <c r="G171" s="154"/>
      <c r="H171" s="154"/>
      <c r="I171" s="154"/>
      <c r="J171" s="154"/>
      <c r="K171" s="154"/>
      <c r="L171" s="154"/>
      <c r="M171" s="154"/>
      <c r="N171" s="154"/>
      <c r="O171" s="154"/>
      <c r="P171" s="154"/>
      <c r="Q171" s="154"/>
      <c r="R171" s="154"/>
      <c r="S171" s="154"/>
      <c r="T171" s="154"/>
      <c r="U171" s="154"/>
      <c r="V171" s="154"/>
      <c r="W171" s="154"/>
      <c r="X171" s="154"/>
      <c r="Y171" s="154"/>
      <c r="Z171" s="357"/>
      <c r="AA171" s="357"/>
      <c r="AB171" s="357"/>
      <c r="AC171" s="357"/>
      <c r="AD171" s="357"/>
      <c r="AE171" s="357"/>
      <c r="AF171" s="357"/>
      <c r="AG171" s="357"/>
      <c r="AH171" s="357"/>
      <c r="AI171" s="357"/>
      <c r="AJ171" s="357"/>
      <c r="AK171" s="357"/>
      <c r="AL171" s="357"/>
      <c r="AM171" s="357"/>
      <c r="AN171" s="357"/>
      <c r="AO171" s="357"/>
      <c r="AP171" s="357"/>
      <c r="AQ171" s="357"/>
      <c r="AR171" s="357"/>
      <c r="AS171" s="357"/>
      <c r="AT171" s="357"/>
      <c r="AU171" s="357"/>
      <c r="AV171" s="357"/>
      <c r="AW171" s="357"/>
      <c r="AX171" s="357"/>
      <c r="AY171" s="357"/>
      <c r="AZ171" s="357"/>
      <c r="BA171" s="357"/>
      <c r="BB171" s="357"/>
      <c r="BC171" s="357"/>
      <c r="BD171" s="357"/>
      <c r="BE171" s="357"/>
      <c r="BF171" s="357"/>
      <c r="BG171" s="357"/>
      <c r="BH171" s="357"/>
      <c r="BI171" s="357"/>
      <c r="BJ171" s="357"/>
      <c r="BK171" s="357"/>
      <c r="BL171" s="357"/>
      <c r="BM171" s="357"/>
      <c r="BN171" s="357"/>
      <c r="BO171" s="357"/>
      <c r="BP171" s="357"/>
      <c r="BQ171" s="357"/>
      <c r="BR171" s="357"/>
      <c r="BS171" s="357"/>
      <c r="BT171" s="357"/>
      <c r="BU171" s="357"/>
      <c r="BV171" s="357"/>
      <c r="BW171" s="357"/>
      <c r="BX171" s="357"/>
      <c r="BY171" s="357"/>
      <c r="BZ171" s="357"/>
      <c r="CA171" s="357"/>
      <c r="CB171" s="357"/>
      <c r="CC171" s="357"/>
      <c r="CD171" s="357"/>
      <c r="CE171" s="357"/>
      <c r="CF171" s="357"/>
      <c r="CG171" s="357"/>
      <c r="CH171" s="357"/>
      <c r="CI171" s="357"/>
      <c r="CJ171" s="357"/>
      <c r="CK171" s="357"/>
      <c r="CL171" s="357"/>
      <c r="CM171" s="357"/>
      <c r="CN171" s="357"/>
      <c r="CO171" s="357"/>
      <c r="CP171" s="357"/>
      <c r="CQ171" s="357"/>
      <c r="CR171" s="357"/>
      <c r="CS171" s="357"/>
      <c r="CT171" s="357"/>
      <c r="CU171" s="357"/>
      <c r="CV171" s="357"/>
      <c r="CW171" s="357"/>
      <c r="CX171" s="357"/>
      <c r="CY171" s="357"/>
      <c r="CZ171" s="357"/>
      <c r="DA171" s="357"/>
      <c r="DB171" s="357"/>
      <c r="DC171" s="357"/>
      <c r="DD171" s="357"/>
      <c r="DE171" s="357"/>
      <c r="DF171" s="357"/>
      <c r="DG171" s="357"/>
      <c r="DH171" s="357"/>
      <c r="DI171" s="357"/>
      <c r="DJ171" s="357"/>
      <c r="DK171" s="357"/>
      <c r="DL171" s="357"/>
      <c r="DM171" s="357"/>
      <c r="DN171" s="357"/>
      <c r="DO171" s="357"/>
      <c r="DP171" s="357"/>
      <c r="DQ171" s="357"/>
      <c r="DR171" s="357"/>
      <c r="DS171" s="357"/>
      <c r="DT171" s="357"/>
      <c r="DU171" s="357"/>
      <c r="DV171" s="357"/>
      <c r="DW171" s="357"/>
      <c r="DX171" s="357"/>
      <c r="DY171" s="357"/>
      <c r="DZ171" s="357"/>
      <c r="EA171" s="357"/>
      <c r="EB171" s="357"/>
      <c r="EC171" s="357"/>
      <c r="ED171" s="357"/>
      <c r="EE171" s="357"/>
      <c r="EF171" s="357"/>
      <c r="EG171" s="357"/>
      <c r="EH171" s="357"/>
      <c r="EI171" s="357"/>
      <c r="EJ171" s="357"/>
      <c r="EK171" s="357"/>
      <c r="EL171" s="357"/>
      <c r="EM171" s="357"/>
      <c r="EN171" s="357"/>
      <c r="EO171" s="357"/>
      <c r="EP171" s="357"/>
      <c r="EQ171" s="357"/>
      <c r="ER171" s="357"/>
      <c r="ES171" s="357"/>
      <c r="ET171" s="357"/>
      <c r="EU171" s="357"/>
      <c r="EV171" s="357"/>
      <c r="EW171" s="357"/>
      <c r="EX171" s="357"/>
      <c r="EY171" s="357"/>
      <c r="EZ171" s="357"/>
      <c r="FA171" s="357"/>
      <c r="FB171" s="357"/>
      <c r="FC171" s="357"/>
      <c r="FD171" s="357"/>
      <c r="FE171" s="357"/>
      <c r="FF171" s="357"/>
      <c r="FG171" s="357"/>
      <c r="FH171" s="357"/>
      <c r="FI171" s="357"/>
      <c r="FJ171" s="357"/>
      <c r="FK171" s="357"/>
      <c r="FL171" s="357"/>
      <c r="FM171" s="357"/>
      <c r="FN171" s="357"/>
      <c r="FO171" s="357"/>
      <c r="FP171" s="357"/>
      <c r="FQ171" s="357"/>
      <c r="FR171" s="357"/>
      <c r="FS171" s="357"/>
      <c r="FT171" s="357"/>
      <c r="FU171" s="357"/>
      <c r="FV171" s="357"/>
      <c r="FW171" s="357"/>
      <c r="FX171" s="357"/>
      <c r="FY171" s="357"/>
      <c r="FZ171" s="357"/>
      <c r="GA171" s="357"/>
      <c r="GB171" s="357"/>
      <c r="GC171" s="357"/>
      <c r="GD171" s="357"/>
      <c r="GE171" s="357"/>
      <c r="GF171" s="357"/>
      <c r="GG171" s="357"/>
      <c r="GH171" s="357"/>
      <c r="GI171" s="357"/>
      <c r="GJ171" s="357"/>
      <c r="GK171" s="154"/>
      <c r="GL171" s="154"/>
      <c r="GM171" s="154"/>
      <c r="GN171" s="154"/>
      <c r="GO171" s="154"/>
      <c r="GP171" s="154"/>
      <c r="GQ171" s="154"/>
      <c r="GR171" s="154"/>
      <c r="GS171" s="154"/>
      <c r="GT171" s="154"/>
      <c r="GU171" s="154"/>
      <c r="GV171" s="154"/>
      <c r="GW171" s="154"/>
      <c r="GX171" s="154"/>
    </row>
    <row r="172" spans="7:206">
      <c r="G172" s="154"/>
      <c r="H172" s="154"/>
      <c r="I172" s="154"/>
      <c r="J172" s="154"/>
      <c r="K172" s="154"/>
      <c r="L172" s="154"/>
      <c r="M172" s="154"/>
      <c r="N172" s="154"/>
      <c r="O172" s="154"/>
      <c r="P172" s="154"/>
      <c r="Q172" s="154"/>
      <c r="R172" s="154"/>
      <c r="S172" s="154"/>
      <c r="T172" s="154"/>
      <c r="U172" s="154"/>
      <c r="V172" s="154"/>
      <c r="W172" s="154"/>
      <c r="X172" s="154"/>
      <c r="Y172" s="154"/>
      <c r="Z172" s="357"/>
      <c r="AA172" s="357"/>
      <c r="AB172" s="357"/>
      <c r="AC172" s="357"/>
      <c r="AD172" s="357"/>
      <c r="AE172" s="357"/>
      <c r="AF172" s="357"/>
      <c r="AG172" s="357"/>
      <c r="AH172" s="357"/>
      <c r="AI172" s="357"/>
      <c r="AJ172" s="357"/>
      <c r="AK172" s="357"/>
      <c r="AL172" s="357"/>
      <c r="AM172" s="357"/>
      <c r="AN172" s="357"/>
      <c r="AO172" s="357"/>
      <c r="AP172" s="357"/>
      <c r="AQ172" s="357"/>
      <c r="AR172" s="357"/>
      <c r="AS172" s="357"/>
      <c r="AT172" s="357"/>
      <c r="AU172" s="357"/>
      <c r="AV172" s="357"/>
      <c r="AW172" s="357"/>
      <c r="AX172" s="357"/>
      <c r="AY172" s="357"/>
      <c r="AZ172" s="357"/>
      <c r="BA172" s="357"/>
      <c r="BB172" s="357"/>
      <c r="BC172" s="357"/>
      <c r="BD172" s="357"/>
      <c r="BE172" s="357"/>
      <c r="BF172" s="357"/>
      <c r="BG172" s="357"/>
      <c r="BH172" s="357"/>
      <c r="BI172" s="357"/>
      <c r="BJ172" s="357"/>
      <c r="BK172" s="357"/>
      <c r="BL172" s="357"/>
      <c r="BM172" s="357"/>
      <c r="BN172" s="357"/>
      <c r="BO172" s="357"/>
      <c r="BP172" s="357"/>
      <c r="BQ172" s="357"/>
      <c r="BR172" s="357"/>
      <c r="BS172" s="357"/>
      <c r="BT172" s="357"/>
      <c r="BU172" s="357"/>
      <c r="BV172" s="357"/>
      <c r="BW172" s="357"/>
      <c r="BX172" s="357"/>
      <c r="BY172" s="357"/>
      <c r="BZ172" s="357"/>
      <c r="CA172" s="357"/>
      <c r="CB172" s="357"/>
      <c r="CC172" s="357"/>
      <c r="CD172" s="357"/>
      <c r="CE172" s="357"/>
      <c r="CF172" s="357"/>
      <c r="CG172" s="357"/>
      <c r="CH172" s="357"/>
      <c r="CI172" s="357"/>
      <c r="CJ172" s="357"/>
      <c r="CK172" s="357"/>
      <c r="CL172" s="357"/>
      <c r="CM172" s="357"/>
      <c r="CN172" s="357"/>
      <c r="CO172" s="357"/>
      <c r="CP172" s="357"/>
      <c r="CQ172" s="357"/>
      <c r="CR172" s="357"/>
      <c r="CS172" s="357"/>
      <c r="CT172" s="357"/>
      <c r="CU172" s="357"/>
      <c r="CV172" s="357"/>
      <c r="CW172" s="357"/>
      <c r="CX172" s="357"/>
      <c r="CY172" s="357"/>
      <c r="CZ172" s="357"/>
      <c r="DA172" s="357"/>
      <c r="DB172" s="357"/>
      <c r="DC172" s="357"/>
      <c r="DD172" s="357"/>
      <c r="DE172" s="357"/>
      <c r="DF172" s="357"/>
      <c r="DG172" s="357"/>
      <c r="DH172" s="357"/>
      <c r="DI172" s="357"/>
      <c r="DJ172" s="357"/>
      <c r="DK172" s="357"/>
      <c r="DL172" s="357"/>
      <c r="DM172" s="357"/>
      <c r="DN172" s="357"/>
      <c r="DO172" s="357"/>
      <c r="DP172" s="357"/>
      <c r="DQ172" s="357"/>
      <c r="DR172" s="357"/>
      <c r="DS172" s="357"/>
      <c r="DT172" s="357"/>
      <c r="DU172" s="357"/>
      <c r="DV172" s="357"/>
      <c r="DW172" s="357"/>
      <c r="DX172" s="357"/>
      <c r="DY172" s="357"/>
      <c r="DZ172" s="357"/>
      <c r="EA172" s="357"/>
      <c r="EB172" s="357"/>
      <c r="EC172" s="357"/>
      <c r="ED172" s="357"/>
      <c r="EE172" s="357"/>
      <c r="EF172" s="357"/>
      <c r="EG172" s="357"/>
      <c r="EH172" s="357"/>
      <c r="EI172" s="357"/>
      <c r="EJ172" s="357"/>
      <c r="EK172" s="357"/>
      <c r="EL172" s="357"/>
      <c r="EM172" s="357"/>
      <c r="EN172" s="357"/>
      <c r="EO172" s="357"/>
      <c r="EP172" s="357"/>
      <c r="EQ172" s="357"/>
      <c r="ER172" s="357"/>
      <c r="ES172" s="357"/>
      <c r="ET172" s="357"/>
      <c r="EU172" s="357"/>
      <c r="EV172" s="357"/>
      <c r="EW172" s="357"/>
      <c r="EX172" s="357"/>
      <c r="EY172" s="357"/>
      <c r="EZ172" s="357"/>
      <c r="FA172" s="357"/>
      <c r="FB172" s="357"/>
      <c r="FC172" s="357"/>
      <c r="FD172" s="357"/>
      <c r="FE172" s="357"/>
      <c r="FF172" s="357"/>
      <c r="FG172" s="357"/>
      <c r="FH172" s="357"/>
      <c r="FI172" s="357"/>
      <c r="FJ172" s="357"/>
      <c r="FK172" s="357"/>
      <c r="FL172" s="357"/>
      <c r="FM172" s="357"/>
      <c r="FN172" s="357"/>
      <c r="FO172" s="357"/>
      <c r="FP172" s="357"/>
      <c r="FQ172" s="357"/>
      <c r="FR172" s="357"/>
      <c r="FS172" s="357"/>
      <c r="FT172" s="357"/>
      <c r="FU172" s="357"/>
      <c r="FV172" s="357"/>
      <c r="FW172" s="357"/>
      <c r="FX172" s="357"/>
      <c r="FY172" s="357"/>
      <c r="FZ172" s="357"/>
      <c r="GA172" s="357"/>
      <c r="GB172" s="357"/>
      <c r="GC172" s="357"/>
      <c r="GD172" s="357"/>
      <c r="GE172" s="357"/>
      <c r="GF172" s="357"/>
      <c r="GG172" s="357"/>
      <c r="GH172" s="357"/>
      <c r="GI172" s="357"/>
      <c r="GJ172" s="357"/>
      <c r="GK172" s="154"/>
      <c r="GL172" s="154"/>
      <c r="GM172" s="154"/>
      <c r="GN172" s="154"/>
      <c r="GO172" s="154"/>
      <c r="GP172" s="154"/>
      <c r="GQ172" s="154"/>
      <c r="GR172" s="154"/>
      <c r="GS172" s="154"/>
      <c r="GT172" s="154"/>
      <c r="GU172" s="154"/>
      <c r="GV172" s="154"/>
      <c r="GW172" s="154"/>
      <c r="GX172" s="154"/>
    </row>
    <row r="173" spans="7:206">
      <c r="G173" s="154"/>
      <c r="H173" s="154"/>
      <c r="I173" s="154"/>
      <c r="J173" s="154"/>
      <c r="K173" s="154"/>
      <c r="L173" s="154"/>
      <c r="M173" s="154"/>
      <c r="N173" s="154"/>
      <c r="O173" s="154"/>
      <c r="P173" s="154"/>
      <c r="Q173" s="154"/>
      <c r="R173" s="154"/>
      <c r="S173" s="154"/>
      <c r="T173" s="154"/>
      <c r="U173" s="154"/>
      <c r="V173" s="154"/>
      <c r="W173" s="154"/>
      <c r="X173" s="154"/>
      <c r="Y173" s="154"/>
      <c r="Z173" s="357"/>
      <c r="AA173" s="357"/>
      <c r="AB173" s="357"/>
      <c r="AC173" s="357"/>
      <c r="AD173" s="357"/>
      <c r="AE173" s="357"/>
      <c r="AF173" s="357"/>
      <c r="AG173" s="357"/>
      <c r="AH173" s="357"/>
      <c r="AI173" s="357"/>
      <c r="AJ173" s="357"/>
      <c r="AK173" s="357"/>
      <c r="AL173" s="357"/>
      <c r="AM173" s="357"/>
      <c r="AN173" s="357"/>
      <c r="AO173" s="357"/>
      <c r="AP173" s="357"/>
      <c r="AQ173" s="357"/>
      <c r="AR173" s="357"/>
      <c r="AS173" s="357"/>
      <c r="AT173" s="357"/>
      <c r="AU173" s="357"/>
      <c r="AV173" s="357"/>
      <c r="AW173" s="357"/>
      <c r="AX173" s="357"/>
      <c r="AY173" s="357"/>
      <c r="AZ173" s="357"/>
      <c r="BA173" s="357"/>
      <c r="BB173" s="357"/>
      <c r="BC173" s="357"/>
      <c r="BD173" s="357"/>
      <c r="BE173" s="357"/>
      <c r="BF173" s="357"/>
      <c r="BG173" s="357"/>
      <c r="BH173" s="357"/>
      <c r="BI173" s="357"/>
      <c r="BJ173" s="357"/>
      <c r="BK173" s="357"/>
      <c r="BL173" s="357"/>
      <c r="BM173" s="357"/>
      <c r="BN173" s="357"/>
      <c r="BO173" s="357"/>
      <c r="BP173" s="357"/>
      <c r="BQ173" s="357"/>
      <c r="BR173" s="357"/>
      <c r="BS173" s="357"/>
      <c r="BT173" s="357"/>
      <c r="BU173" s="357"/>
      <c r="BV173" s="357"/>
      <c r="BW173" s="357"/>
      <c r="BX173" s="357"/>
      <c r="BY173" s="357"/>
      <c r="BZ173" s="357"/>
      <c r="CA173" s="357"/>
      <c r="CB173" s="357"/>
      <c r="CC173" s="357"/>
      <c r="CD173" s="357"/>
      <c r="CE173" s="357"/>
      <c r="CF173" s="357"/>
      <c r="CG173" s="357"/>
      <c r="CH173" s="357"/>
      <c r="CI173" s="357"/>
      <c r="CJ173" s="357"/>
      <c r="CK173" s="357"/>
      <c r="CL173" s="357"/>
      <c r="CM173" s="357"/>
      <c r="CN173" s="357"/>
      <c r="CO173" s="357"/>
      <c r="CP173" s="357"/>
      <c r="CQ173" s="357"/>
      <c r="CR173" s="357"/>
      <c r="CS173" s="357"/>
      <c r="CT173" s="357"/>
      <c r="CU173" s="357"/>
      <c r="CV173" s="357"/>
      <c r="CW173" s="357"/>
      <c r="CX173" s="357"/>
      <c r="CY173" s="357"/>
      <c r="CZ173" s="357"/>
      <c r="DA173" s="357"/>
      <c r="DB173" s="357"/>
      <c r="DC173" s="357"/>
      <c r="DD173" s="357"/>
      <c r="DE173" s="357"/>
      <c r="DF173" s="357"/>
      <c r="DG173" s="357"/>
      <c r="DH173" s="357"/>
      <c r="DI173" s="357"/>
      <c r="DJ173" s="357"/>
      <c r="DK173" s="357"/>
      <c r="DL173" s="357"/>
      <c r="DM173" s="357"/>
      <c r="DN173" s="357"/>
      <c r="DO173" s="357"/>
      <c r="DP173" s="357"/>
      <c r="DQ173" s="357"/>
      <c r="DR173" s="357"/>
      <c r="DS173" s="357"/>
      <c r="DT173" s="357"/>
      <c r="DU173" s="357"/>
      <c r="DV173" s="357"/>
      <c r="DW173" s="357"/>
      <c r="DX173" s="357"/>
      <c r="DY173" s="357"/>
      <c r="DZ173" s="357"/>
      <c r="EA173" s="357"/>
      <c r="EB173" s="357"/>
      <c r="EC173" s="357"/>
      <c r="ED173" s="357"/>
      <c r="EE173" s="357"/>
      <c r="EF173" s="357"/>
      <c r="EG173" s="357"/>
      <c r="EH173" s="357"/>
      <c r="EI173" s="357"/>
      <c r="EJ173" s="357"/>
      <c r="EK173" s="357"/>
      <c r="EL173" s="357"/>
      <c r="EM173" s="357"/>
      <c r="EN173" s="357"/>
      <c r="EO173" s="357"/>
      <c r="EP173" s="357"/>
      <c r="EQ173" s="357"/>
      <c r="ER173" s="357"/>
      <c r="ES173" s="357"/>
      <c r="ET173" s="357"/>
      <c r="EU173" s="357"/>
      <c r="EV173" s="357"/>
      <c r="EW173" s="357"/>
      <c r="EX173" s="357"/>
      <c r="EY173" s="357"/>
      <c r="EZ173" s="357"/>
      <c r="FA173" s="357"/>
      <c r="FB173" s="357"/>
      <c r="FC173" s="357"/>
      <c r="FD173" s="357"/>
      <c r="FE173" s="357"/>
      <c r="FF173" s="357"/>
      <c r="FG173" s="357"/>
      <c r="FH173" s="357"/>
      <c r="FI173" s="357"/>
      <c r="FJ173" s="357"/>
      <c r="FK173" s="357"/>
      <c r="FL173" s="357"/>
      <c r="FM173" s="357"/>
      <c r="FN173" s="357"/>
      <c r="FO173" s="357"/>
      <c r="FP173" s="357"/>
      <c r="FQ173" s="357"/>
      <c r="FR173" s="357"/>
      <c r="FS173" s="357"/>
      <c r="FT173" s="357"/>
      <c r="FU173" s="357"/>
      <c r="FV173" s="357"/>
      <c r="FW173" s="357"/>
      <c r="FX173" s="357"/>
      <c r="FY173" s="357"/>
      <c r="FZ173" s="357"/>
      <c r="GA173" s="357"/>
      <c r="GB173" s="357"/>
      <c r="GC173" s="357"/>
      <c r="GD173" s="357"/>
      <c r="GE173" s="357"/>
      <c r="GF173" s="357"/>
      <c r="GG173" s="357"/>
      <c r="GH173" s="357"/>
      <c r="GI173" s="357"/>
      <c r="GJ173" s="357"/>
      <c r="GK173" s="154"/>
      <c r="GL173" s="154"/>
      <c r="GM173" s="154"/>
      <c r="GN173" s="154"/>
      <c r="GO173" s="154"/>
      <c r="GP173" s="154"/>
      <c r="GQ173" s="154"/>
      <c r="GR173" s="154"/>
      <c r="GS173" s="154"/>
      <c r="GT173" s="154"/>
      <c r="GU173" s="154"/>
      <c r="GV173" s="154"/>
      <c r="GW173" s="154"/>
      <c r="GX173" s="154"/>
    </row>
    <row r="174" spans="7:206">
      <c r="G174" s="154"/>
      <c r="H174" s="154"/>
      <c r="I174" s="154"/>
      <c r="J174" s="154"/>
      <c r="K174" s="154"/>
      <c r="L174" s="154"/>
      <c r="M174" s="154"/>
      <c r="N174" s="154"/>
      <c r="O174" s="154"/>
      <c r="P174" s="154"/>
      <c r="Q174" s="154"/>
      <c r="R174" s="154"/>
      <c r="S174" s="154"/>
      <c r="T174" s="154"/>
      <c r="U174" s="154"/>
      <c r="V174" s="154"/>
      <c r="W174" s="154"/>
      <c r="X174" s="154"/>
      <c r="Y174" s="154"/>
      <c r="Z174" s="357"/>
      <c r="AA174" s="357"/>
      <c r="AB174" s="357"/>
      <c r="AC174" s="357"/>
      <c r="AD174" s="357"/>
      <c r="AE174" s="357"/>
      <c r="AF174" s="357"/>
      <c r="AG174" s="357"/>
      <c r="AH174" s="357"/>
      <c r="AI174" s="357"/>
      <c r="AJ174" s="357"/>
      <c r="AK174" s="357"/>
      <c r="AL174" s="357"/>
      <c r="AM174" s="357"/>
      <c r="AN174" s="357"/>
      <c r="AO174" s="357"/>
      <c r="AP174" s="357"/>
      <c r="AQ174" s="357"/>
      <c r="AR174" s="357"/>
      <c r="AS174" s="357"/>
      <c r="AT174" s="357"/>
      <c r="AU174" s="357"/>
      <c r="AV174" s="357"/>
      <c r="AW174" s="357"/>
      <c r="AX174" s="357"/>
      <c r="AY174" s="357"/>
      <c r="AZ174" s="357"/>
      <c r="BA174" s="357"/>
      <c r="BB174" s="357"/>
      <c r="BC174" s="357"/>
      <c r="BD174" s="357"/>
      <c r="BE174" s="357"/>
      <c r="BF174" s="357"/>
      <c r="BG174" s="357"/>
      <c r="BH174" s="357"/>
      <c r="BI174" s="357"/>
      <c r="BJ174" s="357"/>
      <c r="BK174" s="357"/>
      <c r="BL174" s="357"/>
      <c r="BM174" s="357"/>
      <c r="BN174" s="357"/>
      <c r="BO174" s="357"/>
      <c r="BP174" s="357"/>
      <c r="BQ174" s="357"/>
      <c r="BR174" s="357"/>
      <c r="BS174" s="357"/>
      <c r="BT174" s="357"/>
      <c r="BU174" s="357"/>
      <c r="BV174" s="357"/>
      <c r="BW174" s="357"/>
      <c r="BX174" s="357"/>
      <c r="BY174" s="357"/>
      <c r="BZ174" s="357"/>
      <c r="CA174" s="357"/>
      <c r="CB174" s="357"/>
      <c r="CC174" s="357"/>
      <c r="CD174" s="357"/>
      <c r="CE174" s="357"/>
      <c r="CF174" s="357"/>
      <c r="CG174" s="357"/>
      <c r="CH174" s="357"/>
      <c r="CI174" s="357"/>
      <c r="CJ174" s="357"/>
      <c r="CK174" s="357"/>
      <c r="CL174" s="357"/>
      <c r="CM174" s="357"/>
      <c r="CN174" s="357"/>
      <c r="CO174" s="357"/>
      <c r="CP174" s="357"/>
      <c r="CQ174" s="357"/>
      <c r="CR174" s="357"/>
      <c r="CS174" s="357"/>
      <c r="CT174" s="357"/>
      <c r="CU174" s="357"/>
      <c r="CV174" s="357"/>
      <c r="CW174" s="357"/>
      <c r="CX174" s="357"/>
      <c r="CY174" s="357"/>
      <c r="CZ174" s="357"/>
      <c r="DA174" s="357"/>
      <c r="DB174" s="357"/>
      <c r="DC174" s="357"/>
      <c r="DD174" s="357"/>
      <c r="DE174" s="357"/>
      <c r="DF174" s="357"/>
      <c r="DG174" s="357"/>
      <c r="DH174" s="357"/>
      <c r="DI174" s="357"/>
      <c r="DJ174" s="357"/>
      <c r="DK174" s="357"/>
      <c r="DL174" s="357"/>
      <c r="DM174" s="357"/>
      <c r="DN174" s="357"/>
      <c r="DO174" s="357"/>
      <c r="DP174" s="357"/>
      <c r="DQ174" s="357"/>
      <c r="DR174" s="357"/>
      <c r="DS174" s="357"/>
      <c r="DT174" s="357"/>
      <c r="DU174" s="357"/>
      <c r="DV174" s="357"/>
      <c r="DW174" s="357"/>
      <c r="DX174" s="357"/>
      <c r="DY174" s="357"/>
      <c r="DZ174" s="357"/>
      <c r="EA174" s="357"/>
      <c r="EB174" s="357"/>
      <c r="EC174" s="357"/>
      <c r="ED174" s="357"/>
      <c r="EE174" s="357"/>
      <c r="EF174" s="357"/>
      <c r="EG174" s="357"/>
      <c r="EH174" s="357"/>
      <c r="EI174" s="357"/>
      <c r="EJ174" s="357"/>
      <c r="EK174" s="357"/>
      <c r="EL174" s="357"/>
      <c r="EM174" s="357"/>
      <c r="EN174" s="357"/>
      <c r="EO174" s="357"/>
      <c r="EP174" s="357"/>
      <c r="EQ174" s="357"/>
      <c r="ER174" s="357"/>
      <c r="ES174" s="357"/>
      <c r="ET174" s="357"/>
      <c r="EU174" s="357"/>
      <c r="EV174" s="357"/>
      <c r="EW174" s="357"/>
      <c r="EX174" s="357"/>
      <c r="EY174" s="357"/>
      <c r="EZ174" s="357"/>
      <c r="FA174" s="357"/>
      <c r="FB174" s="357"/>
      <c r="FC174" s="357"/>
      <c r="FD174" s="357"/>
      <c r="FE174" s="357"/>
      <c r="FF174" s="357"/>
      <c r="FG174" s="357"/>
      <c r="FH174" s="357"/>
      <c r="FI174" s="357"/>
      <c r="FJ174" s="357"/>
      <c r="FK174" s="357"/>
      <c r="FL174" s="357"/>
      <c r="FM174" s="357"/>
      <c r="FN174" s="357"/>
      <c r="FO174" s="357"/>
      <c r="FP174" s="357"/>
      <c r="FQ174" s="357"/>
      <c r="FR174" s="357"/>
      <c r="FS174" s="357"/>
      <c r="FT174" s="357"/>
      <c r="FU174" s="357"/>
      <c r="FV174" s="357"/>
      <c r="FW174" s="357"/>
      <c r="FX174" s="357"/>
      <c r="FY174" s="357"/>
      <c r="FZ174" s="357"/>
      <c r="GA174" s="357"/>
      <c r="GB174" s="357"/>
      <c r="GC174" s="357"/>
      <c r="GD174" s="357"/>
      <c r="GE174" s="357"/>
      <c r="GF174" s="357"/>
      <c r="GG174" s="357"/>
      <c r="GH174" s="357"/>
      <c r="GI174" s="357"/>
      <c r="GJ174" s="357"/>
      <c r="GK174" s="154"/>
      <c r="GL174" s="154"/>
      <c r="GM174" s="154"/>
      <c r="GN174" s="154"/>
      <c r="GO174" s="154"/>
      <c r="GP174" s="154"/>
      <c r="GQ174" s="154"/>
      <c r="GR174" s="154"/>
      <c r="GS174" s="154"/>
      <c r="GT174" s="154"/>
      <c r="GU174" s="154"/>
      <c r="GV174" s="154"/>
      <c r="GW174" s="154"/>
      <c r="GX174" s="154"/>
    </row>
    <row r="175" spans="7:206">
      <c r="G175" s="154"/>
      <c r="H175" s="154"/>
      <c r="I175" s="154"/>
      <c r="J175" s="154"/>
      <c r="K175" s="154"/>
      <c r="L175" s="154"/>
      <c r="M175" s="154"/>
      <c r="N175" s="154"/>
      <c r="O175" s="154"/>
      <c r="P175" s="154"/>
      <c r="Q175" s="154"/>
      <c r="R175" s="154"/>
      <c r="S175" s="154"/>
      <c r="T175" s="154"/>
      <c r="U175" s="154"/>
      <c r="V175" s="154"/>
      <c r="W175" s="154"/>
      <c r="X175" s="154"/>
      <c r="Y175" s="154"/>
      <c r="Z175" s="357"/>
      <c r="AA175" s="357"/>
      <c r="AB175" s="357"/>
      <c r="AC175" s="357"/>
      <c r="AD175" s="357"/>
      <c r="AE175" s="357"/>
      <c r="AF175" s="357"/>
      <c r="AG175" s="357"/>
      <c r="AH175" s="357"/>
      <c r="AI175" s="357"/>
      <c r="AJ175" s="357"/>
      <c r="AK175" s="357"/>
      <c r="AL175" s="357"/>
      <c r="AM175" s="357"/>
      <c r="AN175" s="357"/>
      <c r="AO175" s="357"/>
      <c r="AP175" s="357"/>
      <c r="AQ175" s="357"/>
      <c r="AR175" s="357"/>
      <c r="AS175" s="357"/>
      <c r="AT175" s="357"/>
      <c r="AU175" s="357"/>
      <c r="AV175" s="357"/>
      <c r="AW175" s="357"/>
      <c r="AX175" s="357"/>
      <c r="AY175" s="357"/>
      <c r="AZ175" s="357"/>
      <c r="BA175" s="357"/>
      <c r="BB175" s="357"/>
      <c r="BC175" s="357"/>
      <c r="BD175" s="357"/>
      <c r="BE175" s="357"/>
      <c r="BF175" s="357"/>
      <c r="BG175" s="357"/>
      <c r="BH175" s="357"/>
      <c r="BI175" s="357"/>
      <c r="BJ175" s="357"/>
      <c r="BK175" s="357"/>
      <c r="BL175" s="357"/>
      <c r="BM175" s="357"/>
      <c r="BN175" s="357"/>
      <c r="BO175" s="357"/>
      <c r="BP175" s="357"/>
      <c r="BQ175" s="357"/>
      <c r="BR175" s="357"/>
      <c r="BS175" s="357"/>
      <c r="BT175" s="357"/>
      <c r="BU175" s="357"/>
      <c r="BV175" s="357"/>
      <c r="BW175" s="357"/>
      <c r="BX175" s="357"/>
      <c r="BY175" s="357"/>
      <c r="BZ175" s="357"/>
      <c r="CA175" s="357"/>
      <c r="CB175" s="357"/>
      <c r="CC175" s="357"/>
      <c r="CD175" s="357"/>
      <c r="CE175" s="357"/>
      <c r="CF175" s="357"/>
      <c r="CG175" s="357"/>
      <c r="CH175" s="357"/>
      <c r="CI175" s="357"/>
      <c r="CJ175" s="357"/>
      <c r="CK175" s="357"/>
      <c r="CL175" s="357"/>
      <c r="CM175" s="357"/>
      <c r="CN175" s="357"/>
      <c r="CO175" s="357"/>
      <c r="CP175" s="357"/>
      <c r="CQ175" s="357"/>
      <c r="CR175" s="357"/>
      <c r="CS175" s="357"/>
      <c r="CT175" s="357"/>
      <c r="CU175" s="357"/>
      <c r="CV175" s="357"/>
      <c r="CW175" s="357"/>
      <c r="CX175" s="357"/>
      <c r="CY175" s="357"/>
      <c r="CZ175" s="357"/>
      <c r="DA175" s="357"/>
      <c r="DB175" s="357"/>
      <c r="DC175" s="357"/>
      <c r="DD175" s="357"/>
      <c r="DE175" s="357"/>
      <c r="DF175" s="357"/>
      <c r="DG175" s="357"/>
      <c r="DH175" s="357"/>
      <c r="DI175" s="357"/>
      <c r="DJ175" s="357"/>
      <c r="DK175" s="357"/>
      <c r="DL175" s="357"/>
      <c r="DM175" s="357"/>
      <c r="DN175" s="357"/>
      <c r="DO175" s="357"/>
      <c r="DP175" s="357"/>
      <c r="DQ175" s="357"/>
      <c r="DR175" s="357"/>
      <c r="DS175" s="357"/>
      <c r="DT175" s="357"/>
      <c r="DU175" s="357"/>
      <c r="DV175" s="357"/>
      <c r="DW175" s="357"/>
      <c r="DX175" s="357"/>
      <c r="DY175" s="357"/>
      <c r="DZ175" s="357"/>
      <c r="EA175" s="357"/>
      <c r="EB175" s="357"/>
      <c r="EC175" s="357"/>
      <c r="ED175" s="357"/>
      <c r="EE175" s="357"/>
      <c r="EF175" s="357"/>
      <c r="EG175" s="357"/>
      <c r="EH175" s="357"/>
      <c r="EI175" s="357"/>
      <c r="EJ175" s="357"/>
      <c r="EK175" s="357"/>
      <c r="EL175" s="357"/>
      <c r="EM175" s="357"/>
      <c r="EN175" s="357"/>
      <c r="EO175" s="357"/>
      <c r="EP175" s="357"/>
      <c r="EQ175" s="357"/>
      <c r="ER175" s="357"/>
      <c r="ES175" s="357"/>
      <c r="ET175" s="357"/>
      <c r="EU175" s="357"/>
      <c r="EV175" s="357"/>
      <c r="EW175" s="357"/>
      <c r="EX175" s="357"/>
      <c r="EY175" s="357"/>
      <c r="EZ175" s="357"/>
      <c r="FA175" s="357"/>
      <c r="FB175" s="357"/>
      <c r="FC175" s="357"/>
      <c r="FD175" s="357"/>
      <c r="FE175" s="357"/>
      <c r="FF175" s="357"/>
      <c r="FG175" s="357"/>
      <c r="FH175" s="357"/>
      <c r="FI175" s="357"/>
      <c r="FJ175" s="357"/>
      <c r="FK175" s="357"/>
      <c r="FL175" s="357"/>
      <c r="FM175" s="357"/>
      <c r="FN175" s="357"/>
      <c r="FO175" s="357"/>
      <c r="FP175" s="357"/>
      <c r="FQ175" s="357"/>
      <c r="FR175" s="357"/>
      <c r="FS175" s="357"/>
      <c r="FT175" s="357"/>
      <c r="FU175" s="357"/>
      <c r="FV175" s="357"/>
      <c r="FW175" s="357"/>
      <c r="FX175" s="357"/>
      <c r="FY175" s="357"/>
      <c r="FZ175" s="357"/>
      <c r="GA175" s="357"/>
      <c r="GB175" s="357"/>
      <c r="GC175" s="357"/>
      <c r="GD175" s="357"/>
      <c r="GE175" s="357"/>
      <c r="GF175" s="357"/>
      <c r="GG175" s="357"/>
      <c r="GH175" s="357"/>
      <c r="GI175" s="357"/>
      <c r="GJ175" s="357"/>
      <c r="GK175" s="154"/>
      <c r="GL175" s="154"/>
      <c r="GM175" s="154"/>
      <c r="GN175" s="154"/>
      <c r="GO175" s="154"/>
      <c r="GP175" s="154"/>
      <c r="GQ175" s="154"/>
      <c r="GR175" s="154"/>
      <c r="GS175" s="154"/>
      <c r="GT175" s="154"/>
      <c r="GU175" s="154"/>
      <c r="GV175" s="154"/>
      <c r="GW175" s="154"/>
      <c r="GX175" s="154"/>
    </row>
    <row r="176" spans="7:206">
      <c r="G176" s="154"/>
      <c r="H176" s="154"/>
      <c r="I176" s="154"/>
      <c r="J176" s="154"/>
      <c r="K176" s="154"/>
      <c r="L176" s="154"/>
      <c r="M176" s="154"/>
      <c r="N176" s="154"/>
      <c r="O176" s="154"/>
      <c r="P176" s="154"/>
      <c r="Q176" s="154"/>
      <c r="R176" s="154"/>
      <c r="S176" s="154"/>
      <c r="T176" s="154"/>
      <c r="U176" s="154"/>
      <c r="V176" s="154"/>
      <c r="W176" s="154"/>
      <c r="X176" s="154"/>
      <c r="Y176" s="154"/>
      <c r="Z176" s="357"/>
      <c r="AA176" s="357"/>
      <c r="AB176" s="357"/>
      <c r="AC176" s="357"/>
      <c r="AD176" s="357"/>
      <c r="AE176" s="357"/>
      <c r="AF176" s="357"/>
      <c r="AG176" s="357"/>
      <c r="AH176" s="357"/>
      <c r="AI176" s="357"/>
      <c r="AJ176" s="357"/>
      <c r="AK176" s="357"/>
      <c r="AL176" s="357"/>
      <c r="AM176" s="357"/>
      <c r="AN176" s="357"/>
      <c r="AO176" s="357"/>
      <c r="AP176" s="357"/>
      <c r="AQ176" s="357"/>
      <c r="AR176" s="357"/>
      <c r="AS176" s="357"/>
      <c r="AT176" s="357"/>
      <c r="AU176" s="357"/>
      <c r="AV176" s="357"/>
      <c r="AW176" s="357"/>
      <c r="AX176" s="357"/>
      <c r="AY176" s="357"/>
      <c r="AZ176" s="357"/>
      <c r="BA176" s="357"/>
      <c r="BB176" s="357"/>
      <c r="BC176" s="357"/>
      <c r="BD176" s="357"/>
      <c r="BE176" s="357"/>
      <c r="BF176" s="357"/>
      <c r="BG176" s="357"/>
      <c r="BH176" s="357"/>
      <c r="BI176" s="357"/>
      <c r="BJ176" s="357"/>
      <c r="BK176" s="357"/>
      <c r="BL176" s="357"/>
      <c r="BM176" s="357"/>
      <c r="BN176" s="357"/>
      <c r="BO176" s="357"/>
      <c r="BP176" s="357"/>
      <c r="BQ176" s="357"/>
      <c r="BR176" s="357"/>
      <c r="BS176" s="357"/>
      <c r="BT176" s="357"/>
      <c r="BU176" s="357"/>
      <c r="BV176" s="357"/>
      <c r="BW176" s="357"/>
      <c r="BX176" s="357"/>
      <c r="BY176" s="357"/>
      <c r="BZ176" s="357"/>
      <c r="CA176" s="357"/>
      <c r="CB176" s="357"/>
      <c r="CC176" s="357"/>
      <c r="CD176" s="357"/>
      <c r="CE176" s="357"/>
      <c r="CF176" s="357"/>
      <c r="CG176" s="357"/>
      <c r="CH176" s="357"/>
      <c r="CI176" s="357"/>
      <c r="CJ176" s="357"/>
      <c r="CK176" s="357"/>
      <c r="CL176" s="357"/>
      <c r="CM176" s="357"/>
      <c r="CN176" s="357"/>
      <c r="CO176" s="357"/>
      <c r="CP176" s="357"/>
      <c r="CQ176" s="357"/>
      <c r="CR176" s="357"/>
      <c r="CS176" s="357"/>
      <c r="CT176" s="357"/>
      <c r="CU176" s="357"/>
      <c r="CV176" s="357"/>
      <c r="CW176" s="357"/>
      <c r="CX176" s="357"/>
      <c r="CY176" s="357"/>
      <c r="CZ176" s="357"/>
      <c r="DA176" s="357"/>
      <c r="DB176" s="357"/>
      <c r="DC176" s="357"/>
      <c r="DD176" s="357"/>
      <c r="DE176" s="357"/>
      <c r="DF176" s="357"/>
      <c r="DG176" s="357"/>
      <c r="DH176" s="357"/>
      <c r="DI176" s="357"/>
      <c r="DJ176" s="357"/>
      <c r="DK176" s="357"/>
      <c r="DL176" s="357"/>
      <c r="DM176" s="357"/>
      <c r="DN176" s="357"/>
      <c r="DO176" s="357"/>
      <c r="DP176" s="357"/>
      <c r="DQ176" s="357"/>
      <c r="DR176" s="357"/>
      <c r="DS176" s="357"/>
      <c r="DT176" s="357"/>
      <c r="DU176" s="357"/>
      <c r="DV176" s="357"/>
      <c r="DW176" s="357"/>
      <c r="DX176" s="357"/>
      <c r="DY176" s="357"/>
      <c r="DZ176" s="357"/>
      <c r="EA176" s="357"/>
      <c r="EB176" s="357"/>
      <c r="EC176" s="357"/>
      <c r="ED176" s="357"/>
      <c r="EE176" s="357"/>
      <c r="EF176" s="357"/>
      <c r="EG176" s="357"/>
      <c r="EH176" s="357"/>
      <c r="EI176" s="357"/>
      <c r="EJ176" s="357"/>
      <c r="EK176" s="357"/>
      <c r="EL176" s="357"/>
      <c r="EM176" s="357"/>
      <c r="EN176" s="357"/>
      <c r="EO176" s="357"/>
      <c r="EP176" s="357"/>
      <c r="EQ176" s="357"/>
      <c r="ER176" s="357"/>
      <c r="ES176" s="357"/>
      <c r="ET176" s="357"/>
      <c r="EU176" s="357"/>
      <c r="EV176" s="357"/>
      <c r="EW176" s="357"/>
      <c r="EX176" s="357"/>
      <c r="EY176" s="357"/>
      <c r="EZ176" s="357"/>
      <c r="FA176" s="357"/>
      <c r="FB176" s="357"/>
      <c r="FC176" s="357"/>
      <c r="FD176" s="357"/>
      <c r="FE176" s="357"/>
      <c r="FF176" s="357"/>
      <c r="FG176" s="357"/>
      <c r="FH176" s="357"/>
      <c r="FI176" s="357"/>
      <c r="FJ176" s="357"/>
      <c r="FK176" s="357"/>
      <c r="FL176" s="357"/>
      <c r="FM176" s="357"/>
      <c r="FN176" s="357"/>
      <c r="FO176" s="357"/>
      <c r="FP176" s="357"/>
      <c r="FQ176" s="357"/>
      <c r="FR176" s="357"/>
      <c r="FS176" s="357"/>
      <c r="FT176" s="357"/>
      <c r="FU176" s="357"/>
      <c r="FV176" s="357"/>
      <c r="FW176" s="357"/>
      <c r="FX176" s="357"/>
      <c r="FY176" s="357"/>
      <c r="FZ176" s="357"/>
      <c r="GA176" s="357"/>
      <c r="GB176" s="357"/>
      <c r="GC176" s="357"/>
      <c r="GD176" s="357"/>
      <c r="GE176" s="357"/>
      <c r="GF176" s="357"/>
      <c r="GG176" s="357"/>
      <c r="GH176" s="357"/>
      <c r="GI176" s="357"/>
      <c r="GJ176" s="357"/>
      <c r="GK176" s="154"/>
      <c r="GL176" s="154"/>
      <c r="GM176" s="154"/>
      <c r="GN176" s="154"/>
      <c r="GO176" s="154"/>
      <c r="GP176" s="154"/>
      <c r="GQ176" s="154"/>
      <c r="GR176" s="154"/>
      <c r="GS176" s="154"/>
      <c r="GT176" s="154"/>
      <c r="GU176" s="154"/>
      <c r="GV176" s="154"/>
      <c r="GW176" s="154"/>
      <c r="GX176" s="154"/>
    </row>
    <row r="177" spans="7:206">
      <c r="G177" s="154"/>
      <c r="H177" s="154"/>
      <c r="I177" s="154"/>
      <c r="J177" s="154"/>
      <c r="K177" s="154"/>
      <c r="L177" s="154"/>
      <c r="M177" s="154"/>
      <c r="N177" s="154"/>
      <c r="O177" s="154"/>
      <c r="P177" s="154"/>
      <c r="Q177" s="154"/>
      <c r="R177" s="154"/>
      <c r="S177" s="154"/>
      <c r="T177" s="154"/>
      <c r="U177" s="154"/>
      <c r="V177" s="154"/>
      <c r="W177" s="154"/>
      <c r="X177" s="154"/>
      <c r="Y177" s="154"/>
      <c r="Z177" s="357"/>
      <c r="AA177" s="357"/>
      <c r="AB177" s="357"/>
      <c r="AC177" s="357"/>
      <c r="AD177" s="357"/>
      <c r="AE177" s="357"/>
      <c r="AF177" s="357"/>
      <c r="AG177" s="357"/>
      <c r="AH177" s="357"/>
      <c r="AI177" s="357"/>
      <c r="AJ177" s="357"/>
      <c r="AK177" s="357"/>
      <c r="AL177" s="357"/>
      <c r="AM177" s="357"/>
      <c r="AN177" s="357"/>
      <c r="AO177" s="357"/>
      <c r="AP177" s="357"/>
      <c r="AQ177" s="357"/>
      <c r="AR177" s="357"/>
      <c r="AS177" s="357"/>
      <c r="AT177" s="357"/>
      <c r="AU177" s="357"/>
      <c r="AV177" s="357"/>
      <c r="AW177" s="357"/>
      <c r="AX177" s="357"/>
      <c r="AY177" s="357"/>
      <c r="AZ177" s="357"/>
      <c r="BA177" s="357"/>
      <c r="BB177" s="357"/>
      <c r="BC177" s="357"/>
      <c r="BD177" s="357"/>
      <c r="BE177" s="357"/>
      <c r="BF177" s="357"/>
      <c r="BG177" s="357"/>
      <c r="BH177" s="357"/>
      <c r="BI177" s="357"/>
      <c r="BJ177" s="357"/>
      <c r="BK177" s="357"/>
      <c r="BL177" s="357"/>
      <c r="BM177" s="357"/>
      <c r="BN177" s="357"/>
      <c r="BO177" s="357"/>
      <c r="BP177" s="357"/>
      <c r="BQ177" s="357"/>
      <c r="BR177" s="357"/>
      <c r="BS177" s="357"/>
      <c r="BT177" s="357"/>
      <c r="BU177" s="357"/>
      <c r="BV177" s="357"/>
      <c r="BW177" s="357"/>
      <c r="BX177" s="357"/>
      <c r="BY177" s="357"/>
      <c r="BZ177" s="357"/>
      <c r="CA177" s="357"/>
      <c r="CB177" s="357"/>
      <c r="CC177" s="357"/>
      <c r="CD177" s="357"/>
      <c r="CE177" s="357"/>
      <c r="CF177" s="357"/>
      <c r="CG177" s="357"/>
      <c r="CH177" s="357"/>
      <c r="CI177" s="357"/>
      <c r="CJ177" s="357"/>
      <c r="CK177" s="357"/>
      <c r="CL177" s="357"/>
      <c r="CM177" s="357"/>
      <c r="CN177" s="357"/>
      <c r="CO177" s="357"/>
      <c r="CP177" s="357"/>
      <c r="CQ177" s="357"/>
      <c r="CR177" s="357"/>
      <c r="CS177" s="357"/>
      <c r="CT177" s="357"/>
      <c r="CU177" s="357"/>
      <c r="CV177" s="357"/>
      <c r="CW177" s="357"/>
      <c r="CX177" s="357"/>
      <c r="CY177" s="357"/>
      <c r="CZ177" s="357"/>
      <c r="DA177" s="357"/>
      <c r="DB177" s="357"/>
      <c r="DC177" s="357"/>
      <c r="DD177" s="357"/>
      <c r="DE177" s="357"/>
      <c r="DF177" s="357"/>
      <c r="DG177" s="357"/>
      <c r="DH177" s="357"/>
      <c r="DI177" s="357"/>
      <c r="DJ177" s="357"/>
      <c r="DK177" s="357"/>
      <c r="DL177" s="357"/>
      <c r="DM177" s="357"/>
      <c r="DN177" s="357"/>
      <c r="DO177" s="357"/>
      <c r="DP177" s="357"/>
      <c r="DQ177" s="357"/>
      <c r="DR177" s="357"/>
      <c r="DS177" s="357"/>
      <c r="DT177" s="357"/>
      <c r="DU177" s="357"/>
      <c r="DV177" s="357"/>
      <c r="DW177" s="357"/>
      <c r="DX177" s="357"/>
      <c r="DY177" s="357"/>
      <c r="DZ177" s="357"/>
      <c r="EA177" s="357"/>
      <c r="EB177" s="357"/>
      <c r="EC177" s="357"/>
      <c r="ED177" s="357"/>
      <c r="EE177" s="357"/>
      <c r="EF177" s="357"/>
      <c r="EG177" s="357"/>
      <c r="EH177" s="357"/>
      <c r="EI177" s="357"/>
      <c r="EJ177" s="357"/>
      <c r="EK177" s="357"/>
      <c r="EL177" s="357"/>
      <c r="EM177" s="357"/>
      <c r="EN177" s="357"/>
      <c r="EO177" s="357"/>
      <c r="EP177" s="357"/>
      <c r="EQ177" s="357"/>
      <c r="ER177" s="357"/>
      <c r="ES177" s="357"/>
      <c r="ET177" s="357"/>
      <c r="EU177" s="357"/>
      <c r="EV177" s="357"/>
      <c r="EW177" s="357"/>
      <c r="EX177" s="357"/>
      <c r="EY177" s="357"/>
      <c r="EZ177" s="357"/>
      <c r="FA177" s="357"/>
      <c r="FB177" s="357"/>
      <c r="FC177" s="357"/>
      <c r="FD177" s="357"/>
      <c r="FE177" s="357"/>
      <c r="FF177" s="357"/>
      <c r="FG177" s="357"/>
      <c r="FH177" s="357"/>
      <c r="FI177" s="357"/>
      <c r="FJ177" s="357"/>
      <c r="FK177" s="357"/>
      <c r="FL177" s="357"/>
      <c r="FM177" s="357"/>
      <c r="FN177" s="357"/>
      <c r="FO177" s="357"/>
      <c r="FP177" s="357"/>
      <c r="FQ177" s="357"/>
      <c r="FR177" s="357"/>
      <c r="FS177" s="357"/>
      <c r="FT177" s="357"/>
      <c r="FU177" s="357"/>
      <c r="FV177" s="357"/>
      <c r="FW177" s="357"/>
      <c r="FX177" s="357"/>
      <c r="FY177" s="357"/>
      <c r="FZ177" s="357"/>
      <c r="GA177" s="357"/>
      <c r="GB177" s="357"/>
      <c r="GC177" s="357"/>
      <c r="GD177" s="357"/>
      <c r="GE177" s="357"/>
      <c r="GF177" s="357"/>
      <c r="GG177" s="357"/>
      <c r="GH177" s="357"/>
      <c r="GI177" s="357"/>
      <c r="GJ177" s="357"/>
      <c r="GK177" s="154"/>
      <c r="GL177" s="154"/>
      <c r="GM177" s="154"/>
      <c r="GN177" s="154"/>
      <c r="GO177" s="154"/>
      <c r="GP177" s="154"/>
      <c r="GQ177" s="154"/>
      <c r="GR177" s="154"/>
      <c r="GS177" s="154"/>
      <c r="GT177" s="154"/>
      <c r="GU177" s="154"/>
      <c r="GV177" s="154"/>
      <c r="GW177" s="154"/>
      <c r="GX177" s="154"/>
    </row>
    <row r="178" spans="7:206">
      <c r="G178" s="154"/>
      <c r="H178" s="154"/>
      <c r="I178" s="154"/>
      <c r="J178" s="154"/>
      <c r="K178" s="154"/>
      <c r="L178" s="154"/>
      <c r="M178" s="154"/>
      <c r="N178" s="154"/>
      <c r="O178" s="154"/>
      <c r="P178" s="154"/>
      <c r="Q178" s="154"/>
      <c r="R178" s="154"/>
      <c r="S178" s="154"/>
      <c r="T178" s="154"/>
      <c r="U178" s="154"/>
      <c r="V178" s="154"/>
      <c r="W178" s="154"/>
      <c r="X178" s="154"/>
      <c r="Y178" s="154"/>
      <c r="Z178" s="357"/>
      <c r="AA178" s="357"/>
      <c r="AB178" s="357"/>
      <c r="AC178" s="357"/>
      <c r="AD178" s="357"/>
      <c r="AE178" s="357"/>
      <c r="AF178" s="357"/>
      <c r="AG178" s="357"/>
      <c r="AH178" s="357"/>
      <c r="AI178" s="357"/>
      <c r="AJ178" s="357"/>
      <c r="AK178" s="357"/>
      <c r="AL178" s="357"/>
      <c r="AM178" s="357"/>
      <c r="AN178" s="357"/>
      <c r="AO178" s="357"/>
      <c r="AP178" s="357"/>
      <c r="AQ178" s="357"/>
      <c r="AR178" s="357"/>
      <c r="AS178" s="357"/>
      <c r="AT178" s="357"/>
      <c r="AU178" s="357"/>
      <c r="AV178" s="357"/>
      <c r="AW178" s="357"/>
      <c r="AX178" s="357"/>
      <c r="AY178" s="357"/>
      <c r="AZ178" s="357"/>
      <c r="BA178" s="357"/>
      <c r="BB178" s="357"/>
      <c r="BC178" s="357"/>
      <c r="BD178" s="357"/>
      <c r="BE178" s="357"/>
      <c r="BF178" s="357"/>
      <c r="BG178" s="357"/>
      <c r="BH178" s="357"/>
      <c r="BI178" s="357"/>
      <c r="BJ178" s="357"/>
      <c r="BK178" s="357"/>
      <c r="BL178" s="357"/>
      <c r="BM178" s="357"/>
      <c r="BN178" s="357"/>
      <c r="BO178" s="357"/>
      <c r="BP178" s="357"/>
      <c r="BQ178" s="357"/>
      <c r="BR178" s="357"/>
      <c r="BS178" s="357"/>
      <c r="BT178" s="357"/>
      <c r="BU178" s="357"/>
      <c r="BV178" s="357"/>
      <c r="BW178" s="357"/>
      <c r="BX178" s="357"/>
      <c r="BY178" s="357"/>
      <c r="BZ178" s="357"/>
      <c r="CA178" s="357"/>
      <c r="CB178" s="357"/>
      <c r="CC178" s="357"/>
      <c r="CD178" s="357"/>
      <c r="CE178" s="357"/>
      <c r="CF178" s="357"/>
      <c r="CG178" s="357"/>
      <c r="CH178" s="357"/>
      <c r="CI178" s="357"/>
      <c r="CJ178" s="357"/>
      <c r="CK178" s="357"/>
      <c r="CL178" s="357"/>
      <c r="CM178" s="357"/>
      <c r="CN178" s="357"/>
      <c r="CO178" s="357"/>
      <c r="CP178" s="357"/>
      <c r="CQ178" s="357"/>
      <c r="CR178" s="357"/>
      <c r="CS178" s="357"/>
      <c r="CT178" s="357"/>
      <c r="CU178" s="357"/>
      <c r="CV178" s="357"/>
      <c r="CW178" s="357"/>
      <c r="CX178" s="357"/>
      <c r="CY178" s="357"/>
      <c r="CZ178" s="357"/>
      <c r="DA178" s="357"/>
      <c r="DB178" s="357"/>
      <c r="DC178" s="357"/>
      <c r="DD178" s="357"/>
      <c r="DE178" s="357"/>
      <c r="DF178" s="357"/>
      <c r="DG178" s="357"/>
      <c r="DH178" s="357"/>
      <c r="DI178" s="357"/>
      <c r="DJ178" s="357"/>
      <c r="DK178" s="357"/>
      <c r="DL178" s="357"/>
      <c r="DM178" s="357"/>
      <c r="DN178" s="357"/>
      <c r="DO178" s="357"/>
      <c r="DP178" s="357"/>
      <c r="DQ178" s="357"/>
      <c r="DR178" s="357"/>
      <c r="DS178" s="357"/>
      <c r="DT178" s="357"/>
      <c r="DU178" s="357"/>
      <c r="DV178" s="357"/>
      <c r="DW178" s="357"/>
      <c r="DX178" s="357"/>
      <c r="DY178" s="357"/>
      <c r="DZ178" s="357"/>
      <c r="EA178" s="357"/>
      <c r="EB178" s="357"/>
      <c r="EC178" s="357"/>
      <c r="ED178" s="357"/>
      <c r="EE178" s="357"/>
      <c r="EF178" s="357"/>
      <c r="EG178" s="357"/>
      <c r="EH178" s="357"/>
      <c r="EI178" s="357"/>
      <c r="EJ178" s="357"/>
      <c r="EK178" s="357"/>
      <c r="EL178" s="357"/>
      <c r="EM178" s="357"/>
      <c r="EN178" s="357"/>
      <c r="EO178" s="357"/>
      <c r="EP178" s="357"/>
      <c r="EQ178" s="357"/>
      <c r="ER178" s="357"/>
      <c r="ES178" s="357"/>
      <c r="ET178" s="357"/>
      <c r="EU178" s="357"/>
      <c r="EV178" s="357"/>
      <c r="EW178" s="357"/>
      <c r="EX178" s="357"/>
      <c r="EY178" s="357"/>
      <c r="EZ178" s="357"/>
      <c r="FA178" s="357"/>
      <c r="FB178" s="357"/>
      <c r="FC178" s="357"/>
      <c r="FD178" s="357"/>
      <c r="FE178" s="357"/>
      <c r="FF178" s="357"/>
      <c r="FG178" s="357"/>
      <c r="FH178" s="357"/>
      <c r="FI178" s="357"/>
      <c r="FJ178" s="357"/>
      <c r="FK178" s="357"/>
      <c r="FL178" s="357"/>
      <c r="FM178" s="357"/>
      <c r="FN178" s="357"/>
      <c r="FO178" s="357"/>
      <c r="FP178" s="357"/>
      <c r="FQ178" s="357"/>
      <c r="FR178" s="357"/>
      <c r="FS178" s="357"/>
      <c r="FT178" s="357"/>
      <c r="FU178" s="357"/>
      <c r="FV178" s="357"/>
      <c r="FW178" s="357"/>
      <c r="FX178" s="357"/>
      <c r="FY178" s="357"/>
      <c r="FZ178" s="357"/>
      <c r="GA178" s="357"/>
      <c r="GB178" s="357"/>
      <c r="GC178" s="357"/>
      <c r="GD178" s="357"/>
      <c r="GE178" s="357"/>
      <c r="GF178" s="357"/>
      <c r="GG178" s="357"/>
      <c r="GH178" s="357"/>
      <c r="GI178" s="357"/>
      <c r="GJ178" s="357"/>
      <c r="GK178" s="154"/>
      <c r="GL178" s="154"/>
      <c r="GM178" s="154"/>
      <c r="GN178" s="154"/>
      <c r="GO178" s="154"/>
      <c r="GP178" s="154"/>
      <c r="GQ178" s="154"/>
      <c r="GR178" s="154"/>
      <c r="GS178" s="154"/>
      <c r="GT178" s="154"/>
      <c r="GU178" s="154"/>
      <c r="GV178" s="154"/>
      <c r="GW178" s="154"/>
      <c r="GX178" s="154"/>
    </row>
    <row r="179" spans="7:206">
      <c r="G179" s="154"/>
      <c r="H179" s="154"/>
      <c r="I179" s="154"/>
      <c r="J179" s="154"/>
      <c r="K179" s="154"/>
      <c r="L179" s="154"/>
      <c r="M179" s="154"/>
      <c r="N179" s="154"/>
      <c r="O179" s="154"/>
      <c r="P179" s="154"/>
      <c r="Q179" s="154"/>
      <c r="R179" s="154"/>
      <c r="S179" s="154"/>
      <c r="T179" s="154"/>
      <c r="U179" s="154"/>
      <c r="V179" s="154"/>
      <c r="W179" s="154"/>
      <c r="X179" s="154"/>
      <c r="Y179" s="154"/>
      <c r="Z179" s="357"/>
      <c r="AA179" s="357"/>
      <c r="AB179" s="357"/>
      <c r="AC179" s="357"/>
      <c r="AD179" s="357"/>
      <c r="AE179" s="357"/>
      <c r="AF179" s="357"/>
      <c r="AG179" s="357"/>
      <c r="AH179" s="357"/>
      <c r="AI179" s="357"/>
      <c r="AJ179" s="357"/>
      <c r="AK179" s="357"/>
      <c r="AL179" s="357"/>
      <c r="AM179" s="357"/>
      <c r="AN179" s="357"/>
      <c r="AO179" s="357"/>
      <c r="AP179" s="357"/>
      <c r="AQ179" s="357"/>
      <c r="AR179" s="357"/>
      <c r="AS179" s="357"/>
      <c r="AT179" s="357"/>
      <c r="AU179" s="357"/>
      <c r="AV179" s="357"/>
      <c r="AW179" s="357"/>
      <c r="AX179" s="357"/>
      <c r="AY179" s="357"/>
      <c r="AZ179" s="357"/>
      <c r="BA179" s="357"/>
      <c r="BB179" s="357"/>
      <c r="BC179" s="357"/>
      <c r="BD179" s="357"/>
      <c r="BE179" s="357"/>
      <c r="BF179" s="357"/>
      <c r="BG179" s="357"/>
      <c r="BH179" s="357"/>
      <c r="BI179" s="357"/>
      <c r="BJ179" s="357"/>
      <c r="BK179" s="357"/>
      <c r="BL179" s="357"/>
      <c r="BM179" s="357"/>
      <c r="BN179" s="357"/>
      <c r="BO179" s="357"/>
      <c r="BP179" s="357"/>
      <c r="BQ179" s="357"/>
      <c r="BR179" s="357"/>
      <c r="BS179" s="357"/>
      <c r="BT179" s="357"/>
      <c r="BU179" s="357"/>
      <c r="BV179" s="357"/>
      <c r="BW179" s="357"/>
      <c r="BX179" s="357"/>
      <c r="BY179" s="357"/>
      <c r="BZ179" s="357"/>
      <c r="CA179" s="357"/>
      <c r="CB179" s="357"/>
      <c r="CC179" s="357"/>
      <c r="CD179" s="357"/>
      <c r="CE179" s="357"/>
      <c r="CF179" s="357"/>
      <c r="CG179" s="357"/>
      <c r="CH179" s="357"/>
      <c r="CI179" s="357"/>
      <c r="CJ179" s="357"/>
      <c r="CK179" s="357"/>
      <c r="CL179" s="357"/>
      <c r="CM179" s="357"/>
      <c r="CN179" s="357"/>
      <c r="CO179" s="357"/>
      <c r="CP179" s="357"/>
      <c r="CQ179" s="357"/>
      <c r="CR179" s="357"/>
      <c r="CS179" s="357"/>
      <c r="CT179" s="357"/>
      <c r="CU179" s="357"/>
      <c r="CV179" s="357"/>
      <c r="CW179" s="357"/>
      <c r="CX179" s="357"/>
      <c r="CY179" s="357"/>
      <c r="CZ179" s="357"/>
      <c r="DA179" s="357"/>
      <c r="DB179" s="357"/>
      <c r="DC179" s="357"/>
      <c r="DD179" s="357"/>
      <c r="DE179" s="357"/>
      <c r="DF179" s="357"/>
      <c r="DG179" s="357"/>
      <c r="DH179" s="357"/>
      <c r="DI179" s="357"/>
      <c r="DJ179" s="357"/>
      <c r="DK179" s="357"/>
      <c r="DL179" s="357"/>
      <c r="DM179" s="357"/>
      <c r="DN179" s="357"/>
      <c r="DO179" s="357"/>
      <c r="DP179" s="357"/>
      <c r="DQ179" s="357"/>
      <c r="DR179" s="357"/>
      <c r="DS179" s="357"/>
      <c r="DT179" s="357"/>
      <c r="DU179" s="357"/>
      <c r="DV179" s="357"/>
      <c r="DW179" s="357"/>
      <c r="DX179" s="357"/>
      <c r="DY179" s="357"/>
      <c r="DZ179" s="357"/>
      <c r="EA179" s="357"/>
      <c r="EB179" s="357"/>
      <c r="EC179" s="357"/>
      <c r="ED179" s="357"/>
      <c r="EE179" s="357"/>
      <c r="EF179" s="357"/>
      <c r="EG179" s="357"/>
      <c r="EH179" s="357"/>
      <c r="EI179" s="357"/>
      <c r="EJ179" s="357"/>
      <c r="EK179" s="357"/>
      <c r="EL179" s="357"/>
      <c r="EM179" s="357"/>
      <c r="EN179" s="357"/>
      <c r="EO179" s="357"/>
      <c r="EP179" s="357"/>
      <c r="EQ179" s="357"/>
      <c r="ER179" s="357"/>
      <c r="ES179" s="357"/>
      <c r="ET179" s="357"/>
      <c r="EU179" s="357"/>
      <c r="EV179" s="357"/>
      <c r="EW179" s="357"/>
      <c r="EX179" s="357"/>
      <c r="EY179" s="357"/>
      <c r="EZ179" s="357"/>
      <c r="FA179" s="357"/>
      <c r="FB179" s="357"/>
      <c r="FC179" s="357"/>
      <c r="FD179" s="357"/>
      <c r="FE179" s="357"/>
      <c r="FF179" s="357"/>
      <c r="FG179" s="357"/>
      <c r="FH179" s="357"/>
      <c r="FI179" s="357"/>
      <c r="FJ179" s="357"/>
      <c r="FK179" s="357"/>
      <c r="FL179" s="357"/>
      <c r="FM179" s="357"/>
      <c r="FN179" s="357"/>
      <c r="FO179" s="357"/>
      <c r="FP179" s="357"/>
      <c r="FQ179" s="357"/>
      <c r="FR179" s="357"/>
      <c r="FS179" s="357"/>
      <c r="FT179" s="357"/>
      <c r="FU179" s="357"/>
      <c r="FV179" s="357"/>
      <c r="FW179" s="357"/>
      <c r="FX179" s="357"/>
      <c r="FY179" s="357"/>
      <c r="FZ179" s="357"/>
      <c r="GA179" s="357"/>
      <c r="GB179" s="357"/>
      <c r="GC179" s="357"/>
      <c r="GD179" s="357"/>
      <c r="GE179" s="357"/>
      <c r="GF179" s="357"/>
      <c r="GG179" s="357"/>
      <c r="GH179" s="357"/>
      <c r="GI179" s="357"/>
      <c r="GJ179" s="357"/>
      <c r="GK179" s="154"/>
      <c r="GL179" s="154"/>
      <c r="GM179" s="154"/>
      <c r="GN179" s="154"/>
      <c r="GO179" s="154"/>
      <c r="GP179" s="154"/>
      <c r="GQ179" s="154"/>
      <c r="GR179" s="154"/>
      <c r="GS179" s="154"/>
      <c r="GT179" s="154"/>
      <c r="GU179" s="154"/>
      <c r="GV179" s="154"/>
      <c r="GW179" s="154"/>
      <c r="GX179" s="154"/>
    </row>
    <row r="180" spans="7:206">
      <c r="G180" s="154"/>
      <c r="H180" s="154"/>
      <c r="I180" s="154"/>
      <c r="J180" s="154"/>
      <c r="K180" s="154"/>
      <c r="L180" s="154"/>
      <c r="M180" s="154"/>
      <c r="N180" s="154"/>
      <c r="O180" s="154"/>
      <c r="P180" s="154"/>
      <c r="Q180" s="154"/>
      <c r="R180" s="154"/>
      <c r="S180" s="154"/>
      <c r="T180" s="154"/>
      <c r="U180" s="154"/>
      <c r="V180" s="154"/>
      <c r="W180" s="154"/>
      <c r="X180" s="154"/>
      <c r="Y180" s="154"/>
      <c r="Z180" s="357"/>
      <c r="AA180" s="357"/>
      <c r="AB180" s="357"/>
      <c r="AC180" s="357"/>
      <c r="AD180" s="357"/>
      <c r="AE180" s="357"/>
      <c r="AF180" s="357"/>
      <c r="AG180" s="357"/>
      <c r="AH180" s="357"/>
      <c r="AI180" s="357"/>
      <c r="AJ180" s="357"/>
      <c r="AK180" s="357"/>
      <c r="AL180" s="357"/>
      <c r="AM180" s="357"/>
      <c r="AN180" s="357"/>
      <c r="AO180" s="357"/>
      <c r="AP180" s="357"/>
      <c r="AQ180" s="357"/>
      <c r="AR180" s="357"/>
      <c r="AS180" s="357"/>
      <c r="AT180" s="357"/>
      <c r="AU180" s="357"/>
      <c r="AV180" s="357"/>
      <c r="AW180" s="357"/>
      <c r="AX180" s="357"/>
      <c r="AY180" s="357"/>
      <c r="AZ180" s="357"/>
      <c r="BA180" s="357"/>
      <c r="BB180" s="357"/>
      <c r="BC180" s="357"/>
      <c r="BD180" s="357"/>
      <c r="BE180" s="357"/>
      <c r="BF180" s="357"/>
      <c r="BG180" s="357"/>
      <c r="BH180" s="357"/>
      <c r="BI180" s="357"/>
      <c r="BJ180" s="357"/>
      <c r="BK180" s="357"/>
      <c r="BL180" s="357"/>
      <c r="BM180" s="357"/>
      <c r="BN180" s="357"/>
      <c r="BO180" s="357"/>
      <c r="BP180" s="357"/>
      <c r="BQ180" s="357"/>
      <c r="BR180" s="357"/>
      <c r="BS180" s="357"/>
      <c r="BT180" s="357"/>
      <c r="BU180" s="357"/>
      <c r="BV180" s="357"/>
      <c r="BW180" s="357"/>
      <c r="BX180" s="357"/>
      <c r="BY180" s="357"/>
      <c r="BZ180" s="357"/>
      <c r="CA180" s="357"/>
      <c r="CB180" s="357"/>
      <c r="CC180" s="357"/>
      <c r="CD180" s="357"/>
      <c r="CE180" s="357"/>
      <c r="CF180" s="357"/>
      <c r="CG180" s="357"/>
      <c r="CH180" s="357"/>
      <c r="CI180" s="357"/>
      <c r="CJ180" s="357"/>
      <c r="CK180" s="357"/>
      <c r="CL180" s="357"/>
      <c r="CM180" s="357"/>
      <c r="CN180" s="357"/>
      <c r="CO180" s="357"/>
      <c r="CP180" s="357"/>
      <c r="CQ180" s="357"/>
      <c r="CR180" s="357"/>
      <c r="CS180" s="357"/>
      <c r="CT180" s="357"/>
      <c r="CU180" s="357"/>
      <c r="CV180" s="357"/>
      <c r="CW180" s="357"/>
      <c r="CX180" s="357"/>
      <c r="CY180" s="357"/>
      <c r="CZ180" s="357"/>
      <c r="DA180" s="357"/>
      <c r="DB180" s="357"/>
      <c r="DC180" s="357"/>
      <c r="DD180" s="357"/>
      <c r="DE180" s="357"/>
      <c r="DF180" s="357"/>
      <c r="DG180" s="357"/>
      <c r="DH180" s="357"/>
      <c r="DI180" s="357"/>
      <c r="DJ180" s="357"/>
      <c r="DK180" s="357"/>
      <c r="DL180" s="357"/>
      <c r="DM180" s="357"/>
      <c r="DN180" s="357"/>
      <c r="DO180" s="357"/>
      <c r="DP180" s="357"/>
      <c r="DQ180" s="357"/>
      <c r="DR180" s="357"/>
      <c r="DS180" s="357"/>
      <c r="DT180" s="357"/>
      <c r="DU180" s="357"/>
      <c r="DV180" s="357"/>
      <c r="DW180" s="357"/>
      <c r="DX180" s="357"/>
      <c r="DY180" s="357"/>
      <c r="DZ180" s="357"/>
      <c r="EA180" s="357"/>
      <c r="EB180" s="357"/>
      <c r="EC180" s="357"/>
      <c r="ED180" s="357"/>
      <c r="EE180" s="357"/>
      <c r="EF180" s="357"/>
      <c r="EG180" s="357"/>
      <c r="EH180" s="357"/>
      <c r="EI180" s="357"/>
      <c r="EJ180" s="357"/>
      <c r="EK180" s="357"/>
      <c r="EL180" s="357"/>
      <c r="EM180" s="357"/>
      <c r="EN180" s="357"/>
      <c r="EO180" s="357"/>
      <c r="EP180" s="357"/>
      <c r="EQ180" s="357"/>
      <c r="ER180" s="357"/>
      <c r="ES180" s="357"/>
      <c r="ET180" s="357"/>
      <c r="EU180" s="357"/>
      <c r="EV180" s="357"/>
      <c r="EW180" s="357"/>
      <c r="EX180" s="357"/>
      <c r="EY180" s="357"/>
      <c r="EZ180" s="357"/>
      <c r="FA180" s="357"/>
      <c r="FB180" s="357"/>
      <c r="FC180" s="357"/>
      <c r="FD180" s="357"/>
      <c r="FE180" s="357"/>
      <c r="FF180" s="357"/>
      <c r="FG180" s="357"/>
      <c r="FH180" s="357"/>
      <c r="FI180" s="357"/>
      <c r="FJ180" s="357"/>
      <c r="FK180" s="357"/>
      <c r="FL180" s="357"/>
      <c r="FM180" s="357"/>
      <c r="FN180" s="357"/>
      <c r="FO180" s="357"/>
      <c r="FP180" s="357"/>
      <c r="FQ180" s="357"/>
      <c r="FR180" s="357"/>
      <c r="FS180" s="357"/>
      <c r="FT180" s="357"/>
      <c r="FU180" s="357"/>
      <c r="FV180" s="357"/>
      <c r="FW180" s="357"/>
      <c r="FX180" s="357"/>
      <c r="FY180" s="357"/>
      <c r="FZ180" s="357"/>
      <c r="GA180" s="357"/>
      <c r="GB180" s="357"/>
      <c r="GC180" s="357"/>
      <c r="GD180" s="357"/>
      <c r="GE180" s="357"/>
      <c r="GF180" s="357"/>
      <c r="GG180" s="357"/>
      <c r="GH180" s="357"/>
      <c r="GI180" s="357"/>
      <c r="GJ180" s="357"/>
      <c r="GK180" s="154"/>
      <c r="GL180" s="154"/>
      <c r="GM180" s="154"/>
      <c r="GN180" s="154"/>
      <c r="GO180" s="154"/>
      <c r="GP180" s="154"/>
      <c r="GQ180" s="154"/>
      <c r="GR180" s="154"/>
      <c r="GS180" s="154"/>
      <c r="GT180" s="154"/>
      <c r="GU180" s="154"/>
      <c r="GV180" s="154"/>
      <c r="GW180" s="154"/>
      <c r="GX180" s="154"/>
    </row>
    <row r="181" spans="7:206">
      <c r="G181" s="154"/>
      <c r="H181" s="154"/>
      <c r="I181" s="154"/>
      <c r="J181" s="154"/>
      <c r="K181" s="154"/>
      <c r="L181" s="154"/>
      <c r="M181" s="154"/>
      <c r="N181" s="154"/>
      <c r="O181" s="154"/>
      <c r="P181" s="154"/>
      <c r="Q181" s="154"/>
      <c r="R181" s="154"/>
      <c r="S181" s="154"/>
      <c r="T181" s="154"/>
      <c r="U181" s="154"/>
      <c r="V181" s="154"/>
      <c r="W181" s="154"/>
      <c r="X181" s="154"/>
      <c r="Y181" s="154"/>
      <c r="Z181" s="357"/>
      <c r="AA181" s="357"/>
      <c r="AB181" s="357"/>
      <c r="AC181" s="357"/>
      <c r="AD181" s="357"/>
      <c r="AE181" s="357"/>
      <c r="AF181" s="357"/>
      <c r="AG181" s="357"/>
      <c r="AH181" s="357"/>
      <c r="AI181" s="357"/>
      <c r="AJ181" s="357"/>
      <c r="AK181" s="357"/>
      <c r="AL181" s="357"/>
      <c r="AM181" s="357"/>
      <c r="AN181" s="357"/>
      <c r="AO181" s="357"/>
      <c r="AP181" s="357"/>
      <c r="AQ181" s="357"/>
      <c r="AR181" s="357"/>
      <c r="AS181" s="357"/>
      <c r="AT181" s="357"/>
      <c r="AU181" s="357"/>
      <c r="AV181" s="357"/>
      <c r="AW181" s="357"/>
      <c r="AX181" s="357"/>
      <c r="AY181" s="357"/>
      <c r="AZ181" s="357"/>
      <c r="BA181" s="357"/>
      <c r="BB181" s="357"/>
      <c r="BC181" s="357"/>
      <c r="BD181" s="357"/>
      <c r="BE181" s="357"/>
      <c r="BF181" s="357"/>
      <c r="BG181" s="357"/>
      <c r="BH181" s="357"/>
      <c r="BI181" s="357"/>
      <c r="BJ181" s="357"/>
      <c r="BK181" s="357"/>
      <c r="BL181" s="357"/>
      <c r="BM181" s="357"/>
      <c r="BN181" s="357"/>
      <c r="BO181" s="357"/>
      <c r="BP181" s="357"/>
      <c r="BQ181" s="357"/>
      <c r="BR181" s="357"/>
      <c r="BS181" s="357"/>
      <c r="BT181" s="357"/>
      <c r="BU181" s="357"/>
      <c r="BV181" s="357"/>
      <c r="BW181" s="357"/>
      <c r="BX181" s="357"/>
      <c r="BY181" s="357"/>
      <c r="BZ181" s="357"/>
      <c r="CA181" s="357"/>
      <c r="CB181" s="357"/>
      <c r="CC181" s="357"/>
      <c r="CD181" s="357"/>
      <c r="CE181" s="357"/>
      <c r="CF181" s="357"/>
      <c r="CG181" s="357"/>
      <c r="CH181" s="357"/>
      <c r="CI181" s="357"/>
      <c r="CJ181" s="357"/>
      <c r="CK181" s="357"/>
      <c r="CL181" s="357"/>
      <c r="CM181" s="357"/>
      <c r="CN181" s="357"/>
      <c r="CO181" s="357"/>
      <c r="CP181" s="357"/>
      <c r="CQ181" s="357"/>
      <c r="CR181" s="357"/>
      <c r="CS181" s="357"/>
      <c r="CT181" s="357"/>
      <c r="CU181" s="357"/>
      <c r="CV181" s="357"/>
      <c r="CW181" s="357"/>
      <c r="CX181" s="357"/>
      <c r="CY181" s="357"/>
      <c r="CZ181" s="357"/>
      <c r="DA181" s="357"/>
      <c r="DB181" s="357"/>
      <c r="DC181" s="357"/>
      <c r="DD181" s="357"/>
      <c r="DE181" s="357"/>
      <c r="DF181" s="357"/>
      <c r="DG181" s="357"/>
      <c r="DH181" s="357"/>
      <c r="DI181" s="357"/>
      <c r="DJ181" s="357"/>
      <c r="DK181" s="357"/>
      <c r="DL181" s="357"/>
      <c r="DM181" s="357"/>
      <c r="DN181" s="357"/>
      <c r="DO181" s="357"/>
      <c r="DP181" s="357"/>
      <c r="DQ181" s="357"/>
      <c r="DR181" s="357"/>
      <c r="DS181" s="357"/>
      <c r="DT181" s="357"/>
      <c r="DU181" s="357"/>
      <c r="DV181" s="357"/>
      <c r="DW181" s="357"/>
      <c r="DX181" s="357"/>
      <c r="DY181" s="357"/>
      <c r="DZ181" s="357"/>
      <c r="EA181" s="357"/>
      <c r="EB181" s="357"/>
      <c r="EC181" s="357"/>
      <c r="ED181" s="357"/>
      <c r="EE181" s="357"/>
      <c r="EF181" s="357"/>
      <c r="EG181" s="357"/>
      <c r="EH181" s="357"/>
      <c r="EI181" s="357"/>
      <c r="EJ181" s="357"/>
      <c r="EK181" s="357"/>
      <c r="EL181" s="357"/>
      <c r="EM181" s="357"/>
      <c r="EN181" s="357"/>
      <c r="EO181" s="357"/>
      <c r="EP181" s="357"/>
      <c r="EQ181" s="357"/>
      <c r="ER181" s="357"/>
      <c r="ES181" s="357"/>
      <c r="ET181" s="357"/>
      <c r="EU181" s="357"/>
      <c r="EV181" s="357"/>
      <c r="EW181" s="357"/>
      <c r="EX181" s="357"/>
      <c r="EY181" s="357"/>
      <c r="EZ181" s="357"/>
      <c r="FA181" s="357"/>
      <c r="FB181" s="357"/>
      <c r="FC181" s="357"/>
      <c r="FD181" s="357"/>
      <c r="FE181" s="357"/>
      <c r="FF181" s="357"/>
      <c r="FG181" s="357"/>
      <c r="FH181" s="357"/>
      <c r="FI181" s="357"/>
      <c r="FJ181" s="357"/>
      <c r="FK181" s="357"/>
      <c r="FL181" s="357"/>
      <c r="FM181" s="357"/>
      <c r="FN181" s="357"/>
      <c r="FO181" s="357"/>
      <c r="FP181" s="357"/>
      <c r="FQ181" s="357"/>
      <c r="FR181" s="357"/>
      <c r="FS181" s="357"/>
      <c r="FT181" s="357"/>
      <c r="FU181" s="357"/>
      <c r="FV181" s="357"/>
      <c r="FW181" s="357"/>
      <c r="FX181" s="357"/>
      <c r="FY181" s="357"/>
      <c r="FZ181" s="357"/>
      <c r="GA181" s="357"/>
      <c r="GB181" s="357"/>
      <c r="GC181" s="357"/>
      <c r="GD181" s="357"/>
      <c r="GE181" s="357"/>
      <c r="GF181" s="357"/>
      <c r="GG181" s="357"/>
      <c r="GH181" s="357"/>
      <c r="GI181" s="357"/>
      <c r="GJ181" s="357"/>
      <c r="GK181" s="154"/>
      <c r="GL181" s="154"/>
      <c r="GM181" s="154"/>
      <c r="GN181" s="154"/>
      <c r="GO181" s="154"/>
      <c r="GP181" s="154"/>
      <c r="GQ181" s="154"/>
      <c r="GR181" s="154"/>
      <c r="GS181" s="154"/>
      <c r="GT181" s="154"/>
      <c r="GU181" s="154"/>
      <c r="GV181" s="154"/>
      <c r="GW181" s="154"/>
      <c r="GX181" s="154"/>
    </row>
    <row r="182" spans="7:206">
      <c r="G182" s="154"/>
      <c r="H182" s="154"/>
      <c r="I182" s="154"/>
      <c r="J182" s="154"/>
      <c r="K182" s="154"/>
      <c r="L182" s="154"/>
      <c r="M182" s="154"/>
      <c r="N182" s="154"/>
      <c r="O182" s="154"/>
      <c r="P182" s="154"/>
      <c r="Q182" s="154"/>
      <c r="R182" s="154"/>
      <c r="S182" s="154"/>
      <c r="T182" s="154"/>
      <c r="U182" s="154"/>
      <c r="V182" s="154"/>
      <c r="W182" s="154"/>
      <c r="X182" s="154"/>
      <c r="Y182" s="154"/>
      <c r="Z182" s="357"/>
      <c r="AA182" s="357"/>
      <c r="AB182" s="357"/>
      <c r="AC182" s="357"/>
      <c r="AD182" s="357"/>
      <c r="AE182" s="357"/>
      <c r="AF182" s="357"/>
      <c r="AG182" s="357"/>
      <c r="AH182" s="357"/>
      <c r="AI182" s="357"/>
      <c r="AJ182" s="357"/>
      <c r="AK182" s="357"/>
      <c r="AL182" s="357"/>
      <c r="AM182" s="357"/>
      <c r="AN182" s="357"/>
      <c r="AO182" s="357"/>
      <c r="AP182" s="357"/>
      <c r="AQ182" s="357"/>
      <c r="AR182" s="357"/>
      <c r="AS182" s="357"/>
      <c r="AT182" s="357"/>
      <c r="AU182" s="357"/>
      <c r="AV182" s="357"/>
      <c r="AW182" s="357"/>
      <c r="AX182" s="357"/>
      <c r="AY182" s="357"/>
      <c r="AZ182" s="357"/>
      <c r="BA182" s="357"/>
      <c r="BB182" s="357"/>
      <c r="BC182" s="357"/>
      <c r="BD182" s="357"/>
      <c r="BE182" s="357"/>
      <c r="BF182" s="357"/>
      <c r="BG182" s="357"/>
      <c r="BH182" s="357"/>
      <c r="BI182" s="357"/>
      <c r="BJ182" s="357"/>
      <c r="BK182" s="357"/>
      <c r="BL182" s="357"/>
      <c r="BM182" s="357"/>
      <c r="BN182" s="357"/>
      <c r="BO182" s="357"/>
      <c r="BP182" s="357"/>
      <c r="BQ182" s="357"/>
      <c r="BR182" s="357"/>
      <c r="BS182" s="357"/>
      <c r="BT182" s="357"/>
      <c r="BU182" s="357"/>
      <c r="BV182" s="357"/>
      <c r="BW182" s="357"/>
      <c r="BX182" s="357"/>
      <c r="BY182" s="357"/>
      <c r="BZ182" s="357"/>
      <c r="CA182" s="357"/>
      <c r="CB182" s="357"/>
      <c r="CC182" s="357"/>
      <c r="CD182" s="357"/>
      <c r="CE182" s="357"/>
      <c r="CF182" s="357"/>
      <c r="CG182" s="357"/>
      <c r="CH182" s="357"/>
      <c r="CI182" s="357"/>
      <c r="CJ182" s="357"/>
      <c r="CK182" s="357"/>
      <c r="CL182" s="357"/>
      <c r="CM182" s="357"/>
      <c r="CN182" s="357"/>
      <c r="CO182" s="357"/>
      <c r="CP182" s="357"/>
      <c r="CQ182" s="357"/>
      <c r="CR182" s="357"/>
      <c r="CS182" s="357"/>
      <c r="CT182" s="357"/>
      <c r="CU182" s="357"/>
      <c r="CV182" s="357"/>
      <c r="CW182" s="357"/>
      <c r="CX182" s="357"/>
      <c r="CY182" s="357"/>
      <c r="CZ182" s="357"/>
      <c r="DA182" s="357"/>
      <c r="DB182" s="357"/>
      <c r="DC182" s="357"/>
      <c r="DD182" s="357"/>
      <c r="DE182" s="357"/>
      <c r="DF182" s="357"/>
      <c r="DG182" s="357"/>
      <c r="DH182" s="357"/>
      <c r="DI182" s="357"/>
      <c r="DJ182" s="357"/>
      <c r="DK182" s="357"/>
      <c r="DL182" s="357"/>
      <c r="DM182" s="357"/>
      <c r="DN182" s="357"/>
      <c r="DO182" s="357"/>
      <c r="DP182" s="357"/>
      <c r="DQ182" s="357"/>
      <c r="DR182" s="357"/>
      <c r="DS182" s="357"/>
      <c r="DT182" s="357"/>
      <c r="DU182" s="357"/>
      <c r="DV182" s="357"/>
      <c r="DW182" s="357"/>
      <c r="DX182" s="357"/>
      <c r="DY182" s="357"/>
      <c r="DZ182" s="357"/>
      <c r="EA182" s="357"/>
      <c r="EB182" s="357"/>
      <c r="EC182" s="357"/>
      <c r="ED182" s="357"/>
      <c r="EE182" s="357"/>
      <c r="EF182" s="357"/>
      <c r="EG182" s="357"/>
      <c r="EH182" s="357"/>
      <c r="EI182" s="357"/>
      <c r="EJ182" s="357"/>
      <c r="EK182" s="357"/>
      <c r="EL182" s="357"/>
      <c r="EM182" s="357"/>
      <c r="EN182" s="357"/>
      <c r="EO182" s="357"/>
      <c r="EP182" s="357"/>
      <c r="EQ182" s="357"/>
      <c r="ER182" s="357"/>
      <c r="ES182" s="357"/>
      <c r="ET182" s="357"/>
      <c r="EU182" s="357"/>
      <c r="EV182" s="357"/>
      <c r="EW182" s="357"/>
      <c r="EX182" s="357"/>
      <c r="EY182" s="357"/>
      <c r="EZ182" s="357"/>
      <c r="FA182" s="357"/>
      <c r="FB182" s="357"/>
      <c r="FC182" s="357"/>
      <c r="FD182" s="357"/>
      <c r="FE182" s="357"/>
      <c r="FF182" s="357"/>
      <c r="FG182" s="357"/>
      <c r="FH182" s="357"/>
      <c r="FI182" s="357"/>
      <c r="FJ182" s="357"/>
      <c r="FK182" s="357"/>
      <c r="FL182" s="357"/>
      <c r="FM182" s="357"/>
      <c r="FN182" s="357"/>
      <c r="FO182" s="357"/>
      <c r="FP182" s="357"/>
      <c r="FQ182" s="357"/>
      <c r="FR182" s="357"/>
      <c r="FS182" s="357"/>
      <c r="FT182" s="357"/>
      <c r="FU182" s="357"/>
      <c r="FV182" s="357"/>
      <c r="FW182" s="357"/>
      <c r="FX182" s="357"/>
      <c r="FY182" s="357"/>
      <c r="FZ182" s="357"/>
      <c r="GA182" s="357"/>
      <c r="GB182" s="357"/>
      <c r="GC182" s="357"/>
      <c r="GD182" s="357"/>
      <c r="GE182" s="357"/>
      <c r="GF182" s="357"/>
      <c r="GG182" s="357"/>
      <c r="GH182" s="357"/>
      <c r="GI182" s="357"/>
      <c r="GJ182" s="357"/>
      <c r="GK182" s="154"/>
      <c r="GL182" s="154"/>
      <c r="GM182" s="154"/>
      <c r="GN182" s="154"/>
      <c r="GO182" s="154"/>
      <c r="GP182" s="154"/>
      <c r="GQ182" s="154"/>
      <c r="GR182" s="154"/>
      <c r="GS182" s="154"/>
      <c r="GT182" s="154"/>
      <c r="GU182" s="154"/>
      <c r="GV182" s="154"/>
      <c r="GW182" s="154"/>
      <c r="GX182" s="154"/>
    </row>
    <row r="183" spans="7:206">
      <c r="G183" s="154"/>
      <c r="H183" s="154"/>
      <c r="I183" s="154"/>
      <c r="J183" s="154"/>
      <c r="K183" s="154"/>
      <c r="L183" s="154"/>
      <c r="M183" s="154"/>
      <c r="N183" s="154"/>
      <c r="O183" s="154"/>
      <c r="P183" s="154"/>
      <c r="Q183" s="154"/>
      <c r="R183" s="154"/>
      <c r="S183" s="154"/>
      <c r="T183" s="154"/>
      <c r="U183" s="154"/>
      <c r="V183" s="154"/>
      <c r="W183" s="154"/>
      <c r="X183" s="154"/>
      <c r="Y183" s="154"/>
      <c r="Z183" s="357"/>
      <c r="AA183" s="357"/>
      <c r="AB183" s="357"/>
      <c r="AC183" s="357"/>
      <c r="AD183" s="357"/>
      <c r="AE183" s="357"/>
      <c r="AF183" s="357"/>
      <c r="AG183" s="357"/>
      <c r="AH183" s="357"/>
      <c r="AI183" s="357"/>
      <c r="AJ183" s="357"/>
      <c r="AK183" s="357"/>
      <c r="AL183" s="357"/>
      <c r="AM183" s="357"/>
      <c r="AN183" s="357"/>
      <c r="AO183" s="357"/>
      <c r="AP183" s="357"/>
      <c r="AQ183" s="357"/>
      <c r="AR183" s="357"/>
      <c r="AS183" s="357"/>
      <c r="AT183" s="357"/>
      <c r="AU183" s="357"/>
      <c r="AV183" s="357"/>
      <c r="AW183" s="357"/>
      <c r="AX183" s="357"/>
      <c r="AY183" s="357"/>
      <c r="AZ183" s="357"/>
      <c r="BA183" s="357"/>
      <c r="BB183" s="357"/>
      <c r="BC183" s="357"/>
      <c r="BD183" s="357"/>
      <c r="BE183" s="357"/>
      <c r="BF183" s="357"/>
      <c r="BG183" s="357"/>
      <c r="BH183" s="357"/>
      <c r="BI183" s="357"/>
      <c r="BJ183" s="357"/>
      <c r="BK183" s="357"/>
      <c r="BL183" s="357"/>
      <c r="BM183" s="357"/>
      <c r="BN183" s="357"/>
      <c r="BO183" s="357"/>
      <c r="BP183" s="357"/>
      <c r="BQ183" s="357"/>
      <c r="BR183" s="357"/>
      <c r="BS183" s="357"/>
      <c r="BT183" s="357"/>
      <c r="BU183" s="357"/>
      <c r="BV183" s="357"/>
      <c r="BW183" s="357"/>
      <c r="BX183" s="357"/>
      <c r="BY183" s="357"/>
      <c r="BZ183" s="357"/>
      <c r="CA183" s="357"/>
      <c r="CB183" s="357"/>
      <c r="CC183" s="357"/>
      <c r="CD183" s="357"/>
      <c r="CE183" s="357"/>
      <c r="CF183" s="357"/>
      <c r="CG183" s="357"/>
      <c r="CH183" s="357"/>
      <c r="CI183" s="357"/>
      <c r="CJ183" s="357"/>
      <c r="CK183" s="357"/>
      <c r="CL183" s="357"/>
      <c r="CM183" s="357"/>
      <c r="CN183" s="357"/>
      <c r="CO183" s="357"/>
      <c r="CP183" s="357"/>
      <c r="CQ183" s="357"/>
      <c r="CR183" s="357"/>
      <c r="CS183" s="357"/>
      <c r="CT183" s="357"/>
      <c r="CU183" s="357"/>
      <c r="CV183" s="357"/>
      <c r="CW183" s="357"/>
      <c r="CX183" s="357"/>
      <c r="CY183" s="357"/>
      <c r="CZ183" s="357"/>
      <c r="DA183" s="357"/>
      <c r="DB183" s="357"/>
      <c r="DC183" s="357"/>
      <c r="DD183" s="357"/>
      <c r="DE183" s="357"/>
      <c r="DF183" s="357"/>
      <c r="DG183" s="357"/>
      <c r="DH183" s="357"/>
      <c r="DI183" s="357"/>
      <c r="DJ183" s="357"/>
      <c r="DK183" s="357"/>
      <c r="DL183" s="357"/>
      <c r="DM183" s="357"/>
      <c r="DN183" s="357"/>
      <c r="DO183" s="357"/>
      <c r="DP183" s="357"/>
      <c r="DQ183" s="357"/>
      <c r="DR183" s="357"/>
      <c r="DS183" s="357"/>
      <c r="DT183" s="357"/>
      <c r="DU183" s="357"/>
      <c r="DV183" s="357"/>
      <c r="DW183" s="357"/>
      <c r="DX183" s="357"/>
      <c r="DY183" s="357"/>
      <c r="DZ183" s="357"/>
      <c r="EA183" s="357"/>
      <c r="EB183" s="357"/>
      <c r="EC183" s="357"/>
      <c r="ED183" s="357"/>
      <c r="EE183" s="357"/>
      <c r="EF183" s="357"/>
      <c r="EG183" s="357"/>
      <c r="EH183" s="357"/>
      <c r="EI183" s="357"/>
      <c r="EJ183" s="357"/>
      <c r="EK183" s="357"/>
      <c r="EL183" s="357"/>
      <c r="EM183" s="357"/>
      <c r="EN183" s="357"/>
      <c r="EO183" s="357"/>
      <c r="EP183" s="357"/>
      <c r="EQ183" s="357"/>
      <c r="ER183" s="357"/>
      <c r="ES183" s="357"/>
      <c r="ET183" s="357"/>
      <c r="EU183" s="357"/>
      <c r="EV183" s="357"/>
      <c r="EW183" s="357"/>
      <c r="EX183" s="357"/>
      <c r="EY183" s="357"/>
      <c r="EZ183" s="357"/>
      <c r="FA183" s="357"/>
      <c r="FB183" s="357"/>
      <c r="FC183" s="357"/>
      <c r="FD183" s="357"/>
      <c r="FE183" s="357"/>
      <c r="FF183" s="357"/>
      <c r="FG183" s="357"/>
      <c r="FH183" s="357"/>
      <c r="FI183" s="357"/>
      <c r="FJ183" s="357"/>
      <c r="FK183" s="357"/>
      <c r="FL183" s="357"/>
      <c r="FM183" s="357"/>
      <c r="FN183" s="357"/>
      <c r="FO183" s="357"/>
      <c r="FP183" s="357"/>
      <c r="FQ183" s="357"/>
      <c r="FR183" s="357"/>
      <c r="FS183" s="357"/>
      <c r="FT183" s="357"/>
      <c r="FU183" s="357"/>
      <c r="FV183" s="357"/>
      <c r="FW183" s="357"/>
      <c r="FX183" s="357"/>
      <c r="FY183" s="357"/>
      <c r="FZ183" s="357"/>
      <c r="GA183" s="357"/>
      <c r="GB183" s="357"/>
      <c r="GC183" s="357"/>
      <c r="GD183" s="357"/>
      <c r="GE183" s="357"/>
      <c r="GF183" s="357"/>
      <c r="GG183" s="357"/>
      <c r="GH183" s="357"/>
      <c r="GI183" s="357"/>
      <c r="GJ183" s="357"/>
      <c r="GK183" s="154"/>
      <c r="GL183" s="154"/>
      <c r="GM183" s="154"/>
      <c r="GN183" s="154"/>
      <c r="GO183" s="154"/>
      <c r="GP183" s="154"/>
      <c r="GQ183" s="154"/>
      <c r="GR183" s="154"/>
      <c r="GS183" s="154"/>
      <c r="GT183" s="154"/>
      <c r="GU183" s="154"/>
      <c r="GV183" s="154"/>
      <c r="GW183" s="154"/>
      <c r="GX183" s="154"/>
    </row>
    <row r="184" spans="7:206">
      <c r="G184" s="154"/>
      <c r="H184" s="154"/>
      <c r="I184" s="154"/>
      <c r="J184" s="154"/>
      <c r="K184" s="154"/>
      <c r="L184" s="154"/>
      <c r="M184" s="154"/>
      <c r="N184" s="154"/>
      <c r="O184" s="154"/>
      <c r="P184" s="154"/>
      <c r="Q184" s="154"/>
      <c r="R184" s="154"/>
      <c r="S184" s="154"/>
      <c r="T184" s="154"/>
      <c r="U184" s="154"/>
      <c r="V184" s="154"/>
      <c r="W184" s="154"/>
      <c r="X184" s="154"/>
      <c r="Y184" s="154"/>
      <c r="Z184" s="357"/>
      <c r="AA184" s="357"/>
      <c r="AB184" s="357"/>
      <c r="AC184" s="357"/>
      <c r="AD184" s="357"/>
      <c r="AE184" s="357"/>
      <c r="AF184" s="357"/>
      <c r="AG184" s="357"/>
      <c r="AH184" s="357"/>
      <c r="AI184" s="357"/>
      <c r="AJ184" s="357"/>
      <c r="AK184" s="357"/>
      <c r="AL184" s="357"/>
      <c r="AM184" s="357"/>
      <c r="AN184" s="357"/>
      <c r="AO184" s="357"/>
      <c r="AP184" s="357"/>
      <c r="AQ184" s="357"/>
      <c r="AR184" s="357"/>
      <c r="AS184" s="357"/>
      <c r="AT184" s="357"/>
      <c r="AU184" s="357"/>
      <c r="AV184" s="357"/>
      <c r="AW184" s="357"/>
      <c r="AX184" s="357"/>
      <c r="AY184" s="357"/>
      <c r="AZ184" s="357"/>
      <c r="BA184" s="357"/>
      <c r="BB184" s="357"/>
      <c r="BC184" s="357"/>
      <c r="BD184" s="357"/>
      <c r="BE184" s="357"/>
      <c r="BF184" s="357"/>
      <c r="BG184" s="357"/>
      <c r="BH184" s="357"/>
      <c r="BI184" s="357"/>
      <c r="BJ184" s="357"/>
      <c r="BK184" s="357"/>
      <c r="BL184" s="357"/>
      <c r="BM184" s="357"/>
      <c r="BN184" s="357"/>
      <c r="BO184" s="357"/>
      <c r="BP184" s="357"/>
      <c r="BQ184" s="357"/>
      <c r="BR184" s="357"/>
      <c r="BS184" s="357"/>
      <c r="BT184" s="357"/>
      <c r="BU184" s="357"/>
      <c r="BV184" s="357"/>
      <c r="BW184" s="357"/>
      <c r="BX184" s="357"/>
      <c r="BY184" s="357"/>
      <c r="BZ184" s="357"/>
      <c r="CA184" s="357"/>
      <c r="CB184" s="357"/>
      <c r="CC184" s="357"/>
      <c r="CD184" s="357"/>
      <c r="CE184" s="357"/>
      <c r="CF184" s="357"/>
      <c r="CG184" s="357"/>
      <c r="CH184" s="357"/>
      <c r="CI184" s="357"/>
      <c r="CJ184" s="357"/>
      <c r="CK184" s="357"/>
      <c r="CL184" s="357"/>
      <c r="CM184" s="357"/>
      <c r="CN184" s="357"/>
      <c r="CO184" s="357"/>
      <c r="CP184" s="357"/>
      <c r="CQ184" s="357"/>
      <c r="CR184" s="357"/>
      <c r="CS184" s="357"/>
      <c r="CT184" s="357"/>
      <c r="CU184" s="357"/>
      <c r="CV184" s="357"/>
      <c r="CW184" s="357"/>
      <c r="CX184" s="357"/>
      <c r="CY184" s="357"/>
      <c r="CZ184" s="357"/>
      <c r="DA184" s="357"/>
      <c r="DB184" s="357"/>
      <c r="DC184" s="357"/>
      <c r="DD184" s="357"/>
      <c r="DE184" s="357"/>
      <c r="DF184" s="357"/>
      <c r="DG184" s="357"/>
      <c r="DH184" s="357"/>
      <c r="DI184" s="357"/>
      <c r="DJ184" s="357"/>
      <c r="DK184" s="357"/>
      <c r="DL184" s="357"/>
      <c r="DM184" s="357"/>
      <c r="DN184" s="357"/>
      <c r="DO184" s="357"/>
      <c r="DP184" s="357"/>
      <c r="DQ184" s="357"/>
      <c r="DR184" s="357"/>
      <c r="DS184" s="357"/>
      <c r="DT184" s="357"/>
      <c r="DU184" s="357"/>
      <c r="DV184" s="357"/>
      <c r="DW184" s="357"/>
      <c r="DX184" s="357"/>
      <c r="DY184" s="357"/>
      <c r="DZ184" s="357"/>
      <c r="EA184" s="357"/>
      <c r="EB184" s="357"/>
      <c r="EC184" s="357"/>
      <c r="ED184" s="357"/>
      <c r="EE184" s="357"/>
      <c r="EF184" s="357"/>
      <c r="EG184" s="357"/>
      <c r="EH184" s="357"/>
      <c r="EI184" s="357"/>
      <c r="EJ184" s="357"/>
      <c r="EK184" s="357"/>
      <c r="EL184" s="357"/>
      <c r="EM184" s="357"/>
      <c r="EN184" s="357"/>
      <c r="EO184" s="357"/>
      <c r="EP184" s="357"/>
      <c r="EQ184" s="357"/>
      <c r="ER184" s="357"/>
      <c r="ES184" s="357"/>
      <c r="ET184" s="357"/>
      <c r="EU184" s="357"/>
      <c r="EV184" s="357"/>
      <c r="EW184" s="357"/>
      <c r="EX184" s="357"/>
      <c r="EY184" s="357"/>
      <c r="EZ184" s="357"/>
      <c r="FA184" s="357"/>
      <c r="FB184" s="357"/>
      <c r="FC184" s="357"/>
      <c r="FD184" s="357"/>
      <c r="FE184" s="357"/>
      <c r="FF184" s="357"/>
      <c r="FG184" s="357"/>
      <c r="FH184" s="357"/>
      <c r="FI184" s="357"/>
      <c r="FJ184" s="357"/>
      <c r="FK184" s="357"/>
      <c r="FL184" s="357"/>
      <c r="FM184" s="357"/>
      <c r="FN184" s="357"/>
      <c r="FO184" s="357"/>
      <c r="FP184" s="357"/>
      <c r="FQ184" s="357"/>
      <c r="FR184" s="357"/>
      <c r="FS184" s="357"/>
      <c r="FT184" s="357"/>
      <c r="FU184" s="357"/>
      <c r="FV184" s="357"/>
      <c r="FW184" s="357"/>
      <c r="FX184" s="357"/>
      <c r="FY184" s="357"/>
      <c r="FZ184" s="357"/>
      <c r="GA184" s="357"/>
      <c r="GB184" s="357"/>
      <c r="GC184" s="357"/>
      <c r="GD184" s="357"/>
      <c r="GE184" s="357"/>
      <c r="GF184" s="357"/>
      <c r="GG184" s="357"/>
      <c r="GH184" s="357"/>
      <c r="GI184" s="357"/>
      <c r="GJ184" s="357"/>
      <c r="GK184" s="154"/>
      <c r="GL184" s="154"/>
      <c r="GM184" s="154"/>
      <c r="GN184" s="154"/>
      <c r="GO184" s="154"/>
      <c r="GP184" s="154"/>
      <c r="GQ184" s="154"/>
      <c r="GR184" s="154"/>
      <c r="GS184" s="154"/>
      <c r="GT184" s="154"/>
      <c r="GU184" s="154"/>
      <c r="GV184" s="154"/>
      <c r="GW184" s="154"/>
      <c r="GX184" s="154"/>
    </row>
    <row r="185" spans="7:206">
      <c r="G185" s="154"/>
      <c r="H185" s="154"/>
      <c r="I185" s="154"/>
      <c r="J185" s="154"/>
      <c r="K185" s="154"/>
      <c r="L185" s="154"/>
      <c r="M185" s="154"/>
      <c r="N185" s="154"/>
      <c r="O185" s="154"/>
      <c r="P185" s="154"/>
      <c r="Q185" s="154"/>
      <c r="R185" s="154"/>
      <c r="S185" s="154"/>
      <c r="T185" s="154"/>
      <c r="U185" s="154"/>
      <c r="V185" s="154"/>
      <c r="W185" s="154"/>
      <c r="X185" s="154"/>
      <c r="Y185" s="154"/>
      <c r="Z185" s="357"/>
      <c r="AA185" s="357"/>
      <c r="AB185" s="357"/>
      <c r="AC185" s="357"/>
      <c r="AD185" s="357"/>
      <c r="AE185" s="357"/>
      <c r="AF185" s="357"/>
      <c r="AG185" s="357"/>
      <c r="AH185" s="357"/>
      <c r="AI185" s="357"/>
      <c r="AJ185" s="357"/>
      <c r="AK185" s="357"/>
      <c r="AL185" s="357"/>
      <c r="AM185" s="357"/>
      <c r="AN185" s="357"/>
      <c r="AO185" s="357"/>
      <c r="AP185" s="357"/>
      <c r="AQ185" s="357"/>
      <c r="AR185" s="357"/>
      <c r="AS185" s="357"/>
      <c r="AT185" s="357"/>
      <c r="AU185" s="357"/>
      <c r="AV185" s="357"/>
      <c r="AW185" s="357"/>
      <c r="AX185" s="357"/>
      <c r="AY185" s="357"/>
      <c r="AZ185" s="357"/>
      <c r="BA185" s="357"/>
      <c r="BB185" s="357"/>
      <c r="BC185" s="357"/>
      <c r="BD185" s="357"/>
      <c r="BE185" s="357"/>
      <c r="BF185" s="357"/>
      <c r="BG185" s="357"/>
      <c r="BH185" s="357"/>
      <c r="BI185" s="357"/>
      <c r="BJ185" s="357"/>
      <c r="BK185" s="357"/>
      <c r="BL185" s="357"/>
      <c r="BM185" s="357"/>
      <c r="BN185" s="357"/>
      <c r="BO185" s="357"/>
      <c r="BP185" s="357"/>
      <c r="BQ185" s="357"/>
      <c r="BR185" s="357"/>
      <c r="BS185" s="357"/>
      <c r="BT185" s="357"/>
      <c r="BU185" s="357"/>
      <c r="BV185" s="357"/>
      <c r="BW185" s="357"/>
      <c r="BX185" s="357"/>
      <c r="BY185" s="357"/>
      <c r="BZ185" s="357"/>
      <c r="CA185" s="357"/>
      <c r="CB185" s="357"/>
      <c r="CC185" s="357"/>
      <c r="CD185" s="357"/>
      <c r="CE185" s="357"/>
      <c r="CF185" s="357"/>
      <c r="CG185" s="357"/>
      <c r="CH185" s="357"/>
      <c r="CI185" s="357"/>
      <c r="CJ185" s="357"/>
      <c r="CK185" s="357"/>
      <c r="CL185" s="357"/>
      <c r="CM185" s="357"/>
      <c r="CN185" s="357"/>
      <c r="CO185" s="357"/>
      <c r="CP185" s="357"/>
      <c r="CQ185" s="357"/>
      <c r="CR185" s="357"/>
      <c r="CS185" s="357"/>
      <c r="CT185" s="357"/>
      <c r="CU185" s="357"/>
      <c r="CV185" s="357"/>
      <c r="CW185" s="357"/>
      <c r="CX185" s="357"/>
      <c r="CY185" s="357"/>
      <c r="CZ185" s="357"/>
      <c r="DA185" s="357"/>
      <c r="DB185" s="357"/>
      <c r="DC185" s="357"/>
      <c r="DD185" s="357"/>
      <c r="DE185" s="357"/>
      <c r="DF185" s="357"/>
      <c r="DG185" s="357"/>
      <c r="DH185" s="357"/>
      <c r="DI185" s="357"/>
      <c r="DJ185" s="357"/>
      <c r="DK185" s="357"/>
      <c r="DL185" s="357"/>
      <c r="DM185" s="357"/>
      <c r="DN185" s="357"/>
      <c r="DO185" s="357"/>
      <c r="DP185" s="357"/>
      <c r="DQ185" s="357"/>
      <c r="DR185" s="357"/>
      <c r="DS185" s="357"/>
      <c r="DT185" s="357"/>
      <c r="DU185" s="357"/>
      <c r="DV185" s="357"/>
      <c r="DW185" s="357"/>
      <c r="DX185" s="357"/>
      <c r="DY185" s="357"/>
      <c r="DZ185" s="357"/>
      <c r="EA185" s="357"/>
      <c r="EB185" s="357"/>
      <c r="EC185" s="357"/>
      <c r="ED185" s="357"/>
      <c r="EE185" s="357"/>
      <c r="EF185" s="357"/>
      <c r="EG185" s="357"/>
      <c r="EH185" s="357"/>
      <c r="EI185" s="357"/>
      <c r="EJ185" s="357"/>
      <c r="EK185" s="357"/>
      <c r="EL185" s="357"/>
      <c r="EM185" s="357"/>
      <c r="EN185" s="357"/>
      <c r="EO185" s="357"/>
      <c r="EP185" s="357"/>
      <c r="EQ185" s="357"/>
      <c r="ER185" s="357"/>
      <c r="ES185" s="357"/>
      <c r="ET185" s="357"/>
      <c r="EU185" s="357"/>
      <c r="EV185" s="357"/>
      <c r="EW185" s="357"/>
      <c r="EX185" s="357"/>
      <c r="EY185" s="357"/>
      <c r="EZ185" s="357"/>
      <c r="FA185" s="357"/>
      <c r="FB185" s="357"/>
      <c r="FC185" s="357"/>
      <c r="FD185" s="357"/>
      <c r="FE185" s="357"/>
      <c r="FF185" s="357"/>
      <c r="FG185" s="357"/>
      <c r="FH185" s="357"/>
      <c r="FI185" s="357"/>
      <c r="FJ185" s="357"/>
      <c r="FK185" s="357"/>
      <c r="FL185" s="357"/>
      <c r="FM185" s="357"/>
      <c r="FN185" s="357"/>
      <c r="FO185" s="357"/>
      <c r="FP185" s="357"/>
      <c r="FQ185" s="357"/>
      <c r="FR185" s="357"/>
      <c r="FS185" s="357"/>
      <c r="FT185" s="357"/>
      <c r="FU185" s="357"/>
      <c r="FV185" s="357"/>
      <c r="FW185" s="357"/>
      <c r="FX185" s="357"/>
      <c r="FY185" s="357"/>
      <c r="FZ185" s="357"/>
      <c r="GA185" s="357"/>
      <c r="GB185" s="357"/>
      <c r="GC185" s="357"/>
      <c r="GD185" s="357"/>
      <c r="GE185" s="357"/>
      <c r="GF185" s="357"/>
      <c r="GG185" s="357"/>
      <c r="GH185" s="357"/>
      <c r="GI185" s="357"/>
      <c r="GJ185" s="357"/>
      <c r="GK185" s="154"/>
      <c r="GL185" s="154"/>
      <c r="GM185" s="154"/>
      <c r="GN185" s="154"/>
      <c r="GO185" s="154"/>
      <c r="GP185" s="154"/>
      <c r="GQ185" s="154"/>
      <c r="GR185" s="154"/>
      <c r="GS185" s="154"/>
      <c r="GT185" s="154"/>
      <c r="GU185" s="154"/>
      <c r="GV185" s="154"/>
      <c r="GW185" s="154"/>
      <c r="GX185" s="154"/>
    </row>
    <row r="186" spans="7:206">
      <c r="G186" s="154"/>
      <c r="H186" s="154"/>
      <c r="I186" s="154"/>
      <c r="J186" s="154"/>
      <c r="K186" s="154"/>
      <c r="L186" s="154"/>
      <c r="M186" s="154"/>
      <c r="N186" s="154"/>
      <c r="O186" s="154"/>
      <c r="P186" s="154"/>
      <c r="Q186" s="154"/>
      <c r="R186" s="154"/>
      <c r="S186" s="154"/>
      <c r="T186" s="154"/>
      <c r="U186" s="154"/>
      <c r="V186" s="154"/>
      <c r="W186" s="154"/>
      <c r="X186" s="154"/>
      <c r="Y186" s="154"/>
      <c r="Z186" s="357"/>
      <c r="AA186" s="357"/>
      <c r="AB186" s="357"/>
      <c r="AC186" s="357"/>
      <c r="AD186" s="357"/>
      <c r="AE186" s="357"/>
      <c r="AF186" s="357"/>
      <c r="AG186" s="357"/>
      <c r="AH186" s="357"/>
      <c r="AI186" s="357"/>
      <c r="AJ186" s="357"/>
      <c r="AK186" s="357"/>
      <c r="AL186" s="357"/>
      <c r="AM186" s="357"/>
      <c r="AN186" s="357"/>
      <c r="AO186" s="357"/>
      <c r="AP186" s="357"/>
      <c r="AQ186" s="357"/>
      <c r="AR186" s="357"/>
      <c r="AS186" s="357"/>
      <c r="AT186" s="357"/>
      <c r="AU186" s="357"/>
      <c r="AV186" s="357"/>
      <c r="AW186" s="357"/>
      <c r="AX186" s="357"/>
      <c r="AY186" s="357"/>
      <c r="AZ186" s="357"/>
      <c r="BA186" s="357"/>
      <c r="BB186" s="357"/>
      <c r="BC186" s="357"/>
      <c r="BD186" s="357"/>
      <c r="BE186" s="357"/>
      <c r="BF186" s="357"/>
      <c r="BG186" s="357"/>
      <c r="BH186" s="357"/>
      <c r="BI186" s="357"/>
      <c r="BJ186" s="357"/>
      <c r="BK186" s="357"/>
      <c r="BL186" s="357"/>
      <c r="BM186" s="357"/>
      <c r="BN186" s="357"/>
      <c r="BO186" s="357"/>
      <c r="BP186" s="357"/>
      <c r="BQ186" s="357"/>
      <c r="BR186" s="357"/>
      <c r="BS186" s="357"/>
      <c r="BT186" s="357"/>
      <c r="BU186" s="357"/>
      <c r="BV186" s="357"/>
      <c r="BW186" s="357"/>
      <c r="BX186" s="357"/>
      <c r="BY186" s="357"/>
      <c r="BZ186" s="357"/>
      <c r="CA186" s="357"/>
      <c r="CB186" s="357"/>
      <c r="CC186" s="357"/>
      <c r="CD186" s="357"/>
      <c r="CE186" s="357"/>
      <c r="CF186" s="357"/>
      <c r="CG186" s="357"/>
      <c r="CH186" s="357"/>
      <c r="CI186" s="357"/>
      <c r="CJ186" s="357"/>
      <c r="CK186" s="357"/>
      <c r="CL186" s="357"/>
      <c r="CM186" s="357"/>
      <c r="CN186" s="357"/>
      <c r="CO186" s="357"/>
      <c r="CP186" s="357"/>
      <c r="CQ186" s="357"/>
      <c r="CR186" s="357"/>
      <c r="CS186" s="357"/>
      <c r="CT186" s="357"/>
      <c r="CU186" s="357"/>
      <c r="CV186" s="357"/>
      <c r="CW186" s="357"/>
      <c r="CX186" s="357"/>
      <c r="CY186" s="357"/>
      <c r="CZ186" s="357"/>
      <c r="DA186" s="357"/>
      <c r="DB186" s="357"/>
      <c r="DC186" s="357"/>
      <c r="DD186" s="357"/>
      <c r="DE186" s="357"/>
      <c r="DF186" s="357"/>
      <c r="DG186" s="357"/>
      <c r="DH186" s="357"/>
      <c r="DI186" s="357"/>
      <c r="DJ186" s="357"/>
      <c r="DK186" s="357"/>
      <c r="DL186" s="357"/>
      <c r="DM186" s="357"/>
      <c r="DN186" s="357"/>
      <c r="DO186" s="357"/>
      <c r="DP186" s="357"/>
      <c r="DQ186" s="357"/>
      <c r="DR186" s="357"/>
      <c r="DS186" s="357"/>
      <c r="DT186" s="357"/>
      <c r="DU186" s="357"/>
      <c r="DV186" s="357"/>
      <c r="DW186" s="357"/>
      <c r="DX186" s="357"/>
      <c r="DY186" s="357"/>
      <c r="DZ186" s="357"/>
      <c r="EA186" s="357"/>
      <c r="EB186" s="357"/>
      <c r="EC186" s="357"/>
      <c r="ED186" s="357"/>
      <c r="EE186" s="357"/>
      <c r="EF186" s="357"/>
      <c r="EG186" s="357"/>
      <c r="EH186" s="357"/>
      <c r="EI186" s="357"/>
      <c r="EJ186" s="357"/>
      <c r="EK186" s="357"/>
      <c r="EL186" s="357"/>
      <c r="EM186" s="357"/>
      <c r="EN186" s="357"/>
      <c r="EO186" s="357"/>
      <c r="EP186" s="357"/>
      <c r="EQ186" s="357"/>
      <c r="ER186" s="357"/>
      <c r="ES186" s="357"/>
      <c r="ET186" s="357"/>
      <c r="EU186" s="357"/>
      <c r="EV186" s="357"/>
      <c r="EW186" s="357"/>
      <c r="EX186" s="357"/>
      <c r="EY186" s="357"/>
      <c r="EZ186" s="357"/>
      <c r="FA186" s="357"/>
      <c r="FB186" s="357"/>
      <c r="FC186" s="357"/>
      <c r="FD186" s="357"/>
      <c r="FE186" s="357"/>
      <c r="FF186" s="357"/>
      <c r="FG186" s="357"/>
      <c r="FH186" s="357"/>
      <c r="FI186" s="357"/>
      <c r="FJ186" s="357"/>
      <c r="FK186" s="357"/>
      <c r="FL186" s="357"/>
      <c r="FM186" s="357"/>
      <c r="FN186" s="357"/>
      <c r="FO186" s="357"/>
      <c r="FP186" s="357"/>
      <c r="FQ186" s="357"/>
      <c r="FR186" s="357"/>
      <c r="FS186" s="357"/>
      <c r="FT186" s="357"/>
      <c r="FU186" s="357"/>
      <c r="FV186" s="357"/>
      <c r="FW186" s="357"/>
      <c r="FX186" s="357"/>
      <c r="FY186" s="357"/>
      <c r="FZ186" s="357"/>
      <c r="GA186" s="357"/>
      <c r="GB186" s="357"/>
      <c r="GC186" s="357"/>
      <c r="GD186" s="357"/>
      <c r="GE186" s="357"/>
      <c r="GF186" s="357"/>
      <c r="GG186" s="357"/>
      <c r="GH186" s="357"/>
      <c r="GI186" s="357"/>
      <c r="GJ186" s="357"/>
      <c r="GK186" s="154"/>
      <c r="GL186" s="154"/>
      <c r="GM186" s="154"/>
      <c r="GN186" s="154"/>
      <c r="GO186" s="154"/>
      <c r="GP186" s="154"/>
      <c r="GQ186" s="154"/>
      <c r="GR186" s="154"/>
      <c r="GS186" s="154"/>
      <c r="GT186" s="154"/>
      <c r="GU186" s="154"/>
      <c r="GV186" s="154"/>
      <c r="GW186" s="154"/>
      <c r="GX186" s="154"/>
    </row>
    <row r="187" spans="7:206">
      <c r="G187" s="154"/>
      <c r="H187" s="154"/>
      <c r="I187" s="154"/>
      <c r="J187" s="154"/>
      <c r="K187" s="154"/>
      <c r="L187" s="154"/>
      <c r="M187" s="154"/>
      <c r="N187" s="154"/>
      <c r="O187" s="154"/>
      <c r="P187" s="154"/>
      <c r="Q187" s="154"/>
      <c r="R187" s="154"/>
      <c r="S187" s="154"/>
      <c r="T187" s="154"/>
      <c r="U187" s="154"/>
      <c r="V187" s="154"/>
      <c r="W187" s="154"/>
      <c r="X187" s="154"/>
      <c r="Y187" s="154"/>
      <c r="Z187" s="357"/>
      <c r="AA187" s="357"/>
      <c r="AB187" s="357"/>
      <c r="AC187" s="357"/>
      <c r="AD187" s="357"/>
      <c r="AE187" s="357"/>
      <c r="AF187" s="357"/>
      <c r="AG187" s="357"/>
      <c r="AH187" s="357"/>
      <c r="AI187" s="357"/>
      <c r="AJ187" s="357"/>
      <c r="AK187" s="357"/>
      <c r="AL187" s="357"/>
      <c r="AM187" s="357"/>
      <c r="AN187" s="357"/>
      <c r="AO187" s="357"/>
      <c r="AP187" s="357"/>
      <c r="AQ187" s="357"/>
      <c r="AR187" s="357"/>
      <c r="AS187" s="357"/>
      <c r="AT187" s="357"/>
      <c r="AU187" s="357"/>
      <c r="AV187" s="357"/>
      <c r="AW187" s="357"/>
      <c r="AX187" s="357"/>
      <c r="AY187" s="357"/>
      <c r="AZ187" s="357"/>
      <c r="BA187" s="357"/>
      <c r="BB187" s="357"/>
      <c r="BC187" s="357"/>
      <c r="BD187" s="357"/>
      <c r="BE187" s="357"/>
      <c r="BF187" s="357"/>
      <c r="BG187" s="357"/>
      <c r="BH187" s="357"/>
      <c r="BI187" s="357"/>
      <c r="BJ187" s="357"/>
      <c r="BK187" s="357"/>
      <c r="BL187" s="357"/>
      <c r="BM187" s="357"/>
      <c r="BN187" s="357"/>
      <c r="BO187" s="357"/>
      <c r="BP187" s="357"/>
      <c r="BQ187" s="357"/>
      <c r="BR187" s="357"/>
      <c r="BS187" s="357"/>
      <c r="BT187" s="357"/>
      <c r="BU187" s="357"/>
      <c r="BV187" s="357"/>
      <c r="BW187" s="357"/>
      <c r="BX187" s="357"/>
      <c r="BY187" s="357"/>
      <c r="BZ187" s="357"/>
      <c r="CA187" s="357"/>
      <c r="CB187" s="357"/>
      <c r="CC187" s="357"/>
      <c r="CD187" s="357"/>
      <c r="CE187" s="357"/>
      <c r="CF187" s="357"/>
      <c r="CG187" s="357"/>
      <c r="CH187" s="357"/>
      <c r="CI187" s="357"/>
      <c r="CJ187" s="357"/>
      <c r="CK187" s="357"/>
      <c r="CL187" s="357"/>
      <c r="CM187" s="357"/>
      <c r="CN187" s="357"/>
      <c r="CO187" s="357"/>
      <c r="CP187" s="357"/>
      <c r="CQ187" s="357"/>
      <c r="CR187" s="357"/>
      <c r="CS187" s="357"/>
      <c r="CT187" s="357"/>
      <c r="CU187" s="357"/>
      <c r="CV187" s="357"/>
      <c r="CW187" s="357"/>
      <c r="CX187" s="357"/>
      <c r="CY187" s="357"/>
      <c r="CZ187" s="357"/>
      <c r="DA187" s="357"/>
      <c r="DB187" s="357"/>
      <c r="DC187" s="357"/>
      <c r="DD187" s="357"/>
      <c r="DE187" s="357"/>
      <c r="DF187" s="357"/>
      <c r="DG187" s="357"/>
      <c r="DH187" s="357"/>
      <c r="DI187" s="357"/>
      <c r="DJ187" s="357"/>
      <c r="DK187" s="357"/>
      <c r="DL187" s="357"/>
      <c r="DM187" s="357"/>
      <c r="DN187" s="357"/>
      <c r="DO187" s="357"/>
      <c r="DP187" s="357"/>
      <c r="DQ187" s="357"/>
      <c r="DR187" s="357"/>
      <c r="DS187" s="357"/>
      <c r="DT187" s="357"/>
      <c r="DU187" s="357"/>
      <c r="DV187" s="357"/>
      <c r="DW187" s="357"/>
      <c r="DX187" s="357"/>
      <c r="DY187" s="357"/>
      <c r="DZ187" s="357"/>
      <c r="EA187" s="357"/>
      <c r="EB187" s="357"/>
      <c r="EC187" s="357"/>
      <c r="ED187" s="357"/>
      <c r="EE187" s="357"/>
      <c r="EF187" s="357"/>
      <c r="EG187" s="357"/>
      <c r="EH187" s="357"/>
      <c r="EI187" s="357"/>
      <c r="EJ187" s="357"/>
      <c r="EK187" s="357"/>
      <c r="EL187" s="357"/>
      <c r="EM187" s="357"/>
      <c r="EN187" s="357"/>
      <c r="EO187" s="357"/>
      <c r="EP187" s="357"/>
      <c r="EQ187" s="357"/>
      <c r="ER187" s="357"/>
      <c r="ES187" s="357"/>
      <c r="ET187" s="357"/>
      <c r="EU187" s="357"/>
      <c r="EV187" s="357"/>
      <c r="EW187" s="357"/>
      <c r="EX187" s="357"/>
      <c r="EY187" s="357"/>
      <c r="EZ187" s="357"/>
      <c r="FA187" s="357"/>
      <c r="FB187" s="357"/>
      <c r="FC187" s="357"/>
      <c r="FD187" s="357"/>
      <c r="FE187" s="357"/>
      <c r="FF187" s="357"/>
      <c r="FG187" s="357"/>
      <c r="FH187" s="357"/>
      <c r="FI187" s="357"/>
      <c r="FJ187" s="357"/>
      <c r="FK187" s="357"/>
      <c r="FL187" s="357"/>
      <c r="FM187" s="357"/>
      <c r="FN187" s="357"/>
      <c r="FO187" s="357"/>
      <c r="FP187" s="357"/>
      <c r="FQ187" s="357"/>
      <c r="FR187" s="357"/>
      <c r="FS187" s="357"/>
      <c r="FT187" s="357"/>
      <c r="FU187" s="357"/>
      <c r="FV187" s="357"/>
      <c r="FW187" s="357"/>
      <c r="FX187" s="357"/>
      <c r="FY187" s="357"/>
      <c r="FZ187" s="357"/>
      <c r="GA187" s="357"/>
      <c r="GB187" s="357"/>
      <c r="GC187" s="357"/>
      <c r="GD187" s="357"/>
      <c r="GE187" s="357"/>
      <c r="GF187" s="357"/>
      <c r="GG187" s="357"/>
      <c r="GH187" s="357"/>
      <c r="GI187" s="357"/>
      <c r="GJ187" s="357"/>
      <c r="GK187" s="154"/>
      <c r="GL187" s="154"/>
      <c r="GM187" s="154"/>
      <c r="GN187" s="154"/>
      <c r="GO187" s="154"/>
      <c r="GP187" s="154"/>
      <c r="GQ187" s="154"/>
      <c r="GR187" s="154"/>
      <c r="GS187" s="154"/>
      <c r="GT187" s="154"/>
      <c r="GU187" s="154"/>
      <c r="GV187" s="154"/>
      <c r="GW187" s="154"/>
      <c r="GX187" s="154"/>
    </row>
    <row r="188" spans="7:206">
      <c r="G188" s="154"/>
      <c r="H188" s="154"/>
      <c r="I188" s="154"/>
      <c r="J188" s="154"/>
      <c r="K188" s="154"/>
      <c r="L188" s="154"/>
      <c r="M188" s="154"/>
      <c r="N188" s="154"/>
      <c r="O188" s="154"/>
      <c r="P188" s="154"/>
      <c r="Q188" s="154"/>
      <c r="R188" s="154"/>
      <c r="S188" s="154"/>
      <c r="T188" s="154"/>
      <c r="U188" s="154"/>
      <c r="V188" s="154"/>
      <c r="W188" s="154"/>
      <c r="X188" s="154"/>
      <c r="Y188" s="154"/>
      <c r="Z188" s="357"/>
      <c r="AA188" s="357"/>
      <c r="AB188" s="357"/>
      <c r="AC188" s="357"/>
      <c r="AD188" s="357"/>
      <c r="AE188" s="357"/>
      <c r="AF188" s="357"/>
      <c r="AG188" s="357"/>
      <c r="AH188" s="357"/>
      <c r="AI188" s="357"/>
      <c r="AJ188" s="357"/>
      <c r="AK188" s="357"/>
      <c r="AL188" s="357"/>
      <c r="AM188" s="357"/>
      <c r="AN188" s="357"/>
      <c r="AO188" s="357"/>
      <c r="AP188" s="357"/>
      <c r="AQ188" s="357"/>
      <c r="AR188" s="357"/>
      <c r="AS188" s="357"/>
      <c r="AT188" s="357"/>
      <c r="AU188" s="357"/>
      <c r="AV188" s="357"/>
      <c r="AW188" s="357"/>
      <c r="AX188" s="357"/>
      <c r="AY188" s="357"/>
      <c r="AZ188" s="357"/>
      <c r="BA188" s="357"/>
      <c r="BB188" s="357"/>
      <c r="BC188" s="357"/>
      <c r="BD188" s="357"/>
      <c r="BE188" s="357"/>
      <c r="BF188" s="357"/>
      <c r="BG188" s="357"/>
      <c r="BH188" s="357"/>
      <c r="BI188" s="357"/>
      <c r="BJ188" s="357"/>
      <c r="BK188" s="357"/>
      <c r="BL188" s="357"/>
      <c r="BM188" s="357"/>
      <c r="BN188" s="357"/>
      <c r="BO188" s="357"/>
      <c r="BP188" s="357"/>
      <c r="BQ188" s="357"/>
      <c r="BR188" s="357"/>
      <c r="BS188" s="357"/>
      <c r="BT188" s="357"/>
      <c r="BU188" s="357"/>
      <c r="BV188" s="357"/>
      <c r="BW188" s="357"/>
      <c r="BX188" s="357"/>
      <c r="BY188" s="357"/>
      <c r="BZ188" s="357"/>
      <c r="CA188" s="357"/>
      <c r="CB188" s="357"/>
      <c r="CC188" s="357"/>
      <c r="CD188" s="357"/>
      <c r="CE188" s="357"/>
      <c r="CF188" s="357"/>
      <c r="CG188" s="357"/>
      <c r="CH188" s="357"/>
      <c r="CI188" s="357"/>
      <c r="CJ188" s="357"/>
      <c r="CK188" s="357"/>
      <c r="CL188" s="357"/>
      <c r="CM188" s="357"/>
      <c r="CN188" s="357"/>
      <c r="CO188" s="357"/>
      <c r="CP188" s="357"/>
      <c r="CQ188" s="357"/>
      <c r="CR188" s="357"/>
      <c r="CS188" s="357"/>
      <c r="CT188" s="357"/>
      <c r="CU188" s="357"/>
      <c r="CV188" s="357"/>
      <c r="CW188" s="357"/>
      <c r="CX188" s="357"/>
      <c r="CY188" s="357"/>
      <c r="CZ188" s="357"/>
      <c r="DA188" s="357"/>
      <c r="DB188" s="357"/>
      <c r="DC188" s="357"/>
      <c r="DD188" s="357"/>
      <c r="DE188" s="357"/>
      <c r="DF188" s="357"/>
      <c r="DG188" s="357"/>
      <c r="DH188" s="357"/>
      <c r="DI188" s="357"/>
      <c r="DJ188" s="357"/>
      <c r="DK188" s="357"/>
      <c r="DL188" s="357"/>
      <c r="DM188" s="357"/>
      <c r="DN188" s="357"/>
      <c r="DO188" s="357"/>
      <c r="DP188" s="357"/>
      <c r="DQ188" s="357"/>
      <c r="DR188" s="357"/>
      <c r="DS188" s="357"/>
      <c r="DT188" s="357"/>
      <c r="DU188" s="357"/>
      <c r="DV188" s="357"/>
      <c r="DW188" s="357"/>
      <c r="DX188" s="357"/>
      <c r="DY188" s="357"/>
      <c r="DZ188" s="357"/>
      <c r="EA188" s="357"/>
      <c r="EB188" s="357"/>
      <c r="EC188" s="357"/>
      <c r="ED188" s="357"/>
      <c r="EE188" s="357"/>
      <c r="EF188" s="357"/>
      <c r="EG188" s="357"/>
      <c r="EH188" s="357"/>
      <c r="EI188" s="357"/>
      <c r="EJ188" s="357"/>
      <c r="EK188" s="357"/>
      <c r="EL188" s="357"/>
      <c r="EM188" s="357"/>
      <c r="EN188" s="357"/>
      <c r="EO188" s="357"/>
      <c r="EP188" s="357"/>
      <c r="EQ188" s="357"/>
      <c r="ER188" s="357"/>
      <c r="ES188" s="357"/>
      <c r="ET188" s="357"/>
      <c r="EU188" s="357"/>
      <c r="EV188" s="357"/>
      <c r="EW188" s="357"/>
      <c r="EX188" s="357"/>
      <c r="EY188" s="357"/>
      <c r="EZ188" s="357"/>
      <c r="FA188" s="357"/>
      <c r="FB188" s="357"/>
      <c r="FC188" s="357"/>
      <c r="FD188" s="357"/>
      <c r="FE188" s="357"/>
      <c r="FF188" s="357"/>
      <c r="FG188" s="357"/>
      <c r="FH188" s="357"/>
      <c r="FI188" s="357"/>
      <c r="FJ188" s="357"/>
      <c r="FK188" s="357"/>
      <c r="FL188" s="357"/>
      <c r="FM188" s="357"/>
      <c r="FN188" s="357"/>
      <c r="FO188" s="357"/>
      <c r="FP188" s="357"/>
      <c r="FQ188" s="357"/>
      <c r="FR188" s="357"/>
      <c r="FS188" s="357"/>
      <c r="FT188" s="357"/>
      <c r="FU188" s="357"/>
      <c r="FV188" s="357"/>
      <c r="FW188" s="357"/>
      <c r="FX188" s="357"/>
      <c r="FY188" s="357"/>
      <c r="FZ188" s="357"/>
      <c r="GA188" s="357"/>
      <c r="GB188" s="357"/>
      <c r="GC188" s="357"/>
      <c r="GD188" s="357"/>
      <c r="GE188" s="357"/>
      <c r="GF188" s="357"/>
      <c r="GG188" s="357"/>
      <c r="GH188" s="357"/>
      <c r="GI188" s="357"/>
      <c r="GJ188" s="357"/>
      <c r="GK188" s="154"/>
      <c r="GL188" s="154"/>
      <c r="GM188" s="154"/>
      <c r="GN188" s="154"/>
      <c r="GO188" s="154"/>
      <c r="GP188" s="154"/>
      <c r="GQ188" s="154"/>
      <c r="GR188" s="154"/>
      <c r="GS188" s="154"/>
      <c r="GT188" s="154"/>
      <c r="GU188" s="154"/>
      <c r="GV188" s="154"/>
      <c r="GW188" s="154"/>
      <c r="GX188" s="154"/>
    </row>
    <row r="189" spans="7:206">
      <c r="G189" s="154"/>
      <c r="H189" s="154"/>
      <c r="I189" s="154"/>
      <c r="J189" s="154"/>
      <c r="K189" s="154"/>
      <c r="L189" s="154"/>
      <c r="M189" s="154"/>
      <c r="N189" s="154"/>
      <c r="O189" s="154"/>
      <c r="P189" s="154"/>
      <c r="Q189" s="154"/>
      <c r="R189" s="154"/>
      <c r="S189" s="154"/>
      <c r="T189" s="154"/>
      <c r="U189" s="154"/>
      <c r="V189" s="154"/>
      <c r="W189" s="154"/>
      <c r="X189" s="154"/>
      <c r="Y189" s="154"/>
      <c r="Z189" s="357"/>
      <c r="AA189" s="357"/>
      <c r="AB189" s="357"/>
      <c r="AC189" s="357"/>
      <c r="AD189" s="357"/>
      <c r="AE189" s="357"/>
      <c r="AF189" s="357"/>
      <c r="AG189" s="357"/>
      <c r="AH189" s="357"/>
      <c r="AI189" s="357"/>
      <c r="AJ189" s="357"/>
      <c r="AK189" s="357"/>
      <c r="AL189" s="357"/>
      <c r="AM189" s="357"/>
      <c r="AN189" s="357"/>
      <c r="AO189" s="357"/>
      <c r="AP189" s="357"/>
      <c r="AQ189" s="357"/>
      <c r="AR189" s="357"/>
      <c r="AS189" s="357"/>
      <c r="AT189" s="357"/>
      <c r="AU189" s="357"/>
      <c r="AV189" s="357"/>
      <c r="AW189" s="357"/>
      <c r="AX189" s="357"/>
      <c r="AY189" s="357"/>
      <c r="AZ189" s="357"/>
      <c r="BA189" s="357"/>
      <c r="BB189" s="357"/>
      <c r="BC189" s="357"/>
      <c r="BD189" s="357"/>
      <c r="BE189" s="357"/>
      <c r="BF189" s="357"/>
      <c r="BG189" s="357"/>
      <c r="BH189" s="357"/>
      <c r="BI189" s="357"/>
      <c r="BJ189" s="357"/>
      <c r="BK189" s="357"/>
      <c r="BL189" s="357"/>
      <c r="BM189" s="357"/>
      <c r="BN189" s="357"/>
      <c r="BO189" s="357"/>
      <c r="BP189" s="357"/>
      <c r="BQ189" s="357"/>
      <c r="BR189" s="357"/>
      <c r="BS189" s="357"/>
      <c r="BT189" s="357"/>
      <c r="BU189" s="357"/>
      <c r="BV189" s="357"/>
      <c r="BW189" s="357"/>
      <c r="BX189" s="357"/>
      <c r="BY189" s="357"/>
      <c r="BZ189" s="357"/>
      <c r="CA189" s="357"/>
      <c r="CB189" s="357"/>
      <c r="CC189" s="357"/>
      <c r="CD189" s="357"/>
      <c r="CE189" s="357"/>
      <c r="CF189" s="357"/>
      <c r="CG189" s="357"/>
      <c r="CH189" s="357"/>
      <c r="CI189" s="357"/>
      <c r="CJ189" s="357"/>
      <c r="CK189" s="357"/>
      <c r="CL189" s="357"/>
      <c r="CM189" s="357"/>
      <c r="CN189" s="357"/>
      <c r="CO189" s="357"/>
      <c r="CP189" s="357"/>
      <c r="CQ189" s="357"/>
      <c r="CR189" s="357"/>
      <c r="CS189" s="357"/>
      <c r="CT189" s="357"/>
      <c r="CU189" s="357"/>
      <c r="CV189" s="357"/>
      <c r="CW189" s="357"/>
      <c r="CX189" s="357"/>
      <c r="CY189" s="357"/>
      <c r="CZ189" s="357"/>
      <c r="DA189" s="357"/>
      <c r="DB189" s="357"/>
      <c r="DC189" s="357"/>
      <c r="DD189" s="357"/>
      <c r="DE189" s="357"/>
      <c r="DF189" s="357"/>
      <c r="DG189" s="357"/>
      <c r="DH189" s="357"/>
      <c r="DI189" s="357"/>
      <c r="DJ189" s="357"/>
      <c r="DK189" s="357"/>
      <c r="DL189" s="357"/>
      <c r="DM189" s="357"/>
      <c r="DN189" s="357"/>
      <c r="DO189" s="357"/>
      <c r="DP189" s="357"/>
      <c r="DQ189" s="357"/>
      <c r="DR189" s="357"/>
      <c r="DS189" s="357"/>
      <c r="DT189" s="357"/>
      <c r="DU189" s="357"/>
      <c r="DV189" s="357"/>
      <c r="DW189" s="357"/>
      <c r="DX189" s="357"/>
      <c r="DY189" s="357"/>
      <c r="DZ189" s="357"/>
      <c r="EA189" s="357"/>
      <c r="EB189" s="357"/>
      <c r="EC189" s="357"/>
      <c r="ED189" s="357"/>
      <c r="EE189" s="357"/>
      <c r="EF189" s="357"/>
      <c r="EG189" s="357"/>
      <c r="EH189" s="357"/>
      <c r="EI189" s="357"/>
      <c r="EJ189" s="357"/>
      <c r="EK189" s="357"/>
      <c r="EL189" s="357"/>
      <c r="EM189" s="357"/>
      <c r="EN189" s="357"/>
      <c r="EO189" s="357"/>
      <c r="EP189" s="357"/>
      <c r="EQ189" s="357"/>
      <c r="ER189" s="357"/>
      <c r="ES189" s="357"/>
      <c r="ET189" s="357"/>
      <c r="EU189" s="357"/>
      <c r="EV189" s="357"/>
      <c r="EW189" s="357"/>
      <c r="EX189" s="357"/>
      <c r="EY189" s="357"/>
      <c r="EZ189" s="357"/>
      <c r="FA189" s="357"/>
      <c r="FB189" s="357"/>
      <c r="FC189" s="357"/>
      <c r="FD189" s="357"/>
      <c r="FE189" s="357"/>
      <c r="FF189" s="357"/>
      <c r="FG189" s="357"/>
      <c r="FH189" s="357"/>
      <c r="FI189" s="357"/>
      <c r="FJ189" s="357"/>
      <c r="FK189" s="357"/>
      <c r="FL189" s="357"/>
      <c r="FM189" s="357"/>
      <c r="FN189" s="357"/>
      <c r="FO189" s="357"/>
      <c r="FP189" s="357"/>
      <c r="FQ189" s="357"/>
      <c r="FR189" s="357"/>
      <c r="FS189" s="357"/>
      <c r="FT189" s="357"/>
      <c r="FU189" s="357"/>
      <c r="FV189" s="357"/>
      <c r="FW189" s="357"/>
      <c r="FX189" s="357"/>
      <c r="FY189" s="357"/>
      <c r="FZ189" s="357"/>
      <c r="GA189" s="357"/>
      <c r="GB189" s="357"/>
      <c r="GC189" s="357"/>
      <c r="GD189" s="357"/>
      <c r="GE189" s="357"/>
      <c r="GF189" s="357"/>
      <c r="GG189" s="357"/>
      <c r="GH189" s="357"/>
      <c r="GI189" s="357"/>
      <c r="GJ189" s="357"/>
      <c r="GK189" s="154"/>
      <c r="GL189" s="154"/>
      <c r="GM189" s="154"/>
      <c r="GN189" s="154"/>
      <c r="GO189" s="154"/>
      <c r="GP189" s="154"/>
      <c r="GQ189" s="154"/>
      <c r="GR189" s="154"/>
      <c r="GS189" s="154"/>
      <c r="GT189" s="154"/>
      <c r="GU189" s="154"/>
      <c r="GV189" s="154"/>
      <c r="GW189" s="154"/>
      <c r="GX189" s="154"/>
    </row>
    <row r="190" spans="7:206">
      <c r="G190" s="154"/>
      <c r="H190" s="154"/>
      <c r="I190" s="154"/>
      <c r="J190" s="154"/>
      <c r="K190" s="154"/>
      <c r="L190" s="154"/>
      <c r="M190" s="154"/>
      <c r="N190" s="154"/>
      <c r="O190" s="154"/>
      <c r="P190" s="154"/>
      <c r="Q190" s="154"/>
      <c r="R190" s="154"/>
      <c r="S190" s="154"/>
      <c r="T190" s="154"/>
      <c r="U190" s="154"/>
      <c r="V190" s="154"/>
      <c r="W190" s="154"/>
      <c r="X190" s="154"/>
      <c r="Y190" s="154"/>
      <c r="Z190" s="357"/>
      <c r="AA190" s="357"/>
      <c r="AB190" s="357"/>
      <c r="AC190" s="357"/>
      <c r="AD190" s="357"/>
      <c r="AE190" s="357"/>
      <c r="AF190" s="357"/>
      <c r="AG190" s="357"/>
      <c r="AH190" s="357"/>
      <c r="AI190" s="357"/>
      <c r="AJ190" s="357"/>
      <c r="AK190" s="357"/>
      <c r="AL190" s="357"/>
      <c r="AM190" s="357"/>
      <c r="AN190" s="357"/>
      <c r="AO190" s="357"/>
      <c r="AP190" s="357"/>
      <c r="AQ190" s="357"/>
      <c r="AR190" s="357"/>
      <c r="AS190" s="357"/>
      <c r="AT190" s="357"/>
      <c r="AU190" s="357"/>
      <c r="AV190" s="357"/>
      <c r="AW190" s="357"/>
      <c r="AX190" s="357"/>
      <c r="AY190" s="357"/>
      <c r="AZ190" s="357"/>
      <c r="BA190" s="357"/>
      <c r="BB190" s="357"/>
      <c r="BC190" s="357"/>
      <c r="BD190" s="357"/>
      <c r="BE190" s="357"/>
      <c r="BF190" s="357"/>
      <c r="BG190" s="357"/>
      <c r="BH190" s="357"/>
      <c r="BI190" s="357"/>
      <c r="BJ190" s="357"/>
      <c r="BK190" s="357"/>
      <c r="BL190" s="357"/>
      <c r="BM190" s="357"/>
      <c r="BN190" s="357"/>
      <c r="BO190" s="357"/>
      <c r="BP190" s="357"/>
      <c r="BQ190" s="357"/>
      <c r="BR190" s="357"/>
      <c r="BS190" s="357"/>
      <c r="BT190" s="357"/>
      <c r="BU190" s="357"/>
      <c r="BV190" s="357"/>
      <c r="BW190" s="357"/>
      <c r="BX190" s="357"/>
      <c r="BY190" s="357"/>
      <c r="BZ190" s="357"/>
      <c r="CA190" s="357"/>
      <c r="CB190" s="357"/>
      <c r="CC190" s="357"/>
      <c r="CD190" s="357"/>
      <c r="CE190" s="357"/>
      <c r="CF190" s="357"/>
      <c r="CG190" s="357"/>
      <c r="CH190" s="357"/>
      <c r="CI190" s="357"/>
      <c r="CJ190" s="357"/>
      <c r="CK190" s="357"/>
      <c r="CL190" s="357"/>
      <c r="CM190" s="357"/>
      <c r="CN190" s="357"/>
      <c r="CO190" s="357"/>
      <c r="CP190" s="357"/>
      <c r="CQ190" s="357"/>
      <c r="CR190" s="357"/>
      <c r="CS190" s="357"/>
      <c r="CT190" s="357"/>
      <c r="CU190" s="357"/>
      <c r="CV190" s="357"/>
      <c r="CW190" s="357"/>
      <c r="CX190" s="357"/>
      <c r="CY190" s="357"/>
      <c r="CZ190" s="357"/>
      <c r="DA190" s="357"/>
      <c r="DB190" s="357"/>
      <c r="DC190" s="357"/>
      <c r="DD190" s="357"/>
      <c r="DE190" s="357"/>
      <c r="DF190" s="357"/>
      <c r="DG190" s="357"/>
      <c r="DH190" s="357"/>
      <c r="DI190" s="357"/>
      <c r="DJ190" s="357"/>
      <c r="DK190" s="357"/>
      <c r="DL190" s="357"/>
      <c r="DM190" s="357"/>
      <c r="DN190" s="357"/>
      <c r="DO190" s="357"/>
      <c r="DP190" s="357"/>
      <c r="DQ190" s="357"/>
      <c r="DR190" s="357"/>
      <c r="DS190" s="357"/>
      <c r="DT190" s="357"/>
      <c r="DU190" s="357"/>
      <c r="DV190" s="357"/>
      <c r="DW190" s="357"/>
      <c r="DX190" s="357"/>
      <c r="DY190" s="357"/>
      <c r="DZ190" s="357"/>
      <c r="EA190" s="357"/>
      <c r="EB190" s="357"/>
      <c r="EC190" s="357"/>
      <c r="ED190" s="357"/>
      <c r="EE190" s="357"/>
      <c r="EF190" s="357"/>
      <c r="EG190" s="357"/>
      <c r="EH190" s="357"/>
      <c r="EI190" s="357"/>
      <c r="EJ190" s="357"/>
      <c r="EK190" s="357"/>
      <c r="EL190" s="357"/>
      <c r="EM190" s="357"/>
      <c r="EN190" s="357"/>
      <c r="EO190" s="357"/>
      <c r="EP190" s="357"/>
      <c r="EQ190" s="357"/>
      <c r="ER190" s="357"/>
      <c r="ES190" s="357"/>
      <c r="ET190" s="357"/>
      <c r="EU190" s="357"/>
      <c r="EV190" s="357"/>
      <c r="EW190" s="357"/>
      <c r="EX190" s="357"/>
      <c r="EY190" s="357"/>
      <c r="EZ190" s="357"/>
      <c r="FA190" s="357"/>
      <c r="FB190" s="357"/>
      <c r="FC190" s="357"/>
      <c r="FD190" s="357"/>
      <c r="FE190" s="357"/>
      <c r="FF190" s="357"/>
      <c r="FG190" s="357"/>
      <c r="FH190" s="357"/>
      <c r="FI190" s="357"/>
      <c r="FJ190" s="357"/>
      <c r="FK190" s="357"/>
      <c r="FL190" s="357"/>
      <c r="FM190" s="357"/>
      <c r="FN190" s="357"/>
      <c r="FO190" s="357"/>
      <c r="FP190" s="357"/>
      <c r="FQ190" s="357"/>
      <c r="FR190" s="357"/>
      <c r="FS190" s="357"/>
      <c r="FT190" s="357"/>
      <c r="FU190" s="357"/>
      <c r="FV190" s="357"/>
      <c r="FW190" s="357"/>
      <c r="FX190" s="357"/>
      <c r="FY190" s="357"/>
      <c r="FZ190" s="357"/>
      <c r="GA190" s="357"/>
      <c r="GB190" s="357"/>
      <c r="GC190" s="357"/>
      <c r="GD190" s="357"/>
      <c r="GE190" s="357"/>
      <c r="GF190" s="357"/>
      <c r="GG190" s="357"/>
      <c r="GH190" s="357"/>
      <c r="GI190" s="357"/>
      <c r="GJ190" s="357"/>
      <c r="GK190" s="154"/>
      <c r="GL190" s="154"/>
      <c r="GM190" s="154"/>
      <c r="GN190" s="154"/>
      <c r="GO190" s="154"/>
      <c r="GP190" s="154"/>
      <c r="GQ190" s="154"/>
      <c r="GR190" s="154"/>
      <c r="GS190" s="154"/>
      <c r="GT190" s="154"/>
      <c r="GU190" s="154"/>
      <c r="GV190" s="154"/>
      <c r="GW190" s="154"/>
      <c r="GX190" s="154"/>
    </row>
    <row r="191" spans="7:206">
      <c r="G191" s="154"/>
      <c r="H191" s="154"/>
      <c r="I191" s="154"/>
      <c r="J191" s="154"/>
      <c r="K191" s="154"/>
      <c r="L191" s="154"/>
      <c r="M191" s="154"/>
      <c r="N191" s="154"/>
      <c r="O191" s="154"/>
      <c r="P191" s="154"/>
      <c r="Q191" s="154"/>
      <c r="R191" s="154"/>
      <c r="S191" s="154"/>
      <c r="T191" s="154"/>
      <c r="U191" s="154"/>
      <c r="V191" s="154"/>
      <c r="W191" s="154"/>
      <c r="X191" s="154"/>
      <c r="Y191" s="154"/>
      <c r="Z191" s="357"/>
      <c r="AA191" s="357"/>
      <c r="AB191" s="357"/>
      <c r="AC191" s="357"/>
      <c r="AD191" s="357"/>
      <c r="AE191" s="357"/>
      <c r="AF191" s="357"/>
      <c r="AG191" s="357"/>
      <c r="AH191" s="357"/>
      <c r="AI191" s="357"/>
      <c r="AJ191" s="357"/>
      <c r="AK191" s="357"/>
      <c r="AL191" s="357"/>
      <c r="AM191" s="357"/>
      <c r="AN191" s="357"/>
      <c r="AO191" s="357"/>
      <c r="AP191" s="357"/>
      <c r="AQ191" s="357"/>
      <c r="AR191" s="357"/>
      <c r="AS191" s="357"/>
      <c r="AT191" s="357"/>
      <c r="AU191" s="357"/>
      <c r="AV191" s="357"/>
      <c r="AW191" s="357"/>
      <c r="AX191" s="357"/>
      <c r="AY191" s="357"/>
      <c r="AZ191" s="357"/>
      <c r="BA191" s="357"/>
      <c r="BB191" s="357"/>
      <c r="BC191" s="357"/>
      <c r="BD191" s="357"/>
      <c r="BE191" s="357"/>
      <c r="BF191" s="357"/>
      <c r="BG191" s="357"/>
      <c r="BH191" s="357"/>
      <c r="BI191" s="357"/>
      <c r="BJ191" s="357"/>
      <c r="BK191" s="357"/>
      <c r="BL191" s="357"/>
      <c r="BM191" s="357"/>
      <c r="BN191" s="357"/>
      <c r="BO191" s="357"/>
      <c r="BP191" s="357"/>
      <c r="BQ191" s="357"/>
      <c r="BR191" s="357"/>
      <c r="BS191" s="357"/>
      <c r="BT191" s="357"/>
      <c r="BU191" s="357"/>
      <c r="BV191" s="357"/>
      <c r="BW191" s="357"/>
      <c r="BX191" s="357"/>
      <c r="BY191" s="357"/>
      <c r="BZ191" s="357"/>
      <c r="CA191" s="357"/>
      <c r="CB191" s="357"/>
      <c r="CC191" s="357"/>
      <c r="CD191" s="357"/>
      <c r="CE191" s="357"/>
      <c r="CF191" s="357"/>
      <c r="CG191" s="357"/>
      <c r="CH191" s="357"/>
      <c r="CI191" s="357"/>
      <c r="CJ191" s="357"/>
      <c r="CK191" s="357"/>
      <c r="CL191" s="357"/>
      <c r="CM191" s="357"/>
      <c r="CN191" s="357"/>
      <c r="CO191" s="357"/>
      <c r="CP191" s="357"/>
      <c r="CQ191" s="357"/>
      <c r="CR191" s="357"/>
      <c r="CS191" s="357"/>
      <c r="CT191" s="357"/>
      <c r="CU191" s="357"/>
      <c r="CV191" s="357"/>
      <c r="CW191" s="357"/>
      <c r="CX191" s="357"/>
      <c r="CY191" s="357"/>
      <c r="CZ191" s="357"/>
      <c r="DA191" s="357"/>
      <c r="DB191" s="357"/>
      <c r="DC191" s="357"/>
      <c r="DD191" s="357"/>
      <c r="DE191" s="357"/>
      <c r="DF191" s="357"/>
      <c r="DG191" s="357"/>
      <c r="DH191" s="357"/>
      <c r="DI191" s="357"/>
      <c r="DJ191" s="357"/>
      <c r="DK191" s="357"/>
      <c r="DL191" s="357"/>
      <c r="DM191" s="357"/>
      <c r="DN191" s="357"/>
      <c r="DO191" s="357"/>
      <c r="DP191" s="357"/>
      <c r="DQ191" s="357"/>
      <c r="DR191" s="357"/>
      <c r="DS191" s="357"/>
      <c r="DT191" s="357"/>
      <c r="DU191" s="357"/>
      <c r="DV191" s="357"/>
      <c r="DW191" s="357"/>
      <c r="DX191" s="357"/>
      <c r="DY191" s="357"/>
      <c r="DZ191" s="357"/>
      <c r="EA191" s="357"/>
      <c r="EB191" s="357"/>
      <c r="EC191" s="357"/>
      <c r="ED191" s="357"/>
      <c r="EE191" s="357"/>
      <c r="EF191" s="357"/>
      <c r="EG191" s="357"/>
      <c r="EH191" s="357"/>
      <c r="EI191" s="357"/>
      <c r="EJ191" s="357"/>
      <c r="EK191" s="357"/>
      <c r="EL191" s="357"/>
      <c r="EM191" s="357"/>
      <c r="EN191" s="357"/>
      <c r="EO191" s="357"/>
      <c r="EP191" s="357"/>
      <c r="EQ191" s="357"/>
      <c r="ER191" s="357"/>
      <c r="ES191" s="357"/>
      <c r="ET191" s="357"/>
      <c r="EU191" s="357"/>
      <c r="EV191" s="357"/>
      <c r="EW191" s="357"/>
      <c r="EX191" s="357"/>
      <c r="EY191" s="357"/>
      <c r="EZ191" s="357"/>
      <c r="FA191" s="357"/>
      <c r="FB191" s="357"/>
      <c r="FC191" s="357"/>
      <c r="FD191" s="357"/>
      <c r="FE191" s="357"/>
      <c r="FF191" s="357"/>
      <c r="FG191" s="357"/>
      <c r="FH191" s="357"/>
      <c r="FI191" s="357"/>
      <c r="FJ191" s="357"/>
      <c r="FK191" s="357"/>
      <c r="FL191" s="357"/>
      <c r="FM191" s="357"/>
      <c r="FN191" s="357"/>
      <c r="FO191" s="357"/>
      <c r="FP191" s="357"/>
      <c r="FQ191" s="357"/>
      <c r="FR191" s="357"/>
      <c r="FS191" s="357"/>
      <c r="FT191" s="357"/>
      <c r="FU191" s="357"/>
      <c r="FV191" s="357"/>
      <c r="FW191" s="357"/>
      <c r="FX191" s="357"/>
      <c r="FY191" s="357"/>
      <c r="FZ191" s="357"/>
      <c r="GA191" s="357"/>
      <c r="GB191" s="357"/>
      <c r="GC191" s="357"/>
      <c r="GD191" s="357"/>
      <c r="GE191" s="357"/>
      <c r="GF191" s="357"/>
      <c r="GG191" s="357"/>
      <c r="GH191" s="357"/>
      <c r="GI191" s="357"/>
      <c r="GJ191" s="357"/>
      <c r="GK191" s="154"/>
      <c r="GL191" s="154"/>
      <c r="GM191" s="154"/>
      <c r="GN191" s="154"/>
      <c r="GO191" s="154"/>
      <c r="GP191" s="154"/>
      <c r="GQ191" s="154"/>
      <c r="GR191" s="154"/>
      <c r="GS191" s="154"/>
      <c r="GT191" s="154"/>
      <c r="GU191" s="154"/>
      <c r="GV191" s="154"/>
      <c r="GW191" s="154"/>
      <c r="GX191" s="154"/>
    </row>
    <row r="192" spans="7:206">
      <c r="G192" s="154"/>
      <c r="H192" s="154"/>
      <c r="I192" s="154"/>
      <c r="J192" s="154"/>
      <c r="K192" s="154"/>
      <c r="L192" s="154"/>
      <c r="M192" s="154"/>
      <c r="N192" s="154"/>
      <c r="O192" s="154"/>
      <c r="P192" s="154"/>
      <c r="Q192" s="154"/>
      <c r="R192" s="154"/>
      <c r="S192" s="154"/>
      <c r="T192" s="154"/>
      <c r="U192" s="154"/>
      <c r="V192" s="154"/>
      <c r="W192" s="154"/>
      <c r="X192" s="154"/>
      <c r="Y192" s="154"/>
      <c r="Z192" s="357"/>
      <c r="AA192" s="357"/>
      <c r="AB192" s="357"/>
      <c r="AC192" s="357"/>
      <c r="AD192" s="357"/>
      <c r="AE192" s="357"/>
      <c r="AF192" s="357"/>
      <c r="AG192" s="357"/>
      <c r="AH192" s="357"/>
      <c r="AI192" s="357"/>
      <c r="AJ192" s="357"/>
      <c r="AK192" s="357"/>
      <c r="AL192" s="357"/>
      <c r="AM192" s="357"/>
      <c r="AN192" s="357"/>
      <c r="AO192" s="357"/>
      <c r="AP192" s="357"/>
      <c r="AQ192" s="357"/>
      <c r="AR192" s="357"/>
      <c r="AS192" s="357"/>
      <c r="AT192" s="357"/>
      <c r="AU192" s="357"/>
      <c r="AV192" s="357"/>
      <c r="AW192" s="357"/>
      <c r="AX192" s="357"/>
      <c r="AY192" s="357"/>
      <c r="AZ192" s="357"/>
      <c r="BA192" s="357"/>
      <c r="BB192" s="357"/>
      <c r="BC192" s="357"/>
      <c r="BD192" s="357"/>
      <c r="BE192" s="357"/>
      <c r="BF192" s="357"/>
      <c r="BG192" s="357"/>
      <c r="BH192" s="357"/>
      <c r="BI192" s="357"/>
      <c r="BJ192" s="357"/>
      <c r="BK192" s="357"/>
      <c r="BL192" s="357"/>
      <c r="BM192" s="357"/>
      <c r="BN192" s="357"/>
      <c r="BO192" s="357"/>
      <c r="BP192" s="357"/>
      <c r="BQ192" s="357"/>
      <c r="BR192" s="357"/>
      <c r="BS192" s="357"/>
      <c r="BT192" s="357"/>
      <c r="BU192" s="357"/>
      <c r="BV192" s="357"/>
      <c r="BW192" s="357"/>
      <c r="BX192" s="357"/>
      <c r="BY192" s="357"/>
      <c r="BZ192" s="357"/>
      <c r="CA192" s="357"/>
      <c r="CB192" s="357"/>
      <c r="CC192" s="357"/>
      <c r="CD192" s="357"/>
      <c r="CE192" s="357"/>
      <c r="CF192" s="357"/>
      <c r="CG192" s="357"/>
      <c r="CH192" s="357"/>
      <c r="CI192" s="357"/>
      <c r="CJ192" s="357"/>
      <c r="CK192" s="357"/>
      <c r="CL192" s="357"/>
      <c r="CM192" s="357"/>
      <c r="CN192" s="357"/>
      <c r="CO192" s="357"/>
      <c r="CP192" s="357"/>
      <c r="CQ192" s="357"/>
      <c r="CR192" s="357"/>
      <c r="CS192" s="357"/>
      <c r="CT192" s="357"/>
      <c r="CU192" s="357"/>
      <c r="CV192" s="357"/>
      <c r="CW192" s="357"/>
      <c r="CX192" s="357"/>
      <c r="CY192" s="357"/>
      <c r="CZ192" s="357"/>
      <c r="DA192" s="357"/>
      <c r="DB192" s="357"/>
      <c r="DC192" s="357"/>
      <c r="DD192" s="357"/>
      <c r="DE192" s="357"/>
      <c r="DF192" s="357"/>
      <c r="DG192" s="357"/>
      <c r="DH192" s="357"/>
      <c r="DI192" s="357"/>
      <c r="DJ192" s="357"/>
      <c r="DK192" s="357"/>
      <c r="DL192" s="357"/>
      <c r="DM192" s="357"/>
      <c r="DN192" s="357"/>
      <c r="DO192" s="357"/>
      <c r="DP192" s="357"/>
      <c r="DQ192" s="357"/>
      <c r="DR192" s="357"/>
      <c r="DS192" s="357"/>
      <c r="DT192" s="357"/>
      <c r="DU192" s="357"/>
      <c r="DV192" s="357"/>
      <c r="DW192" s="357"/>
      <c r="DX192" s="357"/>
      <c r="DY192" s="357"/>
      <c r="DZ192" s="357"/>
      <c r="EA192" s="357"/>
      <c r="EB192" s="357"/>
      <c r="EC192" s="357"/>
      <c r="ED192" s="357"/>
      <c r="EE192" s="357"/>
      <c r="EF192" s="357"/>
      <c r="EG192" s="357"/>
      <c r="EH192" s="357"/>
      <c r="EI192" s="357"/>
      <c r="EJ192" s="357"/>
      <c r="EK192" s="357"/>
      <c r="EL192" s="357"/>
      <c r="EM192" s="357"/>
      <c r="EN192" s="357"/>
      <c r="EO192" s="357"/>
      <c r="EP192" s="357"/>
      <c r="EQ192" s="357"/>
      <c r="ER192" s="357"/>
      <c r="ES192" s="357"/>
      <c r="ET192" s="357"/>
      <c r="EU192" s="357"/>
      <c r="EV192" s="357"/>
      <c r="EW192" s="357"/>
      <c r="EX192" s="357"/>
      <c r="EY192" s="357"/>
      <c r="EZ192" s="357"/>
      <c r="FA192" s="357"/>
      <c r="FB192" s="357"/>
      <c r="FC192" s="357"/>
      <c r="FD192" s="357"/>
      <c r="FE192" s="357"/>
      <c r="FF192" s="357"/>
      <c r="FG192" s="357"/>
      <c r="FH192" s="357"/>
      <c r="FI192" s="357"/>
      <c r="FJ192" s="357"/>
      <c r="FK192" s="357"/>
      <c r="FL192" s="357"/>
      <c r="FM192" s="357"/>
      <c r="FN192" s="357"/>
      <c r="FO192" s="357"/>
      <c r="FP192" s="357"/>
      <c r="FQ192" s="357"/>
      <c r="FR192" s="357"/>
      <c r="FS192" s="357"/>
      <c r="FT192" s="357"/>
      <c r="FU192" s="357"/>
      <c r="FV192" s="357"/>
      <c r="FW192" s="357"/>
      <c r="FX192" s="357"/>
      <c r="FY192" s="357"/>
      <c r="FZ192" s="357"/>
      <c r="GA192" s="357"/>
      <c r="GB192" s="357"/>
      <c r="GC192" s="357"/>
      <c r="GD192" s="357"/>
      <c r="GE192" s="357"/>
      <c r="GF192" s="357"/>
      <c r="GG192" s="357"/>
      <c r="GH192" s="357"/>
      <c r="GI192" s="357"/>
      <c r="GJ192" s="357"/>
      <c r="GK192" s="154"/>
      <c r="GL192" s="154"/>
      <c r="GM192" s="154"/>
      <c r="GN192" s="154"/>
      <c r="GO192" s="154"/>
      <c r="GP192" s="154"/>
      <c r="GQ192" s="154"/>
      <c r="GR192" s="154"/>
      <c r="GS192" s="154"/>
      <c r="GT192" s="154"/>
      <c r="GU192" s="154"/>
      <c r="GV192" s="154"/>
      <c r="GW192" s="154"/>
      <c r="GX192" s="154"/>
    </row>
    <row r="193" spans="7:206">
      <c r="G193" s="154"/>
      <c r="H193" s="154"/>
      <c r="I193" s="154"/>
      <c r="J193" s="154"/>
      <c r="K193" s="154"/>
      <c r="L193" s="154"/>
      <c r="M193" s="154"/>
      <c r="N193" s="154"/>
      <c r="O193" s="154"/>
      <c r="P193" s="154"/>
      <c r="Q193" s="154"/>
      <c r="R193" s="154"/>
      <c r="S193" s="154"/>
      <c r="T193" s="154"/>
      <c r="U193" s="154"/>
      <c r="V193" s="154"/>
      <c r="W193" s="154"/>
      <c r="X193" s="154"/>
      <c r="Y193" s="154"/>
      <c r="Z193" s="357"/>
      <c r="AA193" s="357"/>
      <c r="AB193" s="357"/>
      <c r="AC193" s="357"/>
      <c r="AD193" s="357"/>
      <c r="AE193" s="357"/>
      <c r="AF193" s="357"/>
      <c r="AG193" s="357"/>
      <c r="AH193" s="357"/>
      <c r="AI193" s="357"/>
      <c r="AJ193" s="357"/>
      <c r="AK193" s="357"/>
      <c r="AL193" s="357"/>
      <c r="AM193" s="357"/>
      <c r="AN193" s="357"/>
      <c r="AO193" s="357"/>
      <c r="AP193" s="357"/>
      <c r="AQ193" s="357"/>
      <c r="AR193" s="357"/>
      <c r="AS193" s="357"/>
      <c r="AT193" s="357"/>
      <c r="AU193" s="357"/>
      <c r="AV193" s="357"/>
      <c r="AW193" s="357"/>
      <c r="AX193" s="357"/>
      <c r="AY193" s="357"/>
      <c r="AZ193" s="357"/>
      <c r="BA193" s="357"/>
      <c r="BB193" s="357"/>
      <c r="BC193" s="357"/>
      <c r="BD193" s="357"/>
      <c r="BE193" s="357"/>
      <c r="BF193" s="357"/>
      <c r="BG193" s="357"/>
      <c r="BH193" s="357"/>
      <c r="BI193" s="357"/>
      <c r="BJ193" s="357"/>
      <c r="BK193" s="357"/>
      <c r="BL193" s="357"/>
      <c r="BM193" s="357"/>
      <c r="BN193" s="357"/>
      <c r="BO193" s="357"/>
      <c r="BP193" s="357"/>
      <c r="BQ193" s="357"/>
      <c r="BR193" s="357"/>
      <c r="BS193" s="357"/>
      <c r="BT193" s="357"/>
      <c r="BU193" s="357"/>
      <c r="BV193" s="357"/>
      <c r="BW193" s="357"/>
      <c r="BX193" s="357"/>
      <c r="BY193" s="357"/>
      <c r="BZ193" s="357"/>
      <c r="CA193" s="357"/>
      <c r="CB193" s="357"/>
      <c r="CC193" s="357"/>
      <c r="CD193" s="357"/>
      <c r="CE193" s="357"/>
      <c r="CF193" s="357"/>
      <c r="CG193" s="357"/>
      <c r="CH193" s="357"/>
      <c r="CI193" s="357"/>
      <c r="CJ193" s="357"/>
      <c r="CK193" s="357"/>
      <c r="CL193" s="357"/>
      <c r="CM193" s="357"/>
      <c r="CN193" s="357"/>
      <c r="CO193" s="357"/>
      <c r="CP193" s="357"/>
      <c r="CQ193" s="357"/>
      <c r="CR193" s="357"/>
      <c r="CS193" s="357"/>
      <c r="CT193" s="357"/>
      <c r="CU193" s="357"/>
      <c r="CV193" s="357"/>
      <c r="CW193" s="357"/>
      <c r="CX193" s="357"/>
      <c r="CY193" s="357"/>
      <c r="CZ193" s="357"/>
      <c r="DA193" s="357"/>
      <c r="DB193" s="357"/>
      <c r="DC193" s="357"/>
      <c r="DD193" s="357"/>
      <c r="DE193" s="357"/>
      <c r="DF193" s="357"/>
      <c r="DG193" s="357"/>
      <c r="DH193" s="357"/>
      <c r="DI193" s="357"/>
      <c r="DJ193" s="357"/>
      <c r="DK193" s="357"/>
      <c r="DL193" s="357"/>
      <c r="DM193" s="357"/>
      <c r="DN193" s="357"/>
      <c r="DO193" s="357"/>
      <c r="DP193" s="357"/>
      <c r="DQ193" s="357"/>
      <c r="DR193" s="357"/>
      <c r="DS193" s="357"/>
      <c r="DT193" s="357"/>
      <c r="DU193" s="357"/>
      <c r="DV193" s="357"/>
      <c r="DW193" s="357"/>
      <c r="DX193" s="357"/>
      <c r="DY193" s="357"/>
      <c r="DZ193" s="357"/>
      <c r="EA193" s="357"/>
      <c r="EB193" s="357"/>
      <c r="EC193" s="357"/>
      <c r="ED193" s="357"/>
      <c r="EE193" s="357"/>
      <c r="EF193" s="357"/>
      <c r="EG193" s="357"/>
      <c r="EH193" s="357"/>
      <c r="EI193" s="357"/>
      <c r="EJ193" s="357"/>
      <c r="EK193" s="357"/>
      <c r="EL193" s="357"/>
      <c r="EM193" s="357"/>
      <c r="EN193" s="357"/>
      <c r="EO193" s="357"/>
      <c r="EP193" s="357"/>
      <c r="EQ193" s="357"/>
      <c r="ER193" s="357"/>
      <c r="ES193" s="357"/>
      <c r="ET193" s="357"/>
      <c r="EU193" s="357"/>
      <c r="EV193" s="357"/>
      <c r="EW193" s="357"/>
      <c r="EX193" s="357"/>
      <c r="EY193" s="357"/>
      <c r="EZ193" s="357"/>
      <c r="FA193" s="357"/>
      <c r="FB193" s="357"/>
      <c r="FC193" s="357"/>
      <c r="FD193" s="357"/>
      <c r="FE193" s="357"/>
      <c r="FF193" s="357"/>
      <c r="FG193" s="357"/>
      <c r="FH193" s="357"/>
      <c r="FI193" s="357"/>
      <c r="FJ193" s="357"/>
      <c r="FK193" s="357"/>
      <c r="FL193" s="357"/>
      <c r="FM193" s="357"/>
      <c r="FN193" s="357"/>
      <c r="FO193" s="357"/>
      <c r="FP193" s="357"/>
      <c r="FQ193" s="357"/>
      <c r="FR193" s="357"/>
      <c r="FS193" s="357"/>
      <c r="FT193" s="357"/>
      <c r="FU193" s="357"/>
      <c r="FV193" s="357"/>
      <c r="FW193" s="357"/>
      <c r="FX193" s="357"/>
      <c r="FY193" s="357"/>
      <c r="FZ193" s="357"/>
      <c r="GA193" s="357"/>
      <c r="GB193" s="357"/>
      <c r="GC193" s="357"/>
      <c r="GD193" s="357"/>
      <c r="GE193" s="357"/>
      <c r="GF193" s="357"/>
      <c r="GG193" s="357"/>
      <c r="GH193" s="357"/>
      <c r="GI193" s="357"/>
      <c r="GJ193" s="357"/>
      <c r="GK193" s="154"/>
      <c r="GL193" s="154"/>
      <c r="GM193" s="154"/>
      <c r="GN193" s="154"/>
      <c r="GO193" s="154"/>
      <c r="GP193" s="154"/>
      <c r="GQ193" s="154"/>
      <c r="GR193" s="154"/>
      <c r="GS193" s="154"/>
      <c r="GT193" s="154"/>
      <c r="GU193" s="154"/>
      <c r="GV193" s="154"/>
      <c r="GW193" s="154"/>
      <c r="GX193" s="154"/>
    </row>
    <row r="194" spans="7:206">
      <c r="G194" s="154"/>
      <c r="H194" s="154"/>
      <c r="I194" s="154"/>
      <c r="J194" s="154"/>
      <c r="K194" s="154"/>
      <c r="L194" s="154"/>
      <c r="M194" s="154"/>
      <c r="N194" s="154"/>
      <c r="O194" s="154"/>
      <c r="P194" s="154"/>
      <c r="Q194" s="154"/>
      <c r="R194" s="154"/>
      <c r="S194" s="154"/>
      <c r="T194" s="154"/>
      <c r="U194" s="154"/>
      <c r="V194" s="154"/>
      <c r="W194" s="154"/>
      <c r="X194" s="154"/>
      <c r="Y194" s="154"/>
      <c r="Z194" s="357"/>
      <c r="AA194" s="357"/>
      <c r="AB194" s="357"/>
      <c r="AC194" s="357"/>
      <c r="AD194" s="357"/>
      <c r="AE194" s="357"/>
      <c r="AF194" s="357"/>
      <c r="AG194" s="357"/>
      <c r="AH194" s="357"/>
      <c r="AI194" s="357"/>
      <c r="AJ194" s="357"/>
      <c r="AK194" s="357"/>
      <c r="AL194" s="357"/>
      <c r="AM194" s="357"/>
      <c r="AN194" s="357"/>
      <c r="AO194" s="357"/>
      <c r="AP194" s="357"/>
      <c r="AQ194" s="357"/>
      <c r="AR194" s="357"/>
      <c r="AS194" s="357"/>
      <c r="AT194" s="357"/>
      <c r="AU194" s="357"/>
      <c r="AV194" s="357"/>
      <c r="AW194" s="357"/>
      <c r="AX194" s="357"/>
      <c r="AY194" s="357"/>
      <c r="AZ194" s="357"/>
      <c r="BA194" s="357"/>
      <c r="BB194" s="357"/>
      <c r="BC194" s="357"/>
      <c r="BD194" s="357"/>
      <c r="BE194" s="357"/>
      <c r="BF194" s="357"/>
      <c r="BG194" s="357"/>
      <c r="BH194" s="357"/>
      <c r="BI194" s="357"/>
      <c r="BJ194" s="357"/>
      <c r="BK194" s="357"/>
      <c r="BL194" s="357"/>
      <c r="BM194" s="357"/>
      <c r="BN194" s="357"/>
      <c r="BO194" s="357"/>
      <c r="BP194" s="357"/>
      <c r="BQ194" s="357"/>
      <c r="BR194" s="357"/>
      <c r="BS194" s="357"/>
      <c r="BT194" s="357"/>
      <c r="BU194" s="357"/>
      <c r="BV194" s="357"/>
      <c r="BW194" s="357"/>
      <c r="BX194" s="357"/>
      <c r="BY194" s="357"/>
      <c r="BZ194" s="357"/>
      <c r="CA194" s="357"/>
      <c r="CB194" s="357"/>
      <c r="CC194" s="357"/>
      <c r="CD194" s="357"/>
      <c r="CE194" s="357"/>
      <c r="CF194" s="357"/>
      <c r="CG194" s="357"/>
      <c r="CH194" s="357"/>
      <c r="CI194" s="357"/>
      <c r="CJ194" s="357"/>
      <c r="CK194" s="357"/>
      <c r="CL194" s="357"/>
      <c r="CM194" s="357"/>
      <c r="CN194" s="357"/>
      <c r="CO194" s="357"/>
      <c r="CP194" s="357"/>
      <c r="CQ194" s="357"/>
      <c r="CR194" s="357"/>
      <c r="CS194" s="357"/>
      <c r="CT194" s="357"/>
      <c r="CU194" s="357"/>
      <c r="CV194" s="357"/>
      <c r="CW194" s="357"/>
      <c r="CX194" s="357"/>
      <c r="CY194" s="357"/>
      <c r="CZ194" s="357"/>
      <c r="DA194" s="357"/>
      <c r="DB194" s="357"/>
      <c r="DC194" s="357"/>
      <c r="DD194" s="357"/>
      <c r="DE194" s="357"/>
      <c r="DF194" s="357"/>
      <c r="DG194" s="357"/>
      <c r="DH194" s="357"/>
      <c r="DI194" s="357"/>
      <c r="DJ194" s="357"/>
      <c r="DK194" s="357"/>
      <c r="DL194" s="357"/>
      <c r="DM194" s="357"/>
      <c r="DN194" s="357"/>
      <c r="DO194" s="357"/>
      <c r="DP194" s="357"/>
      <c r="DQ194" s="357"/>
      <c r="DR194" s="357"/>
      <c r="DS194" s="357"/>
      <c r="DT194" s="357"/>
      <c r="DU194" s="357"/>
      <c r="DV194" s="357"/>
      <c r="DW194" s="357"/>
      <c r="DX194" s="357"/>
      <c r="DY194" s="357"/>
      <c r="DZ194" s="357"/>
      <c r="EA194" s="357"/>
      <c r="EB194" s="357"/>
      <c r="EC194" s="357"/>
      <c r="ED194" s="357"/>
      <c r="EE194" s="357"/>
      <c r="EF194" s="357"/>
      <c r="EG194" s="357"/>
      <c r="EH194" s="357"/>
      <c r="EI194" s="357"/>
      <c r="EJ194" s="357"/>
      <c r="EK194" s="357"/>
      <c r="EL194" s="357"/>
      <c r="EM194" s="357"/>
      <c r="EN194" s="357"/>
      <c r="EO194" s="357"/>
      <c r="EP194" s="357"/>
      <c r="EQ194" s="357"/>
      <c r="ER194" s="357"/>
      <c r="ES194" s="357"/>
      <c r="ET194" s="357"/>
      <c r="EU194" s="357"/>
      <c r="EV194" s="357"/>
      <c r="EW194" s="357"/>
      <c r="EX194" s="357"/>
      <c r="EY194" s="357"/>
      <c r="EZ194" s="357"/>
      <c r="FA194" s="357"/>
      <c r="FB194" s="357"/>
      <c r="FC194" s="357"/>
      <c r="FD194" s="357"/>
      <c r="FE194" s="357"/>
      <c r="FF194" s="357"/>
      <c r="FG194" s="357"/>
      <c r="FH194" s="357"/>
      <c r="FI194" s="357"/>
      <c r="FJ194" s="357"/>
      <c r="FK194" s="357"/>
      <c r="FL194" s="357"/>
      <c r="FM194" s="357"/>
      <c r="FN194" s="357"/>
      <c r="FO194" s="357"/>
      <c r="FP194" s="357"/>
      <c r="FQ194" s="357"/>
      <c r="FR194" s="357"/>
      <c r="FS194" s="357"/>
      <c r="FT194" s="357"/>
      <c r="FU194" s="357"/>
      <c r="FV194" s="357"/>
      <c r="FW194" s="357"/>
      <c r="FX194" s="357"/>
      <c r="FY194" s="357"/>
      <c r="FZ194" s="357"/>
      <c r="GA194" s="357"/>
      <c r="GB194" s="357"/>
      <c r="GC194" s="357"/>
      <c r="GD194" s="357"/>
      <c r="GE194" s="357"/>
      <c r="GF194" s="357"/>
      <c r="GG194" s="357"/>
      <c r="GH194" s="357"/>
      <c r="GI194" s="357"/>
      <c r="GJ194" s="357"/>
      <c r="GK194" s="154"/>
      <c r="GL194" s="154"/>
      <c r="GM194" s="154"/>
      <c r="GN194" s="154"/>
      <c r="GO194" s="154"/>
      <c r="GP194" s="154"/>
      <c r="GQ194" s="154"/>
      <c r="GR194" s="154"/>
      <c r="GS194" s="154"/>
      <c r="GT194" s="154"/>
      <c r="GU194" s="154"/>
      <c r="GV194" s="154"/>
      <c r="GW194" s="154"/>
      <c r="GX194" s="154"/>
    </row>
    <row r="195" spans="7:206">
      <c r="G195" s="154"/>
      <c r="H195" s="154"/>
      <c r="I195" s="154"/>
      <c r="J195" s="154"/>
      <c r="K195" s="154"/>
      <c r="L195" s="154"/>
      <c r="M195" s="154"/>
      <c r="N195" s="154"/>
      <c r="O195" s="154"/>
      <c r="P195" s="154"/>
      <c r="Q195" s="154"/>
      <c r="R195" s="154"/>
      <c r="S195" s="154"/>
      <c r="T195" s="154"/>
      <c r="U195" s="154"/>
      <c r="V195" s="154"/>
      <c r="W195" s="154"/>
      <c r="X195" s="154"/>
      <c r="Y195" s="154"/>
      <c r="Z195" s="357"/>
      <c r="AA195" s="357"/>
      <c r="AB195" s="357"/>
      <c r="AC195" s="357"/>
      <c r="AD195" s="357"/>
      <c r="AE195" s="357"/>
      <c r="AF195" s="357"/>
      <c r="AG195" s="357"/>
      <c r="AH195" s="357"/>
      <c r="AI195" s="357"/>
      <c r="AJ195" s="357"/>
      <c r="AK195" s="357"/>
      <c r="AL195" s="357"/>
      <c r="AM195" s="357"/>
      <c r="AN195" s="357"/>
      <c r="AO195" s="357"/>
      <c r="AP195" s="357"/>
      <c r="AQ195" s="357"/>
      <c r="AR195" s="357"/>
      <c r="AS195" s="357"/>
      <c r="AT195" s="357"/>
      <c r="AU195" s="357"/>
      <c r="AV195" s="357"/>
      <c r="AW195" s="357"/>
      <c r="AX195" s="357"/>
      <c r="AY195" s="357"/>
      <c r="AZ195" s="357"/>
      <c r="BA195" s="357"/>
      <c r="BB195" s="357"/>
      <c r="BC195" s="357"/>
      <c r="BD195" s="357"/>
      <c r="BE195" s="357"/>
      <c r="BF195" s="357"/>
      <c r="BG195" s="357"/>
      <c r="BH195" s="357"/>
      <c r="BI195" s="357"/>
      <c r="BJ195" s="357"/>
      <c r="BK195" s="357"/>
      <c r="BL195" s="357"/>
      <c r="BM195" s="357"/>
      <c r="BN195" s="357"/>
      <c r="BO195" s="357"/>
      <c r="BP195" s="357"/>
      <c r="BQ195" s="357"/>
      <c r="BR195" s="357"/>
      <c r="BS195" s="357"/>
      <c r="BT195" s="357"/>
      <c r="BU195" s="357"/>
      <c r="BV195" s="357"/>
      <c r="BW195" s="357"/>
      <c r="BX195" s="357"/>
      <c r="BY195" s="357"/>
      <c r="BZ195" s="357"/>
      <c r="CA195" s="357"/>
      <c r="CB195" s="357"/>
      <c r="CC195" s="357"/>
      <c r="CD195" s="357"/>
      <c r="CE195" s="357"/>
      <c r="CF195" s="357"/>
      <c r="CG195" s="357"/>
      <c r="CH195" s="357"/>
      <c r="CI195" s="357"/>
      <c r="CJ195" s="357"/>
      <c r="CK195" s="357"/>
      <c r="CL195" s="357"/>
      <c r="CM195" s="357"/>
      <c r="CN195" s="357"/>
      <c r="CO195" s="357"/>
      <c r="CP195" s="357"/>
      <c r="CQ195" s="357"/>
      <c r="CR195" s="357"/>
      <c r="CS195" s="357"/>
      <c r="CT195" s="357"/>
      <c r="CU195" s="357"/>
      <c r="CV195" s="357"/>
      <c r="CW195" s="357"/>
      <c r="CX195" s="357"/>
      <c r="CY195" s="357"/>
      <c r="CZ195" s="357"/>
      <c r="DA195" s="357"/>
      <c r="DB195" s="357"/>
      <c r="DC195" s="357"/>
      <c r="DD195" s="357"/>
      <c r="DE195" s="357"/>
      <c r="DF195" s="357"/>
      <c r="DG195" s="357"/>
      <c r="DH195" s="357"/>
      <c r="DI195" s="357"/>
      <c r="DJ195" s="357"/>
      <c r="DK195" s="357"/>
      <c r="DL195" s="357"/>
      <c r="DM195" s="357"/>
      <c r="DN195" s="357"/>
      <c r="DO195" s="357"/>
      <c r="DP195" s="357"/>
      <c r="DQ195" s="357"/>
      <c r="DR195" s="357"/>
      <c r="DS195" s="357"/>
      <c r="DT195" s="357"/>
      <c r="DU195" s="357"/>
      <c r="DV195" s="357"/>
      <c r="DW195" s="357"/>
      <c r="DX195" s="357"/>
      <c r="DY195" s="357"/>
      <c r="DZ195" s="357"/>
      <c r="EA195" s="357"/>
      <c r="EB195" s="357"/>
      <c r="EC195" s="357"/>
      <c r="ED195" s="357"/>
      <c r="EE195" s="357"/>
      <c r="EF195" s="357"/>
      <c r="EG195" s="357"/>
      <c r="EH195" s="357"/>
      <c r="EI195" s="357"/>
      <c r="EJ195" s="357"/>
      <c r="EK195" s="357"/>
      <c r="EL195" s="357"/>
      <c r="EM195" s="357"/>
      <c r="EN195" s="357"/>
      <c r="EO195" s="357"/>
      <c r="EP195" s="357"/>
      <c r="EQ195" s="357"/>
      <c r="ER195" s="357"/>
      <c r="ES195" s="357"/>
      <c r="ET195" s="357"/>
      <c r="EU195" s="357"/>
      <c r="EV195" s="357"/>
      <c r="EW195" s="357"/>
      <c r="EX195" s="357"/>
      <c r="EY195" s="357"/>
      <c r="EZ195" s="357"/>
      <c r="FA195" s="357"/>
      <c r="FB195" s="357"/>
      <c r="FC195" s="357"/>
      <c r="FD195" s="357"/>
      <c r="FE195" s="357"/>
      <c r="FF195" s="357"/>
      <c r="FG195" s="357"/>
      <c r="FH195" s="357"/>
      <c r="FI195" s="357"/>
      <c r="FJ195" s="357"/>
      <c r="FK195" s="357"/>
      <c r="FL195" s="357"/>
      <c r="FM195" s="357"/>
      <c r="FN195" s="357"/>
      <c r="FO195" s="357"/>
      <c r="FP195" s="357"/>
      <c r="FQ195" s="357"/>
      <c r="FR195" s="357"/>
      <c r="FS195" s="357"/>
      <c r="FT195" s="357"/>
      <c r="FU195" s="357"/>
      <c r="FV195" s="357"/>
      <c r="FW195" s="357"/>
      <c r="FX195" s="357"/>
      <c r="FY195" s="357"/>
      <c r="FZ195" s="357"/>
      <c r="GA195" s="357"/>
      <c r="GB195" s="357"/>
      <c r="GC195" s="357"/>
      <c r="GD195" s="357"/>
      <c r="GE195" s="357"/>
      <c r="GF195" s="357"/>
      <c r="GG195" s="357"/>
      <c r="GH195" s="357"/>
      <c r="GI195" s="357"/>
      <c r="GJ195" s="357"/>
      <c r="GK195" s="154"/>
      <c r="GL195" s="154"/>
      <c r="GM195" s="154"/>
      <c r="GN195" s="154"/>
      <c r="GO195" s="154"/>
      <c r="GP195" s="154"/>
      <c r="GQ195" s="154"/>
      <c r="GR195" s="154"/>
      <c r="GS195" s="154"/>
      <c r="GT195" s="154"/>
      <c r="GU195" s="154"/>
      <c r="GV195" s="154"/>
      <c r="GW195" s="154"/>
      <c r="GX195" s="154"/>
    </row>
    <row r="196" spans="7:206">
      <c r="G196" s="154"/>
      <c r="H196" s="154"/>
      <c r="I196" s="154"/>
      <c r="J196" s="154"/>
      <c r="K196" s="154"/>
      <c r="L196" s="154"/>
      <c r="M196" s="154"/>
      <c r="N196" s="154"/>
      <c r="O196" s="154"/>
      <c r="P196" s="154"/>
      <c r="Q196" s="154"/>
      <c r="R196" s="154"/>
      <c r="S196" s="154"/>
      <c r="T196" s="154"/>
      <c r="U196" s="154"/>
      <c r="V196" s="154"/>
      <c r="W196" s="154"/>
      <c r="X196" s="154"/>
      <c r="Y196" s="154"/>
      <c r="Z196" s="357"/>
      <c r="AA196" s="357"/>
      <c r="AB196" s="357"/>
      <c r="AC196" s="357"/>
      <c r="AD196" s="357"/>
      <c r="AE196" s="357"/>
      <c r="AF196" s="357"/>
      <c r="AG196" s="357"/>
      <c r="AH196" s="357"/>
      <c r="AI196" s="357"/>
      <c r="AJ196" s="357"/>
      <c r="AK196" s="357"/>
      <c r="AL196" s="357"/>
      <c r="AM196" s="357"/>
      <c r="AN196" s="357"/>
      <c r="AO196" s="357"/>
      <c r="AP196" s="357"/>
      <c r="AQ196" s="357"/>
      <c r="AR196" s="357"/>
      <c r="AS196" s="357"/>
      <c r="AT196" s="357"/>
      <c r="AU196" s="357"/>
      <c r="AV196" s="357"/>
      <c r="AW196" s="357"/>
      <c r="AX196" s="357"/>
      <c r="AY196" s="357"/>
      <c r="AZ196" s="357"/>
      <c r="BA196" s="357"/>
      <c r="BB196" s="357"/>
      <c r="BC196" s="357"/>
      <c r="BD196" s="357"/>
      <c r="BE196" s="357"/>
      <c r="BF196" s="357"/>
      <c r="BG196" s="357"/>
      <c r="BH196" s="357"/>
      <c r="BI196" s="357"/>
      <c r="BJ196" s="357"/>
      <c r="BK196" s="357"/>
      <c r="BL196" s="357"/>
      <c r="BM196" s="357"/>
      <c r="BN196" s="357"/>
      <c r="BO196" s="357"/>
      <c r="BP196" s="357"/>
      <c r="BQ196" s="357"/>
      <c r="BR196" s="357"/>
      <c r="BS196" s="357"/>
      <c r="BT196" s="357"/>
      <c r="BU196" s="357"/>
      <c r="BV196" s="357"/>
      <c r="BW196" s="357"/>
      <c r="BX196" s="357"/>
      <c r="BY196" s="357"/>
      <c r="BZ196" s="357"/>
      <c r="CA196" s="357"/>
      <c r="CB196" s="357"/>
      <c r="CC196" s="357"/>
      <c r="CD196" s="357"/>
      <c r="CE196" s="357"/>
      <c r="CF196" s="357"/>
      <c r="CG196" s="357"/>
      <c r="CH196" s="357"/>
      <c r="CI196" s="357"/>
      <c r="CJ196" s="357"/>
      <c r="CK196" s="357"/>
      <c r="CL196" s="357"/>
      <c r="CM196" s="357"/>
      <c r="CN196" s="357"/>
      <c r="CO196" s="357"/>
      <c r="CP196" s="357"/>
      <c r="CQ196" s="357"/>
      <c r="CR196" s="357"/>
      <c r="CS196" s="357"/>
      <c r="CT196" s="357"/>
      <c r="CU196" s="357"/>
      <c r="CV196" s="357"/>
      <c r="CW196" s="357"/>
      <c r="CX196" s="357"/>
      <c r="CY196" s="357"/>
      <c r="CZ196" s="357"/>
      <c r="DA196" s="357"/>
      <c r="DB196" s="357"/>
      <c r="DC196" s="357"/>
      <c r="DD196" s="357"/>
      <c r="DE196" s="357"/>
      <c r="DF196" s="357"/>
      <c r="DG196" s="357"/>
      <c r="DH196" s="357"/>
      <c r="DI196" s="357"/>
      <c r="DJ196" s="357"/>
      <c r="DK196" s="357"/>
      <c r="DL196" s="357"/>
      <c r="DM196" s="357"/>
      <c r="DN196" s="357"/>
      <c r="DO196" s="357"/>
      <c r="DP196" s="357"/>
      <c r="DQ196" s="357"/>
      <c r="DR196" s="357"/>
      <c r="DS196" s="357"/>
      <c r="DT196" s="357"/>
      <c r="DU196" s="357"/>
      <c r="DV196" s="357"/>
      <c r="DW196" s="357"/>
      <c r="DX196" s="357"/>
      <c r="DY196" s="357"/>
      <c r="DZ196" s="357"/>
      <c r="EA196" s="357"/>
      <c r="EB196" s="357"/>
      <c r="EC196" s="357"/>
      <c r="ED196" s="357"/>
      <c r="EE196" s="357"/>
      <c r="EF196" s="357"/>
      <c r="EG196" s="357"/>
      <c r="EH196" s="357"/>
      <c r="EI196" s="357"/>
      <c r="EJ196" s="357"/>
      <c r="EK196" s="357"/>
      <c r="EL196" s="357"/>
      <c r="EM196" s="357"/>
      <c r="EN196" s="357"/>
      <c r="EO196" s="357"/>
      <c r="EP196" s="357"/>
      <c r="EQ196" s="357"/>
      <c r="ER196" s="357"/>
      <c r="ES196" s="357"/>
      <c r="ET196" s="357"/>
      <c r="EU196" s="357"/>
      <c r="EV196" s="357"/>
      <c r="EW196" s="357"/>
      <c r="EX196" s="357"/>
      <c r="EY196" s="357"/>
      <c r="EZ196" s="357"/>
      <c r="FA196" s="357"/>
      <c r="FB196" s="357"/>
      <c r="FC196" s="357"/>
      <c r="FD196" s="357"/>
      <c r="FE196" s="357"/>
      <c r="FF196" s="357"/>
      <c r="FG196" s="357"/>
      <c r="FH196" s="357"/>
      <c r="FI196" s="357"/>
      <c r="FJ196" s="357"/>
      <c r="FK196" s="357"/>
      <c r="FL196" s="357"/>
      <c r="FM196" s="357"/>
      <c r="FN196" s="357"/>
      <c r="FO196" s="357"/>
      <c r="FP196" s="357"/>
      <c r="FQ196" s="357"/>
      <c r="FR196" s="357"/>
      <c r="FS196" s="357"/>
      <c r="FT196" s="357"/>
      <c r="FU196" s="357"/>
      <c r="FV196" s="357"/>
      <c r="FW196" s="357"/>
      <c r="FX196" s="357"/>
      <c r="FY196" s="357"/>
      <c r="FZ196" s="357"/>
      <c r="GA196" s="357"/>
      <c r="GB196" s="357"/>
      <c r="GC196" s="357"/>
      <c r="GD196" s="357"/>
      <c r="GE196" s="357"/>
      <c r="GF196" s="357"/>
      <c r="GG196" s="357"/>
      <c r="GH196" s="357"/>
      <c r="GI196" s="357"/>
      <c r="GJ196" s="357"/>
      <c r="GK196" s="154"/>
      <c r="GL196" s="154"/>
      <c r="GM196" s="154"/>
      <c r="GN196" s="154"/>
      <c r="GO196" s="154"/>
      <c r="GP196" s="154"/>
      <c r="GQ196" s="154"/>
      <c r="GR196" s="154"/>
      <c r="GS196" s="154"/>
      <c r="GT196" s="154"/>
      <c r="GU196" s="154"/>
      <c r="GV196" s="154"/>
      <c r="GW196" s="154"/>
      <c r="GX196" s="154"/>
    </row>
    <row r="197" spans="7:206">
      <c r="G197" s="154"/>
      <c r="H197" s="154"/>
      <c r="I197" s="154"/>
      <c r="J197" s="154"/>
      <c r="K197" s="154"/>
      <c r="L197" s="154"/>
      <c r="M197" s="154"/>
      <c r="N197" s="154"/>
      <c r="O197" s="154"/>
      <c r="P197" s="154"/>
      <c r="Q197" s="154"/>
      <c r="R197" s="154"/>
      <c r="S197" s="154"/>
      <c r="T197" s="154"/>
      <c r="U197" s="154"/>
      <c r="V197" s="154"/>
      <c r="W197" s="154"/>
      <c r="X197" s="154"/>
      <c r="Y197" s="154"/>
      <c r="Z197" s="357"/>
      <c r="AA197" s="357"/>
      <c r="AB197" s="357"/>
      <c r="AC197" s="357"/>
      <c r="AD197" s="357"/>
      <c r="AE197" s="357"/>
      <c r="AF197" s="357"/>
      <c r="AG197" s="357"/>
      <c r="AH197" s="357"/>
      <c r="AI197" s="357"/>
      <c r="AJ197" s="357"/>
      <c r="AK197" s="357"/>
      <c r="AL197" s="357"/>
      <c r="AM197" s="357"/>
      <c r="AN197" s="357"/>
      <c r="AO197" s="357"/>
      <c r="AP197" s="357"/>
      <c r="AQ197" s="357"/>
      <c r="AR197" s="357"/>
      <c r="AS197" s="357"/>
      <c r="AT197" s="357"/>
      <c r="AU197" s="357"/>
      <c r="AV197" s="357"/>
      <c r="AW197" s="357"/>
      <c r="AX197" s="357"/>
      <c r="AY197" s="357"/>
      <c r="AZ197" s="357"/>
      <c r="BA197" s="357"/>
      <c r="BB197" s="357"/>
      <c r="BC197" s="357"/>
      <c r="BD197" s="357"/>
      <c r="BE197" s="357"/>
      <c r="BF197" s="357"/>
      <c r="BG197" s="357"/>
      <c r="BH197" s="357"/>
      <c r="BI197" s="357"/>
      <c r="BJ197" s="357"/>
      <c r="BK197" s="357"/>
      <c r="BL197" s="357"/>
      <c r="BM197" s="357"/>
      <c r="BN197" s="357"/>
      <c r="BO197" s="357"/>
      <c r="BP197" s="357"/>
      <c r="BQ197" s="357"/>
      <c r="BR197" s="357"/>
      <c r="BS197" s="357"/>
      <c r="BT197" s="357"/>
      <c r="BU197" s="357"/>
      <c r="BV197" s="357"/>
      <c r="BW197" s="357"/>
      <c r="BX197" s="357"/>
      <c r="BY197" s="357"/>
      <c r="BZ197" s="357"/>
      <c r="CA197" s="357"/>
      <c r="CB197" s="357"/>
      <c r="CC197" s="357"/>
      <c r="CD197" s="357"/>
      <c r="CE197" s="357"/>
      <c r="CF197" s="357"/>
      <c r="CG197" s="357"/>
      <c r="CH197" s="357"/>
      <c r="CI197" s="357"/>
      <c r="CJ197" s="357"/>
      <c r="CK197" s="357"/>
      <c r="CL197" s="357"/>
      <c r="CM197" s="357"/>
      <c r="CN197" s="357"/>
      <c r="CO197" s="357"/>
      <c r="CP197" s="357"/>
      <c r="CQ197" s="357"/>
      <c r="CR197" s="357"/>
      <c r="CS197" s="357"/>
      <c r="CT197" s="357"/>
      <c r="CU197" s="357"/>
      <c r="CV197" s="357"/>
      <c r="CW197" s="357"/>
      <c r="CX197" s="357"/>
      <c r="CY197" s="357"/>
      <c r="CZ197" s="357"/>
      <c r="DA197" s="357"/>
      <c r="DB197" s="357"/>
      <c r="DC197" s="357"/>
      <c r="DD197" s="357"/>
      <c r="DE197" s="357"/>
      <c r="DF197" s="357"/>
      <c r="DG197" s="357"/>
      <c r="DH197" s="357"/>
      <c r="DI197" s="357"/>
      <c r="DJ197" s="357"/>
      <c r="DK197" s="357"/>
      <c r="DL197" s="357"/>
      <c r="DM197" s="357"/>
      <c r="DN197" s="357"/>
      <c r="DO197" s="357"/>
      <c r="DP197" s="357"/>
      <c r="DQ197" s="357"/>
      <c r="DR197" s="357"/>
      <c r="DS197" s="357"/>
      <c r="DT197" s="357"/>
      <c r="DU197" s="357"/>
      <c r="DV197" s="357"/>
      <c r="DW197" s="357"/>
      <c r="DX197" s="357"/>
      <c r="DY197" s="357"/>
      <c r="DZ197" s="357"/>
      <c r="EA197" s="357"/>
      <c r="EB197" s="357"/>
      <c r="EC197" s="357"/>
      <c r="ED197" s="357"/>
      <c r="EE197" s="357"/>
      <c r="EF197" s="357"/>
      <c r="EG197" s="357"/>
      <c r="EH197" s="357"/>
      <c r="EI197" s="357"/>
      <c r="EJ197" s="357"/>
      <c r="EK197" s="357"/>
      <c r="EL197" s="357"/>
      <c r="EM197" s="357"/>
      <c r="EN197" s="357"/>
      <c r="EO197" s="357"/>
      <c r="EP197" s="357"/>
      <c r="EQ197" s="357"/>
      <c r="ER197" s="357"/>
      <c r="ES197" s="357"/>
      <c r="ET197" s="357"/>
      <c r="EU197" s="357"/>
      <c r="EV197" s="357"/>
      <c r="EW197" s="357"/>
      <c r="EX197" s="357"/>
      <c r="EY197" s="357"/>
      <c r="EZ197" s="357"/>
      <c r="FA197" s="357"/>
      <c r="FB197" s="357"/>
      <c r="FC197" s="357"/>
      <c r="FD197" s="357"/>
      <c r="FE197" s="357"/>
      <c r="FF197" s="357"/>
      <c r="FG197" s="357"/>
      <c r="FH197" s="357"/>
      <c r="FI197" s="357"/>
      <c r="FJ197" s="357"/>
      <c r="FK197" s="357"/>
      <c r="FL197" s="357"/>
      <c r="FM197" s="357"/>
      <c r="FN197" s="357"/>
      <c r="FO197" s="357"/>
      <c r="FP197" s="357"/>
      <c r="FQ197" s="357"/>
      <c r="FR197" s="357"/>
      <c r="FS197" s="357"/>
      <c r="FT197" s="357"/>
      <c r="FU197" s="357"/>
      <c r="FV197" s="357"/>
      <c r="FW197" s="357"/>
      <c r="FX197" s="357"/>
      <c r="FY197" s="357"/>
      <c r="FZ197" s="357"/>
      <c r="GA197" s="357"/>
      <c r="GB197" s="357"/>
      <c r="GC197" s="357"/>
      <c r="GD197" s="357"/>
      <c r="GE197" s="357"/>
      <c r="GF197" s="357"/>
      <c r="GG197" s="357"/>
      <c r="GH197" s="357"/>
      <c r="GI197" s="357"/>
      <c r="GJ197" s="357"/>
      <c r="GK197" s="154"/>
      <c r="GL197" s="154"/>
      <c r="GM197" s="154"/>
      <c r="GN197" s="154"/>
      <c r="GO197" s="154"/>
      <c r="GP197" s="154"/>
      <c r="GQ197" s="154"/>
      <c r="GR197" s="154"/>
      <c r="GS197" s="154"/>
      <c r="GT197" s="154"/>
      <c r="GU197" s="154"/>
      <c r="GV197" s="154"/>
      <c r="GW197" s="154"/>
      <c r="GX197" s="154"/>
    </row>
    <row r="198" spans="7:206">
      <c r="G198" s="154"/>
      <c r="H198" s="154"/>
      <c r="I198" s="154"/>
      <c r="J198" s="154"/>
      <c r="K198" s="154"/>
      <c r="L198" s="154"/>
      <c r="M198" s="154"/>
      <c r="N198" s="154"/>
      <c r="O198" s="154"/>
      <c r="P198" s="154"/>
      <c r="Q198" s="154"/>
      <c r="R198" s="154"/>
      <c r="S198" s="154"/>
      <c r="T198" s="154"/>
      <c r="U198" s="154"/>
      <c r="V198" s="154"/>
      <c r="W198" s="154"/>
      <c r="X198" s="154"/>
      <c r="Y198" s="154"/>
      <c r="Z198" s="357"/>
      <c r="AA198" s="357"/>
      <c r="AB198" s="357"/>
      <c r="AC198" s="357"/>
      <c r="AD198" s="357"/>
      <c r="AE198" s="357"/>
      <c r="AF198" s="357"/>
      <c r="AG198" s="357"/>
      <c r="AH198" s="357"/>
      <c r="AI198" s="357"/>
      <c r="AJ198" s="357"/>
      <c r="AK198" s="357"/>
      <c r="AL198" s="357"/>
      <c r="AM198" s="357"/>
      <c r="AN198" s="357"/>
      <c r="AO198" s="357"/>
      <c r="AP198" s="357"/>
      <c r="AQ198" s="357"/>
      <c r="AR198" s="357"/>
      <c r="AS198" s="357"/>
      <c r="AT198" s="357"/>
      <c r="AU198" s="357"/>
      <c r="AV198" s="357"/>
      <c r="AW198" s="357"/>
      <c r="AX198" s="357"/>
      <c r="AY198" s="357"/>
      <c r="AZ198" s="357"/>
      <c r="BA198" s="357"/>
      <c r="BB198" s="357"/>
      <c r="BC198" s="357"/>
      <c r="BD198" s="357"/>
      <c r="BE198" s="357"/>
      <c r="BF198" s="357"/>
      <c r="BG198" s="357"/>
      <c r="BH198" s="357"/>
      <c r="BI198" s="357"/>
      <c r="BJ198" s="357"/>
      <c r="BK198" s="357"/>
      <c r="BL198" s="357"/>
      <c r="BM198" s="357"/>
      <c r="BN198" s="357"/>
      <c r="BO198" s="357"/>
      <c r="BP198" s="357"/>
      <c r="BQ198" s="357"/>
      <c r="BR198" s="357"/>
      <c r="BS198" s="357"/>
      <c r="BT198" s="357"/>
      <c r="BU198" s="357"/>
      <c r="BV198" s="357"/>
      <c r="BW198" s="357"/>
      <c r="BX198" s="357"/>
      <c r="BY198" s="357"/>
      <c r="BZ198" s="357"/>
      <c r="CA198" s="357"/>
      <c r="CB198" s="357"/>
      <c r="CC198" s="357"/>
      <c r="CD198" s="357"/>
      <c r="CE198" s="357"/>
      <c r="CF198" s="357"/>
      <c r="CG198" s="357"/>
      <c r="CH198" s="357"/>
      <c r="CI198" s="357"/>
      <c r="CJ198" s="357"/>
      <c r="CK198" s="357"/>
      <c r="CL198" s="357"/>
      <c r="CM198" s="357"/>
      <c r="CN198" s="357"/>
      <c r="CO198" s="357"/>
      <c r="CP198" s="357"/>
      <c r="CQ198" s="357"/>
      <c r="CR198" s="357"/>
      <c r="CS198" s="357"/>
      <c r="CT198" s="357"/>
      <c r="CU198" s="357"/>
      <c r="CV198" s="357"/>
      <c r="CW198" s="357"/>
      <c r="CX198" s="357"/>
      <c r="CY198" s="357"/>
      <c r="CZ198" s="357"/>
      <c r="DA198" s="357"/>
      <c r="DB198" s="357"/>
      <c r="DC198" s="357"/>
      <c r="DD198" s="357"/>
      <c r="DE198" s="357"/>
      <c r="DF198" s="357"/>
      <c r="DG198" s="357"/>
      <c r="DH198" s="357"/>
      <c r="DI198" s="357"/>
      <c r="DJ198" s="357"/>
      <c r="DK198" s="357"/>
      <c r="DL198" s="357"/>
      <c r="DM198" s="357"/>
      <c r="DN198" s="357"/>
      <c r="DO198" s="357"/>
      <c r="DP198" s="357"/>
      <c r="DQ198" s="357"/>
      <c r="DR198" s="357"/>
      <c r="DS198" s="357"/>
      <c r="DT198" s="357"/>
      <c r="DU198" s="357"/>
      <c r="DV198" s="357"/>
      <c r="DW198" s="357"/>
      <c r="DX198" s="357"/>
      <c r="DY198" s="357"/>
      <c r="DZ198" s="357"/>
      <c r="EA198" s="357"/>
      <c r="EB198" s="357"/>
      <c r="EC198" s="357"/>
      <c r="ED198" s="357"/>
      <c r="EE198" s="357"/>
      <c r="EF198" s="357"/>
      <c r="EG198" s="357"/>
      <c r="EH198" s="357"/>
      <c r="EI198" s="357"/>
      <c r="EJ198" s="357"/>
      <c r="EK198" s="357"/>
      <c r="EL198" s="357"/>
      <c r="EM198" s="357"/>
      <c r="EN198" s="357"/>
      <c r="EO198" s="357"/>
      <c r="EP198" s="357"/>
      <c r="EQ198" s="357"/>
      <c r="ER198" s="357"/>
      <c r="ES198" s="357"/>
      <c r="ET198" s="357"/>
      <c r="EU198" s="357"/>
      <c r="EV198" s="357"/>
      <c r="EW198" s="357"/>
      <c r="EX198" s="357"/>
      <c r="EY198" s="357"/>
      <c r="EZ198" s="357"/>
      <c r="FA198" s="357"/>
      <c r="FB198" s="357"/>
      <c r="FC198" s="357"/>
      <c r="FD198" s="357"/>
      <c r="FE198" s="357"/>
      <c r="FF198" s="357"/>
      <c r="FG198" s="357"/>
      <c r="FH198" s="357"/>
      <c r="FI198" s="357"/>
      <c r="FJ198" s="357"/>
      <c r="FK198" s="357"/>
      <c r="FL198" s="357"/>
      <c r="FM198" s="357"/>
      <c r="FN198" s="357"/>
      <c r="FO198" s="357"/>
      <c r="FP198" s="357"/>
      <c r="FQ198" s="357"/>
      <c r="FR198" s="357"/>
      <c r="FS198" s="357"/>
      <c r="FT198" s="357"/>
      <c r="FU198" s="357"/>
      <c r="FV198" s="357"/>
      <c r="FW198" s="357"/>
      <c r="FX198" s="357"/>
      <c r="FY198" s="357"/>
      <c r="FZ198" s="357"/>
      <c r="GA198" s="357"/>
      <c r="GB198" s="357"/>
      <c r="GC198" s="357"/>
      <c r="GD198" s="357"/>
      <c r="GE198" s="357"/>
      <c r="GF198" s="357"/>
      <c r="GG198" s="357"/>
      <c r="GH198" s="357"/>
      <c r="GI198" s="357"/>
      <c r="GJ198" s="357"/>
      <c r="GK198" s="154"/>
      <c r="GL198" s="154"/>
      <c r="GM198" s="154"/>
      <c r="GN198" s="154"/>
      <c r="GO198" s="154"/>
      <c r="GP198" s="154"/>
      <c r="GQ198" s="154"/>
      <c r="GR198" s="154"/>
      <c r="GS198" s="154"/>
      <c r="GT198" s="154"/>
      <c r="GU198" s="154"/>
      <c r="GV198" s="154"/>
      <c r="GW198" s="154"/>
      <c r="GX198" s="154"/>
    </row>
    <row r="199" spans="7:206">
      <c r="G199" s="154"/>
      <c r="H199" s="154"/>
      <c r="I199" s="154"/>
      <c r="J199" s="154"/>
      <c r="K199" s="154"/>
      <c r="L199" s="154"/>
      <c r="M199" s="154"/>
      <c r="N199" s="154"/>
      <c r="O199" s="154"/>
      <c r="P199" s="154"/>
      <c r="Q199" s="154"/>
      <c r="R199" s="154"/>
      <c r="S199" s="154"/>
      <c r="T199" s="154"/>
      <c r="U199" s="154"/>
      <c r="V199" s="154"/>
      <c r="W199" s="154"/>
      <c r="X199" s="154"/>
      <c r="Y199" s="154"/>
      <c r="Z199" s="357"/>
      <c r="AA199" s="357"/>
      <c r="AB199" s="357"/>
      <c r="AC199" s="357"/>
      <c r="AD199" s="357"/>
      <c r="AE199" s="357"/>
      <c r="AF199" s="357"/>
      <c r="AG199" s="357"/>
      <c r="AH199" s="357"/>
      <c r="AI199" s="357"/>
      <c r="AJ199" s="357"/>
      <c r="AK199" s="357"/>
      <c r="AL199" s="357"/>
      <c r="AM199" s="357"/>
      <c r="AN199" s="357"/>
      <c r="AO199" s="357"/>
      <c r="AP199" s="357"/>
      <c r="AQ199" s="357"/>
      <c r="AR199" s="357"/>
      <c r="AS199" s="357"/>
      <c r="AT199" s="357"/>
      <c r="AU199" s="357"/>
      <c r="AV199" s="357"/>
      <c r="AW199" s="357"/>
      <c r="AX199" s="357"/>
      <c r="AY199" s="357"/>
      <c r="AZ199" s="357"/>
      <c r="BA199" s="357"/>
      <c r="BB199" s="357"/>
      <c r="BC199" s="357"/>
      <c r="BD199" s="357"/>
      <c r="BE199" s="357"/>
      <c r="BF199" s="357"/>
      <c r="BG199" s="357"/>
      <c r="BH199" s="357"/>
      <c r="BI199" s="357"/>
      <c r="BJ199" s="357"/>
      <c r="BK199" s="357"/>
      <c r="BL199" s="357"/>
      <c r="BM199" s="357"/>
      <c r="BN199" s="357"/>
      <c r="BO199" s="357"/>
      <c r="BP199" s="357"/>
      <c r="BQ199" s="357"/>
      <c r="BR199" s="357"/>
      <c r="BS199" s="357"/>
      <c r="BT199" s="357"/>
      <c r="BU199" s="357"/>
      <c r="BV199" s="357"/>
      <c r="BW199" s="357"/>
      <c r="BX199" s="357"/>
      <c r="BY199" s="357"/>
      <c r="BZ199" s="357"/>
      <c r="CA199" s="357"/>
      <c r="CB199" s="357"/>
      <c r="CC199" s="357"/>
      <c r="CD199" s="357"/>
      <c r="CE199" s="357"/>
      <c r="CF199" s="357"/>
      <c r="CG199" s="357"/>
      <c r="CH199" s="357"/>
      <c r="CI199" s="357"/>
      <c r="CJ199" s="357"/>
      <c r="CK199" s="357"/>
      <c r="CL199" s="357"/>
      <c r="CM199" s="357"/>
      <c r="CN199" s="357"/>
      <c r="CO199" s="357"/>
      <c r="CP199" s="357"/>
      <c r="CQ199" s="357"/>
      <c r="CR199" s="357"/>
      <c r="CS199" s="357"/>
      <c r="CT199" s="357"/>
      <c r="CU199" s="357"/>
      <c r="CV199" s="357"/>
      <c r="CW199" s="357"/>
      <c r="CX199" s="357"/>
      <c r="CY199" s="357"/>
      <c r="CZ199" s="357"/>
      <c r="DA199" s="357"/>
      <c r="DB199" s="357"/>
      <c r="DC199" s="357"/>
      <c r="DD199" s="357"/>
      <c r="DE199" s="357"/>
      <c r="DF199" s="357"/>
      <c r="DG199" s="357"/>
      <c r="DH199" s="357"/>
      <c r="DI199" s="357"/>
      <c r="DJ199" s="357"/>
      <c r="DK199" s="357"/>
      <c r="DL199" s="357"/>
      <c r="DM199" s="357"/>
      <c r="DN199" s="357"/>
      <c r="DO199" s="357"/>
      <c r="DP199" s="357"/>
      <c r="DQ199" s="357"/>
      <c r="DR199" s="357"/>
      <c r="DS199" s="357"/>
      <c r="DT199" s="357"/>
      <c r="DU199" s="357"/>
      <c r="DV199" s="357"/>
      <c r="DW199" s="357"/>
      <c r="DX199" s="357"/>
      <c r="DY199" s="357"/>
      <c r="DZ199" s="357"/>
      <c r="EA199" s="357"/>
      <c r="EB199" s="357"/>
      <c r="EC199" s="357"/>
      <c r="ED199" s="357"/>
      <c r="EE199" s="357"/>
      <c r="EF199" s="357"/>
      <c r="EG199" s="357"/>
      <c r="EH199" s="357"/>
      <c r="EI199" s="357"/>
      <c r="EJ199" s="357"/>
      <c r="EK199" s="357"/>
      <c r="EL199" s="357"/>
      <c r="EM199" s="357"/>
      <c r="EN199" s="357"/>
      <c r="EO199" s="357"/>
      <c r="EP199" s="357"/>
      <c r="EQ199" s="357"/>
      <c r="ER199" s="357"/>
      <c r="ES199" s="357"/>
      <c r="ET199" s="357"/>
      <c r="EU199" s="357"/>
      <c r="EV199" s="357"/>
      <c r="EW199" s="357"/>
      <c r="EX199" s="357"/>
      <c r="EY199" s="357"/>
      <c r="EZ199" s="357"/>
      <c r="FA199" s="357"/>
      <c r="FB199" s="357"/>
      <c r="FC199" s="357"/>
      <c r="FD199" s="357"/>
      <c r="FE199" s="357"/>
      <c r="FF199" s="357"/>
      <c r="FG199" s="357"/>
      <c r="FH199" s="357"/>
      <c r="FI199" s="357"/>
      <c r="FJ199" s="357"/>
      <c r="FK199" s="357"/>
      <c r="FL199" s="357"/>
      <c r="FM199" s="357"/>
      <c r="FN199" s="357"/>
      <c r="FO199" s="357"/>
      <c r="FP199" s="357"/>
      <c r="FQ199" s="357"/>
      <c r="FR199" s="357"/>
      <c r="FS199" s="357"/>
      <c r="FT199" s="357"/>
      <c r="FU199" s="357"/>
      <c r="FV199" s="357"/>
      <c r="FW199" s="357"/>
      <c r="FX199" s="357"/>
      <c r="FY199" s="357"/>
      <c r="FZ199" s="357"/>
      <c r="GA199" s="357"/>
      <c r="GB199" s="357"/>
      <c r="GC199" s="357"/>
      <c r="GD199" s="357"/>
      <c r="GE199" s="357"/>
      <c r="GF199" s="357"/>
      <c r="GG199" s="357"/>
      <c r="GH199" s="357"/>
      <c r="GI199" s="357"/>
      <c r="GJ199" s="357"/>
      <c r="GK199" s="154"/>
      <c r="GL199" s="154"/>
      <c r="GM199" s="154"/>
      <c r="GN199" s="154"/>
      <c r="GO199" s="154"/>
      <c r="GP199" s="154"/>
      <c r="GQ199" s="154"/>
      <c r="GR199" s="154"/>
      <c r="GS199" s="154"/>
      <c r="GT199" s="154"/>
      <c r="GU199" s="154"/>
      <c r="GV199" s="154"/>
      <c r="GW199" s="154"/>
      <c r="GX199" s="154"/>
    </row>
    <row r="200" spans="7:206">
      <c r="G200" s="154"/>
      <c r="H200" s="154"/>
      <c r="I200" s="154"/>
      <c r="J200" s="154"/>
      <c r="K200" s="154"/>
      <c r="L200" s="154"/>
      <c r="M200" s="154"/>
      <c r="N200" s="154"/>
      <c r="O200" s="154"/>
      <c r="P200" s="154"/>
      <c r="Q200" s="154"/>
      <c r="R200" s="154"/>
      <c r="S200" s="154"/>
      <c r="T200" s="154"/>
      <c r="U200" s="154"/>
      <c r="V200" s="154"/>
      <c r="W200" s="154"/>
      <c r="X200" s="154"/>
      <c r="Y200" s="154"/>
      <c r="Z200" s="357"/>
      <c r="AA200" s="357"/>
      <c r="AB200" s="357"/>
      <c r="AC200" s="357"/>
      <c r="AD200" s="357"/>
      <c r="AE200" s="357"/>
      <c r="AF200" s="357"/>
      <c r="AG200" s="357"/>
      <c r="AH200" s="357"/>
      <c r="AI200" s="357"/>
      <c r="AJ200" s="357"/>
      <c r="AK200" s="357"/>
      <c r="AL200" s="357"/>
      <c r="AM200" s="357"/>
      <c r="AN200" s="357"/>
      <c r="AO200" s="357"/>
      <c r="AP200" s="357"/>
      <c r="AQ200" s="357"/>
      <c r="AR200" s="357"/>
      <c r="AS200" s="357"/>
      <c r="AT200" s="357"/>
      <c r="AU200" s="357"/>
      <c r="AV200" s="357"/>
      <c r="AW200" s="357"/>
      <c r="AX200" s="357"/>
      <c r="AY200" s="357"/>
      <c r="AZ200" s="357"/>
      <c r="BA200" s="357"/>
      <c r="BB200" s="357"/>
      <c r="BC200" s="357"/>
      <c r="BD200" s="357"/>
      <c r="BE200" s="357"/>
      <c r="BF200" s="357"/>
      <c r="BG200" s="357"/>
      <c r="BH200" s="357"/>
      <c r="BI200" s="357"/>
      <c r="BJ200" s="357"/>
      <c r="BK200" s="357"/>
      <c r="BL200" s="357"/>
      <c r="BM200" s="357"/>
      <c r="BN200" s="357"/>
      <c r="BO200" s="357"/>
      <c r="BP200" s="357"/>
      <c r="BQ200" s="357"/>
      <c r="BR200" s="357"/>
      <c r="BS200" s="357"/>
      <c r="BT200" s="357"/>
      <c r="BU200" s="357"/>
      <c r="BV200" s="357"/>
      <c r="BW200" s="357"/>
      <c r="BX200" s="357"/>
      <c r="BY200" s="357"/>
      <c r="BZ200" s="357"/>
      <c r="CA200" s="357"/>
      <c r="CB200" s="357"/>
      <c r="CC200" s="357"/>
      <c r="CD200" s="357"/>
      <c r="CE200" s="357"/>
      <c r="CF200" s="357"/>
      <c r="CG200" s="357"/>
      <c r="CH200" s="357"/>
      <c r="CI200" s="357"/>
      <c r="CJ200" s="357"/>
      <c r="CK200" s="357"/>
      <c r="CL200" s="357"/>
      <c r="CM200" s="357"/>
      <c r="CN200" s="357"/>
      <c r="CO200" s="357"/>
      <c r="CP200" s="357"/>
      <c r="CQ200" s="357"/>
      <c r="CR200" s="357"/>
      <c r="CS200" s="357"/>
      <c r="CT200" s="357"/>
      <c r="CU200" s="357"/>
      <c r="CV200" s="357"/>
      <c r="CW200" s="357"/>
      <c r="CX200" s="357"/>
      <c r="CY200" s="357"/>
      <c r="CZ200" s="357"/>
      <c r="DA200" s="357"/>
      <c r="DB200" s="357"/>
      <c r="DC200" s="357"/>
      <c r="DD200" s="357"/>
      <c r="DE200" s="357"/>
      <c r="DF200" s="357"/>
      <c r="DG200" s="357"/>
      <c r="DH200" s="357"/>
      <c r="DI200" s="357"/>
      <c r="DJ200" s="357"/>
      <c r="DK200" s="357"/>
      <c r="DL200" s="357"/>
      <c r="DM200" s="357"/>
      <c r="DN200" s="357"/>
      <c r="DO200" s="357"/>
      <c r="DP200" s="357"/>
      <c r="DQ200" s="357"/>
      <c r="DR200" s="357"/>
      <c r="DS200" s="357"/>
      <c r="DT200" s="357"/>
      <c r="DU200" s="357"/>
      <c r="DV200" s="357"/>
      <c r="DW200" s="357"/>
      <c r="DX200" s="357"/>
      <c r="DY200" s="357"/>
      <c r="DZ200" s="357"/>
      <c r="EA200" s="357"/>
      <c r="EB200" s="357"/>
      <c r="EC200" s="357"/>
      <c r="ED200" s="357"/>
      <c r="EE200" s="357"/>
      <c r="EF200" s="357"/>
      <c r="EG200" s="357"/>
      <c r="EH200" s="357"/>
      <c r="EI200" s="357"/>
      <c r="EJ200" s="357"/>
      <c r="EK200" s="357"/>
      <c r="EL200" s="357"/>
      <c r="EM200" s="357"/>
      <c r="EN200" s="357"/>
      <c r="EO200" s="357"/>
      <c r="EP200" s="357"/>
      <c r="EQ200" s="357"/>
      <c r="ER200" s="357"/>
      <c r="ES200" s="357"/>
      <c r="ET200" s="357"/>
      <c r="EU200" s="357"/>
      <c r="EV200" s="357"/>
      <c r="EW200" s="357"/>
      <c r="EX200" s="357"/>
      <c r="EY200" s="357"/>
      <c r="EZ200" s="357"/>
      <c r="FA200" s="357"/>
      <c r="FB200" s="357"/>
      <c r="FC200" s="357"/>
      <c r="FD200" s="357"/>
      <c r="FE200" s="357"/>
      <c r="FF200" s="357"/>
      <c r="FG200" s="357"/>
      <c r="FH200" s="357"/>
      <c r="FI200" s="357"/>
      <c r="FJ200" s="357"/>
      <c r="FK200" s="357"/>
      <c r="FL200" s="357"/>
      <c r="FM200" s="357"/>
      <c r="FN200" s="357"/>
      <c r="FO200" s="357"/>
      <c r="FP200" s="357"/>
      <c r="FQ200" s="357"/>
      <c r="FR200" s="357"/>
      <c r="FS200" s="357"/>
      <c r="FT200" s="357"/>
      <c r="FU200" s="357"/>
      <c r="FV200" s="357"/>
      <c r="FW200" s="357"/>
      <c r="FX200" s="357"/>
      <c r="FY200" s="357"/>
      <c r="FZ200" s="357"/>
      <c r="GA200" s="357"/>
      <c r="GB200" s="357"/>
      <c r="GC200" s="357"/>
      <c r="GD200" s="357"/>
      <c r="GE200" s="357"/>
      <c r="GF200" s="357"/>
      <c r="GG200" s="357"/>
      <c r="GH200" s="357"/>
      <c r="GI200" s="357"/>
      <c r="GJ200" s="357"/>
      <c r="GK200" s="154"/>
      <c r="GL200" s="154"/>
      <c r="GM200" s="154"/>
      <c r="GN200" s="154"/>
      <c r="GO200" s="154"/>
      <c r="GP200" s="154"/>
      <c r="GQ200" s="154"/>
      <c r="GR200" s="154"/>
      <c r="GS200" s="154"/>
      <c r="GT200" s="154"/>
      <c r="GU200" s="154"/>
      <c r="GV200" s="154"/>
      <c r="GW200" s="154"/>
      <c r="GX200" s="154"/>
    </row>
    <row r="201" spans="7:206">
      <c r="G201" s="154"/>
      <c r="H201" s="154"/>
      <c r="I201" s="154"/>
      <c r="J201" s="154"/>
      <c r="K201" s="154"/>
      <c r="L201" s="154"/>
      <c r="M201" s="154"/>
      <c r="N201" s="154"/>
      <c r="O201" s="154"/>
      <c r="P201" s="154"/>
      <c r="Q201" s="154"/>
      <c r="R201" s="154"/>
      <c r="S201" s="154"/>
      <c r="T201" s="154"/>
      <c r="U201" s="154"/>
      <c r="V201" s="154"/>
      <c r="W201" s="154"/>
      <c r="X201" s="154"/>
      <c r="Y201" s="154"/>
      <c r="Z201" s="357"/>
      <c r="AA201" s="357"/>
      <c r="AB201" s="357"/>
      <c r="AC201" s="357"/>
      <c r="AD201" s="357"/>
      <c r="AE201" s="357"/>
      <c r="AF201" s="357"/>
      <c r="AG201" s="357"/>
      <c r="AH201" s="357"/>
      <c r="AI201" s="357"/>
      <c r="AJ201" s="357"/>
      <c r="AK201" s="357"/>
      <c r="AL201" s="357"/>
      <c r="AM201" s="357"/>
      <c r="AN201" s="357"/>
      <c r="AO201" s="357"/>
      <c r="AP201" s="357"/>
      <c r="AQ201" s="357"/>
      <c r="AR201" s="357"/>
      <c r="AS201" s="357"/>
      <c r="AT201" s="357"/>
      <c r="AU201" s="357"/>
      <c r="AV201" s="357"/>
      <c r="AW201" s="357"/>
      <c r="AX201" s="357"/>
      <c r="AY201" s="357"/>
      <c r="AZ201" s="357"/>
      <c r="BA201" s="357"/>
      <c r="BB201" s="357"/>
      <c r="BC201" s="357"/>
      <c r="BD201" s="357"/>
      <c r="BE201" s="357"/>
      <c r="BF201" s="357"/>
      <c r="BG201" s="357"/>
      <c r="BH201" s="357"/>
      <c r="BI201" s="357"/>
      <c r="BJ201" s="357"/>
      <c r="BK201" s="357"/>
      <c r="BL201" s="357"/>
      <c r="BM201" s="357"/>
      <c r="BN201" s="357"/>
      <c r="BO201" s="357"/>
      <c r="BP201" s="357"/>
      <c r="BQ201" s="357"/>
      <c r="BR201" s="357"/>
      <c r="BS201" s="357"/>
      <c r="BT201" s="357"/>
      <c r="BU201" s="357"/>
      <c r="BV201" s="357"/>
      <c r="BW201" s="357"/>
      <c r="BX201" s="357"/>
      <c r="BY201" s="357"/>
      <c r="BZ201" s="357"/>
      <c r="CA201" s="357"/>
      <c r="CB201" s="357"/>
      <c r="CC201" s="357"/>
      <c r="CD201" s="357"/>
      <c r="CE201" s="357"/>
      <c r="CF201" s="357"/>
      <c r="CG201" s="357"/>
      <c r="CH201" s="357"/>
      <c r="CI201" s="357"/>
      <c r="CJ201" s="357"/>
      <c r="CK201" s="357"/>
      <c r="CL201" s="357"/>
      <c r="CM201" s="357"/>
      <c r="CN201" s="357"/>
      <c r="CO201" s="357"/>
      <c r="CP201" s="357"/>
      <c r="CQ201" s="357"/>
      <c r="CR201" s="357"/>
      <c r="CS201" s="357"/>
      <c r="CT201" s="357"/>
      <c r="CU201" s="357"/>
      <c r="CV201" s="357"/>
      <c r="CW201" s="357"/>
      <c r="CX201" s="357"/>
      <c r="CY201" s="357"/>
      <c r="CZ201" s="357"/>
      <c r="DA201" s="357"/>
      <c r="DB201" s="357"/>
      <c r="DC201" s="357"/>
      <c r="DD201" s="357"/>
      <c r="DE201" s="357"/>
      <c r="DF201" s="357"/>
      <c r="DG201" s="357"/>
      <c r="DH201" s="357"/>
      <c r="DI201" s="357"/>
      <c r="DJ201" s="357"/>
      <c r="DK201" s="357"/>
      <c r="DL201" s="357"/>
      <c r="DM201" s="357"/>
      <c r="DN201" s="357"/>
      <c r="DO201" s="357"/>
      <c r="DP201" s="357"/>
      <c r="DQ201" s="357"/>
      <c r="DR201" s="357"/>
      <c r="DS201" s="357"/>
      <c r="DT201" s="357"/>
      <c r="DU201" s="357"/>
      <c r="DV201" s="357"/>
      <c r="DW201" s="357"/>
      <c r="DX201" s="357"/>
      <c r="DY201" s="357"/>
      <c r="DZ201" s="357"/>
      <c r="EA201" s="357"/>
      <c r="EB201" s="357"/>
      <c r="EC201" s="357"/>
      <c r="ED201" s="357"/>
      <c r="EE201" s="357"/>
      <c r="EF201" s="357"/>
      <c r="EG201" s="357"/>
      <c r="EH201" s="357"/>
      <c r="EI201" s="357"/>
      <c r="EJ201" s="357"/>
      <c r="EK201" s="357"/>
      <c r="EL201" s="357"/>
      <c r="EM201" s="357"/>
      <c r="EN201" s="357"/>
      <c r="EO201" s="357"/>
      <c r="EP201" s="357"/>
      <c r="EQ201" s="357"/>
      <c r="ER201" s="357"/>
      <c r="ES201" s="357"/>
      <c r="ET201" s="357"/>
      <c r="EU201" s="357"/>
      <c r="EV201" s="357"/>
      <c r="EW201" s="357"/>
      <c r="EX201" s="357"/>
      <c r="EY201" s="357"/>
      <c r="EZ201" s="357"/>
      <c r="FA201" s="357"/>
      <c r="FB201" s="357"/>
      <c r="FC201" s="357"/>
      <c r="FD201" s="357"/>
      <c r="FE201" s="357"/>
      <c r="FF201" s="357"/>
      <c r="FG201" s="357"/>
      <c r="FH201" s="357"/>
      <c r="FI201" s="357"/>
      <c r="FJ201" s="357"/>
      <c r="FK201" s="357"/>
      <c r="FL201" s="357"/>
      <c r="FM201" s="357"/>
      <c r="FN201" s="357"/>
      <c r="FO201" s="357"/>
      <c r="FP201" s="357"/>
      <c r="FQ201" s="357"/>
      <c r="FR201" s="357"/>
      <c r="FS201" s="357"/>
      <c r="FT201" s="357"/>
      <c r="FU201" s="357"/>
      <c r="FV201" s="357"/>
      <c r="FW201" s="357"/>
      <c r="FX201" s="357"/>
      <c r="FY201" s="357"/>
      <c r="FZ201" s="357"/>
      <c r="GA201" s="357"/>
      <c r="GB201" s="357"/>
      <c r="GC201" s="357"/>
      <c r="GD201" s="357"/>
      <c r="GE201" s="357"/>
      <c r="GF201" s="357"/>
      <c r="GG201" s="357"/>
      <c r="GH201" s="357"/>
      <c r="GI201" s="357"/>
      <c r="GJ201" s="357"/>
      <c r="GK201" s="154"/>
      <c r="GL201" s="154"/>
      <c r="GM201" s="154"/>
      <c r="GN201" s="154"/>
      <c r="GO201" s="154"/>
      <c r="GP201" s="154"/>
      <c r="GQ201" s="154"/>
      <c r="GR201" s="154"/>
      <c r="GS201" s="154"/>
      <c r="GT201" s="154"/>
      <c r="GU201" s="154"/>
      <c r="GV201" s="154"/>
      <c r="GW201" s="154"/>
      <c r="GX201" s="154"/>
    </row>
    <row r="202" spans="7:206">
      <c r="G202" s="154"/>
      <c r="H202" s="154"/>
      <c r="I202" s="154"/>
      <c r="J202" s="154"/>
      <c r="K202" s="154"/>
      <c r="L202" s="154"/>
      <c r="M202" s="154"/>
      <c r="N202" s="154"/>
      <c r="O202" s="154"/>
      <c r="P202" s="154"/>
      <c r="Q202" s="154"/>
      <c r="R202" s="154"/>
      <c r="S202" s="154"/>
      <c r="T202" s="154"/>
      <c r="U202" s="154"/>
      <c r="V202" s="154"/>
      <c r="W202" s="154"/>
      <c r="X202" s="154"/>
      <c r="Y202" s="154"/>
      <c r="Z202" s="357"/>
      <c r="AA202" s="357"/>
      <c r="AB202" s="357"/>
      <c r="AC202" s="357"/>
      <c r="AD202" s="357"/>
      <c r="AE202" s="357"/>
      <c r="AF202" s="357"/>
      <c r="AG202" s="357"/>
      <c r="AH202" s="357"/>
      <c r="AI202" s="357"/>
      <c r="AJ202" s="357"/>
      <c r="AK202" s="357"/>
      <c r="AL202" s="357"/>
      <c r="AM202" s="357"/>
      <c r="AN202" s="357"/>
      <c r="AO202" s="357"/>
      <c r="AP202" s="357"/>
      <c r="AQ202" s="357"/>
      <c r="AR202" s="357"/>
      <c r="AS202" s="357"/>
      <c r="AT202" s="357"/>
      <c r="AU202" s="357"/>
      <c r="AV202" s="357"/>
      <c r="AW202" s="357"/>
      <c r="AX202" s="357"/>
      <c r="AY202" s="357"/>
      <c r="AZ202" s="357"/>
      <c r="BA202" s="357"/>
      <c r="BB202" s="357"/>
      <c r="BC202" s="357"/>
      <c r="BD202" s="357"/>
      <c r="BE202" s="357"/>
      <c r="BF202" s="357"/>
      <c r="BG202" s="357"/>
      <c r="BH202" s="357"/>
      <c r="BI202" s="357"/>
      <c r="BJ202" s="357"/>
      <c r="BK202" s="357"/>
      <c r="BL202" s="357"/>
      <c r="BM202" s="357"/>
      <c r="BN202" s="357"/>
      <c r="BO202" s="357"/>
      <c r="BP202" s="357"/>
      <c r="BQ202" s="357"/>
      <c r="BR202" s="357"/>
      <c r="BS202" s="357"/>
      <c r="BT202" s="357"/>
      <c r="BU202" s="357"/>
      <c r="BV202" s="357"/>
      <c r="BW202" s="357"/>
      <c r="BX202" s="357"/>
      <c r="BY202" s="357"/>
      <c r="BZ202" s="357"/>
      <c r="CA202" s="357"/>
      <c r="CB202" s="357"/>
      <c r="CC202" s="357"/>
      <c r="CD202" s="357"/>
      <c r="CE202" s="357"/>
      <c r="CF202" s="357"/>
      <c r="CG202" s="357"/>
      <c r="CH202" s="357"/>
      <c r="CI202" s="357"/>
      <c r="CJ202" s="357"/>
      <c r="CK202" s="357"/>
      <c r="CL202" s="357"/>
      <c r="CM202" s="357"/>
      <c r="CN202" s="357"/>
      <c r="CO202" s="357"/>
      <c r="CP202" s="357"/>
      <c r="CQ202" s="357"/>
      <c r="CR202" s="357"/>
      <c r="CS202" s="357"/>
      <c r="CT202" s="357"/>
      <c r="CU202" s="357"/>
      <c r="CV202" s="357"/>
      <c r="CW202" s="357"/>
      <c r="CX202" s="357"/>
      <c r="CY202" s="357"/>
      <c r="CZ202" s="357"/>
      <c r="DA202" s="357"/>
      <c r="DB202" s="357"/>
      <c r="DC202" s="357"/>
      <c r="DD202" s="357"/>
      <c r="DE202" s="357"/>
      <c r="DF202" s="357"/>
      <c r="DG202" s="357"/>
      <c r="DH202" s="357"/>
      <c r="DI202" s="357"/>
      <c r="DJ202" s="357"/>
      <c r="DK202" s="357"/>
      <c r="DL202" s="357"/>
      <c r="DM202" s="357"/>
      <c r="DN202" s="357"/>
      <c r="DO202" s="357"/>
      <c r="DP202" s="357"/>
      <c r="DQ202" s="357"/>
      <c r="DR202" s="357"/>
      <c r="DS202" s="357"/>
      <c r="DT202" s="357"/>
      <c r="DU202" s="357"/>
      <c r="DV202" s="357"/>
      <c r="DW202" s="357"/>
      <c r="DX202" s="357"/>
      <c r="DY202" s="357"/>
      <c r="DZ202" s="357"/>
      <c r="EA202" s="357"/>
      <c r="EB202" s="357"/>
      <c r="EC202" s="357"/>
      <c r="ED202" s="357"/>
      <c r="EE202" s="357"/>
      <c r="EF202" s="357"/>
      <c r="EG202" s="357"/>
      <c r="EH202" s="357"/>
      <c r="EI202" s="357"/>
      <c r="EJ202" s="357"/>
      <c r="EK202" s="357"/>
      <c r="EL202" s="357"/>
      <c r="EM202" s="357"/>
      <c r="EN202" s="357"/>
      <c r="EO202" s="357"/>
      <c r="EP202" s="357"/>
      <c r="EQ202" s="357"/>
      <c r="ER202" s="357"/>
      <c r="ES202" s="357"/>
      <c r="ET202" s="357"/>
      <c r="EU202" s="357"/>
      <c r="EV202" s="357"/>
      <c r="EW202" s="357"/>
      <c r="EX202" s="357"/>
      <c r="EY202" s="357"/>
      <c r="EZ202" s="357"/>
      <c r="FA202" s="357"/>
      <c r="FB202" s="357"/>
      <c r="FC202" s="357"/>
      <c r="FD202" s="357"/>
      <c r="FE202" s="357"/>
      <c r="FF202" s="357"/>
      <c r="FG202" s="357"/>
      <c r="FH202" s="357"/>
      <c r="FI202" s="357"/>
      <c r="FJ202" s="357"/>
      <c r="FK202" s="357"/>
      <c r="FL202" s="357"/>
      <c r="FM202" s="357"/>
      <c r="FN202" s="357"/>
      <c r="FO202" s="357"/>
      <c r="FP202" s="357"/>
      <c r="FQ202" s="357"/>
      <c r="FR202" s="357"/>
      <c r="FS202" s="357"/>
      <c r="FT202" s="357"/>
      <c r="FU202" s="357"/>
      <c r="FV202" s="357"/>
      <c r="FW202" s="357"/>
      <c r="FX202" s="357"/>
      <c r="FY202" s="357"/>
      <c r="FZ202" s="357"/>
      <c r="GA202" s="357"/>
      <c r="GB202" s="357"/>
      <c r="GC202" s="357"/>
      <c r="GD202" s="357"/>
      <c r="GE202" s="357"/>
      <c r="GF202" s="357"/>
      <c r="GG202" s="357"/>
      <c r="GH202" s="357"/>
      <c r="GI202" s="357"/>
      <c r="GJ202" s="357"/>
      <c r="GK202" s="154"/>
      <c r="GL202" s="154"/>
      <c r="GM202" s="154"/>
      <c r="GN202" s="154"/>
      <c r="GO202" s="154"/>
      <c r="GP202" s="154"/>
      <c r="GQ202" s="154"/>
      <c r="GR202" s="154"/>
      <c r="GS202" s="154"/>
      <c r="GT202" s="154"/>
      <c r="GU202" s="154"/>
      <c r="GV202" s="154"/>
      <c r="GW202" s="154"/>
      <c r="GX202" s="154"/>
    </row>
    <row r="203" spans="7:206">
      <c r="G203" s="154"/>
      <c r="H203" s="154"/>
      <c r="I203" s="154"/>
      <c r="J203" s="154"/>
      <c r="K203" s="154"/>
      <c r="L203" s="154"/>
      <c r="M203" s="154"/>
      <c r="N203" s="154"/>
      <c r="O203" s="154"/>
      <c r="P203" s="154"/>
      <c r="Q203" s="154"/>
      <c r="R203" s="154"/>
      <c r="S203" s="154"/>
      <c r="T203" s="154"/>
      <c r="U203" s="154"/>
      <c r="V203" s="154"/>
      <c r="W203" s="154"/>
      <c r="X203" s="154"/>
      <c r="Y203" s="154"/>
      <c r="Z203" s="357"/>
      <c r="AA203" s="357"/>
      <c r="AB203" s="357"/>
      <c r="AC203" s="357"/>
      <c r="AD203" s="357"/>
      <c r="AE203" s="357"/>
      <c r="AF203" s="357"/>
      <c r="AG203" s="357"/>
      <c r="AH203" s="357"/>
      <c r="AI203" s="357"/>
      <c r="AJ203" s="357"/>
      <c r="AK203" s="357"/>
      <c r="AL203" s="357"/>
      <c r="AM203" s="357"/>
      <c r="AN203" s="357"/>
      <c r="AO203" s="357"/>
      <c r="AP203" s="357"/>
      <c r="AQ203" s="357"/>
      <c r="AR203" s="357"/>
      <c r="AS203" s="357"/>
      <c r="AT203" s="357"/>
      <c r="AU203" s="357"/>
      <c r="AV203" s="357"/>
      <c r="AW203" s="357"/>
      <c r="AX203" s="357"/>
      <c r="AY203" s="357"/>
      <c r="AZ203" s="357"/>
      <c r="BA203" s="357"/>
      <c r="BB203" s="357"/>
      <c r="BC203" s="357"/>
      <c r="BD203" s="357"/>
      <c r="BE203" s="357"/>
      <c r="BF203" s="357"/>
      <c r="BG203" s="357"/>
      <c r="BH203" s="357"/>
      <c r="BI203" s="357"/>
      <c r="BJ203" s="357"/>
      <c r="BK203" s="357"/>
      <c r="BL203" s="357"/>
      <c r="BM203" s="357"/>
      <c r="BN203" s="357"/>
      <c r="BO203" s="357"/>
      <c r="BP203" s="357"/>
      <c r="BQ203" s="357"/>
      <c r="BR203" s="357"/>
      <c r="BS203" s="357"/>
      <c r="BT203" s="357"/>
      <c r="BU203" s="357"/>
      <c r="BV203" s="357"/>
      <c r="BW203" s="357"/>
      <c r="BX203" s="357"/>
      <c r="BY203" s="357"/>
      <c r="BZ203" s="357"/>
      <c r="CA203" s="357"/>
      <c r="CB203" s="357"/>
      <c r="CC203" s="357"/>
      <c r="CD203" s="357"/>
      <c r="CE203" s="357"/>
      <c r="CF203" s="357"/>
      <c r="CG203" s="357"/>
      <c r="CH203" s="357"/>
      <c r="CI203" s="357"/>
      <c r="CJ203" s="357"/>
      <c r="CK203" s="357"/>
      <c r="CL203" s="357"/>
      <c r="CM203" s="357"/>
      <c r="CN203" s="357"/>
      <c r="CO203" s="357"/>
      <c r="CP203" s="357"/>
      <c r="CQ203" s="357"/>
      <c r="CR203" s="357"/>
      <c r="CS203" s="357"/>
      <c r="CT203" s="357"/>
      <c r="CU203" s="357"/>
      <c r="CV203" s="357"/>
      <c r="CW203" s="357"/>
      <c r="CX203" s="357"/>
      <c r="CY203" s="357"/>
      <c r="CZ203" s="357"/>
      <c r="DA203" s="357"/>
      <c r="DB203" s="357"/>
      <c r="DC203" s="357"/>
      <c r="DD203" s="357"/>
      <c r="DE203" s="357"/>
      <c r="DF203" s="357"/>
      <c r="DG203" s="357"/>
      <c r="DH203" s="357"/>
      <c r="DI203" s="357"/>
      <c r="DJ203" s="357"/>
      <c r="DK203" s="357"/>
      <c r="DL203" s="357"/>
      <c r="DM203" s="357"/>
      <c r="DN203" s="357"/>
      <c r="DO203" s="357"/>
      <c r="DP203" s="357"/>
      <c r="DQ203" s="357"/>
      <c r="DR203" s="357"/>
      <c r="DS203" s="357"/>
      <c r="DT203" s="357"/>
      <c r="DU203" s="357"/>
      <c r="DV203" s="357"/>
      <c r="DW203" s="357"/>
      <c r="DX203" s="357"/>
      <c r="DY203" s="357"/>
      <c r="DZ203" s="357"/>
      <c r="EA203" s="357"/>
      <c r="EB203" s="357"/>
      <c r="EC203" s="357"/>
      <c r="ED203" s="357"/>
      <c r="EE203" s="357"/>
      <c r="EF203" s="357"/>
      <c r="EG203" s="357"/>
      <c r="EH203" s="357"/>
      <c r="EI203" s="357"/>
      <c r="EJ203" s="357"/>
      <c r="EK203" s="357"/>
      <c r="EL203" s="357"/>
      <c r="EM203" s="357"/>
      <c r="EN203" s="357"/>
      <c r="EO203" s="357"/>
      <c r="EP203" s="357"/>
      <c r="EQ203" s="357"/>
      <c r="ER203" s="357"/>
      <c r="ES203" s="357"/>
      <c r="ET203" s="357"/>
      <c r="EU203" s="357"/>
      <c r="EV203" s="357"/>
      <c r="EW203" s="357"/>
      <c r="EX203" s="357"/>
      <c r="EY203" s="357"/>
      <c r="EZ203" s="357"/>
      <c r="FA203" s="357"/>
      <c r="FB203" s="357"/>
      <c r="FC203" s="357"/>
      <c r="FD203" s="357"/>
      <c r="FE203" s="357"/>
      <c r="FF203" s="357"/>
      <c r="FG203" s="357"/>
      <c r="FH203" s="357"/>
      <c r="FI203" s="357"/>
      <c r="FJ203" s="357"/>
      <c r="FK203" s="357"/>
      <c r="FL203" s="357"/>
      <c r="FM203" s="357"/>
      <c r="FN203" s="357"/>
      <c r="FO203" s="357"/>
      <c r="FP203" s="357"/>
      <c r="FQ203" s="357"/>
      <c r="FR203" s="357"/>
      <c r="FS203" s="357"/>
      <c r="FT203" s="357"/>
      <c r="FU203" s="357"/>
      <c r="FV203" s="357"/>
      <c r="FW203" s="357"/>
      <c r="FX203" s="357"/>
      <c r="FY203" s="357"/>
      <c r="FZ203" s="357"/>
      <c r="GA203" s="357"/>
      <c r="GB203" s="357"/>
      <c r="GC203" s="357"/>
      <c r="GD203" s="357"/>
      <c r="GE203" s="357"/>
      <c r="GF203" s="357"/>
      <c r="GG203" s="357"/>
      <c r="GH203" s="357"/>
      <c r="GI203" s="357"/>
      <c r="GJ203" s="357"/>
      <c r="GK203" s="154"/>
      <c r="GL203" s="154"/>
      <c r="GM203" s="154"/>
      <c r="GN203" s="154"/>
      <c r="GO203" s="154"/>
      <c r="GP203" s="154"/>
      <c r="GQ203" s="154"/>
      <c r="GR203" s="154"/>
      <c r="GS203" s="154"/>
      <c r="GT203" s="154"/>
      <c r="GU203" s="154"/>
      <c r="GV203" s="154"/>
      <c r="GW203" s="154"/>
      <c r="GX203" s="154"/>
    </row>
    <row r="204" spans="7:206">
      <c r="G204" s="154"/>
      <c r="H204" s="154"/>
      <c r="I204" s="154"/>
      <c r="J204" s="154"/>
      <c r="K204" s="154"/>
      <c r="L204" s="154"/>
      <c r="M204" s="154"/>
      <c r="N204" s="154"/>
      <c r="O204" s="154"/>
      <c r="P204" s="154"/>
      <c r="Q204" s="154"/>
      <c r="R204" s="154"/>
      <c r="S204" s="154"/>
      <c r="T204" s="154"/>
      <c r="U204" s="154"/>
      <c r="V204" s="154"/>
      <c r="W204" s="154"/>
      <c r="X204" s="154"/>
      <c r="Y204" s="154"/>
      <c r="Z204" s="357"/>
      <c r="AA204" s="357"/>
      <c r="AB204" s="357"/>
      <c r="AC204" s="357"/>
      <c r="AD204" s="357"/>
      <c r="AE204" s="357"/>
      <c r="AF204" s="357"/>
      <c r="AG204" s="357"/>
      <c r="AH204" s="357"/>
      <c r="AI204" s="357"/>
      <c r="AJ204" s="357"/>
      <c r="AK204" s="357"/>
      <c r="AL204" s="357"/>
      <c r="AM204" s="357"/>
      <c r="AN204" s="357"/>
      <c r="AO204" s="357"/>
      <c r="AP204" s="357"/>
      <c r="AQ204" s="357"/>
      <c r="AR204" s="357"/>
      <c r="AS204" s="357"/>
      <c r="AT204" s="357"/>
      <c r="AU204" s="357"/>
      <c r="AV204" s="357"/>
      <c r="AW204" s="357"/>
      <c r="AX204" s="357"/>
      <c r="AY204" s="357"/>
      <c r="AZ204" s="357"/>
      <c r="BA204" s="357"/>
      <c r="BB204" s="357"/>
      <c r="BC204" s="357"/>
      <c r="BD204" s="357"/>
      <c r="BE204" s="357"/>
      <c r="BF204" s="357"/>
      <c r="BG204" s="357"/>
      <c r="BH204" s="357"/>
      <c r="BI204" s="357"/>
      <c r="BJ204" s="357"/>
      <c r="BK204" s="357"/>
      <c r="BL204" s="357"/>
      <c r="BM204" s="357"/>
      <c r="BN204" s="357"/>
      <c r="BO204" s="357"/>
      <c r="BP204" s="357"/>
      <c r="BQ204" s="357"/>
      <c r="BR204" s="357"/>
      <c r="BS204" s="357"/>
      <c r="BT204" s="357"/>
      <c r="BU204" s="357"/>
      <c r="BV204" s="357"/>
      <c r="BW204" s="357"/>
      <c r="BX204" s="357"/>
      <c r="BY204" s="357"/>
      <c r="BZ204" s="357"/>
      <c r="CA204" s="357"/>
      <c r="CB204" s="357"/>
      <c r="CC204" s="357"/>
      <c r="CD204" s="357"/>
      <c r="CE204" s="357"/>
      <c r="CF204" s="357"/>
      <c r="CG204" s="357"/>
      <c r="CH204" s="357"/>
      <c r="CI204" s="357"/>
      <c r="CJ204" s="357"/>
      <c r="CK204" s="357"/>
      <c r="CL204" s="357"/>
      <c r="CM204" s="357"/>
      <c r="CN204" s="357"/>
      <c r="CO204" s="357"/>
      <c r="CP204" s="357"/>
      <c r="CQ204" s="357"/>
      <c r="CR204" s="357"/>
      <c r="CS204" s="357"/>
      <c r="CT204" s="357"/>
      <c r="CU204" s="357"/>
      <c r="CV204" s="357"/>
      <c r="CW204" s="357"/>
      <c r="CX204" s="357"/>
      <c r="CY204" s="357"/>
      <c r="CZ204" s="357"/>
      <c r="DA204" s="357"/>
      <c r="DB204" s="357"/>
      <c r="DC204" s="357"/>
      <c r="DD204" s="357"/>
      <c r="DE204" s="357"/>
      <c r="DF204" s="357"/>
      <c r="DG204" s="357"/>
      <c r="DH204" s="357"/>
      <c r="DI204" s="357"/>
      <c r="DJ204" s="357"/>
      <c r="DK204" s="357"/>
      <c r="DL204" s="357"/>
      <c r="DM204" s="357"/>
      <c r="DN204" s="357"/>
      <c r="DO204" s="357"/>
      <c r="DP204" s="357"/>
      <c r="DQ204" s="357"/>
      <c r="DR204" s="357"/>
      <c r="DS204" s="357"/>
      <c r="DT204" s="357"/>
      <c r="DU204" s="357"/>
      <c r="DV204" s="357"/>
      <c r="DW204" s="357"/>
      <c r="DX204" s="357"/>
      <c r="DY204" s="357"/>
      <c r="DZ204" s="357"/>
      <c r="EA204" s="357"/>
      <c r="EB204" s="357"/>
      <c r="EC204" s="357"/>
      <c r="ED204" s="357"/>
      <c r="EE204" s="357"/>
      <c r="EF204" s="357"/>
      <c r="EG204" s="357"/>
      <c r="EH204" s="357"/>
      <c r="EI204" s="357"/>
      <c r="EJ204" s="357"/>
      <c r="EK204" s="357"/>
      <c r="EL204" s="357"/>
      <c r="EM204" s="357"/>
      <c r="EN204" s="357"/>
      <c r="EO204" s="357"/>
      <c r="EP204" s="357"/>
      <c r="EQ204" s="357"/>
      <c r="ER204" s="357"/>
      <c r="ES204" s="357"/>
      <c r="ET204" s="357"/>
      <c r="EU204" s="357"/>
      <c r="EV204" s="357"/>
      <c r="EW204" s="357"/>
      <c r="EX204" s="357"/>
      <c r="EY204" s="357"/>
      <c r="EZ204" s="357"/>
      <c r="FA204" s="357"/>
      <c r="FB204" s="357"/>
      <c r="FC204" s="357"/>
      <c r="FD204" s="357"/>
      <c r="FE204" s="357"/>
      <c r="FF204" s="357"/>
      <c r="FG204" s="357"/>
      <c r="FH204" s="357"/>
      <c r="FI204" s="357"/>
      <c r="FJ204" s="357"/>
      <c r="FK204" s="357"/>
      <c r="FL204" s="357"/>
      <c r="FM204" s="357"/>
      <c r="FN204" s="357"/>
      <c r="FO204" s="357"/>
      <c r="FP204" s="357"/>
      <c r="FQ204" s="357"/>
      <c r="FR204" s="357"/>
      <c r="FS204" s="357"/>
      <c r="FT204" s="357"/>
      <c r="FU204" s="357"/>
      <c r="FV204" s="357"/>
      <c r="FW204" s="357"/>
      <c r="FX204" s="357"/>
      <c r="FY204" s="357"/>
      <c r="FZ204" s="357"/>
      <c r="GA204" s="357"/>
      <c r="GB204" s="357"/>
      <c r="GC204" s="357"/>
      <c r="GD204" s="357"/>
      <c r="GE204" s="357"/>
      <c r="GF204" s="357"/>
      <c r="GG204" s="357"/>
      <c r="GH204" s="357"/>
      <c r="GI204" s="357"/>
      <c r="GJ204" s="357"/>
      <c r="GK204" s="154"/>
      <c r="GL204" s="154"/>
      <c r="GM204" s="154"/>
      <c r="GN204" s="154"/>
      <c r="GO204" s="154"/>
      <c r="GP204" s="154"/>
      <c r="GQ204" s="154"/>
      <c r="GR204" s="154"/>
      <c r="GS204" s="154"/>
      <c r="GT204" s="154"/>
      <c r="GU204" s="154"/>
      <c r="GV204" s="154"/>
      <c r="GW204" s="154"/>
      <c r="GX204" s="154"/>
    </row>
    <row r="205" spans="7:206">
      <c r="G205" s="154"/>
      <c r="H205" s="154"/>
      <c r="I205" s="154"/>
      <c r="J205" s="154"/>
      <c r="K205" s="154"/>
      <c r="L205" s="154"/>
      <c r="M205" s="154"/>
      <c r="N205" s="154"/>
      <c r="O205" s="154"/>
      <c r="P205" s="154"/>
      <c r="Q205" s="154"/>
      <c r="R205" s="154"/>
      <c r="S205" s="154"/>
      <c r="T205" s="154"/>
      <c r="U205" s="154"/>
      <c r="V205" s="154"/>
      <c r="W205" s="154"/>
      <c r="X205" s="154"/>
      <c r="Y205" s="154"/>
      <c r="Z205" s="357"/>
      <c r="AA205" s="357"/>
      <c r="AB205" s="357"/>
      <c r="AC205" s="357"/>
      <c r="AD205" s="357"/>
      <c r="AE205" s="357"/>
      <c r="AF205" s="357"/>
      <c r="AG205" s="357"/>
      <c r="AH205" s="357"/>
      <c r="AI205" s="357"/>
      <c r="AJ205" s="357"/>
      <c r="AK205" s="357"/>
      <c r="AL205" s="357"/>
      <c r="AM205" s="357"/>
      <c r="AN205" s="357"/>
      <c r="AO205" s="357"/>
      <c r="AP205" s="357"/>
      <c r="AQ205" s="357"/>
      <c r="AR205" s="357"/>
      <c r="AS205" s="357"/>
      <c r="AT205" s="357"/>
      <c r="AU205" s="357"/>
      <c r="AV205" s="357"/>
      <c r="AW205" s="357"/>
      <c r="AX205" s="357"/>
      <c r="AY205" s="357"/>
      <c r="AZ205" s="357"/>
      <c r="BA205" s="357"/>
      <c r="BB205" s="357"/>
      <c r="BC205" s="357"/>
      <c r="BD205" s="357"/>
      <c r="BE205" s="357"/>
      <c r="BF205" s="357"/>
      <c r="BG205" s="357"/>
      <c r="BH205" s="357"/>
      <c r="BI205" s="357"/>
      <c r="BJ205" s="357"/>
      <c r="BK205" s="357"/>
      <c r="BL205" s="357"/>
      <c r="BM205" s="357"/>
      <c r="BN205" s="357"/>
      <c r="BO205" s="357"/>
      <c r="BP205" s="357"/>
      <c r="BQ205" s="357"/>
      <c r="BR205" s="357"/>
      <c r="BS205" s="357"/>
      <c r="BT205" s="357"/>
      <c r="BU205" s="357"/>
      <c r="BV205" s="357"/>
      <c r="BW205" s="357"/>
      <c r="BX205" s="357"/>
      <c r="BY205" s="357"/>
      <c r="BZ205" s="357"/>
      <c r="CA205" s="357"/>
      <c r="CB205" s="357"/>
      <c r="CC205" s="357"/>
      <c r="CD205" s="357"/>
      <c r="CE205" s="357"/>
      <c r="CF205" s="357"/>
      <c r="CG205" s="357"/>
      <c r="CH205" s="357"/>
      <c r="CI205" s="357"/>
      <c r="CJ205" s="357"/>
      <c r="CK205" s="357"/>
      <c r="CL205" s="357"/>
      <c r="CM205" s="357"/>
      <c r="CN205" s="357"/>
      <c r="CO205" s="357"/>
      <c r="CP205" s="357"/>
      <c r="CQ205" s="357"/>
      <c r="CR205" s="357"/>
      <c r="CS205" s="357"/>
      <c r="CT205" s="357"/>
      <c r="CU205" s="357"/>
      <c r="CV205" s="357"/>
      <c r="CW205" s="357"/>
      <c r="CX205" s="357"/>
      <c r="CY205" s="357"/>
      <c r="CZ205" s="357"/>
      <c r="DA205" s="357"/>
      <c r="DB205" s="357"/>
      <c r="DC205" s="357"/>
      <c r="DD205" s="357"/>
      <c r="DE205" s="357"/>
      <c r="DF205" s="357"/>
      <c r="DG205" s="357"/>
      <c r="DH205" s="357"/>
      <c r="DI205" s="357"/>
      <c r="DJ205" s="357"/>
      <c r="DK205" s="357"/>
      <c r="DL205" s="357"/>
      <c r="DM205" s="357"/>
      <c r="DN205" s="357"/>
      <c r="DO205" s="357"/>
      <c r="DP205" s="357"/>
      <c r="DQ205" s="357"/>
      <c r="DR205" s="357"/>
      <c r="DS205" s="357"/>
      <c r="DT205" s="357"/>
      <c r="DU205" s="357"/>
      <c r="DV205" s="357"/>
      <c r="DW205" s="357"/>
      <c r="DX205" s="357"/>
      <c r="DY205" s="357"/>
      <c r="DZ205" s="357"/>
      <c r="EA205" s="357"/>
      <c r="EB205" s="357"/>
      <c r="EC205" s="357"/>
      <c r="ED205" s="357"/>
      <c r="EE205" s="357"/>
      <c r="EF205" s="357"/>
      <c r="EG205" s="357"/>
      <c r="EH205" s="357"/>
      <c r="EI205" s="357"/>
      <c r="EJ205" s="357"/>
      <c r="EK205" s="357"/>
      <c r="EL205" s="357"/>
      <c r="EM205" s="357"/>
      <c r="EN205" s="357"/>
      <c r="EO205" s="357"/>
      <c r="EP205" s="357"/>
      <c r="EQ205" s="357"/>
      <c r="ER205" s="357"/>
      <c r="ES205" s="357"/>
      <c r="ET205" s="357"/>
      <c r="EU205" s="357"/>
      <c r="EV205" s="357"/>
      <c r="EW205" s="357"/>
      <c r="EX205" s="357"/>
      <c r="EY205" s="357"/>
      <c r="EZ205" s="357"/>
      <c r="FA205" s="357"/>
      <c r="FB205" s="357"/>
      <c r="FC205" s="357"/>
      <c r="FD205" s="357"/>
      <c r="FE205" s="357"/>
      <c r="FF205" s="357"/>
      <c r="FG205" s="357"/>
      <c r="FH205" s="357"/>
      <c r="FI205" s="357"/>
      <c r="FJ205" s="357"/>
      <c r="FK205" s="357"/>
      <c r="FL205" s="357"/>
      <c r="FM205" s="357"/>
      <c r="FN205" s="357"/>
      <c r="FO205" s="357"/>
      <c r="FP205" s="357"/>
      <c r="FQ205" s="357"/>
      <c r="FR205" s="357"/>
      <c r="FS205" s="357"/>
      <c r="FT205" s="357"/>
      <c r="FU205" s="357"/>
      <c r="FV205" s="357"/>
      <c r="FW205" s="357"/>
      <c r="FX205" s="357"/>
      <c r="FY205" s="357"/>
      <c r="FZ205" s="357"/>
      <c r="GA205" s="357"/>
      <c r="GB205" s="357"/>
      <c r="GC205" s="357"/>
      <c r="GD205" s="357"/>
      <c r="GE205" s="357"/>
      <c r="GF205" s="357"/>
      <c r="GG205" s="357"/>
      <c r="GH205" s="357"/>
      <c r="GI205" s="357"/>
      <c r="GJ205" s="357"/>
      <c r="GK205" s="154"/>
      <c r="GL205" s="154"/>
      <c r="GM205" s="154"/>
      <c r="GN205" s="154"/>
      <c r="GO205" s="154"/>
      <c r="GP205" s="154"/>
      <c r="GQ205" s="154"/>
      <c r="GR205" s="154"/>
      <c r="GS205" s="154"/>
      <c r="GT205" s="154"/>
      <c r="GU205" s="154"/>
      <c r="GV205" s="154"/>
      <c r="GW205" s="154"/>
      <c r="GX205" s="154"/>
    </row>
    <row r="206" spans="7:206">
      <c r="G206" s="154"/>
      <c r="H206" s="154"/>
      <c r="I206" s="154"/>
      <c r="J206" s="154"/>
      <c r="K206" s="154"/>
      <c r="L206" s="154"/>
      <c r="M206" s="154"/>
      <c r="N206" s="154"/>
      <c r="O206" s="154"/>
      <c r="P206" s="154"/>
      <c r="Q206" s="154"/>
      <c r="R206" s="154"/>
      <c r="S206" s="154"/>
      <c r="T206" s="154"/>
      <c r="U206" s="154"/>
      <c r="V206" s="154"/>
      <c r="W206" s="154"/>
      <c r="X206" s="154"/>
      <c r="Y206" s="154"/>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57"/>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7"/>
      <c r="BW206" s="357"/>
      <c r="BX206" s="357"/>
      <c r="BY206" s="357"/>
      <c r="BZ206" s="357"/>
      <c r="CA206" s="357"/>
      <c r="CB206" s="357"/>
      <c r="CC206" s="357"/>
      <c r="CD206" s="357"/>
      <c r="CE206" s="357"/>
      <c r="CF206" s="357"/>
      <c r="CG206" s="357"/>
      <c r="CH206" s="357"/>
      <c r="CI206" s="357"/>
      <c r="CJ206" s="357"/>
      <c r="CK206" s="357"/>
      <c r="CL206" s="357"/>
      <c r="CM206" s="357"/>
      <c r="CN206" s="357"/>
      <c r="CO206" s="357"/>
      <c r="CP206" s="357"/>
      <c r="CQ206" s="357"/>
      <c r="CR206" s="357"/>
      <c r="CS206" s="357"/>
      <c r="CT206" s="357"/>
      <c r="CU206" s="357"/>
      <c r="CV206" s="357"/>
      <c r="CW206" s="357"/>
      <c r="CX206" s="357"/>
      <c r="CY206" s="357"/>
      <c r="CZ206" s="357"/>
      <c r="DA206" s="357"/>
      <c r="DB206" s="357"/>
      <c r="DC206" s="357"/>
      <c r="DD206" s="357"/>
      <c r="DE206" s="357"/>
      <c r="DF206" s="357"/>
      <c r="DG206" s="357"/>
      <c r="DH206" s="357"/>
      <c r="DI206" s="357"/>
      <c r="DJ206" s="357"/>
      <c r="DK206" s="357"/>
      <c r="DL206" s="357"/>
      <c r="DM206" s="357"/>
      <c r="DN206" s="357"/>
      <c r="DO206" s="357"/>
      <c r="DP206" s="357"/>
      <c r="DQ206" s="357"/>
      <c r="DR206" s="357"/>
      <c r="DS206" s="357"/>
      <c r="DT206" s="357"/>
      <c r="DU206" s="357"/>
      <c r="DV206" s="357"/>
      <c r="DW206" s="357"/>
      <c r="DX206" s="357"/>
      <c r="DY206" s="357"/>
      <c r="DZ206" s="357"/>
      <c r="EA206" s="357"/>
      <c r="EB206" s="357"/>
      <c r="EC206" s="357"/>
      <c r="ED206" s="357"/>
      <c r="EE206" s="357"/>
      <c r="EF206" s="357"/>
      <c r="EG206" s="357"/>
      <c r="EH206" s="357"/>
      <c r="EI206" s="357"/>
      <c r="EJ206" s="357"/>
      <c r="EK206" s="357"/>
      <c r="EL206" s="357"/>
      <c r="EM206" s="357"/>
      <c r="EN206" s="357"/>
      <c r="EO206" s="357"/>
      <c r="EP206" s="357"/>
      <c r="EQ206" s="357"/>
      <c r="ER206" s="357"/>
      <c r="ES206" s="357"/>
      <c r="ET206" s="357"/>
      <c r="EU206" s="357"/>
      <c r="EV206" s="357"/>
      <c r="EW206" s="357"/>
      <c r="EX206" s="357"/>
      <c r="EY206" s="357"/>
      <c r="EZ206" s="357"/>
      <c r="FA206" s="357"/>
      <c r="FB206" s="357"/>
      <c r="FC206" s="357"/>
      <c r="FD206" s="357"/>
      <c r="FE206" s="357"/>
      <c r="FF206" s="357"/>
      <c r="FG206" s="357"/>
      <c r="FH206" s="357"/>
      <c r="FI206" s="357"/>
      <c r="FJ206" s="357"/>
      <c r="FK206" s="357"/>
      <c r="FL206" s="357"/>
      <c r="FM206" s="357"/>
      <c r="FN206" s="357"/>
      <c r="FO206" s="357"/>
      <c r="FP206" s="357"/>
      <c r="FQ206" s="357"/>
      <c r="FR206" s="357"/>
      <c r="FS206" s="357"/>
      <c r="FT206" s="357"/>
      <c r="FU206" s="357"/>
      <c r="FV206" s="357"/>
      <c r="FW206" s="357"/>
      <c r="FX206" s="357"/>
      <c r="FY206" s="357"/>
      <c r="FZ206" s="357"/>
      <c r="GA206" s="357"/>
      <c r="GB206" s="357"/>
      <c r="GC206" s="357"/>
      <c r="GD206" s="357"/>
      <c r="GE206" s="357"/>
      <c r="GF206" s="357"/>
      <c r="GG206" s="357"/>
      <c r="GH206" s="357"/>
      <c r="GI206" s="357"/>
      <c r="GJ206" s="357"/>
      <c r="GK206" s="154"/>
      <c r="GL206" s="154"/>
      <c r="GM206" s="154"/>
      <c r="GN206" s="154"/>
      <c r="GO206" s="154"/>
      <c r="GP206" s="154"/>
      <c r="GQ206" s="154"/>
      <c r="GR206" s="154"/>
      <c r="GS206" s="154"/>
      <c r="GT206" s="154"/>
      <c r="GU206" s="154"/>
      <c r="GV206" s="154"/>
      <c r="GW206" s="154"/>
      <c r="GX206" s="154"/>
    </row>
    <row r="207" spans="7:206">
      <c r="G207" s="154"/>
      <c r="H207" s="154"/>
      <c r="I207" s="154"/>
      <c r="J207" s="154"/>
      <c r="K207" s="154"/>
      <c r="L207" s="154"/>
      <c r="M207" s="154"/>
      <c r="N207" s="154"/>
      <c r="O207" s="154"/>
      <c r="P207" s="154"/>
      <c r="Q207" s="154"/>
      <c r="R207" s="154"/>
      <c r="S207" s="154"/>
      <c r="T207" s="154"/>
      <c r="U207" s="154"/>
      <c r="V207" s="154"/>
      <c r="W207" s="154"/>
      <c r="X207" s="154"/>
      <c r="Y207" s="154"/>
      <c r="Z207" s="357"/>
      <c r="AA207" s="357"/>
      <c r="AB207" s="357"/>
      <c r="AC207" s="357"/>
      <c r="AD207" s="357"/>
      <c r="AE207" s="357"/>
      <c r="AF207" s="357"/>
      <c r="AG207" s="357"/>
      <c r="AH207" s="357"/>
      <c r="AI207" s="357"/>
      <c r="AJ207" s="357"/>
      <c r="AK207" s="357"/>
      <c r="AL207" s="357"/>
      <c r="AM207" s="357"/>
      <c r="AN207" s="357"/>
      <c r="AO207" s="357"/>
      <c r="AP207" s="357"/>
      <c r="AQ207" s="357"/>
      <c r="AR207" s="357"/>
      <c r="AS207" s="357"/>
      <c r="AT207" s="357"/>
      <c r="AU207" s="357"/>
      <c r="AV207" s="357"/>
      <c r="AW207" s="357"/>
      <c r="AX207" s="357"/>
      <c r="AY207" s="357"/>
      <c r="AZ207" s="357"/>
      <c r="BA207" s="357"/>
      <c r="BB207" s="357"/>
      <c r="BC207" s="357"/>
      <c r="BD207" s="357"/>
      <c r="BE207" s="357"/>
      <c r="BF207" s="357"/>
      <c r="BG207" s="357"/>
      <c r="BH207" s="357"/>
      <c r="BI207" s="357"/>
      <c r="BJ207" s="357"/>
      <c r="BK207" s="357"/>
      <c r="BL207" s="357"/>
      <c r="BM207" s="357"/>
      <c r="BN207" s="357"/>
      <c r="BO207" s="357"/>
      <c r="BP207" s="357"/>
      <c r="BQ207" s="357"/>
      <c r="BR207" s="357"/>
      <c r="BS207" s="357"/>
      <c r="BT207" s="357"/>
      <c r="BU207" s="357"/>
      <c r="BV207" s="357"/>
      <c r="BW207" s="357"/>
      <c r="BX207" s="357"/>
      <c r="BY207" s="357"/>
      <c r="BZ207" s="357"/>
      <c r="CA207" s="357"/>
      <c r="CB207" s="357"/>
      <c r="CC207" s="357"/>
      <c r="CD207" s="357"/>
      <c r="CE207" s="357"/>
      <c r="CF207" s="357"/>
      <c r="CG207" s="357"/>
      <c r="CH207" s="357"/>
      <c r="CI207" s="357"/>
      <c r="CJ207" s="357"/>
      <c r="CK207" s="357"/>
      <c r="CL207" s="357"/>
      <c r="CM207" s="357"/>
      <c r="CN207" s="357"/>
      <c r="CO207" s="357"/>
      <c r="CP207" s="357"/>
      <c r="CQ207" s="357"/>
      <c r="CR207" s="357"/>
      <c r="CS207" s="357"/>
      <c r="CT207" s="357"/>
      <c r="CU207" s="357"/>
      <c r="CV207" s="357"/>
      <c r="CW207" s="357"/>
      <c r="CX207" s="357"/>
      <c r="CY207" s="357"/>
      <c r="CZ207" s="357"/>
      <c r="DA207" s="357"/>
      <c r="DB207" s="357"/>
      <c r="DC207" s="357"/>
      <c r="DD207" s="357"/>
      <c r="DE207" s="357"/>
      <c r="DF207" s="357"/>
      <c r="DG207" s="357"/>
      <c r="DH207" s="357"/>
      <c r="DI207" s="357"/>
      <c r="DJ207" s="357"/>
      <c r="DK207" s="357"/>
      <c r="DL207" s="357"/>
      <c r="DM207" s="357"/>
      <c r="DN207" s="357"/>
      <c r="DO207" s="357"/>
      <c r="DP207" s="357"/>
      <c r="DQ207" s="357"/>
      <c r="DR207" s="357"/>
      <c r="DS207" s="357"/>
      <c r="DT207" s="357"/>
      <c r="DU207" s="357"/>
      <c r="DV207" s="357"/>
      <c r="DW207" s="357"/>
      <c r="DX207" s="357"/>
      <c r="DY207" s="357"/>
      <c r="DZ207" s="357"/>
      <c r="EA207" s="357"/>
      <c r="EB207" s="357"/>
      <c r="EC207" s="357"/>
      <c r="ED207" s="357"/>
      <c r="EE207" s="357"/>
      <c r="EF207" s="357"/>
      <c r="EG207" s="357"/>
      <c r="EH207" s="357"/>
      <c r="EI207" s="357"/>
      <c r="EJ207" s="357"/>
      <c r="EK207" s="357"/>
      <c r="EL207" s="357"/>
      <c r="EM207" s="357"/>
      <c r="EN207" s="357"/>
      <c r="EO207" s="357"/>
      <c r="EP207" s="357"/>
      <c r="EQ207" s="357"/>
      <c r="ER207" s="357"/>
      <c r="ES207" s="357"/>
      <c r="ET207" s="357"/>
      <c r="EU207" s="357"/>
      <c r="EV207" s="357"/>
      <c r="EW207" s="357"/>
      <c r="EX207" s="357"/>
      <c r="EY207" s="357"/>
      <c r="EZ207" s="357"/>
      <c r="FA207" s="357"/>
      <c r="FB207" s="357"/>
      <c r="FC207" s="357"/>
      <c r="FD207" s="357"/>
      <c r="FE207" s="357"/>
      <c r="FF207" s="357"/>
      <c r="FG207" s="357"/>
      <c r="FH207" s="357"/>
      <c r="FI207" s="357"/>
      <c r="FJ207" s="357"/>
      <c r="FK207" s="357"/>
      <c r="FL207" s="357"/>
      <c r="FM207" s="357"/>
      <c r="FN207" s="357"/>
      <c r="FO207" s="357"/>
      <c r="FP207" s="357"/>
      <c r="FQ207" s="357"/>
      <c r="FR207" s="357"/>
      <c r="FS207" s="357"/>
      <c r="FT207" s="357"/>
      <c r="FU207" s="357"/>
      <c r="FV207" s="357"/>
      <c r="FW207" s="357"/>
      <c r="FX207" s="357"/>
      <c r="FY207" s="357"/>
      <c r="FZ207" s="357"/>
      <c r="GA207" s="357"/>
      <c r="GB207" s="357"/>
      <c r="GC207" s="357"/>
      <c r="GD207" s="357"/>
      <c r="GE207" s="357"/>
      <c r="GF207" s="357"/>
      <c r="GG207" s="357"/>
      <c r="GH207" s="357"/>
      <c r="GI207" s="357"/>
      <c r="GJ207" s="357"/>
      <c r="GK207" s="154"/>
      <c r="GL207" s="154"/>
      <c r="GM207" s="154"/>
      <c r="GN207" s="154"/>
      <c r="GO207" s="154"/>
      <c r="GP207" s="154"/>
      <c r="GQ207" s="154"/>
      <c r="GR207" s="154"/>
      <c r="GS207" s="154"/>
      <c r="GT207" s="154"/>
      <c r="GU207" s="154"/>
      <c r="GV207" s="154"/>
      <c r="GW207" s="154"/>
      <c r="GX207" s="154"/>
    </row>
    <row r="208" spans="7:206">
      <c r="G208" s="154"/>
      <c r="H208" s="154"/>
      <c r="I208" s="154"/>
      <c r="J208" s="154"/>
      <c r="K208" s="154"/>
      <c r="L208" s="154"/>
      <c r="M208" s="154"/>
      <c r="N208" s="154"/>
      <c r="O208" s="154"/>
      <c r="P208" s="154"/>
      <c r="Q208" s="154"/>
      <c r="R208" s="154"/>
      <c r="S208" s="154"/>
      <c r="T208" s="154"/>
      <c r="U208" s="154"/>
      <c r="V208" s="154"/>
      <c r="W208" s="154"/>
      <c r="X208" s="154"/>
      <c r="Y208" s="154"/>
      <c r="Z208" s="357"/>
      <c r="AA208" s="357"/>
      <c r="AB208" s="357"/>
      <c r="AC208" s="357"/>
      <c r="AD208" s="357"/>
      <c r="AE208" s="357"/>
      <c r="AF208" s="357"/>
      <c r="AG208" s="357"/>
      <c r="AH208" s="357"/>
      <c r="AI208" s="357"/>
      <c r="AJ208" s="357"/>
      <c r="AK208" s="357"/>
      <c r="AL208" s="357"/>
      <c r="AM208" s="357"/>
      <c r="AN208" s="357"/>
      <c r="AO208" s="357"/>
      <c r="AP208" s="357"/>
      <c r="AQ208" s="357"/>
      <c r="AR208" s="357"/>
      <c r="AS208" s="357"/>
      <c r="AT208" s="357"/>
      <c r="AU208" s="357"/>
      <c r="AV208" s="357"/>
      <c r="AW208" s="357"/>
      <c r="AX208" s="357"/>
      <c r="AY208" s="357"/>
      <c r="AZ208" s="357"/>
      <c r="BA208" s="357"/>
      <c r="BB208" s="357"/>
      <c r="BC208" s="357"/>
      <c r="BD208" s="357"/>
      <c r="BE208" s="357"/>
      <c r="BF208" s="357"/>
      <c r="BG208" s="357"/>
      <c r="BH208" s="357"/>
      <c r="BI208" s="357"/>
      <c r="BJ208" s="357"/>
      <c r="BK208" s="357"/>
      <c r="BL208" s="357"/>
      <c r="BM208" s="357"/>
      <c r="BN208" s="357"/>
      <c r="BO208" s="357"/>
      <c r="BP208" s="357"/>
      <c r="BQ208" s="357"/>
      <c r="BR208" s="357"/>
      <c r="BS208" s="357"/>
      <c r="BT208" s="357"/>
      <c r="BU208" s="357"/>
      <c r="BV208" s="357"/>
      <c r="BW208" s="357"/>
      <c r="BX208" s="357"/>
      <c r="BY208" s="357"/>
      <c r="BZ208" s="357"/>
      <c r="CA208" s="357"/>
      <c r="CB208" s="357"/>
      <c r="CC208" s="357"/>
      <c r="CD208" s="357"/>
      <c r="CE208" s="357"/>
      <c r="CF208" s="357"/>
      <c r="CG208" s="357"/>
      <c r="CH208" s="357"/>
      <c r="CI208" s="357"/>
      <c r="CJ208" s="357"/>
      <c r="CK208" s="357"/>
      <c r="CL208" s="357"/>
      <c r="CM208" s="357"/>
      <c r="CN208" s="357"/>
      <c r="CO208" s="357"/>
      <c r="CP208" s="357"/>
      <c r="CQ208" s="357"/>
      <c r="CR208" s="357"/>
      <c r="CS208" s="357"/>
      <c r="CT208" s="357"/>
      <c r="CU208" s="357"/>
      <c r="CV208" s="357"/>
      <c r="CW208" s="357"/>
      <c r="CX208" s="357"/>
      <c r="CY208" s="357"/>
      <c r="CZ208" s="357"/>
      <c r="DA208" s="357"/>
      <c r="DB208" s="357"/>
      <c r="DC208" s="357"/>
      <c r="DD208" s="357"/>
      <c r="DE208" s="357"/>
      <c r="DF208" s="357"/>
      <c r="DG208" s="357"/>
      <c r="DH208" s="357"/>
      <c r="DI208" s="357"/>
      <c r="DJ208" s="357"/>
      <c r="DK208" s="357"/>
      <c r="DL208" s="357"/>
      <c r="DM208" s="357"/>
      <c r="DN208" s="357"/>
      <c r="DO208" s="357"/>
      <c r="DP208" s="357"/>
      <c r="DQ208" s="357"/>
      <c r="DR208" s="357"/>
      <c r="DS208" s="357"/>
      <c r="DT208" s="357"/>
      <c r="DU208" s="357"/>
      <c r="DV208" s="357"/>
      <c r="DW208" s="357"/>
      <c r="DX208" s="357"/>
      <c r="DY208" s="357"/>
      <c r="DZ208" s="357"/>
      <c r="EA208" s="357"/>
      <c r="EB208" s="357"/>
      <c r="EC208" s="357"/>
      <c r="ED208" s="357"/>
      <c r="EE208" s="357"/>
      <c r="EF208" s="357"/>
      <c r="EG208" s="357"/>
      <c r="EH208" s="357"/>
      <c r="EI208" s="357"/>
      <c r="EJ208" s="357"/>
      <c r="EK208" s="357"/>
      <c r="EL208" s="357"/>
      <c r="EM208" s="357"/>
      <c r="EN208" s="357"/>
      <c r="EO208" s="357"/>
      <c r="EP208" s="357"/>
      <c r="EQ208" s="357"/>
      <c r="ER208" s="357"/>
      <c r="ES208" s="357"/>
      <c r="ET208" s="357"/>
      <c r="EU208" s="357"/>
      <c r="EV208" s="357"/>
      <c r="EW208" s="357"/>
      <c r="EX208" s="357"/>
      <c r="EY208" s="357"/>
      <c r="EZ208" s="357"/>
      <c r="FA208" s="357"/>
      <c r="FB208" s="357"/>
      <c r="FC208" s="357"/>
      <c r="FD208" s="357"/>
      <c r="FE208" s="357"/>
      <c r="FF208" s="357"/>
      <c r="FG208" s="357"/>
      <c r="FH208" s="357"/>
      <c r="FI208" s="357"/>
      <c r="FJ208" s="357"/>
      <c r="FK208" s="357"/>
      <c r="FL208" s="357"/>
      <c r="FM208" s="357"/>
      <c r="FN208" s="357"/>
      <c r="FO208" s="357"/>
      <c r="FP208" s="357"/>
      <c r="FQ208" s="357"/>
      <c r="FR208" s="357"/>
      <c r="FS208" s="357"/>
      <c r="FT208" s="357"/>
      <c r="FU208" s="357"/>
      <c r="FV208" s="357"/>
      <c r="FW208" s="357"/>
      <c r="FX208" s="357"/>
      <c r="FY208" s="357"/>
      <c r="FZ208" s="357"/>
      <c r="GA208" s="357"/>
      <c r="GB208" s="357"/>
      <c r="GC208" s="357"/>
      <c r="GD208" s="357"/>
      <c r="GE208" s="357"/>
      <c r="GF208" s="357"/>
      <c r="GG208" s="357"/>
      <c r="GH208" s="357"/>
      <c r="GI208" s="357"/>
      <c r="GJ208" s="357"/>
      <c r="GK208" s="154"/>
      <c r="GL208" s="154"/>
      <c r="GM208" s="154"/>
      <c r="GN208" s="154"/>
      <c r="GO208" s="154"/>
      <c r="GP208" s="154"/>
      <c r="GQ208" s="154"/>
      <c r="GR208" s="154"/>
      <c r="GS208" s="154"/>
      <c r="GT208" s="154"/>
      <c r="GU208" s="154"/>
      <c r="GV208" s="154"/>
      <c r="GW208" s="154"/>
      <c r="GX208" s="154"/>
    </row>
    <row r="209" spans="7:206">
      <c r="G209" s="154"/>
      <c r="H209" s="154"/>
      <c r="I209" s="154"/>
      <c r="J209" s="154"/>
      <c r="K209" s="154"/>
      <c r="L209" s="154"/>
      <c r="M209" s="154"/>
      <c r="N209" s="154"/>
      <c r="O209" s="154"/>
      <c r="P209" s="154"/>
      <c r="Q209" s="154"/>
      <c r="R209" s="154"/>
      <c r="S209" s="154"/>
      <c r="T209" s="154"/>
      <c r="U209" s="154"/>
      <c r="V209" s="154"/>
      <c r="W209" s="154"/>
      <c r="X209" s="154"/>
      <c r="Y209" s="154"/>
      <c r="Z209" s="357"/>
      <c r="AA209" s="357"/>
      <c r="AB209" s="357"/>
      <c r="AC209" s="357"/>
      <c r="AD209" s="357"/>
      <c r="AE209" s="357"/>
      <c r="AF209" s="357"/>
      <c r="AG209" s="357"/>
      <c r="AH209" s="357"/>
      <c r="AI209" s="357"/>
      <c r="AJ209" s="357"/>
      <c r="AK209" s="357"/>
      <c r="AL209" s="357"/>
      <c r="AM209" s="357"/>
      <c r="AN209" s="357"/>
      <c r="AO209" s="357"/>
      <c r="AP209" s="357"/>
      <c r="AQ209" s="357"/>
      <c r="AR209" s="357"/>
      <c r="AS209" s="357"/>
      <c r="AT209" s="357"/>
      <c r="AU209" s="357"/>
      <c r="AV209" s="357"/>
      <c r="AW209" s="357"/>
      <c r="AX209" s="357"/>
      <c r="AY209" s="357"/>
      <c r="AZ209" s="357"/>
      <c r="BA209" s="357"/>
      <c r="BB209" s="357"/>
      <c r="BC209" s="357"/>
      <c r="BD209" s="357"/>
      <c r="BE209" s="357"/>
      <c r="BF209" s="357"/>
      <c r="BG209" s="357"/>
      <c r="BH209" s="357"/>
      <c r="BI209" s="357"/>
      <c r="BJ209" s="357"/>
      <c r="BK209" s="357"/>
      <c r="BL209" s="357"/>
      <c r="BM209" s="357"/>
      <c r="BN209" s="357"/>
      <c r="BO209" s="357"/>
      <c r="BP209" s="357"/>
      <c r="BQ209" s="357"/>
      <c r="BR209" s="357"/>
      <c r="BS209" s="357"/>
      <c r="BT209" s="357"/>
      <c r="BU209" s="357"/>
      <c r="BV209" s="357"/>
      <c r="BW209" s="357"/>
      <c r="BX209" s="357"/>
      <c r="BY209" s="357"/>
      <c r="BZ209" s="357"/>
      <c r="CA209" s="357"/>
      <c r="CB209" s="357"/>
      <c r="CC209" s="357"/>
      <c r="CD209" s="357"/>
      <c r="CE209" s="357"/>
      <c r="CF209" s="357"/>
      <c r="CG209" s="357"/>
      <c r="CH209" s="357"/>
      <c r="CI209" s="357"/>
      <c r="CJ209" s="357"/>
      <c r="CK209" s="357"/>
      <c r="CL209" s="357"/>
      <c r="CM209" s="357"/>
      <c r="CN209" s="357"/>
      <c r="CO209" s="357"/>
      <c r="CP209" s="357"/>
      <c r="CQ209" s="357"/>
      <c r="CR209" s="357"/>
      <c r="CS209" s="357"/>
      <c r="CT209" s="357"/>
      <c r="CU209" s="357"/>
      <c r="CV209" s="357"/>
      <c r="CW209" s="357"/>
      <c r="CX209" s="357"/>
      <c r="CY209" s="357"/>
      <c r="CZ209" s="357"/>
      <c r="DA209" s="357"/>
      <c r="DB209" s="357"/>
      <c r="DC209" s="357"/>
      <c r="DD209" s="357"/>
      <c r="DE209" s="357"/>
      <c r="DF209" s="357"/>
      <c r="DG209" s="357"/>
      <c r="DH209" s="357"/>
      <c r="DI209" s="357"/>
      <c r="DJ209" s="357"/>
      <c r="DK209" s="357"/>
      <c r="DL209" s="357"/>
      <c r="DM209" s="357"/>
      <c r="DN209" s="357"/>
      <c r="DO209" s="357"/>
      <c r="DP209" s="357"/>
      <c r="DQ209" s="357"/>
      <c r="DR209" s="357"/>
      <c r="DS209" s="357"/>
      <c r="DT209" s="357"/>
      <c r="DU209" s="357"/>
      <c r="DV209" s="357"/>
      <c r="DW209" s="357"/>
      <c r="DX209" s="357"/>
      <c r="DY209" s="357"/>
      <c r="DZ209" s="357"/>
      <c r="EA209" s="357"/>
      <c r="EB209" s="357"/>
      <c r="EC209" s="357"/>
      <c r="ED209" s="357"/>
      <c r="EE209" s="357"/>
      <c r="EF209" s="357"/>
      <c r="EG209" s="357"/>
      <c r="EH209" s="357"/>
      <c r="EI209" s="357"/>
      <c r="EJ209" s="357"/>
      <c r="EK209" s="357"/>
      <c r="EL209" s="357"/>
      <c r="EM209" s="357"/>
      <c r="EN209" s="357"/>
      <c r="EO209" s="357"/>
      <c r="EP209" s="357"/>
      <c r="EQ209" s="357"/>
      <c r="ER209" s="357"/>
      <c r="ES209" s="357"/>
      <c r="ET209" s="357"/>
      <c r="EU209" s="357"/>
      <c r="EV209" s="357"/>
      <c r="EW209" s="357"/>
      <c r="EX209" s="357"/>
      <c r="EY209" s="357"/>
      <c r="EZ209" s="357"/>
      <c r="FA209" s="357"/>
      <c r="FB209" s="357"/>
      <c r="FC209" s="357"/>
      <c r="FD209" s="357"/>
      <c r="FE209" s="357"/>
      <c r="FF209" s="357"/>
      <c r="FG209" s="357"/>
      <c r="FH209" s="357"/>
      <c r="FI209" s="357"/>
      <c r="FJ209" s="357"/>
      <c r="FK209" s="357"/>
      <c r="FL209" s="357"/>
      <c r="FM209" s="357"/>
      <c r="FN209" s="357"/>
      <c r="FO209" s="357"/>
      <c r="FP209" s="357"/>
      <c r="FQ209" s="357"/>
      <c r="FR209" s="357"/>
      <c r="FS209" s="357"/>
      <c r="FT209" s="357"/>
      <c r="FU209" s="357"/>
      <c r="FV209" s="357"/>
      <c r="FW209" s="357"/>
      <c r="FX209" s="357"/>
      <c r="FY209" s="357"/>
      <c r="FZ209" s="357"/>
      <c r="GA209" s="357"/>
      <c r="GB209" s="357"/>
      <c r="GC209" s="357"/>
      <c r="GD209" s="357"/>
      <c r="GE209" s="357"/>
      <c r="GF209" s="357"/>
      <c r="GG209" s="357"/>
      <c r="GH209" s="357"/>
      <c r="GI209" s="357"/>
      <c r="GJ209" s="357"/>
      <c r="GK209" s="154"/>
      <c r="GL209" s="154"/>
      <c r="GM209" s="154"/>
      <c r="GN209" s="154"/>
      <c r="GO209" s="154"/>
      <c r="GP209" s="154"/>
      <c r="GQ209" s="154"/>
      <c r="GR209" s="154"/>
      <c r="GS209" s="154"/>
      <c r="GT209" s="154"/>
      <c r="GU209" s="154"/>
      <c r="GV209" s="154"/>
      <c r="GW209" s="154"/>
      <c r="GX209" s="154"/>
    </row>
    <row r="210" spans="7:206">
      <c r="G210" s="154"/>
      <c r="H210" s="154"/>
      <c r="I210" s="154"/>
      <c r="J210" s="154"/>
      <c r="K210" s="154"/>
      <c r="L210" s="154"/>
      <c r="M210" s="154"/>
      <c r="N210" s="154"/>
      <c r="O210" s="154"/>
      <c r="P210" s="154"/>
      <c r="Q210" s="154"/>
      <c r="R210" s="154"/>
      <c r="S210" s="154"/>
      <c r="T210" s="154"/>
      <c r="U210" s="154"/>
      <c r="V210" s="154"/>
      <c r="W210" s="154"/>
      <c r="X210" s="154"/>
      <c r="Y210" s="154"/>
      <c r="Z210" s="357"/>
      <c r="AA210" s="357"/>
      <c r="AB210" s="357"/>
      <c r="AC210" s="357"/>
      <c r="AD210" s="357"/>
      <c r="AE210" s="357"/>
      <c r="AF210" s="357"/>
      <c r="AG210" s="357"/>
      <c r="AH210" s="357"/>
      <c r="AI210" s="357"/>
      <c r="AJ210" s="357"/>
      <c r="AK210" s="357"/>
      <c r="AL210" s="357"/>
      <c r="AM210" s="357"/>
      <c r="AN210" s="357"/>
      <c r="AO210" s="357"/>
      <c r="AP210" s="357"/>
      <c r="AQ210" s="357"/>
      <c r="AR210" s="357"/>
      <c r="AS210" s="357"/>
      <c r="AT210" s="357"/>
      <c r="AU210" s="357"/>
      <c r="AV210" s="357"/>
      <c r="AW210" s="357"/>
      <c r="AX210" s="357"/>
      <c r="AY210" s="357"/>
      <c r="AZ210" s="357"/>
      <c r="BA210" s="357"/>
      <c r="BB210" s="357"/>
      <c r="BC210" s="357"/>
      <c r="BD210" s="357"/>
      <c r="BE210" s="357"/>
      <c r="BF210" s="357"/>
      <c r="BG210" s="357"/>
      <c r="BH210" s="357"/>
      <c r="BI210" s="357"/>
      <c r="BJ210" s="357"/>
      <c r="BK210" s="357"/>
      <c r="BL210" s="357"/>
      <c r="BM210" s="357"/>
      <c r="BN210" s="357"/>
      <c r="BO210" s="357"/>
      <c r="BP210" s="357"/>
      <c r="BQ210" s="357"/>
      <c r="BR210" s="357"/>
      <c r="BS210" s="357"/>
      <c r="BT210" s="357"/>
      <c r="BU210" s="357"/>
      <c r="BV210" s="357"/>
      <c r="BW210" s="357"/>
      <c r="BX210" s="357"/>
      <c r="BY210" s="357"/>
      <c r="BZ210" s="357"/>
      <c r="CA210" s="357"/>
      <c r="CB210" s="357"/>
      <c r="CC210" s="357"/>
      <c r="CD210" s="357"/>
      <c r="CE210" s="357"/>
      <c r="CF210" s="357"/>
      <c r="CG210" s="357"/>
      <c r="CH210" s="357"/>
      <c r="CI210" s="357"/>
      <c r="CJ210" s="357"/>
      <c r="CK210" s="357"/>
      <c r="CL210" s="357"/>
      <c r="CM210" s="357"/>
      <c r="CN210" s="357"/>
      <c r="CO210" s="357"/>
      <c r="CP210" s="357"/>
      <c r="CQ210" s="357"/>
      <c r="CR210" s="357"/>
      <c r="CS210" s="357"/>
      <c r="CT210" s="357"/>
      <c r="CU210" s="357"/>
      <c r="CV210" s="357"/>
      <c r="CW210" s="357"/>
      <c r="CX210" s="357"/>
      <c r="CY210" s="357"/>
      <c r="CZ210" s="357"/>
      <c r="DA210" s="357"/>
      <c r="DB210" s="357"/>
      <c r="DC210" s="357"/>
      <c r="DD210" s="357"/>
      <c r="DE210" s="357"/>
      <c r="DF210" s="357"/>
      <c r="DG210" s="357"/>
      <c r="DH210" s="357"/>
      <c r="DI210" s="357"/>
      <c r="DJ210" s="357"/>
      <c r="DK210" s="357"/>
      <c r="DL210" s="357"/>
      <c r="DM210" s="357"/>
      <c r="DN210" s="357"/>
      <c r="DO210" s="357"/>
      <c r="DP210" s="357"/>
      <c r="DQ210" s="357"/>
      <c r="DR210" s="357"/>
      <c r="DS210" s="357"/>
      <c r="DT210" s="357"/>
      <c r="DU210" s="357"/>
      <c r="DV210" s="357"/>
      <c r="DW210" s="357"/>
      <c r="DX210" s="357"/>
      <c r="DY210" s="357"/>
      <c r="DZ210" s="357"/>
      <c r="EA210" s="357"/>
      <c r="EB210" s="357"/>
      <c r="EC210" s="357"/>
      <c r="ED210" s="357"/>
      <c r="EE210" s="357"/>
      <c r="EF210" s="357"/>
      <c r="EG210" s="357"/>
      <c r="EH210" s="357"/>
      <c r="EI210" s="357"/>
      <c r="EJ210" s="357"/>
      <c r="EK210" s="357"/>
      <c r="EL210" s="357"/>
      <c r="EM210" s="357"/>
      <c r="EN210" s="357"/>
      <c r="EO210" s="357"/>
      <c r="EP210" s="357"/>
      <c r="EQ210" s="357"/>
      <c r="ER210" s="357"/>
      <c r="ES210" s="357"/>
      <c r="ET210" s="357"/>
      <c r="EU210" s="357"/>
      <c r="EV210" s="357"/>
      <c r="EW210" s="357"/>
      <c r="EX210" s="357"/>
      <c r="EY210" s="357"/>
      <c r="EZ210" s="357"/>
      <c r="FA210" s="357"/>
      <c r="FB210" s="357"/>
      <c r="FC210" s="357"/>
      <c r="FD210" s="357"/>
      <c r="FE210" s="357"/>
      <c r="FF210" s="357"/>
      <c r="FG210" s="357"/>
      <c r="FH210" s="357"/>
      <c r="FI210" s="357"/>
      <c r="FJ210" s="357"/>
      <c r="FK210" s="357"/>
      <c r="FL210" s="357"/>
      <c r="FM210" s="357"/>
      <c r="FN210" s="357"/>
      <c r="FO210" s="357"/>
      <c r="FP210" s="357"/>
      <c r="FQ210" s="357"/>
      <c r="FR210" s="357"/>
      <c r="FS210" s="357"/>
      <c r="FT210" s="357"/>
      <c r="FU210" s="357"/>
      <c r="FV210" s="357"/>
      <c r="FW210" s="357"/>
      <c r="FX210" s="357"/>
      <c r="FY210" s="357"/>
      <c r="FZ210" s="357"/>
      <c r="GA210" s="357"/>
      <c r="GB210" s="357"/>
      <c r="GC210" s="357"/>
      <c r="GD210" s="357"/>
      <c r="GE210" s="357"/>
      <c r="GF210" s="357"/>
      <c r="GG210" s="357"/>
      <c r="GH210" s="357"/>
      <c r="GI210" s="357"/>
      <c r="GJ210" s="357"/>
      <c r="GK210" s="154"/>
      <c r="GL210" s="154"/>
      <c r="GM210" s="154"/>
      <c r="GN210" s="154"/>
      <c r="GO210" s="154"/>
      <c r="GP210" s="154"/>
      <c r="GQ210" s="154"/>
      <c r="GR210" s="154"/>
      <c r="GS210" s="154"/>
      <c r="GT210" s="154"/>
      <c r="GU210" s="154"/>
      <c r="GV210" s="154"/>
      <c r="GW210" s="154"/>
      <c r="GX210" s="154"/>
    </row>
    <row r="211" spans="7:206">
      <c r="G211" s="154"/>
      <c r="H211" s="154"/>
      <c r="I211" s="154"/>
      <c r="J211" s="154"/>
      <c r="K211" s="154"/>
      <c r="L211" s="154"/>
      <c r="M211" s="154"/>
      <c r="N211" s="154"/>
      <c r="O211" s="154"/>
      <c r="P211" s="154"/>
      <c r="Q211" s="154"/>
      <c r="R211" s="154"/>
      <c r="S211" s="154"/>
      <c r="T211" s="154"/>
      <c r="U211" s="154"/>
      <c r="V211" s="154"/>
      <c r="W211" s="154"/>
      <c r="X211" s="154"/>
      <c r="Y211" s="154"/>
      <c r="Z211" s="357"/>
      <c r="AA211" s="357"/>
      <c r="AB211" s="357"/>
      <c r="AC211" s="357"/>
      <c r="AD211" s="357"/>
      <c r="AE211" s="357"/>
      <c r="AF211" s="357"/>
      <c r="AG211" s="357"/>
      <c r="AH211" s="357"/>
      <c r="AI211" s="357"/>
      <c r="AJ211" s="357"/>
      <c r="AK211" s="357"/>
      <c r="AL211" s="357"/>
      <c r="AM211" s="357"/>
      <c r="AN211" s="357"/>
      <c r="AO211" s="357"/>
      <c r="AP211" s="357"/>
      <c r="AQ211" s="357"/>
      <c r="AR211" s="357"/>
      <c r="AS211" s="357"/>
      <c r="AT211" s="357"/>
      <c r="AU211" s="357"/>
      <c r="AV211" s="357"/>
      <c r="AW211" s="357"/>
      <c r="AX211" s="357"/>
      <c r="AY211" s="357"/>
      <c r="AZ211" s="357"/>
      <c r="BA211" s="357"/>
      <c r="BB211" s="357"/>
      <c r="BC211" s="357"/>
      <c r="BD211" s="357"/>
      <c r="BE211" s="357"/>
      <c r="BF211" s="357"/>
      <c r="BG211" s="357"/>
      <c r="BH211" s="357"/>
      <c r="BI211" s="357"/>
      <c r="BJ211" s="357"/>
      <c r="BK211" s="357"/>
      <c r="BL211" s="357"/>
      <c r="BM211" s="357"/>
      <c r="BN211" s="357"/>
      <c r="BO211" s="357"/>
      <c r="BP211" s="357"/>
      <c r="BQ211" s="357"/>
      <c r="BR211" s="357"/>
      <c r="BS211" s="357"/>
      <c r="BT211" s="357"/>
      <c r="BU211" s="357"/>
      <c r="BV211" s="357"/>
      <c r="BW211" s="357"/>
      <c r="BX211" s="357"/>
      <c r="BY211" s="357"/>
      <c r="BZ211" s="357"/>
      <c r="CA211" s="357"/>
      <c r="CB211" s="357"/>
      <c r="CC211" s="357"/>
      <c r="CD211" s="357"/>
      <c r="CE211" s="357"/>
      <c r="CF211" s="357"/>
      <c r="CG211" s="357"/>
      <c r="CH211" s="357"/>
      <c r="CI211" s="357"/>
      <c r="CJ211" s="357"/>
      <c r="CK211" s="357"/>
      <c r="CL211" s="357"/>
      <c r="CM211" s="357"/>
      <c r="CN211" s="357"/>
      <c r="CO211" s="357"/>
      <c r="CP211" s="357"/>
      <c r="CQ211" s="357"/>
      <c r="CR211" s="357"/>
      <c r="CS211" s="357"/>
      <c r="CT211" s="357"/>
      <c r="CU211" s="357"/>
      <c r="CV211" s="357"/>
      <c r="CW211" s="357"/>
      <c r="CX211" s="357"/>
      <c r="CY211" s="357"/>
      <c r="CZ211" s="357"/>
      <c r="DA211" s="357"/>
      <c r="DB211" s="357"/>
      <c r="DC211" s="357"/>
      <c r="DD211" s="357"/>
      <c r="DE211" s="357"/>
      <c r="DF211" s="357"/>
      <c r="DG211" s="357"/>
      <c r="DH211" s="357"/>
      <c r="DI211" s="357"/>
      <c r="DJ211" s="357"/>
      <c r="DK211" s="357"/>
      <c r="DL211" s="357"/>
      <c r="DM211" s="357"/>
      <c r="DN211" s="357"/>
      <c r="DO211" s="357"/>
      <c r="DP211" s="357"/>
      <c r="DQ211" s="357"/>
      <c r="DR211" s="357"/>
      <c r="DS211" s="357"/>
      <c r="DT211" s="357"/>
      <c r="DU211" s="357"/>
      <c r="DV211" s="357"/>
      <c r="DW211" s="357"/>
      <c r="DX211" s="357"/>
      <c r="DY211" s="357"/>
      <c r="DZ211" s="357"/>
      <c r="EA211" s="357"/>
      <c r="EB211" s="357"/>
      <c r="EC211" s="357"/>
      <c r="ED211" s="357"/>
      <c r="EE211" s="357"/>
      <c r="EF211" s="357"/>
      <c r="EG211" s="357"/>
      <c r="EH211" s="357"/>
      <c r="EI211" s="357"/>
      <c r="EJ211" s="357"/>
      <c r="EK211" s="357"/>
      <c r="EL211" s="357"/>
      <c r="EM211" s="357"/>
      <c r="EN211" s="357"/>
      <c r="EO211" s="357"/>
      <c r="EP211" s="357"/>
      <c r="EQ211" s="357"/>
      <c r="ER211" s="357"/>
      <c r="ES211" s="357"/>
      <c r="ET211" s="357"/>
      <c r="EU211" s="357"/>
      <c r="EV211" s="357"/>
      <c r="EW211" s="357"/>
      <c r="EX211" s="357"/>
      <c r="EY211" s="357"/>
      <c r="EZ211" s="357"/>
      <c r="FA211" s="357"/>
      <c r="FB211" s="357"/>
      <c r="FC211" s="357"/>
      <c r="FD211" s="357"/>
      <c r="FE211" s="357"/>
      <c r="FF211" s="357"/>
      <c r="FG211" s="357"/>
      <c r="FH211" s="357"/>
      <c r="FI211" s="357"/>
      <c r="FJ211" s="357"/>
      <c r="FK211" s="357"/>
      <c r="FL211" s="357"/>
      <c r="FM211" s="357"/>
      <c r="FN211" s="357"/>
      <c r="FO211" s="357"/>
      <c r="FP211" s="357"/>
      <c r="FQ211" s="357"/>
      <c r="FR211" s="357"/>
      <c r="FS211" s="357"/>
      <c r="FT211" s="357"/>
      <c r="FU211" s="357"/>
      <c r="FV211" s="357"/>
      <c r="FW211" s="357"/>
      <c r="FX211" s="357"/>
      <c r="FY211" s="357"/>
      <c r="FZ211" s="357"/>
      <c r="GA211" s="357"/>
      <c r="GB211" s="357"/>
      <c r="GC211" s="357"/>
      <c r="GD211" s="357"/>
      <c r="GE211" s="357"/>
      <c r="GF211" s="357"/>
      <c r="GG211" s="357"/>
      <c r="GH211" s="357"/>
      <c r="GI211" s="357"/>
      <c r="GJ211" s="357"/>
      <c r="GK211" s="154"/>
      <c r="GL211" s="154"/>
      <c r="GM211" s="154"/>
      <c r="GN211" s="154"/>
      <c r="GO211" s="154"/>
      <c r="GP211" s="154"/>
      <c r="GQ211" s="154"/>
      <c r="GR211" s="154"/>
      <c r="GS211" s="154"/>
      <c r="GT211" s="154"/>
      <c r="GU211" s="154"/>
      <c r="GV211" s="154"/>
      <c r="GW211" s="154"/>
      <c r="GX211" s="154"/>
    </row>
    <row r="212" spans="7:206">
      <c r="G212" s="154"/>
      <c r="H212" s="154"/>
      <c r="I212" s="154"/>
      <c r="J212" s="154"/>
      <c r="K212" s="154"/>
      <c r="L212" s="154"/>
      <c r="M212" s="154"/>
      <c r="N212" s="154"/>
      <c r="O212" s="154"/>
      <c r="P212" s="154"/>
      <c r="Q212" s="154"/>
      <c r="R212" s="154"/>
      <c r="S212" s="154"/>
      <c r="T212" s="154"/>
      <c r="U212" s="154"/>
      <c r="V212" s="154"/>
      <c r="W212" s="154"/>
      <c r="X212" s="154"/>
      <c r="Y212" s="154"/>
      <c r="Z212" s="357"/>
      <c r="AA212" s="357"/>
      <c r="AB212" s="357"/>
      <c r="AC212" s="357"/>
      <c r="AD212" s="357"/>
      <c r="AE212" s="357"/>
      <c r="AF212" s="357"/>
      <c r="AG212" s="357"/>
      <c r="AH212" s="357"/>
      <c r="AI212" s="357"/>
      <c r="AJ212" s="357"/>
      <c r="AK212" s="357"/>
      <c r="AL212" s="357"/>
      <c r="AM212" s="357"/>
      <c r="AN212" s="357"/>
      <c r="AO212" s="357"/>
      <c r="AP212" s="357"/>
      <c r="AQ212" s="357"/>
      <c r="AR212" s="357"/>
      <c r="AS212" s="357"/>
      <c r="AT212" s="357"/>
      <c r="AU212" s="357"/>
      <c r="AV212" s="357"/>
      <c r="AW212" s="357"/>
      <c r="AX212" s="357"/>
      <c r="AY212" s="357"/>
      <c r="AZ212" s="357"/>
      <c r="BA212" s="357"/>
      <c r="BB212" s="357"/>
      <c r="BC212" s="357"/>
      <c r="BD212" s="357"/>
      <c r="BE212" s="357"/>
      <c r="BF212" s="357"/>
      <c r="BG212" s="357"/>
      <c r="BH212" s="357"/>
      <c r="BI212" s="357"/>
      <c r="BJ212" s="357"/>
      <c r="BK212" s="357"/>
      <c r="BL212" s="357"/>
      <c r="BM212" s="357"/>
      <c r="BN212" s="357"/>
      <c r="BO212" s="357"/>
      <c r="BP212" s="357"/>
      <c r="BQ212" s="357"/>
      <c r="BR212" s="357"/>
      <c r="BS212" s="357"/>
      <c r="BT212" s="357"/>
      <c r="BU212" s="357"/>
      <c r="BV212" s="357"/>
      <c r="BW212" s="357"/>
      <c r="BX212" s="357"/>
      <c r="BY212" s="357"/>
      <c r="BZ212" s="357"/>
      <c r="CA212" s="357"/>
      <c r="CB212" s="357"/>
      <c r="CC212" s="357"/>
      <c r="CD212" s="357"/>
      <c r="CE212" s="357"/>
      <c r="CF212" s="357"/>
      <c r="CG212" s="357"/>
      <c r="CH212" s="357"/>
      <c r="CI212" s="357"/>
      <c r="CJ212" s="357"/>
      <c r="CK212" s="357"/>
      <c r="CL212" s="357"/>
      <c r="CM212" s="357"/>
      <c r="CN212" s="357"/>
      <c r="CO212" s="357"/>
      <c r="CP212" s="357"/>
      <c r="CQ212" s="357"/>
      <c r="CR212" s="357"/>
      <c r="CS212" s="357"/>
      <c r="CT212" s="357"/>
      <c r="CU212" s="357"/>
      <c r="CV212" s="357"/>
      <c r="CW212" s="357"/>
      <c r="CX212" s="357"/>
      <c r="CY212" s="357"/>
      <c r="CZ212" s="357"/>
      <c r="DA212" s="357"/>
      <c r="DB212" s="357"/>
      <c r="DC212" s="357"/>
      <c r="DD212" s="357"/>
      <c r="DE212" s="357"/>
      <c r="DF212" s="357"/>
      <c r="DG212" s="357"/>
      <c r="DH212" s="357"/>
      <c r="DI212" s="357"/>
      <c r="DJ212" s="357"/>
      <c r="DK212" s="357"/>
      <c r="DL212" s="357"/>
      <c r="DM212" s="357"/>
      <c r="DN212" s="357"/>
      <c r="DO212" s="357"/>
      <c r="DP212" s="357"/>
      <c r="DQ212" s="357"/>
      <c r="DR212" s="357"/>
      <c r="DS212" s="357"/>
      <c r="DT212" s="357"/>
      <c r="DU212" s="357"/>
      <c r="DV212" s="357"/>
      <c r="DW212" s="357"/>
      <c r="DX212" s="357"/>
      <c r="DY212" s="357"/>
      <c r="DZ212" s="357"/>
      <c r="EA212" s="357"/>
      <c r="EB212" s="357"/>
      <c r="EC212" s="357"/>
      <c r="ED212" s="357"/>
      <c r="EE212" s="357"/>
      <c r="EF212" s="357"/>
      <c r="EG212" s="357"/>
      <c r="EH212" s="357"/>
      <c r="EI212" s="357"/>
      <c r="EJ212" s="357"/>
      <c r="EK212" s="357"/>
      <c r="EL212" s="357"/>
      <c r="EM212" s="357"/>
      <c r="EN212" s="357"/>
      <c r="EO212" s="357"/>
      <c r="EP212" s="357"/>
      <c r="EQ212" s="357"/>
      <c r="ER212" s="357"/>
      <c r="ES212" s="357"/>
      <c r="ET212" s="357"/>
      <c r="EU212" s="357"/>
      <c r="EV212" s="357"/>
      <c r="EW212" s="357"/>
      <c r="EX212" s="357"/>
      <c r="EY212" s="357"/>
      <c r="EZ212" s="357"/>
      <c r="FA212" s="357"/>
      <c r="FB212" s="357"/>
      <c r="FC212" s="357"/>
      <c r="FD212" s="357"/>
      <c r="FE212" s="357"/>
      <c r="FF212" s="357"/>
      <c r="FG212" s="357"/>
      <c r="FH212" s="357"/>
      <c r="FI212" s="357"/>
      <c r="FJ212" s="357"/>
      <c r="FK212" s="357"/>
      <c r="FL212" s="357"/>
      <c r="FM212" s="357"/>
      <c r="FN212" s="357"/>
      <c r="FO212" s="357"/>
      <c r="FP212" s="357"/>
      <c r="FQ212" s="357"/>
      <c r="FR212" s="357"/>
      <c r="FS212" s="357"/>
      <c r="FT212" s="357"/>
      <c r="FU212" s="357"/>
      <c r="FV212" s="357"/>
      <c r="FW212" s="357"/>
      <c r="FX212" s="357"/>
      <c r="FY212" s="357"/>
      <c r="FZ212" s="357"/>
      <c r="GA212" s="357"/>
      <c r="GB212" s="357"/>
      <c r="GC212" s="357"/>
      <c r="GD212" s="357"/>
      <c r="GE212" s="357"/>
      <c r="GF212" s="357"/>
      <c r="GG212" s="357"/>
      <c r="GH212" s="357"/>
      <c r="GI212" s="357"/>
      <c r="GJ212" s="357"/>
      <c r="GK212" s="154"/>
      <c r="GL212" s="154"/>
      <c r="GM212" s="154"/>
      <c r="GN212" s="154"/>
      <c r="GO212" s="154"/>
      <c r="GP212" s="154"/>
      <c r="GQ212" s="154"/>
      <c r="GR212" s="154"/>
      <c r="GS212" s="154"/>
      <c r="GT212" s="154"/>
      <c r="GU212" s="154"/>
      <c r="GV212" s="154"/>
      <c r="GW212" s="154"/>
      <c r="GX212" s="154"/>
    </row>
    <row r="213" spans="7:206">
      <c r="G213" s="154"/>
      <c r="H213" s="154"/>
      <c r="I213" s="154"/>
      <c r="J213" s="154"/>
      <c r="K213" s="154"/>
      <c r="L213" s="154"/>
      <c r="M213" s="154"/>
      <c r="N213" s="154"/>
      <c r="O213" s="154"/>
      <c r="P213" s="154"/>
      <c r="Q213" s="154"/>
      <c r="R213" s="154"/>
      <c r="S213" s="154"/>
      <c r="T213" s="154"/>
      <c r="U213" s="154"/>
      <c r="V213" s="154"/>
      <c r="W213" s="154"/>
      <c r="X213" s="154"/>
      <c r="Y213" s="154"/>
      <c r="Z213" s="357"/>
      <c r="AA213" s="357"/>
      <c r="AB213" s="357"/>
      <c r="AC213" s="357"/>
      <c r="AD213" s="357"/>
      <c r="AE213" s="357"/>
      <c r="AF213" s="357"/>
      <c r="AG213" s="357"/>
      <c r="AH213" s="357"/>
      <c r="AI213" s="357"/>
      <c r="AJ213" s="357"/>
      <c r="AK213" s="357"/>
      <c r="AL213" s="357"/>
      <c r="AM213" s="357"/>
      <c r="AN213" s="357"/>
      <c r="AO213" s="357"/>
      <c r="AP213" s="357"/>
      <c r="AQ213" s="357"/>
      <c r="AR213" s="357"/>
      <c r="AS213" s="357"/>
      <c r="AT213" s="357"/>
      <c r="AU213" s="357"/>
      <c r="AV213" s="357"/>
      <c r="AW213" s="357"/>
      <c r="AX213" s="357"/>
      <c r="AY213" s="357"/>
      <c r="AZ213" s="357"/>
      <c r="BA213" s="357"/>
      <c r="BB213" s="357"/>
      <c r="BC213" s="357"/>
      <c r="BD213" s="357"/>
      <c r="BE213" s="357"/>
      <c r="BF213" s="357"/>
      <c r="BG213" s="357"/>
      <c r="BH213" s="357"/>
      <c r="BI213" s="357"/>
      <c r="BJ213" s="357"/>
      <c r="BK213" s="357"/>
      <c r="BL213" s="357"/>
      <c r="BM213" s="357"/>
      <c r="BN213" s="357"/>
      <c r="BO213" s="357"/>
      <c r="BP213" s="357"/>
      <c r="BQ213" s="357"/>
      <c r="BR213" s="357"/>
      <c r="BS213" s="357"/>
      <c r="BT213" s="357"/>
      <c r="BU213" s="357"/>
      <c r="BV213" s="357"/>
      <c r="BW213" s="357"/>
      <c r="BX213" s="357"/>
      <c r="BY213" s="357"/>
      <c r="BZ213" s="357"/>
      <c r="CA213" s="357"/>
      <c r="CB213" s="357"/>
      <c r="CC213" s="357"/>
      <c r="CD213" s="357"/>
      <c r="CE213" s="357"/>
      <c r="CF213" s="357"/>
      <c r="CG213" s="357"/>
      <c r="CH213" s="357"/>
      <c r="CI213" s="357"/>
      <c r="CJ213" s="357"/>
      <c r="CK213" s="357"/>
      <c r="CL213" s="357"/>
      <c r="CM213" s="357"/>
      <c r="CN213" s="357"/>
      <c r="CO213" s="357"/>
      <c r="CP213" s="357"/>
      <c r="CQ213" s="357"/>
      <c r="CR213" s="357"/>
      <c r="CS213" s="357"/>
      <c r="CT213" s="357"/>
      <c r="CU213" s="357"/>
      <c r="CV213" s="357"/>
      <c r="CW213" s="357"/>
      <c r="CX213" s="357"/>
      <c r="CY213" s="357"/>
      <c r="CZ213" s="357"/>
      <c r="DA213" s="357"/>
      <c r="DB213" s="357"/>
      <c r="DC213" s="357"/>
      <c r="DD213" s="357"/>
      <c r="DE213" s="357"/>
      <c r="DF213" s="357"/>
      <c r="DG213" s="357"/>
      <c r="DH213" s="357"/>
      <c r="DI213" s="357"/>
      <c r="DJ213" s="357"/>
      <c r="DK213" s="357"/>
      <c r="DL213" s="357"/>
      <c r="DM213" s="357"/>
      <c r="DN213" s="357"/>
      <c r="DO213" s="357"/>
      <c r="DP213" s="357"/>
      <c r="DQ213" s="357"/>
      <c r="DR213" s="357"/>
      <c r="DS213" s="357"/>
      <c r="DT213" s="357"/>
      <c r="DU213" s="357"/>
      <c r="DV213" s="357"/>
      <c r="DW213" s="357"/>
      <c r="DX213" s="357"/>
      <c r="DY213" s="357"/>
      <c r="DZ213" s="357"/>
      <c r="EA213" s="357"/>
      <c r="EB213" s="357"/>
      <c r="EC213" s="357"/>
      <c r="ED213" s="357"/>
      <c r="EE213" s="357"/>
      <c r="EF213" s="357"/>
      <c r="EG213" s="357"/>
      <c r="EH213" s="357"/>
      <c r="EI213" s="357"/>
      <c r="EJ213" s="357"/>
      <c r="EK213" s="357"/>
      <c r="EL213" s="357"/>
      <c r="EM213" s="357"/>
      <c r="EN213" s="357"/>
      <c r="EO213" s="357"/>
      <c r="EP213" s="357"/>
      <c r="EQ213" s="357"/>
      <c r="ER213" s="357"/>
      <c r="ES213" s="357"/>
      <c r="ET213" s="357"/>
      <c r="EU213" s="357"/>
      <c r="EV213" s="357"/>
      <c r="EW213" s="357"/>
      <c r="EX213" s="357"/>
      <c r="EY213" s="357"/>
      <c r="EZ213" s="357"/>
      <c r="FA213" s="357"/>
      <c r="FB213" s="357"/>
      <c r="FC213" s="357"/>
      <c r="FD213" s="357"/>
      <c r="FE213" s="357"/>
      <c r="FF213" s="357"/>
      <c r="FG213" s="357"/>
      <c r="FH213" s="357"/>
      <c r="FI213" s="357"/>
      <c r="FJ213" s="357"/>
      <c r="FK213" s="357"/>
      <c r="FL213" s="357"/>
      <c r="FM213" s="357"/>
      <c r="FN213" s="357"/>
      <c r="FO213" s="357"/>
      <c r="FP213" s="357"/>
      <c r="FQ213" s="357"/>
      <c r="FR213" s="357"/>
      <c r="FS213" s="357"/>
      <c r="FT213" s="357"/>
      <c r="FU213" s="357"/>
      <c r="FV213" s="357"/>
      <c r="FW213" s="357"/>
      <c r="FX213" s="357"/>
      <c r="FY213" s="357"/>
      <c r="FZ213" s="357"/>
      <c r="GA213" s="357"/>
      <c r="GB213" s="357"/>
      <c r="GC213" s="357"/>
      <c r="GD213" s="357"/>
      <c r="GE213" s="357"/>
      <c r="GF213" s="357"/>
      <c r="GG213" s="357"/>
      <c r="GH213" s="357"/>
      <c r="GI213" s="357"/>
      <c r="GJ213" s="357"/>
      <c r="GK213" s="154"/>
      <c r="GL213" s="154"/>
      <c r="GM213" s="154"/>
      <c r="GN213" s="154"/>
      <c r="GO213" s="154"/>
      <c r="GP213" s="154"/>
      <c r="GQ213" s="154"/>
      <c r="GR213" s="154"/>
      <c r="GS213" s="154"/>
      <c r="GT213" s="154"/>
      <c r="GU213" s="154"/>
      <c r="GV213" s="154"/>
      <c r="GW213" s="154"/>
      <c r="GX213" s="154"/>
    </row>
    <row r="214" spans="7:206">
      <c r="G214" s="154"/>
      <c r="H214" s="154"/>
      <c r="I214" s="154"/>
      <c r="J214" s="154"/>
      <c r="K214" s="154"/>
      <c r="L214" s="154"/>
      <c r="M214" s="154"/>
      <c r="N214" s="154"/>
      <c r="O214" s="154"/>
      <c r="P214" s="154"/>
      <c r="Q214" s="154"/>
      <c r="R214" s="154"/>
      <c r="S214" s="154"/>
      <c r="T214" s="154"/>
      <c r="U214" s="154"/>
      <c r="V214" s="154"/>
      <c r="W214" s="154"/>
      <c r="X214" s="154"/>
      <c r="Y214" s="154"/>
      <c r="Z214" s="357"/>
      <c r="AA214" s="357"/>
      <c r="AB214" s="357"/>
      <c r="AC214" s="357"/>
      <c r="AD214" s="357"/>
      <c r="AE214" s="357"/>
      <c r="AF214" s="357"/>
      <c r="AG214" s="357"/>
      <c r="AH214" s="357"/>
      <c r="AI214" s="357"/>
      <c r="AJ214" s="357"/>
      <c r="AK214" s="357"/>
      <c r="AL214" s="357"/>
      <c r="AM214" s="357"/>
      <c r="AN214" s="357"/>
      <c r="AO214" s="357"/>
      <c r="AP214" s="357"/>
      <c r="AQ214" s="357"/>
      <c r="AR214" s="357"/>
      <c r="AS214" s="357"/>
      <c r="AT214" s="357"/>
      <c r="AU214" s="357"/>
      <c r="AV214" s="357"/>
      <c r="AW214" s="357"/>
      <c r="AX214" s="357"/>
      <c r="AY214" s="357"/>
      <c r="AZ214" s="357"/>
      <c r="BA214" s="357"/>
      <c r="BB214" s="357"/>
      <c r="BC214" s="357"/>
      <c r="BD214" s="357"/>
      <c r="BE214" s="357"/>
      <c r="BF214" s="357"/>
      <c r="BG214" s="357"/>
      <c r="BH214" s="357"/>
      <c r="BI214" s="357"/>
      <c r="BJ214" s="357"/>
      <c r="BK214" s="357"/>
      <c r="BL214" s="357"/>
      <c r="BM214" s="357"/>
      <c r="BN214" s="357"/>
      <c r="BO214" s="357"/>
      <c r="BP214" s="357"/>
      <c r="BQ214" s="357"/>
      <c r="BR214" s="357"/>
      <c r="BS214" s="357"/>
      <c r="BT214" s="357"/>
      <c r="BU214" s="357"/>
      <c r="BV214" s="357"/>
      <c r="BW214" s="357"/>
      <c r="BX214" s="357"/>
      <c r="BY214" s="357"/>
      <c r="BZ214" s="357"/>
      <c r="CA214" s="357"/>
      <c r="CB214" s="357"/>
      <c r="CC214" s="357"/>
      <c r="CD214" s="357"/>
      <c r="CE214" s="357"/>
      <c r="CF214" s="357"/>
      <c r="CG214" s="357"/>
      <c r="CH214" s="357"/>
      <c r="CI214" s="357"/>
      <c r="CJ214" s="357"/>
      <c r="CK214" s="357"/>
      <c r="CL214" s="357"/>
      <c r="CM214" s="357"/>
      <c r="CN214" s="357"/>
      <c r="CO214" s="357"/>
      <c r="CP214" s="357"/>
      <c r="CQ214" s="357"/>
      <c r="CR214" s="357"/>
      <c r="CS214" s="357"/>
      <c r="CT214" s="357"/>
      <c r="CU214" s="357"/>
      <c r="CV214" s="357"/>
      <c r="CW214" s="357"/>
      <c r="CX214" s="357"/>
      <c r="CY214" s="357"/>
      <c r="CZ214" s="357"/>
      <c r="DA214" s="357"/>
      <c r="DB214" s="357"/>
      <c r="DC214" s="357"/>
      <c r="DD214" s="357"/>
      <c r="DE214" s="357"/>
      <c r="DF214" s="357"/>
      <c r="DG214" s="357"/>
      <c r="DH214" s="357"/>
      <c r="DI214" s="357"/>
      <c r="DJ214" s="357"/>
      <c r="DK214" s="357"/>
      <c r="DL214" s="357"/>
      <c r="DM214" s="357"/>
      <c r="DN214" s="357"/>
      <c r="DO214" s="357"/>
      <c r="DP214" s="357"/>
      <c r="DQ214" s="357"/>
      <c r="DR214" s="357"/>
      <c r="DS214" s="357"/>
      <c r="DT214" s="357"/>
      <c r="DU214" s="357"/>
      <c r="DV214" s="357"/>
      <c r="DW214" s="357"/>
      <c r="DX214" s="357"/>
      <c r="DY214" s="357"/>
      <c r="DZ214" s="357"/>
      <c r="EA214" s="357"/>
      <c r="EB214" s="357"/>
      <c r="EC214" s="357"/>
      <c r="ED214" s="357"/>
      <c r="EE214" s="357"/>
      <c r="EF214" s="357"/>
      <c r="EG214" s="357"/>
      <c r="EH214" s="357"/>
      <c r="EI214" s="357"/>
      <c r="EJ214" s="357"/>
      <c r="EK214" s="357"/>
      <c r="EL214" s="357"/>
      <c r="EM214" s="357"/>
      <c r="EN214" s="357"/>
      <c r="EO214" s="357"/>
      <c r="EP214" s="357"/>
      <c r="EQ214" s="357"/>
      <c r="ER214" s="357"/>
      <c r="ES214" s="357"/>
      <c r="ET214" s="357"/>
      <c r="EU214" s="357"/>
      <c r="EV214" s="357"/>
      <c r="EW214" s="357"/>
      <c r="EX214" s="357"/>
      <c r="EY214" s="357"/>
      <c r="EZ214" s="357"/>
      <c r="FA214" s="357"/>
      <c r="FB214" s="357"/>
      <c r="FC214" s="357"/>
      <c r="FD214" s="357"/>
      <c r="FE214" s="357"/>
      <c r="FF214" s="357"/>
      <c r="FG214" s="357"/>
      <c r="FH214" s="357"/>
      <c r="FI214" s="357"/>
      <c r="FJ214" s="357"/>
      <c r="FK214" s="357"/>
      <c r="FL214" s="357"/>
      <c r="FM214" s="357"/>
      <c r="FN214" s="357"/>
      <c r="FO214" s="357"/>
      <c r="FP214" s="357"/>
      <c r="FQ214" s="357"/>
      <c r="FR214" s="357"/>
      <c r="FS214" s="357"/>
      <c r="FT214" s="357"/>
      <c r="FU214" s="357"/>
      <c r="FV214" s="357"/>
      <c r="FW214" s="357"/>
      <c r="FX214" s="357"/>
      <c r="FY214" s="357"/>
      <c r="FZ214" s="357"/>
      <c r="GA214" s="357"/>
      <c r="GB214" s="357"/>
      <c r="GC214" s="357"/>
      <c r="GD214" s="357"/>
      <c r="GE214" s="357"/>
      <c r="GF214" s="357"/>
      <c r="GG214" s="357"/>
      <c r="GH214" s="357"/>
      <c r="GI214" s="357"/>
      <c r="GJ214" s="357"/>
      <c r="GK214" s="154"/>
      <c r="GL214" s="154"/>
      <c r="GM214" s="154"/>
      <c r="GN214" s="154"/>
      <c r="GO214" s="154"/>
      <c r="GP214" s="154"/>
      <c r="GQ214" s="154"/>
      <c r="GR214" s="154"/>
      <c r="GS214" s="154"/>
      <c r="GT214" s="154"/>
      <c r="GU214" s="154"/>
      <c r="GV214" s="154"/>
      <c r="GW214" s="154"/>
      <c r="GX214" s="154"/>
    </row>
    <row r="215" spans="7:206">
      <c r="G215" s="154"/>
      <c r="H215" s="154"/>
      <c r="I215" s="154"/>
      <c r="J215" s="154"/>
      <c r="K215" s="154"/>
      <c r="L215" s="154"/>
      <c r="M215" s="154"/>
      <c r="N215" s="154"/>
      <c r="O215" s="154"/>
      <c r="P215" s="154"/>
      <c r="Q215" s="154"/>
      <c r="R215" s="154"/>
      <c r="S215" s="154"/>
      <c r="T215" s="154"/>
      <c r="U215" s="154"/>
      <c r="V215" s="154"/>
      <c r="W215" s="154"/>
      <c r="X215" s="154"/>
      <c r="Y215" s="154"/>
      <c r="Z215" s="357"/>
      <c r="AA215" s="357"/>
      <c r="AB215" s="357"/>
      <c r="AC215" s="357"/>
      <c r="AD215" s="357"/>
      <c r="AE215" s="357"/>
      <c r="AF215" s="357"/>
      <c r="AG215" s="357"/>
      <c r="AH215" s="357"/>
      <c r="AI215" s="357"/>
      <c r="AJ215" s="357"/>
      <c r="AK215" s="357"/>
      <c r="AL215" s="357"/>
      <c r="AM215" s="357"/>
      <c r="AN215" s="357"/>
      <c r="AO215" s="357"/>
      <c r="AP215" s="357"/>
      <c r="AQ215" s="357"/>
      <c r="AR215" s="357"/>
      <c r="AS215" s="357"/>
      <c r="AT215" s="357"/>
      <c r="AU215" s="357"/>
      <c r="AV215" s="357"/>
      <c r="AW215" s="357"/>
      <c r="AX215" s="357"/>
      <c r="AY215" s="357"/>
      <c r="AZ215" s="357"/>
      <c r="BA215" s="357"/>
      <c r="BB215" s="357"/>
      <c r="BC215" s="357"/>
      <c r="BD215" s="357"/>
      <c r="BE215" s="357"/>
      <c r="BF215" s="357"/>
      <c r="BG215" s="357"/>
      <c r="BH215" s="357"/>
      <c r="BI215" s="357"/>
      <c r="BJ215" s="357"/>
      <c r="BK215" s="357"/>
      <c r="BL215" s="357"/>
      <c r="BM215" s="357"/>
      <c r="BN215" s="357"/>
      <c r="BO215" s="357"/>
      <c r="BP215" s="357"/>
      <c r="BQ215" s="357"/>
      <c r="BR215" s="357"/>
      <c r="BS215" s="357"/>
      <c r="BT215" s="357"/>
      <c r="BU215" s="357"/>
      <c r="BV215" s="357"/>
      <c r="BW215" s="357"/>
      <c r="BX215" s="357"/>
      <c r="BY215" s="357"/>
      <c r="BZ215" s="357"/>
      <c r="CA215" s="357"/>
      <c r="CB215" s="357"/>
      <c r="CC215" s="357"/>
      <c r="CD215" s="357"/>
      <c r="CE215" s="357"/>
      <c r="CF215" s="357"/>
      <c r="CG215" s="357"/>
      <c r="CH215" s="357"/>
      <c r="CI215" s="357"/>
      <c r="CJ215" s="357"/>
      <c r="CK215" s="357"/>
      <c r="CL215" s="357"/>
      <c r="CM215" s="357"/>
      <c r="CN215" s="357"/>
      <c r="CO215" s="357"/>
      <c r="CP215" s="357"/>
      <c r="CQ215" s="357"/>
      <c r="CR215" s="357"/>
      <c r="CS215" s="357"/>
      <c r="CT215" s="357"/>
      <c r="CU215" s="357"/>
      <c r="CV215" s="357"/>
      <c r="CW215" s="357"/>
      <c r="CX215" s="357"/>
      <c r="CY215" s="357"/>
      <c r="CZ215" s="357"/>
      <c r="DA215" s="357"/>
      <c r="DB215" s="357"/>
      <c r="DC215" s="357"/>
      <c r="DD215" s="357"/>
      <c r="DE215" s="357"/>
      <c r="DF215" s="357"/>
      <c r="DG215" s="357"/>
      <c r="DH215" s="357"/>
      <c r="DI215" s="357"/>
      <c r="DJ215" s="357"/>
      <c r="DK215" s="357"/>
      <c r="DL215" s="357"/>
      <c r="DM215" s="357"/>
      <c r="DN215" s="357"/>
      <c r="DO215" s="357"/>
      <c r="DP215" s="357"/>
      <c r="DQ215" s="357"/>
      <c r="DR215" s="357"/>
      <c r="DS215" s="357"/>
      <c r="DT215" s="357"/>
      <c r="DU215" s="357"/>
      <c r="DV215" s="357"/>
      <c r="DW215" s="357"/>
      <c r="DX215" s="357"/>
      <c r="DY215" s="357"/>
      <c r="DZ215" s="357"/>
      <c r="EA215" s="357"/>
      <c r="EB215" s="357"/>
      <c r="EC215" s="357"/>
      <c r="ED215" s="357"/>
      <c r="EE215" s="357"/>
      <c r="EF215" s="357"/>
      <c r="EG215" s="357"/>
      <c r="EH215" s="357"/>
      <c r="EI215" s="357"/>
      <c r="EJ215" s="357"/>
      <c r="EK215" s="357"/>
      <c r="EL215" s="357"/>
      <c r="EM215" s="357"/>
      <c r="EN215" s="357"/>
      <c r="EO215" s="357"/>
      <c r="EP215" s="357"/>
      <c r="EQ215" s="357"/>
      <c r="ER215" s="357"/>
      <c r="ES215" s="357"/>
      <c r="ET215" s="357"/>
      <c r="EU215" s="357"/>
      <c r="EV215" s="357"/>
      <c r="EW215" s="357"/>
      <c r="EX215" s="357"/>
      <c r="EY215" s="357"/>
      <c r="EZ215" s="357"/>
      <c r="FA215" s="357"/>
      <c r="FB215" s="357"/>
      <c r="FC215" s="357"/>
      <c r="FD215" s="357"/>
      <c r="FE215" s="357"/>
      <c r="FF215" s="357"/>
      <c r="FG215" s="357"/>
      <c r="FH215" s="357"/>
      <c r="FI215" s="357"/>
      <c r="FJ215" s="357"/>
      <c r="FK215" s="357"/>
      <c r="FL215" s="357"/>
      <c r="FM215" s="357"/>
      <c r="FN215" s="357"/>
      <c r="FO215" s="357"/>
      <c r="FP215" s="357"/>
      <c r="FQ215" s="357"/>
      <c r="FR215" s="357"/>
      <c r="FS215" s="357"/>
      <c r="FT215" s="357"/>
      <c r="FU215" s="357"/>
      <c r="FV215" s="357"/>
      <c r="FW215" s="357"/>
      <c r="FX215" s="357"/>
      <c r="FY215" s="357"/>
      <c r="FZ215" s="357"/>
      <c r="GA215" s="357"/>
      <c r="GB215" s="357"/>
      <c r="GC215" s="357"/>
      <c r="GD215" s="357"/>
      <c r="GE215" s="357"/>
      <c r="GF215" s="357"/>
      <c r="GG215" s="357"/>
      <c r="GH215" s="357"/>
      <c r="GI215" s="357"/>
      <c r="GJ215" s="357"/>
      <c r="GK215" s="154"/>
      <c r="GL215" s="154"/>
      <c r="GM215" s="154"/>
      <c r="GN215" s="154"/>
      <c r="GO215" s="154"/>
      <c r="GP215" s="154"/>
      <c r="GQ215" s="154"/>
      <c r="GR215" s="154"/>
      <c r="GS215" s="154"/>
      <c r="GT215" s="154"/>
      <c r="GU215" s="154"/>
      <c r="GV215" s="154"/>
      <c r="GW215" s="154"/>
      <c r="GX215" s="154"/>
    </row>
    <row r="216" spans="7:206">
      <c r="G216" s="154"/>
      <c r="H216" s="154"/>
      <c r="I216" s="154"/>
      <c r="J216" s="154"/>
      <c r="K216" s="154"/>
      <c r="L216" s="154"/>
      <c r="M216" s="154"/>
      <c r="N216" s="154"/>
      <c r="O216" s="154"/>
      <c r="P216" s="154"/>
      <c r="Q216" s="154"/>
      <c r="R216" s="154"/>
      <c r="S216" s="154"/>
      <c r="T216" s="154"/>
      <c r="U216" s="154"/>
      <c r="V216" s="154"/>
      <c r="W216" s="154"/>
      <c r="X216" s="154"/>
      <c r="Y216" s="154"/>
      <c r="Z216" s="357"/>
      <c r="AA216" s="357"/>
      <c r="AB216" s="357"/>
      <c r="AC216" s="357"/>
      <c r="AD216" s="357"/>
      <c r="AE216" s="357"/>
      <c r="AF216" s="357"/>
      <c r="AG216" s="357"/>
      <c r="AH216" s="357"/>
      <c r="AI216" s="357"/>
      <c r="AJ216" s="357"/>
      <c r="AK216" s="357"/>
      <c r="AL216" s="357"/>
      <c r="AM216" s="357"/>
      <c r="AN216" s="357"/>
      <c r="AO216" s="357"/>
      <c r="AP216" s="357"/>
      <c r="AQ216" s="357"/>
      <c r="AR216" s="357"/>
      <c r="AS216" s="357"/>
      <c r="AT216" s="357"/>
      <c r="AU216" s="357"/>
      <c r="AV216" s="357"/>
      <c r="AW216" s="357"/>
      <c r="AX216" s="357"/>
      <c r="AY216" s="357"/>
      <c r="AZ216" s="357"/>
      <c r="BA216" s="357"/>
      <c r="BB216" s="357"/>
      <c r="BC216" s="357"/>
      <c r="BD216" s="357"/>
      <c r="BE216" s="357"/>
      <c r="BF216" s="357"/>
      <c r="BG216" s="357"/>
      <c r="BH216" s="357"/>
      <c r="BI216" s="357"/>
      <c r="BJ216" s="357"/>
      <c r="BK216" s="357"/>
      <c r="BL216" s="357"/>
      <c r="BM216" s="357"/>
      <c r="BN216" s="357"/>
      <c r="BO216" s="357"/>
      <c r="BP216" s="357"/>
      <c r="BQ216" s="357"/>
      <c r="BR216" s="357"/>
      <c r="BS216" s="357"/>
      <c r="BT216" s="357"/>
      <c r="BU216" s="357"/>
      <c r="BV216" s="357"/>
      <c r="BW216" s="357"/>
      <c r="BX216" s="357"/>
      <c r="BY216" s="357"/>
      <c r="BZ216" s="357"/>
      <c r="CA216" s="357"/>
      <c r="CB216" s="357"/>
      <c r="CC216" s="357"/>
      <c r="CD216" s="357"/>
      <c r="CE216" s="357"/>
      <c r="CF216" s="357"/>
      <c r="CG216" s="357"/>
      <c r="CH216" s="357"/>
      <c r="CI216" s="357"/>
      <c r="CJ216" s="357"/>
      <c r="CK216" s="357"/>
      <c r="CL216" s="357"/>
      <c r="CM216" s="357"/>
      <c r="CN216" s="357"/>
      <c r="CO216" s="357"/>
      <c r="CP216" s="357"/>
      <c r="CQ216" s="357"/>
      <c r="CR216" s="357"/>
      <c r="CS216" s="357"/>
      <c r="CT216" s="357"/>
      <c r="CU216" s="357"/>
      <c r="CV216" s="357"/>
      <c r="CW216" s="357"/>
      <c r="CX216" s="357"/>
      <c r="CY216" s="357"/>
      <c r="CZ216" s="357"/>
      <c r="DA216" s="357"/>
      <c r="DB216" s="357"/>
      <c r="DC216" s="357"/>
      <c r="DD216" s="357"/>
      <c r="DE216" s="357"/>
      <c r="DF216" s="357"/>
      <c r="DG216" s="357"/>
      <c r="DH216" s="357"/>
      <c r="DI216" s="357"/>
      <c r="DJ216" s="357"/>
      <c r="DK216" s="357"/>
      <c r="DL216" s="357"/>
      <c r="DM216" s="357"/>
      <c r="DN216" s="357"/>
      <c r="DO216" s="357"/>
      <c r="DP216" s="357"/>
      <c r="DQ216" s="357"/>
      <c r="DR216" s="357"/>
      <c r="DS216" s="357"/>
      <c r="DT216" s="357"/>
      <c r="DU216" s="357"/>
      <c r="DV216" s="357"/>
      <c r="DW216" s="357"/>
      <c r="DX216" s="357"/>
      <c r="DY216" s="357"/>
      <c r="DZ216" s="357"/>
      <c r="EA216" s="357"/>
      <c r="EB216" s="357"/>
      <c r="EC216" s="357"/>
      <c r="ED216" s="357"/>
      <c r="EE216" s="357"/>
      <c r="EF216" s="357"/>
      <c r="EG216" s="357"/>
      <c r="EH216" s="357"/>
      <c r="EI216" s="357"/>
      <c r="EJ216" s="357"/>
      <c r="EK216" s="357"/>
      <c r="EL216" s="357"/>
      <c r="EM216" s="357"/>
      <c r="EN216" s="357"/>
      <c r="EO216" s="357"/>
      <c r="EP216" s="357"/>
      <c r="EQ216" s="357"/>
      <c r="ER216" s="357"/>
      <c r="ES216" s="357"/>
      <c r="ET216" s="357"/>
      <c r="EU216" s="357"/>
      <c r="EV216" s="357"/>
      <c r="EW216" s="357"/>
      <c r="EX216" s="357"/>
      <c r="EY216" s="357"/>
      <c r="EZ216" s="357"/>
      <c r="FA216" s="357"/>
      <c r="FB216" s="357"/>
      <c r="FC216" s="357"/>
      <c r="FD216" s="357"/>
      <c r="FE216" s="357"/>
      <c r="FF216" s="357"/>
      <c r="FG216" s="357"/>
      <c r="FH216" s="357"/>
      <c r="FI216" s="357"/>
      <c r="FJ216" s="357"/>
      <c r="FK216" s="357"/>
      <c r="FL216" s="357"/>
      <c r="FM216" s="357"/>
      <c r="FN216" s="357"/>
      <c r="FO216" s="357"/>
      <c r="FP216" s="357"/>
      <c r="FQ216" s="357"/>
      <c r="FR216" s="357"/>
      <c r="FS216" s="357"/>
      <c r="FT216" s="357"/>
      <c r="FU216" s="357"/>
      <c r="FV216" s="357"/>
      <c r="FW216" s="357"/>
      <c r="FX216" s="357"/>
      <c r="FY216" s="357"/>
      <c r="FZ216" s="357"/>
      <c r="GA216" s="357"/>
      <c r="GB216" s="357"/>
      <c r="GC216" s="357"/>
      <c r="GD216" s="357"/>
      <c r="GE216" s="357"/>
      <c r="GF216" s="357"/>
      <c r="GG216" s="357"/>
      <c r="GH216" s="357"/>
      <c r="GI216" s="357"/>
      <c r="GJ216" s="357"/>
      <c r="GK216" s="154"/>
      <c r="GL216" s="154"/>
      <c r="GM216" s="154"/>
      <c r="GN216" s="154"/>
      <c r="GO216" s="154"/>
      <c r="GP216" s="154"/>
      <c r="GQ216" s="154"/>
      <c r="GR216" s="154"/>
      <c r="GS216" s="154"/>
      <c r="GT216" s="154"/>
      <c r="GU216" s="154"/>
      <c r="GV216" s="154"/>
      <c r="GW216" s="154"/>
      <c r="GX216" s="154"/>
    </row>
    <row r="217" spans="7:206">
      <c r="G217" s="154"/>
      <c r="H217" s="154"/>
      <c r="I217" s="154"/>
      <c r="J217" s="154"/>
      <c r="K217" s="154"/>
      <c r="L217" s="154"/>
      <c r="M217" s="154"/>
      <c r="N217" s="154"/>
      <c r="O217" s="154"/>
      <c r="P217" s="154"/>
      <c r="Q217" s="154"/>
      <c r="R217" s="154"/>
      <c r="S217" s="154"/>
      <c r="T217" s="154"/>
      <c r="U217" s="154"/>
      <c r="V217" s="154"/>
      <c r="W217" s="154"/>
      <c r="X217" s="154"/>
      <c r="Y217" s="154"/>
      <c r="Z217" s="357"/>
      <c r="AA217" s="357"/>
      <c r="AB217" s="357"/>
      <c r="AC217" s="357"/>
      <c r="AD217" s="357"/>
      <c r="AE217" s="357"/>
      <c r="AF217" s="357"/>
      <c r="AG217" s="357"/>
      <c r="AH217" s="357"/>
      <c r="AI217" s="357"/>
      <c r="AJ217" s="357"/>
      <c r="AK217" s="357"/>
      <c r="AL217" s="357"/>
      <c r="AM217" s="357"/>
      <c r="AN217" s="357"/>
      <c r="AO217" s="357"/>
      <c r="AP217" s="357"/>
      <c r="AQ217" s="357"/>
      <c r="AR217" s="357"/>
      <c r="AS217" s="357"/>
      <c r="AT217" s="357"/>
      <c r="AU217" s="357"/>
      <c r="AV217" s="357"/>
      <c r="AW217" s="357"/>
      <c r="AX217" s="357"/>
      <c r="AY217" s="357"/>
      <c r="AZ217" s="357"/>
      <c r="BA217" s="357"/>
      <c r="BB217" s="357"/>
      <c r="BC217" s="357"/>
      <c r="BD217" s="357"/>
      <c r="BE217" s="357"/>
      <c r="BF217" s="357"/>
      <c r="BG217" s="357"/>
      <c r="BH217" s="357"/>
      <c r="BI217" s="357"/>
      <c r="BJ217" s="357"/>
      <c r="BK217" s="357"/>
      <c r="BL217" s="357"/>
      <c r="BM217" s="357"/>
      <c r="BN217" s="357"/>
      <c r="BO217" s="357"/>
      <c r="BP217" s="357"/>
      <c r="BQ217" s="357"/>
      <c r="BR217" s="357"/>
      <c r="BS217" s="357"/>
      <c r="BT217" s="357"/>
      <c r="BU217" s="357"/>
      <c r="BV217" s="357"/>
      <c r="BW217" s="357"/>
      <c r="BX217" s="357"/>
      <c r="BY217" s="357"/>
      <c r="BZ217" s="357"/>
      <c r="CA217" s="357"/>
      <c r="CB217" s="357"/>
      <c r="CC217" s="357"/>
      <c r="CD217" s="357"/>
      <c r="CE217" s="357"/>
      <c r="CF217" s="357"/>
      <c r="CG217" s="357"/>
      <c r="CH217" s="357"/>
      <c r="CI217" s="357"/>
      <c r="CJ217" s="357"/>
      <c r="CK217" s="357"/>
      <c r="CL217" s="357"/>
      <c r="CM217" s="357"/>
      <c r="CN217" s="357"/>
      <c r="CO217" s="357"/>
      <c r="CP217" s="357"/>
      <c r="CQ217" s="357"/>
      <c r="CR217" s="357"/>
      <c r="CS217" s="357"/>
      <c r="CT217" s="357"/>
      <c r="CU217" s="357"/>
      <c r="CV217" s="357"/>
      <c r="CW217" s="357"/>
      <c r="CX217" s="357"/>
      <c r="CY217" s="357"/>
      <c r="CZ217" s="357"/>
      <c r="DA217" s="357"/>
      <c r="DB217" s="357"/>
      <c r="DC217" s="357"/>
      <c r="DD217" s="357"/>
      <c r="DE217" s="357"/>
      <c r="DF217" s="357"/>
      <c r="DG217" s="357"/>
      <c r="DH217" s="357"/>
      <c r="DI217" s="357"/>
      <c r="DJ217" s="357"/>
      <c r="DK217" s="357"/>
      <c r="DL217" s="357"/>
      <c r="DM217" s="357"/>
      <c r="DN217" s="357"/>
      <c r="DO217" s="357"/>
      <c r="DP217" s="357"/>
      <c r="DQ217" s="357"/>
      <c r="DR217" s="357"/>
      <c r="DS217" s="357"/>
      <c r="DT217" s="357"/>
      <c r="DU217" s="357"/>
      <c r="DV217" s="357"/>
      <c r="DW217" s="357"/>
      <c r="DX217" s="357"/>
      <c r="DY217" s="357"/>
      <c r="DZ217" s="357"/>
      <c r="EA217" s="357"/>
      <c r="EB217" s="357"/>
      <c r="EC217" s="357"/>
      <c r="ED217" s="357"/>
      <c r="EE217" s="357"/>
      <c r="EF217" s="357"/>
      <c r="EG217" s="357"/>
      <c r="EH217" s="357"/>
      <c r="EI217" s="357"/>
      <c r="EJ217" s="357"/>
      <c r="EK217" s="357"/>
      <c r="EL217" s="357"/>
      <c r="EM217" s="357"/>
      <c r="EN217" s="357"/>
      <c r="EO217" s="357"/>
      <c r="EP217" s="357"/>
      <c r="EQ217" s="357"/>
      <c r="ER217" s="357"/>
      <c r="ES217" s="357"/>
      <c r="ET217" s="357"/>
      <c r="EU217" s="357"/>
      <c r="EV217" s="357"/>
      <c r="EW217" s="357"/>
      <c r="EX217" s="357"/>
      <c r="EY217" s="357"/>
      <c r="EZ217" s="357"/>
      <c r="FA217" s="357"/>
      <c r="FB217" s="357"/>
      <c r="FC217" s="357"/>
      <c r="FD217" s="357"/>
      <c r="FE217" s="357"/>
      <c r="FF217" s="357"/>
      <c r="FG217" s="357"/>
      <c r="FH217" s="357"/>
      <c r="FI217" s="357"/>
      <c r="FJ217" s="357"/>
      <c r="FK217" s="357"/>
      <c r="FL217" s="357"/>
      <c r="FM217" s="357"/>
      <c r="FN217" s="357"/>
      <c r="FO217" s="357"/>
      <c r="FP217" s="357"/>
      <c r="FQ217" s="357"/>
      <c r="FR217" s="357"/>
      <c r="FS217" s="357"/>
      <c r="FT217" s="357"/>
      <c r="FU217" s="357"/>
      <c r="FV217" s="357"/>
      <c r="FW217" s="357"/>
      <c r="FX217" s="357"/>
      <c r="FY217" s="357"/>
      <c r="FZ217" s="357"/>
      <c r="GA217" s="357"/>
      <c r="GB217" s="357"/>
      <c r="GC217" s="357"/>
      <c r="GD217" s="357"/>
      <c r="GE217" s="357"/>
      <c r="GF217" s="357"/>
      <c r="GG217" s="357"/>
      <c r="GH217" s="357"/>
      <c r="GI217" s="357"/>
      <c r="GJ217" s="357"/>
      <c r="GK217" s="154"/>
      <c r="GL217" s="154"/>
      <c r="GM217" s="154"/>
      <c r="GN217" s="154"/>
      <c r="GO217" s="154"/>
      <c r="GP217" s="154"/>
      <c r="GQ217" s="154"/>
      <c r="GR217" s="154"/>
      <c r="GS217" s="154"/>
      <c r="GT217" s="154"/>
      <c r="GU217" s="154"/>
      <c r="GV217" s="154"/>
      <c r="GW217" s="154"/>
      <c r="GX217" s="154"/>
    </row>
    <row r="218" spans="7:206">
      <c r="G218" s="154"/>
      <c r="H218" s="154"/>
      <c r="I218" s="154"/>
      <c r="J218" s="154"/>
      <c r="K218" s="154"/>
      <c r="L218" s="154"/>
      <c r="M218" s="154"/>
      <c r="N218" s="154"/>
      <c r="O218" s="154"/>
      <c r="P218" s="154"/>
      <c r="Q218" s="154"/>
      <c r="R218" s="154"/>
      <c r="S218" s="154"/>
      <c r="T218" s="154"/>
      <c r="U218" s="154"/>
      <c r="V218" s="154"/>
      <c r="W218" s="154"/>
      <c r="X218" s="154"/>
      <c r="Y218" s="154"/>
      <c r="Z218" s="357"/>
      <c r="AA218" s="357"/>
      <c r="AB218" s="357"/>
      <c r="AC218" s="357"/>
      <c r="AD218" s="357"/>
      <c r="AE218" s="357"/>
      <c r="AF218" s="357"/>
      <c r="AG218" s="357"/>
      <c r="AH218" s="357"/>
      <c r="AI218" s="357"/>
      <c r="AJ218" s="357"/>
      <c r="AK218" s="357"/>
      <c r="AL218" s="357"/>
      <c r="AM218" s="357"/>
      <c r="AN218" s="357"/>
      <c r="AO218" s="357"/>
      <c r="AP218" s="357"/>
      <c r="AQ218" s="357"/>
      <c r="AR218" s="357"/>
      <c r="AS218" s="357"/>
      <c r="AT218" s="357"/>
      <c r="AU218" s="357"/>
      <c r="AV218" s="357"/>
      <c r="AW218" s="357"/>
      <c r="AX218" s="357"/>
      <c r="AY218" s="357"/>
      <c r="AZ218" s="357"/>
      <c r="BA218" s="357"/>
      <c r="BB218" s="357"/>
      <c r="BC218" s="357"/>
      <c r="BD218" s="357"/>
      <c r="BE218" s="357"/>
      <c r="BF218" s="357"/>
      <c r="BG218" s="357"/>
      <c r="BH218" s="357"/>
      <c r="BI218" s="357"/>
      <c r="BJ218" s="357"/>
      <c r="BK218" s="357"/>
      <c r="BL218" s="357"/>
      <c r="BM218" s="357"/>
      <c r="BN218" s="357"/>
      <c r="BO218" s="357"/>
      <c r="BP218" s="357"/>
      <c r="BQ218" s="357"/>
      <c r="BR218" s="357"/>
      <c r="BS218" s="357"/>
      <c r="BT218" s="357"/>
      <c r="BU218" s="357"/>
      <c r="BV218" s="357"/>
      <c r="BW218" s="357"/>
      <c r="BX218" s="357"/>
      <c r="BY218" s="357"/>
      <c r="BZ218" s="357"/>
      <c r="CA218" s="357"/>
      <c r="CB218" s="357"/>
      <c r="CC218" s="357"/>
      <c r="CD218" s="357"/>
      <c r="CE218" s="357"/>
      <c r="CF218" s="357"/>
      <c r="CG218" s="357"/>
      <c r="CH218" s="357"/>
      <c r="CI218" s="357"/>
      <c r="CJ218" s="357"/>
      <c r="CK218" s="357"/>
      <c r="CL218" s="357"/>
      <c r="CM218" s="357"/>
      <c r="CN218" s="357"/>
      <c r="CO218" s="357"/>
      <c r="CP218" s="357"/>
      <c r="CQ218" s="357"/>
      <c r="CR218" s="357"/>
      <c r="CS218" s="357"/>
      <c r="CT218" s="357"/>
      <c r="CU218" s="357"/>
      <c r="CV218" s="357"/>
      <c r="CW218" s="357"/>
      <c r="CX218" s="357"/>
      <c r="CY218" s="357"/>
      <c r="CZ218" s="357"/>
      <c r="DA218" s="357"/>
      <c r="DB218" s="357"/>
      <c r="DC218" s="357"/>
      <c r="DD218" s="357"/>
      <c r="DE218" s="357"/>
      <c r="DF218" s="357"/>
      <c r="DG218" s="357"/>
      <c r="DH218" s="357"/>
      <c r="DI218" s="357"/>
      <c r="DJ218" s="357"/>
      <c r="DK218" s="357"/>
      <c r="DL218" s="357"/>
      <c r="DM218" s="357"/>
      <c r="DN218" s="357"/>
      <c r="DO218" s="357"/>
      <c r="DP218" s="357"/>
      <c r="DQ218" s="357"/>
      <c r="DR218" s="357"/>
      <c r="DS218" s="357"/>
      <c r="DT218" s="357"/>
      <c r="DU218" s="357"/>
      <c r="DV218" s="357"/>
      <c r="DW218" s="357"/>
      <c r="DX218" s="357"/>
      <c r="DY218" s="357"/>
      <c r="DZ218" s="357"/>
      <c r="EA218" s="357"/>
      <c r="EB218" s="357"/>
      <c r="EC218" s="357"/>
      <c r="ED218" s="357"/>
      <c r="EE218" s="357"/>
      <c r="EF218" s="357"/>
      <c r="EG218" s="357"/>
      <c r="EH218" s="357"/>
      <c r="EI218" s="357"/>
      <c r="EJ218" s="357"/>
      <c r="EK218" s="357"/>
      <c r="EL218" s="357"/>
      <c r="EM218" s="357"/>
      <c r="EN218" s="357"/>
      <c r="EO218" s="357"/>
      <c r="EP218" s="357"/>
      <c r="EQ218" s="357"/>
      <c r="ER218" s="357"/>
      <c r="ES218" s="357"/>
      <c r="ET218" s="357"/>
      <c r="EU218" s="357"/>
      <c r="EV218" s="357"/>
      <c r="EW218" s="357"/>
      <c r="EX218" s="357"/>
      <c r="EY218" s="357"/>
      <c r="EZ218" s="357"/>
      <c r="FA218" s="357"/>
      <c r="FB218" s="357"/>
      <c r="FC218" s="357"/>
      <c r="FD218" s="357"/>
      <c r="FE218" s="357"/>
      <c r="FF218" s="357"/>
      <c r="FG218" s="357"/>
      <c r="FH218" s="357"/>
      <c r="FI218" s="357"/>
      <c r="FJ218" s="357"/>
      <c r="FK218" s="357"/>
      <c r="FL218" s="357"/>
      <c r="FM218" s="357"/>
      <c r="FN218" s="357"/>
      <c r="FO218" s="357"/>
      <c r="FP218" s="357"/>
      <c r="FQ218" s="357"/>
      <c r="FR218" s="357"/>
      <c r="FS218" s="357"/>
      <c r="FT218" s="357"/>
      <c r="FU218" s="357"/>
      <c r="FV218" s="357"/>
      <c r="FW218" s="357"/>
      <c r="FX218" s="357"/>
      <c r="FY218" s="357"/>
      <c r="FZ218" s="357"/>
      <c r="GA218" s="357"/>
      <c r="GB218" s="357"/>
      <c r="GC218" s="357"/>
      <c r="GD218" s="357"/>
      <c r="GE218" s="357"/>
      <c r="GF218" s="357"/>
      <c r="GG218" s="357"/>
      <c r="GH218" s="357"/>
      <c r="GI218" s="357"/>
      <c r="GJ218" s="357"/>
      <c r="GK218" s="154"/>
      <c r="GL218" s="154"/>
      <c r="GM218" s="154"/>
      <c r="GN218" s="154"/>
      <c r="GO218" s="154"/>
      <c r="GP218" s="154"/>
      <c r="GQ218" s="154"/>
      <c r="GR218" s="154"/>
      <c r="GS218" s="154"/>
      <c r="GT218" s="154"/>
      <c r="GU218" s="154"/>
      <c r="GV218" s="154"/>
      <c r="GW218" s="154"/>
      <c r="GX218" s="154"/>
    </row>
    <row r="219" spans="7:206">
      <c r="G219" s="154"/>
      <c r="H219" s="154"/>
      <c r="I219" s="154"/>
      <c r="J219" s="154"/>
      <c r="K219" s="154"/>
      <c r="L219" s="154"/>
      <c r="M219" s="154"/>
      <c r="N219" s="154"/>
      <c r="O219" s="154"/>
      <c r="P219" s="154"/>
      <c r="Q219" s="154"/>
      <c r="R219" s="154"/>
      <c r="S219" s="154"/>
      <c r="T219" s="154"/>
      <c r="U219" s="154"/>
      <c r="V219" s="154"/>
      <c r="W219" s="154"/>
      <c r="X219" s="154"/>
      <c r="Y219" s="154"/>
      <c r="Z219" s="357"/>
      <c r="AA219" s="357"/>
      <c r="AB219" s="357"/>
      <c r="AC219" s="357"/>
      <c r="AD219" s="357"/>
      <c r="AE219" s="357"/>
      <c r="AF219" s="357"/>
      <c r="AG219" s="357"/>
      <c r="AH219" s="357"/>
      <c r="AI219" s="357"/>
      <c r="AJ219" s="357"/>
      <c r="AK219" s="357"/>
      <c r="AL219" s="357"/>
      <c r="AM219" s="357"/>
      <c r="AN219" s="357"/>
      <c r="AO219" s="357"/>
      <c r="AP219" s="357"/>
      <c r="AQ219" s="357"/>
      <c r="AR219" s="357"/>
      <c r="AS219" s="357"/>
      <c r="AT219" s="357"/>
      <c r="AU219" s="357"/>
      <c r="AV219" s="357"/>
      <c r="AW219" s="357"/>
      <c r="AX219" s="357"/>
      <c r="AY219" s="357"/>
      <c r="AZ219" s="357"/>
      <c r="BA219" s="357"/>
      <c r="BB219" s="357"/>
      <c r="BC219" s="357"/>
      <c r="BD219" s="357"/>
      <c r="BE219" s="357"/>
      <c r="BF219" s="357"/>
      <c r="BG219" s="357"/>
      <c r="BH219" s="357"/>
      <c r="BI219" s="357"/>
      <c r="BJ219" s="357"/>
      <c r="BK219" s="357"/>
      <c r="BL219" s="357"/>
      <c r="BM219" s="357"/>
      <c r="BN219" s="357"/>
      <c r="BO219" s="357"/>
      <c r="BP219" s="357"/>
      <c r="BQ219" s="357"/>
      <c r="BR219" s="357"/>
      <c r="BS219" s="357"/>
      <c r="BT219" s="357"/>
      <c r="BU219" s="357"/>
      <c r="BV219" s="357"/>
      <c r="BW219" s="357"/>
      <c r="BX219" s="357"/>
      <c r="BY219" s="357"/>
      <c r="BZ219" s="357"/>
      <c r="CA219" s="357"/>
      <c r="CB219" s="357"/>
      <c r="CC219" s="357"/>
      <c r="CD219" s="357"/>
      <c r="CE219" s="357"/>
      <c r="CF219" s="357"/>
      <c r="CG219" s="357"/>
      <c r="CH219" s="357"/>
      <c r="CI219" s="357"/>
      <c r="CJ219" s="357"/>
      <c r="CK219" s="357"/>
      <c r="CL219" s="357"/>
      <c r="CM219" s="357"/>
      <c r="CN219" s="357"/>
      <c r="CO219" s="357"/>
      <c r="CP219" s="357"/>
      <c r="CQ219" s="357"/>
      <c r="CR219" s="357"/>
      <c r="CS219" s="357"/>
      <c r="CT219" s="357"/>
      <c r="CU219" s="357"/>
      <c r="CV219" s="357"/>
      <c r="CW219" s="357"/>
      <c r="CX219" s="357"/>
      <c r="CY219" s="357"/>
      <c r="CZ219" s="357"/>
      <c r="DA219" s="357"/>
      <c r="DB219" s="357"/>
      <c r="DC219" s="357"/>
      <c r="DD219" s="357"/>
      <c r="DE219" s="357"/>
      <c r="DF219" s="357"/>
      <c r="DG219" s="357"/>
      <c r="DH219" s="357"/>
      <c r="DI219" s="357"/>
      <c r="DJ219" s="357"/>
      <c r="DK219" s="357"/>
      <c r="DL219" s="357"/>
      <c r="DM219" s="357"/>
      <c r="DN219" s="357"/>
      <c r="DO219" s="357"/>
      <c r="DP219" s="357"/>
      <c r="DQ219" s="357"/>
      <c r="DR219" s="357"/>
      <c r="DS219" s="357"/>
      <c r="DT219" s="357"/>
      <c r="DU219" s="357"/>
      <c r="DV219" s="357"/>
      <c r="DW219" s="357"/>
      <c r="DX219" s="357"/>
      <c r="DY219" s="357"/>
      <c r="DZ219" s="357"/>
      <c r="EA219" s="357"/>
      <c r="EB219" s="357"/>
      <c r="EC219" s="357"/>
      <c r="ED219" s="357"/>
      <c r="EE219" s="357"/>
      <c r="EF219" s="357"/>
      <c r="EG219" s="357"/>
      <c r="EH219" s="357"/>
      <c r="EI219" s="357"/>
      <c r="EJ219" s="357"/>
      <c r="EK219" s="357"/>
      <c r="EL219" s="357"/>
      <c r="EM219" s="357"/>
      <c r="EN219" s="357"/>
      <c r="EO219" s="357"/>
      <c r="EP219" s="357"/>
      <c r="EQ219" s="357"/>
      <c r="ER219" s="357"/>
      <c r="ES219" s="357"/>
      <c r="ET219" s="357"/>
      <c r="EU219" s="357"/>
      <c r="EV219" s="357"/>
      <c r="EW219" s="357"/>
      <c r="EX219" s="357"/>
      <c r="EY219" s="357"/>
      <c r="EZ219" s="357"/>
      <c r="FA219" s="357"/>
      <c r="FB219" s="357"/>
      <c r="FC219" s="357"/>
      <c r="FD219" s="357"/>
      <c r="FE219" s="357"/>
      <c r="FF219" s="357"/>
      <c r="FG219" s="357"/>
      <c r="FH219" s="357"/>
      <c r="FI219" s="357"/>
      <c r="FJ219" s="357"/>
      <c r="FK219" s="357"/>
      <c r="FL219" s="357"/>
      <c r="FM219" s="357"/>
      <c r="FN219" s="357"/>
      <c r="FO219" s="357"/>
      <c r="FP219" s="357"/>
      <c r="FQ219" s="357"/>
      <c r="FR219" s="357"/>
      <c r="FS219" s="357"/>
      <c r="FT219" s="357"/>
      <c r="FU219" s="357"/>
      <c r="FV219" s="357"/>
      <c r="FW219" s="357"/>
      <c r="FX219" s="357"/>
      <c r="FY219" s="357"/>
      <c r="FZ219" s="357"/>
      <c r="GA219" s="357"/>
      <c r="GB219" s="357"/>
      <c r="GC219" s="357"/>
      <c r="GD219" s="357"/>
      <c r="GE219" s="357"/>
      <c r="GF219" s="357"/>
      <c r="GG219" s="357"/>
      <c r="GH219" s="357"/>
      <c r="GI219" s="357"/>
      <c r="GJ219" s="357"/>
      <c r="GK219" s="154"/>
      <c r="GL219" s="154"/>
      <c r="GM219" s="154"/>
      <c r="GN219" s="154"/>
      <c r="GO219" s="154"/>
      <c r="GP219" s="154"/>
      <c r="GQ219" s="154"/>
      <c r="GR219" s="154"/>
      <c r="GS219" s="154"/>
      <c r="GT219" s="154"/>
      <c r="GU219" s="154"/>
      <c r="GV219" s="154"/>
      <c r="GW219" s="154"/>
      <c r="GX219" s="154"/>
    </row>
    <row r="220" spans="7:206">
      <c r="G220" s="154"/>
      <c r="H220" s="154"/>
      <c r="I220" s="154"/>
      <c r="J220" s="154"/>
      <c r="K220" s="154"/>
      <c r="L220" s="154"/>
      <c r="M220" s="154"/>
      <c r="N220" s="154"/>
      <c r="O220" s="154"/>
      <c r="P220" s="154"/>
      <c r="Q220" s="154"/>
      <c r="R220" s="154"/>
      <c r="S220" s="154"/>
      <c r="T220" s="154"/>
      <c r="U220" s="154"/>
      <c r="V220" s="154"/>
      <c r="W220" s="154"/>
      <c r="X220" s="154"/>
      <c r="Y220" s="154"/>
      <c r="Z220" s="357"/>
      <c r="AA220" s="357"/>
      <c r="AB220" s="357"/>
      <c r="AC220" s="357"/>
      <c r="AD220" s="357"/>
      <c r="AE220" s="357"/>
      <c r="AF220" s="357"/>
      <c r="AG220" s="357"/>
      <c r="AH220" s="357"/>
      <c r="AI220" s="357"/>
      <c r="AJ220" s="357"/>
      <c r="AK220" s="357"/>
      <c r="AL220" s="357"/>
      <c r="AM220" s="357"/>
      <c r="AN220" s="357"/>
      <c r="AO220" s="357"/>
      <c r="AP220" s="357"/>
      <c r="AQ220" s="357"/>
      <c r="AR220" s="357"/>
      <c r="AS220" s="357"/>
      <c r="AT220" s="357"/>
      <c r="AU220" s="357"/>
      <c r="AV220" s="357"/>
      <c r="AW220" s="357"/>
      <c r="AX220" s="357"/>
      <c r="AY220" s="357"/>
      <c r="AZ220" s="357"/>
      <c r="BA220" s="357"/>
      <c r="BB220" s="357"/>
      <c r="BC220" s="357"/>
      <c r="BD220" s="357"/>
      <c r="BE220" s="357"/>
      <c r="BF220" s="357"/>
      <c r="BG220" s="357"/>
      <c r="BH220" s="357"/>
      <c r="BI220" s="357"/>
      <c r="BJ220" s="357"/>
      <c r="BK220" s="357"/>
      <c r="BL220" s="357"/>
      <c r="BM220" s="357"/>
      <c r="BN220" s="357"/>
      <c r="BO220" s="357"/>
      <c r="BP220" s="357"/>
      <c r="BQ220" s="357"/>
      <c r="BR220" s="357"/>
      <c r="BS220" s="357"/>
      <c r="BT220" s="357"/>
      <c r="BU220" s="357"/>
      <c r="BV220" s="357"/>
      <c r="BW220" s="357"/>
      <c r="BX220" s="357"/>
      <c r="BY220" s="357"/>
      <c r="BZ220" s="357"/>
      <c r="CA220" s="357"/>
      <c r="CB220" s="357"/>
      <c r="CC220" s="357"/>
      <c r="CD220" s="357"/>
      <c r="CE220" s="357"/>
      <c r="CF220" s="357"/>
      <c r="CG220" s="357"/>
      <c r="CH220" s="357"/>
      <c r="CI220" s="357"/>
      <c r="CJ220" s="357"/>
      <c r="CK220" s="357"/>
      <c r="CL220" s="357"/>
      <c r="CM220" s="357"/>
      <c r="CN220" s="357"/>
      <c r="CO220" s="357"/>
      <c r="CP220" s="357"/>
      <c r="CQ220" s="357"/>
      <c r="CR220" s="357"/>
      <c r="CS220" s="357"/>
      <c r="CT220" s="357"/>
      <c r="CU220" s="357"/>
      <c r="CV220" s="357"/>
      <c r="CW220" s="357"/>
      <c r="CX220" s="357"/>
      <c r="CY220" s="357"/>
      <c r="CZ220" s="357"/>
      <c r="DA220" s="357"/>
      <c r="DB220" s="357"/>
      <c r="DC220" s="357"/>
      <c r="DD220" s="357"/>
      <c r="DE220" s="357"/>
      <c r="DF220" s="357"/>
      <c r="DG220" s="357"/>
      <c r="DH220" s="357"/>
      <c r="DI220" s="357"/>
      <c r="DJ220" s="357"/>
      <c r="DK220" s="357"/>
      <c r="DL220" s="357"/>
      <c r="DM220" s="357"/>
      <c r="DN220" s="357"/>
      <c r="DO220" s="357"/>
      <c r="DP220" s="357"/>
      <c r="DQ220" s="357"/>
      <c r="DR220" s="357"/>
      <c r="DS220" s="357"/>
      <c r="DT220" s="357"/>
      <c r="DU220" s="357"/>
      <c r="DV220" s="357"/>
      <c r="DW220" s="357"/>
      <c r="DX220" s="357"/>
      <c r="DY220" s="357"/>
      <c r="DZ220" s="357"/>
      <c r="EA220" s="357"/>
      <c r="EB220" s="357"/>
      <c r="EC220" s="357"/>
      <c r="ED220" s="357"/>
      <c r="EE220" s="357"/>
      <c r="EF220" s="357"/>
      <c r="EG220" s="357"/>
      <c r="EH220" s="357"/>
      <c r="EI220" s="357"/>
      <c r="EJ220" s="357"/>
      <c r="EK220" s="357"/>
      <c r="EL220" s="357"/>
      <c r="EM220" s="357"/>
      <c r="EN220" s="357"/>
      <c r="EO220" s="357"/>
      <c r="EP220" s="357"/>
      <c r="EQ220" s="357"/>
      <c r="ER220" s="357"/>
      <c r="ES220" s="357"/>
      <c r="ET220" s="357"/>
      <c r="EU220" s="357"/>
      <c r="EV220" s="357"/>
      <c r="EW220" s="357"/>
      <c r="EX220" s="357"/>
      <c r="EY220" s="357"/>
      <c r="EZ220" s="357"/>
      <c r="FA220" s="357"/>
      <c r="FB220" s="357"/>
      <c r="FC220" s="357"/>
      <c r="FD220" s="357"/>
      <c r="FE220" s="357"/>
      <c r="FF220" s="357"/>
      <c r="FG220" s="357"/>
      <c r="FH220" s="357"/>
      <c r="FI220" s="357"/>
      <c r="FJ220" s="357"/>
      <c r="FK220" s="357"/>
      <c r="FL220" s="357"/>
      <c r="FM220" s="357"/>
      <c r="FN220" s="357"/>
      <c r="FO220" s="357"/>
      <c r="FP220" s="357"/>
      <c r="FQ220" s="357"/>
      <c r="FR220" s="357"/>
      <c r="FS220" s="357"/>
      <c r="FT220" s="357"/>
      <c r="FU220" s="357"/>
      <c r="FV220" s="357"/>
      <c r="FW220" s="357"/>
      <c r="FX220" s="357"/>
      <c r="FY220" s="357"/>
      <c r="FZ220" s="357"/>
      <c r="GA220" s="357"/>
      <c r="GB220" s="357"/>
      <c r="GC220" s="357"/>
      <c r="GD220" s="357"/>
      <c r="GE220" s="357"/>
      <c r="GF220" s="357"/>
      <c r="GG220" s="357"/>
      <c r="GH220" s="357"/>
      <c r="GI220" s="357"/>
      <c r="GJ220" s="357"/>
      <c r="GK220" s="154"/>
      <c r="GL220" s="154"/>
      <c r="GM220" s="154"/>
      <c r="GN220" s="154"/>
      <c r="GO220" s="154"/>
      <c r="GP220" s="154"/>
      <c r="GQ220" s="154"/>
      <c r="GR220" s="154"/>
      <c r="GS220" s="154"/>
      <c r="GT220" s="154"/>
      <c r="GU220" s="154"/>
      <c r="GV220" s="154"/>
      <c r="GW220" s="154"/>
      <c r="GX220" s="154"/>
    </row>
    <row r="221" spans="7:206">
      <c r="G221" s="154"/>
      <c r="H221" s="154"/>
      <c r="I221" s="154"/>
      <c r="J221" s="154"/>
      <c r="K221" s="154"/>
      <c r="L221" s="154"/>
      <c r="M221" s="154"/>
      <c r="N221" s="154"/>
      <c r="O221" s="154"/>
      <c r="P221" s="154"/>
      <c r="Q221" s="154"/>
      <c r="R221" s="154"/>
      <c r="S221" s="154"/>
      <c r="T221" s="154"/>
      <c r="U221" s="154"/>
      <c r="V221" s="154"/>
      <c r="W221" s="154"/>
      <c r="X221" s="154"/>
      <c r="Y221" s="154"/>
      <c r="Z221" s="357"/>
      <c r="AA221" s="357"/>
      <c r="AB221" s="357"/>
      <c r="AC221" s="357"/>
      <c r="AD221" s="357"/>
      <c r="AE221" s="357"/>
      <c r="AF221" s="357"/>
      <c r="AG221" s="357"/>
      <c r="AH221" s="357"/>
      <c r="AI221" s="357"/>
      <c r="AJ221" s="357"/>
      <c r="AK221" s="357"/>
      <c r="AL221" s="357"/>
      <c r="AM221" s="357"/>
      <c r="AN221" s="357"/>
      <c r="AO221" s="357"/>
      <c r="AP221" s="357"/>
      <c r="AQ221" s="357"/>
      <c r="AR221" s="357"/>
      <c r="AS221" s="357"/>
      <c r="AT221" s="357"/>
      <c r="AU221" s="357"/>
      <c r="AV221" s="357"/>
      <c r="AW221" s="357"/>
      <c r="AX221" s="357"/>
      <c r="AY221" s="357"/>
      <c r="AZ221" s="357"/>
      <c r="BA221" s="357"/>
      <c r="BB221" s="357"/>
      <c r="BC221" s="357"/>
      <c r="BD221" s="357"/>
      <c r="BE221" s="357"/>
      <c r="BF221" s="357"/>
      <c r="BG221" s="357"/>
      <c r="BH221" s="357"/>
      <c r="BI221" s="357"/>
      <c r="BJ221" s="357"/>
      <c r="BK221" s="357"/>
      <c r="BL221" s="357"/>
      <c r="BM221" s="357"/>
      <c r="BN221" s="357"/>
      <c r="BO221" s="357"/>
      <c r="BP221" s="357"/>
      <c r="BQ221" s="357"/>
      <c r="BR221" s="357"/>
      <c r="BS221" s="357"/>
      <c r="BT221" s="357"/>
      <c r="BU221" s="357"/>
      <c r="BV221" s="357"/>
      <c r="BW221" s="357"/>
      <c r="BX221" s="357"/>
      <c r="BY221" s="357"/>
      <c r="BZ221" s="357"/>
      <c r="CA221" s="357"/>
      <c r="CB221" s="357"/>
      <c r="CC221" s="357"/>
      <c r="CD221" s="357"/>
      <c r="CE221" s="357"/>
      <c r="CF221" s="357"/>
      <c r="CG221" s="357"/>
      <c r="CH221" s="357"/>
      <c r="CI221" s="357"/>
      <c r="CJ221" s="357"/>
      <c r="CK221" s="357"/>
      <c r="CL221" s="357"/>
      <c r="CM221" s="357"/>
      <c r="CN221" s="357"/>
      <c r="CO221" s="357"/>
      <c r="CP221" s="357"/>
      <c r="CQ221" s="357"/>
      <c r="CR221" s="357"/>
      <c r="CS221" s="357"/>
      <c r="CT221" s="357"/>
      <c r="CU221" s="357"/>
      <c r="CV221" s="357"/>
      <c r="CW221" s="357"/>
      <c r="CX221" s="357"/>
      <c r="CY221" s="357"/>
      <c r="CZ221" s="357"/>
      <c r="DA221" s="357"/>
      <c r="DB221" s="357"/>
      <c r="DC221" s="357"/>
      <c r="DD221" s="357"/>
      <c r="DE221" s="357"/>
      <c r="DF221" s="357"/>
      <c r="DG221" s="357"/>
      <c r="DH221" s="357"/>
      <c r="DI221" s="357"/>
      <c r="DJ221" s="357"/>
      <c r="DK221" s="357"/>
      <c r="DL221" s="357"/>
      <c r="DM221" s="357"/>
      <c r="DN221" s="357"/>
      <c r="DO221" s="357"/>
      <c r="DP221" s="357"/>
      <c r="DQ221" s="357"/>
      <c r="DR221" s="357"/>
      <c r="DS221" s="357"/>
      <c r="DT221" s="357"/>
      <c r="DU221" s="357"/>
      <c r="DV221" s="357"/>
      <c r="DW221" s="357"/>
      <c r="DX221" s="357"/>
      <c r="DY221" s="357"/>
      <c r="DZ221" s="357"/>
      <c r="EA221" s="357"/>
      <c r="EB221" s="357"/>
      <c r="EC221" s="357"/>
      <c r="ED221" s="357"/>
      <c r="EE221" s="357"/>
      <c r="EF221" s="357"/>
      <c r="EG221" s="357"/>
      <c r="EH221" s="357"/>
      <c r="EI221" s="357"/>
      <c r="EJ221" s="357"/>
      <c r="EK221" s="357"/>
      <c r="EL221" s="357"/>
      <c r="EM221" s="357"/>
      <c r="EN221" s="357"/>
      <c r="EO221" s="357"/>
      <c r="EP221" s="357"/>
      <c r="EQ221" s="357"/>
      <c r="ER221" s="357"/>
      <c r="ES221" s="357"/>
      <c r="ET221" s="357"/>
      <c r="EU221" s="357"/>
      <c r="EV221" s="357"/>
      <c r="EW221" s="357"/>
      <c r="EX221" s="357"/>
      <c r="EY221" s="357"/>
      <c r="EZ221" s="357"/>
      <c r="FA221" s="357"/>
      <c r="FB221" s="357"/>
      <c r="FC221" s="357"/>
      <c r="FD221" s="357"/>
      <c r="FE221" s="357"/>
      <c r="FF221" s="357"/>
      <c r="FG221" s="357"/>
      <c r="FH221" s="357"/>
      <c r="FI221" s="357"/>
      <c r="FJ221" s="357"/>
      <c r="FK221" s="357"/>
      <c r="FL221" s="357"/>
      <c r="FM221" s="357"/>
      <c r="FN221" s="357"/>
      <c r="FO221" s="357"/>
      <c r="FP221" s="357"/>
      <c r="FQ221" s="357"/>
      <c r="FR221" s="357"/>
      <c r="FS221" s="357"/>
      <c r="FT221" s="357"/>
      <c r="FU221" s="357"/>
      <c r="FV221" s="357"/>
      <c r="FW221" s="357"/>
      <c r="FX221" s="357"/>
      <c r="FY221" s="357"/>
      <c r="FZ221" s="357"/>
      <c r="GA221" s="357"/>
      <c r="GB221" s="357"/>
      <c r="GC221" s="357"/>
      <c r="GD221" s="357"/>
      <c r="GE221" s="357"/>
      <c r="GF221" s="357"/>
      <c r="GG221" s="357"/>
      <c r="GH221" s="357"/>
      <c r="GI221" s="357"/>
      <c r="GJ221" s="357"/>
      <c r="GK221" s="154"/>
      <c r="GL221" s="154"/>
      <c r="GM221" s="154"/>
      <c r="GN221" s="154"/>
      <c r="GO221" s="154"/>
      <c r="GP221" s="154"/>
      <c r="GQ221" s="154"/>
      <c r="GR221" s="154"/>
      <c r="GS221" s="154"/>
      <c r="GT221" s="154"/>
      <c r="GU221" s="154"/>
      <c r="GV221" s="154"/>
      <c r="GW221" s="154"/>
      <c r="GX221" s="154"/>
    </row>
    <row r="222" spans="7:206">
      <c r="G222" s="154"/>
      <c r="H222" s="154"/>
      <c r="I222" s="154"/>
      <c r="J222" s="154"/>
      <c r="K222" s="154"/>
      <c r="L222" s="154"/>
      <c r="M222" s="154"/>
      <c r="N222" s="154"/>
      <c r="O222" s="154"/>
      <c r="P222" s="154"/>
      <c r="Q222" s="154"/>
      <c r="R222" s="154"/>
      <c r="S222" s="154"/>
      <c r="T222" s="154"/>
      <c r="U222" s="154"/>
      <c r="V222" s="154"/>
      <c r="W222" s="154"/>
      <c r="X222" s="154"/>
      <c r="Y222" s="154"/>
      <c r="Z222" s="357"/>
      <c r="AA222" s="357"/>
      <c r="AB222" s="357"/>
      <c r="AC222" s="357"/>
      <c r="AD222" s="357"/>
      <c r="AE222" s="357"/>
      <c r="AF222" s="357"/>
      <c r="AG222" s="357"/>
      <c r="AH222" s="357"/>
      <c r="AI222" s="357"/>
      <c r="AJ222" s="357"/>
      <c r="AK222" s="357"/>
      <c r="AL222" s="357"/>
      <c r="AM222" s="357"/>
      <c r="AN222" s="357"/>
      <c r="AO222" s="357"/>
      <c r="AP222" s="357"/>
      <c r="AQ222" s="357"/>
      <c r="AR222" s="357"/>
      <c r="AS222" s="357"/>
      <c r="AT222" s="357"/>
      <c r="AU222" s="357"/>
      <c r="AV222" s="357"/>
      <c r="AW222" s="357"/>
      <c r="AX222" s="357"/>
      <c r="AY222" s="357"/>
      <c r="AZ222" s="357"/>
      <c r="BA222" s="357"/>
      <c r="BB222" s="357"/>
      <c r="BC222" s="357"/>
      <c r="BD222" s="357"/>
      <c r="BE222" s="357"/>
      <c r="BF222" s="357"/>
      <c r="BG222" s="357"/>
      <c r="BH222" s="357"/>
      <c r="BI222" s="357"/>
      <c r="BJ222" s="357"/>
      <c r="BK222" s="357"/>
      <c r="BL222" s="357"/>
      <c r="BM222" s="357"/>
      <c r="BN222" s="357"/>
      <c r="BO222" s="357"/>
      <c r="BP222" s="357"/>
      <c r="BQ222" s="357"/>
      <c r="BR222" s="357"/>
      <c r="BS222" s="357"/>
      <c r="BT222" s="357"/>
      <c r="BU222" s="357"/>
      <c r="BV222" s="357"/>
      <c r="BW222" s="357"/>
      <c r="BX222" s="357"/>
      <c r="BY222" s="357"/>
      <c r="BZ222" s="357"/>
      <c r="CA222" s="357"/>
      <c r="CB222" s="357"/>
      <c r="CC222" s="357"/>
      <c r="CD222" s="357"/>
      <c r="CE222" s="357"/>
      <c r="CF222" s="357"/>
      <c r="CG222" s="357"/>
      <c r="CH222" s="357"/>
      <c r="CI222" s="357"/>
      <c r="CJ222" s="357"/>
      <c r="CK222" s="357"/>
      <c r="CL222" s="357"/>
      <c r="CM222" s="357"/>
      <c r="CN222" s="357"/>
      <c r="CO222" s="357"/>
      <c r="CP222" s="357"/>
      <c r="CQ222" s="357"/>
      <c r="CR222" s="357"/>
      <c r="CS222" s="357"/>
      <c r="CT222" s="357"/>
      <c r="CU222" s="357"/>
      <c r="CV222" s="357"/>
      <c r="CW222" s="357"/>
      <c r="CX222" s="357"/>
      <c r="CY222" s="357"/>
      <c r="CZ222" s="357"/>
      <c r="DA222" s="357"/>
      <c r="DB222" s="357"/>
      <c r="DC222" s="357"/>
      <c r="DD222" s="357"/>
      <c r="DE222" s="357"/>
      <c r="DF222" s="357"/>
      <c r="DG222" s="357"/>
      <c r="DH222" s="357"/>
      <c r="DI222" s="357"/>
      <c r="DJ222" s="357"/>
      <c r="DK222" s="357"/>
      <c r="DL222" s="357"/>
      <c r="DM222" s="357"/>
      <c r="DN222" s="357"/>
      <c r="DO222" s="357"/>
      <c r="DP222" s="357"/>
      <c r="DQ222" s="357"/>
      <c r="DR222" s="357"/>
      <c r="DS222" s="357"/>
      <c r="DT222" s="357"/>
      <c r="DU222" s="357"/>
      <c r="DV222" s="357"/>
      <c r="DW222" s="357"/>
      <c r="DX222" s="357"/>
      <c r="DY222" s="357"/>
      <c r="DZ222" s="357"/>
      <c r="EA222" s="357"/>
      <c r="EB222" s="357"/>
      <c r="EC222" s="357"/>
      <c r="ED222" s="357"/>
      <c r="EE222" s="357"/>
      <c r="EF222" s="357"/>
      <c r="EG222" s="357"/>
      <c r="EH222" s="357"/>
      <c r="EI222" s="357"/>
      <c r="EJ222" s="357"/>
      <c r="EK222" s="357"/>
      <c r="EL222" s="357"/>
      <c r="EM222" s="357"/>
      <c r="EN222" s="357"/>
      <c r="EO222" s="357"/>
      <c r="EP222" s="357"/>
      <c r="EQ222" s="357"/>
      <c r="ER222" s="357"/>
      <c r="ES222" s="357"/>
      <c r="ET222" s="357"/>
      <c r="EU222" s="357"/>
      <c r="EV222" s="357"/>
      <c r="EW222" s="357"/>
      <c r="EX222" s="357"/>
      <c r="EY222" s="357"/>
      <c r="EZ222" s="357"/>
      <c r="FA222" s="357"/>
      <c r="FB222" s="357"/>
      <c r="FC222" s="357"/>
      <c r="FD222" s="357"/>
      <c r="FE222" s="357"/>
      <c r="FF222" s="357"/>
      <c r="FG222" s="357"/>
      <c r="FH222" s="357"/>
      <c r="FI222" s="357"/>
      <c r="FJ222" s="357"/>
      <c r="FK222" s="357"/>
      <c r="FL222" s="357"/>
      <c r="FM222" s="357"/>
      <c r="FN222" s="357"/>
      <c r="FO222" s="357"/>
      <c r="FP222" s="357"/>
      <c r="FQ222" s="357"/>
      <c r="FR222" s="357"/>
      <c r="FS222" s="357"/>
      <c r="FT222" s="357"/>
      <c r="FU222" s="357"/>
      <c r="FV222" s="357"/>
      <c r="FW222" s="357"/>
      <c r="FX222" s="357"/>
      <c r="FY222" s="357"/>
      <c r="FZ222" s="357"/>
      <c r="GA222" s="357"/>
      <c r="GB222" s="357"/>
      <c r="GC222" s="357"/>
      <c r="GD222" s="357"/>
      <c r="GE222" s="357"/>
      <c r="GF222" s="357"/>
      <c r="GG222" s="357"/>
      <c r="GH222" s="357"/>
      <c r="GI222" s="357"/>
      <c r="GJ222" s="357"/>
      <c r="GK222" s="154"/>
      <c r="GL222" s="154"/>
      <c r="GM222" s="154"/>
      <c r="GN222" s="154"/>
      <c r="GO222" s="154"/>
      <c r="GP222" s="154"/>
      <c r="GQ222" s="154"/>
      <c r="GR222" s="154"/>
      <c r="GS222" s="154"/>
      <c r="GT222" s="154"/>
      <c r="GU222" s="154"/>
      <c r="GV222" s="154"/>
      <c r="GW222" s="154"/>
      <c r="GX222" s="154"/>
    </row>
    <row r="223" spans="7:206">
      <c r="G223" s="154"/>
      <c r="H223" s="154"/>
      <c r="I223" s="154"/>
      <c r="J223" s="154"/>
      <c r="K223" s="154"/>
      <c r="L223" s="154"/>
      <c r="M223" s="154"/>
      <c r="N223" s="154"/>
      <c r="O223" s="154"/>
      <c r="P223" s="154"/>
      <c r="Q223" s="154"/>
      <c r="R223" s="154"/>
      <c r="S223" s="154"/>
      <c r="T223" s="154"/>
      <c r="U223" s="154"/>
      <c r="V223" s="154"/>
      <c r="W223" s="154"/>
      <c r="X223" s="154"/>
      <c r="Y223" s="154"/>
      <c r="Z223" s="357"/>
      <c r="AA223" s="357"/>
      <c r="AB223" s="357"/>
      <c r="AC223" s="357"/>
      <c r="AD223" s="357"/>
      <c r="AE223" s="357"/>
      <c r="AF223" s="357"/>
      <c r="AG223" s="357"/>
      <c r="AH223" s="357"/>
      <c r="AI223" s="357"/>
      <c r="AJ223" s="357"/>
      <c r="AK223" s="357"/>
      <c r="AL223" s="357"/>
      <c r="AM223" s="357"/>
      <c r="AN223" s="357"/>
      <c r="AO223" s="357"/>
      <c r="AP223" s="357"/>
      <c r="AQ223" s="357"/>
      <c r="AR223" s="357"/>
      <c r="AS223" s="357"/>
      <c r="AT223" s="357"/>
      <c r="AU223" s="357"/>
      <c r="AV223" s="357"/>
      <c r="AW223" s="357"/>
      <c r="AX223" s="357"/>
      <c r="AY223" s="357"/>
      <c r="AZ223" s="357"/>
      <c r="BA223" s="357"/>
      <c r="BB223" s="357"/>
      <c r="BC223" s="357"/>
      <c r="BD223" s="357"/>
      <c r="BE223" s="357"/>
      <c r="BF223" s="357"/>
      <c r="BG223" s="357"/>
      <c r="BH223" s="357"/>
      <c r="BI223" s="357"/>
      <c r="BJ223" s="357"/>
      <c r="BK223" s="357"/>
      <c r="BL223" s="357"/>
      <c r="BM223" s="357"/>
      <c r="BN223" s="357"/>
      <c r="BO223" s="357"/>
      <c r="BP223" s="357"/>
      <c r="BQ223" s="357"/>
      <c r="BR223" s="357"/>
      <c r="BS223" s="357"/>
      <c r="BT223" s="357"/>
      <c r="BU223" s="357"/>
      <c r="BV223" s="357"/>
      <c r="BW223" s="357"/>
      <c r="BX223" s="357"/>
      <c r="BY223" s="357"/>
      <c r="BZ223" s="357"/>
      <c r="CA223" s="357"/>
      <c r="CB223" s="357"/>
      <c r="CC223" s="357"/>
      <c r="CD223" s="357"/>
      <c r="CE223" s="357"/>
      <c r="CF223" s="357"/>
      <c r="CG223" s="357"/>
      <c r="CH223" s="357"/>
      <c r="CI223" s="357"/>
      <c r="CJ223" s="357"/>
      <c r="CK223" s="357"/>
      <c r="CL223" s="357"/>
      <c r="CM223" s="357"/>
      <c r="CN223" s="357"/>
      <c r="CO223" s="357"/>
      <c r="CP223" s="357"/>
      <c r="CQ223" s="357"/>
      <c r="CR223" s="357"/>
      <c r="CS223" s="357"/>
      <c r="CT223" s="357"/>
      <c r="CU223" s="357"/>
      <c r="CV223" s="357"/>
      <c r="CW223" s="357"/>
      <c r="CX223" s="357"/>
      <c r="CY223" s="357"/>
      <c r="CZ223" s="357"/>
      <c r="DA223" s="357"/>
      <c r="DB223" s="357"/>
      <c r="DC223" s="357"/>
      <c r="DD223" s="357"/>
      <c r="DE223" s="357"/>
      <c r="DF223" s="357"/>
      <c r="DG223" s="357"/>
      <c r="DH223" s="357"/>
      <c r="DI223" s="357"/>
      <c r="DJ223" s="357"/>
      <c r="DK223" s="357"/>
      <c r="DL223" s="357"/>
      <c r="DM223" s="357"/>
      <c r="DN223" s="357"/>
      <c r="DO223" s="357"/>
      <c r="DP223" s="357"/>
      <c r="DQ223" s="357"/>
      <c r="DR223" s="357"/>
      <c r="DS223" s="357"/>
      <c r="DT223" s="357"/>
      <c r="DU223" s="357"/>
      <c r="DV223" s="357"/>
      <c r="DW223" s="357"/>
      <c r="DX223" s="357"/>
      <c r="DY223" s="357"/>
      <c r="DZ223" s="357"/>
      <c r="EA223" s="357"/>
      <c r="EB223" s="357"/>
      <c r="EC223" s="357"/>
      <c r="ED223" s="357"/>
      <c r="EE223" s="357"/>
      <c r="EF223" s="357"/>
      <c r="EG223" s="357"/>
      <c r="EH223" s="357"/>
      <c r="EI223" s="357"/>
      <c r="EJ223" s="357"/>
      <c r="EK223" s="357"/>
      <c r="EL223" s="357"/>
      <c r="EM223" s="357"/>
      <c r="EN223" s="357"/>
      <c r="EO223" s="357"/>
      <c r="EP223" s="357"/>
      <c r="EQ223" s="357"/>
      <c r="ER223" s="357"/>
      <c r="ES223" s="357"/>
      <c r="ET223" s="357"/>
      <c r="EU223" s="357"/>
      <c r="EV223" s="357"/>
      <c r="EW223" s="357"/>
      <c r="EX223" s="357"/>
      <c r="EY223" s="357"/>
      <c r="EZ223" s="357"/>
      <c r="FA223" s="357"/>
      <c r="FB223" s="357"/>
      <c r="FC223" s="357"/>
      <c r="FD223" s="357"/>
      <c r="FE223" s="357"/>
      <c r="FF223" s="357"/>
      <c r="FG223" s="357"/>
      <c r="FH223" s="357"/>
      <c r="FI223" s="357"/>
      <c r="FJ223" s="357"/>
      <c r="FK223" s="357"/>
      <c r="FL223" s="357"/>
      <c r="FM223" s="357"/>
      <c r="FN223" s="357"/>
      <c r="FO223" s="357"/>
      <c r="FP223" s="357"/>
      <c r="FQ223" s="357"/>
      <c r="FR223" s="357"/>
      <c r="FS223" s="357"/>
      <c r="FT223" s="357"/>
      <c r="FU223" s="357"/>
      <c r="FV223" s="357"/>
      <c r="FW223" s="357"/>
      <c r="FX223" s="357"/>
      <c r="FY223" s="357"/>
      <c r="FZ223" s="357"/>
      <c r="GA223" s="357"/>
      <c r="GB223" s="357"/>
      <c r="GC223" s="357"/>
      <c r="GD223" s="357"/>
      <c r="GE223" s="357"/>
      <c r="GF223" s="357"/>
      <c r="GG223" s="357"/>
      <c r="GH223" s="357"/>
      <c r="GI223" s="357"/>
      <c r="GJ223" s="357"/>
      <c r="GK223" s="154"/>
      <c r="GL223" s="154"/>
      <c r="GM223" s="154"/>
      <c r="GN223" s="154"/>
      <c r="GO223" s="154"/>
      <c r="GP223" s="154"/>
      <c r="GQ223" s="154"/>
      <c r="GR223" s="154"/>
      <c r="GS223" s="154"/>
      <c r="GT223" s="154"/>
      <c r="GU223" s="154"/>
      <c r="GV223" s="154"/>
      <c r="GW223" s="154"/>
      <c r="GX223" s="154"/>
    </row>
    <row r="224" spans="7:206">
      <c r="G224" s="154"/>
      <c r="H224" s="154"/>
      <c r="I224" s="154"/>
      <c r="J224" s="154"/>
      <c r="K224" s="154"/>
      <c r="L224" s="154"/>
      <c r="M224" s="154"/>
      <c r="N224" s="154"/>
      <c r="O224" s="154"/>
      <c r="P224" s="154"/>
      <c r="Q224" s="154"/>
      <c r="R224" s="154"/>
      <c r="S224" s="154"/>
      <c r="T224" s="154"/>
      <c r="U224" s="154"/>
      <c r="V224" s="154"/>
      <c r="W224" s="154"/>
      <c r="X224" s="154"/>
      <c r="Y224" s="154"/>
      <c r="Z224" s="357"/>
      <c r="AA224" s="357"/>
      <c r="AB224" s="357"/>
      <c r="AC224" s="357"/>
      <c r="AD224" s="357"/>
      <c r="AE224" s="357"/>
      <c r="AF224" s="357"/>
      <c r="AG224" s="357"/>
      <c r="AH224" s="357"/>
      <c r="AI224" s="357"/>
      <c r="AJ224" s="357"/>
      <c r="AK224" s="357"/>
      <c r="AL224" s="357"/>
      <c r="AM224" s="357"/>
      <c r="AN224" s="357"/>
      <c r="AO224" s="357"/>
      <c r="AP224" s="357"/>
      <c r="AQ224" s="357"/>
      <c r="AR224" s="357"/>
      <c r="AS224" s="357"/>
      <c r="AT224" s="357"/>
      <c r="AU224" s="357"/>
      <c r="AV224" s="357"/>
      <c r="AW224" s="357"/>
      <c r="AX224" s="357"/>
      <c r="AY224" s="357"/>
      <c r="AZ224" s="357"/>
      <c r="BA224" s="357"/>
      <c r="BB224" s="357"/>
      <c r="BC224" s="357"/>
      <c r="BD224" s="357"/>
      <c r="BE224" s="357"/>
      <c r="BF224" s="357"/>
      <c r="BG224" s="357"/>
      <c r="BH224" s="357"/>
      <c r="BI224" s="357"/>
      <c r="BJ224" s="357"/>
      <c r="BK224" s="357"/>
      <c r="BL224" s="357"/>
      <c r="BM224" s="357"/>
      <c r="BN224" s="357"/>
      <c r="BO224" s="357"/>
      <c r="BP224" s="357"/>
      <c r="BQ224" s="357"/>
      <c r="BR224" s="357"/>
      <c r="BS224" s="357"/>
      <c r="BT224" s="357"/>
      <c r="BU224" s="357"/>
      <c r="BV224" s="357"/>
      <c r="BW224" s="357"/>
      <c r="BX224" s="357"/>
      <c r="BY224" s="357"/>
      <c r="BZ224" s="357"/>
      <c r="CA224" s="357"/>
      <c r="CB224" s="357"/>
      <c r="CC224" s="357"/>
      <c r="CD224" s="357"/>
      <c r="CE224" s="357"/>
      <c r="CF224" s="357"/>
      <c r="CG224" s="357"/>
      <c r="CH224" s="357"/>
      <c r="CI224" s="357"/>
      <c r="CJ224" s="357"/>
      <c r="CK224" s="357"/>
      <c r="CL224" s="357"/>
      <c r="CM224" s="357"/>
      <c r="CN224" s="357"/>
      <c r="CO224" s="357"/>
      <c r="CP224" s="357"/>
      <c r="CQ224" s="357"/>
      <c r="CR224" s="357"/>
      <c r="CS224" s="357"/>
      <c r="CT224" s="357"/>
      <c r="CU224" s="357"/>
      <c r="CV224" s="357"/>
      <c r="CW224" s="357"/>
      <c r="CX224" s="357"/>
      <c r="CY224" s="357"/>
      <c r="CZ224" s="357"/>
      <c r="DA224" s="357"/>
      <c r="DB224" s="357"/>
      <c r="DC224" s="357"/>
      <c r="DD224" s="357"/>
      <c r="DE224" s="357"/>
      <c r="DF224" s="357"/>
      <c r="DG224" s="357"/>
      <c r="DH224" s="357"/>
      <c r="DI224" s="357"/>
      <c r="DJ224" s="357"/>
      <c r="DK224" s="357"/>
      <c r="DL224" s="357"/>
      <c r="DM224" s="357"/>
      <c r="DN224" s="357"/>
      <c r="DO224" s="357"/>
      <c r="DP224" s="357"/>
      <c r="DQ224" s="357"/>
      <c r="DR224" s="357"/>
      <c r="DS224" s="357"/>
      <c r="DT224" s="357"/>
      <c r="DU224" s="357"/>
      <c r="DV224" s="357"/>
      <c r="DW224" s="357"/>
      <c r="DX224" s="357"/>
      <c r="DY224" s="357"/>
      <c r="DZ224" s="357"/>
      <c r="EA224" s="357"/>
      <c r="EB224" s="357"/>
      <c r="EC224" s="357"/>
      <c r="ED224" s="357"/>
      <c r="EE224" s="357"/>
      <c r="EF224" s="357"/>
      <c r="EG224" s="357"/>
      <c r="EH224" s="357"/>
      <c r="EI224" s="357"/>
      <c r="EJ224" s="357"/>
      <c r="EK224" s="357"/>
      <c r="EL224" s="357"/>
      <c r="EM224" s="357"/>
      <c r="EN224" s="357"/>
      <c r="EO224" s="357"/>
      <c r="EP224" s="357"/>
      <c r="EQ224" s="357"/>
      <c r="ER224" s="357"/>
      <c r="ES224" s="357"/>
      <c r="ET224" s="357"/>
      <c r="EU224" s="357"/>
      <c r="EV224" s="357"/>
      <c r="EW224" s="357"/>
      <c r="EX224" s="357"/>
      <c r="EY224" s="357"/>
      <c r="EZ224" s="357"/>
      <c r="FA224" s="357"/>
      <c r="FB224" s="357"/>
      <c r="FC224" s="357"/>
      <c r="FD224" s="357"/>
      <c r="FE224" s="357"/>
      <c r="FF224" s="357"/>
      <c r="FG224" s="357"/>
      <c r="FH224" s="357"/>
      <c r="FI224" s="357"/>
      <c r="FJ224" s="357"/>
      <c r="FK224" s="357"/>
      <c r="FL224" s="357"/>
      <c r="FM224" s="357"/>
      <c r="FN224" s="357"/>
      <c r="FO224" s="357"/>
      <c r="FP224" s="357"/>
      <c r="FQ224" s="357"/>
      <c r="FR224" s="357"/>
      <c r="FS224" s="357"/>
      <c r="FT224" s="357"/>
      <c r="FU224" s="357"/>
      <c r="FV224" s="357"/>
      <c r="FW224" s="357"/>
      <c r="FX224" s="357"/>
      <c r="FY224" s="357"/>
      <c r="FZ224" s="357"/>
      <c r="GA224" s="357"/>
      <c r="GB224" s="357"/>
      <c r="GC224" s="357"/>
      <c r="GD224" s="357"/>
      <c r="GE224" s="357"/>
      <c r="GF224" s="357"/>
      <c r="GG224" s="357"/>
      <c r="GH224" s="357"/>
      <c r="GI224" s="357"/>
      <c r="GJ224" s="357"/>
      <c r="GK224" s="154"/>
      <c r="GL224" s="154"/>
      <c r="GM224" s="154"/>
      <c r="GN224" s="154"/>
      <c r="GO224" s="154"/>
      <c r="GP224" s="154"/>
      <c r="GQ224" s="154"/>
      <c r="GR224" s="154"/>
      <c r="GS224" s="154"/>
      <c r="GT224" s="154"/>
      <c r="GU224" s="154"/>
      <c r="GV224" s="154"/>
      <c r="GW224" s="154"/>
      <c r="GX224" s="154"/>
    </row>
    <row r="225" spans="7:206">
      <c r="G225" s="154"/>
      <c r="H225" s="154"/>
      <c r="I225" s="154"/>
      <c r="J225" s="154"/>
      <c r="K225" s="154"/>
      <c r="L225" s="154"/>
      <c r="M225" s="154"/>
      <c r="N225" s="154"/>
      <c r="O225" s="154"/>
      <c r="P225" s="154"/>
      <c r="Q225" s="154"/>
      <c r="R225" s="154"/>
      <c r="S225" s="154"/>
      <c r="T225" s="154"/>
      <c r="U225" s="154"/>
      <c r="V225" s="154"/>
      <c r="W225" s="154"/>
      <c r="X225" s="154"/>
      <c r="Y225" s="154"/>
      <c r="Z225" s="357"/>
      <c r="AA225" s="357"/>
      <c r="AB225" s="357"/>
      <c r="AC225" s="357"/>
      <c r="AD225" s="357"/>
      <c r="AE225" s="357"/>
      <c r="AF225" s="357"/>
      <c r="AG225" s="357"/>
      <c r="AH225" s="357"/>
      <c r="AI225" s="357"/>
      <c r="AJ225" s="357"/>
      <c r="AK225" s="357"/>
      <c r="AL225" s="357"/>
      <c r="AM225" s="357"/>
      <c r="AN225" s="357"/>
      <c r="AO225" s="357"/>
      <c r="AP225" s="357"/>
      <c r="AQ225" s="357"/>
      <c r="AR225" s="357"/>
      <c r="AS225" s="357"/>
      <c r="AT225" s="357"/>
      <c r="AU225" s="357"/>
      <c r="AV225" s="357"/>
      <c r="AW225" s="357"/>
      <c r="AX225" s="357"/>
      <c r="AY225" s="357"/>
      <c r="AZ225" s="357"/>
      <c r="BA225" s="357"/>
      <c r="BB225" s="357"/>
      <c r="BC225" s="357"/>
      <c r="BD225" s="357"/>
      <c r="BE225" s="357"/>
      <c r="BF225" s="357"/>
      <c r="BG225" s="357"/>
      <c r="BH225" s="357"/>
      <c r="BI225" s="357"/>
      <c r="BJ225" s="357"/>
      <c r="BK225" s="357"/>
      <c r="BL225" s="357"/>
      <c r="BM225" s="357"/>
      <c r="BN225" s="357"/>
      <c r="BO225" s="357"/>
      <c r="BP225" s="357"/>
      <c r="BQ225" s="357"/>
      <c r="BR225" s="357"/>
      <c r="BS225" s="357"/>
      <c r="BT225" s="357"/>
      <c r="BU225" s="357"/>
      <c r="BV225" s="357"/>
      <c r="BW225" s="357"/>
      <c r="BX225" s="357"/>
      <c r="BY225" s="357"/>
      <c r="BZ225" s="357"/>
      <c r="CA225" s="357"/>
      <c r="CB225" s="357"/>
      <c r="CC225" s="357"/>
      <c r="CD225" s="357"/>
      <c r="CE225" s="357"/>
      <c r="CF225" s="357"/>
      <c r="CG225" s="357"/>
      <c r="CH225" s="357"/>
      <c r="CI225" s="357"/>
      <c r="CJ225" s="357"/>
      <c r="CK225" s="357"/>
      <c r="CL225" s="357"/>
      <c r="CM225" s="357"/>
      <c r="CN225" s="357"/>
      <c r="CO225" s="357"/>
      <c r="CP225" s="357"/>
      <c r="CQ225" s="357"/>
      <c r="CR225" s="357"/>
      <c r="CS225" s="357"/>
      <c r="CT225" s="357"/>
      <c r="CU225" s="357"/>
      <c r="CV225" s="357"/>
      <c r="CW225" s="357"/>
      <c r="CX225" s="357"/>
      <c r="CY225" s="357"/>
      <c r="CZ225" s="357"/>
      <c r="DA225" s="357"/>
      <c r="DB225" s="357"/>
      <c r="DC225" s="357"/>
      <c r="DD225" s="357"/>
      <c r="DE225" s="357"/>
      <c r="DF225" s="357"/>
      <c r="DG225" s="357"/>
      <c r="DH225" s="357"/>
      <c r="DI225" s="357"/>
      <c r="DJ225" s="357"/>
      <c r="DK225" s="357"/>
      <c r="DL225" s="357"/>
      <c r="DM225" s="357"/>
      <c r="DN225" s="357"/>
      <c r="DO225" s="357"/>
      <c r="DP225" s="357"/>
      <c r="DQ225" s="357"/>
      <c r="DR225" s="357"/>
      <c r="DS225" s="357"/>
      <c r="DT225" s="357"/>
      <c r="DU225" s="357"/>
      <c r="DV225" s="357"/>
      <c r="DW225" s="357"/>
      <c r="DX225" s="357"/>
      <c r="DY225" s="357"/>
      <c r="DZ225" s="357"/>
      <c r="EA225" s="357"/>
      <c r="EB225" s="357"/>
      <c r="EC225" s="357"/>
      <c r="ED225" s="357"/>
      <c r="EE225" s="357"/>
      <c r="EF225" s="357"/>
      <c r="EG225" s="357"/>
      <c r="EH225" s="357"/>
      <c r="EI225" s="357"/>
      <c r="EJ225" s="357"/>
      <c r="EK225" s="357"/>
      <c r="EL225" s="357"/>
      <c r="EM225" s="357"/>
      <c r="EN225" s="357"/>
      <c r="EO225" s="357"/>
      <c r="EP225" s="357"/>
      <c r="EQ225" s="357"/>
      <c r="ER225" s="357"/>
      <c r="ES225" s="357"/>
      <c r="ET225" s="357"/>
      <c r="EU225" s="357"/>
      <c r="EV225" s="357"/>
      <c r="EW225" s="357"/>
      <c r="EX225" s="357"/>
      <c r="EY225" s="357"/>
      <c r="EZ225" s="357"/>
      <c r="FA225" s="357"/>
      <c r="FB225" s="357"/>
      <c r="FC225" s="357"/>
      <c r="FD225" s="357"/>
      <c r="FE225" s="357"/>
      <c r="FF225" s="357"/>
      <c r="FG225" s="357"/>
      <c r="FH225" s="357"/>
      <c r="FI225" s="357"/>
      <c r="FJ225" s="357"/>
      <c r="FK225" s="357"/>
      <c r="FL225" s="357"/>
      <c r="FM225" s="357"/>
      <c r="FN225" s="357"/>
      <c r="FO225" s="357"/>
      <c r="FP225" s="357"/>
      <c r="FQ225" s="357"/>
      <c r="FR225" s="357"/>
      <c r="FS225" s="357"/>
      <c r="FT225" s="357"/>
      <c r="FU225" s="357"/>
      <c r="FV225" s="357"/>
      <c r="FW225" s="357"/>
      <c r="FX225" s="357"/>
      <c r="FY225" s="357"/>
      <c r="FZ225" s="357"/>
      <c r="GA225" s="357"/>
      <c r="GB225" s="357"/>
      <c r="GC225" s="357"/>
      <c r="GD225" s="357"/>
      <c r="GE225" s="357"/>
      <c r="GF225" s="357"/>
      <c r="GG225" s="357"/>
      <c r="GH225" s="357"/>
      <c r="GI225" s="357"/>
      <c r="GJ225" s="357"/>
      <c r="GK225" s="154"/>
      <c r="GL225" s="154"/>
      <c r="GM225" s="154"/>
      <c r="GN225" s="154"/>
      <c r="GO225" s="154"/>
      <c r="GP225" s="154"/>
      <c r="GQ225" s="154"/>
      <c r="GR225" s="154"/>
      <c r="GS225" s="154"/>
      <c r="GT225" s="154"/>
      <c r="GU225" s="154"/>
      <c r="GV225" s="154"/>
      <c r="GW225" s="154"/>
      <c r="GX225" s="154"/>
    </row>
    <row r="226" spans="7:206">
      <c r="G226" s="154"/>
      <c r="H226" s="154"/>
      <c r="I226" s="154"/>
      <c r="J226" s="154"/>
      <c r="K226" s="154"/>
      <c r="L226" s="154"/>
      <c r="M226" s="154"/>
      <c r="N226" s="154"/>
      <c r="O226" s="154"/>
      <c r="P226" s="154"/>
      <c r="Q226" s="154"/>
      <c r="R226" s="154"/>
      <c r="S226" s="154"/>
      <c r="T226" s="154"/>
      <c r="U226" s="154"/>
      <c r="V226" s="154"/>
      <c r="W226" s="154"/>
      <c r="X226" s="154"/>
      <c r="Y226" s="154"/>
      <c r="Z226" s="357"/>
      <c r="AA226" s="357"/>
      <c r="AB226" s="357"/>
      <c r="AC226" s="357"/>
      <c r="AD226" s="357"/>
      <c r="AE226" s="357"/>
      <c r="AF226" s="357"/>
      <c r="AG226" s="357"/>
      <c r="AH226" s="357"/>
      <c r="AI226" s="357"/>
      <c r="AJ226" s="357"/>
      <c r="AK226" s="357"/>
      <c r="AL226" s="357"/>
      <c r="AM226" s="357"/>
      <c r="AN226" s="357"/>
      <c r="AO226" s="357"/>
      <c r="AP226" s="357"/>
      <c r="AQ226" s="357"/>
      <c r="AR226" s="357"/>
      <c r="AS226" s="357"/>
      <c r="AT226" s="357"/>
      <c r="AU226" s="357"/>
      <c r="AV226" s="357"/>
      <c r="AW226" s="357"/>
      <c r="AX226" s="357"/>
      <c r="AY226" s="357"/>
      <c r="AZ226" s="357"/>
      <c r="BA226" s="357"/>
      <c r="BB226" s="357"/>
      <c r="BC226" s="357"/>
      <c r="BD226" s="357"/>
      <c r="BE226" s="357"/>
      <c r="BF226" s="357"/>
      <c r="BG226" s="357"/>
      <c r="BH226" s="357"/>
      <c r="BI226" s="357"/>
      <c r="BJ226" s="357"/>
      <c r="BK226" s="357"/>
      <c r="BL226" s="357"/>
      <c r="BM226" s="357"/>
      <c r="BN226" s="357"/>
      <c r="BO226" s="357"/>
      <c r="BP226" s="357"/>
      <c r="BQ226" s="357"/>
      <c r="BR226" s="357"/>
      <c r="BS226" s="357"/>
      <c r="BT226" s="357"/>
      <c r="BU226" s="357"/>
      <c r="BV226" s="357"/>
      <c r="BW226" s="357"/>
      <c r="BX226" s="357"/>
      <c r="BY226" s="357"/>
      <c r="BZ226" s="357"/>
      <c r="CA226" s="357"/>
      <c r="CB226" s="357"/>
      <c r="CC226" s="357"/>
      <c r="CD226" s="357"/>
      <c r="CE226" s="357"/>
      <c r="CF226" s="357"/>
      <c r="CG226" s="357"/>
      <c r="CH226" s="357"/>
      <c r="CI226" s="357"/>
      <c r="CJ226" s="357"/>
      <c r="CK226" s="357"/>
      <c r="CL226" s="357"/>
      <c r="CM226" s="357"/>
      <c r="CN226" s="357"/>
      <c r="CO226" s="357"/>
      <c r="CP226" s="357"/>
      <c r="CQ226" s="357"/>
      <c r="CR226" s="357"/>
      <c r="CS226" s="357"/>
      <c r="CT226" s="357"/>
      <c r="CU226" s="357"/>
      <c r="CV226" s="357"/>
      <c r="CW226" s="357"/>
      <c r="CX226" s="357"/>
      <c r="CY226" s="357"/>
      <c r="CZ226" s="357"/>
      <c r="DA226" s="357"/>
      <c r="DB226" s="357"/>
      <c r="DC226" s="357"/>
      <c r="DD226" s="357"/>
      <c r="DE226" s="357"/>
      <c r="DF226" s="357"/>
      <c r="DG226" s="357"/>
      <c r="DH226" s="357"/>
      <c r="DI226" s="357"/>
      <c r="DJ226" s="357"/>
      <c r="DK226" s="357"/>
      <c r="DL226" s="357"/>
      <c r="DM226" s="357"/>
      <c r="DN226" s="357"/>
      <c r="DO226" s="357"/>
      <c r="DP226" s="357"/>
      <c r="DQ226" s="357"/>
      <c r="DR226" s="357"/>
      <c r="DS226" s="357"/>
      <c r="DT226" s="357"/>
      <c r="DU226" s="357"/>
      <c r="DV226" s="357"/>
      <c r="DW226" s="357"/>
      <c r="DX226" s="357"/>
      <c r="DY226" s="357"/>
      <c r="DZ226" s="357"/>
      <c r="EA226" s="357"/>
      <c r="EB226" s="357"/>
      <c r="EC226" s="357"/>
      <c r="ED226" s="357"/>
      <c r="EE226" s="357"/>
      <c r="EF226" s="357"/>
      <c r="EG226" s="357"/>
      <c r="EH226" s="357"/>
      <c r="EI226" s="357"/>
      <c r="EJ226" s="357"/>
      <c r="EK226" s="357"/>
      <c r="EL226" s="357"/>
      <c r="EM226" s="357"/>
      <c r="EN226" s="357"/>
      <c r="EO226" s="357"/>
      <c r="EP226" s="357"/>
      <c r="EQ226" s="357"/>
      <c r="ER226" s="357"/>
      <c r="ES226" s="357"/>
      <c r="ET226" s="357"/>
      <c r="EU226" s="357"/>
      <c r="EV226" s="357"/>
      <c r="EW226" s="357"/>
      <c r="EX226" s="357"/>
      <c r="EY226" s="357"/>
      <c r="EZ226" s="357"/>
      <c r="FA226" s="357"/>
      <c r="FB226" s="357"/>
      <c r="FC226" s="357"/>
      <c r="FD226" s="357"/>
      <c r="FE226" s="357"/>
      <c r="FF226" s="357"/>
      <c r="FG226" s="357"/>
      <c r="FH226" s="357"/>
      <c r="FI226" s="357"/>
      <c r="FJ226" s="357"/>
      <c r="FK226" s="357"/>
      <c r="FL226" s="357"/>
      <c r="FM226" s="357"/>
      <c r="FN226" s="357"/>
      <c r="FO226" s="357"/>
      <c r="FP226" s="357"/>
      <c r="FQ226" s="357"/>
      <c r="FR226" s="357"/>
      <c r="FS226" s="357"/>
      <c r="FT226" s="357"/>
      <c r="FU226" s="357"/>
      <c r="FV226" s="357"/>
      <c r="FW226" s="357"/>
      <c r="FX226" s="357"/>
      <c r="FY226" s="357"/>
      <c r="FZ226" s="357"/>
      <c r="GA226" s="357"/>
      <c r="GB226" s="357"/>
      <c r="GC226" s="357"/>
      <c r="GD226" s="357"/>
      <c r="GE226" s="357"/>
      <c r="GF226" s="357"/>
      <c r="GG226" s="357"/>
      <c r="GH226" s="357"/>
      <c r="GI226" s="357"/>
      <c r="GJ226" s="357"/>
      <c r="GK226" s="154"/>
      <c r="GL226" s="154"/>
      <c r="GM226" s="154"/>
      <c r="GN226" s="154"/>
      <c r="GO226" s="154"/>
      <c r="GP226" s="154"/>
      <c r="GQ226" s="154"/>
      <c r="GR226" s="154"/>
      <c r="GS226" s="154"/>
      <c r="GT226" s="154"/>
      <c r="GU226" s="154"/>
      <c r="GV226" s="154"/>
      <c r="GW226" s="154"/>
      <c r="GX226" s="154"/>
    </row>
    <row r="227" spans="7:206">
      <c r="G227" s="154"/>
      <c r="H227" s="154"/>
      <c r="I227" s="154"/>
      <c r="J227" s="154"/>
      <c r="K227" s="154"/>
      <c r="L227" s="154"/>
      <c r="M227" s="154"/>
      <c r="N227" s="154"/>
      <c r="O227" s="154"/>
      <c r="P227" s="154"/>
      <c r="Q227" s="154"/>
      <c r="R227" s="154"/>
      <c r="S227" s="154"/>
      <c r="T227" s="154"/>
      <c r="U227" s="154"/>
      <c r="V227" s="154"/>
      <c r="W227" s="154"/>
      <c r="X227" s="154"/>
      <c r="Y227" s="154"/>
      <c r="Z227" s="357"/>
      <c r="AA227" s="357"/>
      <c r="AB227" s="357"/>
      <c r="AC227" s="357"/>
      <c r="AD227" s="357"/>
      <c r="AE227" s="357"/>
      <c r="AF227" s="357"/>
      <c r="AG227" s="357"/>
      <c r="AH227" s="357"/>
      <c r="AI227" s="357"/>
      <c r="AJ227" s="357"/>
      <c r="AK227" s="357"/>
      <c r="AL227" s="357"/>
      <c r="AM227" s="357"/>
      <c r="AN227" s="357"/>
      <c r="AO227" s="357"/>
      <c r="AP227" s="357"/>
      <c r="AQ227" s="357"/>
      <c r="AR227" s="357"/>
      <c r="AS227" s="357"/>
      <c r="AT227" s="357"/>
      <c r="AU227" s="357"/>
      <c r="AV227" s="357"/>
      <c r="AW227" s="357"/>
      <c r="AX227" s="357"/>
      <c r="AY227" s="357"/>
      <c r="AZ227" s="357"/>
      <c r="BA227" s="357"/>
      <c r="BB227" s="357"/>
      <c r="BC227" s="357"/>
      <c r="BD227" s="357"/>
      <c r="BE227" s="357"/>
      <c r="BF227" s="357"/>
      <c r="BG227" s="357"/>
      <c r="BH227" s="357"/>
      <c r="BI227" s="357"/>
      <c r="BJ227" s="357"/>
      <c r="BK227" s="357"/>
      <c r="BL227" s="357"/>
      <c r="BM227" s="357"/>
      <c r="BN227" s="357"/>
      <c r="BO227" s="357"/>
      <c r="BP227" s="357"/>
      <c r="BQ227" s="357"/>
      <c r="BR227" s="357"/>
      <c r="BS227" s="357"/>
      <c r="BT227" s="357"/>
      <c r="BU227" s="357"/>
      <c r="BV227" s="357"/>
      <c r="BW227" s="357"/>
      <c r="BX227" s="357"/>
      <c r="BY227" s="357"/>
      <c r="BZ227" s="357"/>
      <c r="CA227" s="357"/>
      <c r="CB227" s="357"/>
      <c r="CC227" s="357"/>
      <c r="CD227" s="357"/>
      <c r="CE227" s="357"/>
      <c r="CF227" s="357"/>
      <c r="CG227" s="357"/>
      <c r="CH227" s="357"/>
      <c r="CI227" s="357"/>
      <c r="CJ227" s="357"/>
      <c r="CK227" s="357"/>
      <c r="CL227" s="357"/>
      <c r="CM227" s="357"/>
      <c r="CN227" s="357"/>
      <c r="CO227" s="357"/>
      <c r="CP227" s="357"/>
      <c r="CQ227" s="357"/>
      <c r="CR227" s="357"/>
      <c r="CS227" s="357"/>
      <c r="CT227" s="357"/>
      <c r="CU227" s="357"/>
      <c r="CV227" s="357"/>
      <c r="CW227" s="357"/>
      <c r="CX227" s="357"/>
      <c r="CY227" s="357"/>
      <c r="CZ227" s="357"/>
      <c r="DA227" s="357"/>
      <c r="DB227" s="357"/>
      <c r="DC227" s="357"/>
      <c r="DD227" s="357"/>
      <c r="DE227" s="357"/>
      <c r="DF227" s="357"/>
      <c r="DG227" s="357"/>
      <c r="DH227" s="357"/>
      <c r="DI227" s="357"/>
      <c r="DJ227" s="357"/>
      <c r="DK227" s="357"/>
      <c r="DL227" s="357"/>
      <c r="DM227" s="357"/>
      <c r="DN227" s="357"/>
      <c r="DO227" s="357"/>
      <c r="DP227" s="357"/>
      <c r="DQ227" s="357"/>
      <c r="DR227" s="357"/>
      <c r="DS227" s="357"/>
      <c r="DT227" s="357"/>
      <c r="DU227" s="357"/>
      <c r="DV227" s="357"/>
      <c r="DW227" s="357"/>
      <c r="DX227" s="357"/>
      <c r="DY227" s="357"/>
      <c r="DZ227" s="357"/>
      <c r="EA227" s="357"/>
      <c r="EB227" s="357"/>
      <c r="EC227" s="357"/>
      <c r="ED227" s="357"/>
      <c r="EE227" s="357"/>
      <c r="EF227" s="357"/>
      <c r="EG227" s="357"/>
      <c r="EH227" s="357"/>
      <c r="EI227" s="357"/>
      <c r="EJ227" s="357"/>
      <c r="EK227" s="357"/>
      <c r="EL227" s="357"/>
      <c r="EM227" s="357"/>
      <c r="EN227" s="357"/>
      <c r="EO227" s="357"/>
      <c r="EP227" s="357"/>
      <c r="EQ227" s="357"/>
      <c r="ER227" s="357"/>
      <c r="ES227" s="357"/>
      <c r="ET227" s="357"/>
      <c r="EU227" s="357"/>
      <c r="EV227" s="357"/>
      <c r="EW227" s="357"/>
      <c r="EX227" s="357"/>
      <c r="EY227" s="357"/>
      <c r="EZ227" s="357"/>
      <c r="FA227" s="357"/>
      <c r="FB227" s="357"/>
      <c r="FC227" s="357"/>
      <c r="FD227" s="357"/>
      <c r="FE227" s="357"/>
      <c r="FF227" s="357"/>
      <c r="FG227" s="357"/>
      <c r="FH227" s="357"/>
      <c r="FI227" s="357"/>
      <c r="FJ227" s="357"/>
      <c r="FK227" s="357"/>
      <c r="FL227" s="357"/>
      <c r="FM227" s="357"/>
      <c r="FN227" s="357"/>
      <c r="FO227" s="357"/>
      <c r="FP227" s="357"/>
      <c r="FQ227" s="357"/>
      <c r="FR227" s="357"/>
      <c r="FS227" s="357"/>
      <c r="FT227" s="357"/>
      <c r="FU227" s="357"/>
      <c r="FV227" s="357"/>
      <c r="FW227" s="357"/>
      <c r="FX227" s="357"/>
      <c r="FY227" s="357"/>
      <c r="FZ227" s="357"/>
      <c r="GA227" s="357"/>
      <c r="GB227" s="357"/>
      <c r="GC227" s="357"/>
      <c r="GD227" s="357"/>
      <c r="GE227" s="357"/>
      <c r="GF227" s="357"/>
      <c r="GG227" s="357"/>
      <c r="GH227" s="357"/>
      <c r="GI227" s="357"/>
      <c r="GJ227" s="357"/>
      <c r="GK227" s="154"/>
      <c r="GL227" s="154"/>
      <c r="GM227" s="154"/>
      <c r="GN227" s="154"/>
      <c r="GO227" s="154"/>
      <c r="GP227" s="154"/>
      <c r="GQ227" s="154"/>
      <c r="GR227" s="154"/>
      <c r="GS227" s="154"/>
      <c r="GT227" s="154"/>
      <c r="GU227" s="154"/>
      <c r="GV227" s="154"/>
      <c r="GW227" s="154"/>
      <c r="GX227" s="154"/>
    </row>
    <row r="228" spans="7:206">
      <c r="G228" s="154"/>
      <c r="H228" s="154"/>
      <c r="I228" s="154"/>
      <c r="J228" s="154"/>
      <c r="K228" s="154"/>
      <c r="L228" s="154"/>
      <c r="M228" s="154"/>
      <c r="N228" s="154"/>
      <c r="O228" s="154"/>
      <c r="P228" s="154"/>
      <c r="Q228" s="154"/>
      <c r="R228" s="154"/>
      <c r="S228" s="154"/>
      <c r="T228" s="154"/>
      <c r="U228" s="154"/>
      <c r="V228" s="154"/>
      <c r="W228" s="154"/>
      <c r="X228" s="154"/>
      <c r="Y228" s="154"/>
      <c r="Z228" s="357"/>
      <c r="AA228" s="357"/>
      <c r="AB228" s="357"/>
      <c r="AC228" s="357"/>
      <c r="AD228" s="357"/>
      <c r="AE228" s="357"/>
      <c r="AF228" s="357"/>
      <c r="AG228" s="357"/>
      <c r="AH228" s="357"/>
      <c r="AI228" s="357"/>
      <c r="AJ228" s="357"/>
      <c r="AK228" s="357"/>
      <c r="AL228" s="357"/>
      <c r="AM228" s="357"/>
      <c r="AN228" s="357"/>
      <c r="AO228" s="357"/>
      <c r="AP228" s="357"/>
      <c r="AQ228" s="357"/>
      <c r="AR228" s="357"/>
      <c r="AS228" s="357"/>
      <c r="AT228" s="357"/>
      <c r="AU228" s="357"/>
      <c r="AV228" s="357"/>
      <c r="AW228" s="357"/>
      <c r="AX228" s="357"/>
      <c r="AY228" s="357"/>
      <c r="AZ228" s="357"/>
      <c r="BA228" s="357"/>
      <c r="BB228" s="357"/>
      <c r="BC228" s="357"/>
      <c r="BD228" s="357"/>
      <c r="BE228" s="357"/>
      <c r="BF228" s="357"/>
      <c r="BG228" s="357"/>
      <c r="BH228" s="357"/>
      <c r="BI228" s="357"/>
      <c r="BJ228" s="357"/>
      <c r="BK228" s="357"/>
      <c r="BL228" s="357"/>
      <c r="BM228" s="357"/>
      <c r="BN228" s="357"/>
      <c r="BO228" s="357"/>
      <c r="BP228" s="357"/>
      <c r="BQ228" s="357"/>
      <c r="BR228" s="357"/>
      <c r="BS228" s="357"/>
      <c r="BT228" s="357"/>
      <c r="BU228" s="357"/>
      <c r="BV228" s="357"/>
      <c r="BW228" s="357"/>
      <c r="BX228" s="357"/>
      <c r="BY228" s="357"/>
      <c r="BZ228" s="357"/>
      <c r="CA228" s="357"/>
      <c r="CB228" s="357"/>
      <c r="CC228" s="357"/>
      <c r="CD228" s="357"/>
      <c r="CE228" s="357"/>
      <c r="CF228" s="357"/>
      <c r="CG228" s="357"/>
      <c r="CH228" s="357"/>
      <c r="CI228" s="357"/>
      <c r="CJ228" s="357"/>
      <c r="CK228" s="357"/>
      <c r="CL228" s="357"/>
      <c r="CM228" s="357"/>
      <c r="CN228" s="357"/>
      <c r="CO228" s="357"/>
      <c r="CP228" s="357"/>
      <c r="CQ228" s="357"/>
      <c r="CR228" s="357"/>
      <c r="CS228" s="357"/>
      <c r="CT228" s="357"/>
      <c r="CU228" s="357"/>
      <c r="CV228" s="357"/>
      <c r="CW228" s="357"/>
      <c r="CX228" s="357"/>
      <c r="CY228" s="357"/>
      <c r="CZ228" s="357"/>
      <c r="DA228" s="357"/>
      <c r="DB228" s="357"/>
      <c r="DC228" s="357"/>
      <c r="DD228" s="357"/>
      <c r="DE228" s="357"/>
      <c r="DF228" s="357"/>
      <c r="DG228" s="357"/>
      <c r="DH228" s="357"/>
      <c r="DI228" s="357"/>
      <c r="DJ228" s="357"/>
      <c r="DK228" s="357"/>
      <c r="DL228" s="357"/>
      <c r="DM228" s="357"/>
      <c r="DN228" s="357"/>
      <c r="DO228" s="357"/>
      <c r="DP228" s="357"/>
      <c r="DQ228" s="357"/>
      <c r="DR228" s="357"/>
      <c r="DS228" s="357"/>
      <c r="DT228" s="357"/>
      <c r="DU228" s="357"/>
      <c r="DV228" s="357"/>
      <c r="DW228" s="357"/>
      <c r="DX228" s="357"/>
      <c r="DY228" s="357"/>
      <c r="DZ228" s="357"/>
      <c r="EA228" s="357"/>
      <c r="EB228" s="357"/>
      <c r="EC228" s="357"/>
      <c r="ED228" s="357"/>
      <c r="EE228" s="357"/>
      <c r="EF228" s="357"/>
      <c r="EG228" s="357"/>
      <c r="EH228" s="357"/>
      <c r="EI228" s="357"/>
      <c r="EJ228" s="357"/>
      <c r="EK228" s="357"/>
      <c r="EL228" s="357"/>
      <c r="EM228" s="357"/>
      <c r="EN228" s="357"/>
      <c r="EO228" s="357"/>
      <c r="EP228" s="357"/>
      <c r="EQ228" s="357"/>
      <c r="ER228" s="357"/>
      <c r="ES228" s="357"/>
      <c r="ET228" s="357"/>
      <c r="EU228" s="357"/>
      <c r="EV228" s="357"/>
      <c r="EW228" s="357"/>
      <c r="EX228" s="357"/>
      <c r="EY228" s="357"/>
      <c r="EZ228" s="357"/>
      <c r="FA228" s="357"/>
      <c r="FB228" s="357"/>
      <c r="FC228" s="357"/>
      <c r="FD228" s="357"/>
      <c r="FE228" s="357"/>
      <c r="FF228" s="357"/>
      <c r="FG228" s="357"/>
      <c r="FH228" s="357"/>
      <c r="FI228" s="357"/>
      <c r="FJ228" s="357"/>
      <c r="FK228" s="357"/>
      <c r="FL228" s="357"/>
      <c r="FM228" s="357"/>
      <c r="FN228" s="357"/>
      <c r="FO228" s="357"/>
      <c r="FP228" s="357"/>
      <c r="FQ228" s="357"/>
      <c r="FR228" s="357"/>
      <c r="FS228" s="357"/>
      <c r="FT228" s="357"/>
      <c r="FU228" s="357"/>
      <c r="FV228" s="357"/>
      <c r="FW228" s="357"/>
      <c r="FX228" s="357"/>
      <c r="FY228" s="357"/>
      <c r="FZ228" s="357"/>
      <c r="GA228" s="357"/>
      <c r="GB228" s="357"/>
      <c r="GC228" s="357"/>
      <c r="GD228" s="357"/>
      <c r="GE228" s="357"/>
      <c r="GF228" s="357"/>
      <c r="GG228" s="357"/>
      <c r="GH228" s="357"/>
      <c r="GI228" s="357"/>
      <c r="GJ228" s="357"/>
      <c r="GK228" s="154"/>
      <c r="GL228" s="154"/>
      <c r="GM228" s="154"/>
      <c r="GN228" s="154"/>
      <c r="GO228" s="154"/>
      <c r="GP228" s="154"/>
      <c r="GQ228" s="154"/>
      <c r="GR228" s="154"/>
      <c r="GS228" s="154"/>
      <c r="GT228" s="154"/>
      <c r="GU228" s="154"/>
      <c r="GV228" s="154"/>
      <c r="GW228" s="154"/>
      <c r="GX228" s="154"/>
    </row>
    <row r="229" spans="7:206">
      <c r="G229" s="154"/>
      <c r="H229" s="154"/>
      <c r="I229" s="154"/>
      <c r="J229" s="154"/>
      <c r="K229" s="154"/>
      <c r="L229" s="154"/>
      <c r="M229" s="154"/>
      <c r="N229" s="154"/>
      <c r="O229" s="154"/>
      <c r="P229" s="154"/>
      <c r="Q229" s="154"/>
      <c r="R229" s="154"/>
      <c r="S229" s="154"/>
      <c r="T229" s="154"/>
      <c r="U229" s="154"/>
      <c r="V229" s="154"/>
      <c r="W229" s="154"/>
      <c r="X229" s="154"/>
      <c r="Y229" s="154"/>
      <c r="Z229" s="357"/>
      <c r="AA229" s="357"/>
      <c r="AB229" s="357"/>
      <c r="AC229" s="357"/>
      <c r="AD229" s="357"/>
      <c r="AE229" s="357"/>
      <c r="AF229" s="357"/>
      <c r="AG229" s="357"/>
      <c r="AH229" s="357"/>
      <c r="AI229" s="357"/>
      <c r="AJ229" s="357"/>
      <c r="AK229" s="357"/>
      <c r="AL229" s="357"/>
      <c r="AM229" s="357"/>
      <c r="AN229" s="357"/>
      <c r="AO229" s="357"/>
      <c r="AP229" s="357"/>
      <c r="AQ229" s="357"/>
      <c r="AR229" s="357"/>
      <c r="AS229" s="357"/>
      <c r="AT229" s="357"/>
      <c r="AU229" s="357"/>
      <c r="AV229" s="357"/>
      <c r="AW229" s="357"/>
      <c r="AX229" s="357"/>
      <c r="AY229" s="357"/>
      <c r="AZ229" s="357"/>
      <c r="BA229" s="357"/>
      <c r="BB229" s="357"/>
      <c r="BC229" s="357"/>
      <c r="BD229" s="357"/>
      <c r="BE229" s="357"/>
      <c r="BF229" s="357"/>
      <c r="BG229" s="357"/>
      <c r="BH229" s="357"/>
      <c r="BI229" s="357"/>
      <c r="BJ229" s="357"/>
      <c r="BK229" s="357"/>
      <c r="BL229" s="357"/>
      <c r="BM229" s="357"/>
      <c r="BN229" s="357"/>
      <c r="BO229" s="357"/>
      <c r="BP229" s="357"/>
      <c r="BQ229" s="357"/>
      <c r="BR229" s="357"/>
      <c r="BS229" s="357"/>
      <c r="BT229" s="357"/>
      <c r="BU229" s="357"/>
      <c r="BV229" s="357"/>
      <c r="BW229" s="357"/>
      <c r="BX229" s="357"/>
      <c r="BY229" s="357"/>
      <c r="BZ229" s="357"/>
      <c r="CA229" s="357"/>
      <c r="CB229" s="357"/>
      <c r="CC229" s="357"/>
      <c r="CD229" s="357"/>
      <c r="CE229" s="357"/>
      <c r="CF229" s="357"/>
      <c r="CG229" s="357"/>
      <c r="CH229" s="357"/>
      <c r="CI229" s="357"/>
      <c r="CJ229" s="357"/>
      <c r="CK229" s="357"/>
      <c r="CL229" s="357"/>
      <c r="CM229" s="357"/>
      <c r="CN229" s="357"/>
      <c r="CO229" s="357"/>
      <c r="CP229" s="357"/>
      <c r="CQ229" s="357"/>
      <c r="CR229" s="357"/>
      <c r="CS229" s="357"/>
      <c r="CT229" s="357"/>
      <c r="CU229" s="357"/>
      <c r="CV229" s="357"/>
      <c r="CW229" s="357"/>
      <c r="CX229" s="357"/>
      <c r="CY229" s="357"/>
      <c r="CZ229" s="357"/>
      <c r="DA229" s="357"/>
      <c r="DB229" s="357"/>
      <c r="DC229" s="357"/>
      <c r="DD229" s="357"/>
      <c r="DE229" s="357"/>
      <c r="DF229" s="357"/>
      <c r="DG229" s="357"/>
      <c r="DH229" s="357"/>
      <c r="DI229" s="357"/>
      <c r="DJ229" s="357"/>
      <c r="DK229" s="357"/>
      <c r="DL229" s="357"/>
      <c r="DM229" s="357"/>
      <c r="DN229" s="357"/>
      <c r="DO229" s="357"/>
      <c r="DP229" s="357"/>
      <c r="DQ229" s="357"/>
      <c r="DR229" s="357"/>
      <c r="DS229" s="357"/>
      <c r="DT229" s="357"/>
      <c r="DU229" s="357"/>
      <c r="DV229" s="357"/>
      <c r="DW229" s="357"/>
      <c r="DX229" s="357"/>
      <c r="DY229" s="357"/>
      <c r="DZ229" s="357"/>
      <c r="EA229" s="357"/>
      <c r="EB229" s="357"/>
      <c r="EC229" s="357"/>
      <c r="ED229" s="357"/>
      <c r="EE229" s="357"/>
      <c r="EF229" s="357"/>
      <c r="EG229" s="357"/>
      <c r="EH229" s="357"/>
      <c r="EI229" s="357"/>
      <c r="EJ229" s="357"/>
      <c r="EK229" s="357"/>
      <c r="EL229" s="357"/>
      <c r="EM229" s="357"/>
      <c r="EN229" s="357"/>
      <c r="EO229" s="357"/>
      <c r="EP229" s="357"/>
      <c r="EQ229" s="357"/>
      <c r="ER229" s="357"/>
      <c r="ES229" s="357"/>
      <c r="ET229" s="357"/>
      <c r="EU229" s="357"/>
      <c r="EV229" s="357"/>
      <c r="EW229" s="357"/>
      <c r="EX229" s="357"/>
      <c r="EY229" s="357"/>
      <c r="EZ229" s="357"/>
      <c r="FA229" s="357"/>
      <c r="FB229" s="357"/>
      <c r="FC229" s="357"/>
      <c r="FD229" s="357"/>
      <c r="FE229" s="357"/>
      <c r="FF229" s="357"/>
      <c r="FG229" s="357"/>
      <c r="FH229" s="357"/>
      <c r="FI229" s="357"/>
      <c r="FJ229" s="357"/>
      <c r="FK229" s="357"/>
      <c r="FL229" s="357"/>
      <c r="FM229" s="357"/>
      <c r="FN229" s="357"/>
      <c r="FO229" s="357"/>
      <c r="FP229" s="357"/>
      <c r="FQ229" s="357"/>
      <c r="FR229" s="357"/>
      <c r="FS229" s="357"/>
      <c r="FT229" s="357"/>
      <c r="FU229" s="357"/>
      <c r="FV229" s="357"/>
      <c r="FW229" s="357"/>
      <c r="FX229" s="357"/>
      <c r="FY229" s="357"/>
      <c r="FZ229" s="357"/>
      <c r="GA229" s="357"/>
      <c r="GB229" s="357"/>
      <c r="GC229" s="357"/>
      <c r="GD229" s="357"/>
      <c r="GE229" s="357"/>
      <c r="GF229" s="357"/>
      <c r="GG229" s="357"/>
      <c r="GH229" s="357"/>
      <c r="GI229" s="357"/>
      <c r="GJ229" s="357"/>
      <c r="GK229" s="154"/>
      <c r="GL229" s="154"/>
      <c r="GM229" s="154"/>
      <c r="GN229" s="154"/>
      <c r="GO229" s="154"/>
      <c r="GP229" s="154"/>
      <c r="GQ229" s="154"/>
      <c r="GR229" s="154"/>
      <c r="GS229" s="154"/>
      <c r="GT229" s="154"/>
      <c r="GU229" s="154"/>
      <c r="GV229" s="154"/>
      <c r="GW229" s="154"/>
      <c r="GX229" s="154"/>
    </row>
    <row r="230" spans="7:206">
      <c r="G230" s="154"/>
      <c r="H230" s="154"/>
      <c r="I230" s="154"/>
      <c r="J230" s="154"/>
      <c r="K230" s="154"/>
      <c r="L230" s="154"/>
      <c r="M230" s="154"/>
      <c r="N230" s="154"/>
      <c r="O230" s="154"/>
      <c r="P230" s="154"/>
      <c r="Q230" s="154"/>
      <c r="R230" s="154"/>
      <c r="S230" s="154"/>
      <c r="T230" s="154"/>
      <c r="U230" s="154"/>
      <c r="V230" s="154"/>
      <c r="W230" s="154"/>
      <c r="X230" s="154"/>
      <c r="Y230" s="154"/>
      <c r="Z230" s="357"/>
      <c r="AA230" s="357"/>
      <c r="AB230" s="357"/>
      <c r="AC230" s="357"/>
      <c r="AD230" s="357"/>
      <c r="AE230" s="357"/>
      <c r="AF230" s="357"/>
      <c r="AG230" s="357"/>
      <c r="AH230" s="357"/>
      <c r="AI230" s="357"/>
      <c r="AJ230" s="357"/>
      <c r="AK230" s="357"/>
      <c r="AL230" s="357"/>
      <c r="AM230" s="357"/>
      <c r="AN230" s="357"/>
      <c r="AO230" s="357"/>
      <c r="AP230" s="357"/>
      <c r="AQ230" s="357"/>
      <c r="AR230" s="357"/>
      <c r="AS230" s="357"/>
      <c r="AT230" s="357"/>
      <c r="AU230" s="357"/>
      <c r="AV230" s="357"/>
      <c r="AW230" s="357"/>
      <c r="AX230" s="357"/>
      <c r="AY230" s="357"/>
      <c r="AZ230" s="357"/>
      <c r="BA230" s="357"/>
      <c r="BB230" s="357"/>
      <c r="BC230" s="357"/>
      <c r="BD230" s="357"/>
      <c r="BE230" s="357"/>
      <c r="BF230" s="357"/>
      <c r="BG230" s="357"/>
      <c r="BH230" s="357"/>
      <c r="BI230" s="357"/>
      <c r="BJ230" s="357"/>
      <c r="BK230" s="357"/>
      <c r="BL230" s="357"/>
      <c r="BM230" s="357"/>
      <c r="BN230" s="357"/>
      <c r="BO230" s="357"/>
      <c r="BP230" s="357"/>
      <c r="BQ230" s="357"/>
      <c r="BR230" s="357"/>
      <c r="BS230" s="357"/>
      <c r="BT230" s="357"/>
      <c r="BU230" s="357"/>
      <c r="BV230" s="357"/>
      <c r="BW230" s="357"/>
      <c r="BX230" s="357"/>
      <c r="BY230" s="357"/>
      <c r="BZ230" s="357"/>
      <c r="CA230" s="357"/>
      <c r="CB230" s="357"/>
      <c r="CC230" s="357"/>
      <c r="CD230" s="357"/>
      <c r="CE230" s="357"/>
      <c r="CF230" s="357"/>
      <c r="CG230" s="357"/>
      <c r="CH230" s="357"/>
      <c r="CI230" s="357"/>
      <c r="CJ230" s="357"/>
      <c r="CK230" s="357"/>
      <c r="CL230" s="357"/>
      <c r="CM230" s="357"/>
      <c r="CN230" s="357"/>
      <c r="CO230" s="357"/>
      <c r="CP230" s="357"/>
      <c r="CQ230" s="357"/>
      <c r="CR230" s="357"/>
      <c r="CS230" s="357"/>
      <c r="CT230" s="357"/>
      <c r="CU230" s="357"/>
      <c r="CV230" s="357"/>
      <c r="CW230" s="357"/>
      <c r="CX230" s="357"/>
      <c r="CY230" s="357"/>
      <c r="CZ230" s="357"/>
      <c r="DA230" s="357"/>
      <c r="DB230" s="357"/>
      <c r="DC230" s="357"/>
      <c r="DD230" s="357"/>
      <c r="DE230" s="357"/>
      <c r="DF230" s="357"/>
      <c r="DG230" s="357"/>
      <c r="DH230" s="357"/>
      <c r="DI230" s="357"/>
      <c r="DJ230" s="357"/>
      <c r="DK230" s="357"/>
      <c r="DL230" s="357"/>
      <c r="DM230" s="357"/>
      <c r="DN230" s="357"/>
      <c r="DO230" s="357"/>
      <c r="DP230" s="357"/>
      <c r="DQ230" s="357"/>
      <c r="DR230" s="357"/>
      <c r="DS230" s="357"/>
      <c r="DT230" s="357"/>
      <c r="DU230" s="357"/>
      <c r="DV230" s="357"/>
      <c r="DW230" s="357"/>
      <c r="DX230" s="357"/>
      <c r="DY230" s="357"/>
      <c r="DZ230" s="357"/>
      <c r="EA230" s="357"/>
      <c r="EB230" s="357"/>
      <c r="EC230" s="357"/>
      <c r="ED230" s="357"/>
      <c r="EE230" s="357"/>
      <c r="EF230" s="357"/>
      <c r="EG230" s="357"/>
      <c r="EH230" s="357"/>
      <c r="EI230" s="357"/>
      <c r="EJ230" s="357"/>
      <c r="EK230" s="357"/>
      <c r="EL230" s="357"/>
      <c r="EM230" s="357"/>
      <c r="EN230" s="357"/>
      <c r="EO230" s="357"/>
      <c r="EP230" s="357"/>
      <c r="EQ230" s="357"/>
      <c r="ER230" s="357"/>
      <c r="ES230" s="357"/>
      <c r="ET230" s="357"/>
      <c r="EU230" s="357"/>
      <c r="EV230" s="357"/>
      <c r="EW230" s="357"/>
      <c r="EX230" s="357"/>
      <c r="EY230" s="357"/>
      <c r="EZ230" s="357"/>
      <c r="FA230" s="357"/>
      <c r="FB230" s="357"/>
      <c r="FC230" s="357"/>
      <c r="FD230" s="357"/>
      <c r="FE230" s="357"/>
      <c r="FF230" s="357"/>
      <c r="FG230" s="357"/>
      <c r="FH230" s="357"/>
      <c r="FI230" s="357"/>
      <c r="FJ230" s="357"/>
      <c r="FK230" s="357"/>
      <c r="FL230" s="357"/>
      <c r="FM230" s="357"/>
      <c r="FN230" s="357"/>
      <c r="FO230" s="357"/>
      <c r="FP230" s="357"/>
      <c r="FQ230" s="357"/>
      <c r="FR230" s="357"/>
      <c r="FS230" s="357"/>
      <c r="FT230" s="357"/>
      <c r="FU230" s="357"/>
      <c r="FV230" s="357"/>
      <c r="FW230" s="357"/>
      <c r="FX230" s="357"/>
      <c r="FY230" s="357"/>
      <c r="FZ230" s="357"/>
      <c r="GA230" s="357"/>
      <c r="GB230" s="357"/>
      <c r="GC230" s="357"/>
      <c r="GD230" s="357"/>
      <c r="GE230" s="357"/>
      <c r="GF230" s="357"/>
      <c r="GG230" s="357"/>
      <c r="GH230" s="357"/>
      <c r="GI230" s="357"/>
      <c r="GJ230" s="357"/>
      <c r="GK230" s="154"/>
      <c r="GL230" s="154"/>
      <c r="GM230" s="154"/>
      <c r="GN230" s="154"/>
      <c r="GO230" s="154"/>
      <c r="GP230" s="154"/>
      <c r="GQ230" s="154"/>
      <c r="GR230" s="154"/>
      <c r="GS230" s="154"/>
      <c r="GT230" s="154"/>
      <c r="GU230" s="154"/>
      <c r="GV230" s="154"/>
      <c r="GW230" s="154"/>
      <c r="GX230" s="154"/>
    </row>
    <row r="231" spans="7:206">
      <c r="G231" s="154"/>
      <c r="H231" s="154"/>
      <c r="I231" s="154"/>
      <c r="J231" s="154"/>
      <c r="K231" s="154"/>
      <c r="L231" s="154"/>
      <c r="M231" s="154"/>
      <c r="N231" s="154"/>
      <c r="O231" s="154"/>
      <c r="P231" s="154"/>
      <c r="Q231" s="154"/>
      <c r="R231" s="154"/>
      <c r="S231" s="154"/>
      <c r="T231" s="154"/>
      <c r="U231" s="154"/>
      <c r="V231" s="154"/>
      <c r="W231" s="154"/>
      <c r="X231" s="154"/>
      <c r="Y231" s="154"/>
      <c r="Z231" s="357"/>
      <c r="AA231" s="357"/>
      <c r="AB231" s="357"/>
      <c r="AC231" s="357"/>
      <c r="AD231" s="357"/>
      <c r="AE231" s="357"/>
      <c r="AF231" s="357"/>
      <c r="AG231" s="357"/>
      <c r="AH231" s="357"/>
      <c r="AI231" s="357"/>
      <c r="AJ231" s="357"/>
      <c r="AK231" s="357"/>
      <c r="AL231" s="357"/>
      <c r="AM231" s="357"/>
      <c r="AN231" s="357"/>
      <c r="AO231" s="357"/>
      <c r="AP231" s="357"/>
      <c r="AQ231" s="357"/>
      <c r="AR231" s="357"/>
      <c r="AS231" s="357"/>
      <c r="AT231" s="357"/>
      <c r="AU231" s="357"/>
      <c r="AV231" s="357"/>
      <c r="AW231" s="357"/>
      <c r="AX231" s="357"/>
      <c r="AY231" s="357"/>
      <c r="AZ231" s="357"/>
      <c r="BA231" s="357"/>
      <c r="BB231" s="357"/>
      <c r="BC231" s="357"/>
      <c r="BD231" s="357"/>
      <c r="BE231" s="357"/>
      <c r="BF231" s="357"/>
      <c r="BG231" s="357"/>
      <c r="BH231" s="357"/>
      <c r="BI231" s="357"/>
      <c r="BJ231" s="357"/>
      <c r="BK231" s="357"/>
      <c r="BL231" s="357"/>
      <c r="BM231" s="357"/>
      <c r="BN231" s="357"/>
      <c r="BO231" s="357"/>
      <c r="BP231" s="357"/>
      <c r="BQ231" s="357"/>
      <c r="BR231" s="357"/>
      <c r="BS231" s="357"/>
      <c r="BT231" s="357"/>
      <c r="BU231" s="357"/>
      <c r="BV231" s="357"/>
      <c r="BW231" s="357"/>
      <c r="BX231" s="357"/>
      <c r="BY231" s="357"/>
      <c r="BZ231" s="357"/>
      <c r="CA231" s="357"/>
      <c r="CB231" s="357"/>
      <c r="CC231" s="357"/>
      <c r="CD231" s="357"/>
      <c r="CE231" s="357"/>
      <c r="CF231" s="357"/>
      <c r="CG231" s="357"/>
      <c r="CH231" s="357"/>
      <c r="CI231" s="357"/>
      <c r="CJ231" s="357"/>
      <c r="CK231" s="357"/>
      <c r="CL231" s="357"/>
      <c r="CM231" s="357"/>
      <c r="CN231" s="357"/>
      <c r="CO231" s="357"/>
      <c r="CP231" s="357"/>
      <c r="CQ231" s="357"/>
      <c r="CR231" s="357"/>
      <c r="CS231" s="357"/>
      <c r="CT231" s="357"/>
      <c r="CU231" s="357"/>
      <c r="CV231" s="357"/>
      <c r="CW231" s="357"/>
      <c r="CX231" s="357"/>
      <c r="CY231" s="357"/>
      <c r="CZ231" s="357"/>
      <c r="DA231" s="357"/>
      <c r="DB231" s="357"/>
      <c r="DC231" s="357"/>
      <c r="DD231" s="357"/>
      <c r="DE231" s="357"/>
      <c r="DF231" s="357"/>
      <c r="DG231" s="357"/>
      <c r="DH231" s="357"/>
      <c r="DI231" s="357"/>
      <c r="DJ231" s="357"/>
      <c r="DK231" s="357"/>
      <c r="DL231" s="357"/>
      <c r="DM231" s="357"/>
      <c r="DN231" s="357"/>
      <c r="DO231" s="357"/>
      <c r="DP231" s="357"/>
      <c r="DQ231" s="357"/>
      <c r="DR231" s="357"/>
      <c r="DS231" s="357"/>
      <c r="DT231" s="357"/>
      <c r="DU231" s="357"/>
      <c r="DV231" s="357"/>
      <c r="DW231" s="357"/>
      <c r="DX231" s="357"/>
      <c r="DY231" s="357"/>
      <c r="DZ231" s="357"/>
      <c r="EA231" s="357"/>
      <c r="EB231" s="357"/>
      <c r="EC231" s="357"/>
      <c r="ED231" s="357"/>
      <c r="EE231" s="357"/>
      <c r="EF231" s="357"/>
      <c r="EG231" s="357"/>
      <c r="EH231" s="357"/>
      <c r="EI231" s="357"/>
      <c r="EJ231" s="357"/>
      <c r="EK231" s="357"/>
      <c r="EL231" s="357"/>
      <c r="EM231" s="357"/>
      <c r="EN231" s="357"/>
      <c r="EO231" s="357"/>
      <c r="EP231" s="357"/>
      <c r="EQ231" s="357"/>
      <c r="ER231" s="357"/>
      <c r="ES231" s="357"/>
      <c r="ET231" s="357"/>
      <c r="EU231" s="357"/>
      <c r="EV231" s="357"/>
      <c r="EW231" s="357"/>
      <c r="EX231" s="357"/>
      <c r="EY231" s="357"/>
      <c r="EZ231" s="357"/>
      <c r="FA231" s="357"/>
      <c r="FB231" s="357"/>
      <c r="FC231" s="357"/>
      <c r="FD231" s="357"/>
      <c r="FE231" s="357"/>
      <c r="FF231" s="357"/>
      <c r="FG231" s="357"/>
      <c r="FH231" s="357"/>
      <c r="FI231" s="357"/>
      <c r="FJ231" s="357"/>
      <c r="FK231" s="357"/>
      <c r="FL231" s="357"/>
      <c r="FM231" s="357"/>
      <c r="FN231" s="357"/>
      <c r="FO231" s="357"/>
      <c r="FP231" s="357"/>
      <c r="FQ231" s="357"/>
      <c r="FR231" s="357"/>
      <c r="FS231" s="357"/>
      <c r="FT231" s="357"/>
      <c r="FU231" s="357"/>
      <c r="FV231" s="357"/>
      <c r="FW231" s="357"/>
      <c r="FX231" s="357"/>
      <c r="FY231" s="357"/>
      <c r="FZ231" s="357"/>
      <c r="GA231" s="357"/>
      <c r="GB231" s="357"/>
      <c r="GC231" s="357"/>
      <c r="GD231" s="357"/>
      <c r="GE231" s="357"/>
      <c r="GF231" s="357"/>
      <c r="GG231" s="357"/>
      <c r="GH231" s="357"/>
      <c r="GI231" s="357"/>
      <c r="GJ231" s="357"/>
      <c r="GK231" s="154"/>
      <c r="GL231" s="154"/>
      <c r="GM231" s="154"/>
      <c r="GN231" s="154"/>
      <c r="GO231" s="154"/>
      <c r="GP231" s="154"/>
      <c r="GQ231" s="154"/>
      <c r="GR231" s="154"/>
      <c r="GS231" s="154"/>
      <c r="GT231" s="154"/>
      <c r="GU231" s="154"/>
      <c r="GV231" s="154"/>
      <c r="GW231" s="154"/>
      <c r="GX231" s="154"/>
    </row>
    <row r="232" spans="7:206">
      <c r="G232" s="154"/>
      <c r="H232" s="154"/>
      <c r="I232" s="154"/>
      <c r="J232" s="154"/>
      <c r="K232" s="154"/>
      <c r="L232" s="154"/>
      <c r="M232" s="154"/>
      <c r="N232" s="154"/>
      <c r="O232" s="154"/>
      <c r="P232" s="154"/>
      <c r="Q232" s="154"/>
      <c r="R232" s="154"/>
      <c r="S232" s="154"/>
      <c r="T232" s="154"/>
      <c r="U232" s="154"/>
      <c r="V232" s="154"/>
      <c r="W232" s="154"/>
      <c r="X232" s="154"/>
      <c r="Y232" s="154"/>
      <c r="Z232" s="357"/>
      <c r="AA232" s="357"/>
      <c r="AB232" s="357"/>
      <c r="AC232" s="357"/>
      <c r="AD232" s="357"/>
      <c r="AE232" s="357"/>
      <c r="AF232" s="357"/>
      <c r="AG232" s="357"/>
      <c r="AH232" s="357"/>
      <c r="AI232" s="357"/>
      <c r="AJ232" s="357"/>
      <c r="AK232" s="357"/>
      <c r="AL232" s="357"/>
      <c r="AM232" s="357"/>
      <c r="AN232" s="357"/>
      <c r="AO232" s="357"/>
      <c r="AP232" s="357"/>
      <c r="AQ232" s="357"/>
      <c r="AR232" s="357"/>
      <c r="AS232" s="357"/>
      <c r="AT232" s="357"/>
      <c r="AU232" s="357"/>
      <c r="AV232" s="357"/>
      <c r="AW232" s="357"/>
      <c r="AX232" s="357"/>
      <c r="AY232" s="357"/>
      <c r="AZ232" s="357"/>
      <c r="BA232" s="357"/>
      <c r="BB232" s="357"/>
      <c r="BC232" s="357"/>
      <c r="BD232" s="357"/>
      <c r="BE232" s="357"/>
      <c r="BF232" s="357"/>
      <c r="BG232" s="357"/>
      <c r="BH232" s="357"/>
      <c r="BI232" s="357"/>
      <c r="BJ232" s="357"/>
      <c r="BK232" s="357"/>
      <c r="BL232" s="357"/>
      <c r="BM232" s="357"/>
      <c r="BN232" s="357"/>
      <c r="BO232" s="357"/>
      <c r="BP232" s="357"/>
      <c r="BQ232" s="357"/>
      <c r="BR232" s="357"/>
      <c r="BS232" s="357"/>
      <c r="BT232" s="357"/>
      <c r="BU232" s="357"/>
      <c r="BV232" s="357"/>
      <c r="BW232" s="357"/>
      <c r="BX232" s="357"/>
      <c r="BY232" s="357"/>
      <c r="BZ232" s="357"/>
      <c r="CA232" s="357"/>
      <c r="CB232" s="357"/>
      <c r="CC232" s="357"/>
      <c r="CD232" s="357"/>
      <c r="CE232" s="357"/>
      <c r="CF232" s="357"/>
      <c r="CG232" s="357"/>
      <c r="CH232" s="357"/>
      <c r="CI232" s="357"/>
      <c r="CJ232" s="357"/>
      <c r="CK232" s="357"/>
      <c r="CL232" s="357"/>
      <c r="CM232" s="357"/>
      <c r="CN232" s="357"/>
      <c r="CO232" s="357"/>
      <c r="CP232" s="357"/>
      <c r="CQ232" s="357"/>
      <c r="CR232" s="357"/>
      <c r="CS232" s="357"/>
      <c r="CT232" s="357"/>
      <c r="CU232" s="357"/>
      <c r="CV232" s="357"/>
      <c r="CW232" s="357"/>
      <c r="CX232" s="357"/>
      <c r="CY232" s="357"/>
      <c r="CZ232" s="357"/>
      <c r="DA232" s="357"/>
      <c r="DB232" s="357"/>
      <c r="DC232" s="357"/>
      <c r="DD232" s="357"/>
      <c r="DE232" s="357"/>
      <c r="DF232" s="357"/>
      <c r="DG232" s="357"/>
      <c r="DH232" s="357"/>
      <c r="DI232" s="357"/>
      <c r="DJ232" s="357"/>
      <c r="DK232" s="357"/>
      <c r="DL232" s="357"/>
      <c r="DM232" s="357"/>
      <c r="DN232" s="357"/>
      <c r="DO232" s="357"/>
      <c r="DP232" s="357"/>
      <c r="DQ232" s="357"/>
      <c r="DR232" s="357"/>
      <c r="DS232" s="357"/>
      <c r="DT232" s="357"/>
      <c r="DU232" s="357"/>
      <c r="DV232" s="357"/>
      <c r="DW232" s="357"/>
      <c r="DX232" s="357"/>
      <c r="DY232" s="357"/>
      <c r="DZ232" s="357"/>
      <c r="EA232" s="357"/>
      <c r="EB232" s="357"/>
      <c r="EC232" s="357"/>
      <c r="ED232" s="357"/>
      <c r="EE232" s="357"/>
      <c r="EF232" s="357"/>
      <c r="EG232" s="357"/>
      <c r="EH232" s="357"/>
      <c r="EI232" s="357"/>
      <c r="EJ232" s="357"/>
      <c r="EK232" s="357"/>
      <c r="EL232" s="357"/>
      <c r="EM232" s="357"/>
      <c r="EN232" s="357"/>
      <c r="EO232" s="357"/>
      <c r="EP232" s="357"/>
      <c r="EQ232" s="357"/>
      <c r="ER232" s="357"/>
      <c r="ES232" s="357"/>
      <c r="ET232" s="357"/>
      <c r="EU232" s="357"/>
      <c r="EV232" s="357"/>
      <c r="EW232" s="357"/>
      <c r="EX232" s="357"/>
      <c r="EY232" s="357"/>
      <c r="EZ232" s="357"/>
      <c r="FA232" s="357"/>
      <c r="FB232" s="357"/>
      <c r="FC232" s="357"/>
      <c r="FD232" s="357"/>
      <c r="FE232" s="357"/>
      <c r="FF232" s="357"/>
      <c r="FG232" s="357"/>
      <c r="FH232" s="357"/>
      <c r="FI232" s="357"/>
      <c r="FJ232" s="357"/>
      <c r="FK232" s="357"/>
      <c r="FL232" s="357"/>
      <c r="FM232" s="357"/>
      <c r="FN232" s="357"/>
      <c r="FO232" s="357"/>
      <c r="FP232" s="357"/>
      <c r="FQ232" s="357"/>
      <c r="FR232" s="357"/>
      <c r="FS232" s="357"/>
      <c r="FT232" s="357"/>
      <c r="FU232" s="357"/>
      <c r="FV232" s="357"/>
      <c r="FW232" s="357"/>
      <c r="FX232" s="357"/>
      <c r="FY232" s="357"/>
      <c r="FZ232" s="357"/>
      <c r="GA232" s="357"/>
      <c r="GB232" s="357"/>
      <c r="GC232" s="357"/>
      <c r="GD232" s="357"/>
      <c r="GE232" s="357"/>
      <c r="GF232" s="357"/>
      <c r="GG232" s="357"/>
      <c r="GH232" s="357"/>
      <c r="GI232" s="357"/>
      <c r="GJ232" s="357"/>
      <c r="GK232" s="154"/>
      <c r="GL232" s="154"/>
      <c r="GM232" s="154"/>
      <c r="GN232" s="154"/>
      <c r="GO232" s="154"/>
      <c r="GP232" s="154"/>
      <c r="GQ232" s="154"/>
      <c r="GR232" s="154"/>
      <c r="GS232" s="154"/>
      <c r="GT232" s="154"/>
      <c r="GU232" s="154"/>
      <c r="GV232" s="154"/>
      <c r="GW232" s="154"/>
      <c r="GX232" s="154"/>
    </row>
    <row r="233" spans="7:206">
      <c r="G233" s="154"/>
      <c r="H233" s="154"/>
      <c r="I233" s="154"/>
      <c r="J233" s="154"/>
      <c r="K233" s="154"/>
      <c r="L233" s="154"/>
      <c r="M233" s="154"/>
      <c r="N233" s="154"/>
      <c r="O233" s="154"/>
      <c r="P233" s="154"/>
      <c r="Q233" s="154"/>
      <c r="R233" s="154"/>
      <c r="S233" s="154"/>
      <c r="T233" s="154"/>
      <c r="U233" s="154"/>
      <c r="V233" s="154"/>
      <c r="W233" s="154"/>
      <c r="X233" s="154"/>
      <c r="Y233" s="154"/>
      <c r="Z233" s="357"/>
      <c r="AA233" s="357"/>
      <c r="AB233" s="357"/>
      <c r="AC233" s="357"/>
      <c r="AD233" s="357"/>
      <c r="AE233" s="357"/>
      <c r="AF233" s="357"/>
      <c r="AG233" s="357"/>
      <c r="AH233" s="357"/>
      <c r="AI233" s="357"/>
      <c r="AJ233" s="357"/>
      <c r="AK233" s="357"/>
      <c r="AL233" s="357"/>
      <c r="AM233" s="357"/>
      <c r="AN233" s="357"/>
      <c r="AO233" s="357"/>
      <c r="AP233" s="357"/>
      <c r="AQ233" s="357"/>
      <c r="AR233" s="357"/>
      <c r="AS233" s="357"/>
      <c r="AT233" s="357"/>
      <c r="AU233" s="357"/>
      <c r="AV233" s="357"/>
      <c r="AW233" s="357"/>
      <c r="AX233" s="357"/>
      <c r="AY233" s="357"/>
      <c r="AZ233" s="357"/>
      <c r="BA233" s="357"/>
      <c r="BB233" s="357"/>
      <c r="BC233" s="357"/>
      <c r="BD233" s="357"/>
      <c r="BE233" s="357"/>
      <c r="BF233" s="357"/>
      <c r="BG233" s="357"/>
      <c r="BH233" s="357"/>
      <c r="BI233" s="357"/>
      <c r="BJ233" s="357"/>
      <c r="BK233" s="357"/>
      <c r="BL233" s="357"/>
      <c r="BM233" s="357"/>
      <c r="BN233" s="357"/>
      <c r="BO233" s="357"/>
      <c r="BP233" s="357"/>
      <c r="BQ233" s="357"/>
      <c r="BR233" s="357"/>
      <c r="BS233" s="357"/>
      <c r="BT233" s="357"/>
      <c r="BU233" s="357"/>
      <c r="BV233" s="357"/>
      <c r="BW233" s="357"/>
      <c r="BX233" s="357"/>
      <c r="BY233" s="357"/>
      <c r="BZ233" s="357"/>
      <c r="CA233" s="357"/>
      <c r="CB233" s="357"/>
      <c r="CC233" s="357"/>
      <c r="CD233" s="357"/>
      <c r="CE233" s="357"/>
      <c r="CF233" s="357"/>
      <c r="CG233" s="357"/>
      <c r="CH233" s="357"/>
      <c r="CI233" s="357"/>
      <c r="CJ233" s="357"/>
      <c r="CK233" s="357"/>
      <c r="CL233" s="357"/>
      <c r="CM233" s="357"/>
      <c r="CN233" s="357"/>
      <c r="CO233" s="357"/>
      <c r="CP233" s="357"/>
      <c r="CQ233" s="357"/>
      <c r="CR233" s="357"/>
      <c r="CS233" s="357"/>
      <c r="CT233" s="357"/>
      <c r="CU233" s="357"/>
      <c r="CV233" s="357"/>
      <c r="CW233" s="357"/>
      <c r="CX233" s="357"/>
      <c r="CY233" s="357"/>
      <c r="CZ233" s="357"/>
      <c r="DA233" s="357"/>
      <c r="DB233" s="357"/>
      <c r="DC233" s="357"/>
      <c r="DD233" s="357"/>
      <c r="DE233" s="357"/>
      <c r="DF233" s="357"/>
      <c r="DG233" s="357"/>
      <c r="DH233" s="357"/>
      <c r="DI233" s="357"/>
      <c r="DJ233" s="357"/>
      <c r="DK233" s="357"/>
      <c r="DL233" s="357"/>
      <c r="DM233" s="357"/>
      <c r="DN233" s="357"/>
      <c r="DO233" s="357"/>
      <c r="DP233" s="357"/>
      <c r="DQ233" s="357"/>
      <c r="DR233" s="357"/>
      <c r="DS233" s="357"/>
      <c r="DT233" s="357"/>
      <c r="DU233" s="357"/>
      <c r="DV233" s="357"/>
      <c r="DW233" s="357"/>
      <c r="DX233" s="357"/>
      <c r="DY233" s="357"/>
      <c r="DZ233" s="357"/>
      <c r="EA233" s="357"/>
      <c r="EB233" s="357"/>
      <c r="EC233" s="357"/>
      <c r="ED233" s="357"/>
      <c r="EE233" s="357"/>
      <c r="EF233" s="357"/>
      <c r="EG233" s="357"/>
      <c r="EH233" s="357"/>
      <c r="EI233" s="357"/>
      <c r="EJ233" s="357"/>
      <c r="EK233" s="357"/>
      <c r="EL233" s="357"/>
      <c r="EM233" s="357"/>
      <c r="EN233" s="357"/>
      <c r="EO233" s="357"/>
      <c r="EP233" s="357"/>
      <c r="EQ233" s="357"/>
      <c r="ER233" s="357"/>
      <c r="ES233" s="357"/>
      <c r="ET233" s="357"/>
      <c r="EU233" s="357"/>
      <c r="EV233" s="357"/>
      <c r="EW233" s="357"/>
      <c r="EX233" s="357"/>
      <c r="EY233" s="357"/>
      <c r="EZ233" s="357"/>
      <c r="FA233" s="357"/>
      <c r="FB233" s="357"/>
      <c r="FC233" s="357"/>
      <c r="FD233" s="357"/>
      <c r="FE233" s="357"/>
      <c r="FF233" s="357"/>
      <c r="FG233" s="357"/>
      <c r="FH233" s="357"/>
      <c r="FI233" s="357"/>
      <c r="FJ233" s="357"/>
      <c r="FK233" s="357"/>
      <c r="FL233" s="357"/>
      <c r="FM233" s="357"/>
      <c r="FN233" s="357"/>
      <c r="FO233" s="357"/>
      <c r="FP233" s="357"/>
      <c r="FQ233" s="357"/>
      <c r="FR233" s="357"/>
      <c r="FS233" s="357"/>
      <c r="FT233" s="357"/>
      <c r="FU233" s="357"/>
      <c r="FV233" s="357"/>
      <c r="FW233" s="357"/>
      <c r="FX233" s="357"/>
      <c r="FY233" s="357"/>
      <c r="FZ233" s="357"/>
      <c r="GA233" s="357"/>
      <c r="GB233" s="357"/>
      <c r="GC233" s="357"/>
      <c r="GD233" s="357"/>
      <c r="GE233" s="357"/>
      <c r="GF233" s="357"/>
      <c r="GG233" s="357"/>
      <c r="GH233" s="357"/>
      <c r="GI233" s="357"/>
      <c r="GJ233" s="357"/>
      <c r="GK233" s="154"/>
      <c r="GL233" s="154"/>
      <c r="GM233" s="154"/>
      <c r="GN233" s="154"/>
      <c r="GO233" s="154"/>
      <c r="GP233" s="154"/>
      <c r="GQ233" s="154"/>
      <c r="GR233" s="154"/>
      <c r="GS233" s="154"/>
      <c r="GT233" s="154"/>
      <c r="GU233" s="154"/>
      <c r="GV233" s="154"/>
      <c r="GW233" s="154"/>
      <c r="GX233" s="154"/>
    </row>
    <row r="234" spans="7:206">
      <c r="G234" s="154"/>
      <c r="H234" s="154"/>
      <c r="I234" s="154"/>
      <c r="J234" s="154"/>
      <c r="K234" s="154"/>
      <c r="L234" s="154"/>
      <c r="M234" s="154"/>
      <c r="N234" s="154"/>
      <c r="O234" s="154"/>
      <c r="P234" s="154"/>
      <c r="Q234" s="154"/>
      <c r="R234" s="154"/>
      <c r="S234" s="154"/>
      <c r="T234" s="154"/>
      <c r="U234" s="154"/>
      <c r="V234" s="154"/>
      <c r="W234" s="154"/>
      <c r="X234" s="154"/>
      <c r="Y234" s="154"/>
      <c r="Z234" s="357"/>
      <c r="AA234" s="357"/>
      <c r="AB234" s="357"/>
      <c r="AC234" s="357"/>
      <c r="AD234" s="357"/>
      <c r="AE234" s="357"/>
      <c r="AF234" s="357"/>
      <c r="AG234" s="357"/>
      <c r="AH234" s="357"/>
      <c r="AI234" s="357"/>
      <c r="AJ234" s="357"/>
      <c r="AK234" s="357"/>
      <c r="AL234" s="357"/>
      <c r="AM234" s="357"/>
      <c r="AN234" s="357"/>
      <c r="AO234" s="357"/>
      <c r="AP234" s="357"/>
      <c r="AQ234" s="357"/>
      <c r="AR234" s="357"/>
      <c r="AS234" s="357"/>
      <c r="AT234" s="357"/>
      <c r="AU234" s="357"/>
      <c r="AV234" s="357"/>
      <c r="AW234" s="357"/>
      <c r="AX234" s="357"/>
      <c r="AY234" s="357"/>
      <c r="AZ234" s="357"/>
      <c r="BA234" s="357"/>
      <c r="BB234" s="357"/>
      <c r="BC234" s="357"/>
      <c r="BD234" s="357"/>
      <c r="BE234" s="357"/>
      <c r="BF234" s="357"/>
      <c r="BG234" s="357"/>
      <c r="BH234" s="357"/>
      <c r="BI234" s="357"/>
      <c r="BJ234" s="357"/>
      <c r="BK234" s="357"/>
      <c r="BL234" s="357"/>
      <c r="BM234" s="357"/>
      <c r="BN234" s="357"/>
      <c r="BO234" s="357"/>
      <c r="BP234" s="357"/>
      <c r="BQ234" s="357"/>
      <c r="BR234" s="357"/>
      <c r="BS234" s="357"/>
      <c r="BT234" s="357"/>
      <c r="BU234" s="357"/>
      <c r="BV234" s="357"/>
      <c r="BW234" s="357"/>
      <c r="BX234" s="357"/>
      <c r="BY234" s="357"/>
      <c r="BZ234" s="357"/>
      <c r="CA234" s="357"/>
      <c r="CB234" s="357"/>
      <c r="CC234" s="357"/>
      <c r="CD234" s="357"/>
      <c r="CE234" s="357"/>
      <c r="CF234" s="357"/>
      <c r="CG234" s="357"/>
      <c r="CH234" s="357"/>
      <c r="CI234" s="357"/>
      <c r="CJ234" s="357"/>
      <c r="CK234" s="357"/>
      <c r="CL234" s="357"/>
      <c r="CM234" s="357"/>
      <c r="CN234" s="357"/>
      <c r="CO234" s="357"/>
      <c r="CP234" s="357"/>
      <c r="CQ234" s="357"/>
      <c r="CR234" s="357"/>
      <c r="CS234" s="357"/>
      <c r="CT234" s="357"/>
      <c r="CU234" s="357"/>
      <c r="CV234" s="357"/>
      <c r="CW234" s="357"/>
      <c r="CX234" s="357"/>
      <c r="CY234" s="357"/>
      <c r="CZ234" s="357"/>
      <c r="DA234" s="357"/>
      <c r="DB234" s="357"/>
      <c r="DC234" s="357"/>
      <c r="DD234" s="357"/>
      <c r="DE234" s="357"/>
      <c r="DF234" s="357"/>
      <c r="DG234" s="357"/>
      <c r="DH234" s="357"/>
      <c r="DI234" s="357"/>
      <c r="DJ234" s="357"/>
      <c r="DK234" s="357"/>
      <c r="DL234" s="357"/>
      <c r="DM234" s="357"/>
      <c r="DN234" s="357"/>
      <c r="DO234" s="357"/>
      <c r="DP234" s="357"/>
      <c r="DQ234" s="357"/>
      <c r="DR234" s="357"/>
      <c r="DS234" s="357"/>
      <c r="DT234" s="357"/>
      <c r="DU234" s="357"/>
      <c r="DV234" s="357"/>
      <c r="DW234" s="357"/>
      <c r="DX234" s="357"/>
      <c r="DY234" s="357"/>
      <c r="DZ234" s="357"/>
      <c r="EA234" s="357"/>
      <c r="EB234" s="357"/>
      <c r="EC234" s="357"/>
      <c r="ED234" s="357"/>
      <c r="EE234" s="357"/>
      <c r="EF234" s="357"/>
      <c r="EG234" s="357"/>
      <c r="EH234" s="357"/>
      <c r="EI234" s="357"/>
      <c r="EJ234" s="357"/>
      <c r="EK234" s="357"/>
      <c r="EL234" s="357"/>
      <c r="EM234" s="357"/>
      <c r="EN234" s="357"/>
      <c r="EO234" s="357"/>
      <c r="EP234" s="357"/>
      <c r="EQ234" s="357"/>
      <c r="ER234" s="357"/>
      <c r="ES234" s="357"/>
      <c r="ET234" s="357"/>
      <c r="EU234" s="357"/>
      <c r="EV234" s="357"/>
      <c r="EW234" s="357"/>
      <c r="EX234" s="357"/>
      <c r="EY234" s="357"/>
      <c r="EZ234" s="357"/>
      <c r="FA234" s="357"/>
      <c r="FB234" s="357"/>
      <c r="FC234" s="357"/>
      <c r="FD234" s="357"/>
      <c r="FE234" s="357"/>
      <c r="FF234" s="357"/>
      <c r="FG234" s="357"/>
      <c r="FH234" s="357"/>
      <c r="FI234" s="357"/>
      <c r="FJ234" s="357"/>
      <c r="FK234" s="357"/>
      <c r="FL234" s="357"/>
      <c r="FM234" s="357"/>
      <c r="FN234" s="357"/>
      <c r="FO234" s="357"/>
      <c r="FP234" s="357"/>
      <c r="FQ234" s="357"/>
      <c r="FR234" s="357"/>
      <c r="FS234" s="357"/>
      <c r="FT234" s="357"/>
      <c r="FU234" s="357"/>
      <c r="FV234" s="357"/>
      <c r="FW234" s="357"/>
      <c r="FX234" s="357"/>
      <c r="FY234" s="357"/>
      <c r="FZ234" s="357"/>
      <c r="GA234" s="357"/>
      <c r="GB234" s="357"/>
      <c r="GC234" s="357"/>
      <c r="GD234" s="357"/>
      <c r="GE234" s="357"/>
      <c r="GF234" s="357"/>
      <c r="GG234" s="357"/>
      <c r="GH234" s="357"/>
      <c r="GI234" s="357"/>
      <c r="GJ234" s="357"/>
      <c r="GK234" s="154"/>
      <c r="GL234" s="154"/>
      <c r="GM234" s="154"/>
      <c r="GN234" s="154"/>
      <c r="GO234" s="154"/>
      <c r="GP234" s="154"/>
      <c r="GQ234" s="154"/>
      <c r="GR234" s="154"/>
      <c r="GS234" s="154"/>
      <c r="GT234" s="154"/>
      <c r="GU234" s="154"/>
      <c r="GV234" s="154"/>
      <c r="GW234" s="154"/>
      <c r="GX234" s="154"/>
    </row>
    <row r="235" spans="7:206">
      <c r="G235" s="154"/>
      <c r="H235" s="154"/>
      <c r="I235" s="154"/>
      <c r="J235" s="154"/>
      <c r="K235" s="154"/>
      <c r="L235" s="154"/>
      <c r="M235" s="154"/>
      <c r="N235" s="154"/>
      <c r="O235" s="154"/>
      <c r="P235" s="154"/>
      <c r="Q235" s="154"/>
      <c r="R235" s="154"/>
      <c r="S235" s="154"/>
      <c r="T235" s="154"/>
      <c r="U235" s="154"/>
      <c r="V235" s="154"/>
      <c r="W235" s="154"/>
      <c r="X235" s="154"/>
      <c r="Y235" s="154"/>
      <c r="Z235" s="357"/>
      <c r="AA235" s="357"/>
      <c r="AB235" s="357"/>
      <c r="AC235" s="357"/>
      <c r="AD235" s="357"/>
      <c r="AE235" s="357"/>
      <c r="AF235" s="357"/>
      <c r="AG235" s="357"/>
      <c r="AH235" s="357"/>
      <c r="AI235" s="357"/>
      <c r="AJ235" s="357"/>
      <c r="AK235" s="357"/>
      <c r="AL235" s="357"/>
      <c r="AM235" s="357"/>
      <c r="AN235" s="357"/>
      <c r="AO235" s="357"/>
      <c r="AP235" s="357"/>
      <c r="AQ235" s="357"/>
      <c r="AR235" s="357"/>
      <c r="AS235" s="357"/>
      <c r="AT235" s="357"/>
      <c r="AU235" s="357"/>
      <c r="AV235" s="357"/>
      <c r="AW235" s="357"/>
      <c r="AX235" s="357"/>
      <c r="AY235" s="357"/>
      <c r="AZ235" s="357"/>
      <c r="BA235" s="357"/>
      <c r="BB235" s="357"/>
      <c r="BC235" s="357"/>
      <c r="BD235" s="357"/>
      <c r="BE235" s="357"/>
      <c r="BF235" s="357"/>
      <c r="BG235" s="357"/>
      <c r="BH235" s="357"/>
      <c r="BI235" s="357"/>
      <c r="BJ235" s="357"/>
      <c r="BK235" s="357"/>
      <c r="BL235" s="357"/>
      <c r="BM235" s="357"/>
      <c r="BN235" s="357"/>
      <c r="BO235" s="357"/>
      <c r="BP235" s="357"/>
      <c r="BQ235" s="357"/>
      <c r="BR235" s="357"/>
      <c r="BS235" s="357"/>
      <c r="BT235" s="357"/>
      <c r="BU235" s="357"/>
      <c r="BV235" s="357"/>
      <c r="BW235" s="357"/>
      <c r="BX235" s="357"/>
      <c r="BY235" s="357"/>
      <c r="BZ235" s="357"/>
      <c r="CA235" s="357"/>
      <c r="CB235" s="357"/>
      <c r="CC235" s="357"/>
      <c r="CD235" s="357"/>
      <c r="CE235" s="357"/>
      <c r="CF235" s="357"/>
      <c r="CG235" s="357"/>
      <c r="CH235" s="357"/>
      <c r="CI235" s="357"/>
      <c r="CJ235" s="357"/>
      <c r="CK235" s="357"/>
      <c r="CL235" s="357"/>
      <c r="CM235" s="357"/>
      <c r="CN235" s="357"/>
      <c r="CO235" s="357"/>
      <c r="CP235" s="357"/>
      <c r="CQ235" s="357"/>
      <c r="CR235" s="357"/>
      <c r="CS235" s="357"/>
      <c r="CT235" s="357"/>
      <c r="CU235" s="357"/>
      <c r="CV235" s="357"/>
      <c r="CW235" s="357"/>
      <c r="CX235" s="357"/>
      <c r="CY235" s="357"/>
      <c r="CZ235" s="357"/>
      <c r="DA235" s="357"/>
      <c r="DB235" s="357"/>
      <c r="DC235" s="357"/>
      <c r="DD235" s="357"/>
      <c r="DE235" s="357"/>
      <c r="DF235" s="357"/>
      <c r="DG235" s="357"/>
      <c r="DH235" s="357"/>
      <c r="DI235" s="357"/>
      <c r="DJ235" s="357"/>
      <c r="DK235" s="357"/>
      <c r="DL235" s="357"/>
      <c r="DM235" s="357"/>
      <c r="DN235" s="357"/>
      <c r="DO235" s="357"/>
      <c r="DP235" s="357"/>
      <c r="DQ235" s="357"/>
      <c r="DR235" s="357"/>
      <c r="DS235" s="357"/>
      <c r="DT235" s="357"/>
      <c r="DU235" s="357"/>
      <c r="DV235" s="357"/>
      <c r="DW235" s="357"/>
      <c r="DX235" s="357"/>
      <c r="DY235" s="357"/>
      <c r="DZ235" s="357"/>
      <c r="EA235" s="357"/>
      <c r="EB235" s="357"/>
      <c r="EC235" s="357"/>
      <c r="ED235" s="357"/>
      <c r="EE235" s="357"/>
      <c r="EF235" s="357"/>
      <c r="EG235" s="357"/>
      <c r="EH235" s="357"/>
      <c r="EI235" s="357"/>
      <c r="EJ235" s="357"/>
      <c r="EK235" s="357"/>
      <c r="EL235" s="357"/>
      <c r="EM235" s="357"/>
      <c r="EN235" s="357"/>
      <c r="EO235" s="357"/>
      <c r="EP235" s="357"/>
      <c r="EQ235" s="357"/>
      <c r="ER235" s="357"/>
      <c r="ES235" s="357"/>
      <c r="ET235" s="357"/>
      <c r="EU235" s="357"/>
      <c r="EV235" s="357"/>
      <c r="EW235" s="357"/>
      <c r="EX235" s="357"/>
      <c r="EY235" s="357"/>
      <c r="EZ235" s="357"/>
      <c r="FA235" s="357"/>
      <c r="FB235" s="357"/>
      <c r="FC235" s="357"/>
      <c r="FD235" s="357"/>
      <c r="FE235" s="357"/>
      <c r="FF235" s="357"/>
      <c r="FG235" s="357"/>
      <c r="FH235" s="357"/>
      <c r="FI235" s="357"/>
      <c r="FJ235" s="357"/>
      <c r="FK235" s="357"/>
      <c r="FL235" s="357"/>
      <c r="FM235" s="357"/>
      <c r="FN235" s="357"/>
      <c r="FO235" s="357"/>
      <c r="FP235" s="357"/>
      <c r="FQ235" s="357"/>
      <c r="FR235" s="357"/>
      <c r="FS235" s="357"/>
      <c r="FT235" s="357"/>
      <c r="FU235" s="357"/>
      <c r="FV235" s="357"/>
      <c r="FW235" s="357"/>
      <c r="FX235" s="357"/>
      <c r="FY235" s="357"/>
      <c r="FZ235" s="357"/>
      <c r="GA235" s="357"/>
      <c r="GB235" s="357"/>
      <c r="GC235" s="357"/>
      <c r="GD235" s="357"/>
      <c r="GE235" s="357"/>
      <c r="GF235" s="357"/>
      <c r="GG235" s="357"/>
      <c r="GH235" s="357"/>
      <c r="GI235" s="357"/>
      <c r="GJ235" s="357"/>
      <c r="GK235" s="154"/>
      <c r="GL235" s="154"/>
      <c r="GM235" s="154"/>
      <c r="GN235" s="154"/>
      <c r="GO235" s="154"/>
      <c r="GP235" s="154"/>
      <c r="GQ235" s="154"/>
      <c r="GR235" s="154"/>
      <c r="GS235" s="154"/>
      <c r="GT235" s="154"/>
      <c r="GU235" s="154"/>
      <c r="GV235" s="154"/>
      <c r="GW235" s="154"/>
      <c r="GX235" s="154"/>
    </row>
    <row r="236" spans="7:206">
      <c r="G236" s="154"/>
      <c r="H236" s="154"/>
      <c r="I236" s="154"/>
      <c r="J236" s="154"/>
      <c r="K236" s="154"/>
      <c r="L236" s="154"/>
      <c r="M236" s="154"/>
      <c r="N236" s="154"/>
      <c r="O236" s="154"/>
      <c r="P236" s="154"/>
      <c r="Q236" s="154"/>
      <c r="R236" s="154"/>
      <c r="S236" s="154"/>
      <c r="T236" s="154"/>
      <c r="U236" s="154"/>
      <c r="V236" s="154"/>
      <c r="W236" s="154"/>
      <c r="X236" s="154"/>
      <c r="Y236" s="154"/>
      <c r="Z236" s="357"/>
      <c r="AA236" s="357"/>
      <c r="AB236" s="357"/>
      <c r="AC236" s="357"/>
      <c r="AD236" s="357"/>
      <c r="AE236" s="357"/>
      <c r="AF236" s="357"/>
      <c r="AG236" s="357"/>
      <c r="AH236" s="357"/>
      <c r="AI236" s="357"/>
      <c r="AJ236" s="357"/>
      <c r="AK236" s="357"/>
      <c r="AL236" s="357"/>
      <c r="AM236" s="357"/>
      <c r="AN236" s="357"/>
      <c r="AO236" s="357"/>
      <c r="AP236" s="357"/>
      <c r="AQ236" s="357"/>
      <c r="AR236" s="357"/>
      <c r="AS236" s="357"/>
      <c r="AT236" s="357"/>
      <c r="AU236" s="357"/>
      <c r="AV236" s="357"/>
      <c r="AW236" s="357"/>
      <c r="AX236" s="357"/>
      <c r="AY236" s="357"/>
      <c r="AZ236" s="357"/>
      <c r="BA236" s="357"/>
      <c r="BB236" s="357"/>
      <c r="BC236" s="357"/>
      <c r="BD236" s="357"/>
      <c r="BE236" s="357"/>
      <c r="BF236" s="357"/>
      <c r="BG236" s="357"/>
      <c r="BH236" s="357"/>
      <c r="BI236" s="357"/>
      <c r="BJ236" s="357"/>
      <c r="BK236" s="357"/>
      <c r="BL236" s="357"/>
      <c r="BM236" s="357"/>
      <c r="BN236" s="357"/>
      <c r="BO236" s="357"/>
      <c r="BP236" s="357"/>
      <c r="BQ236" s="357"/>
      <c r="BR236" s="357"/>
      <c r="BS236" s="357"/>
      <c r="BT236" s="357"/>
      <c r="BU236" s="357"/>
      <c r="BV236" s="357"/>
      <c r="BW236" s="357"/>
      <c r="BX236" s="357"/>
      <c r="BY236" s="357"/>
      <c r="BZ236" s="357"/>
      <c r="CA236" s="357"/>
      <c r="CB236" s="357"/>
      <c r="CC236" s="357"/>
      <c r="CD236" s="357"/>
      <c r="CE236" s="357"/>
      <c r="CF236" s="357"/>
      <c r="CG236" s="357"/>
      <c r="CH236" s="357"/>
      <c r="CI236" s="357"/>
      <c r="CJ236" s="357"/>
      <c r="CK236" s="357"/>
      <c r="CL236" s="357"/>
      <c r="CM236" s="357"/>
      <c r="CN236" s="357"/>
      <c r="CO236" s="357"/>
      <c r="CP236" s="357"/>
      <c r="CQ236" s="357"/>
      <c r="CR236" s="357"/>
      <c r="CS236" s="357"/>
      <c r="CT236" s="357"/>
      <c r="CU236" s="357"/>
      <c r="CV236" s="357"/>
      <c r="CW236" s="357"/>
      <c r="CX236" s="357"/>
      <c r="CY236" s="357"/>
      <c r="CZ236" s="357"/>
      <c r="DA236" s="357"/>
      <c r="DB236" s="357"/>
      <c r="DC236" s="357"/>
      <c r="DD236" s="357"/>
      <c r="DE236" s="357"/>
      <c r="DF236" s="357"/>
      <c r="DG236" s="357"/>
      <c r="DH236" s="357"/>
      <c r="DI236" s="357"/>
      <c r="DJ236" s="357"/>
      <c r="DK236" s="357"/>
      <c r="DL236" s="357"/>
      <c r="DM236" s="357"/>
      <c r="DN236" s="357"/>
      <c r="DO236" s="357"/>
      <c r="DP236" s="357"/>
      <c r="DQ236" s="357"/>
      <c r="DR236" s="357"/>
      <c r="DS236" s="357"/>
      <c r="DT236" s="357"/>
      <c r="DU236" s="357"/>
      <c r="DV236" s="357"/>
      <c r="DW236" s="357"/>
      <c r="DX236" s="357"/>
      <c r="DY236" s="357"/>
      <c r="DZ236" s="357"/>
      <c r="EA236" s="357"/>
      <c r="EB236" s="357"/>
      <c r="EC236" s="357"/>
      <c r="ED236" s="357"/>
      <c r="EE236" s="357"/>
      <c r="EF236" s="357"/>
      <c r="EG236" s="357"/>
      <c r="EH236" s="357"/>
      <c r="EI236" s="357"/>
      <c r="EJ236" s="357"/>
      <c r="EK236" s="357"/>
      <c r="EL236" s="357"/>
      <c r="EM236" s="357"/>
      <c r="EN236" s="357"/>
      <c r="EO236" s="357"/>
      <c r="EP236" s="357"/>
      <c r="EQ236" s="357"/>
      <c r="ER236" s="357"/>
      <c r="ES236" s="357"/>
      <c r="ET236" s="357"/>
      <c r="EU236" s="357"/>
      <c r="EV236" s="357"/>
      <c r="EW236" s="357"/>
      <c r="EX236" s="357"/>
      <c r="EY236" s="357"/>
      <c r="EZ236" s="357"/>
      <c r="FA236" s="357"/>
      <c r="FB236" s="357"/>
      <c r="FC236" s="357"/>
      <c r="FD236" s="357"/>
      <c r="FE236" s="357"/>
      <c r="FF236" s="357"/>
      <c r="FG236" s="357"/>
      <c r="FH236" s="357"/>
      <c r="FI236" s="357"/>
      <c r="FJ236" s="357"/>
      <c r="FK236" s="357"/>
      <c r="FL236" s="357"/>
      <c r="FM236" s="357"/>
      <c r="FN236" s="357"/>
      <c r="FO236" s="357"/>
      <c r="FP236" s="357"/>
      <c r="FQ236" s="357"/>
      <c r="FR236" s="357"/>
      <c r="FS236" s="357"/>
      <c r="FT236" s="357"/>
      <c r="FU236" s="357"/>
      <c r="FV236" s="357"/>
      <c r="FW236" s="357"/>
      <c r="FX236" s="357"/>
      <c r="FY236" s="357"/>
      <c r="FZ236" s="357"/>
      <c r="GA236" s="357"/>
      <c r="GB236" s="357"/>
      <c r="GC236" s="357"/>
      <c r="GD236" s="357"/>
      <c r="GE236" s="357"/>
      <c r="GF236" s="357"/>
      <c r="GG236" s="357"/>
      <c r="GH236" s="357"/>
      <c r="GI236" s="357"/>
      <c r="GJ236" s="357"/>
      <c r="GK236" s="154"/>
      <c r="GL236" s="154"/>
      <c r="GM236" s="154"/>
      <c r="GN236" s="154"/>
      <c r="GO236" s="154"/>
      <c r="GP236" s="154"/>
      <c r="GQ236" s="154"/>
      <c r="GR236" s="154"/>
      <c r="GS236" s="154"/>
      <c r="GT236" s="154"/>
      <c r="GU236" s="154"/>
      <c r="GV236" s="154"/>
      <c r="GW236" s="154"/>
      <c r="GX236" s="154"/>
    </row>
    <row r="237" spans="7:206">
      <c r="G237" s="154"/>
      <c r="H237" s="154"/>
      <c r="I237" s="154"/>
      <c r="J237" s="154"/>
      <c r="K237" s="154"/>
      <c r="L237" s="154"/>
      <c r="M237" s="154"/>
      <c r="N237" s="154"/>
      <c r="O237" s="154"/>
      <c r="P237" s="154"/>
      <c r="Q237" s="154"/>
      <c r="R237" s="154"/>
      <c r="S237" s="154"/>
      <c r="T237" s="154"/>
      <c r="U237" s="154"/>
      <c r="V237" s="154"/>
      <c r="W237" s="154"/>
      <c r="X237" s="154"/>
      <c r="Y237" s="154"/>
      <c r="Z237" s="357"/>
      <c r="AA237" s="357"/>
      <c r="AB237" s="357"/>
      <c r="AC237" s="357"/>
      <c r="AD237" s="357"/>
      <c r="AE237" s="357"/>
      <c r="AF237" s="357"/>
      <c r="AG237" s="357"/>
      <c r="AH237" s="357"/>
      <c r="AI237" s="357"/>
      <c r="AJ237" s="357"/>
      <c r="AK237" s="357"/>
      <c r="AL237" s="357"/>
      <c r="AM237" s="357"/>
      <c r="AN237" s="357"/>
      <c r="AO237" s="357"/>
      <c r="AP237" s="357"/>
      <c r="AQ237" s="357"/>
      <c r="AR237" s="357"/>
      <c r="AS237" s="357"/>
      <c r="AT237" s="357"/>
      <c r="AU237" s="357"/>
      <c r="AV237" s="357"/>
      <c r="AW237" s="357"/>
      <c r="AX237" s="357"/>
      <c r="AY237" s="357"/>
      <c r="AZ237" s="357"/>
      <c r="BA237" s="357"/>
      <c r="BB237" s="357"/>
      <c r="BC237" s="357"/>
      <c r="BD237" s="357"/>
      <c r="BE237" s="357"/>
      <c r="BF237" s="357"/>
      <c r="BG237" s="357"/>
      <c r="BH237" s="357"/>
      <c r="BI237" s="357"/>
      <c r="BJ237" s="357"/>
      <c r="BK237" s="357"/>
      <c r="BL237" s="357"/>
      <c r="BM237" s="357"/>
      <c r="BN237" s="357"/>
      <c r="BO237" s="357"/>
      <c r="BP237" s="357"/>
      <c r="BQ237" s="357"/>
      <c r="BR237" s="357"/>
      <c r="BS237" s="357"/>
      <c r="BT237" s="357"/>
      <c r="BU237" s="357"/>
      <c r="BV237" s="357"/>
      <c r="BW237" s="357"/>
      <c r="BX237" s="357"/>
      <c r="BY237" s="357"/>
      <c r="BZ237" s="357"/>
      <c r="CA237" s="357"/>
      <c r="CB237" s="357"/>
      <c r="CC237" s="357"/>
      <c r="CD237" s="357"/>
      <c r="CE237" s="357"/>
      <c r="CF237" s="357"/>
      <c r="CG237" s="357"/>
      <c r="CH237" s="357"/>
      <c r="CI237" s="357"/>
      <c r="CJ237" s="357"/>
      <c r="CK237" s="357"/>
      <c r="CL237" s="357"/>
      <c r="CM237" s="357"/>
      <c r="CN237" s="357"/>
      <c r="CO237" s="357"/>
      <c r="CP237" s="357"/>
      <c r="CQ237" s="357"/>
      <c r="CR237" s="357"/>
      <c r="CS237" s="357"/>
      <c r="CT237" s="357"/>
      <c r="CU237" s="357"/>
      <c r="CV237" s="357"/>
      <c r="CW237" s="357"/>
      <c r="CX237" s="357"/>
      <c r="CY237" s="357"/>
      <c r="CZ237" s="357"/>
      <c r="DA237" s="357"/>
      <c r="DB237" s="357"/>
      <c r="DC237" s="357"/>
      <c r="DD237" s="357"/>
      <c r="DE237" s="357"/>
      <c r="DF237" s="357"/>
      <c r="DG237" s="357"/>
      <c r="DH237" s="357"/>
      <c r="DI237" s="357"/>
      <c r="DJ237" s="357"/>
      <c r="DK237" s="357"/>
      <c r="DL237" s="357"/>
      <c r="DM237" s="357"/>
      <c r="DN237" s="357"/>
      <c r="DO237" s="357"/>
      <c r="DP237" s="357"/>
      <c r="DQ237" s="357"/>
      <c r="DR237" s="357"/>
      <c r="DS237" s="357"/>
      <c r="DT237" s="357"/>
      <c r="DU237" s="357"/>
      <c r="DV237" s="357"/>
      <c r="DW237" s="357"/>
      <c r="DX237" s="357"/>
      <c r="DY237" s="357"/>
      <c r="DZ237" s="357"/>
      <c r="EA237" s="357"/>
      <c r="EB237" s="357"/>
      <c r="EC237" s="357"/>
      <c r="ED237" s="357"/>
      <c r="EE237" s="357"/>
      <c r="EF237" s="357"/>
      <c r="EG237" s="357"/>
      <c r="EH237" s="357"/>
      <c r="EI237" s="357"/>
      <c r="EJ237" s="357"/>
      <c r="EK237" s="357"/>
      <c r="EL237" s="357"/>
      <c r="EM237" s="357"/>
      <c r="EN237" s="357"/>
      <c r="EO237" s="357"/>
      <c r="EP237" s="357"/>
      <c r="EQ237" s="357"/>
      <c r="ER237" s="357"/>
      <c r="ES237" s="357"/>
      <c r="ET237" s="357"/>
      <c r="EU237" s="357"/>
      <c r="EV237" s="357"/>
      <c r="EW237" s="357"/>
      <c r="EX237" s="357"/>
      <c r="EY237" s="357"/>
      <c r="EZ237" s="357"/>
      <c r="FA237" s="357"/>
      <c r="FB237" s="357"/>
      <c r="FC237" s="357"/>
      <c r="FD237" s="357"/>
      <c r="FE237" s="357"/>
      <c r="FF237" s="357"/>
      <c r="FG237" s="357"/>
      <c r="FH237" s="357"/>
      <c r="FI237" s="357"/>
      <c r="FJ237" s="357"/>
      <c r="FK237" s="357"/>
      <c r="FL237" s="357"/>
      <c r="FM237" s="357"/>
      <c r="FN237" s="357"/>
      <c r="FO237" s="357"/>
      <c r="FP237" s="357"/>
      <c r="FQ237" s="357"/>
      <c r="FR237" s="357"/>
      <c r="FS237" s="357"/>
      <c r="FT237" s="357"/>
      <c r="FU237" s="357"/>
      <c r="FV237" s="357"/>
      <c r="FW237" s="357"/>
      <c r="FX237" s="357"/>
      <c r="FY237" s="357"/>
      <c r="FZ237" s="357"/>
      <c r="GA237" s="357"/>
      <c r="GB237" s="357"/>
      <c r="GC237" s="357"/>
      <c r="GD237" s="357"/>
      <c r="GE237" s="357"/>
      <c r="GF237" s="357"/>
      <c r="GG237" s="357"/>
      <c r="GH237" s="357"/>
      <c r="GI237" s="357"/>
      <c r="GJ237" s="357"/>
      <c r="GK237" s="154"/>
      <c r="GL237" s="154"/>
      <c r="GM237" s="154"/>
      <c r="GN237" s="154"/>
      <c r="GO237" s="154"/>
      <c r="GP237" s="154"/>
      <c r="GQ237" s="154"/>
      <c r="GR237" s="154"/>
      <c r="GS237" s="154"/>
      <c r="GT237" s="154"/>
      <c r="GU237" s="154"/>
      <c r="GV237" s="154"/>
      <c r="GW237" s="154"/>
      <c r="GX237" s="154"/>
    </row>
    <row r="238" spans="7:206">
      <c r="G238" s="154"/>
      <c r="H238" s="154"/>
      <c r="I238" s="154"/>
      <c r="J238" s="154"/>
      <c r="K238" s="154"/>
      <c r="L238" s="154"/>
      <c r="M238" s="154"/>
      <c r="N238" s="154"/>
      <c r="O238" s="154"/>
      <c r="P238" s="154"/>
      <c r="Q238" s="154"/>
      <c r="R238" s="154"/>
      <c r="S238" s="154"/>
      <c r="T238" s="154"/>
      <c r="U238" s="154"/>
      <c r="V238" s="154"/>
      <c r="W238" s="154"/>
      <c r="X238" s="154"/>
      <c r="Y238" s="154"/>
      <c r="Z238" s="357"/>
      <c r="AA238" s="357"/>
      <c r="AB238" s="357"/>
      <c r="AC238" s="357"/>
      <c r="AD238" s="357"/>
      <c r="AE238" s="357"/>
      <c r="AF238" s="357"/>
      <c r="AG238" s="357"/>
      <c r="AH238" s="357"/>
      <c r="AI238" s="357"/>
      <c r="AJ238" s="357"/>
      <c r="AK238" s="357"/>
      <c r="AL238" s="357"/>
      <c r="AM238" s="357"/>
      <c r="AN238" s="357"/>
      <c r="AO238" s="357"/>
      <c r="AP238" s="357"/>
      <c r="AQ238" s="357"/>
      <c r="AR238" s="357"/>
      <c r="AS238" s="357"/>
      <c r="AT238" s="357"/>
      <c r="AU238" s="357"/>
      <c r="AV238" s="357"/>
      <c r="AW238" s="357"/>
      <c r="AX238" s="357"/>
      <c r="AY238" s="357"/>
      <c r="AZ238" s="357"/>
      <c r="BA238" s="357"/>
      <c r="BB238" s="357"/>
      <c r="BC238" s="357"/>
      <c r="BD238" s="357"/>
      <c r="BE238" s="357"/>
      <c r="BF238" s="357"/>
      <c r="BG238" s="357"/>
      <c r="BH238" s="357"/>
      <c r="BI238" s="357"/>
      <c r="BJ238" s="357"/>
      <c r="BK238" s="357"/>
      <c r="BL238" s="357"/>
      <c r="BM238" s="357"/>
      <c r="BN238" s="357"/>
      <c r="BO238" s="357"/>
      <c r="BP238" s="357"/>
      <c r="BQ238" s="357"/>
      <c r="BR238" s="357"/>
      <c r="BS238" s="357"/>
      <c r="BT238" s="357"/>
      <c r="BU238" s="357"/>
      <c r="BV238" s="357"/>
      <c r="BW238" s="357"/>
      <c r="BX238" s="357"/>
      <c r="BY238" s="357"/>
      <c r="BZ238" s="357"/>
      <c r="CA238" s="357"/>
      <c r="CB238" s="357"/>
      <c r="CC238" s="357"/>
      <c r="CD238" s="357"/>
      <c r="CE238" s="357"/>
      <c r="CF238" s="357"/>
      <c r="CG238" s="357"/>
      <c r="CH238" s="357"/>
      <c r="CI238" s="357"/>
      <c r="CJ238" s="357"/>
      <c r="CK238" s="357"/>
      <c r="CL238" s="357"/>
      <c r="CM238" s="357"/>
      <c r="CN238" s="357"/>
      <c r="CO238" s="357"/>
      <c r="CP238" s="357"/>
      <c r="CQ238" s="357"/>
      <c r="CR238" s="357"/>
      <c r="CS238" s="357"/>
      <c r="CT238" s="357"/>
      <c r="CU238" s="357"/>
      <c r="CV238" s="357"/>
      <c r="CW238" s="357"/>
      <c r="CX238" s="357"/>
      <c r="CY238" s="357"/>
      <c r="CZ238" s="357"/>
      <c r="DA238" s="357"/>
      <c r="DB238" s="357"/>
      <c r="DC238" s="357"/>
      <c r="DD238" s="357"/>
      <c r="DE238" s="357"/>
      <c r="DF238" s="357"/>
      <c r="DG238" s="357"/>
      <c r="DH238" s="357"/>
      <c r="DI238" s="357"/>
      <c r="DJ238" s="357"/>
      <c r="DK238" s="357"/>
      <c r="DL238" s="357"/>
      <c r="DM238" s="357"/>
      <c r="DN238" s="357"/>
      <c r="DO238" s="357"/>
      <c r="DP238" s="357"/>
      <c r="DQ238" s="357"/>
      <c r="DR238" s="357"/>
      <c r="DS238" s="357"/>
      <c r="DT238" s="357"/>
      <c r="DU238" s="357"/>
      <c r="DV238" s="357"/>
      <c r="DW238" s="357"/>
      <c r="DX238" s="357"/>
      <c r="DY238" s="357"/>
      <c r="DZ238" s="357"/>
      <c r="EA238" s="357"/>
      <c r="EB238" s="357"/>
      <c r="EC238" s="357"/>
      <c r="ED238" s="357"/>
      <c r="EE238" s="357"/>
      <c r="EF238" s="357"/>
      <c r="EG238" s="357"/>
      <c r="EH238" s="357"/>
      <c r="EI238" s="357"/>
      <c r="EJ238" s="357"/>
      <c r="EK238" s="357"/>
      <c r="EL238" s="357"/>
      <c r="EM238" s="357"/>
      <c r="EN238" s="357"/>
      <c r="EO238" s="357"/>
      <c r="EP238" s="357"/>
      <c r="EQ238" s="357"/>
      <c r="ER238" s="357"/>
      <c r="ES238" s="357"/>
      <c r="ET238" s="357"/>
      <c r="EU238" s="357"/>
      <c r="EV238" s="357"/>
      <c r="EW238" s="357"/>
      <c r="EX238" s="357"/>
      <c r="EY238" s="357"/>
      <c r="EZ238" s="357"/>
      <c r="FA238" s="357"/>
      <c r="FB238" s="357"/>
      <c r="FC238" s="357"/>
      <c r="FD238" s="357"/>
      <c r="FE238" s="357"/>
      <c r="FF238" s="357"/>
      <c r="FG238" s="357"/>
      <c r="FH238" s="357"/>
      <c r="FI238" s="357"/>
      <c r="FJ238" s="357"/>
      <c r="FK238" s="357"/>
      <c r="FL238" s="357"/>
      <c r="FM238" s="357"/>
      <c r="FN238" s="357"/>
      <c r="FO238" s="357"/>
      <c r="FP238" s="357"/>
      <c r="FQ238" s="357"/>
      <c r="FR238" s="357"/>
      <c r="FS238" s="357"/>
      <c r="FT238" s="357"/>
      <c r="FU238" s="357"/>
      <c r="FV238" s="357"/>
      <c r="FW238" s="357"/>
      <c r="FX238" s="357"/>
      <c r="FY238" s="357"/>
      <c r="FZ238" s="357"/>
      <c r="GA238" s="357"/>
      <c r="GB238" s="357"/>
      <c r="GC238" s="357"/>
      <c r="GD238" s="357"/>
      <c r="GE238" s="357"/>
      <c r="GF238" s="357"/>
      <c r="GG238" s="357"/>
      <c r="GH238" s="357"/>
      <c r="GI238" s="357"/>
      <c r="GJ238" s="357"/>
      <c r="GK238" s="154"/>
      <c r="GL238" s="154"/>
      <c r="GM238" s="154"/>
      <c r="GN238" s="154"/>
      <c r="GO238" s="154"/>
      <c r="GP238" s="154"/>
      <c r="GQ238" s="154"/>
      <c r="GR238" s="154"/>
      <c r="GS238" s="154"/>
      <c r="GT238" s="154"/>
      <c r="GU238" s="154"/>
      <c r="GV238" s="154"/>
      <c r="GW238" s="154"/>
      <c r="GX238" s="154"/>
    </row>
    <row r="239" spans="7:206">
      <c r="G239" s="154"/>
      <c r="H239" s="154"/>
      <c r="I239" s="154"/>
      <c r="J239" s="154"/>
      <c r="K239" s="154"/>
      <c r="L239" s="154"/>
      <c r="M239" s="154"/>
      <c r="N239" s="154"/>
      <c r="O239" s="154"/>
      <c r="P239" s="154"/>
      <c r="Q239" s="154"/>
      <c r="R239" s="154"/>
      <c r="S239" s="154"/>
      <c r="T239" s="154"/>
      <c r="U239" s="154"/>
      <c r="V239" s="154"/>
      <c r="W239" s="154"/>
      <c r="X239" s="154"/>
      <c r="Y239" s="154"/>
      <c r="Z239" s="357"/>
      <c r="AA239" s="357"/>
      <c r="AB239" s="357"/>
      <c r="AC239" s="357"/>
      <c r="AD239" s="357"/>
      <c r="AE239" s="357"/>
      <c r="AF239" s="357"/>
      <c r="AG239" s="357"/>
      <c r="AH239" s="357"/>
      <c r="AI239" s="357"/>
      <c r="AJ239" s="357"/>
      <c r="AK239" s="357"/>
      <c r="AL239" s="357"/>
      <c r="AM239" s="357"/>
      <c r="AN239" s="357"/>
      <c r="AO239" s="357"/>
      <c r="AP239" s="357"/>
      <c r="AQ239" s="357"/>
      <c r="AR239" s="357"/>
      <c r="AS239" s="357"/>
      <c r="AT239" s="357"/>
      <c r="AU239" s="357"/>
      <c r="AV239" s="357"/>
      <c r="AW239" s="357"/>
      <c r="AX239" s="357"/>
      <c r="AY239" s="357"/>
      <c r="AZ239" s="357"/>
      <c r="BA239" s="357"/>
      <c r="BB239" s="357"/>
      <c r="BC239" s="357"/>
      <c r="BD239" s="357"/>
      <c r="BE239" s="357"/>
      <c r="BF239" s="357"/>
      <c r="BG239" s="357"/>
      <c r="BH239" s="357"/>
      <c r="BI239" s="357"/>
      <c r="BJ239" s="357"/>
      <c r="BK239" s="357"/>
      <c r="BL239" s="357"/>
      <c r="BM239" s="357"/>
      <c r="BN239" s="357"/>
      <c r="BO239" s="357"/>
      <c r="BP239" s="357"/>
      <c r="BQ239" s="357"/>
      <c r="BR239" s="357"/>
      <c r="BS239" s="357"/>
      <c r="BT239" s="357"/>
      <c r="BU239" s="357"/>
      <c r="BV239" s="357"/>
      <c r="BW239" s="357"/>
      <c r="BX239" s="357"/>
      <c r="BY239" s="357"/>
      <c r="BZ239" s="357"/>
      <c r="CA239" s="357"/>
      <c r="CB239" s="357"/>
      <c r="CC239" s="357"/>
      <c r="CD239" s="357"/>
      <c r="CE239" s="357"/>
      <c r="CF239" s="357"/>
      <c r="CG239" s="357"/>
      <c r="CH239" s="357"/>
      <c r="CI239" s="357"/>
      <c r="CJ239" s="357"/>
      <c r="CK239" s="357"/>
      <c r="CL239" s="357"/>
      <c r="CM239" s="357"/>
      <c r="CN239" s="357"/>
      <c r="CO239" s="357"/>
      <c r="CP239" s="357"/>
      <c r="CQ239" s="357"/>
      <c r="CR239" s="357"/>
      <c r="CS239" s="357"/>
      <c r="CT239" s="357"/>
      <c r="CU239" s="357"/>
      <c r="CV239" s="357"/>
      <c r="CW239" s="357"/>
      <c r="CX239" s="357"/>
      <c r="CY239" s="357"/>
      <c r="CZ239" s="357"/>
      <c r="DA239" s="357"/>
      <c r="DB239" s="357"/>
      <c r="DC239" s="357"/>
      <c r="DD239" s="357"/>
      <c r="DE239" s="357"/>
      <c r="DF239" s="357"/>
      <c r="DG239" s="357"/>
      <c r="DH239" s="357"/>
      <c r="DI239" s="357"/>
      <c r="DJ239" s="357"/>
      <c r="DK239" s="357"/>
      <c r="DL239" s="357"/>
      <c r="DM239" s="357"/>
      <c r="DN239" s="357"/>
      <c r="DO239" s="357"/>
      <c r="DP239" s="357"/>
      <c r="DQ239" s="357"/>
      <c r="DR239" s="357"/>
      <c r="DS239" s="357"/>
      <c r="DT239" s="357"/>
      <c r="DU239" s="357"/>
      <c r="DV239" s="357"/>
      <c r="DW239" s="357"/>
      <c r="DX239" s="357"/>
      <c r="DY239" s="357"/>
      <c r="DZ239" s="357"/>
      <c r="EA239" s="357"/>
      <c r="EB239" s="357"/>
      <c r="EC239" s="357"/>
      <c r="ED239" s="357"/>
      <c r="EE239" s="357"/>
      <c r="EF239" s="357"/>
      <c r="EG239" s="357"/>
      <c r="EH239" s="357"/>
      <c r="EI239" s="357"/>
      <c r="EJ239" s="357"/>
      <c r="EK239" s="357"/>
      <c r="EL239" s="357"/>
      <c r="EM239" s="357"/>
      <c r="EN239" s="357"/>
      <c r="EO239" s="357"/>
      <c r="EP239" s="357"/>
      <c r="EQ239" s="357"/>
      <c r="ER239" s="357"/>
      <c r="ES239" s="357"/>
      <c r="ET239" s="357"/>
      <c r="EU239" s="357"/>
      <c r="EV239" s="357"/>
      <c r="EW239" s="357"/>
      <c r="EX239" s="357"/>
      <c r="EY239" s="357"/>
      <c r="EZ239" s="357"/>
      <c r="FA239" s="357"/>
      <c r="FB239" s="357"/>
      <c r="FC239" s="357"/>
      <c r="FD239" s="357"/>
      <c r="FE239" s="357"/>
      <c r="FF239" s="357"/>
      <c r="FG239" s="357"/>
      <c r="FH239" s="357"/>
      <c r="FI239" s="357"/>
      <c r="FJ239" s="357"/>
      <c r="FK239" s="357"/>
      <c r="FL239" s="357"/>
      <c r="FM239" s="357"/>
      <c r="FN239" s="357"/>
      <c r="FO239" s="357"/>
      <c r="FP239" s="357"/>
      <c r="FQ239" s="357"/>
      <c r="FR239" s="357"/>
      <c r="FS239" s="357"/>
      <c r="FT239" s="357"/>
      <c r="FU239" s="357"/>
      <c r="FV239" s="357"/>
      <c r="FW239" s="357"/>
      <c r="FX239" s="357"/>
      <c r="FY239" s="357"/>
      <c r="FZ239" s="357"/>
      <c r="GA239" s="357"/>
      <c r="GB239" s="357"/>
      <c r="GC239" s="357"/>
      <c r="GD239" s="357"/>
      <c r="GE239" s="357"/>
      <c r="GF239" s="357"/>
      <c r="GG239" s="357"/>
      <c r="GH239" s="357"/>
      <c r="GI239" s="357"/>
      <c r="GJ239" s="357"/>
      <c r="GK239" s="154"/>
      <c r="GL239" s="154"/>
      <c r="GM239" s="154"/>
      <c r="GN239" s="154"/>
      <c r="GO239" s="154"/>
      <c r="GP239" s="154"/>
      <c r="GQ239" s="154"/>
      <c r="GR239" s="154"/>
      <c r="GS239" s="154"/>
      <c r="GT239" s="154"/>
      <c r="GU239" s="154"/>
      <c r="GV239" s="154"/>
      <c r="GW239" s="154"/>
      <c r="GX239" s="154"/>
    </row>
    <row r="240" spans="7:206">
      <c r="G240" s="154"/>
      <c r="H240" s="154"/>
      <c r="I240" s="154"/>
      <c r="J240" s="154"/>
      <c r="K240" s="154"/>
      <c r="L240" s="154"/>
      <c r="M240" s="154"/>
      <c r="N240" s="154"/>
      <c r="O240" s="154"/>
      <c r="P240" s="154"/>
      <c r="Q240" s="154"/>
      <c r="R240" s="154"/>
      <c r="S240" s="154"/>
      <c r="T240" s="154"/>
      <c r="U240" s="154"/>
      <c r="V240" s="154"/>
      <c r="W240" s="154"/>
      <c r="X240" s="154"/>
      <c r="Y240" s="154"/>
      <c r="Z240" s="357"/>
      <c r="AA240" s="357"/>
      <c r="AB240" s="357"/>
      <c r="AC240" s="357"/>
      <c r="AD240" s="357"/>
      <c r="AE240" s="357"/>
      <c r="AF240" s="357"/>
      <c r="AG240" s="357"/>
      <c r="AH240" s="357"/>
      <c r="AI240" s="357"/>
      <c r="AJ240" s="357"/>
      <c r="AK240" s="357"/>
      <c r="AL240" s="357"/>
      <c r="AM240" s="357"/>
      <c r="AN240" s="357"/>
      <c r="AO240" s="357"/>
      <c r="AP240" s="357"/>
      <c r="AQ240" s="357"/>
      <c r="AR240" s="357"/>
      <c r="AS240" s="357"/>
      <c r="AT240" s="357"/>
      <c r="AU240" s="357"/>
      <c r="AV240" s="357"/>
      <c r="AW240" s="357"/>
      <c r="AX240" s="357"/>
      <c r="AY240" s="357"/>
      <c r="AZ240" s="357"/>
      <c r="BA240" s="357"/>
      <c r="BB240" s="357"/>
      <c r="BC240" s="357"/>
      <c r="BD240" s="357"/>
      <c r="BE240" s="357"/>
      <c r="BF240" s="357"/>
      <c r="BG240" s="357"/>
      <c r="BH240" s="357"/>
      <c r="BI240" s="357"/>
      <c r="BJ240" s="357"/>
      <c r="BK240" s="357"/>
      <c r="BL240" s="357"/>
      <c r="BM240" s="357"/>
      <c r="BN240" s="357"/>
      <c r="BO240" s="357"/>
      <c r="BP240" s="357"/>
      <c r="BQ240" s="357"/>
      <c r="BR240" s="357"/>
      <c r="BS240" s="357"/>
      <c r="BT240" s="357"/>
      <c r="BU240" s="357"/>
      <c r="BV240" s="357"/>
      <c r="BW240" s="357"/>
      <c r="BX240" s="357"/>
      <c r="BY240" s="357"/>
      <c r="BZ240" s="357"/>
      <c r="CA240" s="357"/>
      <c r="CB240" s="357"/>
      <c r="CC240" s="357"/>
      <c r="CD240" s="357"/>
      <c r="CE240" s="357"/>
      <c r="CF240" s="357"/>
      <c r="CG240" s="357"/>
      <c r="CH240" s="357"/>
      <c r="CI240" s="357"/>
      <c r="CJ240" s="357"/>
      <c r="CK240" s="357"/>
      <c r="CL240" s="357"/>
      <c r="CM240" s="357"/>
      <c r="CN240" s="357"/>
      <c r="CO240" s="357"/>
      <c r="CP240" s="357"/>
      <c r="CQ240" s="357"/>
      <c r="CR240" s="357"/>
      <c r="CS240" s="357"/>
      <c r="CT240" s="357"/>
      <c r="CU240" s="357"/>
      <c r="CV240" s="357"/>
      <c r="CW240" s="357"/>
      <c r="CX240" s="357"/>
      <c r="CY240" s="357"/>
      <c r="CZ240" s="357"/>
      <c r="DA240" s="357"/>
      <c r="DB240" s="357"/>
      <c r="DC240" s="357"/>
      <c r="DD240" s="357"/>
      <c r="DE240" s="357"/>
      <c r="DF240" s="357"/>
      <c r="DG240" s="357"/>
      <c r="DH240" s="357"/>
      <c r="DI240" s="357"/>
      <c r="DJ240" s="357"/>
      <c r="DK240" s="357"/>
      <c r="DL240" s="357"/>
      <c r="DM240" s="357"/>
      <c r="DN240" s="357"/>
      <c r="DO240" s="357"/>
      <c r="DP240" s="357"/>
      <c r="DQ240" s="357"/>
      <c r="DR240" s="357"/>
      <c r="DS240" s="357"/>
      <c r="DT240" s="357"/>
      <c r="DU240" s="357"/>
      <c r="DV240" s="357"/>
      <c r="DW240" s="357"/>
      <c r="DX240" s="357"/>
      <c r="DY240" s="357"/>
      <c r="DZ240" s="357"/>
      <c r="EA240" s="357"/>
      <c r="EB240" s="357"/>
      <c r="EC240" s="357"/>
      <c r="ED240" s="357"/>
      <c r="EE240" s="357"/>
      <c r="EF240" s="357"/>
      <c r="EG240" s="357"/>
      <c r="EH240" s="357"/>
      <c r="EI240" s="357"/>
      <c r="EJ240" s="357"/>
      <c r="EK240" s="357"/>
      <c r="EL240" s="357"/>
      <c r="EM240" s="357"/>
      <c r="EN240" s="357"/>
      <c r="EO240" s="357"/>
      <c r="EP240" s="357"/>
      <c r="EQ240" s="357"/>
      <c r="ER240" s="357"/>
      <c r="ES240" s="357"/>
      <c r="ET240" s="357"/>
      <c r="EU240" s="357"/>
      <c r="EV240" s="357"/>
      <c r="EW240" s="357"/>
      <c r="EX240" s="357"/>
      <c r="EY240" s="357"/>
      <c r="EZ240" s="357"/>
      <c r="FA240" s="357"/>
      <c r="FB240" s="357"/>
      <c r="FC240" s="357"/>
      <c r="FD240" s="357"/>
      <c r="FE240" s="357"/>
      <c r="FF240" s="357"/>
      <c r="FG240" s="357"/>
      <c r="FH240" s="357"/>
      <c r="FI240" s="357"/>
      <c r="FJ240" s="357"/>
      <c r="FK240" s="357"/>
      <c r="FL240" s="357"/>
      <c r="FM240" s="357"/>
      <c r="FN240" s="357"/>
      <c r="FO240" s="357"/>
      <c r="FP240" s="357"/>
      <c r="FQ240" s="357"/>
      <c r="FR240" s="357"/>
      <c r="FS240" s="357"/>
      <c r="FT240" s="357"/>
      <c r="FU240" s="357"/>
      <c r="FV240" s="357"/>
      <c r="FW240" s="357"/>
      <c r="FX240" s="357"/>
      <c r="FY240" s="357"/>
      <c r="FZ240" s="357"/>
      <c r="GA240" s="357"/>
      <c r="GB240" s="357"/>
      <c r="GC240" s="357"/>
      <c r="GD240" s="357"/>
      <c r="GE240" s="357"/>
      <c r="GF240" s="357"/>
      <c r="GG240" s="357"/>
      <c r="GH240" s="357"/>
      <c r="GI240" s="357"/>
      <c r="GJ240" s="357"/>
      <c r="GK240" s="154"/>
      <c r="GL240" s="154"/>
      <c r="GM240" s="154"/>
      <c r="GN240" s="154"/>
      <c r="GO240" s="154"/>
      <c r="GP240" s="154"/>
      <c r="GQ240" s="154"/>
      <c r="GR240" s="154"/>
      <c r="GS240" s="154"/>
      <c r="GT240" s="154"/>
      <c r="GU240" s="154"/>
      <c r="GV240" s="154"/>
      <c r="GW240" s="154"/>
      <c r="GX240" s="154"/>
    </row>
    <row r="241" spans="7:206">
      <c r="G241" s="154"/>
      <c r="H241" s="154"/>
      <c r="I241" s="154"/>
      <c r="J241" s="154"/>
      <c r="K241" s="154"/>
      <c r="L241" s="154"/>
      <c r="M241" s="154"/>
      <c r="N241" s="154"/>
      <c r="O241" s="154"/>
      <c r="P241" s="154"/>
      <c r="Q241" s="154"/>
      <c r="R241" s="154"/>
      <c r="S241" s="154"/>
      <c r="T241" s="154"/>
      <c r="U241" s="154"/>
      <c r="V241" s="154"/>
      <c r="W241" s="154"/>
      <c r="X241" s="154"/>
      <c r="Y241" s="154"/>
      <c r="Z241" s="357"/>
      <c r="AA241" s="357"/>
      <c r="AB241" s="357"/>
      <c r="AC241" s="357"/>
      <c r="AD241" s="357"/>
      <c r="AE241" s="357"/>
      <c r="AF241" s="357"/>
      <c r="AG241" s="357"/>
      <c r="AH241" s="357"/>
      <c r="AI241" s="357"/>
      <c r="AJ241" s="357"/>
      <c r="AK241" s="357"/>
      <c r="AL241" s="357"/>
      <c r="AM241" s="357"/>
      <c r="AN241" s="357"/>
      <c r="AO241" s="357"/>
      <c r="AP241" s="357"/>
      <c r="AQ241" s="357"/>
      <c r="AR241" s="357"/>
      <c r="AS241" s="357"/>
      <c r="AT241" s="357"/>
      <c r="AU241" s="357"/>
      <c r="AV241" s="357"/>
      <c r="AW241" s="357"/>
      <c r="AX241" s="357"/>
      <c r="AY241" s="357"/>
      <c r="AZ241" s="357"/>
      <c r="BA241" s="357"/>
      <c r="BB241" s="357"/>
      <c r="BC241" s="357"/>
      <c r="BD241" s="357"/>
      <c r="BE241" s="357"/>
      <c r="BF241" s="357"/>
      <c r="BG241" s="357"/>
      <c r="BH241" s="357"/>
      <c r="BI241" s="357"/>
      <c r="BJ241" s="357"/>
      <c r="BK241" s="357"/>
      <c r="BL241" s="357"/>
      <c r="BM241" s="357"/>
      <c r="BN241" s="357"/>
      <c r="BO241" s="357"/>
      <c r="BP241" s="357"/>
      <c r="BQ241" s="357"/>
      <c r="BR241" s="357"/>
      <c r="BS241" s="357"/>
      <c r="BT241" s="357"/>
      <c r="BU241" s="357"/>
      <c r="BV241" s="357"/>
      <c r="BW241" s="357"/>
      <c r="BX241" s="357"/>
      <c r="BY241" s="357"/>
      <c r="BZ241" s="357"/>
      <c r="CA241" s="357"/>
      <c r="CB241" s="357"/>
      <c r="CC241" s="357"/>
      <c r="CD241" s="357"/>
      <c r="CE241" s="357"/>
      <c r="CF241" s="357"/>
      <c r="CG241" s="357"/>
      <c r="CH241" s="357"/>
      <c r="CI241" s="357"/>
      <c r="CJ241" s="357"/>
      <c r="CK241" s="357"/>
      <c r="CL241" s="357"/>
      <c r="CM241" s="357"/>
      <c r="CN241" s="357"/>
      <c r="CO241" s="357"/>
      <c r="CP241" s="357"/>
      <c r="CQ241" s="357"/>
      <c r="CR241" s="357"/>
      <c r="CS241" s="357"/>
      <c r="CT241" s="357"/>
      <c r="CU241" s="357"/>
      <c r="CV241" s="357"/>
      <c r="CW241" s="357"/>
      <c r="CX241" s="357"/>
      <c r="CY241" s="357"/>
      <c r="CZ241" s="357"/>
      <c r="DA241" s="357"/>
      <c r="DB241" s="357"/>
      <c r="DC241" s="357"/>
      <c r="DD241" s="357"/>
      <c r="DE241" s="357"/>
      <c r="DF241" s="357"/>
      <c r="DG241" s="357"/>
      <c r="DH241" s="357"/>
      <c r="DI241" s="357"/>
      <c r="DJ241" s="357"/>
      <c r="DK241" s="357"/>
      <c r="DL241" s="357"/>
      <c r="DM241" s="357"/>
      <c r="DN241" s="357"/>
      <c r="DO241" s="357"/>
      <c r="DP241" s="357"/>
      <c r="DQ241" s="357"/>
      <c r="DR241" s="357"/>
      <c r="DS241" s="357"/>
      <c r="DT241" s="357"/>
      <c r="DU241" s="357"/>
      <c r="DV241" s="357"/>
      <c r="DW241" s="357"/>
      <c r="DX241" s="357"/>
      <c r="DY241" s="357"/>
      <c r="DZ241" s="357"/>
      <c r="EA241" s="357"/>
      <c r="EB241" s="357"/>
      <c r="EC241" s="357"/>
      <c r="ED241" s="357"/>
      <c r="EE241" s="357"/>
      <c r="EF241" s="357"/>
      <c r="EG241" s="357"/>
      <c r="EH241" s="357"/>
      <c r="EI241" s="357"/>
      <c r="EJ241" s="357"/>
      <c r="EK241" s="357"/>
      <c r="EL241" s="357"/>
      <c r="EM241" s="357"/>
      <c r="EN241" s="357"/>
      <c r="EO241" s="357"/>
      <c r="EP241" s="357"/>
      <c r="EQ241" s="357"/>
      <c r="ER241" s="357"/>
      <c r="ES241" s="357"/>
      <c r="ET241" s="357"/>
      <c r="EU241" s="357"/>
      <c r="EV241" s="357"/>
      <c r="EW241" s="357"/>
      <c r="EX241" s="357"/>
      <c r="EY241" s="357"/>
      <c r="EZ241" s="357"/>
      <c r="FA241" s="357"/>
      <c r="FB241" s="357"/>
      <c r="FC241" s="357"/>
      <c r="FD241" s="357"/>
      <c r="FE241" s="357"/>
      <c r="FF241" s="357"/>
      <c r="FG241" s="357"/>
      <c r="FH241" s="357"/>
      <c r="FI241" s="357"/>
      <c r="FJ241" s="357"/>
      <c r="FK241" s="357"/>
      <c r="FL241" s="357"/>
      <c r="FM241" s="357"/>
      <c r="FN241" s="357"/>
      <c r="FO241" s="357"/>
      <c r="FP241" s="357"/>
      <c r="FQ241" s="357"/>
      <c r="FR241" s="357"/>
      <c r="FS241" s="357"/>
      <c r="FT241" s="357"/>
      <c r="FU241" s="357"/>
      <c r="FV241" s="357"/>
      <c r="FW241" s="357"/>
      <c r="FX241" s="357"/>
      <c r="FY241" s="357"/>
      <c r="FZ241" s="357"/>
      <c r="GA241" s="357"/>
      <c r="GB241" s="357"/>
      <c r="GC241" s="357"/>
      <c r="GD241" s="357"/>
      <c r="GE241" s="357"/>
      <c r="GF241" s="357"/>
      <c r="GG241" s="357"/>
      <c r="GH241" s="357"/>
      <c r="GI241" s="357"/>
      <c r="GJ241" s="357"/>
      <c r="GK241" s="154"/>
      <c r="GL241" s="154"/>
      <c r="GM241" s="154"/>
      <c r="GN241" s="154"/>
      <c r="GO241" s="154"/>
      <c r="GP241" s="154"/>
      <c r="GQ241" s="154"/>
      <c r="GR241" s="154"/>
      <c r="GS241" s="154"/>
      <c r="GT241" s="154"/>
      <c r="GU241" s="154"/>
      <c r="GV241" s="154"/>
      <c r="GW241" s="154"/>
      <c r="GX241" s="154"/>
    </row>
    <row r="242" spans="7:206">
      <c r="G242" s="154"/>
      <c r="H242" s="154"/>
      <c r="I242" s="154"/>
      <c r="J242" s="154"/>
      <c r="K242" s="154"/>
      <c r="L242" s="154"/>
      <c r="M242" s="154"/>
      <c r="N242" s="154"/>
      <c r="O242" s="154"/>
      <c r="P242" s="154"/>
      <c r="Q242" s="154"/>
      <c r="R242" s="154"/>
      <c r="S242" s="154"/>
      <c r="T242" s="154"/>
      <c r="U242" s="154"/>
      <c r="V242" s="154"/>
      <c r="W242" s="154"/>
      <c r="X242" s="154"/>
      <c r="Y242" s="154"/>
      <c r="Z242" s="357"/>
      <c r="AA242" s="357"/>
      <c r="AB242" s="357"/>
      <c r="AC242" s="357"/>
      <c r="AD242" s="357"/>
      <c r="AE242" s="357"/>
      <c r="AF242" s="357"/>
      <c r="AG242" s="357"/>
      <c r="AH242" s="357"/>
      <c r="AI242" s="357"/>
      <c r="AJ242" s="357"/>
      <c r="AK242" s="357"/>
      <c r="AL242" s="357"/>
      <c r="AM242" s="357"/>
      <c r="AN242" s="357"/>
      <c r="AO242" s="357"/>
      <c r="AP242" s="357"/>
      <c r="AQ242" s="357"/>
      <c r="AR242" s="357"/>
      <c r="AS242" s="357"/>
      <c r="AT242" s="357"/>
      <c r="AU242" s="357"/>
      <c r="AV242" s="357"/>
      <c r="AW242" s="357"/>
      <c r="AX242" s="357"/>
      <c r="AY242" s="357"/>
      <c r="AZ242" s="357"/>
      <c r="BA242" s="357"/>
      <c r="BB242" s="357"/>
      <c r="BC242" s="357"/>
      <c r="BD242" s="357"/>
      <c r="BE242" s="357"/>
      <c r="BF242" s="357"/>
      <c r="BG242" s="357"/>
      <c r="BH242" s="357"/>
      <c r="BI242" s="357"/>
      <c r="BJ242" s="357"/>
      <c r="BK242" s="357"/>
      <c r="BL242" s="357"/>
      <c r="BM242" s="357"/>
      <c r="BN242" s="357"/>
      <c r="BO242" s="357"/>
      <c r="BP242" s="357"/>
      <c r="BQ242" s="357"/>
      <c r="BR242" s="357"/>
      <c r="BS242" s="357"/>
      <c r="BT242" s="357"/>
      <c r="BU242" s="357"/>
      <c r="BV242" s="357"/>
      <c r="BW242" s="357"/>
      <c r="BX242" s="357"/>
      <c r="BY242" s="357"/>
      <c r="BZ242" s="357"/>
      <c r="CA242" s="357"/>
      <c r="CB242" s="357"/>
      <c r="CC242" s="357"/>
      <c r="CD242" s="357"/>
      <c r="CE242" s="357"/>
      <c r="CF242" s="357"/>
      <c r="CG242" s="357"/>
      <c r="CH242" s="357"/>
      <c r="CI242" s="357"/>
      <c r="CJ242" s="357"/>
      <c r="CK242" s="357"/>
      <c r="CL242" s="357"/>
      <c r="CM242" s="357"/>
      <c r="CN242" s="357"/>
      <c r="CO242" s="357"/>
      <c r="CP242" s="357"/>
      <c r="CQ242" s="357"/>
      <c r="CR242" s="357"/>
      <c r="CS242" s="357"/>
      <c r="CT242" s="357"/>
      <c r="CU242" s="357"/>
      <c r="CV242" s="357"/>
      <c r="CW242" s="357"/>
      <c r="CX242" s="357"/>
      <c r="CY242" s="357"/>
      <c r="CZ242" s="357"/>
      <c r="DA242" s="357"/>
      <c r="DB242" s="357"/>
      <c r="DC242" s="357"/>
      <c r="DD242" s="357"/>
      <c r="DE242" s="357"/>
      <c r="DF242" s="357"/>
      <c r="DG242" s="357"/>
      <c r="DH242" s="357"/>
      <c r="DI242" s="357"/>
      <c r="DJ242" s="357"/>
      <c r="DK242" s="357"/>
      <c r="DL242" s="357"/>
      <c r="DM242" s="357"/>
      <c r="DN242" s="357"/>
      <c r="DO242" s="357"/>
      <c r="DP242" s="357"/>
      <c r="DQ242" s="357"/>
      <c r="DR242" s="357"/>
      <c r="DS242" s="357"/>
      <c r="DT242" s="357"/>
      <c r="DU242" s="357"/>
      <c r="DV242" s="357"/>
      <c r="DW242" s="357"/>
      <c r="DX242" s="357"/>
      <c r="DY242" s="357"/>
      <c r="DZ242" s="357"/>
      <c r="EA242" s="357"/>
      <c r="EB242" s="357"/>
      <c r="EC242" s="357"/>
      <c r="ED242" s="357"/>
      <c r="EE242" s="357"/>
      <c r="EF242" s="357"/>
      <c r="EG242" s="357"/>
      <c r="EH242" s="357"/>
      <c r="EI242" s="357"/>
      <c r="EJ242" s="357"/>
      <c r="EK242" s="357"/>
      <c r="EL242" s="357"/>
      <c r="EM242" s="357"/>
      <c r="EN242" s="357"/>
      <c r="EO242" s="357"/>
      <c r="EP242" s="357"/>
      <c r="EQ242" s="357"/>
      <c r="ER242" s="357"/>
      <c r="ES242" s="357"/>
      <c r="ET242" s="357"/>
      <c r="EU242" s="357"/>
      <c r="EV242" s="357"/>
      <c r="EW242" s="357"/>
      <c r="EX242" s="357"/>
      <c r="EY242" s="357"/>
      <c r="EZ242" s="357"/>
      <c r="FA242" s="357"/>
      <c r="FB242" s="357"/>
      <c r="FC242" s="357"/>
      <c r="FD242" s="357"/>
      <c r="FE242" s="357"/>
      <c r="FF242" s="357"/>
      <c r="FG242" s="357"/>
      <c r="FH242" s="357"/>
      <c r="FI242" s="357"/>
      <c r="FJ242" s="357"/>
      <c r="FK242" s="357"/>
      <c r="FL242" s="357"/>
      <c r="FM242" s="357"/>
      <c r="FN242" s="357"/>
      <c r="FO242" s="357"/>
      <c r="FP242" s="357"/>
      <c r="FQ242" s="357"/>
      <c r="FR242" s="357"/>
      <c r="FS242" s="357"/>
      <c r="FT242" s="357"/>
      <c r="FU242" s="357"/>
      <c r="FV242" s="357"/>
      <c r="FW242" s="357"/>
      <c r="FX242" s="357"/>
      <c r="FY242" s="357"/>
      <c r="FZ242" s="357"/>
      <c r="GA242" s="357"/>
      <c r="GB242" s="357"/>
      <c r="GC242" s="357"/>
      <c r="GD242" s="357"/>
      <c r="GE242" s="357"/>
      <c r="GF242" s="357"/>
      <c r="GG242" s="357"/>
      <c r="GH242" s="357"/>
      <c r="GI242" s="357"/>
      <c r="GJ242" s="357"/>
      <c r="GK242" s="154"/>
      <c r="GL242" s="154"/>
      <c r="GM242" s="154"/>
      <c r="GN242" s="154"/>
      <c r="GO242" s="154"/>
      <c r="GP242" s="154"/>
      <c r="GQ242" s="154"/>
      <c r="GR242" s="154"/>
      <c r="GS242" s="154"/>
      <c r="GT242" s="154"/>
      <c r="GU242" s="154"/>
      <c r="GV242" s="154"/>
      <c r="GW242" s="154"/>
      <c r="GX242" s="154"/>
    </row>
    <row r="243" spans="7:206">
      <c r="G243" s="154"/>
      <c r="H243" s="154"/>
      <c r="I243" s="154"/>
      <c r="J243" s="154"/>
      <c r="K243" s="154"/>
      <c r="L243" s="154"/>
      <c r="M243" s="154"/>
      <c r="N243" s="154"/>
      <c r="O243" s="154"/>
      <c r="P243" s="154"/>
      <c r="Q243" s="154"/>
      <c r="R243" s="154"/>
      <c r="S243" s="154"/>
      <c r="T243" s="154"/>
      <c r="U243" s="154"/>
      <c r="V243" s="154"/>
      <c r="W243" s="154"/>
      <c r="X243" s="154"/>
      <c r="Y243" s="154"/>
      <c r="Z243" s="357"/>
      <c r="AA243" s="357"/>
      <c r="AB243" s="357"/>
      <c r="AC243" s="357"/>
      <c r="AD243" s="357"/>
      <c r="AE243" s="357"/>
      <c r="AF243" s="357"/>
      <c r="AG243" s="357"/>
      <c r="AH243" s="357"/>
      <c r="AI243" s="357"/>
      <c r="AJ243" s="357"/>
      <c r="AK243" s="357"/>
      <c r="AL243" s="357"/>
      <c r="AM243" s="357"/>
      <c r="AN243" s="357"/>
      <c r="AO243" s="357"/>
      <c r="AP243" s="357"/>
      <c r="AQ243" s="357"/>
      <c r="AR243" s="357"/>
      <c r="AS243" s="357"/>
      <c r="AT243" s="357"/>
      <c r="AU243" s="357"/>
      <c r="AV243" s="357"/>
      <c r="AW243" s="357"/>
      <c r="AX243" s="357"/>
      <c r="AY243" s="357"/>
      <c r="AZ243" s="357"/>
      <c r="BA243" s="357"/>
      <c r="BB243" s="357"/>
      <c r="BC243" s="357"/>
      <c r="BD243" s="357"/>
      <c r="BE243" s="357"/>
      <c r="BF243" s="357"/>
      <c r="BG243" s="357"/>
      <c r="BH243" s="357"/>
      <c r="BI243" s="357"/>
      <c r="BJ243" s="357"/>
      <c r="BK243" s="357"/>
      <c r="BL243" s="357"/>
      <c r="BM243" s="357"/>
      <c r="BN243" s="357"/>
      <c r="BO243" s="357"/>
      <c r="BP243" s="357"/>
      <c r="BQ243" s="357"/>
      <c r="BR243" s="357"/>
      <c r="BS243" s="357"/>
      <c r="BT243" s="357"/>
      <c r="BU243" s="357"/>
      <c r="BV243" s="357"/>
      <c r="BW243" s="357"/>
      <c r="BX243" s="357"/>
      <c r="BY243" s="357"/>
      <c r="BZ243" s="357"/>
      <c r="CA243" s="357"/>
      <c r="CB243" s="357"/>
      <c r="CC243" s="357"/>
      <c r="CD243" s="357"/>
      <c r="CE243" s="357"/>
      <c r="CF243" s="357"/>
      <c r="CG243" s="357"/>
      <c r="CH243" s="357"/>
      <c r="CI243" s="357"/>
      <c r="CJ243" s="357"/>
      <c r="CK243" s="357"/>
      <c r="CL243" s="357"/>
      <c r="CM243" s="357"/>
      <c r="CN243" s="357"/>
      <c r="CO243" s="357"/>
      <c r="CP243" s="357"/>
      <c r="CQ243" s="357"/>
      <c r="CR243" s="357"/>
      <c r="CS243" s="357"/>
      <c r="CT243" s="357"/>
      <c r="CU243" s="357"/>
      <c r="CV243" s="357"/>
      <c r="CW243" s="357"/>
      <c r="CX243" s="357"/>
      <c r="CY243" s="357"/>
      <c r="CZ243" s="357"/>
      <c r="DA243" s="357"/>
      <c r="DB243" s="357"/>
      <c r="DC243" s="357"/>
      <c r="DD243" s="357"/>
      <c r="DE243" s="357"/>
      <c r="DF243" s="357"/>
      <c r="DG243" s="357"/>
      <c r="DH243" s="357"/>
      <c r="DI243" s="357"/>
      <c r="DJ243" s="357"/>
      <c r="DK243" s="357"/>
      <c r="DL243" s="357"/>
      <c r="DM243" s="357"/>
      <c r="DN243" s="357"/>
      <c r="DO243" s="357"/>
      <c r="DP243" s="357"/>
      <c r="DQ243" s="357"/>
      <c r="DR243" s="357"/>
      <c r="DS243" s="357"/>
      <c r="DT243" s="357"/>
      <c r="DU243" s="357"/>
      <c r="DV243" s="357"/>
      <c r="DW243" s="357"/>
      <c r="DX243" s="357"/>
      <c r="DY243" s="357"/>
      <c r="DZ243" s="357"/>
      <c r="EA243" s="357"/>
      <c r="EB243" s="357"/>
      <c r="EC243" s="357"/>
      <c r="ED243" s="357"/>
      <c r="EE243" s="357"/>
      <c r="EF243" s="357"/>
      <c r="EG243" s="357"/>
      <c r="EH243" s="357"/>
      <c r="EI243" s="357"/>
      <c r="EJ243" s="357"/>
      <c r="EK243" s="357"/>
      <c r="EL243" s="357"/>
      <c r="EM243" s="357"/>
      <c r="EN243" s="357"/>
      <c r="EO243" s="357"/>
      <c r="EP243" s="357"/>
      <c r="EQ243" s="357"/>
      <c r="ER243" s="357"/>
      <c r="ES243" s="357"/>
      <c r="ET243" s="357"/>
      <c r="EU243" s="357"/>
      <c r="EV243" s="357"/>
      <c r="EW243" s="357"/>
      <c r="EX243" s="357"/>
      <c r="EY243" s="357"/>
      <c r="EZ243" s="357"/>
      <c r="FA243" s="357"/>
      <c r="FB243" s="357"/>
      <c r="FC243" s="357"/>
      <c r="FD243" s="357"/>
      <c r="FE243" s="357"/>
      <c r="FF243" s="357"/>
      <c r="FG243" s="357"/>
      <c r="FH243" s="357"/>
      <c r="FI243" s="357"/>
      <c r="FJ243" s="357"/>
      <c r="FK243" s="357"/>
      <c r="FL243" s="357"/>
      <c r="FM243" s="357"/>
      <c r="FN243" s="357"/>
      <c r="FO243" s="357"/>
      <c r="FP243" s="357"/>
      <c r="FQ243" s="357"/>
      <c r="FR243" s="357"/>
      <c r="FS243" s="357"/>
      <c r="FT243" s="357"/>
      <c r="FU243" s="357"/>
      <c r="FV243" s="357"/>
      <c r="FW243" s="357"/>
      <c r="FX243" s="357"/>
      <c r="FY243" s="357"/>
      <c r="FZ243" s="357"/>
      <c r="GA243" s="357"/>
      <c r="GB243" s="357"/>
      <c r="GC243" s="357"/>
      <c r="GD243" s="357"/>
      <c r="GE243" s="357"/>
      <c r="GF243" s="357"/>
      <c r="GG243" s="357"/>
      <c r="GH243" s="357"/>
      <c r="GI243" s="357"/>
      <c r="GJ243" s="357"/>
      <c r="GK243" s="154"/>
      <c r="GL243" s="154"/>
      <c r="GM243" s="154"/>
      <c r="GN243" s="154"/>
      <c r="GO243" s="154"/>
      <c r="GP243" s="154"/>
      <c r="GQ243" s="154"/>
      <c r="GR243" s="154"/>
      <c r="GS243" s="154"/>
      <c r="GT243" s="154"/>
      <c r="GU243" s="154"/>
      <c r="GV243" s="154"/>
      <c r="GW243" s="154"/>
      <c r="GX243" s="154"/>
    </row>
    <row r="244" spans="7:206">
      <c r="G244" s="154"/>
      <c r="H244" s="154"/>
      <c r="I244" s="154"/>
      <c r="J244" s="154"/>
      <c r="K244" s="154"/>
      <c r="L244" s="154"/>
      <c r="M244" s="154"/>
      <c r="N244" s="154"/>
      <c r="O244" s="154"/>
      <c r="P244" s="154"/>
      <c r="Q244" s="154"/>
      <c r="R244" s="154"/>
      <c r="S244" s="154"/>
      <c r="T244" s="154"/>
      <c r="U244" s="154"/>
      <c r="V244" s="154"/>
      <c r="W244" s="154"/>
      <c r="X244" s="154"/>
      <c r="Y244" s="154"/>
      <c r="Z244" s="357"/>
      <c r="AA244" s="357"/>
      <c r="AB244" s="357"/>
      <c r="AC244" s="357"/>
      <c r="AD244" s="357"/>
      <c r="AE244" s="357"/>
      <c r="AF244" s="357"/>
      <c r="AG244" s="357"/>
      <c r="AH244" s="357"/>
      <c r="AI244" s="357"/>
      <c r="AJ244" s="357"/>
      <c r="AK244" s="357"/>
      <c r="AL244" s="357"/>
      <c r="AM244" s="357"/>
      <c r="AN244" s="357"/>
      <c r="AO244" s="357"/>
      <c r="AP244" s="357"/>
      <c r="AQ244" s="357"/>
      <c r="AR244" s="357"/>
      <c r="AS244" s="357"/>
      <c r="AT244" s="357"/>
      <c r="AU244" s="357"/>
      <c r="AV244" s="357"/>
      <c r="AW244" s="357"/>
      <c r="AX244" s="357"/>
      <c r="AY244" s="357"/>
      <c r="AZ244" s="357"/>
      <c r="BA244" s="357"/>
      <c r="BB244" s="357"/>
      <c r="BC244" s="357"/>
      <c r="BD244" s="357"/>
      <c r="BE244" s="357"/>
      <c r="BF244" s="357"/>
      <c r="BG244" s="357"/>
      <c r="BH244" s="357"/>
      <c r="BI244" s="357"/>
      <c r="BJ244" s="357"/>
      <c r="BK244" s="357"/>
      <c r="BL244" s="357"/>
      <c r="BM244" s="357"/>
      <c r="BN244" s="357"/>
      <c r="BO244" s="357"/>
      <c r="BP244" s="357"/>
      <c r="BQ244" s="357"/>
      <c r="BR244" s="357"/>
      <c r="BS244" s="357"/>
      <c r="BT244" s="357"/>
      <c r="BU244" s="357"/>
      <c r="BV244" s="357"/>
      <c r="BW244" s="357"/>
      <c r="BX244" s="357"/>
      <c r="BY244" s="357"/>
      <c r="BZ244" s="357"/>
      <c r="CA244" s="357"/>
      <c r="CB244" s="357"/>
      <c r="CC244" s="357"/>
      <c r="CD244" s="357"/>
      <c r="CE244" s="357"/>
      <c r="CF244" s="357"/>
      <c r="CG244" s="357"/>
      <c r="CH244" s="357"/>
      <c r="CI244" s="357"/>
      <c r="CJ244" s="357"/>
      <c r="CK244" s="357"/>
      <c r="CL244" s="357"/>
      <c r="CM244" s="357"/>
      <c r="CN244" s="357"/>
      <c r="CO244" s="357"/>
      <c r="CP244" s="357"/>
      <c r="CQ244" s="357"/>
      <c r="CR244" s="357"/>
      <c r="CS244" s="357"/>
      <c r="CT244" s="357"/>
      <c r="CU244" s="357"/>
      <c r="CV244" s="357"/>
      <c r="CW244" s="357"/>
      <c r="CX244" s="357"/>
      <c r="CY244" s="357"/>
      <c r="CZ244" s="357"/>
      <c r="DA244" s="357"/>
      <c r="DB244" s="357"/>
      <c r="DC244" s="357"/>
      <c r="DD244" s="357"/>
      <c r="DE244" s="357"/>
      <c r="DF244" s="357"/>
      <c r="DG244" s="357"/>
      <c r="DH244" s="357"/>
      <c r="DI244" s="357"/>
      <c r="DJ244" s="357"/>
      <c r="DK244" s="357"/>
      <c r="DL244" s="357"/>
      <c r="DM244" s="357"/>
      <c r="DN244" s="357"/>
      <c r="DO244" s="357"/>
      <c r="DP244" s="357"/>
      <c r="DQ244" s="357"/>
      <c r="DR244" s="357"/>
      <c r="DS244" s="357"/>
      <c r="DT244" s="357"/>
      <c r="DU244" s="357"/>
      <c r="DV244" s="357"/>
      <c r="DW244" s="357"/>
      <c r="DX244" s="357"/>
      <c r="DY244" s="357"/>
      <c r="DZ244" s="357"/>
      <c r="EA244" s="357"/>
      <c r="EB244" s="357"/>
      <c r="EC244" s="357"/>
      <c r="ED244" s="357"/>
      <c r="EE244" s="357"/>
      <c r="EF244" s="357"/>
      <c r="EG244" s="357"/>
      <c r="EH244" s="357"/>
      <c r="EI244" s="357"/>
      <c r="EJ244" s="357"/>
      <c r="EK244" s="357"/>
      <c r="EL244" s="357"/>
      <c r="EM244" s="357"/>
      <c r="EN244" s="357"/>
      <c r="EO244" s="357"/>
      <c r="EP244" s="357"/>
      <c r="EQ244" s="357"/>
      <c r="ER244" s="357"/>
      <c r="ES244" s="357"/>
      <c r="ET244" s="357"/>
      <c r="EU244" s="357"/>
      <c r="EV244" s="357"/>
      <c r="EW244" s="357"/>
      <c r="EX244" s="357"/>
      <c r="EY244" s="357"/>
      <c r="EZ244" s="357"/>
      <c r="FA244" s="357"/>
      <c r="FB244" s="357"/>
      <c r="FC244" s="357"/>
      <c r="FD244" s="357"/>
      <c r="FE244" s="357"/>
      <c r="FF244" s="357"/>
      <c r="FG244" s="357"/>
      <c r="FH244" s="357"/>
      <c r="FI244" s="357"/>
      <c r="FJ244" s="357"/>
      <c r="FK244" s="357"/>
      <c r="FL244" s="357"/>
      <c r="FM244" s="357"/>
      <c r="FN244" s="357"/>
      <c r="FO244" s="357"/>
      <c r="FP244" s="357"/>
      <c r="FQ244" s="357"/>
      <c r="FR244" s="357"/>
      <c r="FS244" s="357"/>
      <c r="FT244" s="357"/>
      <c r="FU244" s="357"/>
      <c r="FV244" s="357"/>
      <c r="FW244" s="357"/>
      <c r="FX244" s="357"/>
      <c r="FY244" s="357"/>
      <c r="FZ244" s="357"/>
      <c r="GA244" s="357"/>
      <c r="GB244" s="357"/>
      <c r="GC244" s="357"/>
      <c r="GD244" s="357"/>
      <c r="GE244" s="357"/>
      <c r="GF244" s="357"/>
      <c r="GG244" s="357"/>
      <c r="GH244" s="357"/>
      <c r="GI244" s="357"/>
      <c r="GJ244" s="357"/>
      <c r="GK244" s="154"/>
      <c r="GL244" s="154"/>
      <c r="GM244" s="154"/>
      <c r="GN244" s="154"/>
      <c r="GO244" s="154"/>
      <c r="GP244" s="154"/>
      <c r="GQ244" s="154"/>
      <c r="GR244" s="154"/>
      <c r="GS244" s="154"/>
      <c r="GT244" s="154"/>
      <c r="GU244" s="154"/>
      <c r="GV244" s="154"/>
      <c r="GW244" s="154"/>
      <c r="GX244" s="154"/>
    </row>
    <row r="245" spans="7:206">
      <c r="G245" s="154"/>
      <c r="H245" s="154"/>
      <c r="I245" s="154"/>
      <c r="J245" s="154"/>
      <c r="K245" s="154"/>
      <c r="L245" s="154"/>
      <c r="M245" s="154"/>
      <c r="N245" s="154"/>
      <c r="O245" s="154"/>
      <c r="P245" s="154"/>
      <c r="Q245" s="154"/>
      <c r="R245" s="154"/>
      <c r="S245" s="154"/>
      <c r="T245" s="154"/>
      <c r="U245" s="154"/>
      <c r="V245" s="154"/>
      <c r="W245" s="154"/>
      <c r="X245" s="154"/>
      <c r="Y245" s="154"/>
      <c r="Z245" s="357"/>
      <c r="AA245" s="357"/>
      <c r="AB245" s="357"/>
      <c r="AC245" s="357"/>
      <c r="AD245" s="357"/>
      <c r="AE245" s="357"/>
      <c r="AF245" s="357"/>
      <c r="AG245" s="357"/>
      <c r="AH245" s="357"/>
      <c r="AI245" s="357"/>
      <c r="AJ245" s="357"/>
      <c r="AK245" s="357"/>
      <c r="AL245" s="357"/>
      <c r="AM245" s="357"/>
      <c r="AN245" s="357"/>
      <c r="AO245" s="357"/>
      <c r="AP245" s="357"/>
      <c r="AQ245" s="357"/>
      <c r="AR245" s="357"/>
      <c r="AS245" s="357"/>
      <c r="AT245" s="357"/>
      <c r="AU245" s="357"/>
      <c r="AV245" s="357"/>
      <c r="AW245" s="357"/>
      <c r="AX245" s="357"/>
      <c r="AY245" s="357"/>
      <c r="AZ245" s="357"/>
      <c r="BA245" s="357"/>
      <c r="BB245" s="357"/>
      <c r="BC245" s="357"/>
      <c r="BD245" s="357"/>
      <c r="BE245" s="357"/>
      <c r="BF245" s="357"/>
      <c r="BG245" s="357"/>
      <c r="BH245" s="357"/>
      <c r="BI245" s="357"/>
      <c r="BJ245" s="357"/>
      <c r="BK245" s="357"/>
      <c r="BL245" s="357"/>
      <c r="BM245" s="357"/>
      <c r="BN245" s="357"/>
      <c r="BO245" s="357"/>
      <c r="BP245" s="357"/>
      <c r="BQ245" s="357"/>
      <c r="BR245" s="357"/>
      <c r="BS245" s="357"/>
      <c r="BT245" s="357"/>
      <c r="BU245" s="357"/>
      <c r="BV245" s="357"/>
      <c r="BW245" s="357"/>
      <c r="BX245" s="357"/>
      <c r="BY245" s="357"/>
      <c r="BZ245" s="357"/>
      <c r="CA245" s="357"/>
      <c r="CB245" s="357"/>
      <c r="CC245" s="357"/>
      <c r="CD245" s="357"/>
      <c r="CE245" s="357"/>
      <c r="CF245" s="357"/>
      <c r="CG245" s="357"/>
      <c r="CH245" s="357"/>
      <c r="CI245" s="357"/>
      <c r="CJ245" s="357"/>
      <c r="CK245" s="357"/>
      <c r="CL245" s="357"/>
      <c r="CM245" s="357"/>
      <c r="CN245" s="357"/>
      <c r="CO245" s="357"/>
      <c r="CP245" s="357"/>
      <c r="CQ245" s="357"/>
      <c r="CR245" s="357"/>
      <c r="CS245" s="357"/>
      <c r="CT245" s="357"/>
      <c r="CU245" s="357"/>
      <c r="CV245" s="357"/>
      <c r="CW245" s="357"/>
      <c r="CX245" s="357"/>
      <c r="CY245" s="357"/>
      <c r="CZ245" s="357"/>
      <c r="DA245" s="357"/>
      <c r="DB245" s="357"/>
      <c r="DC245" s="357"/>
      <c r="DD245" s="357"/>
      <c r="DE245" s="357"/>
      <c r="DF245" s="357"/>
      <c r="DG245" s="357"/>
      <c r="DH245" s="357"/>
      <c r="DI245" s="357"/>
      <c r="DJ245" s="357"/>
      <c r="DK245" s="357"/>
      <c r="DL245" s="357"/>
      <c r="DM245" s="357"/>
      <c r="DN245" s="357"/>
      <c r="DO245" s="357"/>
      <c r="DP245" s="357"/>
      <c r="DQ245" s="357"/>
      <c r="DR245" s="357"/>
      <c r="DS245" s="357"/>
      <c r="DT245" s="357"/>
      <c r="DU245" s="357"/>
      <c r="DV245" s="357"/>
      <c r="DW245" s="357"/>
      <c r="DX245" s="357"/>
      <c r="DY245" s="357"/>
      <c r="DZ245" s="357"/>
      <c r="EA245" s="357"/>
      <c r="EB245" s="357"/>
      <c r="EC245" s="357"/>
      <c r="ED245" s="357"/>
      <c r="EE245" s="357"/>
      <c r="EF245" s="357"/>
      <c r="EG245" s="357"/>
      <c r="EH245" s="357"/>
      <c r="EI245" s="357"/>
      <c r="EJ245" s="357"/>
      <c r="EK245" s="357"/>
      <c r="EL245" s="357"/>
      <c r="EM245" s="357"/>
      <c r="EN245" s="357"/>
      <c r="EO245" s="357"/>
      <c r="EP245" s="357"/>
      <c r="EQ245" s="357"/>
      <c r="ER245" s="357"/>
      <c r="ES245" s="357"/>
      <c r="ET245" s="357"/>
      <c r="EU245" s="357"/>
      <c r="EV245" s="357"/>
      <c r="EW245" s="357"/>
      <c r="EX245" s="357"/>
      <c r="EY245" s="357"/>
      <c r="EZ245" s="357"/>
      <c r="FA245" s="357"/>
      <c r="FB245" s="357"/>
      <c r="FC245" s="357"/>
      <c r="FD245" s="357"/>
      <c r="FE245" s="357"/>
      <c r="FF245" s="357"/>
      <c r="FG245" s="357"/>
      <c r="FH245" s="357"/>
      <c r="FI245" s="357"/>
      <c r="FJ245" s="357"/>
      <c r="FK245" s="357"/>
      <c r="FL245" s="357"/>
      <c r="FM245" s="357"/>
      <c r="FN245" s="357"/>
      <c r="FO245" s="357"/>
      <c r="FP245" s="357"/>
      <c r="FQ245" s="357"/>
      <c r="FR245" s="357"/>
      <c r="FS245" s="357"/>
      <c r="FT245" s="357"/>
      <c r="FU245" s="357"/>
      <c r="FV245" s="357"/>
      <c r="FW245" s="357"/>
      <c r="FX245" s="357"/>
      <c r="FY245" s="357"/>
      <c r="FZ245" s="357"/>
      <c r="GA245" s="357"/>
      <c r="GB245" s="357"/>
      <c r="GC245" s="357"/>
      <c r="GD245" s="357"/>
      <c r="GE245" s="357"/>
      <c r="GF245" s="357"/>
      <c r="GG245" s="357"/>
      <c r="GH245" s="357"/>
      <c r="GI245" s="357"/>
      <c r="GJ245" s="357"/>
      <c r="GK245" s="154"/>
      <c r="GL245" s="154"/>
      <c r="GM245" s="154"/>
      <c r="GN245" s="154"/>
      <c r="GO245" s="154"/>
      <c r="GP245" s="154"/>
      <c r="GQ245" s="154"/>
      <c r="GR245" s="154"/>
      <c r="GS245" s="154"/>
      <c r="GT245" s="154"/>
      <c r="GU245" s="154"/>
      <c r="GV245" s="154"/>
      <c r="GW245" s="154"/>
      <c r="GX245" s="154"/>
    </row>
    <row r="246" spans="7:206">
      <c r="G246" s="154"/>
      <c r="H246" s="154"/>
      <c r="I246" s="154"/>
      <c r="J246" s="154"/>
      <c r="K246" s="154"/>
      <c r="L246" s="154"/>
      <c r="M246" s="154"/>
      <c r="N246" s="154"/>
      <c r="O246" s="154"/>
      <c r="P246" s="154"/>
      <c r="Q246" s="154"/>
      <c r="R246" s="154"/>
      <c r="S246" s="154"/>
      <c r="T246" s="154"/>
      <c r="U246" s="154"/>
      <c r="V246" s="154"/>
      <c r="W246" s="154"/>
      <c r="X246" s="154"/>
      <c r="Y246" s="154"/>
      <c r="Z246" s="357"/>
      <c r="AA246" s="357"/>
      <c r="AB246" s="357"/>
      <c r="AC246" s="357"/>
      <c r="AD246" s="357"/>
      <c r="AE246" s="357"/>
      <c r="AF246" s="357"/>
      <c r="AG246" s="357"/>
      <c r="AH246" s="357"/>
      <c r="AI246" s="357"/>
      <c r="AJ246" s="357"/>
      <c r="AK246" s="357"/>
      <c r="AL246" s="357"/>
      <c r="AM246" s="357"/>
      <c r="AN246" s="357"/>
      <c r="AO246" s="357"/>
      <c r="AP246" s="357"/>
      <c r="AQ246" s="357"/>
      <c r="AR246" s="357"/>
      <c r="AS246" s="357"/>
      <c r="AT246" s="357"/>
      <c r="AU246" s="357"/>
      <c r="AV246" s="357"/>
      <c r="AW246" s="357"/>
      <c r="AX246" s="357"/>
      <c r="AY246" s="357"/>
      <c r="AZ246" s="357"/>
      <c r="BA246" s="357"/>
      <c r="BB246" s="357"/>
      <c r="BC246" s="357"/>
      <c r="BD246" s="357"/>
      <c r="BE246" s="357"/>
      <c r="BF246" s="357"/>
      <c r="BG246" s="357"/>
      <c r="BH246" s="357"/>
      <c r="BI246" s="357"/>
      <c r="BJ246" s="357"/>
      <c r="BK246" s="357"/>
      <c r="BL246" s="357"/>
      <c r="BM246" s="357"/>
      <c r="BN246" s="357"/>
      <c r="BO246" s="357"/>
      <c r="BP246" s="357"/>
      <c r="BQ246" s="357"/>
      <c r="BR246" s="357"/>
      <c r="BS246" s="357"/>
      <c r="BT246" s="357"/>
      <c r="BU246" s="357"/>
      <c r="BV246" s="357"/>
      <c r="BW246" s="357"/>
      <c r="BX246" s="357"/>
      <c r="BY246" s="357"/>
      <c r="BZ246" s="357"/>
      <c r="CA246" s="357"/>
      <c r="CB246" s="357"/>
      <c r="CC246" s="357"/>
      <c r="CD246" s="357"/>
      <c r="CE246" s="357"/>
      <c r="CF246" s="357"/>
      <c r="CG246" s="357"/>
      <c r="CH246" s="357"/>
      <c r="CI246" s="357"/>
      <c r="CJ246" s="357"/>
      <c r="CK246" s="357"/>
      <c r="CL246" s="357"/>
      <c r="CM246" s="357"/>
      <c r="CN246" s="357"/>
      <c r="CO246" s="357"/>
      <c r="CP246" s="357"/>
      <c r="CQ246" s="357"/>
      <c r="CR246" s="357"/>
      <c r="CS246" s="357"/>
      <c r="CT246" s="357"/>
      <c r="CU246" s="357"/>
      <c r="CV246" s="357"/>
      <c r="CW246" s="357"/>
      <c r="CX246" s="357"/>
      <c r="CY246" s="357"/>
      <c r="CZ246" s="357"/>
      <c r="DA246" s="357"/>
      <c r="DB246" s="357"/>
      <c r="DC246" s="357"/>
      <c r="DD246" s="357"/>
      <c r="DE246" s="357"/>
      <c r="DF246" s="357"/>
      <c r="DG246" s="357"/>
      <c r="DH246" s="357"/>
      <c r="DI246" s="357"/>
      <c r="DJ246" s="357"/>
      <c r="DK246" s="357"/>
      <c r="DL246" s="357"/>
      <c r="DM246" s="357"/>
      <c r="DN246" s="357"/>
      <c r="DO246" s="357"/>
      <c r="DP246" s="357"/>
      <c r="DQ246" s="357"/>
      <c r="DR246" s="357"/>
      <c r="DS246" s="357"/>
      <c r="DT246" s="357"/>
      <c r="DU246" s="357"/>
      <c r="DV246" s="357"/>
      <c r="DW246" s="357"/>
      <c r="DX246" s="357"/>
      <c r="DY246" s="357"/>
      <c r="DZ246" s="357"/>
      <c r="EA246" s="357"/>
      <c r="EB246" s="357"/>
      <c r="EC246" s="357"/>
      <c r="ED246" s="357"/>
      <c r="EE246" s="357"/>
      <c r="EF246" s="357"/>
      <c r="EG246" s="357"/>
      <c r="EH246" s="357"/>
      <c r="EI246" s="357"/>
      <c r="EJ246" s="357"/>
      <c r="EK246" s="357"/>
      <c r="EL246" s="357"/>
      <c r="EM246" s="357"/>
      <c r="EN246" s="357"/>
      <c r="EO246" s="357"/>
      <c r="EP246" s="357"/>
      <c r="EQ246" s="357"/>
      <c r="ER246" s="357"/>
      <c r="ES246" s="357"/>
      <c r="ET246" s="357"/>
      <c r="EU246" s="357"/>
      <c r="EV246" s="357"/>
      <c r="EW246" s="357"/>
      <c r="EX246" s="357"/>
      <c r="EY246" s="357"/>
      <c r="EZ246" s="357"/>
      <c r="FA246" s="357"/>
      <c r="FB246" s="357"/>
      <c r="FC246" s="357"/>
      <c r="FD246" s="357"/>
      <c r="FE246" s="357"/>
      <c r="FF246" s="357"/>
      <c r="FG246" s="357"/>
      <c r="FH246" s="357"/>
      <c r="FI246" s="357"/>
      <c r="FJ246" s="357"/>
      <c r="FK246" s="357"/>
      <c r="FL246" s="357"/>
      <c r="FM246" s="357"/>
      <c r="FN246" s="357"/>
      <c r="FO246" s="357"/>
      <c r="FP246" s="357"/>
      <c r="FQ246" s="357"/>
      <c r="FR246" s="357"/>
      <c r="FS246" s="357"/>
      <c r="FT246" s="357"/>
      <c r="FU246" s="357"/>
      <c r="FV246" s="357"/>
      <c r="FW246" s="357"/>
      <c r="FX246" s="357"/>
      <c r="FY246" s="357"/>
      <c r="FZ246" s="357"/>
      <c r="GA246" s="357"/>
      <c r="GB246" s="357"/>
      <c r="GC246" s="357"/>
      <c r="GD246" s="357"/>
      <c r="GE246" s="357"/>
      <c r="GF246" s="357"/>
      <c r="GG246" s="357"/>
      <c r="GH246" s="357"/>
      <c r="GI246" s="357"/>
      <c r="GJ246" s="357"/>
      <c r="GK246" s="154"/>
      <c r="GL246" s="154"/>
      <c r="GM246" s="154"/>
      <c r="GN246" s="154"/>
      <c r="GO246" s="154"/>
      <c r="GP246" s="154"/>
      <c r="GQ246" s="154"/>
      <c r="GR246" s="154"/>
      <c r="GS246" s="154"/>
      <c r="GT246" s="154"/>
      <c r="GU246" s="154"/>
      <c r="GV246" s="154"/>
      <c r="GW246" s="154"/>
      <c r="GX246" s="154"/>
    </row>
    <row r="247" spans="7:206">
      <c r="G247" s="154"/>
      <c r="H247" s="154"/>
      <c r="I247" s="154"/>
      <c r="J247" s="154"/>
      <c r="K247" s="154"/>
      <c r="L247" s="154"/>
      <c r="M247" s="154"/>
      <c r="N247" s="154"/>
      <c r="O247" s="154"/>
      <c r="P247" s="154"/>
      <c r="Q247" s="154"/>
      <c r="R247" s="154"/>
      <c r="S247" s="154"/>
      <c r="T247" s="154"/>
      <c r="U247" s="154"/>
      <c r="V247" s="154"/>
      <c r="W247" s="154"/>
      <c r="X247" s="154"/>
      <c r="Y247" s="154"/>
      <c r="Z247" s="357"/>
      <c r="AA247" s="357"/>
      <c r="AB247" s="357"/>
      <c r="AC247" s="357"/>
      <c r="AD247" s="357"/>
      <c r="AE247" s="357"/>
      <c r="AF247" s="357"/>
      <c r="AG247" s="357"/>
      <c r="AH247" s="357"/>
      <c r="AI247" s="357"/>
      <c r="AJ247" s="357"/>
      <c r="AK247" s="357"/>
      <c r="AL247" s="357"/>
      <c r="AM247" s="357"/>
      <c r="AN247" s="357"/>
      <c r="AO247" s="357"/>
      <c r="AP247" s="357"/>
      <c r="AQ247" s="357"/>
      <c r="AR247" s="357"/>
      <c r="AS247" s="357"/>
      <c r="AT247" s="357"/>
      <c r="AU247" s="357"/>
      <c r="AV247" s="357"/>
      <c r="AW247" s="357"/>
      <c r="AX247" s="357"/>
      <c r="AY247" s="357"/>
      <c r="AZ247" s="357"/>
      <c r="BA247" s="357"/>
      <c r="BB247" s="357"/>
      <c r="BC247" s="357"/>
      <c r="BD247" s="357"/>
      <c r="BE247" s="357"/>
      <c r="BF247" s="357"/>
      <c r="BG247" s="357"/>
      <c r="BH247" s="357"/>
      <c r="BI247" s="357"/>
      <c r="BJ247" s="357"/>
      <c r="BK247" s="357"/>
      <c r="BL247" s="357"/>
      <c r="BM247" s="357"/>
      <c r="BN247" s="357"/>
      <c r="BO247" s="357"/>
      <c r="BP247" s="357"/>
      <c r="BQ247" s="357"/>
      <c r="BR247" s="357"/>
      <c r="BS247" s="357"/>
      <c r="BT247" s="357"/>
      <c r="BU247" s="357"/>
      <c r="BV247" s="357"/>
      <c r="BW247" s="357"/>
      <c r="BX247" s="357"/>
      <c r="BY247" s="357"/>
      <c r="BZ247" s="357"/>
      <c r="CA247" s="357"/>
      <c r="CB247" s="357"/>
      <c r="CC247" s="357"/>
      <c r="CD247" s="357"/>
      <c r="CE247" s="357"/>
      <c r="CF247" s="357"/>
      <c r="CG247" s="357"/>
      <c r="CH247" s="357"/>
      <c r="CI247" s="357"/>
      <c r="CJ247" s="357"/>
      <c r="CK247" s="357"/>
      <c r="CL247" s="357"/>
      <c r="CM247" s="357"/>
      <c r="CN247" s="357"/>
      <c r="CO247" s="357"/>
      <c r="CP247" s="357"/>
      <c r="CQ247" s="357"/>
      <c r="CR247" s="357"/>
      <c r="CS247" s="357"/>
      <c r="CT247" s="357"/>
      <c r="CU247" s="357"/>
      <c r="CV247" s="357"/>
      <c r="CW247" s="357"/>
      <c r="CX247" s="357"/>
      <c r="CY247" s="357"/>
      <c r="CZ247" s="357"/>
      <c r="DA247" s="357"/>
      <c r="DB247" s="357"/>
      <c r="DC247" s="357"/>
      <c r="DD247" s="357"/>
      <c r="DE247" s="357"/>
      <c r="DF247" s="357"/>
      <c r="DG247" s="357"/>
      <c r="DH247" s="357"/>
      <c r="DI247" s="357"/>
      <c r="DJ247" s="357"/>
      <c r="DK247" s="357"/>
      <c r="DL247" s="357"/>
      <c r="DM247" s="357"/>
      <c r="DN247" s="357"/>
      <c r="DO247" s="357"/>
      <c r="DP247" s="357"/>
      <c r="DQ247" s="357"/>
      <c r="DR247" s="357"/>
      <c r="DS247" s="357"/>
      <c r="DT247" s="357"/>
      <c r="DU247" s="357"/>
      <c r="DV247" s="357"/>
      <c r="DW247" s="357"/>
      <c r="DX247" s="357"/>
      <c r="DY247" s="357"/>
      <c r="DZ247" s="357"/>
      <c r="EA247" s="357"/>
      <c r="EB247" s="357"/>
      <c r="EC247" s="357"/>
      <c r="ED247" s="357"/>
      <c r="EE247" s="357"/>
      <c r="EF247" s="357"/>
      <c r="EG247" s="357"/>
      <c r="EH247" s="357"/>
      <c r="EI247" s="357"/>
      <c r="EJ247" s="357"/>
      <c r="EK247" s="357"/>
      <c r="EL247" s="357"/>
      <c r="EM247" s="357"/>
      <c r="EN247" s="357"/>
      <c r="EO247" s="357"/>
      <c r="EP247" s="357"/>
      <c r="EQ247" s="357"/>
      <c r="ER247" s="357"/>
      <c r="ES247" s="357"/>
      <c r="ET247" s="357"/>
      <c r="EU247" s="357"/>
      <c r="EV247" s="357"/>
      <c r="EW247" s="357"/>
      <c r="EX247" s="357"/>
      <c r="EY247" s="357"/>
      <c r="EZ247" s="357"/>
      <c r="FA247" s="357"/>
      <c r="FB247" s="357"/>
      <c r="FC247" s="357"/>
      <c r="FD247" s="357"/>
      <c r="FE247" s="357"/>
      <c r="FF247" s="357"/>
      <c r="FG247" s="357"/>
      <c r="FH247" s="357"/>
      <c r="FI247" s="357"/>
      <c r="FJ247" s="357"/>
      <c r="FK247" s="357"/>
      <c r="FL247" s="357"/>
      <c r="FM247" s="357"/>
      <c r="FN247" s="357"/>
      <c r="FO247" s="357"/>
      <c r="FP247" s="357"/>
      <c r="FQ247" s="357"/>
      <c r="FR247" s="357"/>
      <c r="FS247" s="357"/>
      <c r="FT247" s="357"/>
      <c r="FU247" s="357"/>
      <c r="FV247" s="357"/>
      <c r="FW247" s="357"/>
      <c r="FX247" s="357"/>
      <c r="FY247" s="357"/>
      <c r="FZ247" s="357"/>
      <c r="GA247" s="357"/>
      <c r="GB247" s="357"/>
      <c r="GC247" s="357"/>
      <c r="GD247" s="357"/>
      <c r="GE247" s="357"/>
      <c r="GF247" s="357"/>
      <c r="GG247" s="357"/>
      <c r="GH247" s="357"/>
      <c r="GI247" s="357"/>
      <c r="GJ247" s="357"/>
      <c r="GK247" s="154"/>
      <c r="GL247" s="154"/>
      <c r="GM247" s="154"/>
      <c r="GN247" s="154"/>
      <c r="GO247" s="154"/>
      <c r="GP247" s="154"/>
      <c r="GQ247" s="154"/>
      <c r="GR247" s="154"/>
      <c r="GS247" s="154"/>
      <c r="GT247" s="154"/>
      <c r="GU247" s="154"/>
      <c r="GV247" s="154"/>
      <c r="GW247" s="154"/>
      <c r="GX247" s="154"/>
    </row>
    <row r="248" spans="7:206">
      <c r="G248" s="154"/>
      <c r="H248" s="154"/>
      <c r="I248" s="154"/>
      <c r="J248" s="154"/>
      <c r="K248" s="154"/>
      <c r="L248" s="154"/>
      <c r="M248" s="154"/>
      <c r="N248" s="154"/>
      <c r="O248" s="154"/>
      <c r="P248" s="154"/>
      <c r="Q248" s="154"/>
      <c r="R248" s="154"/>
      <c r="S248" s="154"/>
      <c r="T248" s="154"/>
      <c r="U248" s="154"/>
      <c r="V248" s="154"/>
      <c r="W248" s="154"/>
      <c r="X248" s="154"/>
      <c r="Y248" s="154"/>
      <c r="Z248" s="357"/>
      <c r="AA248" s="357"/>
      <c r="AB248" s="357"/>
      <c r="AC248" s="357"/>
      <c r="AD248" s="357"/>
      <c r="AE248" s="357"/>
      <c r="AF248" s="357"/>
      <c r="AG248" s="357"/>
      <c r="AH248" s="357"/>
      <c r="AI248" s="357"/>
      <c r="AJ248" s="357"/>
      <c r="AK248" s="357"/>
      <c r="AL248" s="357"/>
      <c r="AM248" s="357"/>
      <c r="AN248" s="357"/>
      <c r="AO248" s="357"/>
      <c r="AP248" s="357"/>
      <c r="AQ248" s="357"/>
      <c r="AR248" s="357"/>
      <c r="AS248" s="357"/>
      <c r="AT248" s="357"/>
      <c r="AU248" s="357"/>
      <c r="AV248" s="357"/>
      <c r="AW248" s="357"/>
      <c r="AX248" s="357"/>
      <c r="AY248" s="357"/>
      <c r="AZ248" s="357"/>
      <c r="BA248" s="357"/>
      <c r="BB248" s="357"/>
      <c r="BC248" s="357"/>
      <c r="BD248" s="357"/>
      <c r="BE248" s="357"/>
      <c r="BF248" s="357"/>
      <c r="BG248" s="357"/>
      <c r="BH248" s="357"/>
      <c r="BI248" s="357"/>
      <c r="BJ248" s="357"/>
      <c r="BK248" s="357"/>
      <c r="BL248" s="357"/>
      <c r="BM248" s="357"/>
      <c r="BN248" s="357"/>
      <c r="BO248" s="357"/>
      <c r="BP248" s="357"/>
      <c r="BQ248" s="357"/>
      <c r="BR248" s="357"/>
      <c r="BS248" s="357"/>
      <c r="BT248" s="357"/>
      <c r="BU248" s="357"/>
      <c r="BV248" s="357"/>
      <c r="BW248" s="357"/>
      <c r="BX248" s="357"/>
      <c r="BY248" s="357"/>
      <c r="BZ248" s="357"/>
      <c r="CA248" s="357"/>
      <c r="CB248" s="357"/>
      <c r="CC248" s="357"/>
      <c r="CD248" s="357"/>
      <c r="CE248" s="357"/>
      <c r="CF248" s="357"/>
      <c r="CG248" s="357"/>
      <c r="CH248" s="357"/>
      <c r="CI248" s="357"/>
      <c r="CJ248" s="357"/>
      <c r="CK248" s="357"/>
      <c r="CL248" s="357"/>
      <c r="CM248" s="357"/>
      <c r="CN248" s="357"/>
      <c r="CO248" s="357"/>
      <c r="CP248" s="357"/>
      <c r="CQ248" s="357"/>
      <c r="CR248" s="357"/>
      <c r="CS248" s="357"/>
      <c r="CT248" s="357"/>
      <c r="CU248" s="357"/>
      <c r="CV248" s="357"/>
      <c r="CW248" s="357"/>
      <c r="CX248" s="357"/>
      <c r="CY248" s="357"/>
      <c r="CZ248" s="357"/>
      <c r="DA248" s="357"/>
      <c r="DB248" s="357"/>
      <c r="DC248" s="357"/>
      <c r="DD248" s="357"/>
      <c r="DE248" s="357"/>
      <c r="DF248" s="357"/>
      <c r="DG248" s="357"/>
      <c r="DH248" s="357"/>
      <c r="DI248" s="357"/>
      <c r="DJ248" s="357"/>
      <c r="DK248" s="357"/>
      <c r="DL248" s="357"/>
      <c r="DM248" s="357"/>
      <c r="DN248" s="357"/>
      <c r="DO248" s="357"/>
      <c r="DP248" s="357"/>
      <c r="DQ248" s="357"/>
      <c r="DR248" s="357"/>
      <c r="DS248" s="357"/>
      <c r="DT248" s="357"/>
      <c r="DU248" s="357"/>
      <c r="DV248" s="357"/>
      <c r="DW248" s="357"/>
      <c r="DX248" s="357"/>
      <c r="DY248" s="357"/>
      <c r="DZ248" s="357"/>
      <c r="EA248" s="357"/>
      <c r="EB248" s="357"/>
      <c r="EC248" s="357"/>
      <c r="ED248" s="357"/>
      <c r="EE248" s="357"/>
      <c r="EF248" s="357"/>
      <c r="EG248" s="357"/>
      <c r="EH248" s="357"/>
      <c r="EI248" s="357"/>
      <c r="EJ248" s="357"/>
      <c r="EK248" s="357"/>
      <c r="EL248" s="357"/>
      <c r="EM248" s="357"/>
      <c r="EN248" s="357"/>
      <c r="EO248" s="357"/>
      <c r="EP248" s="357"/>
      <c r="EQ248" s="357"/>
      <c r="ER248" s="357"/>
      <c r="ES248" s="357"/>
      <c r="ET248" s="357"/>
      <c r="EU248" s="357"/>
      <c r="EV248" s="357"/>
      <c r="EW248" s="357"/>
      <c r="EX248" s="357"/>
      <c r="EY248" s="357"/>
      <c r="EZ248" s="357"/>
      <c r="FA248" s="357"/>
      <c r="FB248" s="357"/>
      <c r="FC248" s="357"/>
      <c r="FD248" s="357"/>
      <c r="FE248" s="357"/>
      <c r="FF248" s="357"/>
      <c r="FG248" s="357"/>
      <c r="FH248" s="357"/>
      <c r="FI248" s="357"/>
      <c r="FJ248" s="357"/>
      <c r="FK248" s="357"/>
      <c r="FL248" s="357"/>
      <c r="FM248" s="357"/>
      <c r="FN248" s="357"/>
      <c r="FO248" s="357"/>
      <c r="FP248" s="357"/>
      <c r="FQ248" s="357"/>
      <c r="FR248" s="357"/>
      <c r="FS248" s="357"/>
      <c r="FT248" s="357"/>
      <c r="FU248" s="357"/>
      <c r="FV248" s="357"/>
      <c r="FW248" s="357"/>
      <c r="FX248" s="357"/>
      <c r="FY248" s="357"/>
      <c r="FZ248" s="357"/>
      <c r="GA248" s="357"/>
      <c r="GB248" s="357"/>
      <c r="GC248" s="357"/>
      <c r="GD248" s="357"/>
      <c r="GE248" s="357"/>
      <c r="GF248" s="357"/>
      <c r="GG248" s="357"/>
      <c r="GH248" s="357"/>
      <c r="GI248" s="357"/>
      <c r="GJ248" s="357"/>
      <c r="GK248" s="154"/>
      <c r="GL248" s="154"/>
      <c r="GM248" s="154"/>
      <c r="GN248" s="154"/>
      <c r="GO248" s="154"/>
      <c r="GP248" s="154"/>
      <c r="GQ248" s="154"/>
      <c r="GR248" s="154"/>
      <c r="GS248" s="154"/>
      <c r="GT248" s="154"/>
      <c r="GU248" s="154"/>
      <c r="GV248" s="154"/>
      <c r="GW248" s="154"/>
      <c r="GX248" s="154"/>
    </row>
    <row r="249" spans="7:206">
      <c r="G249" s="154"/>
      <c r="H249" s="154"/>
      <c r="I249" s="154"/>
      <c r="J249" s="154"/>
      <c r="K249" s="154"/>
      <c r="L249" s="154"/>
      <c r="M249" s="154"/>
      <c r="N249" s="154"/>
      <c r="O249" s="154"/>
      <c r="P249" s="154"/>
      <c r="Q249" s="154"/>
      <c r="R249" s="154"/>
      <c r="S249" s="154"/>
      <c r="T249" s="154"/>
      <c r="U249" s="154"/>
      <c r="V249" s="154"/>
      <c r="W249" s="154"/>
      <c r="X249" s="154"/>
      <c r="Y249" s="154"/>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57"/>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7"/>
      <c r="BW249" s="357"/>
      <c r="BX249" s="357"/>
      <c r="BY249" s="357"/>
      <c r="BZ249" s="357"/>
      <c r="CA249" s="357"/>
      <c r="CB249" s="357"/>
      <c r="CC249" s="357"/>
      <c r="CD249" s="357"/>
      <c r="CE249" s="357"/>
      <c r="CF249" s="357"/>
      <c r="CG249" s="357"/>
      <c r="CH249" s="357"/>
      <c r="CI249" s="357"/>
      <c r="CJ249" s="357"/>
      <c r="CK249" s="357"/>
      <c r="CL249" s="357"/>
      <c r="CM249" s="357"/>
      <c r="CN249" s="357"/>
      <c r="CO249" s="357"/>
      <c r="CP249" s="357"/>
      <c r="CQ249" s="357"/>
      <c r="CR249" s="357"/>
      <c r="CS249" s="357"/>
      <c r="CT249" s="357"/>
      <c r="CU249" s="357"/>
      <c r="CV249" s="357"/>
      <c r="CW249" s="357"/>
      <c r="CX249" s="357"/>
      <c r="CY249" s="357"/>
      <c r="CZ249" s="357"/>
      <c r="DA249" s="357"/>
      <c r="DB249" s="357"/>
      <c r="DC249" s="357"/>
      <c r="DD249" s="357"/>
      <c r="DE249" s="357"/>
      <c r="DF249" s="357"/>
      <c r="DG249" s="357"/>
      <c r="DH249" s="357"/>
      <c r="DI249" s="357"/>
      <c r="DJ249" s="357"/>
      <c r="DK249" s="357"/>
      <c r="DL249" s="357"/>
      <c r="DM249" s="357"/>
      <c r="DN249" s="357"/>
      <c r="DO249" s="357"/>
      <c r="DP249" s="357"/>
      <c r="DQ249" s="357"/>
      <c r="DR249" s="357"/>
      <c r="DS249" s="357"/>
      <c r="DT249" s="357"/>
      <c r="DU249" s="357"/>
      <c r="DV249" s="357"/>
      <c r="DW249" s="357"/>
      <c r="DX249" s="357"/>
      <c r="DY249" s="357"/>
      <c r="DZ249" s="357"/>
      <c r="EA249" s="357"/>
      <c r="EB249" s="357"/>
      <c r="EC249" s="357"/>
      <c r="ED249" s="357"/>
      <c r="EE249" s="357"/>
      <c r="EF249" s="357"/>
      <c r="EG249" s="357"/>
      <c r="EH249" s="357"/>
      <c r="EI249" s="357"/>
      <c r="EJ249" s="357"/>
      <c r="EK249" s="357"/>
      <c r="EL249" s="357"/>
      <c r="EM249" s="357"/>
      <c r="EN249" s="357"/>
      <c r="EO249" s="357"/>
      <c r="EP249" s="357"/>
      <c r="EQ249" s="357"/>
      <c r="ER249" s="357"/>
      <c r="ES249" s="357"/>
      <c r="ET249" s="357"/>
      <c r="EU249" s="357"/>
      <c r="EV249" s="357"/>
      <c r="EW249" s="357"/>
      <c r="EX249" s="357"/>
      <c r="EY249" s="357"/>
      <c r="EZ249" s="357"/>
      <c r="FA249" s="357"/>
      <c r="FB249" s="357"/>
      <c r="FC249" s="357"/>
      <c r="FD249" s="357"/>
      <c r="FE249" s="357"/>
      <c r="FF249" s="357"/>
      <c r="FG249" s="357"/>
      <c r="FH249" s="357"/>
      <c r="FI249" s="357"/>
      <c r="FJ249" s="357"/>
      <c r="FK249" s="357"/>
      <c r="FL249" s="357"/>
      <c r="FM249" s="357"/>
      <c r="FN249" s="357"/>
      <c r="FO249" s="357"/>
      <c r="FP249" s="357"/>
      <c r="FQ249" s="357"/>
      <c r="FR249" s="357"/>
      <c r="FS249" s="357"/>
      <c r="FT249" s="357"/>
      <c r="FU249" s="357"/>
      <c r="FV249" s="357"/>
      <c r="FW249" s="357"/>
      <c r="FX249" s="357"/>
      <c r="FY249" s="357"/>
      <c r="FZ249" s="357"/>
      <c r="GA249" s="357"/>
      <c r="GB249" s="357"/>
      <c r="GC249" s="357"/>
      <c r="GD249" s="357"/>
      <c r="GE249" s="357"/>
      <c r="GF249" s="357"/>
      <c r="GG249" s="357"/>
      <c r="GH249" s="357"/>
      <c r="GI249" s="357"/>
      <c r="GJ249" s="357"/>
      <c r="GK249" s="154"/>
      <c r="GL249" s="154"/>
      <c r="GM249" s="154"/>
      <c r="GN249" s="154"/>
      <c r="GO249" s="154"/>
      <c r="GP249" s="154"/>
      <c r="GQ249" s="154"/>
      <c r="GR249" s="154"/>
      <c r="GS249" s="154"/>
      <c r="GT249" s="154"/>
      <c r="GU249" s="154"/>
      <c r="GV249" s="154"/>
      <c r="GW249" s="154"/>
      <c r="GX249" s="154"/>
    </row>
    <row r="250" spans="7:206">
      <c r="G250" s="154"/>
      <c r="H250" s="154"/>
      <c r="I250" s="154"/>
      <c r="J250" s="154"/>
      <c r="K250" s="154"/>
      <c r="L250" s="154"/>
      <c r="M250" s="154"/>
      <c r="N250" s="154"/>
      <c r="O250" s="154"/>
      <c r="P250" s="154"/>
      <c r="Q250" s="154"/>
      <c r="R250" s="154"/>
      <c r="S250" s="154"/>
      <c r="T250" s="154"/>
      <c r="U250" s="154"/>
      <c r="V250" s="154"/>
      <c r="W250" s="154"/>
      <c r="X250" s="154"/>
      <c r="Y250" s="154"/>
      <c r="Z250" s="357"/>
      <c r="AA250" s="357"/>
      <c r="AB250" s="357"/>
      <c r="AC250" s="357"/>
      <c r="AD250" s="357"/>
      <c r="AE250" s="357"/>
      <c r="AF250" s="357"/>
      <c r="AG250" s="357"/>
      <c r="AH250" s="357"/>
      <c r="AI250" s="357"/>
      <c r="AJ250" s="357"/>
      <c r="AK250" s="357"/>
      <c r="AL250" s="357"/>
      <c r="AM250" s="357"/>
      <c r="AN250" s="357"/>
      <c r="AO250" s="357"/>
      <c r="AP250" s="357"/>
      <c r="AQ250" s="357"/>
      <c r="AR250" s="357"/>
      <c r="AS250" s="357"/>
      <c r="AT250" s="357"/>
      <c r="AU250" s="357"/>
      <c r="AV250" s="357"/>
      <c r="AW250" s="357"/>
      <c r="AX250" s="357"/>
      <c r="AY250" s="357"/>
      <c r="AZ250" s="357"/>
      <c r="BA250" s="357"/>
      <c r="BB250" s="357"/>
      <c r="BC250" s="357"/>
      <c r="BD250" s="357"/>
      <c r="BE250" s="357"/>
      <c r="BF250" s="357"/>
      <c r="BG250" s="357"/>
      <c r="BH250" s="357"/>
      <c r="BI250" s="357"/>
      <c r="BJ250" s="357"/>
      <c r="BK250" s="357"/>
      <c r="BL250" s="357"/>
      <c r="BM250" s="357"/>
      <c r="BN250" s="357"/>
      <c r="BO250" s="357"/>
      <c r="BP250" s="357"/>
      <c r="BQ250" s="357"/>
      <c r="BR250" s="357"/>
      <c r="BS250" s="357"/>
      <c r="BT250" s="357"/>
      <c r="BU250" s="357"/>
      <c r="BV250" s="357"/>
      <c r="BW250" s="357"/>
      <c r="BX250" s="357"/>
      <c r="BY250" s="357"/>
      <c r="BZ250" s="357"/>
      <c r="CA250" s="357"/>
      <c r="CB250" s="357"/>
      <c r="CC250" s="357"/>
      <c r="CD250" s="357"/>
      <c r="CE250" s="357"/>
      <c r="CF250" s="357"/>
      <c r="CG250" s="357"/>
      <c r="CH250" s="357"/>
      <c r="CI250" s="357"/>
      <c r="CJ250" s="357"/>
      <c r="CK250" s="357"/>
      <c r="CL250" s="357"/>
      <c r="CM250" s="357"/>
      <c r="CN250" s="357"/>
      <c r="CO250" s="357"/>
      <c r="CP250" s="357"/>
      <c r="CQ250" s="357"/>
      <c r="CR250" s="357"/>
      <c r="CS250" s="357"/>
      <c r="CT250" s="357"/>
      <c r="CU250" s="357"/>
      <c r="CV250" s="357"/>
      <c r="CW250" s="357"/>
      <c r="CX250" s="357"/>
      <c r="CY250" s="357"/>
      <c r="CZ250" s="357"/>
      <c r="DA250" s="357"/>
      <c r="DB250" s="357"/>
      <c r="DC250" s="357"/>
      <c r="DD250" s="357"/>
      <c r="DE250" s="357"/>
      <c r="DF250" s="357"/>
      <c r="DG250" s="357"/>
      <c r="DH250" s="357"/>
      <c r="DI250" s="357"/>
      <c r="DJ250" s="357"/>
      <c r="DK250" s="357"/>
      <c r="DL250" s="357"/>
      <c r="DM250" s="357"/>
      <c r="DN250" s="357"/>
      <c r="DO250" s="357"/>
      <c r="DP250" s="357"/>
      <c r="DQ250" s="357"/>
      <c r="DR250" s="357"/>
      <c r="DS250" s="357"/>
      <c r="DT250" s="357"/>
      <c r="DU250" s="357"/>
      <c r="DV250" s="357"/>
      <c r="DW250" s="357"/>
      <c r="DX250" s="357"/>
      <c r="DY250" s="357"/>
      <c r="DZ250" s="357"/>
      <c r="EA250" s="357"/>
      <c r="EB250" s="357"/>
      <c r="EC250" s="357"/>
      <c r="ED250" s="357"/>
      <c r="EE250" s="357"/>
      <c r="EF250" s="357"/>
      <c r="EG250" s="357"/>
      <c r="EH250" s="357"/>
      <c r="EI250" s="357"/>
      <c r="EJ250" s="357"/>
      <c r="EK250" s="357"/>
      <c r="EL250" s="357"/>
      <c r="EM250" s="357"/>
      <c r="EN250" s="357"/>
      <c r="EO250" s="357"/>
      <c r="EP250" s="357"/>
      <c r="EQ250" s="357"/>
      <c r="ER250" s="357"/>
      <c r="ES250" s="357"/>
      <c r="ET250" s="357"/>
      <c r="EU250" s="357"/>
      <c r="EV250" s="357"/>
      <c r="EW250" s="357"/>
      <c r="EX250" s="357"/>
      <c r="EY250" s="357"/>
      <c r="EZ250" s="357"/>
      <c r="FA250" s="357"/>
      <c r="FB250" s="357"/>
      <c r="FC250" s="357"/>
      <c r="FD250" s="357"/>
      <c r="FE250" s="357"/>
      <c r="FF250" s="357"/>
      <c r="FG250" s="357"/>
      <c r="FH250" s="357"/>
      <c r="FI250" s="357"/>
      <c r="FJ250" s="357"/>
      <c r="FK250" s="357"/>
      <c r="FL250" s="357"/>
      <c r="FM250" s="357"/>
      <c r="FN250" s="357"/>
      <c r="FO250" s="357"/>
      <c r="FP250" s="357"/>
      <c r="FQ250" s="357"/>
      <c r="FR250" s="357"/>
      <c r="FS250" s="357"/>
      <c r="FT250" s="357"/>
      <c r="FU250" s="357"/>
      <c r="FV250" s="357"/>
      <c r="FW250" s="357"/>
      <c r="FX250" s="357"/>
      <c r="FY250" s="357"/>
      <c r="FZ250" s="357"/>
      <c r="GA250" s="357"/>
      <c r="GB250" s="357"/>
      <c r="GC250" s="357"/>
      <c r="GD250" s="357"/>
      <c r="GE250" s="357"/>
      <c r="GF250" s="357"/>
      <c r="GG250" s="357"/>
      <c r="GH250" s="357"/>
      <c r="GI250" s="357"/>
      <c r="GJ250" s="357"/>
      <c r="GK250" s="154"/>
      <c r="GL250" s="154"/>
      <c r="GM250" s="154"/>
      <c r="GN250" s="154"/>
      <c r="GO250" s="154"/>
      <c r="GP250" s="154"/>
      <c r="GQ250" s="154"/>
      <c r="GR250" s="154"/>
      <c r="GS250" s="154"/>
      <c r="GT250" s="154"/>
      <c r="GU250" s="154"/>
      <c r="GV250" s="154"/>
      <c r="GW250" s="154"/>
      <c r="GX250" s="154"/>
    </row>
    <row r="251" spans="7:206">
      <c r="G251" s="154"/>
      <c r="H251" s="154"/>
      <c r="I251" s="154"/>
      <c r="J251" s="154"/>
      <c r="K251" s="154"/>
      <c r="L251" s="154"/>
      <c r="M251" s="154"/>
      <c r="N251" s="154"/>
      <c r="O251" s="154"/>
      <c r="P251" s="154"/>
      <c r="Q251" s="154"/>
      <c r="R251" s="154"/>
      <c r="S251" s="154"/>
      <c r="T251" s="154"/>
      <c r="U251" s="154"/>
      <c r="V251" s="154"/>
      <c r="W251" s="154"/>
      <c r="X251" s="154"/>
      <c r="Y251" s="154"/>
      <c r="Z251" s="357"/>
      <c r="AA251" s="357"/>
      <c r="AB251" s="357"/>
      <c r="AC251" s="357"/>
      <c r="AD251" s="357"/>
      <c r="AE251" s="357"/>
      <c r="AF251" s="357"/>
      <c r="AG251" s="357"/>
      <c r="AH251" s="357"/>
      <c r="AI251" s="357"/>
      <c r="AJ251" s="357"/>
      <c r="AK251" s="357"/>
      <c r="AL251" s="357"/>
      <c r="AM251" s="357"/>
      <c r="AN251" s="357"/>
      <c r="AO251" s="357"/>
      <c r="AP251" s="357"/>
      <c r="AQ251" s="357"/>
      <c r="AR251" s="357"/>
      <c r="AS251" s="357"/>
      <c r="AT251" s="357"/>
      <c r="AU251" s="357"/>
      <c r="AV251" s="357"/>
      <c r="AW251" s="357"/>
      <c r="AX251" s="357"/>
      <c r="AY251" s="357"/>
      <c r="AZ251" s="357"/>
      <c r="BA251" s="357"/>
      <c r="BB251" s="357"/>
      <c r="BC251" s="357"/>
      <c r="BD251" s="357"/>
      <c r="BE251" s="357"/>
      <c r="BF251" s="357"/>
      <c r="BG251" s="357"/>
      <c r="BH251" s="357"/>
      <c r="BI251" s="357"/>
      <c r="BJ251" s="357"/>
      <c r="BK251" s="357"/>
      <c r="BL251" s="357"/>
      <c r="BM251" s="357"/>
      <c r="BN251" s="357"/>
      <c r="BO251" s="357"/>
      <c r="BP251" s="357"/>
      <c r="BQ251" s="357"/>
      <c r="BR251" s="357"/>
      <c r="BS251" s="357"/>
      <c r="BT251" s="357"/>
      <c r="BU251" s="357"/>
      <c r="BV251" s="357"/>
      <c r="BW251" s="357"/>
      <c r="BX251" s="357"/>
      <c r="BY251" s="357"/>
      <c r="BZ251" s="357"/>
      <c r="CA251" s="357"/>
      <c r="CB251" s="357"/>
      <c r="CC251" s="357"/>
      <c r="CD251" s="357"/>
      <c r="CE251" s="357"/>
      <c r="CF251" s="357"/>
      <c r="CG251" s="357"/>
      <c r="CH251" s="357"/>
      <c r="CI251" s="357"/>
      <c r="CJ251" s="357"/>
      <c r="CK251" s="357"/>
      <c r="CL251" s="357"/>
      <c r="CM251" s="357"/>
      <c r="CN251" s="357"/>
      <c r="CO251" s="357"/>
      <c r="CP251" s="357"/>
      <c r="CQ251" s="357"/>
      <c r="CR251" s="357"/>
      <c r="CS251" s="357"/>
      <c r="CT251" s="357"/>
      <c r="CU251" s="357"/>
      <c r="CV251" s="357"/>
      <c r="CW251" s="357"/>
      <c r="CX251" s="357"/>
      <c r="CY251" s="357"/>
      <c r="CZ251" s="357"/>
      <c r="DA251" s="357"/>
      <c r="DB251" s="357"/>
      <c r="DC251" s="357"/>
      <c r="DD251" s="357"/>
      <c r="DE251" s="357"/>
      <c r="DF251" s="357"/>
      <c r="DG251" s="357"/>
      <c r="DH251" s="357"/>
      <c r="DI251" s="357"/>
      <c r="DJ251" s="357"/>
      <c r="DK251" s="357"/>
      <c r="DL251" s="357"/>
      <c r="DM251" s="357"/>
      <c r="DN251" s="357"/>
      <c r="DO251" s="357"/>
      <c r="DP251" s="357"/>
      <c r="DQ251" s="357"/>
      <c r="DR251" s="357"/>
      <c r="DS251" s="357"/>
      <c r="DT251" s="357"/>
      <c r="DU251" s="357"/>
      <c r="DV251" s="357"/>
      <c r="DW251" s="357"/>
      <c r="DX251" s="357"/>
      <c r="DY251" s="357"/>
      <c r="DZ251" s="357"/>
      <c r="EA251" s="357"/>
      <c r="EB251" s="357"/>
      <c r="EC251" s="357"/>
      <c r="ED251" s="357"/>
      <c r="EE251" s="357"/>
      <c r="EF251" s="357"/>
      <c r="EG251" s="357"/>
      <c r="EH251" s="357"/>
      <c r="EI251" s="357"/>
      <c r="EJ251" s="357"/>
      <c r="EK251" s="357"/>
      <c r="EL251" s="357"/>
      <c r="EM251" s="357"/>
      <c r="EN251" s="357"/>
      <c r="EO251" s="357"/>
      <c r="EP251" s="357"/>
      <c r="EQ251" s="357"/>
      <c r="ER251" s="357"/>
      <c r="ES251" s="357"/>
      <c r="ET251" s="357"/>
      <c r="EU251" s="357"/>
      <c r="EV251" s="357"/>
      <c r="EW251" s="357"/>
      <c r="EX251" s="357"/>
      <c r="EY251" s="357"/>
      <c r="EZ251" s="357"/>
      <c r="FA251" s="357"/>
      <c r="FB251" s="357"/>
      <c r="FC251" s="357"/>
      <c r="FD251" s="357"/>
      <c r="FE251" s="357"/>
      <c r="FF251" s="357"/>
      <c r="FG251" s="357"/>
      <c r="FH251" s="357"/>
      <c r="FI251" s="357"/>
      <c r="FJ251" s="357"/>
      <c r="FK251" s="357"/>
      <c r="FL251" s="357"/>
      <c r="FM251" s="357"/>
      <c r="FN251" s="357"/>
      <c r="FO251" s="357"/>
      <c r="FP251" s="357"/>
      <c r="FQ251" s="357"/>
      <c r="FR251" s="357"/>
      <c r="FS251" s="357"/>
      <c r="FT251" s="357"/>
      <c r="FU251" s="357"/>
      <c r="FV251" s="357"/>
      <c r="FW251" s="357"/>
      <c r="FX251" s="357"/>
      <c r="FY251" s="357"/>
      <c r="FZ251" s="357"/>
      <c r="GA251" s="357"/>
      <c r="GB251" s="357"/>
      <c r="GC251" s="357"/>
      <c r="GD251" s="357"/>
      <c r="GE251" s="357"/>
      <c r="GF251" s="357"/>
      <c r="GG251" s="357"/>
      <c r="GH251" s="357"/>
      <c r="GI251" s="357"/>
      <c r="GJ251" s="357"/>
      <c r="GK251" s="154"/>
      <c r="GL251" s="154"/>
      <c r="GM251" s="154"/>
      <c r="GN251" s="154"/>
      <c r="GO251" s="154"/>
      <c r="GP251" s="154"/>
      <c r="GQ251" s="154"/>
      <c r="GR251" s="154"/>
      <c r="GS251" s="154"/>
      <c r="GT251" s="154"/>
      <c r="GU251" s="154"/>
      <c r="GV251" s="154"/>
      <c r="GW251" s="154"/>
      <c r="GX251" s="154"/>
    </row>
    <row r="252" spans="7:206">
      <c r="G252" s="154"/>
      <c r="H252" s="154"/>
      <c r="I252" s="154"/>
      <c r="J252" s="154"/>
      <c r="K252" s="154"/>
      <c r="L252" s="154"/>
      <c r="M252" s="154"/>
      <c r="N252" s="154"/>
      <c r="O252" s="154"/>
      <c r="P252" s="154"/>
      <c r="Q252" s="154"/>
      <c r="R252" s="154"/>
      <c r="S252" s="154"/>
      <c r="T252" s="154"/>
      <c r="U252" s="154"/>
      <c r="V252" s="154"/>
      <c r="W252" s="154"/>
      <c r="X252" s="154"/>
      <c r="Y252" s="154"/>
      <c r="Z252" s="357"/>
      <c r="AA252" s="357"/>
      <c r="AB252" s="357"/>
      <c r="AC252" s="357"/>
      <c r="AD252" s="357"/>
      <c r="AE252" s="357"/>
      <c r="AF252" s="357"/>
      <c r="AG252" s="357"/>
      <c r="AH252" s="357"/>
      <c r="AI252" s="357"/>
      <c r="AJ252" s="357"/>
      <c r="AK252" s="357"/>
      <c r="AL252" s="357"/>
      <c r="AM252" s="357"/>
      <c r="AN252" s="357"/>
      <c r="AO252" s="357"/>
      <c r="AP252" s="357"/>
      <c r="AQ252" s="357"/>
      <c r="AR252" s="357"/>
      <c r="AS252" s="357"/>
      <c r="AT252" s="357"/>
      <c r="AU252" s="357"/>
      <c r="AV252" s="357"/>
      <c r="AW252" s="357"/>
      <c r="AX252" s="357"/>
      <c r="AY252" s="357"/>
      <c r="AZ252" s="357"/>
      <c r="BA252" s="357"/>
      <c r="BB252" s="357"/>
      <c r="BC252" s="357"/>
      <c r="BD252" s="357"/>
      <c r="BE252" s="357"/>
      <c r="BF252" s="357"/>
      <c r="BG252" s="357"/>
      <c r="BH252" s="357"/>
      <c r="BI252" s="357"/>
      <c r="BJ252" s="357"/>
      <c r="BK252" s="357"/>
      <c r="BL252" s="357"/>
      <c r="BM252" s="357"/>
      <c r="BN252" s="357"/>
      <c r="BO252" s="357"/>
      <c r="BP252" s="357"/>
      <c r="BQ252" s="357"/>
      <c r="BR252" s="357"/>
      <c r="BS252" s="357"/>
      <c r="BT252" s="357"/>
      <c r="BU252" s="357"/>
      <c r="BV252" s="357"/>
      <c r="BW252" s="357"/>
      <c r="BX252" s="357"/>
      <c r="BY252" s="357"/>
      <c r="BZ252" s="357"/>
      <c r="CA252" s="357"/>
      <c r="CB252" s="357"/>
      <c r="CC252" s="357"/>
      <c r="CD252" s="357"/>
      <c r="CE252" s="357"/>
      <c r="CF252" s="357"/>
      <c r="CG252" s="357"/>
      <c r="CH252" s="357"/>
      <c r="CI252" s="357"/>
      <c r="CJ252" s="357"/>
      <c r="CK252" s="357"/>
      <c r="CL252" s="357"/>
      <c r="CM252" s="357"/>
      <c r="CN252" s="357"/>
      <c r="CO252" s="357"/>
      <c r="CP252" s="357"/>
      <c r="CQ252" s="357"/>
      <c r="CR252" s="357"/>
      <c r="CS252" s="357"/>
      <c r="CT252" s="357"/>
      <c r="CU252" s="357"/>
      <c r="CV252" s="357"/>
      <c r="CW252" s="357"/>
      <c r="CX252" s="357"/>
      <c r="CY252" s="357"/>
      <c r="CZ252" s="357"/>
      <c r="DA252" s="357"/>
      <c r="DB252" s="357"/>
      <c r="DC252" s="357"/>
      <c r="DD252" s="357"/>
      <c r="DE252" s="357"/>
      <c r="DF252" s="357"/>
      <c r="DG252" s="357"/>
      <c r="DH252" s="357"/>
      <c r="DI252" s="357"/>
      <c r="DJ252" s="357"/>
      <c r="DK252" s="357"/>
      <c r="DL252" s="357"/>
      <c r="DM252" s="357"/>
      <c r="DN252" s="357"/>
      <c r="DO252" s="357"/>
      <c r="DP252" s="357"/>
      <c r="DQ252" s="357"/>
      <c r="DR252" s="357"/>
      <c r="DS252" s="357"/>
      <c r="DT252" s="357"/>
      <c r="DU252" s="357"/>
      <c r="DV252" s="357"/>
      <c r="DW252" s="357"/>
      <c r="DX252" s="357"/>
      <c r="DY252" s="357"/>
      <c r="DZ252" s="357"/>
      <c r="EA252" s="357"/>
      <c r="EB252" s="357"/>
      <c r="EC252" s="357"/>
      <c r="ED252" s="357"/>
      <c r="EE252" s="357"/>
      <c r="EF252" s="357"/>
      <c r="EG252" s="357"/>
      <c r="EH252" s="357"/>
      <c r="EI252" s="357"/>
      <c r="EJ252" s="357"/>
      <c r="EK252" s="357"/>
      <c r="EL252" s="357"/>
      <c r="EM252" s="357"/>
      <c r="EN252" s="357"/>
      <c r="EO252" s="357"/>
      <c r="EP252" s="357"/>
      <c r="EQ252" s="357"/>
      <c r="ER252" s="357"/>
      <c r="ES252" s="357"/>
      <c r="ET252" s="357"/>
      <c r="EU252" s="357"/>
      <c r="EV252" s="357"/>
      <c r="EW252" s="357"/>
      <c r="EX252" s="357"/>
      <c r="EY252" s="357"/>
      <c r="EZ252" s="357"/>
      <c r="FA252" s="357"/>
      <c r="FB252" s="357"/>
      <c r="FC252" s="357"/>
      <c r="FD252" s="357"/>
      <c r="FE252" s="357"/>
      <c r="FF252" s="357"/>
      <c r="FG252" s="357"/>
      <c r="FH252" s="357"/>
      <c r="FI252" s="357"/>
      <c r="FJ252" s="357"/>
      <c r="FK252" s="357"/>
      <c r="FL252" s="357"/>
      <c r="FM252" s="357"/>
      <c r="FN252" s="357"/>
      <c r="FO252" s="357"/>
      <c r="FP252" s="357"/>
      <c r="FQ252" s="357"/>
      <c r="FR252" s="357"/>
      <c r="FS252" s="357"/>
      <c r="FT252" s="357"/>
      <c r="FU252" s="357"/>
      <c r="FV252" s="357"/>
      <c r="FW252" s="357"/>
      <c r="FX252" s="357"/>
      <c r="FY252" s="357"/>
      <c r="FZ252" s="357"/>
      <c r="GA252" s="357"/>
      <c r="GB252" s="357"/>
      <c r="GC252" s="357"/>
      <c r="GD252" s="357"/>
      <c r="GE252" s="357"/>
      <c r="GF252" s="357"/>
      <c r="GG252" s="357"/>
      <c r="GH252" s="357"/>
      <c r="GI252" s="357"/>
      <c r="GJ252" s="357"/>
      <c r="GK252" s="154"/>
      <c r="GL252" s="154"/>
      <c r="GM252" s="154"/>
      <c r="GN252" s="154"/>
      <c r="GO252" s="154"/>
      <c r="GP252" s="154"/>
      <c r="GQ252" s="154"/>
      <c r="GR252" s="154"/>
      <c r="GS252" s="154"/>
      <c r="GT252" s="154"/>
      <c r="GU252" s="154"/>
      <c r="GV252" s="154"/>
      <c r="GW252" s="154"/>
      <c r="GX252" s="154"/>
    </row>
    <row r="253" spans="7:206">
      <c r="G253" s="154"/>
      <c r="H253" s="154"/>
      <c r="I253" s="154"/>
      <c r="J253" s="154"/>
      <c r="K253" s="154"/>
      <c r="L253" s="154"/>
      <c r="M253" s="154"/>
      <c r="N253" s="154"/>
      <c r="O253" s="154"/>
      <c r="P253" s="154"/>
      <c r="Q253" s="154"/>
      <c r="R253" s="154"/>
      <c r="S253" s="154"/>
      <c r="T253" s="154"/>
      <c r="U253" s="154"/>
      <c r="V253" s="154"/>
      <c r="W253" s="154"/>
      <c r="X253" s="154"/>
      <c r="Y253" s="154"/>
      <c r="Z253" s="357"/>
      <c r="AA253" s="357"/>
      <c r="AB253" s="357"/>
      <c r="AC253" s="357"/>
      <c r="AD253" s="357"/>
      <c r="AE253" s="357"/>
      <c r="AF253" s="357"/>
      <c r="AG253" s="357"/>
      <c r="AH253" s="357"/>
      <c r="AI253" s="357"/>
      <c r="AJ253" s="357"/>
      <c r="AK253" s="357"/>
      <c r="AL253" s="357"/>
      <c r="AM253" s="357"/>
      <c r="AN253" s="357"/>
      <c r="AO253" s="357"/>
      <c r="AP253" s="357"/>
      <c r="AQ253" s="357"/>
      <c r="AR253" s="357"/>
      <c r="AS253" s="357"/>
      <c r="AT253" s="357"/>
      <c r="AU253" s="357"/>
      <c r="AV253" s="357"/>
      <c r="AW253" s="357"/>
      <c r="AX253" s="357"/>
      <c r="AY253" s="357"/>
      <c r="AZ253" s="357"/>
      <c r="BA253" s="357"/>
      <c r="BB253" s="357"/>
      <c r="BC253" s="357"/>
      <c r="BD253" s="357"/>
      <c r="BE253" s="357"/>
      <c r="BF253" s="357"/>
      <c r="BG253" s="357"/>
      <c r="BH253" s="357"/>
      <c r="BI253" s="357"/>
      <c r="BJ253" s="357"/>
      <c r="BK253" s="357"/>
      <c r="BL253" s="357"/>
      <c r="BM253" s="357"/>
      <c r="BN253" s="357"/>
      <c r="BO253" s="357"/>
      <c r="BP253" s="357"/>
      <c r="BQ253" s="357"/>
      <c r="BR253" s="357"/>
      <c r="BS253" s="357"/>
      <c r="BT253" s="357"/>
      <c r="BU253" s="357"/>
      <c r="BV253" s="357"/>
      <c r="BW253" s="357"/>
      <c r="BX253" s="357"/>
      <c r="BY253" s="357"/>
      <c r="BZ253" s="357"/>
      <c r="CA253" s="357"/>
      <c r="CB253" s="357"/>
      <c r="CC253" s="357"/>
      <c r="CD253" s="357"/>
      <c r="CE253" s="357"/>
      <c r="CF253" s="357"/>
      <c r="CG253" s="357"/>
      <c r="CH253" s="357"/>
      <c r="CI253" s="357"/>
      <c r="CJ253" s="357"/>
      <c r="CK253" s="357"/>
      <c r="CL253" s="357"/>
      <c r="CM253" s="357"/>
      <c r="CN253" s="357"/>
      <c r="CO253" s="357"/>
      <c r="CP253" s="357"/>
      <c r="CQ253" s="357"/>
      <c r="CR253" s="357"/>
      <c r="CS253" s="357"/>
      <c r="CT253" s="357"/>
      <c r="CU253" s="357"/>
      <c r="CV253" s="357"/>
      <c r="CW253" s="357"/>
      <c r="CX253" s="357"/>
      <c r="CY253" s="357"/>
      <c r="CZ253" s="357"/>
      <c r="DA253" s="357"/>
      <c r="DB253" s="357"/>
      <c r="DC253" s="357"/>
      <c r="DD253" s="357"/>
      <c r="DE253" s="357"/>
      <c r="DF253" s="357"/>
      <c r="DG253" s="357"/>
      <c r="DH253" s="357"/>
      <c r="DI253" s="357"/>
      <c r="DJ253" s="357"/>
      <c r="DK253" s="357"/>
      <c r="DL253" s="357"/>
      <c r="DM253" s="357"/>
      <c r="DN253" s="357"/>
      <c r="DO253" s="357"/>
      <c r="DP253" s="357"/>
      <c r="DQ253" s="357"/>
      <c r="DR253" s="357"/>
      <c r="DS253" s="357"/>
      <c r="DT253" s="357"/>
      <c r="DU253" s="357"/>
      <c r="DV253" s="357"/>
      <c r="DW253" s="357"/>
      <c r="DX253" s="357"/>
      <c r="DY253" s="357"/>
      <c r="DZ253" s="357"/>
      <c r="EA253" s="357"/>
      <c r="EB253" s="357"/>
      <c r="EC253" s="357"/>
      <c r="ED253" s="357"/>
      <c r="EE253" s="357"/>
      <c r="EF253" s="357"/>
      <c r="EG253" s="357"/>
      <c r="EH253" s="357"/>
      <c r="EI253" s="357"/>
      <c r="EJ253" s="357"/>
      <c r="EK253" s="357"/>
      <c r="EL253" s="357"/>
      <c r="EM253" s="357"/>
      <c r="EN253" s="357"/>
      <c r="EO253" s="357"/>
      <c r="EP253" s="357"/>
      <c r="EQ253" s="357"/>
      <c r="ER253" s="357"/>
      <c r="ES253" s="357"/>
      <c r="ET253" s="357"/>
      <c r="EU253" s="357"/>
      <c r="EV253" s="357"/>
      <c r="EW253" s="357"/>
      <c r="EX253" s="357"/>
      <c r="EY253" s="357"/>
      <c r="EZ253" s="357"/>
      <c r="FA253" s="357"/>
      <c r="FB253" s="357"/>
      <c r="FC253" s="357"/>
      <c r="FD253" s="357"/>
      <c r="FE253" s="357"/>
      <c r="FF253" s="357"/>
      <c r="FG253" s="357"/>
      <c r="FH253" s="357"/>
      <c r="FI253" s="357"/>
      <c r="FJ253" s="357"/>
      <c r="FK253" s="357"/>
      <c r="FL253" s="357"/>
      <c r="FM253" s="357"/>
      <c r="FN253" s="357"/>
      <c r="FO253" s="357"/>
      <c r="FP253" s="357"/>
      <c r="FQ253" s="357"/>
      <c r="FR253" s="357"/>
      <c r="FS253" s="357"/>
      <c r="FT253" s="357"/>
      <c r="FU253" s="357"/>
      <c r="FV253" s="357"/>
      <c r="FW253" s="357"/>
      <c r="FX253" s="357"/>
      <c r="FY253" s="357"/>
      <c r="FZ253" s="357"/>
      <c r="GA253" s="357"/>
      <c r="GB253" s="357"/>
      <c r="GC253" s="357"/>
      <c r="GD253" s="357"/>
      <c r="GE253" s="357"/>
      <c r="GF253" s="357"/>
      <c r="GG253" s="357"/>
      <c r="GH253" s="357"/>
      <c r="GI253" s="357"/>
      <c r="GJ253" s="357"/>
      <c r="GK253" s="154"/>
      <c r="GL253" s="154"/>
      <c r="GM253" s="154"/>
      <c r="GN253" s="154"/>
      <c r="GO253" s="154"/>
      <c r="GP253" s="154"/>
      <c r="GQ253" s="154"/>
      <c r="GR253" s="154"/>
      <c r="GS253" s="154"/>
      <c r="GT253" s="154"/>
      <c r="GU253" s="154"/>
      <c r="GV253" s="154"/>
      <c r="GW253" s="154"/>
      <c r="GX253" s="154"/>
    </row>
    <row r="254" spans="7:206">
      <c r="G254" s="154"/>
      <c r="H254" s="154"/>
      <c r="I254" s="154"/>
      <c r="J254" s="154"/>
      <c r="K254" s="154"/>
      <c r="L254" s="154"/>
      <c r="M254" s="154"/>
      <c r="N254" s="154"/>
      <c r="O254" s="154"/>
      <c r="P254" s="154"/>
      <c r="Q254" s="154"/>
      <c r="R254" s="154"/>
      <c r="S254" s="154"/>
      <c r="T254" s="154"/>
      <c r="U254" s="154"/>
      <c r="V254" s="154"/>
      <c r="W254" s="154"/>
      <c r="X254" s="154"/>
      <c r="Y254" s="154"/>
      <c r="Z254" s="357"/>
      <c r="AA254" s="357"/>
      <c r="AB254" s="357"/>
      <c r="AC254" s="357"/>
      <c r="AD254" s="357"/>
      <c r="AE254" s="357"/>
      <c r="AF254" s="357"/>
      <c r="AG254" s="357"/>
      <c r="AH254" s="357"/>
      <c r="AI254" s="357"/>
      <c r="AJ254" s="357"/>
      <c r="AK254" s="357"/>
      <c r="AL254" s="357"/>
      <c r="AM254" s="357"/>
      <c r="AN254" s="357"/>
      <c r="AO254" s="357"/>
      <c r="AP254" s="357"/>
      <c r="AQ254" s="357"/>
      <c r="AR254" s="357"/>
      <c r="AS254" s="357"/>
      <c r="AT254" s="357"/>
      <c r="AU254" s="357"/>
      <c r="AV254" s="357"/>
      <c r="AW254" s="357"/>
      <c r="AX254" s="357"/>
      <c r="AY254" s="357"/>
      <c r="AZ254" s="357"/>
      <c r="BA254" s="357"/>
      <c r="BB254" s="357"/>
      <c r="BC254" s="357"/>
      <c r="BD254" s="357"/>
      <c r="BE254" s="357"/>
      <c r="BF254" s="357"/>
      <c r="BG254" s="357"/>
      <c r="BH254" s="357"/>
      <c r="BI254" s="357"/>
      <c r="BJ254" s="357"/>
      <c r="BK254" s="357"/>
      <c r="BL254" s="357"/>
      <c r="BM254" s="357"/>
      <c r="BN254" s="357"/>
      <c r="BO254" s="357"/>
      <c r="BP254" s="357"/>
      <c r="BQ254" s="357"/>
      <c r="BR254" s="357"/>
      <c r="BS254" s="357"/>
      <c r="BT254" s="357"/>
      <c r="BU254" s="357"/>
      <c r="BV254" s="357"/>
      <c r="BW254" s="357"/>
      <c r="BX254" s="357"/>
      <c r="BY254" s="357"/>
      <c r="BZ254" s="357"/>
      <c r="CA254" s="357"/>
      <c r="CB254" s="357"/>
      <c r="CC254" s="357"/>
      <c r="CD254" s="357"/>
      <c r="CE254" s="357"/>
      <c r="CF254" s="357"/>
      <c r="CG254" s="357"/>
      <c r="CH254" s="357"/>
      <c r="CI254" s="357"/>
      <c r="CJ254" s="357"/>
      <c r="CK254" s="357"/>
      <c r="CL254" s="357"/>
      <c r="CM254" s="357"/>
      <c r="CN254" s="357"/>
      <c r="CO254" s="357"/>
      <c r="CP254" s="357"/>
      <c r="CQ254" s="357"/>
      <c r="CR254" s="357"/>
      <c r="CS254" s="357"/>
      <c r="CT254" s="357"/>
      <c r="CU254" s="357"/>
      <c r="CV254" s="357"/>
      <c r="CW254" s="357"/>
      <c r="CX254" s="357"/>
      <c r="CY254" s="357"/>
      <c r="CZ254" s="357"/>
      <c r="DA254" s="357"/>
      <c r="DB254" s="357"/>
      <c r="DC254" s="357"/>
      <c r="DD254" s="357"/>
      <c r="DE254" s="357"/>
      <c r="DF254" s="357"/>
      <c r="DG254" s="357"/>
      <c r="DH254" s="357"/>
      <c r="DI254" s="357"/>
      <c r="DJ254" s="357"/>
      <c r="DK254" s="357"/>
      <c r="DL254" s="357"/>
      <c r="DM254" s="357"/>
      <c r="DN254" s="357"/>
      <c r="DO254" s="357"/>
      <c r="DP254" s="357"/>
      <c r="DQ254" s="357"/>
      <c r="DR254" s="357"/>
      <c r="DS254" s="357"/>
      <c r="DT254" s="357"/>
      <c r="DU254" s="357"/>
      <c r="DV254" s="357"/>
      <c r="DW254" s="357"/>
      <c r="DX254" s="357"/>
      <c r="DY254" s="357"/>
      <c r="DZ254" s="357"/>
      <c r="EA254" s="357"/>
      <c r="EB254" s="357"/>
      <c r="EC254" s="357"/>
      <c r="ED254" s="357"/>
      <c r="EE254" s="357"/>
      <c r="EF254" s="357"/>
      <c r="EG254" s="357"/>
      <c r="EH254" s="357"/>
      <c r="EI254" s="357"/>
      <c r="EJ254" s="357"/>
      <c r="EK254" s="357"/>
      <c r="EL254" s="357"/>
      <c r="EM254" s="357"/>
      <c r="EN254" s="357"/>
      <c r="EO254" s="357"/>
      <c r="EP254" s="357"/>
      <c r="EQ254" s="357"/>
      <c r="ER254" s="357"/>
      <c r="ES254" s="357"/>
      <c r="ET254" s="357"/>
      <c r="EU254" s="357"/>
      <c r="EV254" s="357"/>
      <c r="EW254" s="357"/>
      <c r="EX254" s="357"/>
      <c r="EY254" s="357"/>
      <c r="EZ254" s="357"/>
      <c r="FA254" s="357"/>
      <c r="FB254" s="357"/>
      <c r="FC254" s="357"/>
      <c r="FD254" s="357"/>
      <c r="FE254" s="357"/>
      <c r="FF254" s="357"/>
      <c r="FG254" s="357"/>
      <c r="FH254" s="357"/>
      <c r="FI254" s="357"/>
      <c r="FJ254" s="357"/>
      <c r="FK254" s="357"/>
      <c r="FL254" s="357"/>
      <c r="FM254" s="357"/>
      <c r="FN254" s="357"/>
      <c r="FO254" s="357"/>
      <c r="FP254" s="357"/>
      <c r="FQ254" s="357"/>
      <c r="FR254" s="357"/>
      <c r="FS254" s="357"/>
      <c r="FT254" s="357"/>
      <c r="FU254" s="357"/>
      <c r="FV254" s="357"/>
      <c r="FW254" s="357"/>
      <c r="FX254" s="357"/>
      <c r="FY254" s="357"/>
      <c r="FZ254" s="357"/>
      <c r="GA254" s="357"/>
      <c r="GB254" s="357"/>
      <c r="GC254" s="357"/>
      <c r="GD254" s="357"/>
      <c r="GE254" s="357"/>
      <c r="GF254" s="357"/>
      <c r="GG254" s="357"/>
      <c r="GH254" s="357"/>
      <c r="GI254" s="357"/>
      <c r="GJ254" s="357"/>
      <c r="GK254" s="154"/>
      <c r="GL254" s="154"/>
      <c r="GM254" s="154"/>
      <c r="GN254" s="154"/>
      <c r="GO254" s="154"/>
      <c r="GP254" s="154"/>
      <c r="GQ254" s="154"/>
      <c r="GR254" s="154"/>
      <c r="GS254" s="154"/>
      <c r="GT254" s="154"/>
      <c r="GU254" s="154"/>
      <c r="GV254" s="154"/>
      <c r="GW254" s="154"/>
      <c r="GX254" s="154"/>
    </row>
    <row r="255" spans="7:206">
      <c r="G255" s="154"/>
      <c r="H255" s="154"/>
      <c r="I255" s="154"/>
      <c r="J255" s="154"/>
      <c r="K255" s="154"/>
      <c r="L255" s="154"/>
      <c r="M255" s="154"/>
      <c r="N255" s="154"/>
      <c r="O255" s="154"/>
      <c r="P255" s="154"/>
      <c r="Q255" s="154"/>
      <c r="R255" s="154"/>
      <c r="S255" s="154"/>
      <c r="T255" s="154"/>
      <c r="U255" s="154"/>
      <c r="V255" s="154"/>
      <c r="W255" s="154"/>
      <c r="X255" s="154"/>
      <c r="Y255" s="154"/>
      <c r="Z255" s="357"/>
      <c r="AA255" s="357"/>
      <c r="AB255" s="357"/>
      <c r="AC255" s="357"/>
      <c r="AD255" s="357"/>
      <c r="AE255" s="357"/>
      <c r="AF255" s="357"/>
      <c r="AG255" s="357"/>
      <c r="AH255" s="357"/>
      <c r="AI255" s="357"/>
      <c r="AJ255" s="357"/>
      <c r="AK255" s="357"/>
      <c r="AL255" s="357"/>
      <c r="AM255" s="357"/>
      <c r="AN255" s="357"/>
      <c r="AO255" s="357"/>
      <c r="AP255" s="357"/>
      <c r="AQ255" s="357"/>
      <c r="AR255" s="357"/>
      <c r="AS255" s="357"/>
      <c r="AT255" s="357"/>
      <c r="AU255" s="357"/>
      <c r="AV255" s="357"/>
      <c r="AW255" s="357"/>
      <c r="AX255" s="357"/>
      <c r="AY255" s="357"/>
      <c r="AZ255" s="357"/>
      <c r="BA255" s="357"/>
      <c r="BB255" s="357"/>
      <c r="BC255" s="357"/>
      <c r="BD255" s="357"/>
      <c r="BE255" s="357"/>
      <c r="BF255" s="357"/>
      <c r="BG255" s="357"/>
      <c r="BH255" s="357"/>
      <c r="BI255" s="357"/>
      <c r="BJ255" s="357"/>
      <c r="BK255" s="357"/>
      <c r="BL255" s="357"/>
      <c r="BM255" s="357"/>
      <c r="BN255" s="357"/>
      <c r="BO255" s="357"/>
      <c r="BP255" s="357"/>
      <c r="BQ255" s="357"/>
      <c r="BR255" s="357"/>
      <c r="BS255" s="357"/>
      <c r="BT255" s="357"/>
      <c r="BU255" s="357"/>
      <c r="BV255" s="357"/>
      <c r="BW255" s="357"/>
      <c r="BX255" s="357"/>
      <c r="BY255" s="357"/>
      <c r="BZ255" s="357"/>
      <c r="CA255" s="357"/>
      <c r="CB255" s="357"/>
      <c r="CC255" s="357"/>
      <c r="CD255" s="357"/>
      <c r="CE255" s="357"/>
      <c r="CF255" s="357"/>
      <c r="CG255" s="357"/>
      <c r="CH255" s="357"/>
      <c r="CI255" s="357"/>
      <c r="CJ255" s="357"/>
      <c r="CK255" s="357"/>
      <c r="CL255" s="357"/>
      <c r="CM255" s="357"/>
      <c r="CN255" s="357"/>
      <c r="CO255" s="357"/>
      <c r="CP255" s="357"/>
      <c r="CQ255" s="357"/>
      <c r="CR255" s="357"/>
      <c r="CS255" s="357"/>
      <c r="CT255" s="357"/>
      <c r="CU255" s="357"/>
      <c r="CV255" s="357"/>
      <c r="CW255" s="357"/>
      <c r="CX255" s="357"/>
      <c r="CY255" s="357"/>
      <c r="CZ255" s="357"/>
      <c r="DA255" s="357"/>
      <c r="DB255" s="357"/>
      <c r="DC255" s="357"/>
      <c r="DD255" s="357"/>
      <c r="DE255" s="357"/>
      <c r="DF255" s="357"/>
      <c r="DG255" s="357"/>
      <c r="DH255" s="357"/>
      <c r="DI255" s="357"/>
      <c r="DJ255" s="357"/>
      <c r="DK255" s="357"/>
      <c r="DL255" s="357"/>
      <c r="DM255" s="357"/>
      <c r="DN255" s="357"/>
      <c r="DO255" s="357"/>
      <c r="DP255" s="357"/>
      <c r="DQ255" s="357"/>
      <c r="DR255" s="357"/>
      <c r="DS255" s="357"/>
      <c r="DT255" s="357"/>
      <c r="DU255" s="357"/>
      <c r="DV255" s="357"/>
      <c r="DW255" s="357"/>
      <c r="DX255" s="357"/>
      <c r="DY255" s="357"/>
      <c r="DZ255" s="357"/>
      <c r="EA255" s="357"/>
      <c r="EB255" s="357"/>
      <c r="EC255" s="357"/>
      <c r="ED255" s="357"/>
      <c r="EE255" s="357"/>
      <c r="EF255" s="357"/>
      <c r="EG255" s="357"/>
      <c r="EH255" s="357"/>
      <c r="EI255" s="357"/>
      <c r="EJ255" s="357"/>
      <c r="EK255" s="357"/>
      <c r="EL255" s="357"/>
      <c r="EM255" s="357"/>
      <c r="EN255" s="357"/>
      <c r="EO255" s="357"/>
      <c r="EP255" s="357"/>
      <c r="EQ255" s="357"/>
      <c r="ER255" s="357"/>
      <c r="ES255" s="357"/>
      <c r="ET255" s="357"/>
      <c r="EU255" s="357"/>
      <c r="EV255" s="357"/>
      <c r="EW255" s="357"/>
      <c r="EX255" s="357"/>
      <c r="EY255" s="357"/>
      <c r="EZ255" s="357"/>
      <c r="FA255" s="357"/>
      <c r="FB255" s="357"/>
      <c r="FC255" s="357"/>
      <c r="FD255" s="357"/>
      <c r="FE255" s="357"/>
      <c r="FF255" s="357"/>
      <c r="FG255" s="357"/>
      <c r="FH255" s="357"/>
      <c r="FI255" s="357"/>
      <c r="FJ255" s="357"/>
      <c r="FK255" s="357"/>
      <c r="FL255" s="357"/>
      <c r="FM255" s="357"/>
      <c r="FN255" s="357"/>
      <c r="FO255" s="357"/>
      <c r="FP255" s="357"/>
      <c r="FQ255" s="357"/>
      <c r="FR255" s="357"/>
      <c r="FS255" s="357"/>
      <c r="FT255" s="357"/>
      <c r="FU255" s="357"/>
      <c r="FV255" s="357"/>
      <c r="FW255" s="357"/>
      <c r="FX255" s="357"/>
      <c r="FY255" s="357"/>
      <c r="FZ255" s="357"/>
      <c r="GA255" s="357"/>
      <c r="GB255" s="357"/>
      <c r="GC255" s="357"/>
      <c r="GD255" s="357"/>
      <c r="GE255" s="357"/>
      <c r="GF255" s="357"/>
      <c r="GG255" s="357"/>
      <c r="GH255" s="357"/>
      <c r="GI255" s="357"/>
      <c r="GJ255" s="357"/>
      <c r="GK255" s="154"/>
      <c r="GL255" s="154"/>
      <c r="GM255" s="154"/>
      <c r="GN255" s="154"/>
      <c r="GO255" s="154"/>
      <c r="GP255" s="154"/>
      <c r="GQ255" s="154"/>
      <c r="GR255" s="154"/>
      <c r="GS255" s="154"/>
      <c r="GT255" s="154"/>
      <c r="GU255" s="154"/>
      <c r="GV255" s="154"/>
      <c r="GW255" s="154"/>
      <c r="GX255" s="154"/>
    </row>
    <row r="256" spans="7:206">
      <c r="G256" s="154"/>
      <c r="H256" s="154"/>
      <c r="I256" s="154"/>
      <c r="J256" s="154"/>
      <c r="K256" s="154"/>
      <c r="L256" s="154"/>
      <c r="M256" s="154"/>
      <c r="N256" s="154"/>
      <c r="O256" s="154"/>
      <c r="P256" s="154"/>
      <c r="Q256" s="154"/>
      <c r="R256" s="154"/>
      <c r="S256" s="154"/>
      <c r="T256" s="154"/>
      <c r="U256" s="154"/>
      <c r="V256" s="154"/>
      <c r="W256" s="154"/>
      <c r="X256" s="154"/>
      <c r="Y256" s="154"/>
      <c r="Z256" s="357"/>
      <c r="AA256" s="357"/>
      <c r="AB256" s="357"/>
      <c r="AC256" s="357"/>
      <c r="AD256" s="357"/>
      <c r="AE256" s="357"/>
      <c r="AF256" s="357"/>
      <c r="AG256" s="357"/>
      <c r="AH256" s="357"/>
      <c r="AI256" s="357"/>
      <c r="AJ256" s="357"/>
      <c r="AK256" s="357"/>
      <c r="AL256" s="357"/>
      <c r="AM256" s="357"/>
      <c r="AN256" s="357"/>
      <c r="AO256" s="357"/>
      <c r="AP256" s="357"/>
      <c r="AQ256" s="357"/>
      <c r="AR256" s="357"/>
      <c r="AS256" s="357"/>
      <c r="AT256" s="357"/>
      <c r="AU256" s="357"/>
      <c r="AV256" s="357"/>
      <c r="AW256" s="357"/>
      <c r="AX256" s="357"/>
      <c r="AY256" s="357"/>
      <c r="AZ256" s="357"/>
      <c r="BA256" s="357"/>
      <c r="BB256" s="357"/>
      <c r="BC256" s="357"/>
      <c r="BD256" s="357"/>
      <c r="BE256" s="357"/>
      <c r="BF256" s="357"/>
      <c r="BG256" s="357"/>
      <c r="BH256" s="357"/>
      <c r="BI256" s="357"/>
      <c r="BJ256" s="357"/>
      <c r="BK256" s="357"/>
      <c r="BL256" s="357"/>
      <c r="BM256" s="357"/>
      <c r="BN256" s="357"/>
      <c r="BO256" s="357"/>
      <c r="BP256" s="357"/>
      <c r="BQ256" s="357"/>
      <c r="BR256" s="357"/>
      <c r="BS256" s="357"/>
      <c r="BT256" s="357"/>
      <c r="BU256" s="357"/>
      <c r="BV256" s="357"/>
      <c r="BW256" s="357"/>
      <c r="BX256" s="357"/>
      <c r="BY256" s="357"/>
      <c r="BZ256" s="357"/>
      <c r="CA256" s="357"/>
      <c r="CB256" s="357"/>
      <c r="CC256" s="357"/>
      <c r="CD256" s="357"/>
      <c r="CE256" s="357"/>
      <c r="CF256" s="357"/>
      <c r="CG256" s="357"/>
      <c r="CH256" s="357"/>
      <c r="CI256" s="357"/>
      <c r="CJ256" s="357"/>
      <c r="CK256" s="357"/>
      <c r="CL256" s="357"/>
      <c r="CM256" s="357"/>
      <c r="CN256" s="357"/>
      <c r="CO256" s="357"/>
      <c r="CP256" s="357"/>
      <c r="CQ256" s="357"/>
      <c r="CR256" s="357"/>
      <c r="CS256" s="357"/>
      <c r="CT256" s="357"/>
      <c r="CU256" s="357"/>
      <c r="CV256" s="357"/>
      <c r="CW256" s="357"/>
      <c r="CX256" s="357"/>
      <c r="CY256" s="357"/>
      <c r="CZ256" s="357"/>
      <c r="DA256" s="357"/>
      <c r="DB256" s="357"/>
      <c r="DC256" s="357"/>
      <c r="DD256" s="357"/>
      <c r="DE256" s="357"/>
      <c r="DF256" s="357"/>
      <c r="DG256" s="357"/>
      <c r="DH256" s="357"/>
      <c r="DI256" s="357"/>
      <c r="DJ256" s="357"/>
      <c r="DK256" s="357"/>
      <c r="DL256" s="357"/>
      <c r="DM256" s="357"/>
      <c r="DN256" s="357"/>
      <c r="DO256" s="357"/>
      <c r="DP256" s="357"/>
      <c r="DQ256" s="357"/>
      <c r="DR256" s="357"/>
      <c r="DS256" s="357"/>
      <c r="DT256" s="357"/>
      <c r="DU256" s="357"/>
      <c r="DV256" s="357"/>
      <c r="DW256" s="357"/>
      <c r="DX256" s="357"/>
      <c r="DY256" s="357"/>
      <c r="DZ256" s="357"/>
      <c r="EA256" s="357"/>
      <c r="EB256" s="357"/>
      <c r="EC256" s="357"/>
      <c r="ED256" s="357"/>
      <c r="EE256" s="357"/>
      <c r="EF256" s="357"/>
      <c r="EG256" s="357"/>
      <c r="EH256" s="357"/>
      <c r="EI256" s="357"/>
      <c r="EJ256" s="357"/>
      <c r="EK256" s="357"/>
      <c r="EL256" s="357"/>
      <c r="EM256" s="357"/>
      <c r="EN256" s="357"/>
      <c r="EO256" s="357"/>
      <c r="EP256" s="357"/>
      <c r="EQ256" s="357"/>
      <c r="ER256" s="357"/>
      <c r="ES256" s="357"/>
      <c r="ET256" s="357"/>
      <c r="EU256" s="357"/>
      <c r="EV256" s="357"/>
      <c r="EW256" s="357"/>
      <c r="EX256" s="357"/>
      <c r="EY256" s="357"/>
      <c r="EZ256" s="357"/>
      <c r="FA256" s="357"/>
      <c r="FB256" s="357"/>
      <c r="FC256" s="357"/>
      <c r="FD256" s="357"/>
      <c r="FE256" s="357"/>
      <c r="FF256" s="357"/>
      <c r="FG256" s="357"/>
      <c r="FH256" s="357"/>
      <c r="FI256" s="357"/>
      <c r="FJ256" s="357"/>
      <c r="FK256" s="357"/>
      <c r="FL256" s="357"/>
      <c r="FM256" s="357"/>
      <c r="FN256" s="357"/>
      <c r="FO256" s="357"/>
      <c r="FP256" s="357"/>
      <c r="FQ256" s="357"/>
      <c r="FR256" s="357"/>
      <c r="FS256" s="357"/>
      <c r="FT256" s="357"/>
      <c r="FU256" s="357"/>
      <c r="FV256" s="357"/>
      <c r="FW256" s="357"/>
      <c r="FX256" s="357"/>
      <c r="FY256" s="357"/>
      <c r="FZ256" s="357"/>
      <c r="GA256" s="357"/>
      <c r="GB256" s="357"/>
      <c r="GC256" s="357"/>
      <c r="GD256" s="357"/>
      <c r="GE256" s="357"/>
      <c r="GF256" s="357"/>
      <c r="GG256" s="357"/>
      <c r="GH256" s="357"/>
      <c r="GI256" s="357"/>
      <c r="GJ256" s="357"/>
      <c r="GK256" s="154"/>
      <c r="GL256" s="154"/>
      <c r="GM256" s="154"/>
      <c r="GN256" s="154"/>
      <c r="GO256" s="154"/>
      <c r="GP256" s="154"/>
      <c r="GQ256" s="154"/>
      <c r="GR256" s="154"/>
      <c r="GS256" s="154"/>
      <c r="GT256" s="154"/>
      <c r="GU256" s="154"/>
      <c r="GV256" s="154"/>
      <c r="GW256" s="154"/>
      <c r="GX256" s="154"/>
    </row>
    <row r="257" spans="7:206">
      <c r="G257" s="154"/>
      <c r="H257" s="154"/>
      <c r="I257" s="154"/>
      <c r="J257" s="154"/>
      <c r="K257" s="154"/>
      <c r="L257" s="154"/>
      <c r="M257" s="154"/>
      <c r="N257" s="154"/>
      <c r="O257" s="154"/>
      <c r="P257" s="154"/>
      <c r="Q257" s="154"/>
      <c r="R257" s="154"/>
      <c r="S257" s="154"/>
      <c r="T257" s="154"/>
      <c r="U257" s="154"/>
      <c r="V257" s="154"/>
      <c r="W257" s="154"/>
      <c r="X257" s="154"/>
      <c r="Y257" s="154"/>
      <c r="Z257" s="357"/>
      <c r="AA257" s="357"/>
      <c r="AB257" s="357"/>
      <c r="AC257" s="357"/>
      <c r="AD257" s="357"/>
      <c r="AE257" s="357"/>
      <c r="AF257" s="357"/>
      <c r="AG257" s="357"/>
      <c r="AH257" s="357"/>
      <c r="AI257" s="357"/>
      <c r="AJ257" s="357"/>
      <c r="AK257" s="357"/>
      <c r="AL257" s="357"/>
      <c r="AM257" s="357"/>
      <c r="AN257" s="357"/>
      <c r="AO257" s="357"/>
      <c r="AP257" s="357"/>
      <c r="AQ257" s="357"/>
      <c r="AR257" s="357"/>
      <c r="AS257" s="357"/>
      <c r="AT257" s="357"/>
      <c r="AU257" s="357"/>
      <c r="AV257" s="357"/>
      <c r="AW257" s="357"/>
      <c r="AX257" s="357"/>
      <c r="AY257" s="357"/>
      <c r="AZ257" s="357"/>
      <c r="BA257" s="357"/>
      <c r="BB257" s="357"/>
      <c r="BC257" s="357"/>
      <c r="BD257" s="357"/>
      <c r="BE257" s="357"/>
      <c r="BF257" s="357"/>
      <c r="BG257" s="357"/>
      <c r="BH257" s="357"/>
      <c r="BI257" s="357"/>
      <c r="BJ257" s="357"/>
      <c r="BK257" s="357"/>
      <c r="BL257" s="357"/>
      <c r="BM257" s="357"/>
      <c r="BN257" s="357"/>
      <c r="BO257" s="357"/>
      <c r="BP257" s="357"/>
      <c r="BQ257" s="357"/>
      <c r="BR257" s="357"/>
      <c r="BS257" s="357"/>
      <c r="BT257" s="357"/>
      <c r="BU257" s="357"/>
      <c r="BV257" s="357"/>
      <c r="BW257" s="357"/>
      <c r="BX257" s="357"/>
      <c r="BY257" s="357"/>
      <c r="BZ257" s="357"/>
      <c r="CA257" s="357"/>
      <c r="CB257" s="357"/>
      <c r="CC257" s="357"/>
      <c r="CD257" s="357"/>
      <c r="CE257" s="357"/>
      <c r="CF257" s="357"/>
      <c r="CG257" s="357"/>
      <c r="CH257" s="357"/>
      <c r="CI257" s="357"/>
      <c r="CJ257" s="357"/>
      <c r="CK257" s="357"/>
      <c r="CL257" s="357"/>
      <c r="CM257" s="357"/>
      <c r="CN257" s="357"/>
      <c r="CO257" s="357"/>
      <c r="CP257" s="357"/>
      <c r="CQ257" s="357"/>
      <c r="CR257" s="357"/>
      <c r="CS257" s="357"/>
      <c r="CT257" s="357"/>
      <c r="CU257" s="357"/>
      <c r="CV257" s="357"/>
      <c r="CW257" s="357"/>
      <c r="CX257" s="357"/>
      <c r="CY257" s="357"/>
      <c r="CZ257" s="357"/>
      <c r="DA257" s="357"/>
      <c r="DB257" s="357"/>
      <c r="DC257" s="357"/>
      <c r="DD257" s="357"/>
      <c r="DE257" s="357"/>
      <c r="DF257" s="357"/>
      <c r="DG257" s="357"/>
      <c r="DH257" s="357"/>
      <c r="DI257" s="357"/>
      <c r="DJ257" s="357"/>
      <c r="DK257" s="357"/>
      <c r="DL257" s="357"/>
      <c r="DM257" s="357"/>
      <c r="DN257" s="357"/>
      <c r="DO257" s="357"/>
      <c r="DP257" s="357"/>
      <c r="DQ257" s="357"/>
      <c r="DR257" s="357"/>
      <c r="DS257" s="357"/>
      <c r="DT257" s="357"/>
      <c r="DU257" s="357"/>
      <c r="DV257" s="357"/>
      <c r="DW257" s="357"/>
      <c r="DX257" s="357"/>
      <c r="DY257" s="357"/>
      <c r="DZ257" s="357"/>
      <c r="EA257" s="357"/>
      <c r="EB257" s="357"/>
      <c r="EC257" s="357"/>
      <c r="ED257" s="357"/>
      <c r="EE257" s="357"/>
      <c r="EF257" s="357"/>
      <c r="EG257" s="357"/>
      <c r="EH257" s="357"/>
      <c r="EI257" s="357"/>
      <c r="EJ257" s="357"/>
      <c r="EK257" s="357"/>
      <c r="EL257" s="357"/>
      <c r="EM257" s="357"/>
      <c r="EN257" s="357"/>
      <c r="EO257" s="357"/>
      <c r="EP257" s="357"/>
      <c r="EQ257" s="357"/>
      <c r="ER257" s="357"/>
      <c r="ES257" s="357"/>
      <c r="ET257" s="357"/>
      <c r="EU257" s="357"/>
      <c r="EV257" s="357"/>
      <c r="EW257" s="357"/>
      <c r="EX257" s="357"/>
      <c r="EY257" s="357"/>
      <c r="EZ257" s="357"/>
      <c r="FA257" s="357"/>
      <c r="FB257" s="357"/>
      <c r="FC257" s="357"/>
      <c r="FD257" s="357"/>
      <c r="FE257" s="357"/>
      <c r="FF257" s="357"/>
      <c r="FG257" s="357"/>
      <c r="FH257" s="357"/>
      <c r="FI257" s="357"/>
      <c r="FJ257" s="357"/>
      <c r="FK257" s="357"/>
      <c r="FL257" s="357"/>
      <c r="FM257" s="357"/>
      <c r="FN257" s="357"/>
      <c r="FO257" s="357"/>
      <c r="FP257" s="357"/>
      <c r="FQ257" s="357"/>
      <c r="FR257" s="357"/>
      <c r="FS257" s="357"/>
      <c r="FT257" s="357"/>
      <c r="FU257" s="357"/>
      <c r="FV257" s="357"/>
      <c r="FW257" s="357"/>
      <c r="FX257" s="357"/>
      <c r="FY257" s="357"/>
      <c r="FZ257" s="357"/>
      <c r="GA257" s="357"/>
      <c r="GB257" s="357"/>
      <c r="GC257" s="357"/>
      <c r="GD257" s="357"/>
      <c r="GE257" s="357"/>
      <c r="GF257" s="357"/>
      <c r="GG257" s="357"/>
      <c r="GH257" s="357"/>
      <c r="GI257" s="357"/>
      <c r="GJ257" s="357"/>
      <c r="GK257" s="154"/>
      <c r="GL257" s="154"/>
      <c r="GM257" s="154"/>
      <c r="GN257" s="154"/>
      <c r="GO257" s="154"/>
      <c r="GP257" s="154"/>
      <c r="GQ257" s="154"/>
      <c r="GR257" s="154"/>
      <c r="GS257" s="154"/>
      <c r="GT257" s="154"/>
      <c r="GU257" s="154"/>
      <c r="GV257" s="154"/>
      <c r="GW257" s="154"/>
      <c r="GX257" s="154"/>
    </row>
    <row r="258" spans="7:206">
      <c r="G258" s="154"/>
      <c r="H258" s="154"/>
      <c r="I258" s="154"/>
      <c r="J258" s="154"/>
      <c r="K258" s="154"/>
      <c r="L258" s="154"/>
      <c r="M258" s="154"/>
      <c r="N258" s="154"/>
      <c r="O258" s="154"/>
      <c r="P258" s="154"/>
      <c r="Q258" s="154"/>
      <c r="R258" s="154"/>
      <c r="S258" s="154"/>
      <c r="T258" s="154"/>
      <c r="U258" s="154"/>
      <c r="V258" s="154"/>
      <c r="W258" s="154"/>
      <c r="X258" s="154"/>
      <c r="Y258" s="154"/>
      <c r="Z258" s="357"/>
      <c r="AA258" s="357"/>
      <c r="AB258" s="357"/>
      <c r="AC258" s="357"/>
      <c r="AD258" s="357"/>
      <c r="AE258" s="357"/>
      <c r="AF258" s="357"/>
      <c r="AG258" s="357"/>
      <c r="AH258" s="357"/>
      <c r="AI258" s="357"/>
      <c r="AJ258" s="357"/>
      <c r="AK258" s="357"/>
      <c r="AL258" s="357"/>
      <c r="AM258" s="357"/>
      <c r="AN258" s="357"/>
      <c r="AO258" s="357"/>
      <c r="AP258" s="357"/>
      <c r="AQ258" s="357"/>
      <c r="AR258" s="357"/>
      <c r="AS258" s="357"/>
      <c r="AT258" s="357"/>
      <c r="AU258" s="357"/>
      <c r="AV258" s="357"/>
      <c r="AW258" s="357"/>
      <c r="AX258" s="357"/>
      <c r="AY258" s="357"/>
      <c r="AZ258" s="357"/>
      <c r="BA258" s="357"/>
      <c r="BB258" s="357"/>
      <c r="BC258" s="357"/>
      <c r="BD258" s="357"/>
      <c r="BE258" s="357"/>
      <c r="BF258" s="357"/>
      <c r="BG258" s="357"/>
      <c r="BH258" s="357"/>
      <c r="BI258" s="357"/>
      <c r="BJ258" s="357"/>
      <c r="BK258" s="357"/>
      <c r="BL258" s="357"/>
      <c r="BM258" s="357"/>
      <c r="BN258" s="357"/>
      <c r="BO258" s="357"/>
      <c r="BP258" s="357"/>
      <c r="BQ258" s="357"/>
      <c r="BR258" s="357"/>
      <c r="BS258" s="357"/>
      <c r="BT258" s="357"/>
      <c r="BU258" s="357"/>
      <c r="BV258" s="357"/>
      <c r="BW258" s="357"/>
      <c r="BX258" s="357"/>
      <c r="BY258" s="357"/>
      <c r="BZ258" s="357"/>
      <c r="CA258" s="357"/>
      <c r="CB258" s="357"/>
      <c r="CC258" s="357"/>
      <c r="CD258" s="357"/>
      <c r="CE258" s="357"/>
      <c r="CF258" s="357"/>
      <c r="CG258" s="357"/>
      <c r="CH258" s="357"/>
      <c r="CI258" s="357"/>
      <c r="CJ258" s="357"/>
      <c r="CK258" s="357"/>
      <c r="CL258" s="357"/>
      <c r="CM258" s="357"/>
      <c r="CN258" s="357"/>
      <c r="CO258" s="357"/>
      <c r="CP258" s="357"/>
      <c r="CQ258" s="357"/>
      <c r="CR258" s="357"/>
      <c r="CS258" s="357"/>
      <c r="CT258" s="357"/>
      <c r="CU258" s="357"/>
      <c r="CV258" s="357"/>
      <c r="CW258" s="357"/>
      <c r="CX258" s="357"/>
      <c r="CY258" s="357"/>
      <c r="CZ258" s="357"/>
      <c r="DA258" s="357"/>
      <c r="DB258" s="357"/>
      <c r="DC258" s="357"/>
      <c r="DD258" s="357"/>
      <c r="DE258" s="357"/>
      <c r="DF258" s="357"/>
      <c r="DG258" s="357"/>
      <c r="DH258" s="357"/>
      <c r="DI258" s="357"/>
      <c r="DJ258" s="357"/>
      <c r="DK258" s="357"/>
      <c r="DL258" s="357"/>
      <c r="DM258" s="357"/>
      <c r="DN258" s="357"/>
      <c r="DO258" s="357"/>
      <c r="DP258" s="357"/>
      <c r="DQ258" s="357"/>
      <c r="DR258" s="357"/>
      <c r="DS258" s="357"/>
      <c r="DT258" s="357"/>
      <c r="DU258" s="357"/>
      <c r="DV258" s="357"/>
      <c r="DW258" s="357"/>
      <c r="DX258" s="357"/>
      <c r="DY258" s="357"/>
      <c r="DZ258" s="357"/>
      <c r="EA258" s="357"/>
      <c r="EB258" s="357"/>
      <c r="EC258" s="357"/>
      <c r="ED258" s="357"/>
      <c r="EE258" s="357"/>
      <c r="EF258" s="357"/>
      <c r="EG258" s="357"/>
      <c r="EH258" s="357"/>
      <c r="EI258" s="357"/>
      <c r="EJ258" s="357"/>
      <c r="EK258" s="357"/>
      <c r="EL258" s="357"/>
      <c r="EM258" s="357"/>
      <c r="EN258" s="357"/>
      <c r="EO258" s="357"/>
      <c r="EP258" s="357"/>
      <c r="EQ258" s="357"/>
      <c r="ER258" s="357"/>
      <c r="ES258" s="357"/>
      <c r="ET258" s="357"/>
      <c r="EU258" s="357"/>
      <c r="EV258" s="357"/>
      <c r="EW258" s="357"/>
      <c r="EX258" s="357"/>
      <c r="EY258" s="357"/>
      <c r="EZ258" s="357"/>
      <c r="FA258" s="357"/>
      <c r="FB258" s="357"/>
      <c r="FC258" s="357"/>
      <c r="FD258" s="357"/>
      <c r="FE258" s="357"/>
      <c r="FF258" s="357"/>
      <c r="FG258" s="357"/>
      <c r="FH258" s="357"/>
      <c r="FI258" s="357"/>
      <c r="FJ258" s="357"/>
      <c r="FK258" s="357"/>
      <c r="FL258" s="357"/>
      <c r="FM258" s="357"/>
      <c r="FN258" s="357"/>
      <c r="FO258" s="357"/>
      <c r="FP258" s="357"/>
      <c r="FQ258" s="357"/>
      <c r="FR258" s="357"/>
      <c r="FS258" s="357"/>
      <c r="FT258" s="357"/>
      <c r="FU258" s="357"/>
      <c r="FV258" s="357"/>
      <c r="FW258" s="357"/>
      <c r="FX258" s="357"/>
      <c r="FY258" s="357"/>
      <c r="FZ258" s="357"/>
      <c r="GA258" s="357"/>
      <c r="GB258" s="357"/>
      <c r="GC258" s="357"/>
      <c r="GD258" s="357"/>
      <c r="GE258" s="357"/>
      <c r="GF258" s="357"/>
      <c r="GG258" s="357"/>
      <c r="GH258" s="357"/>
      <c r="GI258" s="357"/>
      <c r="GJ258" s="357"/>
      <c r="GK258" s="154"/>
      <c r="GL258" s="154"/>
      <c r="GM258" s="154"/>
      <c r="GN258" s="154"/>
      <c r="GO258" s="154"/>
      <c r="GP258" s="154"/>
      <c r="GQ258" s="154"/>
      <c r="GR258" s="154"/>
      <c r="GS258" s="154"/>
      <c r="GT258" s="154"/>
      <c r="GU258" s="154"/>
      <c r="GV258" s="154"/>
      <c r="GW258" s="154"/>
      <c r="GX258" s="154"/>
    </row>
    <row r="259" spans="7:206">
      <c r="G259" s="154"/>
      <c r="H259" s="154"/>
      <c r="I259" s="154"/>
      <c r="J259" s="154"/>
      <c r="K259" s="154"/>
      <c r="L259" s="154"/>
      <c r="M259" s="154"/>
      <c r="N259" s="154"/>
      <c r="O259" s="154"/>
      <c r="P259" s="154"/>
      <c r="Q259" s="154"/>
      <c r="R259" s="154"/>
      <c r="S259" s="154"/>
      <c r="T259" s="154"/>
      <c r="U259" s="154"/>
      <c r="V259" s="154"/>
      <c r="W259" s="154"/>
      <c r="X259" s="154"/>
      <c r="Y259" s="154"/>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7"/>
      <c r="BB259" s="357"/>
      <c r="BC259" s="357"/>
      <c r="BD259" s="357"/>
      <c r="BE259" s="357"/>
      <c r="BF259" s="357"/>
      <c r="BG259" s="357"/>
      <c r="BH259" s="357"/>
      <c r="BI259" s="357"/>
      <c r="BJ259" s="357"/>
      <c r="BK259" s="357"/>
      <c r="BL259" s="357"/>
      <c r="BM259" s="357"/>
      <c r="BN259" s="357"/>
      <c r="BO259" s="357"/>
      <c r="BP259" s="357"/>
      <c r="BQ259" s="357"/>
      <c r="BR259" s="357"/>
      <c r="BS259" s="357"/>
      <c r="BT259" s="357"/>
      <c r="BU259" s="357"/>
      <c r="BV259" s="357"/>
      <c r="BW259" s="357"/>
      <c r="BX259" s="357"/>
      <c r="BY259" s="357"/>
      <c r="BZ259" s="357"/>
      <c r="CA259" s="357"/>
      <c r="CB259" s="357"/>
      <c r="CC259" s="357"/>
      <c r="CD259" s="357"/>
      <c r="CE259" s="357"/>
      <c r="CF259" s="357"/>
      <c r="CG259" s="357"/>
      <c r="CH259" s="357"/>
      <c r="CI259" s="357"/>
      <c r="CJ259" s="357"/>
      <c r="CK259" s="357"/>
      <c r="CL259" s="357"/>
      <c r="CM259" s="357"/>
      <c r="CN259" s="357"/>
      <c r="CO259" s="357"/>
      <c r="CP259" s="357"/>
      <c r="CQ259" s="357"/>
      <c r="CR259" s="357"/>
      <c r="CS259" s="357"/>
      <c r="CT259" s="357"/>
      <c r="CU259" s="357"/>
      <c r="CV259" s="357"/>
      <c r="CW259" s="357"/>
      <c r="CX259" s="357"/>
      <c r="CY259" s="357"/>
      <c r="CZ259" s="357"/>
      <c r="DA259" s="357"/>
      <c r="DB259" s="357"/>
      <c r="DC259" s="357"/>
      <c r="DD259" s="357"/>
      <c r="DE259" s="357"/>
      <c r="DF259" s="357"/>
      <c r="DG259" s="357"/>
      <c r="DH259" s="357"/>
      <c r="DI259" s="357"/>
      <c r="DJ259" s="357"/>
      <c r="DK259" s="357"/>
      <c r="DL259" s="357"/>
      <c r="DM259" s="357"/>
      <c r="DN259" s="357"/>
      <c r="DO259" s="357"/>
      <c r="DP259" s="357"/>
      <c r="DQ259" s="357"/>
      <c r="DR259" s="357"/>
      <c r="DS259" s="357"/>
      <c r="DT259" s="357"/>
      <c r="DU259" s="357"/>
      <c r="DV259" s="357"/>
      <c r="DW259" s="357"/>
      <c r="DX259" s="357"/>
      <c r="DY259" s="357"/>
      <c r="DZ259" s="357"/>
      <c r="EA259" s="357"/>
      <c r="EB259" s="357"/>
      <c r="EC259" s="357"/>
      <c r="ED259" s="357"/>
      <c r="EE259" s="357"/>
      <c r="EF259" s="357"/>
      <c r="EG259" s="357"/>
      <c r="EH259" s="357"/>
      <c r="EI259" s="357"/>
      <c r="EJ259" s="357"/>
      <c r="EK259" s="357"/>
      <c r="EL259" s="357"/>
      <c r="EM259" s="357"/>
      <c r="EN259" s="357"/>
      <c r="EO259" s="357"/>
      <c r="EP259" s="357"/>
      <c r="EQ259" s="357"/>
      <c r="ER259" s="357"/>
      <c r="ES259" s="357"/>
      <c r="ET259" s="357"/>
      <c r="EU259" s="357"/>
      <c r="EV259" s="357"/>
      <c r="EW259" s="357"/>
      <c r="EX259" s="357"/>
      <c r="EY259" s="357"/>
      <c r="EZ259" s="357"/>
      <c r="FA259" s="357"/>
      <c r="FB259" s="357"/>
      <c r="FC259" s="357"/>
      <c r="FD259" s="357"/>
      <c r="FE259" s="357"/>
      <c r="FF259" s="357"/>
      <c r="FG259" s="357"/>
      <c r="FH259" s="357"/>
      <c r="FI259" s="357"/>
      <c r="FJ259" s="357"/>
      <c r="FK259" s="357"/>
      <c r="FL259" s="357"/>
      <c r="FM259" s="357"/>
      <c r="FN259" s="357"/>
      <c r="FO259" s="357"/>
      <c r="FP259" s="357"/>
      <c r="FQ259" s="357"/>
      <c r="FR259" s="357"/>
      <c r="FS259" s="357"/>
      <c r="FT259" s="357"/>
      <c r="FU259" s="357"/>
      <c r="FV259" s="357"/>
      <c r="FW259" s="357"/>
      <c r="FX259" s="357"/>
      <c r="FY259" s="357"/>
      <c r="FZ259" s="357"/>
      <c r="GA259" s="357"/>
      <c r="GB259" s="357"/>
      <c r="GC259" s="357"/>
      <c r="GD259" s="357"/>
      <c r="GE259" s="357"/>
      <c r="GF259" s="357"/>
      <c r="GG259" s="357"/>
      <c r="GH259" s="357"/>
      <c r="GI259" s="357"/>
      <c r="GJ259" s="357"/>
      <c r="GK259" s="154"/>
      <c r="GL259" s="154"/>
      <c r="GM259" s="154"/>
      <c r="GN259" s="154"/>
      <c r="GO259" s="154"/>
      <c r="GP259" s="154"/>
      <c r="GQ259" s="154"/>
      <c r="GR259" s="154"/>
      <c r="GS259" s="154"/>
      <c r="GT259" s="154"/>
      <c r="GU259" s="154"/>
      <c r="GV259" s="154"/>
      <c r="GW259" s="154"/>
      <c r="GX259" s="154"/>
    </row>
    <row r="260" spans="7:206">
      <c r="G260" s="154"/>
      <c r="H260" s="154"/>
      <c r="I260" s="154"/>
      <c r="J260" s="154"/>
      <c r="K260" s="154"/>
      <c r="L260" s="154"/>
      <c r="M260" s="154"/>
      <c r="N260" s="154"/>
      <c r="O260" s="154"/>
      <c r="P260" s="154"/>
      <c r="Q260" s="154"/>
      <c r="R260" s="154"/>
      <c r="S260" s="154"/>
      <c r="T260" s="154"/>
      <c r="U260" s="154"/>
      <c r="V260" s="154"/>
      <c r="W260" s="154"/>
      <c r="X260" s="154"/>
      <c r="Y260" s="154"/>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57"/>
      <c r="BB260" s="357"/>
      <c r="BC260" s="357"/>
      <c r="BD260" s="357"/>
      <c r="BE260" s="357"/>
      <c r="BF260" s="357"/>
      <c r="BG260" s="357"/>
      <c r="BH260" s="357"/>
      <c r="BI260" s="357"/>
      <c r="BJ260" s="357"/>
      <c r="BK260" s="357"/>
      <c r="BL260" s="357"/>
      <c r="BM260" s="357"/>
      <c r="BN260" s="357"/>
      <c r="BO260" s="357"/>
      <c r="BP260" s="357"/>
      <c r="BQ260" s="357"/>
      <c r="BR260" s="357"/>
      <c r="BS260" s="357"/>
      <c r="BT260" s="357"/>
      <c r="BU260" s="357"/>
      <c r="BV260" s="357"/>
      <c r="BW260" s="357"/>
      <c r="BX260" s="357"/>
      <c r="BY260" s="357"/>
      <c r="BZ260" s="357"/>
      <c r="CA260" s="357"/>
      <c r="CB260" s="357"/>
      <c r="CC260" s="357"/>
      <c r="CD260" s="357"/>
      <c r="CE260" s="357"/>
      <c r="CF260" s="357"/>
      <c r="CG260" s="357"/>
      <c r="CH260" s="357"/>
      <c r="CI260" s="357"/>
      <c r="CJ260" s="357"/>
      <c r="CK260" s="357"/>
      <c r="CL260" s="357"/>
      <c r="CM260" s="357"/>
      <c r="CN260" s="357"/>
      <c r="CO260" s="357"/>
      <c r="CP260" s="357"/>
      <c r="CQ260" s="357"/>
      <c r="CR260" s="357"/>
      <c r="CS260" s="357"/>
      <c r="CT260" s="357"/>
      <c r="CU260" s="357"/>
      <c r="CV260" s="357"/>
      <c r="CW260" s="357"/>
      <c r="CX260" s="357"/>
      <c r="CY260" s="357"/>
      <c r="CZ260" s="357"/>
      <c r="DA260" s="357"/>
      <c r="DB260" s="357"/>
      <c r="DC260" s="357"/>
      <c r="DD260" s="357"/>
      <c r="DE260" s="357"/>
      <c r="DF260" s="357"/>
      <c r="DG260" s="357"/>
      <c r="DH260" s="357"/>
      <c r="DI260" s="357"/>
      <c r="DJ260" s="357"/>
      <c r="DK260" s="357"/>
      <c r="DL260" s="357"/>
      <c r="DM260" s="357"/>
      <c r="DN260" s="357"/>
      <c r="DO260" s="357"/>
      <c r="DP260" s="357"/>
      <c r="DQ260" s="357"/>
      <c r="DR260" s="357"/>
      <c r="DS260" s="357"/>
      <c r="DT260" s="357"/>
      <c r="DU260" s="357"/>
      <c r="DV260" s="357"/>
      <c r="DW260" s="357"/>
      <c r="DX260" s="357"/>
      <c r="DY260" s="357"/>
      <c r="DZ260" s="357"/>
      <c r="EA260" s="357"/>
      <c r="EB260" s="357"/>
      <c r="EC260" s="357"/>
      <c r="ED260" s="357"/>
      <c r="EE260" s="357"/>
      <c r="EF260" s="357"/>
      <c r="EG260" s="357"/>
      <c r="EH260" s="357"/>
      <c r="EI260" s="357"/>
      <c r="EJ260" s="357"/>
      <c r="EK260" s="357"/>
      <c r="EL260" s="357"/>
      <c r="EM260" s="357"/>
      <c r="EN260" s="357"/>
      <c r="EO260" s="357"/>
      <c r="EP260" s="357"/>
      <c r="EQ260" s="357"/>
      <c r="ER260" s="357"/>
      <c r="ES260" s="357"/>
      <c r="ET260" s="357"/>
      <c r="EU260" s="357"/>
      <c r="EV260" s="357"/>
      <c r="EW260" s="357"/>
      <c r="EX260" s="357"/>
      <c r="EY260" s="357"/>
      <c r="EZ260" s="357"/>
      <c r="FA260" s="357"/>
      <c r="FB260" s="357"/>
      <c r="FC260" s="357"/>
      <c r="FD260" s="357"/>
      <c r="FE260" s="357"/>
      <c r="FF260" s="357"/>
      <c r="FG260" s="357"/>
      <c r="FH260" s="357"/>
      <c r="FI260" s="357"/>
      <c r="FJ260" s="357"/>
      <c r="FK260" s="357"/>
      <c r="FL260" s="357"/>
      <c r="FM260" s="357"/>
      <c r="FN260" s="357"/>
      <c r="FO260" s="357"/>
      <c r="FP260" s="357"/>
      <c r="FQ260" s="357"/>
      <c r="FR260" s="357"/>
      <c r="FS260" s="357"/>
      <c r="FT260" s="357"/>
      <c r="FU260" s="357"/>
      <c r="FV260" s="357"/>
      <c r="FW260" s="357"/>
      <c r="FX260" s="357"/>
      <c r="FY260" s="357"/>
      <c r="FZ260" s="357"/>
      <c r="GA260" s="357"/>
      <c r="GB260" s="357"/>
      <c r="GC260" s="357"/>
      <c r="GD260" s="357"/>
      <c r="GE260" s="357"/>
      <c r="GF260" s="357"/>
      <c r="GG260" s="357"/>
      <c r="GH260" s="357"/>
      <c r="GI260" s="357"/>
      <c r="GJ260" s="357"/>
      <c r="GK260" s="154"/>
      <c r="GL260" s="154"/>
      <c r="GM260" s="154"/>
      <c r="GN260" s="154"/>
      <c r="GO260" s="154"/>
      <c r="GP260" s="154"/>
      <c r="GQ260" s="154"/>
      <c r="GR260" s="154"/>
      <c r="GS260" s="154"/>
      <c r="GT260" s="154"/>
      <c r="GU260" s="154"/>
      <c r="GV260" s="154"/>
      <c r="GW260" s="154"/>
      <c r="GX260" s="154"/>
    </row>
    <row r="261" spans="7:206">
      <c r="G261" s="154"/>
      <c r="H261" s="154"/>
      <c r="I261" s="154"/>
      <c r="J261" s="154"/>
      <c r="K261" s="154"/>
      <c r="L261" s="154"/>
      <c r="M261" s="154"/>
      <c r="N261" s="154"/>
      <c r="O261" s="154"/>
      <c r="P261" s="154"/>
      <c r="Q261" s="154"/>
      <c r="R261" s="154"/>
      <c r="S261" s="154"/>
      <c r="T261" s="154"/>
      <c r="U261" s="154"/>
      <c r="V261" s="154"/>
      <c r="W261" s="154"/>
      <c r="X261" s="154"/>
      <c r="Y261" s="154"/>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357"/>
      <c r="BB261" s="357"/>
      <c r="BC261" s="357"/>
      <c r="BD261" s="357"/>
      <c r="BE261" s="357"/>
      <c r="BF261" s="357"/>
      <c r="BG261" s="357"/>
      <c r="BH261" s="357"/>
      <c r="BI261" s="357"/>
      <c r="BJ261" s="357"/>
      <c r="BK261" s="357"/>
      <c r="BL261" s="357"/>
      <c r="BM261" s="357"/>
      <c r="BN261" s="357"/>
      <c r="BO261" s="357"/>
      <c r="BP261" s="357"/>
      <c r="BQ261" s="357"/>
      <c r="BR261" s="357"/>
      <c r="BS261" s="357"/>
      <c r="BT261" s="357"/>
      <c r="BU261" s="357"/>
      <c r="BV261" s="357"/>
      <c r="BW261" s="357"/>
      <c r="BX261" s="357"/>
      <c r="BY261" s="357"/>
      <c r="BZ261" s="357"/>
      <c r="CA261" s="357"/>
      <c r="CB261" s="357"/>
      <c r="CC261" s="357"/>
      <c r="CD261" s="357"/>
      <c r="CE261" s="357"/>
      <c r="CF261" s="357"/>
      <c r="CG261" s="357"/>
      <c r="CH261" s="357"/>
      <c r="CI261" s="357"/>
      <c r="CJ261" s="357"/>
      <c r="CK261" s="357"/>
      <c r="CL261" s="357"/>
      <c r="CM261" s="357"/>
      <c r="CN261" s="357"/>
      <c r="CO261" s="357"/>
      <c r="CP261" s="357"/>
      <c r="CQ261" s="357"/>
      <c r="CR261" s="357"/>
      <c r="CS261" s="357"/>
      <c r="CT261" s="357"/>
      <c r="CU261" s="357"/>
      <c r="CV261" s="357"/>
      <c r="CW261" s="357"/>
      <c r="CX261" s="357"/>
      <c r="CY261" s="357"/>
      <c r="CZ261" s="357"/>
      <c r="DA261" s="357"/>
      <c r="DB261" s="357"/>
      <c r="DC261" s="357"/>
      <c r="DD261" s="357"/>
      <c r="DE261" s="357"/>
      <c r="DF261" s="357"/>
      <c r="DG261" s="357"/>
      <c r="DH261" s="357"/>
      <c r="DI261" s="357"/>
      <c r="DJ261" s="357"/>
      <c r="DK261" s="357"/>
      <c r="DL261" s="357"/>
      <c r="DM261" s="357"/>
      <c r="DN261" s="357"/>
      <c r="DO261" s="357"/>
      <c r="DP261" s="357"/>
      <c r="DQ261" s="357"/>
      <c r="DR261" s="357"/>
      <c r="DS261" s="357"/>
      <c r="DT261" s="357"/>
      <c r="DU261" s="357"/>
      <c r="DV261" s="357"/>
      <c r="DW261" s="357"/>
      <c r="DX261" s="357"/>
      <c r="DY261" s="357"/>
      <c r="DZ261" s="357"/>
      <c r="EA261" s="357"/>
      <c r="EB261" s="357"/>
      <c r="EC261" s="357"/>
      <c r="ED261" s="357"/>
      <c r="EE261" s="357"/>
      <c r="EF261" s="357"/>
      <c r="EG261" s="357"/>
      <c r="EH261" s="357"/>
      <c r="EI261" s="357"/>
      <c r="EJ261" s="357"/>
      <c r="EK261" s="357"/>
      <c r="EL261" s="357"/>
      <c r="EM261" s="357"/>
      <c r="EN261" s="357"/>
      <c r="EO261" s="357"/>
      <c r="EP261" s="357"/>
      <c r="EQ261" s="357"/>
      <c r="ER261" s="357"/>
      <c r="ES261" s="357"/>
      <c r="ET261" s="357"/>
      <c r="EU261" s="357"/>
      <c r="EV261" s="357"/>
      <c r="EW261" s="357"/>
      <c r="EX261" s="357"/>
      <c r="EY261" s="357"/>
      <c r="EZ261" s="357"/>
      <c r="FA261" s="357"/>
      <c r="FB261" s="357"/>
      <c r="FC261" s="357"/>
      <c r="FD261" s="357"/>
      <c r="FE261" s="357"/>
      <c r="FF261" s="357"/>
      <c r="FG261" s="357"/>
      <c r="FH261" s="357"/>
      <c r="FI261" s="357"/>
      <c r="FJ261" s="357"/>
      <c r="FK261" s="357"/>
      <c r="FL261" s="357"/>
      <c r="FM261" s="357"/>
      <c r="FN261" s="357"/>
      <c r="FO261" s="357"/>
      <c r="FP261" s="357"/>
      <c r="FQ261" s="357"/>
      <c r="FR261" s="357"/>
      <c r="FS261" s="357"/>
      <c r="FT261" s="357"/>
      <c r="FU261" s="357"/>
      <c r="FV261" s="357"/>
      <c r="FW261" s="357"/>
      <c r="FX261" s="357"/>
      <c r="FY261" s="357"/>
      <c r="FZ261" s="357"/>
      <c r="GA261" s="357"/>
      <c r="GB261" s="357"/>
      <c r="GC261" s="357"/>
      <c r="GD261" s="357"/>
      <c r="GE261" s="357"/>
      <c r="GF261" s="357"/>
      <c r="GG261" s="357"/>
      <c r="GH261" s="357"/>
      <c r="GI261" s="357"/>
      <c r="GJ261" s="357"/>
      <c r="GK261" s="154"/>
      <c r="GL261" s="154"/>
      <c r="GM261" s="154"/>
      <c r="GN261" s="154"/>
      <c r="GO261" s="154"/>
      <c r="GP261" s="154"/>
      <c r="GQ261" s="154"/>
      <c r="GR261" s="154"/>
      <c r="GS261" s="154"/>
      <c r="GT261" s="154"/>
      <c r="GU261" s="154"/>
      <c r="GV261" s="154"/>
      <c r="GW261" s="154"/>
      <c r="GX261" s="154"/>
    </row>
    <row r="262" spans="7:206">
      <c r="G262" s="154"/>
      <c r="H262" s="154"/>
      <c r="I262" s="154"/>
      <c r="J262" s="154"/>
      <c r="K262" s="154"/>
      <c r="L262" s="154"/>
      <c r="M262" s="154"/>
      <c r="N262" s="154"/>
      <c r="O262" s="154"/>
      <c r="P262" s="154"/>
      <c r="Q262" s="154"/>
      <c r="R262" s="154"/>
      <c r="S262" s="154"/>
      <c r="T262" s="154"/>
      <c r="U262" s="154"/>
      <c r="V262" s="154"/>
      <c r="W262" s="154"/>
      <c r="X262" s="154"/>
      <c r="Y262" s="154"/>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357"/>
      <c r="BB262" s="357"/>
      <c r="BC262" s="357"/>
      <c r="BD262" s="357"/>
      <c r="BE262" s="357"/>
      <c r="BF262" s="357"/>
      <c r="BG262" s="357"/>
      <c r="BH262" s="357"/>
      <c r="BI262" s="357"/>
      <c r="BJ262" s="357"/>
      <c r="BK262" s="357"/>
      <c r="BL262" s="357"/>
      <c r="BM262" s="357"/>
      <c r="BN262" s="357"/>
      <c r="BO262" s="357"/>
      <c r="BP262" s="357"/>
      <c r="BQ262" s="357"/>
      <c r="BR262" s="357"/>
      <c r="BS262" s="357"/>
      <c r="BT262" s="357"/>
      <c r="BU262" s="357"/>
      <c r="BV262" s="357"/>
      <c r="BW262" s="357"/>
      <c r="BX262" s="357"/>
      <c r="BY262" s="357"/>
      <c r="BZ262" s="357"/>
      <c r="CA262" s="357"/>
      <c r="CB262" s="357"/>
      <c r="CC262" s="357"/>
      <c r="CD262" s="357"/>
      <c r="CE262" s="357"/>
      <c r="CF262" s="357"/>
      <c r="CG262" s="357"/>
      <c r="CH262" s="357"/>
      <c r="CI262" s="357"/>
      <c r="CJ262" s="357"/>
      <c r="CK262" s="357"/>
      <c r="CL262" s="357"/>
      <c r="CM262" s="357"/>
      <c r="CN262" s="357"/>
      <c r="CO262" s="357"/>
      <c r="CP262" s="357"/>
      <c r="CQ262" s="357"/>
      <c r="CR262" s="357"/>
      <c r="CS262" s="357"/>
      <c r="CT262" s="357"/>
      <c r="CU262" s="357"/>
      <c r="CV262" s="357"/>
      <c r="CW262" s="357"/>
      <c r="CX262" s="357"/>
      <c r="CY262" s="357"/>
      <c r="CZ262" s="357"/>
      <c r="DA262" s="357"/>
      <c r="DB262" s="357"/>
      <c r="DC262" s="357"/>
      <c r="DD262" s="357"/>
      <c r="DE262" s="357"/>
      <c r="DF262" s="357"/>
      <c r="DG262" s="357"/>
      <c r="DH262" s="357"/>
      <c r="DI262" s="357"/>
      <c r="DJ262" s="357"/>
      <c r="DK262" s="357"/>
      <c r="DL262" s="357"/>
      <c r="DM262" s="357"/>
      <c r="DN262" s="357"/>
      <c r="DO262" s="357"/>
      <c r="DP262" s="357"/>
      <c r="DQ262" s="357"/>
      <c r="DR262" s="357"/>
      <c r="DS262" s="357"/>
      <c r="DT262" s="357"/>
      <c r="DU262" s="357"/>
      <c r="DV262" s="357"/>
      <c r="DW262" s="357"/>
      <c r="DX262" s="357"/>
      <c r="DY262" s="357"/>
      <c r="DZ262" s="357"/>
      <c r="EA262" s="357"/>
      <c r="EB262" s="357"/>
      <c r="EC262" s="357"/>
      <c r="ED262" s="357"/>
      <c r="EE262" s="357"/>
      <c r="EF262" s="357"/>
      <c r="EG262" s="357"/>
      <c r="EH262" s="357"/>
      <c r="EI262" s="357"/>
      <c r="EJ262" s="357"/>
      <c r="EK262" s="357"/>
      <c r="EL262" s="357"/>
      <c r="EM262" s="357"/>
      <c r="EN262" s="357"/>
      <c r="EO262" s="357"/>
      <c r="EP262" s="357"/>
      <c r="EQ262" s="357"/>
      <c r="ER262" s="357"/>
      <c r="ES262" s="357"/>
      <c r="ET262" s="357"/>
      <c r="EU262" s="357"/>
      <c r="EV262" s="357"/>
      <c r="EW262" s="357"/>
      <c r="EX262" s="357"/>
      <c r="EY262" s="357"/>
      <c r="EZ262" s="357"/>
      <c r="FA262" s="357"/>
      <c r="FB262" s="357"/>
      <c r="FC262" s="357"/>
      <c r="FD262" s="357"/>
      <c r="FE262" s="357"/>
      <c r="FF262" s="357"/>
      <c r="FG262" s="357"/>
      <c r="FH262" s="357"/>
      <c r="FI262" s="357"/>
      <c r="FJ262" s="357"/>
      <c r="FK262" s="357"/>
      <c r="FL262" s="357"/>
      <c r="FM262" s="357"/>
      <c r="FN262" s="357"/>
      <c r="FO262" s="357"/>
      <c r="FP262" s="357"/>
      <c r="FQ262" s="357"/>
      <c r="FR262" s="357"/>
      <c r="FS262" s="357"/>
      <c r="FT262" s="357"/>
      <c r="FU262" s="357"/>
      <c r="FV262" s="357"/>
      <c r="FW262" s="357"/>
      <c r="FX262" s="357"/>
      <c r="FY262" s="357"/>
      <c r="FZ262" s="357"/>
      <c r="GA262" s="357"/>
      <c r="GB262" s="357"/>
      <c r="GC262" s="357"/>
      <c r="GD262" s="357"/>
      <c r="GE262" s="357"/>
      <c r="GF262" s="357"/>
      <c r="GG262" s="357"/>
      <c r="GH262" s="357"/>
      <c r="GI262" s="357"/>
      <c r="GJ262" s="357"/>
      <c r="GK262" s="154"/>
      <c r="GL262" s="154"/>
      <c r="GM262" s="154"/>
      <c r="GN262" s="154"/>
      <c r="GO262" s="154"/>
      <c r="GP262" s="154"/>
      <c r="GQ262" s="154"/>
      <c r="GR262" s="154"/>
      <c r="GS262" s="154"/>
      <c r="GT262" s="154"/>
      <c r="GU262" s="154"/>
      <c r="GV262" s="154"/>
      <c r="GW262" s="154"/>
      <c r="GX262" s="154"/>
    </row>
    <row r="263" spans="7:206">
      <c r="G263" s="154"/>
      <c r="H263" s="154"/>
      <c r="I263" s="154"/>
      <c r="J263" s="154"/>
      <c r="K263" s="154"/>
      <c r="L263" s="154"/>
      <c r="M263" s="154"/>
      <c r="N263" s="154"/>
      <c r="O263" s="154"/>
      <c r="P263" s="154"/>
      <c r="Q263" s="154"/>
      <c r="R263" s="154"/>
      <c r="S263" s="154"/>
      <c r="T263" s="154"/>
      <c r="U263" s="154"/>
      <c r="V263" s="154"/>
      <c r="W263" s="154"/>
      <c r="X263" s="154"/>
      <c r="Y263" s="154"/>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357"/>
      <c r="BB263" s="357"/>
      <c r="BC263" s="357"/>
      <c r="BD263" s="357"/>
      <c r="BE263" s="357"/>
      <c r="BF263" s="357"/>
      <c r="BG263" s="357"/>
      <c r="BH263" s="357"/>
      <c r="BI263" s="357"/>
      <c r="BJ263" s="357"/>
      <c r="BK263" s="357"/>
      <c r="BL263" s="357"/>
      <c r="BM263" s="357"/>
      <c r="BN263" s="357"/>
      <c r="BO263" s="357"/>
      <c r="BP263" s="357"/>
      <c r="BQ263" s="357"/>
      <c r="BR263" s="357"/>
      <c r="BS263" s="357"/>
      <c r="BT263" s="357"/>
      <c r="BU263" s="357"/>
      <c r="BV263" s="357"/>
      <c r="BW263" s="357"/>
      <c r="BX263" s="357"/>
      <c r="BY263" s="357"/>
      <c r="BZ263" s="357"/>
      <c r="CA263" s="357"/>
      <c r="CB263" s="357"/>
      <c r="CC263" s="357"/>
      <c r="CD263" s="357"/>
      <c r="CE263" s="357"/>
      <c r="CF263" s="357"/>
      <c r="CG263" s="357"/>
      <c r="CH263" s="357"/>
      <c r="CI263" s="357"/>
      <c r="CJ263" s="357"/>
      <c r="CK263" s="357"/>
      <c r="CL263" s="357"/>
      <c r="CM263" s="357"/>
      <c r="CN263" s="357"/>
      <c r="CO263" s="357"/>
      <c r="CP263" s="357"/>
      <c r="CQ263" s="357"/>
      <c r="CR263" s="357"/>
      <c r="CS263" s="357"/>
      <c r="CT263" s="357"/>
      <c r="CU263" s="357"/>
      <c r="CV263" s="357"/>
      <c r="CW263" s="357"/>
      <c r="CX263" s="357"/>
      <c r="CY263" s="357"/>
      <c r="CZ263" s="357"/>
      <c r="DA263" s="357"/>
      <c r="DB263" s="357"/>
      <c r="DC263" s="357"/>
      <c r="DD263" s="357"/>
      <c r="DE263" s="357"/>
      <c r="DF263" s="357"/>
      <c r="DG263" s="357"/>
      <c r="DH263" s="357"/>
      <c r="DI263" s="357"/>
      <c r="DJ263" s="357"/>
      <c r="DK263" s="357"/>
      <c r="DL263" s="357"/>
      <c r="DM263" s="357"/>
      <c r="DN263" s="357"/>
      <c r="DO263" s="357"/>
      <c r="DP263" s="357"/>
      <c r="DQ263" s="357"/>
      <c r="DR263" s="357"/>
      <c r="DS263" s="357"/>
      <c r="DT263" s="357"/>
      <c r="DU263" s="357"/>
      <c r="DV263" s="357"/>
      <c r="DW263" s="357"/>
      <c r="DX263" s="357"/>
      <c r="DY263" s="357"/>
      <c r="DZ263" s="357"/>
      <c r="EA263" s="357"/>
      <c r="EB263" s="357"/>
      <c r="EC263" s="357"/>
      <c r="ED263" s="357"/>
      <c r="EE263" s="357"/>
      <c r="EF263" s="357"/>
      <c r="EG263" s="357"/>
      <c r="EH263" s="357"/>
      <c r="EI263" s="357"/>
      <c r="EJ263" s="357"/>
      <c r="EK263" s="357"/>
      <c r="EL263" s="357"/>
      <c r="EM263" s="357"/>
      <c r="EN263" s="357"/>
      <c r="EO263" s="357"/>
      <c r="EP263" s="357"/>
      <c r="EQ263" s="357"/>
      <c r="ER263" s="357"/>
      <c r="ES263" s="357"/>
      <c r="ET263" s="357"/>
      <c r="EU263" s="357"/>
      <c r="EV263" s="357"/>
      <c r="EW263" s="357"/>
      <c r="EX263" s="357"/>
      <c r="EY263" s="357"/>
      <c r="EZ263" s="357"/>
      <c r="FA263" s="357"/>
      <c r="FB263" s="357"/>
      <c r="FC263" s="357"/>
      <c r="FD263" s="357"/>
      <c r="FE263" s="357"/>
      <c r="FF263" s="357"/>
      <c r="FG263" s="357"/>
      <c r="FH263" s="357"/>
      <c r="FI263" s="357"/>
      <c r="FJ263" s="357"/>
      <c r="FK263" s="357"/>
      <c r="FL263" s="357"/>
      <c r="FM263" s="357"/>
      <c r="FN263" s="357"/>
      <c r="FO263" s="357"/>
      <c r="FP263" s="357"/>
      <c r="FQ263" s="357"/>
      <c r="FR263" s="357"/>
      <c r="FS263" s="357"/>
      <c r="FT263" s="357"/>
      <c r="FU263" s="357"/>
      <c r="FV263" s="357"/>
      <c r="FW263" s="357"/>
      <c r="FX263" s="357"/>
      <c r="FY263" s="357"/>
      <c r="FZ263" s="357"/>
      <c r="GA263" s="357"/>
      <c r="GB263" s="357"/>
      <c r="GC263" s="357"/>
      <c r="GD263" s="357"/>
      <c r="GE263" s="357"/>
      <c r="GF263" s="357"/>
      <c r="GG263" s="357"/>
      <c r="GH263" s="357"/>
      <c r="GI263" s="357"/>
      <c r="GJ263" s="357"/>
      <c r="GK263" s="154"/>
      <c r="GL263" s="154"/>
      <c r="GM263" s="154"/>
      <c r="GN263" s="154"/>
      <c r="GO263" s="154"/>
      <c r="GP263" s="154"/>
      <c r="GQ263" s="154"/>
      <c r="GR263" s="154"/>
      <c r="GS263" s="154"/>
      <c r="GT263" s="154"/>
      <c r="GU263" s="154"/>
      <c r="GV263" s="154"/>
      <c r="GW263" s="154"/>
      <c r="GX263" s="154"/>
    </row>
    <row r="264" spans="7:206">
      <c r="G264" s="154"/>
      <c r="H264" s="154"/>
      <c r="I264" s="154"/>
      <c r="J264" s="154"/>
      <c r="K264" s="154"/>
      <c r="L264" s="154"/>
      <c r="M264" s="154"/>
      <c r="N264" s="154"/>
      <c r="O264" s="154"/>
      <c r="P264" s="154"/>
      <c r="Q264" s="154"/>
      <c r="R264" s="154"/>
      <c r="S264" s="154"/>
      <c r="T264" s="154"/>
      <c r="U264" s="154"/>
      <c r="V264" s="154"/>
      <c r="W264" s="154"/>
      <c r="X264" s="154"/>
      <c r="Y264" s="154"/>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357"/>
      <c r="BB264" s="357"/>
      <c r="BC264" s="357"/>
      <c r="BD264" s="357"/>
      <c r="BE264" s="357"/>
      <c r="BF264" s="357"/>
      <c r="BG264" s="357"/>
      <c r="BH264" s="357"/>
      <c r="BI264" s="357"/>
      <c r="BJ264" s="357"/>
      <c r="BK264" s="357"/>
      <c r="BL264" s="357"/>
      <c r="BM264" s="357"/>
      <c r="BN264" s="357"/>
      <c r="BO264" s="357"/>
      <c r="BP264" s="357"/>
      <c r="BQ264" s="357"/>
      <c r="BR264" s="357"/>
      <c r="BS264" s="357"/>
      <c r="BT264" s="357"/>
      <c r="BU264" s="357"/>
      <c r="BV264" s="357"/>
      <c r="BW264" s="357"/>
      <c r="BX264" s="357"/>
      <c r="BY264" s="357"/>
      <c r="BZ264" s="357"/>
      <c r="CA264" s="357"/>
      <c r="CB264" s="357"/>
      <c r="CC264" s="357"/>
      <c r="CD264" s="357"/>
      <c r="CE264" s="357"/>
      <c r="CF264" s="357"/>
      <c r="CG264" s="357"/>
      <c r="CH264" s="357"/>
      <c r="CI264" s="357"/>
      <c r="CJ264" s="357"/>
      <c r="CK264" s="357"/>
      <c r="CL264" s="357"/>
      <c r="CM264" s="357"/>
      <c r="CN264" s="357"/>
      <c r="CO264" s="357"/>
      <c r="CP264" s="357"/>
      <c r="CQ264" s="357"/>
      <c r="CR264" s="357"/>
      <c r="CS264" s="357"/>
      <c r="CT264" s="357"/>
      <c r="CU264" s="357"/>
      <c r="CV264" s="357"/>
      <c r="CW264" s="357"/>
      <c r="CX264" s="357"/>
      <c r="CY264" s="357"/>
      <c r="CZ264" s="357"/>
      <c r="DA264" s="357"/>
      <c r="DB264" s="357"/>
      <c r="DC264" s="357"/>
      <c r="DD264" s="357"/>
      <c r="DE264" s="357"/>
      <c r="DF264" s="357"/>
      <c r="DG264" s="357"/>
      <c r="DH264" s="357"/>
      <c r="DI264" s="357"/>
      <c r="DJ264" s="357"/>
      <c r="DK264" s="357"/>
      <c r="DL264" s="357"/>
      <c r="DM264" s="357"/>
      <c r="DN264" s="357"/>
      <c r="DO264" s="357"/>
      <c r="DP264" s="357"/>
      <c r="DQ264" s="357"/>
      <c r="DR264" s="357"/>
      <c r="DS264" s="357"/>
      <c r="DT264" s="357"/>
      <c r="DU264" s="357"/>
      <c r="DV264" s="357"/>
      <c r="DW264" s="357"/>
      <c r="DX264" s="357"/>
      <c r="DY264" s="357"/>
      <c r="DZ264" s="357"/>
      <c r="EA264" s="357"/>
      <c r="EB264" s="357"/>
      <c r="EC264" s="357"/>
      <c r="ED264" s="357"/>
      <c r="EE264" s="357"/>
      <c r="EF264" s="357"/>
      <c r="EG264" s="357"/>
      <c r="EH264" s="357"/>
      <c r="EI264" s="357"/>
      <c r="EJ264" s="357"/>
      <c r="EK264" s="357"/>
      <c r="EL264" s="357"/>
      <c r="EM264" s="357"/>
      <c r="EN264" s="357"/>
      <c r="EO264" s="357"/>
      <c r="EP264" s="357"/>
      <c r="EQ264" s="357"/>
      <c r="ER264" s="357"/>
      <c r="ES264" s="357"/>
      <c r="ET264" s="357"/>
      <c r="EU264" s="357"/>
      <c r="EV264" s="357"/>
      <c r="EW264" s="357"/>
      <c r="EX264" s="357"/>
      <c r="EY264" s="357"/>
      <c r="EZ264" s="357"/>
      <c r="FA264" s="357"/>
      <c r="FB264" s="357"/>
      <c r="FC264" s="357"/>
      <c r="FD264" s="357"/>
      <c r="FE264" s="357"/>
      <c r="FF264" s="357"/>
      <c r="FG264" s="357"/>
      <c r="FH264" s="357"/>
      <c r="FI264" s="357"/>
      <c r="FJ264" s="357"/>
      <c r="FK264" s="357"/>
      <c r="FL264" s="357"/>
      <c r="FM264" s="357"/>
      <c r="FN264" s="357"/>
      <c r="FO264" s="357"/>
      <c r="FP264" s="357"/>
      <c r="FQ264" s="357"/>
      <c r="FR264" s="357"/>
      <c r="FS264" s="357"/>
      <c r="FT264" s="357"/>
      <c r="FU264" s="357"/>
      <c r="FV264" s="357"/>
      <c r="FW264" s="357"/>
      <c r="FX264" s="357"/>
      <c r="FY264" s="357"/>
      <c r="FZ264" s="357"/>
      <c r="GA264" s="357"/>
      <c r="GB264" s="357"/>
      <c r="GC264" s="357"/>
      <c r="GD264" s="357"/>
      <c r="GE264" s="357"/>
      <c r="GF264" s="357"/>
      <c r="GG264" s="357"/>
      <c r="GH264" s="357"/>
      <c r="GI264" s="357"/>
      <c r="GJ264" s="357"/>
      <c r="GK264" s="154"/>
      <c r="GL264" s="154"/>
      <c r="GM264" s="154"/>
      <c r="GN264" s="154"/>
      <c r="GO264" s="154"/>
      <c r="GP264" s="154"/>
      <c r="GQ264" s="154"/>
      <c r="GR264" s="154"/>
      <c r="GS264" s="154"/>
      <c r="GT264" s="154"/>
      <c r="GU264" s="154"/>
      <c r="GV264" s="154"/>
      <c r="GW264" s="154"/>
      <c r="GX264" s="154"/>
    </row>
    <row r="265" spans="7:206">
      <c r="G265" s="154"/>
      <c r="H265" s="154"/>
      <c r="I265" s="154"/>
      <c r="J265" s="154"/>
      <c r="K265" s="154"/>
      <c r="L265" s="154"/>
      <c r="M265" s="154"/>
      <c r="N265" s="154"/>
      <c r="O265" s="154"/>
      <c r="P265" s="154"/>
      <c r="Q265" s="154"/>
      <c r="R265" s="154"/>
      <c r="S265" s="154"/>
      <c r="T265" s="154"/>
      <c r="U265" s="154"/>
      <c r="V265" s="154"/>
      <c r="W265" s="154"/>
      <c r="X265" s="154"/>
      <c r="Y265" s="154"/>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357"/>
      <c r="BB265" s="357"/>
      <c r="BC265" s="357"/>
      <c r="BD265" s="357"/>
      <c r="BE265" s="357"/>
      <c r="BF265" s="357"/>
      <c r="BG265" s="357"/>
      <c r="BH265" s="357"/>
      <c r="BI265" s="357"/>
      <c r="BJ265" s="357"/>
      <c r="BK265" s="357"/>
      <c r="BL265" s="357"/>
      <c r="BM265" s="357"/>
      <c r="BN265" s="357"/>
      <c r="BO265" s="357"/>
      <c r="BP265" s="357"/>
      <c r="BQ265" s="357"/>
      <c r="BR265" s="357"/>
      <c r="BS265" s="357"/>
      <c r="BT265" s="357"/>
      <c r="BU265" s="357"/>
      <c r="BV265" s="357"/>
      <c r="BW265" s="357"/>
      <c r="BX265" s="357"/>
      <c r="BY265" s="357"/>
      <c r="BZ265" s="357"/>
      <c r="CA265" s="357"/>
      <c r="CB265" s="357"/>
      <c r="CC265" s="357"/>
      <c r="CD265" s="357"/>
      <c r="CE265" s="357"/>
      <c r="CF265" s="357"/>
      <c r="CG265" s="357"/>
      <c r="CH265" s="357"/>
      <c r="CI265" s="357"/>
      <c r="CJ265" s="357"/>
      <c r="CK265" s="357"/>
      <c r="CL265" s="357"/>
      <c r="CM265" s="357"/>
      <c r="CN265" s="357"/>
      <c r="CO265" s="357"/>
      <c r="CP265" s="357"/>
      <c r="CQ265" s="357"/>
      <c r="CR265" s="357"/>
      <c r="CS265" s="357"/>
      <c r="CT265" s="357"/>
      <c r="CU265" s="357"/>
      <c r="CV265" s="357"/>
      <c r="CW265" s="357"/>
      <c r="CX265" s="357"/>
      <c r="CY265" s="357"/>
      <c r="CZ265" s="357"/>
      <c r="DA265" s="357"/>
      <c r="DB265" s="357"/>
      <c r="DC265" s="357"/>
      <c r="DD265" s="357"/>
      <c r="DE265" s="357"/>
      <c r="DF265" s="357"/>
      <c r="DG265" s="357"/>
      <c r="DH265" s="357"/>
      <c r="DI265" s="357"/>
      <c r="DJ265" s="357"/>
      <c r="DK265" s="357"/>
      <c r="DL265" s="357"/>
      <c r="DM265" s="357"/>
      <c r="DN265" s="357"/>
      <c r="DO265" s="357"/>
      <c r="DP265" s="357"/>
      <c r="DQ265" s="357"/>
      <c r="DR265" s="357"/>
      <c r="DS265" s="357"/>
      <c r="DT265" s="357"/>
      <c r="DU265" s="357"/>
      <c r="DV265" s="357"/>
      <c r="DW265" s="357"/>
      <c r="DX265" s="357"/>
      <c r="DY265" s="357"/>
      <c r="DZ265" s="357"/>
      <c r="EA265" s="357"/>
      <c r="EB265" s="357"/>
      <c r="EC265" s="357"/>
      <c r="ED265" s="357"/>
      <c r="EE265" s="357"/>
      <c r="EF265" s="357"/>
      <c r="EG265" s="357"/>
      <c r="EH265" s="357"/>
      <c r="EI265" s="357"/>
      <c r="EJ265" s="357"/>
      <c r="EK265" s="357"/>
      <c r="EL265" s="357"/>
      <c r="EM265" s="357"/>
      <c r="EN265" s="357"/>
      <c r="EO265" s="357"/>
      <c r="EP265" s="357"/>
      <c r="EQ265" s="357"/>
      <c r="ER265" s="357"/>
      <c r="ES265" s="357"/>
      <c r="ET265" s="357"/>
      <c r="EU265" s="357"/>
      <c r="EV265" s="357"/>
      <c r="EW265" s="357"/>
      <c r="EX265" s="357"/>
      <c r="EY265" s="357"/>
      <c r="EZ265" s="357"/>
      <c r="FA265" s="357"/>
      <c r="FB265" s="357"/>
      <c r="FC265" s="357"/>
      <c r="FD265" s="357"/>
      <c r="FE265" s="357"/>
      <c r="FF265" s="357"/>
      <c r="FG265" s="357"/>
      <c r="FH265" s="357"/>
      <c r="FI265" s="357"/>
      <c r="FJ265" s="357"/>
      <c r="FK265" s="357"/>
      <c r="FL265" s="357"/>
      <c r="FM265" s="357"/>
      <c r="FN265" s="357"/>
      <c r="FO265" s="357"/>
      <c r="FP265" s="357"/>
      <c r="FQ265" s="357"/>
      <c r="FR265" s="357"/>
      <c r="FS265" s="357"/>
      <c r="FT265" s="357"/>
      <c r="FU265" s="357"/>
      <c r="FV265" s="357"/>
      <c r="FW265" s="357"/>
      <c r="FX265" s="357"/>
      <c r="FY265" s="357"/>
      <c r="FZ265" s="357"/>
      <c r="GA265" s="357"/>
      <c r="GB265" s="357"/>
      <c r="GC265" s="357"/>
      <c r="GD265" s="357"/>
      <c r="GE265" s="357"/>
      <c r="GF265" s="357"/>
      <c r="GG265" s="357"/>
      <c r="GH265" s="357"/>
      <c r="GI265" s="357"/>
      <c r="GJ265" s="357"/>
      <c r="GK265" s="154"/>
      <c r="GL265" s="154"/>
      <c r="GM265" s="154"/>
      <c r="GN265" s="154"/>
      <c r="GO265" s="154"/>
      <c r="GP265" s="154"/>
      <c r="GQ265" s="154"/>
      <c r="GR265" s="154"/>
      <c r="GS265" s="154"/>
      <c r="GT265" s="154"/>
      <c r="GU265" s="154"/>
      <c r="GV265" s="154"/>
      <c r="GW265" s="154"/>
      <c r="GX265" s="154"/>
    </row>
    <row r="266" spans="7:206">
      <c r="G266" s="154"/>
      <c r="H266" s="154"/>
      <c r="I266" s="154"/>
      <c r="J266" s="154"/>
      <c r="K266" s="154"/>
      <c r="L266" s="154"/>
      <c r="M266" s="154"/>
      <c r="N266" s="154"/>
      <c r="O266" s="154"/>
      <c r="P266" s="154"/>
      <c r="Q266" s="154"/>
      <c r="R266" s="154"/>
      <c r="S266" s="154"/>
      <c r="T266" s="154"/>
      <c r="U266" s="154"/>
      <c r="V266" s="154"/>
      <c r="W266" s="154"/>
      <c r="X266" s="154"/>
      <c r="Y266" s="154"/>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357"/>
      <c r="BB266" s="357"/>
      <c r="BC266" s="357"/>
      <c r="BD266" s="357"/>
      <c r="BE266" s="357"/>
      <c r="BF266" s="357"/>
      <c r="BG266" s="357"/>
      <c r="BH266" s="357"/>
      <c r="BI266" s="357"/>
      <c r="BJ266" s="357"/>
      <c r="BK266" s="357"/>
      <c r="BL266" s="357"/>
      <c r="BM266" s="357"/>
      <c r="BN266" s="357"/>
      <c r="BO266" s="357"/>
      <c r="BP266" s="357"/>
      <c r="BQ266" s="357"/>
      <c r="BR266" s="357"/>
      <c r="BS266" s="357"/>
      <c r="BT266" s="357"/>
      <c r="BU266" s="357"/>
      <c r="BV266" s="357"/>
      <c r="BW266" s="357"/>
      <c r="BX266" s="357"/>
      <c r="BY266" s="357"/>
      <c r="BZ266" s="357"/>
      <c r="CA266" s="357"/>
      <c r="CB266" s="357"/>
      <c r="CC266" s="357"/>
      <c r="CD266" s="357"/>
      <c r="CE266" s="357"/>
      <c r="CF266" s="357"/>
      <c r="CG266" s="357"/>
      <c r="CH266" s="357"/>
      <c r="CI266" s="357"/>
      <c r="CJ266" s="357"/>
      <c r="CK266" s="357"/>
      <c r="CL266" s="357"/>
      <c r="CM266" s="357"/>
      <c r="CN266" s="357"/>
      <c r="CO266" s="357"/>
      <c r="CP266" s="357"/>
      <c r="CQ266" s="357"/>
      <c r="CR266" s="357"/>
      <c r="CS266" s="357"/>
      <c r="CT266" s="357"/>
      <c r="CU266" s="357"/>
      <c r="CV266" s="357"/>
      <c r="CW266" s="357"/>
      <c r="CX266" s="357"/>
      <c r="CY266" s="357"/>
      <c r="CZ266" s="357"/>
      <c r="DA266" s="357"/>
      <c r="DB266" s="357"/>
      <c r="DC266" s="357"/>
      <c r="DD266" s="357"/>
      <c r="DE266" s="357"/>
      <c r="DF266" s="357"/>
      <c r="DG266" s="357"/>
      <c r="DH266" s="357"/>
      <c r="DI266" s="357"/>
      <c r="DJ266" s="357"/>
      <c r="DK266" s="357"/>
      <c r="DL266" s="357"/>
      <c r="DM266" s="357"/>
      <c r="DN266" s="357"/>
      <c r="DO266" s="357"/>
      <c r="DP266" s="357"/>
      <c r="DQ266" s="357"/>
      <c r="DR266" s="357"/>
      <c r="DS266" s="357"/>
      <c r="DT266" s="357"/>
      <c r="DU266" s="357"/>
      <c r="DV266" s="357"/>
      <c r="DW266" s="357"/>
      <c r="DX266" s="357"/>
      <c r="DY266" s="357"/>
      <c r="DZ266" s="357"/>
      <c r="EA266" s="357"/>
      <c r="EB266" s="357"/>
      <c r="EC266" s="357"/>
      <c r="ED266" s="357"/>
      <c r="EE266" s="357"/>
      <c r="EF266" s="357"/>
      <c r="EG266" s="357"/>
      <c r="EH266" s="357"/>
      <c r="EI266" s="357"/>
      <c r="EJ266" s="357"/>
      <c r="EK266" s="357"/>
      <c r="EL266" s="357"/>
      <c r="EM266" s="357"/>
      <c r="EN266" s="357"/>
      <c r="EO266" s="357"/>
      <c r="EP266" s="357"/>
      <c r="EQ266" s="357"/>
      <c r="ER266" s="357"/>
      <c r="ES266" s="357"/>
      <c r="ET266" s="357"/>
      <c r="EU266" s="357"/>
      <c r="EV266" s="357"/>
      <c r="EW266" s="357"/>
      <c r="EX266" s="357"/>
      <c r="EY266" s="357"/>
      <c r="EZ266" s="357"/>
      <c r="FA266" s="357"/>
      <c r="FB266" s="357"/>
      <c r="FC266" s="357"/>
      <c r="FD266" s="357"/>
      <c r="FE266" s="357"/>
      <c r="FF266" s="357"/>
      <c r="FG266" s="357"/>
      <c r="FH266" s="357"/>
      <c r="FI266" s="357"/>
      <c r="FJ266" s="357"/>
      <c r="FK266" s="357"/>
      <c r="FL266" s="357"/>
      <c r="FM266" s="357"/>
      <c r="FN266" s="357"/>
      <c r="FO266" s="357"/>
      <c r="FP266" s="357"/>
      <c r="FQ266" s="357"/>
      <c r="FR266" s="357"/>
      <c r="FS266" s="357"/>
      <c r="FT266" s="357"/>
      <c r="FU266" s="357"/>
      <c r="FV266" s="357"/>
      <c r="FW266" s="357"/>
      <c r="FX266" s="357"/>
      <c r="FY266" s="357"/>
      <c r="FZ266" s="357"/>
      <c r="GA266" s="357"/>
      <c r="GB266" s="357"/>
      <c r="GC266" s="357"/>
      <c r="GD266" s="357"/>
      <c r="GE266" s="357"/>
      <c r="GF266" s="357"/>
      <c r="GG266" s="357"/>
      <c r="GH266" s="357"/>
      <c r="GI266" s="357"/>
      <c r="GJ266" s="357"/>
      <c r="GK266" s="154"/>
      <c r="GL266" s="154"/>
      <c r="GM266" s="154"/>
      <c r="GN266" s="154"/>
      <c r="GO266" s="154"/>
      <c r="GP266" s="154"/>
      <c r="GQ266" s="154"/>
      <c r="GR266" s="154"/>
      <c r="GS266" s="154"/>
      <c r="GT266" s="154"/>
      <c r="GU266" s="154"/>
      <c r="GV266" s="154"/>
      <c r="GW266" s="154"/>
      <c r="GX266" s="154"/>
    </row>
    <row r="267" spans="7:206">
      <c r="G267" s="154"/>
      <c r="H267" s="154"/>
      <c r="I267" s="154"/>
      <c r="J267" s="154"/>
      <c r="K267" s="154"/>
      <c r="L267" s="154"/>
      <c r="M267" s="154"/>
      <c r="N267" s="154"/>
      <c r="O267" s="154"/>
      <c r="P267" s="154"/>
      <c r="Q267" s="154"/>
      <c r="R267" s="154"/>
      <c r="S267" s="154"/>
      <c r="T267" s="154"/>
      <c r="U267" s="154"/>
      <c r="V267" s="154"/>
      <c r="W267" s="154"/>
      <c r="X267" s="154"/>
      <c r="Y267" s="154"/>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357"/>
      <c r="BB267" s="357"/>
      <c r="BC267" s="357"/>
      <c r="BD267" s="357"/>
      <c r="BE267" s="357"/>
      <c r="BF267" s="357"/>
      <c r="BG267" s="357"/>
      <c r="BH267" s="357"/>
      <c r="BI267" s="357"/>
      <c r="BJ267" s="357"/>
      <c r="BK267" s="357"/>
      <c r="BL267" s="357"/>
      <c r="BM267" s="357"/>
      <c r="BN267" s="357"/>
      <c r="BO267" s="357"/>
      <c r="BP267" s="357"/>
      <c r="BQ267" s="357"/>
      <c r="BR267" s="357"/>
      <c r="BS267" s="357"/>
      <c r="BT267" s="357"/>
      <c r="BU267" s="357"/>
      <c r="BV267" s="357"/>
      <c r="BW267" s="357"/>
      <c r="BX267" s="357"/>
      <c r="BY267" s="357"/>
      <c r="BZ267" s="357"/>
      <c r="CA267" s="357"/>
      <c r="CB267" s="357"/>
      <c r="CC267" s="357"/>
      <c r="CD267" s="357"/>
      <c r="CE267" s="357"/>
      <c r="CF267" s="357"/>
      <c r="CG267" s="357"/>
      <c r="CH267" s="357"/>
      <c r="CI267" s="357"/>
      <c r="CJ267" s="357"/>
      <c r="CK267" s="357"/>
      <c r="CL267" s="357"/>
      <c r="CM267" s="357"/>
      <c r="CN267" s="357"/>
      <c r="CO267" s="357"/>
      <c r="CP267" s="357"/>
      <c r="CQ267" s="357"/>
      <c r="CR267" s="357"/>
      <c r="CS267" s="357"/>
      <c r="CT267" s="357"/>
      <c r="CU267" s="357"/>
      <c r="CV267" s="357"/>
      <c r="CW267" s="357"/>
      <c r="CX267" s="357"/>
      <c r="CY267" s="357"/>
      <c r="CZ267" s="357"/>
      <c r="DA267" s="357"/>
      <c r="DB267" s="357"/>
      <c r="DC267" s="357"/>
      <c r="DD267" s="357"/>
      <c r="DE267" s="357"/>
      <c r="DF267" s="357"/>
      <c r="DG267" s="357"/>
      <c r="DH267" s="357"/>
      <c r="DI267" s="357"/>
      <c r="DJ267" s="357"/>
      <c r="DK267" s="357"/>
      <c r="DL267" s="357"/>
      <c r="DM267" s="357"/>
      <c r="DN267" s="357"/>
      <c r="DO267" s="357"/>
      <c r="DP267" s="357"/>
      <c r="DQ267" s="357"/>
      <c r="DR267" s="357"/>
      <c r="DS267" s="357"/>
      <c r="DT267" s="357"/>
      <c r="DU267" s="357"/>
      <c r="DV267" s="357"/>
      <c r="DW267" s="357"/>
      <c r="DX267" s="357"/>
      <c r="DY267" s="357"/>
      <c r="DZ267" s="357"/>
      <c r="EA267" s="357"/>
      <c r="EB267" s="357"/>
      <c r="EC267" s="357"/>
      <c r="ED267" s="357"/>
      <c r="EE267" s="357"/>
      <c r="EF267" s="357"/>
      <c r="EG267" s="357"/>
      <c r="EH267" s="357"/>
      <c r="EI267" s="357"/>
      <c r="EJ267" s="357"/>
      <c r="EK267" s="357"/>
      <c r="EL267" s="357"/>
      <c r="EM267" s="357"/>
      <c r="EN267" s="357"/>
      <c r="EO267" s="357"/>
      <c r="EP267" s="357"/>
      <c r="EQ267" s="357"/>
      <c r="ER267" s="357"/>
      <c r="ES267" s="357"/>
      <c r="ET267" s="357"/>
      <c r="EU267" s="357"/>
      <c r="EV267" s="357"/>
      <c r="EW267" s="357"/>
      <c r="EX267" s="357"/>
      <c r="EY267" s="357"/>
      <c r="EZ267" s="357"/>
      <c r="FA267" s="357"/>
      <c r="FB267" s="357"/>
      <c r="FC267" s="357"/>
      <c r="FD267" s="357"/>
      <c r="FE267" s="357"/>
      <c r="FF267" s="357"/>
      <c r="FG267" s="357"/>
      <c r="FH267" s="357"/>
      <c r="FI267" s="357"/>
      <c r="FJ267" s="357"/>
      <c r="FK267" s="357"/>
      <c r="FL267" s="357"/>
      <c r="FM267" s="357"/>
      <c r="FN267" s="357"/>
      <c r="FO267" s="357"/>
      <c r="FP267" s="357"/>
      <c r="FQ267" s="357"/>
      <c r="FR267" s="357"/>
      <c r="FS267" s="357"/>
      <c r="FT267" s="357"/>
      <c r="FU267" s="357"/>
      <c r="FV267" s="357"/>
      <c r="FW267" s="357"/>
      <c r="FX267" s="357"/>
      <c r="FY267" s="357"/>
      <c r="FZ267" s="357"/>
      <c r="GA267" s="357"/>
      <c r="GB267" s="357"/>
      <c r="GC267" s="357"/>
      <c r="GD267" s="357"/>
      <c r="GE267" s="357"/>
      <c r="GF267" s="357"/>
      <c r="GG267" s="357"/>
      <c r="GH267" s="357"/>
      <c r="GI267" s="357"/>
      <c r="GJ267" s="357"/>
      <c r="GK267" s="154"/>
      <c r="GL267" s="154"/>
      <c r="GM267" s="154"/>
      <c r="GN267" s="154"/>
      <c r="GO267" s="154"/>
      <c r="GP267" s="154"/>
      <c r="GQ267" s="154"/>
      <c r="GR267" s="154"/>
      <c r="GS267" s="154"/>
      <c r="GT267" s="154"/>
      <c r="GU267" s="154"/>
      <c r="GV267" s="154"/>
      <c r="GW267" s="154"/>
      <c r="GX267" s="154"/>
    </row>
    <row r="268" spans="7:206">
      <c r="G268" s="154"/>
      <c r="H268" s="154"/>
      <c r="I268" s="154"/>
      <c r="J268" s="154"/>
      <c r="K268" s="154"/>
      <c r="L268" s="154"/>
      <c r="M268" s="154"/>
      <c r="N268" s="154"/>
      <c r="O268" s="154"/>
      <c r="P268" s="154"/>
      <c r="Q268" s="154"/>
      <c r="R268" s="154"/>
      <c r="S268" s="154"/>
      <c r="T268" s="154"/>
      <c r="U268" s="154"/>
      <c r="V268" s="154"/>
      <c r="W268" s="154"/>
      <c r="X268" s="154"/>
      <c r="Y268" s="154"/>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357"/>
      <c r="BB268" s="357"/>
      <c r="BC268" s="357"/>
      <c r="BD268" s="357"/>
      <c r="BE268" s="357"/>
      <c r="BF268" s="357"/>
      <c r="BG268" s="357"/>
      <c r="BH268" s="357"/>
      <c r="BI268" s="357"/>
      <c r="BJ268" s="357"/>
      <c r="BK268" s="357"/>
      <c r="BL268" s="357"/>
      <c r="BM268" s="357"/>
      <c r="BN268" s="357"/>
      <c r="BO268" s="357"/>
      <c r="BP268" s="357"/>
      <c r="BQ268" s="357"/>
      <c r="BR268" s="357"/>
      <c r="BS268" s="357"/>
      <c r="BT268" s="357"/>
      <c r="BU268" s="357"/>
      <c r="BV268" s="357"/>
      <c r="BW268" s="357"/>
      <c r="BX268" s="357"/>
      <c r="BY268" s="357"/>
      <c r="BZ268" s="357"/>
      <c r="CA268" s="357"/>
      <c r="CB268" s="357"/>
      <c r="CC268" s="357"/>
      <c r="CD268" s="357"/>
      <c r="CE268" s="357"/>
      <c r="CF268" s="357"/>
      <c r="CG268" s="357"/>
      <c r="CH268" s="357"/>
      <c r="CI268" s="357"/>
      <c r="CJ268" s="357"/>
      <c r="CK268" s="357"/>
      <c r="CL268" s="357"/>
      <c r="CM268" s="357"/>
      <c r="CN268" s="357"/>
      <c r="CO268" s="357"/>
      <c r="CP268" s="357"/>
      <c r="CQ268" s="357"/>
      <c r="CR268" s="357"/>
      <c r="CS268" s="357"/>
      <c r="CT268" s="357"/>
      <c r="CU268" s="357"/>
      <c r="CV268" s="357"/>
      <c r="CW268" s="357"/>
      <c r="CX268" s="357"/>
      <c r="CY268" s="357"/>
      <c r="CZ268" s="357"/>
      <c r="DA268" s="357"/>
      <c r="DB268" s="357"/>
      <c r="DC268" s="357"/>
      <c r="DD268" s="357"/>
      <c r="DE268" s="357"/>
      <c r="DF268" s="357"/>
      <c r="DG268" s="357"/>
      <c r="DH268" s="357"/>
      <c r="DI268" s="357"/>
      <c r="DJ268" s="357"/>
      <c r="DK268" s="357"/>
      <c r="DL268" s="357"/>
      <c r="DM268" s="357"/>
      <c r="DN268" s="357"/>
      <c r="DO268" s="357"/>
      <c r="DP268" s="357"/>
      <c r="DQ268" s="357"/>
      <c r="DR268" s="357"/>
      <c r="DS268" s="357"/>
      <c r="DT268" s="357"/>
      <c r="DU268" s="357"/>
      <c r="DV268" s="357"/>
      <c r="DW268" s="357"/>
      <c r="DX268" s="357"/>
      <c r="DY268" s="357"/>
      <c r="DZ268" s="357"/>
      <c r="EA268" s="357"/>
      <c r="EB268" s="357"/>
      <c r="EC268" s="357"/>
      <c r="ED268" s="357"/>
      <c r="EE268" s="357"/>
      <c r="EF268" s="357"/>
      <c r="EG268" s="357"/>
      <c r="EH268" s="357"/>
      <c r="EI268" s="357"/>
      <c r="EJ268" s="357"/>
      <c r="EK268" s="357"/>
      <c r="EL268" s="357"/>
      <c r="EM268" s="357"/>
      <c r="EN268" s="357"/>
      <c r="EO268" s="357"/>
      <c r="EP268" s="357"/>
      <c r="EQ268" s="357"/>
      <c r="ER268" s="357"/>
      <c r="ES268" s="357"/>
      <c r="ET268" s="357"/>
      <c r="EU268" s="357"/>
      <c r="EV268" s="357"/>
      <c r="EW268" s="357"/>
      <c r="EX268" s="357"/>
      <c r="EY268" s="357"/>
      <c r="EZ268" s="357"/>
      <c r="FA268" s="357"/>
      <c r="FB268" s="357"/>
      <c r="FC268" s="357"/>
      <c r="FD268" s="357"/>
      <c r="FE268" s="357"/>
      <c r="FF268" s="357"/>
      <c r="FG268" s="357"/>
      <c r="FH268" s="357"/>
      <c r="FI268" s="357"/>
      <c r="FJ268" s="357"/>
      <c r="FK268" s="357"/>
      <c r="FL268" s="357"/>
      <c r="FM268" s="357"/>
      <c r="FN268" s="357"/>
      <c r="FO268" s="357"/>
      <c r="FP268" s="357"/>
      <c r="FQ268" s="357"/>
      <c r="FR268" s="357"/>
      <c r="FS268" s="357"/>
      <c r="FT268" s="357"/>
      <c r="FU268" s="357"/>
      <c r="FV268" s="357"/>
      <c r="FW268" s="357"/>
      <c r="FX268" s="357"/>
      <c r="FY268" s="357"/>
      <c r="FZ268" s="357"/>
      <c r="GA268" s="357"/>
      <c r="GB268" s="357"/>
      <c r="GC268" s="357"/>
      <c r="GD268" s="357"/>
      <c r="GE268" s="357"/>
      <c r="GF268" s="357"/>
      <c r="GG268" s="357"/>
      <c r="GH268" s="357"/>
      <c r="GI268" s="357"/>
      <c r="GJ268" s="357"/>
      <c r="GK268" s="154"/>
      <c r="GL268" s="154"/>
      <c r="GM268" s="154"/>
      <c r="GN268" s="154"/>
      <c r="GO268" s="154"/>
      <c r="GP268" s="154"/>
      <c r="GQ268" s="154"/>
      <c r="GR268" s="154"/>
      <c r="GS268" s="154"/>
      <c r="GT268" s="154"/>
      <c r="GU268" s="154"/>
      <c r="GV268" s="154"/>
      <c r="GW268" s="154"/>
      <c r="GX268" s="154"/>
    </row>
    <row r="269" spans="7:206">
      <c r="G269" s="154"/>
      <c r="H269" s="154"/>
      <c r="I269" s="154"/>
      <c r="J269" s="154"/>
      <c r="K269" s="154"/>
      <c r="L269" s="154"/>
      <c r="M269" s="154"/>
      <c r="N269" s="154"/>
      <c r="O269" s="154"/>
      <c r="P269" s="154"/>
      <c r="Q269" s="154"/>
      <c r="R269" s="154"/>
      <c r="S269" s="154"/>
      <c r="T269" s="154"/>
      <c r="U269" s="154"/>
      <c r="V269" s="154"/>
      <c r="W269" s="154"/>
      <c r="X269" s="154"/>
      <c r="Y269" s="154"/>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357"/>
      <c r="BB269" s="357"/>
      <c r="BC269" s="357"/>
      <c r="BD269" s="357"/>
      <c r="BE269" s="357"/>
      <c r="BF269" s="357"/>
      <c r="BG269" s="357"/>
      <c r="BH269" s="357"/>
      <c r="BI269" s="357"/>
      <c r="BJ269" s="357"/>
      <c r="BK269" s="357"/>
      <c r="BL269" s="357"/>
      <c r="BM269" s="357"/>
      <c r="BN269" s="357"/>
      <c r="BO269" s="357"/>
      <c r="BP269" s="357"/>
      <c r="BQ269" s="357"/>
      <c r="BR269" s="357"/>
      <c r="BS269" s="357"/>
      <c r="BT269" s="357"/>
      <c r="BU269" s="357"/>
      <c r="BV269" s="357"/>
      <c r="BW269" s="357"/>
      <c r="BX269" s="357"/>
      <c r="BY269" s="357"/>
      <c r="BZ269" s="357"/>
      <c r="CA269" s="357"/>
      <c r="CB269" s="357"/>
      <c r="CC269" s="357"/>
      <c r="CD269" s="357"/>
      <c r="CE269" s="357"/>
      <c r="CF269" s="357"/>
      <c r="CG269" s="357"/>
      <c r="CH269" s="357"/>
      <c r="CI269" s="357"/>
      <c r="CJ269" s="357"/>
      <c r="CK269" s="357"/>
      <c r="CL269" s="357"/>
      <c r="CM269" s="357"/>
      <c r="CN269" s="357"/>
      <c r="CO269" s="357"/>
      <c r="CP269" s="357"/>
      <c r="CQ269" s="357"/>
      <c r="CR269" s="357"/>
      <c r="CS269" s="357"/>
      <c r="CT269" s="357"/>
      <c r="CU269" s="357"/>
      <c r="CV269" s="357"/>
      <c r="CW269" s="357"/>
      <c r="CX269" s="357"/>
      <c r="CY269" s="357"/>
      <c r="CZ269" s="357"/>
      <c r="DA269" s="357"/>
      <c r="DB269" s="357"/>
      <c r="DC269" s="357"/>
      <c r="DD269" s="357"/>
      <c r="DE269" s="357"/>
      <c r="DF269" s="357"/>
      <c r="DG269" s="357"/>
      <c r="DH269" s="357"/>
      <c r="DI269" s="357"/>
      <c r="DJ269" s="357"/>
      <c r="DK269" s="357"/>
      <c r="DL269" s="357"/>
      <c r="DM269" s="357"/>
      <c r="DN269" s="357"/>
      <c r="DO269" s="357"/>
      <c r="DP269" s="357"/>
      <c r="DQ269" s="357"/>
      <c r="DR269" s="357"/>
      <c r="DS269" s="357"/>
      <c r="DT269" s="357"/>
      <c r="DU269" s="357"/>
      <c r="DV269" s="357"/>
      <c r="DW269" s="357"/>
      <c r="DX269" s="357"/>
      <c r="DY269" s="357"/>
      <c r="DZ269" s="357"/>
      <c r="EA269" s="357"/>
      <c r="EB269" s="357"/>
      <c r="EC269" s="357"/>
      <c r="ED269" s="357"/>
      <c r="EE269" s="357"/>
      <c r="EF269" s="357"/>
      <c r="EG269" s="357"/>
      <c r="EH269" s="357"/>
      <c r="EI269" s="357"/>
      <c r="EJ269" s="357"/>
      <c r="EK269" s="357"/>
      <c r="EL269" s="357"/>
      <c r="EM269" s="357"/>
      <c r="EN269" s="357"/>
      <c r="EO269" s="357"/>
      <c r="EP269" s="357"/>
      <c r="EQ269" s="357"/>
      <c r="ER269" s="357"/>
      <c r="ES269" s="357"/>
      <c r="ET269" s="357"/>
      <c r="EU269" s="357"/>
      <c r="EV269" s="357"/>
      <c r="EW269" s="357"/>
      <c r="EX269" s="357"/>
      <c r="EY269" s="357"/>
      <c r="EZ269" s="357"/>
      <c r="FA269" s="357"/>
      <c r="FB269" s="357"/>
      <c r="FC269" s="357"/>
      <c r="FD269" s="357"/>
      <c r="FE269" s="357"/>
      <c r="FF269" s="357"/>
      <c r="FG269" s="357"/>
      <c r="FH269" s="357"/>
      <c r="FI269" s="357"/>
      <c r="FJ269" s="357"/>
      <c r="FK269" s="357"/>
      <c r="FL269" s="357"/>
      <c r="FM269" s="357"/>
      <c r="FN269" s="357"/>
      <c r="FO269" s="357"/>
      <c r="FP269" s="357"/>
      <c r="FQ269" s="357"/>
      <c r="FR269" s="357"/>
      <c r="FS269" s="357"/>
      <c r="FT269" s="357"/>
      <c r="FU269" s="357"/>
      <c r="FV269" s="357"/>
      <c r="FW269" s="357"/>
      <c r="FX269" s="357"/>
      <c r="FY269" s="357"/>
      <c r="FZ269" s="357"/>
      <c r="GA269" s="357"/>
      <c r="GB269" s="357"/>
      <c r="GC269" s="357"/>
      <c r="GD269" s="357"/>
      <c r="GE269" s="357"/>
      <c r="GF269" s="357"/>
      <c r="GG269" s="357"/>
      <c r="GH269" s="357"/>
      <c r="GI269" s="357"/>
      <c r="GJ269" s="357"/>
      <c r="GK269" s="154"/>
      <c r="GL269" s="154"/>
      <c r="GM269" s="154"/>
      <c r="GN269" s="154"/>
      <c r="GO269" s="154"/>
      <c r="GP269" s="154"/>
      <c r="GQ269" s="154"/>
      <c r="GR269" s="154"/>
      <c r="GS269" s="154"/>
      <c r="GT269" s="154"/>
      <c r="GU269" s="154"/>
      <c r="GV269" s="154"/>
      <c r="GW269" s="154"/>
      <c r="GX269" s="154"/>
    </row>
    <row r="270" spans="7:206">
      <c r="G270" s="154"/>
      <c r="H270" s="154"/>
      <c r="I270" s="154"/>
      <c r="J270" s="154"/>
      <c r="K270" s="154"/>
      <c r="L270" s="154"/>
      <c r="M270" s="154"/>
      <c r="N270" s="154"/>
      <c r="O270" s="154"/>
      <c r="P270" s="154"/>
      <c r="Q270" s="154"/>
      <c r="R270" s="154"/>
      <c r="S270" s="154"/>
      <c r="T270" s="154"/>
      <c r="U270" s="154"/>
      <c r="V270" s="154"/>
      <c r="W270" s="154"/>
      <c r="X270" s="154"/>
      <c r="Y270" s="154"/>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357"/>
      <c r="BB270" s="357"/>
      <c r="BC270" s="357"/>
      <c r="BD270" s="357"/>
      <c r="BE270" s="357"/>
      <c r="BF270" s="357"/>
      <c r="BG270" s="357"/>
      <c r="BH270" s="357"/>
      <c r="BI270" s="357"/>
      <c r="BJ270" s="357"/>
      <c r="BK270" s="357"/>
      <c r="BL270" s="357"/>
      <c r="BM270" s="357"/>
      <c r="BN270" s="357"/>
      <c r="BO270" s="357"/>
      <c r="BP270" s="357"/>
      <c r="BQ270" s="357"/>
      <c r="BR270" s="357"/>
      <c r="BS270" s="357"/>
      <c r="BT270" s="357"/>
      <c r="BU270" s="357"/>
      <c r="BV270" s="357"/>
      <c r="BW270" s="357"/>
      <c r="BX270" s="357"/>
      <c r="BY270" s="357"/>
      <c r="BZ270" s="357"/>
      <c r="CA270" s="357"/>
      <c r="CB270" s="357"/>
      <c r="CC270" s="357"/>
      <c r="CD270" s="357"/>
      <c r="CE270" s="357"/>
      <c r="CF270" s="357"/>
      <c r="CG270" s="357"/>
      <c r="CH270" s="357"/>
      <c r="CI270" s="357"/>
      <c r="CJ270" s="357"/>
      <c r="CK270" s="357"/>
      <c r="CL270" s="357"/>
      <c r="CM270" s="357"/>
      <c r="CN270" s="357"/>
      <c r="CO270" s="357"/>
      <c r="CP270" s="357"/>
      <c r="CQ270" s="357"/>
      <c r="CR270" s="357"/>
      <c r="CS270" s="357"/>
      <c r="CT270" s="357"/>
      <c r="CU270" s="357"/>
      <c r="CV270" s="357"/>
      <c r="CW270" s="357"/>
      <c r="CX270" s="357"/>
      <c r="CY270" s="357"/>
      <c r="CZ270" s="357"/>
      <c r="DA270" s="357"/>
      <c r="DB270" s="357"/>
      <c r="DC270" s="357"/>
      <c r="DD270" s="357"/>
      <c r="DE270" s="357"/>
      <c r="DF270" s="357"/>
      <c r="DG270" s="357"/>
      <c r="DH270" s="357"/>
      <c r="DI270" s="357"/>
      <c r="DJ270" s="357"/>
      <c r="DK270" s="357"/>
      <c r="DL270" s="357"/>
      <c r="DM270" s="357"/>
      <c r="DN270" s="357"/>
      <c r="DO270" s="357"/>
      <c r="DP270" s="357"/>
      <c r="DQ270" s="357"/>
      <c r="DR270" s="357"/>
      <c r="DS270" s="357"/>
      <c r="DT270" s="357"/>
      <c r="DU270" s="357"/>
      <c r="DV270" s="357"/>
      <c r="DW270" s="357"/>
      <c r="DX270" s="357"/>
      <c r="DY270" s="357"/>
      <c r="DZ270" s="357"/>
      <c r="EA270" s="357"/>
      <c r="EB270" s="357"/>
      <c r="EC270" s="357"/>
      <c r="ED270" s="357"/>
      <c r="EE270" s="357"/>
      <c r="EF270" s="357"/>
      <c r="EG270" s="357"/>
      <c r="EH270" s="357"/>
      <c r="EI270" s="357"/>
      <c r="EJ270" s="357"/>
      <c r="EK270" s="357"/>
      <c r="EL270" s="357"/>
      <c r="EM270" s="357"/>
      <c r="EN270" s="357"/>
      <c r="EO270" s="357"/>
      <c r="EP270" s="357"/>
      <c r="EQ270" s="357"/>
      <c r="ER270" s="357"/>
      <c r="ES270" s="357"/>
      <c r="ET270" s="357"/>
      <c r="EU270" s="357"/>
      <c r="EV270" s="357"/>
      <c r="EW270" s="357"/>
      <c r="EX270" s="357"/>
      <c r="EY270" s="357"/>
      <c r="EZ270" s="357"/>
      <c r="FA270" s="357"/>
      <c r="FB270" s="357"/>
      <c r="FC270" s="357"/>
      <c r="FD270" s="357"/>
      <c r="FE270" s="357"/>
      <c r="FF270" s="357"/>
      <c r="FG270" s="357"/>
      <c r="FH270" s="357"/>
      <c r="FI270" s="357"/>
      <c r="FJ270" s="357"/>
      <c r="FK270" s="357"/>
      <c r="FL270" s="357"/>
      <c r="FM270" s="357"/>
      <c r="FN270" s="357"/>
      <c r="FO270" s="357"/>
      <c r="FP270" s="357"/>
      <c r="FQ270" s="357"/>
      <c r="FR270" s="357"/>
      <c r="FS270" s="357"/>
      <c r="FT270" s="357"/>
      <c r="FU270" s="357"/>
      <c r="FV270" s="357"/>
      <c r="FW270" s="357"/>
      <c r="FX270" s="357"/>
      <c r="FY270" s="357"/>
      <c r="FZ270" s="357"/>
      <c r="GA270" s="357"/>
      <c r="GB270" s="357"/>
      <c r="GC270" s="357"/>
      <c r="GD270" s="357"/>
      <c r="GE270" s="357"/>
      <c r="GF270" s="357"/>
      <c r="GG270" s="357"/>
      <c r="GH270" s="357"/>
      <c r="GI270" s="357"/>
      <c r="GJ270" s="357"/>
      <c r="GK270" s="154"/>
      <c r="GL270" s="154"/>
      <c r="GM270" s="154"/>
      <c r="GN270" s="154"/>
      <c r="GO270" s="154"/>
      <c r="GP270" s="154"/>
      <c r="GQ270" s="154"/>
      <c r="GR270" s="154"/>
      <c r="GS270" s="154"/>
      <c r="GT270" s="154"/>
      <c r="GU270" s="154"/>
      <c r="GV270" s="154"/>
      <c r="GW270" s="154"/>
      <c r="GX270" s="154"/>
    </row>
    <row r="271" spans="7:206">
      <c r="G271" s="154"/>
      <c r="H271" s="154"/>
      <c r="I271" s="154"/>
      <c r="J271" s="154"/>
      <c r="K271" s="154"/>
      <c r="L271" s="154"/>
      <c r="M271" s="154"/>
      <c r="N271" s="154"/>
      <c r="O271" s="154"/>
      <c r="P271" s="154"/>
      <c r="Q271" s="154"/>
      <c r="R271" s="154"/>
      <c r="S271" s="154"/>
      <c r="T271" s="154"/>
      <c r="U271" s="154"/>
      <c r="V271" s="154"/>
      <c r="W271" s="154"/>
      <c r="X271" s="154"/>
      <c r="Y271" s="154"/>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357"/>
      <c r="BB271" s="357"/>
      <c r="BC271" s="357"/>
      <c r="BD271" s="357"/>
      <c r="BE271" s="357"/>
      <c r="BF271" s="357"/>
      <c r="BG271" s="357"/>
      <c r="BH271" s="357"/>
      <c r="BI271" s="357"/>
      <c r="BJ271" s="357"/>
      <c r="BK271" s="357"/>
      <c r="BL271" s="357"/>
      <c r="BM271" s="357"/>
      <c r="BN271" s="357"/>
      <c r="BO271" s="357"/>
      <c r="BP271" s="357"/>
      <c r="BQ271" s="357"/>
      <c r="BR271" s="357"/>
      <c r="BS271" s="357"/>
      <c r="BT271" s="357"/>
      <c r="BU271" s="357"/>
      <c r="BV271" s="357"/>
      <c r="BW271" s="357"/>
      <c r="BX271" s="357"/>
      <c r="BY271" s="357"/>
      <c r="BZ271" s="357"/>
      <c r="CA271" s="357"/>
      <c r="CB271" s="357"/>
      <c r="CC271" s="357"/>
      <c r="CD271" s="357"/>
      <c r="CE271" s="357"/>
      <c r="CF271" s="357"/>
      <c r="CG271" s="357"/>
      <c r="CH271" s="357"/>
      <c r="CI271" s="357"/>
      <c r="CJ271" s="357"/>
      <c r="CK271" s="357"/>
      <c r="CL271" s="357"/>
      <c r="CM271" s="357"/>
      <c r="CN271" s="357"/>
      <c r="CO271" s="357"/>
      <c r="CP271" s="357"/>
      <c r="CQ271" s="357"/>
      <c r="CR271" s="357"/>
      <c r="CS271" s="357"/>
      <c r="CT271" s="357"/>
      <c r="CU271" s="357"/>
      <c r="CV271" s="357"/>
      <c r="CW271" s="357"/>
      <c r="CX271" s="357"/>
      <c r="CY271" s="357"/>
      <c r="CZ271" s="357"/>
      <c r="DA271" s="357"/>
      <c r="DB271" s="357"/>
      <c r="DC271" s="357"/>
      <c r="DD271" s="357"/>
      <c r="DE271" s="357"/>
      <c r="DF271" s="357"/>
      <c r="DG271" s="357"/>
      <c r="DH271" s="357"/>
      <c r="DI271" s="357"/>
      <c r="DJ271" s="357"/>
      <c r="DK271" s="357"/>
      <c r="DL271" s="357"/>
      <c r="DM271" s="357"/>
      <c r="DN271" s="357"/>
      <c r="DO271" s="357"/>
      <c r="DP271" s="357"/>
      <c r="DQ271" s="357"/>
      <c r="DR271" s="357"/>
      <c r="DS271" s="357"/>
      <c r="DT271" s="357"/>
      <c r="DU271" s="357"/>
      <c r="DV271" s="357"/>
      <c r="DW271" s="357"/>
      <c r="DX271" s="357"/>
      <c r="DY271" s="357"/>
      <c r="DZ271" s="357"/>
      <c r="EA271" s="357"/>
      <c r="EB271" s="357"/>
      <c r="EC271" s="357"/>
      <c r="ED271" s="357"/>
      <c r="EE271" s="357"/>
      <c r="EF271" s="357"/>
      <c r="EG271" s="357"/>
      <c r="EH271" s="357"/>
      <c r="EI271" s="357"/>
      <c r="EJ271" s="357"/>
      <c r="EK271" s="357"/>
      <c r="EL271" s="357"/>
      <c r="EM271" s="357"/>
      <c r="EN271" s="357"/>
      <c r="EO271" s="357"/>
      <c r="EP271" s="357"/>
      <c r="EQ271" s="357"/>
      <c r="ER271" s="357"/>
      <c r="ES271" s="357"/>
      <c r="ET271" s="357"/>
      <c r="EU271" s="357"/>
      <c r="EV271" s="357"/>
      <c r="EW271" s="357"/>
      <c r="EX271" s="357"/>
      <c r="EY271" s="357"/>
      <c r="EZ271" s="357"/>
      <c r="FA271" s="357"/>
      <c r="FB271" s="357"/>
      <c r="FC271" s="357"/>
      <c r="FD271" s="357"/>
      <c r="FE271" s="357"/>
      <c r="FF271" s="357"/>
      <c r="FG271" s="357"/>
      <c r="FH271" s="357"/>
      <c r="FI271" s="357"/>
      <c r="FJ271" s="357"/>
      <c r="FK271" s="357"/>
      <c r="FL271" s="357"/>
      <c r="FM271" s="357"/>
      <c r="FN271" s="357"/>
      <c r="FO271" s="357"/>
      <c r="FP271" s="357"/>
      <c r="FQ271" s="357"/>
      <c r="FR271" s="357"/>
      <c r="FS271" s="357"/>
      <c r="FT271" s="357"/>
      <c r="FU271" s="357"/>
      <c r="FV271" s="357"/>
      <c r="FW271" s="357"/>
      <c r="FX271" s="357"/>
      <c r="FY271" s="357"/>
      <c r="FZ271" s="357"/>
      <c r="GA271" s="357"/>
      <c r="GB271" s="357"/>
      <c r="GC271" s="357"/>
      <c r="GD271" s="357"/>
      <c r="GE271" s="357"/>
      <c r="GF271" s="357"/>
      <c r="GG271" s="357"/>
      <c r="GH271" s="357"/>
      <c r="GI271" s="357"/>
      <c r="GJ271" s="357"/>
      <c r="GK271" s="154"/>
      <c r="GL271" s="154"/>
      <c r="GM271" s="154"/>
      <c r="GN271" s="154"/>
      <c r="GO271" s="154"/>
      <c r="GP271" s="154"/>
      <c r="GQ271" s="154"/>
      <c r="GR271" s="154"/>
      <c r="GS271" s="154"/>
      <c r="GT271" s="154"/>
      <c r="GU271" s="154"/>
      <c r="GV271" s="154"/>
      <c r="GW271" s="154"/>
      <c r="GX271" s="154"/>
    </row>
    <row r="272" spans="7:206">
      <c r="G272" s="154"/>
      <c r="H272" s="154"/>
      <c r="I272" s="154"/>
      <c r="J272" s="154"/>
      <c r="K272" s="154"/>
      <c r="L272" s="154"/>
      <c r="M272" s="154"/>
      <c r="N272" s="154"/>
      <c r="O272" s="154"/>
      <c r="P272" s="154"/>
      <c r="Q272" s="154"/>
      <c r="R272" s="154"/>
      <c r="S272" s="154"/>
      <c r="T272" s="154"/>
      <c r="U272" s="154"/>
      <c r="V272" s="154"/>
      <c r="W272" s="154"/>
      <c r="X272" s="154"/>
      <c r="Y272" s="154"/>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357"/>
      <c r="BB272" s="357"/>
      <c r="BC272" s="357"/>
      <c r="BD272" s="357"/>
      <c r="BE272" s="357"/>
      <c r="BF272" s="357"/>
      <c r="BG272" s="357"/>
      <c r="BH272" s="357"/>
      <c r="BI272" s="357"/>
      <c r="BJ272" s="357"/>
      <c r="BK272" s="357"/>
      <c r="BL272" s="357"/>
      <c r="BM272" s="357"/>
      <c r="BN272" s="357"/>
      <c r="BO272" s="357"/>
      <c r="BP272" s="357"/>
      <c r="BQ272" s="357"/>
      <c r="BR272" s="357"/>
      <c r="BS272" s="357"/>
      <c r="BT272" s="357"/>
      <c r="BU272" s="357"/>
      <c r="BV272" s="357"/>
      <c r="BW272" s="357"/>
      <c r="BX272" s="357"/>
      <c r="BY272" s="357"/>
      <c r="BZ272" s="357"/>
      <c r="CA272" s="357"/>
      <c r="CB272" s="357"/>
      <c r="CC272" s="357"/>
      <c r="CD272" s="357"/>
      <c r="CE272" s="357"/>
      <c r="CF272" s="357"/>
      <c r="CG272" s="357"/>
      <c r="CH272" s="357"/>
      <c r="CI272" s="357"/>
      <c r="CJ272" s="357"/>
      <c r="CK272" s="357"/>
      <c r="CL272" s="357"/>
      <c r="CM272" s="357"/>
      <c r="CN272" s="357"/>
      <c r="CO272" s="357"/>
      <c r="CP272" s="357"/>
      <c r="CQ272" s="357"/>
      <c r="CR272" s="357"/>
      <c r="CS272" s="357"/>
      <c r="CT272" s="357"/>
      <c r="CU272" s="357"/>
      <c r="CV272" s="357"/>
      <c r="CW272" s="357"/>
      <c r="CX272" s="357"/>
      <c r="CY272" s="357"/>
      <c r="CZ272" s="357"/>
      <c r="DA272" s="357"/>
      <c r="DB272" s="357"/>
      <c r="DC272" s="357"/>
      <c r="DD272" s="357"/>
      <c r="DE272" s="357"/>
      <c r="DF272" s="357"/>
      <c r="DG272" s="357"/>
      <c r="DH272" s="357"/>
      <c r="DI272" s="357"/>
      <c r="DJ272" s="357"/>
      <c r="DK272" s="357"/>
      <c r="DL272" s="357"/>
      <c r="DM272" s="357"/>
      <c r="DN272" s="357"/>
      <c r="DO272" s="357"/>
      <c r="DP272" s="357"/>
      <c r="DQ272" s="357"/>
      <c r="DR272" s="357"/>
      <c r="DS272" s="357"/>
      <c r="DT272" s="357"/>
      <c r="DU272" s="357"/>
      <c r="DV272" s="357"/>
      <c r="DW272" s="357"/>
      <c r="DX272" s="357"/>
      <c r="DY272" s="357"/>
      <c r="DZ272" s="357"/>
      <c r="EA272" s="357"/>
      <c r="EB272" s="357"/>
      <c r="EC272" s="357"/>
      <c r="ED272" s="357"/>
      <c r="EE272" s="357"/>
      <c r="EF272" s="357"/>
      <c r="EG272" s="357"/>
      <c r="EH272" s="357"/>
      <c r="EI272" s="357"/>
      <c r="EJ272" s="357"/>
      <c r="EK272" s="357"/>
      <c r="EL272" s="357"/>
      <c r="EM272" s="357"/>
      <c r="EN272" s="357"/>
      <c r="EO272" s="357"/>
      <c r="EP272" s="357"/>
      <c r="EQ272" s="357"/>
      <c r="ER272" s="357"/>
      <c r="ES272" s="357"/>
      <c r="ET272" s="357"/>
      <c r="EU272" s="357"/>
      <c r="EV272" s="357"/>
      <c r="EW272" s="357"/>
      <c r="EX272" s="357"/>
      <c r="EY272" s="357"/>
      <c r="EZ272" s="357"/>
      <c r="FA272" s="357"/>
      <c r="FB272" s="357"/>
      <c r="FC272" s="357"/>
      <c r="FD272" s="357"/>
      <c r="FE272" s="357"/>
      <c r="FF272" s="357"/>
      <c r="FG272" s="357"/>
      <c r="FH272" s="357"/>
      <c r="FI272" s="357"/>
      <c r="FJ272" s="357"/>
      <c r="FK272" s="357"/>
      <c r="FL272" s="357"/>
      <c r="FM272" s="357"/>
      <c r="FN272" s="357"/>
      <c r="FO272" s="357"/>
      <c r="FP272" s="357"/>
      <c r="FQ272" s="357"/>
      <c r="FR272" s="357"/>
      <c r="FS272" s="357"/>
      <c r="FT272" s="357"/>
      <c r="FU272" s="357"/>
      <c r="FV272" s="357"/>
      <c r="FW272" s="357"/>
      <c r="FX272" s="357"/>
      <c r="FY272" s="357"/>
      <c r="FZ272" s="357"/>
      <c r="GA272" s="357"/>
      <c r="GB272" s="357"/>
      <c r="GC272" s="357"/>
      <c r="GD272" s="357"/>
      <c r="GE272" s="357"/>
      <c r="GF272" s="357"/>
      <c r="GG272" s="357"/>
      <c r="GH272" s="357"/>
      <c r="GI272" s="357"/>
      <c r="GJ272" s="357"/>
      <c r="GK272" s="154"/>
      <c r="GL272" s="154"/>
      <c r="GM272" s="154"/>
      <c r="GN272" s="154"/>
      <c r="GO272" s="154"/>
      <c r="GP272" s="154"/>
      <c r="GQ272" s="154"/>
      <c r="GR272" s="154"/>
      <c r="GS272" s="154"/>
      <c r="GT272" s="154"/>
      <c r="GU272" s="154"/>
      <c r="GV272" s="154"/>
      <c r="GW272" s="154"/>
      <c r="GX272" s="154"/>
    </row>
    <row r="273" spans="7:206">
      <c r="G273" s="154"/>
      <c r="H273" s="154"/>
      <c r="I273" s="154"/>
      <c r="J273" s="154"/>
      <c r="K273" s="154"/>
      <c r="L273" s="154"/>
      <c r="M273" s="154"/>
      <c r="N273" s="154"/>
      <c r="O273" s="154"/>
      <c r="P273" s="154"/>
      <c r="Q273" s="154"/>
      <c r="R273" s="154"/>
      <c r="S273" s="154"/>
      <c r="T273" s="154"/>
      <c r="U273" s="154"/>
      <c r="V273" s="154"/>
      <c r="W273" s="154"/>
      <c r="X273" s="154"/>
      <c r="Y273" s="154"/>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357"/>
      <c r="BB273" s="357"/>
      <c r="BC273" s="357"/>
      <c r="BD273" s="357"/>
      <c r="BE273" s="357"/>
      <c r="BF273" s="357"/>
      <c r="BG273" s="357"/>
      <c r="BH273" s="357"/>
      <c r="BI273" s="357"/>
      <c r="BJ273" s="357"/>
      <c r="BK273" s="357"/>
      <c r="BL273" s="357"/>
      <c r="BM273" s="357"/>
      <c r="BN273" s="357"/>
      <c r="BO273" s="357"/>
      <c r="BP273" s="357"/>
      <c r="BQ273" s="357"/>
      <c r="BR273" s="357"/>
      <c r="BS273" s="357"/>
      <c r="BT273" s="357"/>
      <c r="BU273" s="357"/>
      <c r="BV273" s="357"/>
      <c r="BW273" s="357"/>
      <c r="BX273" s="357"/>
      <c r="BY273" s="357"/>
      <c r="BZ273" s="357"/>
      <c r="CA273" s="357"/>
      <c r="CB273" s="357"/>
      <c r="CC273" s="357"/>
      <c r="CD273" s="357"/>
      <c r="CE273" s="357"/>
      <c r="CF273" s="357"/>
      <c r="CG273" s="357"/>
      <c r="CH273" s="357"/>
      <c r="CI273" s="357"/>
      <c r="CJ273" s="357"/>
      <c r="CK273" s="357"/>
      <c r="CL273" s="357"/>
      <c r="CM273" s="357"/>
      <c r="CN273" s="357"/>
      <c r="CO273" s="357"/>
      <c r="CP273" s="357"/>
      <c r="CQ273" s="357"/>
      <c r="CR273" s="357"/>
      <c r="CS273" s="357"/>
      <c r="CT273" s="357"/>
      <c r="CU273" s="357"/>
      <c r="CV273" s="357"/>
      <c r="CW273" s="357"/>
      <c r="CX273" s="357"/>
      <c r="CY273" s="357"/>
      <c r="CZ273" s="357"/>
      <c r="DA273" s="357"/>
      <c r="DB273" s="357"/>
      <c r="DC273" s="357"/>
      <c r="DD273" s="357"/>
      <c r="DE273" s="357"/>
      <c r="DF273" s="357"/>
      <c r="DG273" s="357"/>
      <c r="DH273" s="357"/>
      <c r="DI273" s="357"/>
      <c r="DJ273" s="357"/>
      <c r="DK273" s="357"/>
      <c r="DL273" s="357"/>
      <c r="DM273" s="357"/>
      <c r="DN273" s="357"/>
      <c r="DO273" s="357"/>
      <c r="DP273" s="357"/>
      <c r="DQ273" s="357"/>
      <c r="DR273" s="357"/>
      <c r="DS273" s="357"/>
      <c r="DT273" s="357"/>
      <c r="DU273" s="357"/>
      <c r="DV273" s="357"/>
      <c r="DW273" s="357"/>
      <c r="DX273" s="357"/>
      <c r="DY273" s="357"/>
      <c r="DZ273" s="357"/>
      <c r="EA273" s="357"/>
      <c r="EB273" s="357"/>
      <c r="EC273" s="357"/>
      <c r="ED273" s="357"/>
      <c r="EE273" s="357"/>
      <c r="EF273" s="357"/>
      <c r="EG273" s="357"/>
      <c r="EH273" s="357"/>
      <c r="EI273" s="357"/>
      <c r="EJ273" s="357"/>
      <c r="EK273" s="357"/>
      <c r="EL273" s="357"/>
      <c r="EM273" s="357"/>
      <c r="EN273" s="357"/>
      <c r="EO273" s="357"/>
      <c r="EP273" s="357"/>
      <c r="EQ273" s="357"/>
      <c r="ER273" s="357"/>
      <c r="ES273" s="357"/>
      <c r="ET273" s="357"/>
      <c r="EU273" s="357"/>
      <c r="EV273" s="357"/>
      <c r="EW273" s="357"/>
      <c r="EX273" s="357"/>
      <c r="EY273" s="357"/>
      <c r="EZ273" s="357"/>
      <c r="FA273" s="357"/>
      <c r="FB273" s="357"/>
      <c r="FC273" s="357"/>
      <c r="FD273" s="357"/>
      <c r="FE273" s="357"/>
      <c r="FF273" s="357"/>
      <c r="FG273" s="357"/>
      <c r="FH273" s="357"/>
      <c r="FI273" s="357"/>
      <c r="FJ273" s="357"/>
      <c r="FK273" s="357"/>
      <c r="FL273" s="357"/>
      <c r="FM273" s="357"/>
      <c r="FN273" s="357"/>
      <c r="FO273" s="357"/>
      <c r="FP273" s="357"/>
      <c r="FQ273" s="357"/>
      <c r="FR273" s="357"/>
      <c r="FS273" s="357"/>
      <c r="FT273" s="357"/>
      <c r="FU273" s="357"/>
      <c r="FV273" s="357"/>
      <c r="FW273" s="357"/>
      <c r="FX273" s="357"/>
      <c r="FY273" s="357"/>
      <c r="FZ273" s="357"/>
      <c r="GA273" s="357"/>
      <c r="GB273" s="357"/>
      <c r="GC273" s="357"/>
      <c r="GD273" s="357"/>
      <c r="GE273" s="357"/>
      <c r="GF273" s="357"/>
      <c r="GG273" s="357"/>
      <c r="GH273" s="357"/>
      <c r="GI273" s="357"/>
      <c r="GJ273" s="357"/>
      <c r="GK273" s="154"/>
      <c r="GL273" s="154"/>
      <c r="GM273" s="154"/>
      <c r="GN273" s="154"/>
      <c r="GO273" s="154"/>
      <c r="GP273" s="154"/>
      <c r="GQ273" s="154"/>
      <c r="GR273" s="154"/>
      <c r="GS273" s="154"/>
      <c r="GT273" s="154"/>
      <c r="GU273" s="154"/>
      <c r="GV273" s="154"/>
      <c r="GW273" s="154"/>
      <c r="GX273" s="154"/>
    </row>
    <row r="274" spans="7:206">
      <c r="G274" s="154"/>
      <c r="H274" s="154"/>
      <c r="I274" s="154"/>
      <c r="J274" s="154"/>
      <c r="K274" s="154"/>
      <c r="L274" s="154"/>
      <c r="M274" s="154"/>
      <c r="N274" s="154"/>
      <c r="O274" s="154"/>
      <c r="P274" s="154"/>
      <c r="Q274" s="154"/>
      <c r="R274" s="154"/>
      <c r="S274" s="154"/>
      <c r="T274" s="154"/>
      <c r="U274" s="154"/>
      <c r="V274" s="154"/>
      <c r="W274" s="154"/>
      <c r="X274" s="154"/>
      <c r="Y274" s="154"/>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357"/>
      <c r="BB274" s="357"/>
      <c r="BC274" s="357"/>
      <c r="BD274" s="357"/>
      <c r="BE274" s="357"/>
      <c r="BF274" s="357"/>
      <c r="BG274" s="357"/>
      <c r="BH274" s="357"/>
      <c r="BI274" s="357"/>
      <c r="BJ274" s="357"/>
      <c r="BK274" s="357"/>
      <c r="BL274" s="357"/>
      <c r="BM274" s="357"/>
      <c r="BN274" s="357"/>
      <c r="BO274" s="357"/>
      <c r="BP274" s="357"/>
      <c r="BQ274" s="357"/>
      <c r="BR274" s="357"/>
      <c r="BS274" s="357"/>
      <c r="BT274" s="357"/>
      <c r="BU274" s="357"/>
      <c r="BV274" s="357"/>
      <c r="BW274" s="357"/>
      <c r="BX274" s="357"/>
      <c r="BY274" s="357"/>
      <c r="BZ274" s="357"/>
      <c r="CA274" s="357"/>
      <c r="CB274" s="357"/>
      <c r="CC274" s="357"/>
      <c r="CD274" s="357"/>
      <c r="CE274" s="357"/>
      <c r="CF274" s="357"/>
      <c r="CG274" s="357"/>
      <c r="CH274" s="357"/>
      <c r="CI274" s="357"/>
      <c r="CJ274" s="357"/>
      <c r="CK274" s="357"/>
      <c r="CL274" s="357"/>
      <c r="CM274" s="357"/>
      <c r="CN274" s="357"/>
      <c r="CO274" s="357"/>
      <c r="CP274" s="357"/>
      <c r="CQ274" s="357"/>
      <c r="CR274" s="357"/>
      <c r="CS274" s="357"/>
      <c r="CT274" s="357"/>
      <c r="CU274" s="357"/>
      <c r="CV274" s="357"/>
      <c r="CW274" s="357"/>
      <c r="CX274" s="357"/>
      <c r="CY274" s="357"/>
      <c r="CZ274" s="357"/>
      <c r="DA274" s="357"/>
      <c r="DB274" s="357"/>
      <c r="DC274" s="357"/>
      <c r="DD274" s="357"/>
      <c r="DE274" s="357"/>
      <c r="DF274" s="357"/>
      <c r="DG274" s="357"/>
      <c r="DH274" s="357"/>
      <c r="DI274" s="357"/>
      <c r="DJ274" s="357"/>
      <c r="DK274" s="357"/>
      <c r="DL274" s="357"/>
      <c r="DM274" s="357"/>
      <c r="DN274" s="357"/>
      <c r="DO274" s="357"/>
      <c r="DP274" s="357"/>
      <c r="DQ274" s="357"/>
      <c r="DR274" s="357"/>
      <c r="DS274" s="357"/>
      <c r="DT274" s="357"/>
      <c r="DU274" s="357"/>
      <c r="DV274" s="357"/>
      <c r="DW274" s="357"/>
      <c r="DX274" s="357"/>
      <c r="DY274" s="357"/>
      <c r="DZ274" s="357"/>
      <c r="EA274" s="357"/>
      <c r="EB274" s="357"/>
      <c r="EC274" s="357"/>
      <c r="ED274" s="357"/>
      <c r="EE274" s="357"/>
      <c r="EF274" s="357"/>
      <c r="EG274" s="357"/>
      <c r="EH274" s="357"/>
      <c r="EI274" s="357"/>
      <c r="EJ274" s="357"/>
      <c r="EK274" s="357"/>
      <c r="EL274" s="357"/>
      <c r="EM274" s="357"/>
      <c r="EN274" s="357"/>
      <c r="EO274" s="357"/>
      <c r="EP274" s="357"/>
      <c r="EQ274" s="357"/>
      <c r="ER274" s="357"/>
      <c r="ES274" s="357"/>
      <c r="ET274" s="357"/>
      <c r="EU274" s="357"/>
      <c r="EV274" s="357"/>
      <c r="EW274" s="357"/>
      <c r="EX274" s="357"/>
      <c r="EY274" s="357"/>
      <c r="EZ274" s="357"/>
      <c r="FA274" s="357"/>
      <c r="FB274" s="357"/>
      <c r="FC274" s="357"/>
      <c r="FD274" s="357"/>
      <c r="FE274" s="357"/>
      <c r="FF274" s="357"/>
      <c r="FG274" s="357"/>
      <c r="FH274" s="357"/>
      <c r="FI274" s="357"/>
      <c r="FJ274" s="357"/>
      <c r="FK274" s="357"/>
      <c r="FL274" s="357"/>
      <c r="FM274" s="357"/>
      <c r="FN274" s="357"/>
      <c r="FO274" s="357"/>
      <c r="FP274" s="357"/>
      <c r="FQ274" s="357"/>
      <c r="FR274" s="357"/>
      <c r="FS274" s="357"/>
      <c r="FT274" s="357"/>
      <c r="FU274" s="357"/>
      <c r="FV274" s="357"/>
      <c r="FW274" s="357"/>
      <c r="FX274" s="357"/>
      <c r="FY274" s="357"/>
      <c r="FZ274" s="357"/>
      <c r="GA274" s="357"/>
      <c r="GB274" s="357"/>
      <c r="GC274" s="357"/>
      <c r="GD274" s="357"/>
      <c r="GE274" s="357"/>
      <c r="GF274" s="357"/>
      <c r="GG274" s="357"/>
      <c r="GH274" s="357"/>
      <c r="GI274" s="357"/>
      <c r="GJ274" s="357"/>
      <c r="GK274" s="154"/>
      <c r="GL274" s="154"/>
      <c r="GM274" s="154"/>
      <c r="GN274" s="154"/>
      <c r="GO274" s="154"/>
      <c r="GP274" s="154"/>
      <c r="GQ274" s="154"/>
      <c r="GR274" s="154"/>
      <c r="GS274" s="154"/>
      <c r="GT274" s="154"/>
      <c r="GU274" s="154"/>
      <c r="GV274" s="154"/>
      <c r="GW274" s="154"/>
      <c r="GX274" s="154"/>
    </row>
    <row r="275" spans="7:206">
      <c r="G275" s="154"/>
      <c r="H275" s="154"/>
      <c r="I275" s="154"/>
      <c r="J275" s="154"/>
      <c r="K275" s="154"/>
      <c r="L275" s="154"/>
      <c r="M275" s="154"/>
      <c r="N275" s="154"/>
      <c r="O275" s="154"/>
      <c r="P275" s="154"/>
      <c r="Q275" s="154"/>
      <c r="R275" s="154"/>
      <c r="S275" s="154"/>
      <c r="T275" s="154"/>
      <c r="U275" s="154"/>
      <c r="V275" s="154"/>
      <c r="W275" s="154"/>
      <c r="X275" s="154"/>
      <c r="Y275" s="154"/>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357"/>
      <c r="BB275" s="357"/>
      <c r="BC275" s="357"/>
      <c r="BD275" s="357"/>
      <c r="BE275" s="357"/>
      <c r="BF275" s="357"/>
      <c r="BG275" s="357"/>
      <c r="BH275" s="357"/>
      <c r="BI275" s="357"/>
      <c r="BJ275" s="357"/>
      <c r="BK275" s="357"/>
      <c r="BL275" s="357"/>
      <c r="BM275" s="357"/>
      <c r="BN275" s="357"/>
      <c r="BO275" s="357"/>
      <c r="BP275" s="357"/>
      <c r="BQ275" s="357"/>
      <c r="BR275" s="357"/>
      <c r="BS275" s="357"/>
      <c r="BT275" s="357"/>
      <c r="BU275" s="357"/>
      <c r="BV275" s="357"/>
      <c r="BW275" s="357"/>
      <c r="BX275" s="357"/>
      <c r="BY275" s="357"/>
      <c r="BZ275" s="357"/>
      <c r="CA275" s="357"/>
      <c r="CB275" s="357"/>
      <c r="CC275" s="357"/>
      <c r="CD275" s="357"/>
      <c r="CE275" s="357"/>
      <c r="CF275" s="357"/>
      <c r="CG275" s="357"/>
      <c r="CH275" s="357"/>
      <c r="CI275" s="357"/>
      <c r="CJ275" s="357"/>
      <c r="CK275" s="357"/>
      <c r="CL275" s="357"/>
      <c r="CM275" s="357"/>
      <c r="CN275" s="357"/>
      <c r="CO275" s="357"/>
      <c r="CP275" s="357"/>
      <c r="CQ275" s="357"/>
      <c r="CR275" s="357"/>
      <c r="CS275" s="357"/>
      <c r="CT275" s="357"/>
      <c r="CU275" s="357"/>
      <c r="CV275" s="357"/>
      <c r="CW275" s="357"/>
      <c r="CX275" s="357"/>
      <c r="CY275" s="357"/>
      <c r="CZ275" s="357"/>
      <c r="DA275" s="357"/>
      <c r="DB275" s="357"/>
      <c r="DC275" s="357"/>
      <c r="DD275" s="357"/>
      <c r="DE275" s="357"/>
      <c r="DF275" s="357"/>
      <c r="DG275" s="357"/>
      <c r="DH275" s="357"/>
      <c r="DI275" s="357"/>
      <c r="DJ275" s="357"/>
      <c r="DK275" s="357"/>
      <c r="DL275" s="357"/>
      <c r="DM275" s="357"/>
      <c r="DN275" s="357"/>
      <c r="DO275" s="357"/>
      <c r="DP275" s="357"/>
      <c r="DQ275" s="357"/>
      <c r="DR275" s="357"/>
      <c r="DS275" s="357"/>
      <c r="DT275" s="357"/>
      <c r="DU275" s="357"/>
      <c r="DV275" s="357"/>
      <c r="DW275" s="357"/>
      <c r="DX275" s="357"/>
      <c r="DY275" s="357"/>
      <c r="DZ275" s="357"/>
      <c r="EA275" s="357"/>
      <c r="EB275" s="357"/>
      <c r="EC275" s="357"/>
      <c r="ED275" s="357"/>
      <c r="EE275" s="357"/>
      <c r="EF275" s="357"/>
      <c r="EG275" s="357"/>
      <c r="EH275" s="357"/>
      <c r="EI275" s="357"/>
      <c r="EJ275" s="357"/>
      <c r="EK275" s="357"/>
      <c r="EL275" s="357"/>
      <c r="EM275" s="357"/>
      <c r="EN275" s="357"/>
      <c r="EO275" s="357"/>
      <c r="EP275" s="357"/>
      <c r="EQ275" s="357"/>
      <c r="ER275" s="357"/>
      <c r="ES275" s="357"/>
      <c r="ET275" s="357"/>
      <c r="EU275" s="357"/>
      <c r="EV275" s="357"/>
      <c r="EW275" s="357"/>
      <c r="EX275" s="357"/>
      <c r="EY275" s="357"/>
      <c r="EZ275" s="357"/>
      <c r="FA275" s="357"/>
      <c r="FB275" s="357"/>
      <c r="FC275" s="357"/>
      <c r="FD275" s="357"/>
      <c r="FE275" s="357"/>
      <c r="FF275" s="357"/>
      <c r="FG275" s="357"/>
      <c r="FH275" s="357"/>
      <c r="FI275" s="357"/>
      <c r="FJ275" s="357"/>
      <c r="FK275" s="357"/>
      <c r="FL275" s="357"/>
      <c r="FM275" s="357"/>
      <c r="FN275" s="357"/>
      <c r="FO275" s="357"/>
      <c r="FP275" s="357"/>
      <c r="FQ275" s="357"/>
      <c r="FR275" s="357"/>
      <c r="FS275" s="357"/>
      <c r="FT275" s="357"/>
      <c r="FU275" s="357"/>
      <c r="FV275" s="357"/>
      <c r="FW275" s="357"/>
      <c r="FX275" s="357"/>
      <c r="FY275" s="357"/>
      <c r="FZ275" s="357"/>
      <c r="GA275" s="357"/>
      <c r="GB275" s="357"/>
      <c r="GC275" s="357"/>
      <c r="GD275" s="357"/>
      <c r="GE275" s="357"/>
      <c r="GF275" s="357"/>
      <c r="GG275" s="357"/>
      <c r="GH275" s="357"/>
      <c r="GI275" s="357"/>
      <c r="GJ275" s="357"/>
      <c r="GK275" s="154"/>
      <c r="GL275" s="154"/>
      <c r="GM275" s="154"/>
      <c r="GN275" s="154"/>
      <c r="GO275" s="154"/>
      <c r="GP275" s="154"/>
      <c r="GQ275" s="154"/>
      <c r="GR275" s="154"/>
      <c r="GS275" s="154"/>
      <c r="GT275" s="154"/>
      <c r="GU275" s="154"/>
      <c r="GV275" s="154"/>
      <c r="GW275" s="154"/>
      <c r="GX275" s="154"/>
    </row>
    <row r="276" spans="7:206">
      <c r="G276" s="154"/>
      <c r="H276" s="154"/>
      <c r="I276" s="154"/>
      <c r="J276" s="154"/>
      <c r="K276" s="154"/>
      <c r="L276" s="154"/>
      <c r="M276" s="154"/>
      <c r="N276" s="154"/>
      <c r="O276" s="154"/>
      <c r="P276" s="154"/>
      <c r="Q276" s="154"/>
      <c r="R276" s="154"/>
      <c r="S276" s="154"/>
      <c r="T276" s="154"/>
      <c r="U276" s="154"/>
      <c r="V276" s="154"/>
      <c r="W276" s="154"/>
      <c r="X276" s="154"/>
      <c r="Y276" s="154"/>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357"/>
      <c r="BB276" s="357"/>
      <c r="BC276" s="357"/>
      <c r="BD276" s="357"/>
      <c r="BE276" s="357"/>
      <c r="BF276" s="357"/>
      <c r="BG276" s="357"/>
      <c r="BH276" s="357"/>
      <c r="BI276" s="357"/>
      <c r="BJ276" s="357"/>
      <c r="BK276" s="357"/>
      <c r="BL276" s="357"/>
      <c r="BM276" s="357"/>
      <c r="BN276" s="357"/>
      <c r="BO276" s="357"/>
      <c r="BP276" s="357"/>
      <c r="BQ276" s="357"/>
      <c r="BR276" s="357"/>
      <c r="BS276" s="357"/>
      <c r="BT276" s="357"/>
      <c r="BU276" s="357"/>
      <c r="BV276" s="357"/>
      <c r="BW276" s="357"/>
      <c r="BX276" s="357"/>
      <c r="BY276" s="357"/>
      <c r="BZ276" s="357"/>
      <c r="CA276" s="357"/>
      <c r="CB276" s="357"/>
      <c r="CC276" s="357"/>
      <c r="CD276" s="357"/>
      <c r="CE276" s="357"/>
      <c r="CF276" s="357"/>
      <c r="CG276" s="357"/>
      <c r="CH276" s="357"/>
      <c r="CI276" s="357"/>
      <c r="CJ276" s="357"/>
      <c r="CK276" s="357"/>
      <c r="CL276" s="357"/>
      <c r="CM276" s="357"/>
      <c r="CN276" s="357"/>
      <c r="CO276" s="357"/>
      <c r="CP276" s="357"/>
      <c r="CQ276" s="357"/>
      <c r="CR276" s="357"/>
      <c r="CS276" s="357"/>
      <c r="CT276" s="357"/>
      <c r="CU276" s="357"/>
      <c r="CV276" s="357"/>
      <c r="CW276" s="357"/>
      <c r="CX276" s="357"/>
      <c r="CY276" s="357"/>
      <c r="CZ276" s="357"/>
      <c r="DA276" s="357"/>
      <c r="DB276" s="357"/>
      <c r="DC276" s="357"/>
      <c r="DD276" s="357"/>
      <c r="DE276" s="357"/>
      <c r="DF276" s="357"/>
      <c r="DG276" s="357"/>
      <c r="DH276" s="357"/>
      <c r="DI276" s="357"/>
      <c r="DJ276" s="357"/>
      <c r="DK276" s="357"/>
      <c r="DL276" s="357"/>
      <c r="DM276" s="357"/>
      <c r="DN276" s="357"/>
      <c r="DO276" s="357"/>
      <c r="DP276" s="357"/>
      <c r="DQ276" s="357"/>
      <c r="DR276" s="357"/>
      <c r="DS276" s="357"/>
      <c r="DT276" s="357"/>
      <c r="DU276" s="357"/>
      <c r="DV276" s="357"/>
      <c r="DW276" s="357"/>
      <c r="DX276" s="357"/>
      <c r="DY276" s="357"/>
      <c r="DZ276" s="357"/>
      <c r="EA276" s="357"/>
      <c r="EB276" s="357"/>
      <c r="EC276" s="357"/>
      <c r="ED276" s="357"/>
      <c r="EE276" s="357"/>
      <c r="EF276" s="357"/>
      <c r="EG276" s="357"/>
      <c r="EH276" s="357"/>
      <c r="EI276" s="357"/>
      <c r="EJ276" s="357"/>
      <c r="EK276" s="357"/>
      <c r="EL276" s="357"/>
      <c r="EM276" s="357"/>
      <c r="EN276" s="357"/>
      <c r="EO276" s="357"/>
      <c r="EP276" s="357"/>
      <c r="EQ276" s="357"/>
      <c r="ER276" s="357"/>
      <c r="ES276" s="357"/>
      <c r="ET276" s="357"/>
      <c r="EU276" s="357"/>
      <c r="EV276" s="357"/>
      <c r="EW276" s="357"/>
      <c r="EX276" s="357"/>
      <c r="EY276" s="357"/>
      <c r="EZ276" s="357"/>
      <c r="FA276" s="357"/>
      <c r="FB276" s="357"/>
      <c r="FC276" s="357"/>
      <c r="FD276" s="357"/>
      <c r="FE276" s="357"/>
      <c r="FF276" s="357"/>
      <c r="FG276" s="357"/>
      <c r="FH276" s="357"/>
      <c r="FI276" s="357"/>
      <c r="FJ276" s="357"/>
      <c r="FK276" s="357"/>
      <c r="FL276" s="357"/>
      <c r="FM276" s="357"/>
      <c r="FN276" s="357"/>
      <c r="FO276" s="357"/>
      <c r="FP276" s="357"/>
      <c r="FQ276" s="357"/>
      <c r="FR276" s="357"/>
      <c r="FS276" s="357"/>
      <c r="FT276" s="357"/>
      <c r="FU276" s="357"/>
      <c r="FV276" s="357"/>
      <c r="FW276" s="357"/>
      <c r="FX276" s="357"/>
      <c r="FY276" s="357"/>
      <c r="FZ276" s="357"/>
      <c r="GA276" s="357"/>
      <c r="GB276" s="357"/>
      <c r="GC276" s="357"/>
      <c r="GD276" s="357"/>
      <c r="GE276" s="357"/>
      <c r="GF276" s="357"/>
      <c r="GG276" s="357"/>
      <c r="GH276" s="357"/>
      <c r="GI276" s="357"/>
      <c r="GJ276" s="357"/>
      <c r="GK276" s="154"/>
      <c r="GL276" s="154"/>
      <c r="GM276" s="154"/>
      <c r="GN276" s="154"/>
      <c r="GO276" s="154"/>
      <c r="GP276" s="154"/>
      <c r="GQ276" s="154"/>
      <c r="GR276" s="154"/>
      <c r="GS276" s="154"/>
      <c r="GT276" s="154"/>
      <c r="GU276" s="154"/>
      <c r="GV276" s="154"/>
      <c r="GW276" s="154"/>
      <c r="GX276" s="154"/>
    </row>
    <row r="277" spans="7:206">
      <c r="G277" s="154"/>
      <c r="H277" s="154"/>
      <c r="I277" s="154"/>
      <c r="J277" s="154"/>
      <c r="K277" s="154"/>
      <c r="L277" s="154"/>
      <c r="M277" s="154"/>
      <c r="N277" s="154"/>
      <c r="O277" s="154"/>
      <c r="P277" s="154"/>
      <c r="Q277" s="154"/>
      <c r="R277" s="154"/>
      <c r="S277" s="154"/>
      <c r="T277" s="154"/>
      <c r="U277" s="154"/>
      <c r="V277" s="154"/>
      <c r="W277" s="154"/>
      <c r="X277" s="154"/>
      <c r="Y277" s="154"/>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357"/>
      <c r="BB277" s="357"/>
      <c r="BC277" s="357"/>
      <c r="BD277" s="357"/>
      <c r="BE277" s="357"/>
      <c r="BF277" s="357"/>
      <c r="BG277" s="357"/>
      <c r="BH277" s="357"/>
      <c r="BI277" s="357"/>
      <c r="BJ277" s="357"/>
      <c r="BK277" s="357"/>
      <c r="BL277" s="357"/>
      <c r="BM277" s="357"/>
      <c r="BN277" s="357"/>
      <c r="BO277" s="357"/>
      <c r="BP277" s="357"/>
      <c r="BQ277" s="357"/>
      <c r="BR277" s="357"/>
      <c r="BS277" s="357"/>
      <c r="BT277" s="357"/>
      <c r="BU277" s="357"/>
      <c r="BV277" s="357"/>
      <c r="BW277" s="357"/>
      <c r="BX277" s="357"/>
      <c r="BY277" s="357"/>
      <c r="BZ277" s="357"/>
      <c r="CA277" s="357"/>
      <c r="CB277" s="357"/>
      <c r="CC277" s="357"/>
      <c r="CD277" s="357"/>
      <c r="CE277" s="357"/>
      <c r="CF277" s="357"/>
      <c r="CG277" s="357"/>
      <c r="CH277" s="357"/>
      <c r="CI277" s="357"/>
      <c r="CJ277" s="357"/>
      <c r="CK277" s="357"/>
      <c r="CL277" s="357"/>
      <c r="CM277" s="357"/>
      <c r="CN277" s="357"/>
      <c r="CO277" s="357"/>
      <c r="CP277" s="357"/>
      <c r="CQ277" s="357"/>
      <c r="CR277" s="357"/>
      <c r="CS277" s="357"/>
      <c r="CT277" s="357"/>
      <c r="CU277" s="357"/>
      <c r="CV277" s="357"/>
      <c r="CW277" s="357"/>
      <c r="CX277" s="357"/>
      <c r="CY277" s="357"/>
      <c r="CZ277" s="357"/>
      <c r="DA277" s="357"/>
      <c r="DB277" s="357"/>
      <c r="DC277" s="357"/>
      <c r="DD277" s="357"/>
      <c r="DE277" s="357"/>
      <c r="DF277" s="357"/>
      <c r="DG277" s="357"/>
      <c r="DH277" s="357"/>
      <c r="DI277" s="357"/>
      <c r="DJ277" s="357"/>
      <c r="DK277" s="357"/>
      <c r="DL277" s="357"/>
      <c r="DM277" s="357"/>
      <c r="DN277" s="357"/>
      <c r="DO277" s="357"/>
      <c r="DP277" s="357"/>
      <c r="DQ277" s="357"/>
      <c r="DR277" s="357"/>
      <c r="DS277" s="357"/>
      <c r="DT277" s="357"/>
      <c r="DU277" s="357"/>
      <c r="DV277" s="357"/>
      <c r="DW277" s="357"/>
      <c r="DX277" s="357"/>
      <c r="DY277" s="357"/>
      <c r="DZ277" s="357"/>
      <c r="EA277" s="357"/>
      <c r="EB277" s="357"/>
      <c r="EC277" s="357"/>
      <c r="ED277" s="357"/>
      <c r="EE277" s="357"/>
      <c r="EF277" s="357"/>
      <c r="EG277" s="357"/>
      <c r="EH277" s="357"/>
      <c r="EI277" s="357"/>
      <c r="EJ277" s="357"/>
      <c r="EK277" s="357"/>
      <c r="EL277" s="357"/>
      <c r="EM277" s="357"/>
      <c r="EN277" s="357"/>
      <c r="EO277" s="357"/>
      <c r="EP277" s="357"/>
      <c r="EQ277" s="357"/>
      <c r="ER277" s="357"/>
      <c r="ES277" s="357"/>
      <c r="ET277" s="357"/>
      <c r="EU277" s="357"/>
      <c r="EV277" s="357"/>
      <c r="EW277" s="357"/>
      <c r="EX277" s="357"/>
      <c r="EY277" s="357"/>
      <c r="EZ277" s="357"/>
      <c r="FA277" s="357"/>
      <c r="FB277" s="357"/>
      <c r="FC277" s="357"/>
      <c r="FD277" s="357"/>
      <c r="FE277" s="357"/>
      <c r="FF277" s="357"/>
      <c r="FG277" s="357"/>
      <c r="FH277" s="357"/>
      <c r="FI277" s="357"/>
      <c r="FJ277" s="357"/>
      <c r="FK277" s="357"/>
      <c r="FL277" s="357"/>
      <c r="FM277" s="357"/>
      <c r="FN277" s="357"/>
      <c r="FO277" s="357"/>
      <c r="FP277" s="357"/>
      <c r="FQ277" s="357"/>
      <c r="FR277" s="357"/>
      <c r="FS277" s="357"/>
      <c r="FT277" s="357"/>
      <c r="FU277" s="357"/>
      <c r="FV277" s="357"/>
      <c r="FW277" s="357"/>
      <c r="FX277" s="357"/>
      <c r="FY277" s="357"/>
      <c r="FZ277" s="357"/>
      <c r="GA277" s="357"/>
      <c r="GB277" s="357"/>
      <c r="GC277" s="357"/>
      <c r="GD277" s="357"/>
      <c r="GE277" s="357"/>
      <c r="GF277" s="357"/>
      <c r="GG277" s="357"/>
      <c r="GH277" s="357"/>
      <c r="GI277" s="357"/>
      <c r="GJ277" s="357"/>
      <c r="GK277" s="154"/>
      <c r="GL277" s="154"/>
      <c r="GM277" s="154"/>
      <c r="GN277" s="154"/>
      <c r="GO277" s="154"/>
      <c r="GP277" s="154"/>
      <c r="GQ277" s="154"/>
      <c r="GR277" s="154"/>
      <c r="GS277" s="154"/>
      <c r="GT277" s="154"/>
      <c r="GU277" s="154"/>
      <c r="GV277" s="154"/>
      <c r="GW277" s="154"/>
      <c r="GX277" s="154"/>
    </row>
    <row r="278" spans="7:206">
      <c r="G278" s="154"/>
      <c r="H278" s="154"/>
      <c r="I278" s="154"/>
      <c r="J278" s="154"/>
      <c r="K278" s="154"/>
      <c r="L278" s="154"/>
      <c r="M278" s="154"/>
      <c r="N278" s="154"/>
      <c r="O278" s="154"/>
      <c r="P278" s="154"/>
      <c r="Q278" s="154"/>
      <c r="R278" s="154"/>
      <c r="S278" s="154"/>
      <c r="T278" s="154"/>
      <c r="U278" s="154"/>
      <c r="V278" s="154"/>
      <c r="W278" s="154"/>
      <c r="X278" s="154"/>
      <c r="Y278" s="154"/>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357"/>
      <c r="BB278" s="357"/>
      <c r="BC278" s="357"/>
      <c r="BD278" s="357"/>
      <c r="BE278" s="357"/>
      <c r="BF278" s="357"/>
      <c r="BG278" s="357"/>
      <c r="BH278" s="357"/>
      <c r="BI278" s="357"/>
      <c r="BJ278" s="357"/>
      <c r="BK278" s="357"/>
      <c r="BL278" s="357"/>
      <c r="BM278" s="357"/>
      <c r="BN278" s="357"/>
      <c r="BO278" s="357"/>
      <c r="BP278" s="357"/>
      <c r="BQ278" s="357"/>
      <c r="BR278" s="357"/>
      <c r="BS278" s="357"/>
      <c r="BT278" s="357"/>
      <c r="BU278" s="357"/>
      <c r="BV278" s="357"/>
      <c r="BW278" s="357"/>
      <c r="BX278" s="357"/>
      <c r="BY278" s="357"/>
      <c r="BZ278" s="357"/>
      <c r="CA278" s="357"/>
      <c r="CB278" s="357"/>
      <c r="CC278" s="357"/>
      <c r="CD278" s="357"/>
      <c r="CE278" s="357"/>
      <c r="CF278" s="357"/>
      <c r="CG278" s="357"/>
      <c r="CH278" s="357"/>
      <c r="CI278" s="357"/>
      <c r="CJ278" s="357"/>
      <c r="CK278" s="357"/>
      <c r="CL278" s="357"/>
      <c r="CM278" s="357"/>
      <c r="CN278" s="357"/>
      <c r="CO278" s="357"/>
      <c r="CP278" s="357"/>
      <c r="CQ278" s="357"/>
      <c r="CR278" s="357"/>
      <c r="CS278" s="357"/>
      <c r="CT278" s="357"/>
      <c r="CU278" s="357"/>
      <c r="CV278" s="357"/>
      <c r="CW278" s="357"/>
      <c r="CX278" s="357"/>
      <c r="CY278" s="357"/>
      <c r="CZ278" s="357"/>
      <c r="DA278" s="357"/>
      <c r="DB278" s="357"/>
      <c r="DC278" s="357"/>
      <c r="DD278" s="357"/>
      <c r="DE278" s="357"/>
      <c r="DF278" s="357"/>
      <c r="DG278" s="357"/>
      <c r="DH278" s="357"/>
      <c r="DI278" s="357"/>
      <c r="DJ278" s="357"/>
      <c r="DK278" s="357"/>
      <c r="DL278" s="357"/>
      <c r="DM278" s="357"/>
      <c r="DN278" s="357"/>
      <c r="DO278" s="357"/>
      <c r="DP278" s="357"/>
      <c r="DQ278" s="357"/>
      <c r="DR278" s="357"/>
      <c r="DS278" s="357"/>
      <c r="DT278" s="357"/>
      <c r="DU278" s="357"/>
      <c r="DV278" s="357"/>
      <c r="DW278" s="357"/>
      <c r="DX278" s="357"/>
      <c r="DY278" s="357"/>
      <c r="DZ278" s="357"/>
      <c r="EA278" s="357"/>
      <c r="EB278" s="357"/>
      <c r="EC278" s="357"/>
      <c r="ED278" s="357"/>
      <c r="EE278" s="357"/>
      <c r="EF278" s="357"/>
      <c r="EG278" s="357"/>
      <c r="EH278" s="357"/>
      <c r="EI278" s="357"/>
      <c r="EJ278" s="357"/>
      <c r="EK278" s="357"/>
      <c r="EL278" s="357"/>
      <c r="EM278" s="357"/>
      <c r="EN278" s="357"/>
      <c r="EO278" s="357"/>
      <c r="EP278" s="357"/>
      <c r="EQ278" s="357"/>
      <c r="ER278" s="357"/>
      <c r="ES278" s="357"/>
      <c r="ET278" s="357"/>
      <c r="EU278" s="357"/>
      <c r="EV278" s="357"/>
      <c r="EW278" s="357"/>
      <c r="EX278" s="357"/>
      <c r="EY278" s="357"/>
      <c r="EZ278" s="357"/>
      <c r="FA278" s="357"/>
      <c r="FB278" s="357"/>
      <c r="FC278" s="357"/>
      <c r="FD278" s="357"/>
      <c r="FE278" s="357"/>
      <c r="FF278" s="357"/>
      <c r="FG278" s="357"/>
      <c r="FH278" s="357"/>
      <c r="FI278" s="357"/>
      <c r="FJ278" s="357"/>
      <c r="FK278" s="357"/>
      <c r="FL278" s="357"/>
      <c r="FM278" s="357"/>
      <c r="FN278" s="357"/>
      <c r="FO278" s="357"/>
      <c r="FP278" s="357"/>
      <c r="FQ278" s="357"/>
      <c r="FR278" s="357"/>
      <c r="FS278" s="357"/>
      <c r="FT278" s="357"/>
      <c r="FU278" s="357"/>
      <c r="FV278" s="357"/>
      <c r="FW278" s="357"/>
      <c r="FX278" s="357"/>
      <c r="FY278" s="357"/>
      <c r="FZ278" s="357"/>
      <c r="GA278" s="357"/>
      <c r="GB278" s="357"/>
      <c r="GC278" s="357"/>
      <c r="GD278" s="357"/>
      <c r="GE278" s="357"/>
      <c r="GF278" s="357"/>
      <c r="GG278" s="357"/>
      <c r="GH278" s="357"/>
      <c r="GI278" s="357"/>
      <c r="GJ278" s="357"/>
      <c r="GK278" s="154"/>
      <c r="GL278" s="154"/>
      <c r="GM278" s="154"/>
      <c r="GN278" s="154"/>
      <c r="GO278" s="154"/>
      <c r="GP278" s="154"/>
      <c r="GQ278" s="154"/>
      <c r="GR278" s="154"/>
      <c r="GS278" s="154"/>
      <c r="GT278" s="154"/>
      <c r="GU278" s="154"/>
      <c r="GV278" s="154"/>
      <c r="GW278" s="154"/>
      <c r="GX278" s="154"/>
    </row>
    <row r="279" spans="7:206">
      <c r="G279" s="154"/>
      <c r="H279" s="154"/>
      <c r="I279" s="154"/>
      <c r="J279" s="154"/>
      <c r="K279" s="154"/>
      <c r="L279" s="154"/>
      <c r="M279" s="154"/>
      <c r="N279" s="154"/>
      <c r="O279" s="154"/>
      <c r="P279" s="154"/>
      <c r="Q279" s="154"/>
      <c r="R279" s="154"/>
      <c r="S279" s="154"/>
      <c r="T279" s="154"/>
      <c r="U279" s="154"/>
      <c r="V279" s="154"/>
      <c r="W279" s="154"/>
      <c r="X279" s="154"/>
      <c r="Y279" s="154"/>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357"/>
      <c r="BB279" s="357"/>
      <c r="BC279" s="357"/>
      <c r="BD279" s="357"/>
      <c r="BE279" s="357"/>
      <c r="BF279" s="357"/>
      <c r="BG279" s="357"/>
      <c r="BH279" s="357"/>
      <c r="BI279" s="357"/>
      <c r="BJ279" s="357"/>
      <c r="BK279" s="357"/>
      <c r="BL279" s="357"/>
      <c r="BM279" s="357"/>
      <c r="BN279" s="357"/>
      <c r="BO279" s="357"/>
      <c r="BP279" s="357"/>
      <c r="BQ279" s="357"/>
      <c r="BR279" s="357"/>
      <c r="BS279" s="357"/>
      <c r="BT279" s="357"/>
      <c r="BU279" s="357"/>
      <c r="BV279" s="357"/>
      <c r="BW279" s="357"/>
      <c r="BX279" s="357"/>
      <c r="BY279" s="357"/>
      <c r="BZ279" s="357"/>
      <c r="CA279" s="357"/>
      <c r="CB279" s="357"/>
      <c r="CC279" s="357"/>
      <c r="CD279" s="357"/>
      <c r="CE279" s="357"/>
      <c r="CF279" s="357"/>
      <c r="CG279" s="357"/>
      <c r="CH279" s="357"/>
      <c r="CI279" s="357"/>
      <c r="CJ279" s="357"/>
      <c r="CK279" s="357"/>
      <c r="CL279" s="357"/>
      <c r="CM279" s="357"/>
      <c r="CN279" s="357"/>
      <c r="CO279" s="357"/>
      <c r="CP279" s="357"/>
      <c r="CQ279" s="357"/>
      <c r="CR279" s="357"/>
      <c r="CS279" s="357"/>
      <c r="CT279" s="357"/>
      <c r="CU279" s="357"/>
      <c r="CV279" s="357"/>
      <c r="CW279" s="357"/>
      <c r="CX279" s="357"/>
      <c r="CY279" s="357"/>
      <c r="CZ279" s="357"/>
      <c r="DA279" s="357"/>
      <c r="DB279" s="357"/>
      <c r="DC279" s="357"/>
      <c r="DD279" s="357"/>
      <c r="DE279" s="357"/>
      <c r="DF279" s="357"/>
      <c r="DG279" s="357"/>
      <c r="DH279" s="357"/>
      <c r="DI279" s="357"/>
      <c r="DJ279" s="357"/>
      <c r="DK279" s="357"/>
      <c r="DL279" s="357"/>
      <c r="DM279" s="357"/>
      <c r="DN279" s="357"/>
      <c r="DO279" s="357"/>
      <c r="DP279" s="357"/>
      <c r="DQ279" s="357"/>
      <c r="DR279" s="357"/>
      <c r="DS279" s="357"/>
      <c r="DT279" s="357"/>
      <c r="DU279" s="357"/>
      <c r="DV279" s="357"/>
      <c r="DW279" s="357"/>
      <c r="DX279" s="357"/>
      <c r="DY279" s="357"/>
      <c r="DZ279" s="357"/>
      <c r="EA279" s="357"/>
      <c r="EB279" s="357"/>
      <c r="EC279" s="357"/>
      <c r="ED279" s="357"/>
      <c r="EE279" s="357"/>
      <c r="EF279" s="357"/>
      <c r="EG279" s="357"/>
      <c r="EH279" s="357"/>
      <c r="EI279" s="357"/>
      <c r="EJ279" s="357"/>
      <c r="EK279" s="357"/>
      <c r="EL279" s="357"/>
      <c r="EM279" s="357"/>
      <c r="EN279" s="357"/>
      <c r="EO279" s="357"/>
      <c r="EP279" s="357"/>
      <c r="EQ279" s="357"/>
      <c r="ER279" s="357"/>
      <c r="ES279" s="357"/>
      <c r="ET279" s="357"/>
      <c r="EU279" s="357"/>
      <c r="EV279" s="357"/>
      <c r="EW279" s="357"/>
      <c r="EX279" s="357"/>
      <c r="EY279" s="357"/>
      <c r="EZ279" s="357"/>
      <c r="FA279" s="357"/>
      <c r="FB279" s="357"/>
      <c r="FC279" s="357"/>
      <c r="FD279" s="357"/>
      <c r="FE279" s="357"/>
      <c r="FF279" s="357"/>
      <c r="FG279" s="357"/>
      <c r="FH279" s="357"/>
      <c r="FI279" s="357"/>
      <c r="FJ279" s="357"/>
      <c r="FK279" s="357"/>
      <c r="FL279" s="357"/>
      <c r="FM279" s="357"/>
      <c r="FN279" s="357"/>
      <c r="FO279" s="357"/>
      <c r="FP279" s="357"/>
      <c r="FQ279" s="357"/>
      <c r="FR279" s="357"/>
      <c r="FS279" s="357"/>
      <c r="FT279" s="357"/>
      <c r="FU279" s="357"/>
      <c r="FV279" s="357"/>
      <c r="FW279" s="357"/>
      <c r="FX279" s="357"/>
      <c r="FY279" s="357"/>
      <c r="FZ279" s="357"/>
      <c r="GA279" s="357"/>
      <c r="GB279" s="357"/>
      <c r="GC279" s="357"/>
      <c r="GD279" s="357"/>
      <c r="GE279" s="357"/>
      <c r="GF279" s="357"/>
      <c r="GG279" s="357"/>
      <c r="GH279" s="357"/>
      <c r="GI279" s="357"/>
      <c r="GJ279" s="357"/>
      <c r="GK279" s="154"/>
      <c r="GL279" s="154"/>
      <c r="GM279" s="154"/>
      <c r="GN279" s="154"/>
      <c r="GO279" s="154"/>
      <c r="GP279" s="154"/>
      <c r="GQ279" s="154"/>
      <c r="GR279" s="154"/>
      <c r="GS279" s="154"/>
      <c r="GT279" s="154"/>
      <c r="GU279" s="154"/>
      <c r="GV279" s="154"/>
      <c r="GW279" s="154"/>
      <c r="GX279" s="154"/>
    </row>
    <row r="280" spans="7:206">
      <c r="G280" s="154"/>
      <c r="H280" s="154"/>
      <c r="I280" s="154"/>
      <c r="J280" s="154"/>
      <c r="K280" s="154"/>
      <c r="L280" s="154"/>
      <c r="M280" s="154"/>
      <c r="N280" s="154"/>
      <c r="O280" s="154"/>
      <c r="P280" s="154"/>
      <c r="Q280" s="154"/>
      <c r="R280" s="154"/>
      <c r="S280" s="154"/>
      <c r="T280" s="154"/>
      <c r="U280" s="154"/>
      <c r="V280" s="154"/>
      <c r="W280" s="154"/>
      <c r="X280" s="154"/>
      <c r="Y280" s="154"/>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357"/>
      <c r="BB280" s="357"/>
      <c r="BC280" s="357"/>
      <c r="BD280" s="357"/>
      <c r="BE280" s="357"/>
      <c r="BF280" s="357"/>
      <c r="BG280" s="357"/>
      <c r="BH280" s="357"/>
      <c r="BI280" s="357"/>
      <c r="BJ280" s="357"/>
      <c r="BK280" s="357"/>
      <c r="BL280" s="357"/>
      <c r="BM280" s="357"/>
      <c r="BN280" s="357"/>
      <c r="BO280" s="357"/>
      <c r="BP280" s="357"/>
      <c r="BQ280" s="357"/>
      <c r="BR280" s="357"/>
      <c r="BS280" s="357"/>
      <c r="BT280" s="357"/>
      <c r="BU280" s="357"/>
      <c r="BV280" s="357"/>
      <c r="BW280" s="357"/>
      <c r="BX280" s="357"/>
      <c r="BY280" s="357"/>
      <c r="BZ280" s="357"/>
      <c r="CA280" s="357"/>
      <c r="CB280" s="357"/>
      <c r="CC280" s="357"/>
      <c r="CD280" s="357"/>
      <c r="CE280" s="357"/>
      <c r="CF280" s="357"/>
      <c r="CG280" s="357"/>
      <c r="CH280" s="357"/>
      <c r="CI280" s="357"/>
      <c r="CJ280" s="357"/>
      <c r="CK280" s="357"/>
      <c r="CL280" s="357"/>
      <c r="CM280" s="357"/>
      <c r="CN280" s="357"/>
      <c r="CO280" s="357"/>
      <c r="CP280" s="357"/>
      <c r="CQ280" s="357"/>
      <c r="CR280" s="357"/>
      <c r="CS280" s="357"/>
      <c r="CT280" s="357"/>
      <c r="CU280" s="357"/>
      <c r="CV280" s="357"/>
      <c r="CW280" s="357"/>
      <c r="CX280" s="357"/>
      <c r="CY280" s="357"/>
      <c r="CZ280" s="357"/>
      <c r="DA280" s="357"/>
      <c r="DB280" s="357"/>
      <c r="DC280" s="357"/>
      <c r="DD280" s="357"/>
      <c r="DE280" s="357"/>
      <c r="DF280" s="357"/>
      <c r="DG280" s="357"/>
      <c r="DH280" s="357"/>
      <c r="DI280" s="357"/>
      <c r="DJ280" s="357"/>
      <c r="DK280" s="357"/>
      <c r="DL280" s="357"/>
      <c r="DM280" s="357"/>
      <c r="DN280" s="357"/>
      <c r="DO280" s="357"/>
      <c r="DP280" s="357"/>
      <c r="DQ280" s="357"/>
      <c r="DR280" s="357"/>
      <c r="DS280" s="357"/>
      <c r="DT280" s="357"/>
      <c r="DU280" s="357"/>
      <c r="DV280" s="357"/>
      <c r="DW280" s="357"/>
      <c r="DX280" s="357"/>
      <c r="DY280" s="357"/>
      <c r="DZ280" s="357"/>
      <c r="EA280" s="357"/>
      <c r="EB280" s="357"/>
      <c r="EC280" s="357"/>
      <c r="ED280" s="357"/>
      <c r="EE280" s="357"/>
      <c r="EF280" s="357"/>
      <c r="EG280" s="357"/>
      <c r="EH280" s="357"/>
      <c r="EI280" s="357"/>
      <c r="EJ280" s="357"/>
      <c r="EK280" s="357"/>
      <c r="EL280" s="357"/>
      <c r="EM280" s="357"/>
      <c r="EN280" s="357"/>
      <c r="EO280" s="357"/>
      <c r="EP280" s="357"/>
      <c r="EQ280" s="357"/>
      <c r="ER280" s="357"/>
      <c r="ES280" s="357"/>
      <c r="ET280" s="357"/>
      <c r="EU280" s="357"/>
      <c r="EV280" s="357"/>
      <c r="EW280" s="357"/>
      <c r="EX280" s="357"/>
      <c r="EY280" s="357"/>
      <c r="EZ280" s="357"/>
      <c r="FA280" s="357"/>
      <c r="FB280" s="357"/>
      <c r="FC280" s="357"/>
      <c r="FD280" s="357"/>
      <c r="FE280" s="357"/>
      <c r="FF280" s="357"/>
      <c r="FG280" s="357"/>
      <c r="FH280" s="357"/>
      <c r="FI280" s="357"/>
      <c r="FJ280" s="357"/>
      <c r="FK280" s="357"/>
      <c r="FL280" s="357"/>
      <c r="FM280" s="357"/>
      <c r="FN280" s="357"/>
      <c r="FO280" s="357"/>
      <c r="FP280" s="357"/>
      <c r="FQ280" s="357"/>
      <c r="FR280" s="357"/>
      <c r="FS280" s="357"/>
      <c r="FT280" s="357"/>
      <c r="FU280" s="357"/>
      <c r="FV280" s="357"/>
      <c r="FW280" s="357"/>
      <c r="FX280" s="357"/>
      <c r="FY280" s="357"/>
      <c r="FZ280" s="357"/>
      <c r="GA280" s="357"/>
      <c r="GB280" s="357"/>
      <c r="GC280" s="357"/>
      <c r="GD280" s="357"/>
      <c r="GE280" s="357"/>
      <c r="GF280" s="357"/>
      <c r="GG280" s="357"/>
      <c r="GH280" s="357"/>
      <c r="GI280" s="357"/>
      <c r="GJ280" s="357"/>
      <c r="GK280" s="154"/>
      <c r="GL280" s="154"/>
      <c r="GM280" s="154"/>
      <c r="GN280" s="154"/>
      <c r="GO280" s="154"/>
      <c r="GP280" s="154"/>
      <c r="GQ280" s="154"/>
      <c r="GR280" s="154"/>
      <c r="GS280" s="154"/>
      <c r="GT280" s="154"/>
      <c r="GU280" s="154"/>
      <c r="GV280" s="154"/>
      <c r="GW280" s="154"/>
      <c r="GX280" s="154"/>
    </row>
    <row r="281" spans="7:206">
      <c r="G281" s="154"/>
      <c r="H281" s="154"/>
      <c r="I281" s="154"/>
      <c r="J281" s="154"/>
      <c r="K281" s="154"/>
      <c r="L281" s="154"/>
      <c r="M281" s="154"/>
      <c r="N281" s="154"/>
      <c r="O281" s="154"/>
      <c r="P281" s="154"/>
      <c r="Q281" s="154"/>
      <c r="R281" s="154"/>
      <c r="S281" s="154"/>
      <c r="T281" s="154"/>
      <c r="U281" s="154"/>
      <c r="V281" s="154"/>
      <c r="W281" s="154"/>
      <c r="X281" s="154"/>
      <c r="Y281" s="154"/>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357"/>
      <c r="BB281" s="357"/>
      <c r="BC281" s="357"/>
      <c r="BD281" s="357"/>
      <c r="BE281" s="357"/>
      <c r="BF281" s="357"/>
      <c r="BG281" s="357"/>
      <c r="BH281" s="357"/>
      <c r="BI281" s="357"/>
      <c r="BJ281" s="357"/>
      <c r="BK281" s="357"/>
      <c r="BL281" s="357"/>
      <c r="BM281" s="357"/>
      <c r="BN281" s="357"/>
      <c r="BO281" s="357"/>
      <c r="BP281" s="357"/>
      <c r="BQ281" s="357"/>
      <c r="BR281" s="357"/>
      <c r="BS281" s="357"/>
      <c r="BT281" s="357"/>
      <c r="BU281" s="357"/>
      <c r="BV281" s="357"/>
      <c r="BW281" s="357"/>
      <c r="BX281" s="357"/>
      <c r="BY281" s="357"/>
      <c r="BZ281" s="357"/>
      <c r="CA281" s="357"/>
      <c r="CB281" s="357"/>
      <c r="CC281" s="357"/>
      <c r="CD281" s="357"/>
      <c r="CE281" s="357"/>
      <c r="CF281" s="357"/>
      <c r="CG281" s="357"/>
      <c r="CH281" s="357"/>
      <c r="CI281" s="357"/>
      <c r="CJ281" s="357"/>
      <c r="CK281" s="357"/>
      <c r="CL281" s="357"/>
      <c r="CM281" s="357"/>
      <c r="CN281" s="357"/>
      <c r="CO281" s="357"/>
      <c r="CP281" s="357"/>
      <c r="CQ281" s="357"/>
      <c r="CR281" s="357"/>
      <c r="CS281" s="357"/>
      <c r="CT281" s="357"/>
      <c r="CU281" s="357"/>
      <c r="CV281" s="357"/>
      <c r="CW281" s="357"/>
      <c r="CX281" s="357"/>
      <c r="CY281" s="357"/>
      <c r="CZ281" s="357"/>
      <c r="DA281" s="357"/>
      <c r="DB281" s="357"/>
      <c r="DC281" s="357"/>
      <c r="DD281" s="357"/>
      <c r="DE281" s="357"/>
      <c r="DF281" s="357"/>
      <c r="DG281" s="357"/>
      <c r="DH281" s="357"/>
      <c r="DI281" s="357"/>
      <c r="DJ281" s="357"/>
      <c r="DK281" s="357"/>
      <c r="DL281" s="357"/>
      <c r="DM281" s="357"/>
      <c r="DN281" s="357"/>
      <c r="DO281" s="357"/>
      <c r="DP281" s="357"/>
      <c r="DQ281" s="357"/>
      <c r="DR281" s="357"/>
      <c r="DS281" s="357"/>
      <c r="DT281" s="357"/>
      <c r="DU281" s="357"/>
      <c r="DV281" s="357"/>
      <c r="DW281" s="357"/>
      <c r="DX281" s="357"/>
      <c r="DY281" s="357"/>
      <c r="DZ281" s="357"/>
      <c r="EA281" s="357"/>
      <c r="EB281" s="357"/>
      <c r="EC281" s="357"/>
      <c r="ED281" s="357"/>
      <c r="EE281" s="357"/>
      <c r="EF281" s="357"/>
      <c r="EG281" s="357"/>
      <c r="EH281" s="357"/>
      <c r="EI281" s="357"/>
      <c r="EJ281" s="357"/>
      <c r="EK281" s="357"/>
      <c r="EL281" s="357"/>
      <c r="EM281" s="357"/>
      <c r="EN281" s="357"/>
      <c r="EO281" s="357"/>
      <c r="EP281" s="357"/>
      <c r="EQ281" s="357"/>
      <c r="ER281" s="357"/>
      <c r="ES281" s="357"/>
      <c r="ET281" s="357"/>
      <c r="EU281" s="357"/>
      <c r="EV281" s="357"/>
      <c r="EW281" s="357"/>
      <c r="EX281" s="357"/>
      <c r="EY281" s="357"/>
      <c r="EZ281" s="357"/>
      <c r="FA281" s="357"/>
      <c r="FB281" s="357"/>
      <c r="FC281" s="357"/>
      <c r="FD281" s="357"/>
      <c r="FE281" s="357"/>
      <c r="FF281" s="357"/>
      <c r="FG281" s="357"/>
      <c r="FH281" s="357"/>
      <c r="FI281" s="357"/>
      <c r="FJ281" s="357"/>
      <c r="FK281" s="357"/>
      <c r="FL281" s="357"/>
      <c r="FM281" s="357"/>
      <c r="FN281" s="357"/>
      <c r="FO281" s="357"/>
      <c r="FP281" s="357"/>
      <c r="FQ281" s="357"/>
      <c r="FR281" s="357"/>
      <c r="FS281" s="357"/>
      <c r="FT281" s="357"/>
      <c r="FU281" s="357"/>
      <c r="FV281" s="357"/>
      <c r="FW281" s="357"/>
      <c r="FX281" s="357"/>
      <c r="FY281" s="357"/>
      <c r="FZ281" s="357"/>
      <c r="GA281" s="357"/>
      <c r="GB281" s="357"/>
      <c r="GC281" s="357"/>
      <c r="GD281" s="357"/>
      <c r="GE281" s="357"/>
      <c r="GF281" s="357"/>
      <c r="GG281" s="357"/>
      <c r="GH281" s="357"/>
      <c r="GI281" s="357"/>
      <c r="GJ281" s="357"/>
      <c r="GK281" s="154"/>
      <c r="GL281" s="154"/>
      <c r="GM281" s="154"/>
      <c r="GN281" s="154"/>
      <c r="GO281" s="154"/>
      <c r="GP281" s="154"/>
      <c r="GQ281" s="154"/>
      <c r="GR281" s="154"/>
      <c r="GS281" s="154"/>
      <c r="GT281" s="154"/>
      <c r="GU281" s="154"/>
      <c r="GV281" s="154"/>
      <c r="GW281" s="154"/>
      <c r="GX281" s="154"/>
    </row>
    <row r="282" spans="7:206">
      <c r="G282" s="154"/>
      <c r="H282" s="154"/>
      <c r="I282" s="154"/>
      <c r="J282" s="154"/>
      <c r="K282" s="154"/>
      <c r="L282" s="154"/>
      <c r="M282" s="154"/>
      <c r="N282" s="154"/>
      <c r="O282" s="154"/>
      <c r="P282" s="154"/>
      <c r="Q282" s="154"/>
      <c r="R282" s="154"/>
      <c r="S282" s="154"/>
      <c r="T282" s="154"/>
      <c r="U282" s="154"/>
      <c r="V282" s="154"/>
      <c r="W282" s="154"/>
      <c r="X282" s="154"/>
      <c r="Y282" s="154"/>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357"/>
      <c r="BB282" s="357"/>
      <c r="BC282" s="357"/>
      <c r="BD282" s="357"/>
      <c r="BE282" s="357"/>
      <c r="BF282" s="357"/>
      <c r="BG282" s="357"/>
      <c r="BH282" s="357"/>
      <c r="BI282" s="357"/>
      <c r="BJ282" s="357"/>
      <c r="BK282" s="357"/>
      <c r="BL282" s="357"/>
      <c r="BM282" s="357"/>
      <c r="BN282" s="357"/>
      <c r="BO282" s="357"/>
      <c r="BP282" s="357"/>
      <c r="BQ282" s="357"/>
      <c r="BR282" s="357"/>
      <c r="BS282" s="357"/>
      <c r="BT282" s="357"/>
      <c r="BU282" s="357"/>
      <c r="BV282" s="357"/>
      <c r="BW282" s="357"/>
      <c r="BX282" s="357"/>
      <c r="BY282" s="357"/>
      <c r="BZ282" s="357"/>
      <c r="CA282" s="357"/>
      <c r="CB282" s="357"/>
      <c r="CC282" s="357"/>
      <c r="CD282" s="357"/>
      <c r="CE282" s="357"/>
      <c r="CF282" s="357"/>
      <c r="CG282" s="357"/>
      <c r="CH282" s="357"/>
      <c r="CI282" s="357"/>
      <c r="CJ282" s="357"/>
      <c r="CK282" s="357"/>
      <c r="CL282" s="357"/>
      <c r="CM282" s="357"/>
      <c r="CN282" s="357"/>
      <c r="CO282" s="357"/>
      <c r="CP282" s="357"/>
      <c r="CQ282" s="357"/>
      <c r="CR282" s="357"/>
      <c r="CS282" s="357"/>
      <c r="CT282" s="357"/>
      <c r="CU282" s="357"/>
      <c r="CV282" s="357"/>
      <c r="CW282" s="357"/>
      <c r="CX282" s="357"/>
      <c r="CY282" s="357"/>
      <c r="CZ282" s="357"/>
      <c r="DA282" s="357"/>
      <c r="DB282" s="357"/>
      <c r="DC282" s="357"/>
      <c r="DD282" s="357"/>
      <c r="DE282" s="357"/>
      <c r="DF282" s="357"/>
      <c r="DG282" s="357"/>
      <c r="DH282" s="357"/>
      <c r="DI282" s="357"/>
      <c r="DJ282" s="357"/>
      <c r="DK282" s="357"/>
      <c r="DL282" s="357"/>
      <c r="DM282" s="357"/>
      <c r="DN282" s="357"/>
      <c r="DO282" s="357"/>
      <c r="DP282" s="357"/>
      <c r="DQ282" s="357"/>
      <c r="DR282" s="357"/>
      <c r="DS282" s="357"/>
      <c r="DT282" s="357"/>
      <c r="DU282" s="357"/>
      <c r="DV282" s="357"/>
      <c r="DW282" s="357"/>
      <c r="DX282" s="357"/>
      <c r="DY282" s="357"/>
      <c r="DZ282" s="357"/>
      <c r="EA282" s="357"/>
      <c r="EB282" s="357"/>
      <c r="EC282" s="357"/>
      <c r="ED282" s="357"/>
      <c r="EE282" s="357"/>
      <c r="EF282" s="357"/>
      <c r="EG282" s="357"/>
      <c r="EH282" s="357"/>
      <c r="EI282" s="357"/>
      <c r="EJ282" s="357"/>
      <c r="EK282" s="357"/>
      <c r="EL282" s="357"/>
      <c r="EM282" s="357"/>
      <c r="EN282" s="357"/>
      <c r="EO282" s="357"/>
      <c r="EP282" s="357"/>
      <c r="EQ282" s="357"/>
      <c r="ER282" s="357"/>
      <c r="ES282" s="357"/>
      <c r="ET282" s="357"/>
      <c r="EU282" s="357"/>
      <c r="EV282" s="357"/>
      <c r="EW282" s="357"/>
      <c r="EX282" s="357"/>
      <c r="EY282" s="357"/>
      <c r="EZ282" s="357"/>
      <c r="FA282" s="357"/>
      <c r="FB282" s="357"/>
      <c r="FC282" s="357"/>
      <c r="FD282" s="357"/>
      <c r="FE282" s="357"/>
      <c r="FF282" s="357"/>
      <c r="FG282" s="357"/>
      <c r="FH282" s="357"/>
      <c r="FI282" s="357"/>
      <c r="FJ282" s="357"/>
      <c r="FK282" s="357"/>
      <c r="FL282" s="357"/>
      <c r="FM282" s="357"/>
      <c r="FN282" s="357"/>
      <c r="FO282" s="357"/>
      <c r="FP282" s="357"/>
      <c r="FQ282" s="357"/>
      <c r="FR282" s="357"/>
      <c r="FS282" s="357"/>
      <c r="FT282" s="357"/>
      <c r="FU282" s="357"/>
      <c r="FV282" s="357"/>
      <c r="FW282" s="357"/>
      <c r="FX282" s="357"/>
      <c r="FY282" s="357"/>
      <c r="FZ282" s="357"/>
      <c r="GA282" s="357"/>
      <c r="GB282" s="357"/>
      <c r="GC282" s="357"/>
      <c r="GD282" s="357"/>
      <c r="GE282" s="357"/>
      <c r="GF282" s="357"/>
      <c r="GG282" s="357"/>
      <c r="GH282" s="357"/>
      <c r="GI282" s="357"/>
      <c r="GJ282" s="357"/>
      <c r="GK282" s="154"/>
      <c r="GL282" s="154"/>
      <c r="GM282" s="154"/>
      <c r="GN282" s="154"/>
      <c r="GO282" s="154"/>
      <c r="GP282" s="154"/>
      <c r="GQ282" s="154"/>
      <c r="GR282" s="154"/>
      <c r="GS282" s="154"/>
      <c r="GT282" s="154"/>
      <c r="GU282" s="154"/>
      <c r="GV282" s="154"/>
      <c r="GW282" s="154"/>
      <c r="GX282" s="154"/>
    </row>
    <row r="283" spans="7:206">
      <c r="G283" s="154"/>
      <c r="H283" s="154"/>
      <c r="I283" s="154"/>
      <c r="J283" s="154"/>
      <c r="K283" s="154"/>
      <c r="L283" s="154"/>
      <c r="M283" s="154"/>
      <c r="N283" s="154"/>
      <c r="O283" s="154"/>
      <c r="P283" s="154"/>
      <c r="Q283" s="154"/>
      <c r="R283" s="154"/>
      <c r="S283" s="154"/>
      <c r="T283" s="154"/>
      <c r="U283" s="154"/>
      <c r="V283" s="154"/>
      <c r="W283" s="154"/>
      <c r="X283" s="154"/>
      <c r="Y283" s="154"/>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357"/>
      <c r="BB283" s="357"/>
      <c r="BC283" s="357"/>
      <c r="BD283" s="357"/>
      <c r="BE283" s="357"/>
      <c r="BF283" s="357"/>
      <c r="BG283" s="357"/>
      <c r="BH283" s="357"/>
      <c r="BI283" s="357"/>
      <c r="BJ283" s="357"/>
      <c r="BK283" s="357"/>
      <c r="BL283" s="357"/>
      <c r="BM283" s="357"/>
      <c r="BN283" s="357"/>
      <c r="BO283" s="357"/>
      <c r="BP283" s="357"/>
      <c r="BQ283" s="357"/>
      <c r="BR283" s="357"/>
      <c r="BS283" s="357"/>
      <c r="BT283" s="357"/>
      <c r="BU283" s="357"/>
      <c r="BV283" s="357"/>
      <c r="BW283" s="357"/>
      <c r="BX283" s="357"/>
      <c r="BY283" s="357"/>
      <c r="BZ283" s="357"/>
      <c r="CA283" s="357"/>
      <c r="CB283" s="357"/>
      <c r="CC283" s="357"/>
      <c r="CD283" s="357"/>
      <c r="CE283" s="357"/>
      <c r="CF283" s="357"/>
      <c r="CG283" s="357"/>
      <c r="CH283" s="357"/>
      <c r="CI283" s="357"/>
      <c r="CJ283" s="357"/>
      <c r="CK283" s="357"/>
      <c r="CL283" s="357"/>
      <c r="CM283" s="357"/>
      <c r="CN283" s="357"/>
      <c r="CO283" s="357"/>
      <c r="CP283" s="357"/>
      <c r="CQ283" s="357"/>
      <c r="CR283" s="357"/>
      <c r="CS283" s="357"/>
      <c r="CT283" s="357"/>
      <c r="CU283" s="357"/>
      <c r="CV283" s="357"/>
      <c r="CW283" s="357"/>
      <c r="CX283" s="357"/>
      <c r="CY283" s="357"/>
      <c r="CZ283" s="357"/>
      <c r="DA283" s="357"/>
      <c r="DB283" s="357"/>
      <c r="DC283" s="357"/>
      <c r="DD283" s="357"/>
      <c r="DE283" s="357"/>
      <c r="DF283" s="357"/>
      <c r="DG283" s="357"/>
      <c r="DH283" s="357"/>
      <c r="DI283" s="357"/>
      <c r="DJ283" s="357"/>
      <c r="DK283" s="357"/>
      <c r="DL283" s="357"/>
      <c r="DM283" s="357"/>
      <c r="DN283" s="357"/>
      <c r="DO283" s="357"/>
      <c r="DP283" s="357"/>
      <c r="DQ283" s="357"/>
      <c r="DR283" s="357"/>
      <c r="DS283" s="357"/>
      <c r="DT283" s="357"/>
      <c r="DU283" s="357"/>
      <c r="DV283" s="357"/>
      <c r="DW283" s="357"/>
      <c r="DX283" s="357"/>
      <c r="DY283" s="357"/>
      <c r="DZ283" s="357"/>
      <c r="EA283" s="357"/>
      <c r="EB283" s="357"/>
      <c r="EC283" s="357"/>
      <c r="ED283" s="357"/>
      <c r="EE283" s="357"/>
      <c r="EF283" s="357"/>
      <c r="EG283" s="357"/>
      <c r="EH283" s="357"/>
      <c r="EI283" s="357"/>
      <c r="EJ283" s="357"/>
      <c r="EK283" s="357"/>
      <c r="EL283" s="357"/>
      <c r="EM283" s="357"/>
      <c r="EN283" s="357"/>
      <c r="EO283" s="357"/>
      <c r="EP283" s="357"/>
      <c r="EQ283" s="357"/>
      <c r="ER283" s="357"/>
      <c r="ES283" s="357"/>
      <c r="ET283" s="357"/>
      <c r="EU283" s="357"/>
      <c r="EV283" s="357"/>
      <c r="EW283" s="357"/>
      <c r="EX283" s="357"/>
      <c r="EY283" s="357"/>
      <c r="EZ283" s="357"/>
      <c r="FA283" s="357"/>
      <c r="FB283" s="357"/>
      <c r="FC283" s="357"/>
      <c r="FD283" s="357"/>
      <c r="FE283" s="357"/>
      <c r="FF283" s="357"/>
      <c r="FG283" s="357"/>
      <c r="FH283" s="357"/>
      <c r="FI283" s="357"/>
      <c r="FJ283" s="357"/>
      <c r="FK283" s="357"/>
      <c r="FL283" s="357"/>
      <c r="FM283" s="357"/>
      <c r="FN283" s="357"/>
      <c r="FO283" s="357"/>
      <c r="FP283" s="357"/>
      <c r="FQ283" s="357"/>
      <c r="FR283" s="357"/>
      <c r="FS283" s="357"/>
      <c r="FT283" s="357"/>
      <c r="FU283" s="357"/>
      <c r="FV283" s="357"/>
      <c r="FW283" s="357"/>
      <c r="FX283" s="357"/>
      <c r="FY283" s="357"/>
      <c r="FZ283" s="357"/>
      <c r="GA283" s="357"/>
      <c r="GB283" s="357"/>
      <c r="GC283" s="357"/>
      <c r="GD283" s="357"/>
      <c r="GE283" s="357"/>
      <c r="GF283" s="357"/>
      <c r="GG283" s="357"/>
      <c r="GH283" s="357"/>
      <c r="GI283" s="357"/>
      <c r="GJ283" s="357"/>
      <c r="GK283" s="154"/>
      <c r="GL283" s="154"/>
      <c r="GM283" s="154"/>
      <c r="GN283" s="154"/>
      <c r="GO283" s="154"/>
      <c r="GP283" s="154"/>
      <c r="GQ283" s="154"/>
      <c r="GR283" s="154"/>
      <c r="GS283" s="154"/>
      <c r="GT283" s="154"/>
      <c r="GU283" s="154"/>
      <c r="GV283" s="154"/>
      <c r="GW283" s="154"/>
      <c r="GX283" s="154"/>
    </row>
    <row r="284" spans="7:206">
      <c r="G284" s="154"/>
      <c r="H284" s="154"/>
      <c r="I284" s="154"/>
      <c r="J284" s="154"/>
      <c r="K284" s="154"/>
      <c r="L284" s="154"/>
      <c r="M284" s="154"/>
      <c r="N284" s="154"/>
      <c r="O284" s="154"/>
      <c r="P284" s="154"/>
      <c r="Q284" s="154"/>
      <c r="R284" s="154"/>
      <c r="S284" s="154"/>
      <c r="T284" s="154"/>
      <c r="U284" s="154"/>
      <c r="V284" s="154"/>
      <c r="W284" s="154"/>
      <c r="X284" s="154"/>
      <c r="Y284" s="154"/>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357"/>
      <c r="BB284" s="357"/>
      <c r="BC284" s="357"/>
      <c r="BD284" s="357"/>
      <c r="BE284" s="357"/>
      <c r="BF284" s="357"/>
      <c r="BG284" s="357"/>
      <c r="BH284" s="357"/>
      <c r="BI284" s="357"/>
      <c r="BJ284" s="357"/>
      <c r="BK284" s="357"/>
      <c r="BL284" s="357"/>
      <c r="BM284" s="357"/>
      <c r="BN284" s="357"/>
      <c r="BO284" s="357"/>
      <c r="BP284" s="357"/>
      <c r="BQ284" s="357"/>
      <c r="BR284" s="357"/>
      <c r="BS284" s="357"/>
      <c r="BT284" s="357"/>
      <c r="BU284" s="357"/>
      <c r="BV284" s="357"/>
      <c r="BW284" s="357"/>
      <c r="BX284" s="357"/>
      <c r="BY284" s="357"/>
      <c r="BZ284" s="357"/>
      <c r="CA284" s="357"/>
      <c r="CB284" s="357"/>
      <c r="CC284" s="357"/>
      <c r="CD284" s="357"/>
      <c r="CE284" s="357"/>
      <c r="CF284" s="357"/>
      <c r="CG284" s="357"/>
      <c r="CH284" s="357"/>
      <c r="CI284" s="357"/>
      <c r="CJ284" s="357"/>
      <c r="CK284" s="357"/>
      <c r="CL284" s="357"/>
      <c r="CM284" s="357"/>
      <c r="CN284" s="357"/>
      <c r="CO284" s="357"/>
      <c r="CP284" s="357"/>
      <c r="CQ284" s="357"/>
      <c r="CR284" s="357"/>
      <c r="CS284" s="357"/>
      <c r="CT284" s="357"/>
      <c r="CU284" s="357"/>
      <c r="CV284" s="357"/>
      <c r="CW284" s="357"/>
      <c r="CX284" s="357"/>
      <c r="CY284" s="357"/>
      <c r="CZ284" s="357"/>
      <c r="DA284" s="357"/>
      <c r="DB284" s="357"/>
      <c r="DC284" s="357"/>
      <c r="DD284" s="357"/>
      <c r="DE284" s="357"/>
      <c r="DF284" s="357"/>
      <c r="DG284" s="357"/>
      <c r="DH284" s="357"/>
      <c r="DI284" s="357"/>
      <c r="DJ284" s="357"/>
      <c r="DK284" s="357"/>
      <c r="DL284" s="357"/>
      <c r="DM284" s="357"/>
      <c r="DN284" s="357"/>
      <c r="DO284" s="357"/>
      <c r="DP284" s="357"/>
      <c r="DQ284" s="357"/>
      <c r="DR284" s="357"/>
      <c r="DS284" s="357"/>
      <c r="DT284" s="357"/>
      <c r="DU284" s="357"/>
      <c r="DV284" s="357"/>
      <c r="DW284" s="357"/>
      <c r="DX284" s="357"/>
      <c r="DY284" s="357"/>
      <c r="DZ284" s="357"/>
      <c r="EA284" s="357"/>
      <c r="EB284" s="357"/>
      <c r="EC284" s="357"/>
      <c r="ED284" s="357"/>
      <c r="EE284" s="357"/>
      <c r="EF284" s="357"/>
      <c r="EG284" s="357"/>
      <c r="EH284" s="357"/>
      <c r="EI284" s="357"/>
      <c r="EJ284" s="357"/>
      <c r="EK284" s="357"/>
      <c r="EL284" s="357"/>
      <c r="EM284" s="357"/>
      <c r="EN284" s="357"/>
      <c r="EO284" s="357"/>
      <c r="EP284" s="357"/>
      <c r="EQ284" s="357"/>
      <c r="ER284" s="357"/>
      <c r="ES284" s="357"/>
      <c r="ET284" s="357"/>
      <c r="EU284" s="357"/>
      <c r="EV284" s="357"/>
      <c r="EW284" s="357"/>
      <c r="EX284" s="357"/>
      <c r="EY284" s="357"/>
      <c r="EZ284" s="357"/>
      <c r="FA284" s="357"/>
      <c r="FB284" s="357"/>
      <c r="FC284" s="357"/>
      <c r="FD284" s="357"/>
      <c r="FE284" s="357"/>
      <c r="FF284" s="357"/>
      <c r="FG284" s="357"/>
      <c r="FH284" s="357"/>
      <c r="FI284" s="357"/>
      <c r="FJ284" s="357"/>
      <c r="FK284" s="357"/>
      <c r="FL284" s="357"/>
      <c r="FM284" s="357"/>
      <c r="FN284" s="357"/>
      <c r="FO284" s="357"/>
      <c r="FP284" s="357"/>
      <c r="FQ284" s="357"/>
      <c r="FR284" s="357"/>
      <c r="FS284" s="357"/>
      <c r="FT284" s="357"/>
      <c r="FU284" s="357"/>
      <c r="FV284" s="357"/>
      <c r="FW284" s="357"/>
      <c r="FX284" s="357"/>
      <c r="FY284" s="357"/>
      <c r="FZ284" s="357"/>
      <c r="GA284" s="357"/>
      <c r="GB284" s="357"/>
      <c r="GC284" s="357"/>
      <c r="GD284" s="357"/>
      <c r="GE284" s="357"/>
      <c r="GF284" s="357"/>
      <c r="GG284" s="357"/>
      <c r="GH284" s="357"/>
      <c r="GI284" s="357"/>
      <c r="GJ284" s="357"/>
      <c r="GK284" s="154"/>
      <c r="GL284" s="154"/>
      <c r="GM284" s="154"/>
      <c r="GN284" s="154"/>
      <c r="GO284" s="154"/>
      <c r="GP284" s="154"/>
      <c r="GQ284" s="154"/>
      <c r="GR284" s="154"/>
      <c r="GS284" s="154"/>
      <c r="GT284" s="154"/>
      <c r="GU284" s="154"/>
      <c r="GV284" s="154"/>
      <c r="GW284" s="154"/>
      <c r="GX284" s="154"/>
    </row>
    <row r="285" spans="7:206">
      <c r="G285" s="154"/>
      <c r="H285" s="154"/>
      <c r="I285" s="154"/>
      <c r="J285" s="154"/>
      <c r="K285" s="154"/>
      <c r="L285" s="154"/>
      <c r="M285" s="154"/>
      <c r="N285" s="154"/>
      <c r="O285" s="154"/>
      <c r="P285" s="154"/>
      <c r="Q285" s="154"/>
      <c r="R285" s="154"/>
      <c r="S285" s="154"/>
      <c r="T285" s="154"/>
      <c r="U285" s="154"/>
      <c r="V285" s="154"/>
      <c r="W285" s="154"/>
      <c r="X285" s="154"/>
      <c r="Y285" s="154"/>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57"/>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7"/>
      <c r="BW285" s="357"/>
      <c r="BX285" s="357"/>
      <c r="BY285" s="357"/>
      <c r="BZ285" s="357"/>
      <c r="CA285" s="357"/>
      <c r="CB285" s="357"/>
      <c r="CC285" s="357"/>
      <c r="CD285" s="357"/>
      <c r="CE285" s="357"/>
      <c r="CF285" s="357"/>
      <c r="CG285" s="357"/>
      <c r="CH285" s="357"/>
      <c r="CI285" s="357"/>
      <c r="CJ285" s="357"/>
      <c r="CK285" s="357"/>
      <c r="CL285" s="357"/>
      <c r="CM285" s="357"/>
      <c r="CN285" s="357"/>
      <c r="CO285" s="357"/>
      <c r="CP285" s="357"/>
      <c r="CQ285" s="357"/>
      <c r="CR285" s="357"/>
      <c r="CS285" s="357"/>
      <c r="CT285" s="357"/>
      <c r="CU285" s="357"/>
      <c r="CV285" s="357"/>
      <c r="CW285" s="357"/>
      <c r="CX285" s="357"/>
      <c r="CY285" s="357"/>
      <c r="CZ285" s="357"/>
      <c r="DA285" s="357"/>
      <c r="DB285" s="357"/>
      <c r="DC285" s="357"/>
      <c r="DD285" s="357"/>
      <c r="DE285" s="357"/>
      <c r="DF285" s="357"/>
      <c r="DG285" s="357"/>
      <c r="DH285" s="357"/>
      <c r="DI285" s="357"/>
      <c r="DJ285" s="357"/>
      <c r="DK285" s="357"/>
      <c r="DL285" s="357"/>
      <c r="DM285" s="357"/>
      <c r="DN285" s="357"/>
      <c r="DO285" s="357"/>
      <c r="DP285" s="357"/>
      <c r="DQ285" s="357"/>
      <c r="DR285" s="357"/>
      <c r="DS285" s="357"/>
      <c r="DT285" s="357"/>
      <c r="DU285" s="357"/>
      <c r="DV285" s="357"/>
      <c r="DW285" s="357"/>
      <c r="DX285" s="357"/>
      <c r="DY285" s="357"/>
      <c r="DZ285" s="357"/>
      <c r="EA285" s="357"/>
      <c r="EB285" s="357"/>
      <c r="EC285" s="357"/>
      <c r="ED285" s="357"/>
      <c r="EE285" s="357"/>
      <c r="EF285" s="357"/>
      <c r="EG285" s="357"/>
      <c r="EH285" s="357"/>
      <c r="EI285" s="357"/>
      <c r="EJ285" s="357"/>
      <c r="EK285" s="357"/>
      <c r="EL285" s="357"/>
      <c r="EM285" s="357"/>
      <c r="EN285" s="357"/>
      <c r="EO285" s="357"/>
      <c r="EP285" s="357"/>
      <c r="EQ285" s="357"/>
      <c r="ER285" s="357"/>
      <c r="ES285" s="357"/>
      <c r="ET285" s="357"/>
      <c r="EU285" s="357"/>
      <c r="EV285" s="357"/>
      <c r="EW285" s="357"/>
      <c r="EX285" s="357"/>
      <c r="EY285" s="357"/>
      <c r="EZ285" s="357"/>
      <c r="FA285" s="357"/>
      <c r="FB285" s="357"/>
      <c r="FC285" s="357"/>
      <c r="FD285" s="357"/>
      <c r="FE285" s="357"/>
      <c r="FF285" s="357"/>
      <c r="FG285" s="357"/>
      <c r="FH285" s="357"/>
      <c r="FI285" s="357"/>
      <c r="FJ285" s="357"/>
      <c r="FK285" s="357"/>
      <c r="FL285" s="357"/>
      <c r="FM285" s="357"/>
      <c r="FN285" s="357"/>
      <c r="FO285" s="357"/>
      <c r="FP285" s="357"/>
      <c r="FQ285" s="357"/>
      <c r="FR285" s="357"/>
      <c r="FS285" s="357"/>
      <c r="FT285" s="357"/>
      <c r="FU285" s="357"/>
      <c r="FV285" s="357"/>
      <c r="FW285" s="357"/>
      <c r="FX285" s="357"/>
      <c r="FY285" s="357"/>
      <c r="FZ285" s="357"/>
      <c r="GA285" s="357"/>
      <c r="GB285" s="357"/>
      <c r="GC285" s="357"/>
      <c r="GD285" s="357"/>
      <c r="GE285" s="357"/>
      <c r="GF285" s="357"/>
      <c r="GG285" s="357"/>
      <c r="GH285" s="357"/>
      <c r="GI285" s="357"/>
      <c r="GJ285" s="357"/>
      <c r="GK285" s="154"/>
      <c r="GL285" s="154"/>
      <c r="GM285" s="154"/>
      <c r="GN285" s="154"/>
      <c r="GO285" s="154"/>
      <c r="GP285" s="154"/>
      <c r="GQ285" s="154"/>
      <c r="GR285" s="154"/>
      <c r="GS285" s="154"/>
      <c r="GT285" s="154"/>
      <c r="GU285" s="154"/>
      <c r="GV285" s="154"/>
      <c r="GW285" s="154"/>
      <c r="GX285" s="154"/>
    </row>
    <row r="286" spans="7:206">
      <c r="G286" s="154"/>
      <c r="H286" s="154"/>
      <c r="I286" s="154"/>
      <c r="J286" s="154"/>
      <c r="K286" s="154"/>
      <c r="L286" s="154"/>
      <c r="M286" s="154"/>
      <c r="N286" s="154"/>
      <c r="O286" s="154"/>
      <c r="P286" s="154"/>
      <c r="Q286" s="154"/>
      <c r="R286" s="154"/>
      <c r="S286" s="154"/>
      <c r="T286" s="154"/>
      <c r="U286" s="154"/>
      <c r="V286" s="154"/>
      <c r="W286" s="154"/>
      <c r="X286" s="154"/>
      <c r="Y286" s="154"/>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57"/>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7"/>
      <c r="BW286" s="357"/>
      <c r="BX286" s="357"/>
      <c r="BY286" s="357"/>
      <c r="BZ286" s="357"/>
      <c r="CA286" s="357"/>
      <c r="CB286" s="357"/>
      <c r="CC286" s="357"/>
      <c r="CD286" s="357"/>
      <c r="CE286" s="357"/>
      <c r="CF286" s="357"/>
      <c r="CG286" s="357"/>
      <c r="CH286" s="357"/>
      <c r="CI286" s="357"/>
      <c r="CJ286" s="357"/>
      <c r="CK286" s="357"/>
      <c r="CL286" s="357"/>
      <c r="CM286" s="357"/>
      <c r="CN286" s="357"/>
      <c r="CO286" s="357"/>
      <c r="CP286" s="357"/>
      <c r="CQ286" s="357"/>
      <c r="CR286" s="357"/>
      <c r="CS286" s="357"/>
      <c r="CT286" s="357"/>
      <c r="CU286" s="357"/>
      <c r="CV286" s="357"/>
      <c r="CW286" s="357"/>
      <c r="CX286" s="357"/>
      <c r="CY286" s="357"/>
      <c r="CZ286" s="357"/>
      <c r="DA286" s="357"/>
      <c r="DB286" s="357"/>
      <c r="DC286" s="357"/>
      <c r="DD286" s="357"/>
      <c r="DE286" s="357"/>
      <c r="DF286" s="357"/>
      <c r="DG286" s="357"/>
      <c r="DH286" s="357"/>
      <c r="DI286" s="357"/>
      <c r="DJ286" s="357"/>
      <c r="DK286" s="357"/>
      <c r="DL286" s="357"/>
      <c r="DM286" s="357"/>
      <c r="DN286" s="357"/>
      <c r="DO286" s="357"/>
      <c r="DP286" s="357"/>
      <c r="DQ286" s="357"/>
      <c r="DR286" s="357"/>
      <c r="DS286" s="357"/>
      <c r="DT286" s="357"/>
      <c r="DU286" s="357"/>
      <c r="DV286" s="357"/>
      <c r="DW286" s="357"/>
      <c r="DX286" s="357"/>
      <c r="DY286" s="357"/>
      <c r="DZ286" s="357"/>
      <c r="EA286" s="357"/>
      <c r="EB286" s="357"/>
      <c r="EC286" s="357"/>
      <c r="ED286" s="357"/>
      <c r="EE286" s="357"/>
      <c r="EF286" s="357"/>
      <c r="EG286" s="357"/>
      <c r="EH286" s="357"/>
      <c r="EI286" s="357"/>
      <c r="EJ286" s="357"/>
      <c r="EK286" s="357"/>
      <c r="EL286" s="357"/>
      <c r="EM286" s="357"/>
      <c r="EN286" s="357"/>
      <c r="EO286" s="357"/>
      <c r="EP286" s="357"/>
      <c r="EQ286" s="357"/>
      <c r="ER286" s="357"/>
      <c r="ES286" s="357"/>
      <c r="ET286" s="357"/>
      <c r="EU286" s="357"/>
      <c r="EV286" s="357"/>
      <c r="EW286" s="357"/>
      <c r="EX286" s="357"/>
      <c r="EY286" s="357"/>
      <c r="EZ286" s="357"/>
      <c r="FA286" s="357"/>
      <c r="FB286" s="357"/>
      <c r="FC286" s="357"/>
      <c r="FD286" s="357"/>
      <c r="FE286" s="357"/>
      <c r="FF286" s="357"/>
      <c r="FG286" s="357"/>
      <c r="FH286" s="357"/>
      <c r="FI286" s="357"/>
      <c r="FJ286" s="357"/>
      <c r="FK286" s="357"/>
      <c r="FL286" s="357"/>
      <c r="FM286" s="357"/>
      <c r="FN286" s="357"/>
      <c r="FO286" s="357"/>
      <c r="FP286" s="357"/>
      <c r="FQ286" s="357"/>
      <c r="FR286" s="357"/>
      <c r="FS286" s="357"/>
      <c r="FT286" s="357"/>
      <c r="FU286" s="357"/>
      <c r="FV286" s="357"/>
      <c r="FW286" s="357"/>
      <c r="FX286" s="357"/>
      <c r="FY286" s="357"/>
      <c r="FZ286" s="357"/>
      <c r="GA286" s="357"/>
      <c r="GB286" s="357"/>
      <c r="GC286" s="357"/>
      <c r="GD286" s="357"/>
      <c r="GE286" s="357"/>
      <c r="GF286" s="357"/>
      <c r="GG286" s="357"/>
      <c r="GH286" s="357"/>
      <c r="GI286" s="357"/>
      <c r="GJ286" s="357"/>
      <c r="GK286" s="154"/>
      <c r="GL286" s="154"/>
      <c r="GM286" s="154"/>
      <c r="GN286" s="154"/>
      <c r="GO286" s="154"/>
      <c r="GP286" s="154"/>
      <c r="GQ286" s="154"/>
      <c r="GR286" s="154"/>
      <c r="GS286" s="154"/>
      <c r="GT286" s="154"/>
      <c r="GU286" s="154"/>
      <c r="GV286" s="154"/>
      <c r="GW286" s="154"/>
      <c r="GX286" s="154"/>
    </row>
    <row r="287" spans="7:206">
      <c r="G287" s="154"/>
      <c r="H287" s="154"/>
      <c r="I287" s="154"/>
      <c r="J287" s="154"/>
      <c r="K287" s="154"/>
      <c r="L287" s="154"/>
      <c r="M287" s="154"/>
      <c r="N287" s="154"/>
      <c r="O287" s="154"/>
      <c r="P287" s="154"/>
      <c r="Q287" s="154"/>
      <c r="R287" s="154"/>
      <c r="S287" s="154"/>
      <c r="T287" s="154"/>
      <c r="U287" s="154"/>
      <c r="V287" s="154"/>
      <c r="W287" s="154"/>
      <c r="X287" s="154"/>
      <c r="Y287" s="154"/>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57"/>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7"/>
      <c r="BW287" s="357"/>
      <c r="BX287" s="357"/>
      <c r="BY287" s="357"/>
      <c r="BZ287" s="357"/>
      <c r="CA287" s="357"/>
      <c r="CB287" s="357"/>
      <c r="CC287" s="357"/>
      <c r="CD287" s="357"/>
      <c r="CE287" s="357"/>
      <c r="CF287" s="357"/>
      <c r="CG287" s="357"/>
      <c r="CH287" s="357"/>
      <c r="CI287" s="357"/>
      <c r="CJ287" s="357"/>
      <c r="CK287" s="357"/>
      <c r="CL287" s="357"/>
      <c r="CM287" s="357"/>
      <c r="CN287" s="357"/>
      <c r="CO287" s="357"/>
      <c r="CP287" s="357"/>
      <c r="CQ287" s="357"/>
      <c r="CR287" s="357"/>
      <c r="CS287" s="357"/>
      <c r="CT287" s="357"/>
      <c r="CU287" s="357"/>
      <c r="CV287" s="357"/>
      <c r="CW287" s="357"/>
      <c r="CX287" s="357"/>
      <c r="CY287" s="357"/>
      <c r="CZ287" s="357"/>
      <c r="DA287" s="357"/>
      <c r="DB287" s="357"/>
      <c r="DC287" s="357"/>
      <c r="DD287" s="357"/>
      <c r="DE287" s="357"/>
      <c r="DF287" s="357"/>
      <c r="DG287" s="357"/>
      <c r="DH287" s="357"/>
      <c r="DI287" s="357"/>
      <c r="DJ287" s="357"/>
      <c r="DK287" s="357"/>
      <c r="DL287" s="357"/>
      <c r="DM287" s="357"/>
      <c r="DN287" s="357"/>
      <c r="DO287" s="357"/>
      <c r="DP287" s="357"/>
      <c r="DQ287" s="357"/>
      <c r="DR287" s="357"/>
      <c r="DS287" s="357"/>
      <c r="DT287" s="357"/>
      <c r="DU287" s="357"/>
      <c r="DV287" s="357"/>
      <c r="DW287" s="357"/>
      <c r="DX287" s="357"/>
      <c r="DY287" s="357"/>
      <c r="DZ287" s="357"/>
      <c r="EA287" s="357"/>
      <c r="EB287" s="357"/>
      <c r="EC287" s="357"/>
      <c r="ED287" s="357"/>
      <c r="EE287" s="357"/>
      <c r="EF287" s="357"/>
      <c r="EG287" s="357"/>
      <c r="EH287" s="357"/>
      <c r="EI287" s="357"/>
      <c r="EJ287" s="357"/>
      <c r="EK287" s="357"/>
      <c r="EL287" s="357"/>
      <c r="EM287" s="357"/>
      <c r="EN287" s="357"/>
      <c r="EO287" s="357"/>
      <c r="EP287" s="357"/>
      <c r="EQ287" s="357"/>
      <c r="ER287" s="357"/>
      <c r="ES287" s="357"/>
      <c r="ET287" s="357"/>
      <c r="EU287" s="357"/>
      <c r="EV287" s="357"/>
      <c r="EW287" s="357"/>
      <c r="EX287" s="357"/>
      <c r="EY287" s="357"/>
      <c r="EZ287" s="357"/>
      <c r="FA287" s="357"/>
      <c r="FB287" s="357"/>
      <c r="FC287" s="357"/>
      <c r="FD287" s="357"/>
      <c r="FE287" s="357"/>
      <c r="FF287" s="357"/>
      <c r="FG287" s="357"/>
      <c r="FH287" s="357"/>
      <c r="FI287" s="357"/>
      <c r="FJ287" s="357"/>
      <c r="FK287" s="357"/>
      <c r="FL287" s="357"/>
      <c r="FM287" s="357"/>
      <c r="FN287" s="357"/>
      <c r="FO287" s="357"/>
      <c r="FP287" s="357"/>
      <c r="FQ287" s="357"/>
      <c r="FR287" s="357"/>
      <c r="FS287" s="357"/>
      <c r="FT287" s="357"/>
      <c r="FU287" s="357"/>
      <c r="FV287" s="357"/>
      <c r="FW287" s="357"/>
      <c r="FX287" s="357"/>
      <c r="FY287" s="357"/>
      <c r="FZ287" s="357"/>
      <c r="GA287" s="357"/>
      <c r="GB287" s="357"/>
      <c r="GC287" s="357"/>
      <c r="GD287" s="357"/>
      <c r="GE287" s="357"/>
      <c r="GF287" s="357"/>
      <c r="GG287" s="357"/>
      <c r="GH287" s="357"/>
      <c r="GI287" s="357"/>
      <c r="GJ287" s="357"/>
      <c r="GK287" s="154"/>
      <c r="GL287" s="154"/>
      <c r="GM287" s="154"/>
      <c r="GN287" s="154"/>
      <c r="GO287" s="154"/>
      <c r="GP287" s="154"/>
      <c r="GQ287" s="154"/>
      <c r="GR287" s="154"/>
      <c r="GS287" s="154"/>
      <c r="GT287" s="154"/>
      <c r="GU287" s="154"/>
      <c r="GV287" s="154"/>
      <c r="GW287" s="154"/>
      <c r="GX287" s="154"/>
    </row>
    <row r="288" spans="7:206">
      <c r="G288" s="154"/>
      <c r="H288" s="154"/>
      <c r="I288" s="154"/>
      <c r="J288" s="154"/>
      <c r="K288" s="154"/>
      <c r="L288" s="154"/>
      <c r="M288" s="154"/>
      <c r="N288" s="154"/>
      <c r="O288" s="154"/>
      <c r="P288" s="154"/>
      <c r="Q288" s="154"/>
      <c r="R288" s="154"/>
      <c r="S288" s="154"/>
      <c r="T288" s="154"/>
      <c r="U288" s="154"/>
      <c r="V288" s="154"/>
      <c r="W288" s="154"/>
      <c r="X288" s="154"/>
      <c r="Y288" s="154"/>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57"/>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7"/>
      <c r="BW288" s="357"/>
      <c r="BX288" s="357"/>
      <c r="BY288" s="357"/>
      <c r="BZ288" s="357"/>
      <c r="CA288" s="357"/>
      <c r="CB288" s="357"/>
      <c r="CC288" s="357"/>
      <c r="CD288" s="357"/>
      <c r="CE288" s="357"/>
      <c r="CF288" s="357"/>
      <c r="CG288" s="357"/>
      <c r="CH288" s="357"/>
      <c r="CI288" s="357"/>
      <c r="CJ288" s="357"/>
      <c r="CK288" s="357"/>
      <c r="CL288" s="357"/>
      <c r="CM288" s="357"/>
      <c r="CN288" s="357"/>
      <c r="CO288" s="357"/>
      <c r="CP288" s="357"/>
      <c r="CQ288" s="357"/>
      <c r="CR288" s="357"/>
      <c r="CS288" s="357"/>
      <c r="CT288" s="357"/>
      <c r="CU288" s="357"/>
      <c r="CV288" s="357"/>
      <c r="CW288" s="357"/>
      <c r="CX288" s="357"/>
      <c r="CY288" s="357"/>
      <c r="CZ288" s="357"/>
      <c r="DA288" s="357"/>
      <c r="DB288" s="357"/>
      <c r="DC288" s="357"/>
      <c r="DD288" s="357"/>
      <c r="DE288" s="357"/>
      <c r="DF288" s="357"/>
      <c r="DG288" s="357"/>
      <c r="DH288" s="357"/>
      <c r="DI288" s="357"/>
      <c r="DJ288" s="357"/>
      <c r="DK288" s="357"/>
      <c r="DL288" s="357"/>
      <c r="DM288" s="357"/>
      <c r="DN288" s="357"/>
      <c r="DO288" s="357"/>
      <c r="DP288" s="357"/>
      <c r="DQ288" s="357"/>
      <c r="DR288" s="357"/>
      <c r="DS288" s="357"/>
      <c r="DT288" s="357"/>
      <c r="DU288" s="357"/>
      <c r="DV288" s="357"/>
      <c r="DW288" s="357"/>
      <c r="DX288" s="357"/>
      <c r="DY288" s="357"/>
      <c r="DZ288" s="357"/>
      <c r="EA288" s="357"/>
      <c r="EB288" s="357"/>
      <c r="EC288" s="357"/>
      <c r="ED288" s="357"/>
      <c r="EE288" s="357"/>
      <c r="EF288" s="357"/>
      <c r="EG288" s="357"/>
      <c r="EH288" s="357"/>
      <c r="EI288" s="357"/>
      <c r="EJ288" s="357"/>
      <c r="EK288" s="357"/>
      <c r="EL288" s="357"/>
      <c r="EM288" s="357"/>
      <c r="EN288" s="357"/>
      <c r="EO288" s="357"/>
      <c r="EP288" s="357"/>
      <c r="EQ288" s="357"/>
      <c r="ER288" s="357"/>
      <c r="ES288" s="357"/>
      <c r="ET288" s="357"/>
      <c r="EU288" s="357"/>
      <c r="EV288" s="357"/>
      <c r="EW288" s="357"/>
      <c r="EX288" s="357"/>
      <c r="EY288" s="357"/>
      <c r="EZ288" s="357"/>
      <c r="FA288" s="357"/>
      <c r="FB288" s="357"/>
      <c r="FC288" s="357"/>
      <c r="FD288" s="357"/>
      <c r="FE288" s="357"/>
      <c r="FF288" s="357"/>
      <c r="FG288" s="357"/>
      <c r="FH288" s="357"/>
      <c r="FI288" s="357"/>
      <c r="FJ288" s="357"/>
      <c r="FK288" s="357"/>
      <c r="FL288" s="357"/>
      <c r="FM288" s="357"/>
      <c r="FN288" s="357"/>
      <c r="FO288" s="357"/>
      <c r="FP288" s="357"/>
      <c r="FQ288" s="357"/>
      <c r="FR288" s="357"/>
      <c r="FS288" s="357"/>
      <c r="FT288" s="357"/>
      <c r="FU288" s="357"/>
      <c r="FV288" s="357"/>
      <c r="FW288" s="357"/>
      <c r="FX288" s="357"/>
      <c r="FY288" s="357"/>
      <c r="FZ288" s="357"/>
      <c r="GA288" s="357"/>
      <c r="GB288" s="357"/>
      <c r="GC288" s="357"/>
      <c r="GD288" s="357"/>
      <c r="GE288" s="357"/>
      <c r="GF288" s="357"/>
      <c r="GG288" s="357"/>
      <c r="GH288" s="357"/>
      <c r="GI288" s="357"/>
      <c r="GJ288" s="357"/>
      <c r="GK288" s="154"/>
      <c r="GL288" s="154"/>
      <c r="GM288" s="154"/>
      <c r="GN288" s="154"/>
      <c r="GO288" s="154"/>
      <c r="GP288" s="154"/>
      <c r="GQ288" s="154"/>
      <c r="GR288" s="154"/>
      <c r="GS288" s="154"/>
      <c r="GT288" s="154"/>
      <c r="GU288" s="154"/>
      <c r="GV288" s="154"/>
      <c r="GW288" s="154"/>
      <c r="GX288" s="154"/>
    </row>
    <row r="289" spans="7:206">
      <c r="G289" s="154"/>
      <c r="H289" s="154"/>
      <c r="I289" s="154"/>
      <c r="J289" s="154"/>
      <c r="K289" s="154"/>
      <c r="L289" s="154"/>
      <c r="M289" s="154"/>
      <c r="N289" s="154"/>
      <c r="O289" s="154"/>
      <c r="P289" s="154"/>
      <c r="Q289" s="154"/>
      <c r="R289" s="154"/>
      <c r="S289" s="154"/>
      <c r="T289" s="154"/>
      <c r="U289" s="154"/>
      <c r="V289" s="154"/>
      <c r="W289" s="154"/>
      <c r="X289" s="154"/>
      <c r="Y289" s="154"/>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57"/>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7"/>
      <c r="BW289" s="357"/>
      <c r="BX289" s="357"/>
      <c r="BY289" s="357"/>
      <c r="BZ289" s="357"/>
      <c r="CA289" s="357"/>
      <c r="CB289" s="357"/>
      <c r="CC289" s="357"/>
      <c r="CD289" s="357"/>
      <c r="CE289" s="357"/>
      <c r="CF289" s="357"/>
      <c r="CG289" s="357"/>
      <c r="CH289" s="357"/>
      <c r="CI289" s="357"/>
      <c r="CJ289" s="357"/>
      <c r="CK289" s="357"/>
      <c r="CL289" s="357"/>
      <c r="CM289" s="357"/>
      <c r="CN289" s="357"/>
      <c r="CO289" s="357"/>
      <c r="CP289" s="357"/>
      <c r="CQ289" s="357"/>
      <c r="CR289" s="357"/>
      <c r="CS289" s="357"/>
      <c r="CT289" s="357"/>
      <c r="CU289" s="357"/>
      <c r="CV289" s="357"/>
      <c r="CW289" s="357"/>
      <c r="CX289" s="357"/>
      <c r="CY289" s="357"/>
      <c r="CZ289" s="357"/>
      <c r="DA289" s="357"/>
      <c r="DB289" s="357"/>
      <c r="DC289" s="357"/>
      <c r="DD289" s="357"/>
      <c r="DE289" s="357"/>
      <c r="DF289" s="357"/>
      <c r="DG289" s="357"/>
      <c r="DH289" s="357"/>
      <c r="DI289" s="357"/>
      <c r="DJ289" s="357"/>
      <c r="DK289" s="357"/>
      <c r="DL289" s="357"/>
      <c r="DM289" s="357"/>
      <c r="DN289" s="357"/>
      <c r="DO289" s="357"/>
      <c r="DP289" s="357"/>
      <c r="DQ289" s="357"/>
      <c r="DR289" s="357"/>
      <c r="DS289" s="357"/>
      <c r="DT289" s="357"/>
      <c r="DU289" s="357"/>
      <c r="DV289" s="357"/>
      <c r="DW289" s="357"/>
      <c r="DX289" s="357"/>
      <c r="DY289" s="357"/>
      <c r="DZ289" s="357"/>
      <c r="EA289" s="357"/>
      <c r="EB289" s="357"/>
      <c r="EC289" s="357"/>
      <c r="ED289" s="357"/>
      <c r="EE289" s="357"/>
      <c r="EF289" s="357"/>
      <c r="EG289" s="357"/>
      <c r="EH289" s="357"/>
      <c r="EI289" s="357"/>
      <c r="EJ289" s="357"/>
      <c r="EK289" s="357"/>
      <c r="EL289" s="357"/>
      <c r="EM289" s="357"/>
      <c r="EN289" s="357"/>
      <c r="EO289" s="357"/>
      <c r="EP289" s="357"/>
      <c r="EQ289" s="357"/>
      <c r="ER289" s="357"/>
      <c r="ES289" s="357"/>
      <c r="ET289" s="357"/>
      <c r="EU289" s="357"/>
      <c r="EV289" s="357"/>
      <c r="EW289" s="357"/>
      <c r="EX289" s="357"/>
      <c r="EY289" s="357"/>
      <c r="EZ289" s="357"/>
      <c r="FA289" s="357"/>
      <c r="FB289" s="357"/>
      <c r="FC289" s="357"/>
      <c r="FD289" s="357"/>
      <c r="FE289" s="357"/>
      <c r="FF289" s="357"/>
      <c r="FG289" s="357"/>
      <c r="FH289" s="357"/>
      <c r="FI289" s="357"/>
      <c r="FJ289" s="357"/>
      <c r="FK289" s="357"/>
      <c r="FL289" s="357"/>
      <c r="FM289" s="357"/>
      <c r="FN289" s="357"/>
      <c r="FO289" s="357"/>
      <c r="FP289" s="357"/>
      <c r="FQ289" s="357"/>
      <c r="FR289" s="357"/>
      <c r="FS289" s="357"/>
      <c r="FT289" s="357"/>
      <c r="FU289" s="357"/>
      <c r="FV289" s="357"/>
      <c r="FW289" s="357"/>
      <c r="FX289" s="357"/>
      <c r="FY289" s="357"/>
      <c r="FZ289" s="357"/>
      <c r="GA289" s="357"/>
      <c r="GB289" s="357"/>
      <c r="GC289" s="357"/>
      <c r="GD289" s="357"/>
      <c r="GE289" s="357"/>
      <c r="GF289" s="357"/>
      <c r="GG289" s="357"/>
      <c r="GH289" s="357"/>
      <c r="GI289" s="357"/>
      <c r="GJ289" s="357"/>
      <c r="GK289" s="154"/>
      <c r="GL289" s="154"/>
      <c r="GM289" s="154"/>
      <c r="GN289" s="154"/>
      <c r="GO289" s="154"/>
      <c r="GP289" s="154"/>
      <c r="GQ289" s="154"/>
      <c r="GR289" s="154"/>
      <c r="GS289" s="154"/>
      <c r="GT289" s="154"/>
      <c r="GU289" s="154"/>
      <c r="GV289" s="154"/>
      <c r="GW289" s="154"/>
      <c r="GX289" s="154"/>
    </row>
    <row r="290" spans="7:206">
      <c r="G290" s="154"/>
      <c r="H290" s="154"/>
      <c r="I290" s="154"/>
      <c r="J290" s="154"/>
      <c r="K290" s="154"/>
      <c r="L290" s="154"/>
      <c r="M290" s="154"/>
      <c r="N290" s="154"/>
      <c r="O290" s="154"/>
      <c r="P290" s="154"/>
      <c r="Q290" s="154"/>
      <c r="R290" s="154"/>
      <c r="S290" s="154"/>
      <c r="T290" s="154"/>
      <c r="U290" s="154"/>
      <c r="V290" s="154"/>
      <c r="W290" s="154"/>
      <c r="X290" s="154"/>
      <c r="Y290" s="154"/>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57"/>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7"/>
      <c r="BW290" s="357"/>
      <c r="BX290" s="357"/>
      <c r="BY290" s="357"/>
      <c r="BZ290" s="357"/>
      <c r="CA290" s="357"/>
      <c r="CB290" s="357"/>
      <c r="CC290" s="357"/>
      <c r="CD290" s="357"/>
      <c r="CE290" s="357"/>
      <c r="CF290" s="357"/>
      <c r="CG290" s="357"/>
      <c r="CH290" s="357"/>
      <c r="CI290" s="357"/>
      <c r="CJ290" s="357"/>
      <c r="CK290" s="357"/>
      <c r="CL290" s="357"/>
      <c r="CM290" s="357"/>
      <c r="CN290" s="357"/>
      <c r="CO290" s="357"/>
      <c r="CP290" s="357"/>
      <c r="CQ290" s="357"/>
      <c r="CR290" s="357"/>
      <c r="CS290" s="357"/>
      <c r="CT290" s="357"/>
      <c r="CU290" s="357"/>
      <c r="CV290" s="357"/>
      <c r="CW290" s="357"/>
      <c r="CX290" s="357"/>
      <c r="CY290" s="357"/>
      <c r="CZ290" s="357"/>
      <c r="DA290" s="357"/>
      <c r="DB290" s="357"/>
      <c r="DC290" s="357"/>
      <c r="DD290" s="357"/>
      <c r="DE290" s="357"/>
      <c r="DF290" s="357"/>
      <c r="DG290" s="357"/>
      <c r="DH290" s="357"/>
      <c r="DI290" s="357"/>
      <c r="DJ290" s="357"/>
      <c r="DK290" s="357"/>
      <c r="DL290" s="357"/>
      <c r="DM290" s="357"/>
      <c r="DN290" s="357"/>
      <c r="DO290" s="357"/>
      <c r="DP290" s="357"/>
      <c r="DQ290" s="357"/>
      <c r="DR290" s="357"/>
      <c r="DS290" s="357"/>
      <c r="DT290" s="357"/>
      <c r="DU290" s="357"/>
      <c r="DV290" s="357"/>
      <c r="DW290" s="357"/>
      <c r="DX290" s="357"/>
      <c r="DY290" s="357"/>
      <c r="DZ290" s="357"/>
      <c r="EA290" s="357"/>
      <c r="EB290" s="357"/>
      <c r="EC290" s="357"/>
      <c r="ED290" s="357"/>
      <c r="EE290" s="357"/>
      <c r="EF290" s="357"/>
      <c r="EG290" s="357"/>
      <c r="EH290" s="357"/>
      <c r="EI290" s="357"/>
      <c r="EJ290" s="357"/>
      <c r="EK290" s="357"/>
      <c r="EL290" s="357"/>
      <c r="EM290" s="357"/>
      <c r="EN290" s="357"/>
      <c r="EO290" s="357"/>
      <c r="EP290" s="357"/>
      <c r="EQ290" s="357"/>
      <c r="ER290" s="357"/>
      <c r="ES290" s="357"/>
      <c r="ET290" s="357"/>
      <c r="EU290" s="357"/>
      <c r="EV290" s="357"/>
      <c r="EW290" s="357"/>
      <c r="EX290" s="357"/>
      <c r="EY290" s="357"/>
      <c r="EZ290" s="357"/>
      <c r="FA290" s="357"/>
      <c r="FB290" s="357"/>
      <c r="FC290" s="357"/>
      <c r="FD290" s="357"/>
      <c r="FE290" s="357"/>
      <c r="FF290" s="357"/>
      <c r="FG290" s="357"/>
      <c r="FH290" s="357"/>
      <c r="FI290" s="357"/>
      <c r="FJ290" s="357"/>
      <c r="FK290" s="357"/>
      <c r="FL290" s="357"/>
      <c r="FM290" s="357"/>
      <c r="FN290" s="357"/>
      <c r="FO290" s="357"/>
      <c r="FP290" s="357"/>
      <c r="FQ290" s="357"/>
      <c r="FR290" s="357"/>
      <c r="FS290" s="357"/>
      <c r="FT290" s="357"/>
      <c r="FU290" s="357"/>
      <c r="FV290" s="357"/>
      <c r="FW290" s="357"/>
      <c r="FX290" s="357"/>
      <c r="FY290" s="357"/>
      <c r="FZ290" s="357"/>
      <c r="GA290" s="357"/>
      <c r="GB290" s="357"/>
      <c r="GC290" s="357"/>
      <c r="GD290" s="357"/>
      <c r="GE290" s="357"/>
      <c r="GF290" s="357"/>
      <c r="GG290" s="357"/>
      <c r="GH290" s="357"/>
      <c r="GI290" s="357"/>
      <c r="GJ290" s="357"/>
      <c r="GK290" s="154"/>
      <c r="GL290" s="154"/>
      <c r="GM290" s="154"/>
      <c r="GN290" s="154"/>
      <c r="GO290" s="154"/>
      <c r="GP290" s="154"/>
      <c r="GQ290" s="154"/>
      <c r="GR290" s="154"/>
      <c r="GS290" s="154"/>
      <c r="GT290" s="154"/>
      <c r="GU290" s="154"/>
      <c r="GV290" s="154"/>
      <c r="GW290" s="154"/>
      <c r="GX290" s="154"/>
    </row>
    <row r="291" spans="7:206">
      <c r="G291" s="154"/>
      <c r="H291" s="154"/>
      <c r="I291" s="154"/>
      <c r="J291" s="154"/>
      <c r="K291" s="154"/>
      <c r="L291" s="154"/>
      <c r="M291" s="154"/>
      <c r="N291" s="154"/>
      <c r="O291" s="154"/>
      <c r="P291" s="154"/>
      <c r="Q291" s="154"/>
      <c r="R291" s="154"/>
      <c r="S291" s="154"/>
      <c r="T291" s="154"/>
      <c r="U291" s="154"/>
      <c r="V291" s="154"/>
      <c r="W291" s="154"/>
      <c r="X291" s="154"/>
      <c r="Y291" s="154"/>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7"/>
      <c r="BY291" s="357"/>
      <c r="BZ291" s="357"/>
      <c r="CA291" s="357"/>
      <c r="CB291" s="357"/>
      <c r="CC291" s="357"/>
      <c r="CD291" s="357"/>
      <c r="CE291" s="357"/>
      <c r="CF291" s="357"/>
      <c r="CG291" s="357"/>
      <c r="CH291" s="357"/>
      <c r="CI291" s="357"/>
      <c r="CJ291" s="357"/>
      <c r="CK291" s="357"/>
      <c r="CL291" s="357"/>
      <c r="CM291" s="357"/>
      <c r="CN291" s="357"/>
      <c r="CO291" s="357"/>
      <c r="CP291" s="357"/>
      <c r="CQ291" s="357"/>
      <c r="CR291" s="357"/>
      <c r="CS291" s="357"/>
      <c r="CT291" s="357"/>
      <c r="CU291" s="357"/>
      <c r="CV291" s="357"/>
      <c r="CW291" s="357"/>
      <c r="CX291" s="357"/>
      <c r="CY291" s="357"/>
      <c r="CZ291" s="357"/>
      <c r="DA291" s="357"/>
      <c r="DB291" s="357"/>
      <c r="DC291" s="357"/>
      <c r="DD291" s="357"/>
      <c r="DE291" s="357"/>
      <c r="DF291" s="357"/>
      <c r="DG291" s="357"/>
      <c r="DH291" s="357"/>
      <c r="DI291" s="357"/>
      <c r="DJ291" s="357"/>
      <c r="DK291" s="357"/>
      <c r="DL291" s="357"/>
      <c r="DM291" s="357"/>
      <c r="DN291" s="357"/>
      <c r="DO291" s="357"/>
      <c r="DP291" s="357"/>
      <c r="DQ291" s="357"/>
      <c r="DR291" s="357"/>
      <c r="DS291" s="357"/>
      <c r="DT291" s="357"/>
      <c r="DU291" s="357"/>
      <c r="DV291" s="357"/>
      <c r="DW291" s="357"/>
      <c r="DX291" s="357"/>
      <c r="DY291" s="357"/>
      <c r="DZ291" s="357"/>
      <c r="EA291" s="357"/>
      <c r="EB291" s="357"/>
      <c r="EC291" s="357"/>
      <c r="ED291" s="357"/>
      <c r="EE291" s="357"/>
      <c r="EF291" s="357"/>
      <c r="EG291" s="357"/>
      <c r="EH291" s="357"/>
      <c r="EI291" s="357"/>
      <c r="EJ291" s="357"/>
      <c r="EK291" s="357"/>
      <c r="EL291" s="357"/>
      <c r="EM291" s="357"/>
      <c r="EN291" s="357"/>
      <c r="EO291" s="357"/>
      <c r="EP291" s="357"/>
      <c r="EQ291" s="357"/>
      <c r="ER291" s="357"/>
      <c r="ES291" s="357"/>
      <c r="ET291" s="357"/>
      <c r="EU291" s="357"/>
      <c r="EV291" s="357"/>
      <c r="EW291" s="357"/>
      <c r="EX291" s="357"/>
      <c r="EY291" s="357"/>
      <c r="EZ291" s="357"/>
      <c r="FA291" s="357"/>
      <c r="FB291" s="357"/>
      <c r="FC291" s="357"/>
      <c r="FD291" s="357"/>
      <c r="FE291" s="357"/>
      <c r="FF291" s="357"/>
      <c r="FG291" s="357"/>
      <c r="FH291" s="357"/>
      <c r="FI291" s="357"/>
      <c r="FJ291" s="357"/>
      <c r="FK291" s="357"/>
      <c r="FL291" s="357"/>
      <c r="FM291" s="357"/>
      <c r="FN291" s="357"/>
      <c r="FO291" s="357"/>
      <c r="FP291" s="357"/>
      <c r="FQ291" s="357"/>
      <c r="FR291" s="357"/>
      <c r="FS291" s="357"/>
      <c r="FT291" s="357"/>
      <c r="FU291" s="357"/>
      <c r="FV291" s="357"/>
      <c r="FW291" s="357"/>
      <c r="FX291" s="357"/>
      <c r="FY291" s="357"/>
      <c r="FZ291" s="357"/>
      <c r="GA291" s="357"/>
      <c r="GB291" s="357"/>
      <c r="GC291" s="357"/>
      <c r="GD291" s="357"/>
      <c r="GE291" s="357"/>
      <c r="GF291" s="357"/>
      <c r="GG291" s="357"/>
      <c r="GH291" s="357"/>
      <c r="GI291" s="357"/>
      <c r="GJ291" s="357"/>
      <c r="GK291" s="154"/>
      <c r="GL291" s="154"/>
      <c r="GM291" s="154"/>
      <c r="GN291" s="154"/>
      <c r="GO291" s="154"/>
      <c r="GP291" s="154"/>
      <c r="GQ291" s="154"/>
      <c r="GR291" s="154"/>
      <c r="GS291" s="154"/>
      <c r="GT291" s="154"/>
      <c r="GU291" s="154"/>
      <c r="GV291" s="154"/>
      <c r="GW291" s="154"/>
      <c r="GX291" s="154"/>
    </row>
    <row r="292" spans="7:206">
      <c r="G292" s="154"/>
      <c r="H292" s="154"/>
      <c r="I292" s="154"/>
      <c r="J292" s="154"/>
      <c r="K292" s="154"/>
      <c r="L292" s="154"/>
      <c r="M292" s="154"/>
      <c r="N292" s="154"/>
      <c r="O292" s="154"/>
      <c r="P292" s="154"/>
      <c r="Q292" s="154"/>
      <c r="R292" s="154"/>
      <c r="S292" s="154"/>
      <c r="T292" s="154"/>
      <c r="U292" s="154"/>
      <c r="V292" s="154"/>
      <c r="W292" s="154"/>
      <c r="X292" s="154"/>
      <c r="Y292" s="154"/>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57"/>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7"/>
      <c r="BW292" s="357"/>
      <c r="BX292" s="357"/>
      <c r="BY292" s="357"/>
      <c r="BZ292" s="357"/>
      <c r="CA292" s="357"/>
      <c r="CB292" s="357"/>
      <c r="CC292" s="357"/>
      <c r="CD292" s="357"/>
      <c r="CE292" s="357"/>
      <c r="CF292" s="357"/>
      <c r="CG292" s="357"/>
      <c r="CH292" s="357"/>
      <c r="CI292" s="357"/>
      <c r="CJ292" s="357"/>
      <c r="CK292" s="357"/>
      <c r="CL292" s="357"/>
      <c r="CM292" s="357"/>
      <c r="CN292" s="357"/>
      <c r="CO292" s="357"/>
      <c r="CP292" s="357"/>
      <c r="CQ292" s="357"/>
      <c r="CR292" s="357"/>
      <c r="CS292" s="357"/>
      <c r="CT292" s="357"/>
      <c r="CU292" s="357"/>
      <c r="CV292" s="357"/>
      <c r="CW292" s="357"/>
      <c r="CX292" s="357"/>
      <c r="CY292" s="357"/>
      <c r="CZ292" s="357"/>
      <c r="DA292" s="357"/>
      <c r="DB292" s="357"/>
      <c r="DC292" s="357"/>
      <c r="DD292" s="357"/>
      <c r="DE292" s="357"/>
      <c r="DF292" s="357"/>
      <c r="DG292" s="357"/>
      <c r="DH292" s="357"/>
      <c r="DI292" s="357"/>
      <c r="DJ292" s="357"/>
      <c r="DK292" s="357"/>
      <c r="DL292" s="357"/>
      <c r="DM292" s="357"/>
      <c r="DN292" s="357"/>
      <c r="DO292" s="357"/>
      <c r="DP292" s="357"/>
      <c r="DQ292" s="357"/>
      <c r="DR292" s="357"/>
      <c r="DS292" s="357"/>
      <c r="DT292" s="357"/>
      <c r="DU292" s="357"/>
      <c r="DV292" s="357"/>
      <c r="DW292" s="357"/>
      <c r="DX292" s="357"/>
      <c r="DY292" s="357"/>
      <c r="DZ292" s="357"/>
      <c r="EA292" s="357"/>
      <c r="EB292" s="357"/>
      <c r="EC292" s="357"/>
      <c r="ED292" s="357"/>
      <c r="EE292" s="357"/>
      <c r="EF292" s="357"/>
      <c r="EG292" s="357"/>
      <c r="EH292" s="357"/>
      <c r="EI292" s="357"/>
      <c r="EJ292" s="357"/>
      <c r="EK292" s="357"/>
      <c r="EL292" s="357"/>
      <c r="EM292" s="357"/>
      <c r="EN292" s="357"/>
      <c r="EO292" s="357"/>
      <c r="EP292" s="357"/>
      <c r="EQ292" s="357"/>
      <c r="ER292" s="357"/>
      <c r="ES292" s="357"/>
      <c r="ET292" s="357"/>
      <c r="EU292" s="357"/>
      <c r="EV292" s="357"/>
      <c r="EW292" s="357"/>
      <c r="EX292" s="357"/>
      <c r="EY292" s="357"/>
      <c r="EZ292" s="357"/>
      <c r="FA292" s="357"/>
      <c r="FB292" s="357"/>
      <c r="FC292" s="357"/>
      <c r="FD292" s="357"/>
      <c r="FE292" s="357"/>
      <c r="FF292" s="357"/>
      <c r="FG292" s="357"/>
      <c r="FH292" s="357"/>
      <c r="FI292" s="357"/>
      <c r="FJ292" s="357"/>
      <c r="FK292" s="357"/>
      <c r="FL292" s="357"/>
      <c r="FM292" s="357"/>
      <c r="FN292" s="357"/>
      <c r="FO292" s="357"/>
      <c r="FP292" s="357"/>
      <c r="FQ292" s="357"/>
      <c r="FR292" s="357"/>
      <c r="FS292" s="357"/>
      <c r="FT292" s="357"/>
      <c r="FU292" s="357"/>
      <c r="FV292" s="357"/>
      <c r="FW292" s="357"/>
      <c r="FX292" s="357"/>
      <c r="FY292" s="357"/>
      <c r="FZ292" s="357"/>
      <c r="GA292" s="357"/>
      <c r="GB292" s="357"/>
      <c r="GC292" s="357"/>
      <c r="GD292" s="357"/>
      <c r="GE292" s="357"/>
      <c r="GF292" s="357"/>
      <c r="GG292" s="357"/>
      <c r="GH292" s="357"/>
      <c r="GI292" s="357"/>
      <c r="GJ292" s="357"/>
      <c r="GK292" s="154"/>
      <c r="GL292" s="154"/>
      <c r="GM292" s="154"/>
      <c r="GN292" s="154"/>
      <c r="GO292" s="154"/>
      <c r="GP292" s="154"/>
      <c r="GQ292" s="154"/>
      <c r="GR292" s="154"/>
      <c r="GS292" s="154"/>
      <c r="GT292" s="154"/>
      <c r="GU292" s="154"/>
      <c r="GV292" s="154"/>
      <c r="GW292" s="154"/>
      <c r="GX292" s="154"/>
    </row>
    <row r="293" spans="7:206">
      <c r="G293" s="154"/>
      <c r="H293" s="154"/>
      <c r="I293" s="154"/>
      <c r="J293" s="154"/>
      <c r="K293" s="154"/>
      <c r="L293" s="154"/>
      <c r="M293" s="154"/>
      <c r="N293" s="154"/>
      <c r="O293" s="154"/>
      <c r="P293" s="154"/>
      <c r="Q293" s="154"/>
      <c r="R293" s="154"/>
      <c r="S293" s="154"/>
      <c r="T293" s="154"/>
      <c r="U293" s="154"/>
      <c r="V293" s="154"/>
      <c r="W293" s="154"/>
      <c r="X293" s="154"/>
      <c r="Y293" s="154"/>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57"/>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7"/>
      <c r="BW293" s="357"/>
      <c r="BX293" s="357"/>
      <c r="BY293" s="357"/>
      <c r="BZ293" s="357"/>
      <c r="CA293" s="357"/>
      <c r="CB293" s="357"/>
      <c r="CC293" s="357"/>
      <c r="CD293" s="357"/>
      <c r="CE293" s="357"/>
      <c r="CF293" s="357"/>
      <c r="CG293" s="357"/>
      <c r="CH293" s="357"/>
      <c r="CI293" s="357"/>
      <c r="CJ293" s="357"/>
      <c r="CK293" s="357"/>
      <c r="CL293" s="357"/>
      <c r="CM293" s="357"/>
      <c r="CN293" s="357"/>
      <c r="CO293" s="357"/>
      <c r="CP293" s="357"/>
      <c r="CQ293" s="357"/>
      <c r="CR293" s="357"/>
      <c r="CS293" s="357"/>
      <c r="CT293" s="357"/>
      <c r="CU293" s="357"/>
      <c r="CV293" s="357"/>
      <c r="CW293" s="357"/>
      <c r="CX293" s="357"/>
      <c r="CY293" s="357"/>
      <c r="CZ293" s="357"/>
      <c r="DA293" s="357"/>
      <c r="DB293" s="357"/>
      <c r="DC293" s="357"/>
      <c r="DD293" s="357"/>
      <c r="DE293" s="357"/>
      <c r="DF293" s="357"/>
      <c r="DG293" s="357"/>
      <c r="DH293" s="357"/>
      <c r="DI293" s="357"/>
      <c r="DJ293" s="357"/>
      <c r="DK293" s="357"/>
      <c r="DL293" s="357"/>
      <c r="DM293" s="357"/>
      <c r="DN293" s="357"/>
      <c r="DO293" s="357"/>
      <c r="DP293" s="357"/>
      <c r="DQ293" s="357"/>
      <c r="DR293" s="357"/>
      <c r="DS293" s="357"/>
      <c r="DT293" s="357"/>
      <c r="DU293" s="357"/>
      <c r="DV293" s="357"/>
      <c r="DW293" s="357"/>
      <c r="DX293" s="357"/>
      <c r="DY293" s="357"/>
      <c r="DZ293" s="357"/>
      <c r="EA293" s="357"/>
      <c r="EB293" s="357"/>
      <c r="EC293" s="357"/>
      <c r="ED293" s="357"/>
      <c r="EE293" s="357"/>
      <c r="EF293" s="357"/>
      <c r="EG293" s="357"/>
      <c r="EH293" s="357"/>
      <c r="EI293" s="357"/>
      <c r="EJ293" s="357"/>
      <c r="EK293" s="357"/>
      <c r="EL293" s="357"/>
      <c r="EM293" s="357"/>
      <c r="EN293" s="357"/>
      <c r="EO293" s="357"/>
      <c r="EP293" s="357"/>
      <c r="EQ293" s="357"/>
      <c r="ER293" s="357"/>
      <c r="ES293" s="357"/>
      <c r="ET293" s="357"/>
      <c r="EU293" s="357"/>
      <c r="EV293" s="357"/>
      <c r="EW293" s="357"/>
      <c r="EX293" s="357"/>
      <c r="EY293" s="357"/>
      <c r="EZ293" s="357"/>
      <c r="FA293" s="357"/>
      <c r="FB293" s="357"/>
      <c r="FC293" s="357"/>
      <c r="FD293" s="357"/>
      <c r="FE293" s="357"/>
      <c r="FF293" s="357"/>
      <c r="FG293" s="357"/>
      <c r="FH293" s="357"/>
      <c r="FI293" s="357"/>
      <c r="FJ293" s="357"/>
      <c r="FK293" s="357"/>
      <c r="FL293" s="357"/>
      <c r="FM293" s="357"/>
      <c r="FN293" s="357"/>
      <c r="FO293" s="357"/>
      <c r="FP293" s="357"/>
      <c r="FQ293" s="357"/>
      <c r="FR293" s="357"/>
      <c r="FS293" s="357"/>
      <c r="FT293" s="357"/>
      <c r="FU293" s="357"/>
      <c r="FV293" s="357"/>
      <c r="FW293" s="357"/>
      <c r="FX293" s="357"/>
      <c r="FY293" s="357"/>
      <c r="FZ293" s="357"/>
      <c r="GA293" s="357"/>
      <c r="GB293" s="357"/>
      <c r="GC293" s="357"/>
      <c r="GD293" s="357"/>
      <c r="GE293" s="357"/>
      <c r="GF293" s="357"/>
      <c r="GG293" s="357"/>
      <c r="GH293" s="357"/>
      <c r="GI293" s="357"/>
      <c r="GJ293" s="357"/>
      <c r="GK293" s="154"/>
      <c r="GL293" s="154"/>
      <c r="GM293" s="154"/>
      <c r="GN293" s="154"/>
      <c r="GO293" s="154"/>
      <c r="GP293" s="154"/>
      <c r="GQ293" s="154"/>
      <c r="GR293" s="154"/>
      <c r="GS293" s="154"/>
      <c r="GT293" s="154"/>
      <c r="GU293" s="154"/>
      <c r="GV293" s="154"/>
      <c r="GW293" s="154"/>
      <c r="GX293" s="154"/>
    </row>
    <row r="294" spans="7:206">
      <c r="G294" s="154"/>
      <c r="H294" s="154"/>
      <c r="I294" s="154"/>
      <c r="J294" s="154"/>
      <c r="K294" s="154"/>
      <c r="L294" s="154"/>
      <c r="M294" s="154"/>
      <c r="N294" s="154"/>
      <c r="O294" s="154"/>
      <c r="P294" s="154"/>
      <c r="Q294" s="154"/>
      <c r="R294" s="154"/>
      <c r="S294" s="154"/>
      <c r="T294" s="154"/>
      <c r="U294" s="154"/>
      <c r="V294" s="154"/>
      <c r="W294" s="154"/>
      <c r="X294" s="154"/>
      <c r="Y294" s="154"/>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57"/>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7"/>
      <c r="BW294" s="357"/>
      <c r="BX294" s="357"/>
      <c r="BY294" s="357"/>
      <c r="BZ294" s="357"/>
      <c r="CA294" s="357"/>
      <c r="CB294" s="357"/>
      <c r="CC294" s="357"/>
      <c r="CD294" s="357"/>
      <c r="CE294" s="357"/>
      <c r="CF294" s="357"/>
      <c r="CG294" s="357"/>
      <c r="CH294" s="357"/>
      <c r="CI294" s="357"/>
      <c r="CJ294" s="357"/>
      <c r="CK294" s="357"/>
      <c r="CL294" s="357"/>
      <c r="CM294" s="357"/>
      <c r="CN294" s="357"/>
      <c r="CO294" s="357"/>
      <c r="CP294" s="357"/>
      <c r="CQ294" s="357"/>
      <c r="CR294" s="357"/>
      <c r="CS294" s="357"/>
      <c r="CT294" s="357"/>
      <c r="CU294" s="357"/>
      <c r="CV294" s="357"/>
      <c r="CW294" s="357"/>
      <c r="CX294" s="357"/>
      <c r="CY294" s="357"/>
      <c r="CZ294" s="357"/>
      <c r="DA294" s="357"/>
      <c r="DB294" s="357"/>
      <c r="DC294" s="357"/>
      <c r="DD294" s="357"/>
      <c r="DE294" s="357"/>
      <c r="DF294" s="357"/>
      <c r="DG294" s="357"/>
      <c r="DH294" s="357"/>
      <c r="DI294" s="357"/>
      <c r="DJ294" s="357"/>
      <c r="DK294" s="357"/>
      <c r="DL294" s="357"/>
      <c r="DM294" s="357"/>
      <c r="DN294" s="357"/>
      <c r="DO294" s="357"/>
      <c r="DP294" s="357"/>
      <c r="DQ294" s="357"/>
      <c r="DR294" s="357"/>
      <c r="DS294" s="357"/>
      <c r="DT294" s="357"/>
      <c r="DU294" s="357"/>
      <c r="DV294" s="357"/>
      <c r="DW294" s="357"/>
      <c r="DX294" s="357"/>
      <c r="DY294" s="357"/>
      <c r="DZ294" s="357"/>
      <c r="EA294" s="357"/>
      <c r="EB294" s="357"/>
      <c r="EC294" s="357"/>
      <c r="ED294" s="357"/>
      <c r="EE294" s="357"/>
      <c r="EF294" s="357"/>
      <c r="EG294" s="357"/>
      <c r="EH294" s="357"/>
      <c r="EI294" s="357"/>
      <c r="EJ294" s="357"/>
      <c r="EK294" s="357"/>
      <c r="EL294" s="357"/>
      <c r="EM294" s="357"/>
      <c r="EN294" s="357"/>
      <c r="EO294" s="357"/>
      <c r="EP294" s="357"/>
      <c r="EQ294" s="357"/>
      <c r="ER294" s="357"/>
      <c r="ES294" s="357"/>
      <c r="ET294" s="357"/>
      <c r="EU294" s="357"/>
      <c r="EV294" s="357"/>
      <c r="EW294" s="357"/>
      <c r="EX294" s="357"/>
      <c r="EY294" s="357"/>
      <c r="EZ294" s="357"/>
      <c r="FA294" s="357"/>
      <c r="FB294" s="357"/>
      <c r="FC294" s="357"/>
      <c r="FD294" s="357"/>
      <c r="FE294" s="357"/>
      <c r="FF294" s="357"/>
      <c r="FG294" s="357"/>
      <c r="FH294" s="357"/>
      <c r="FI294" s="357"/>
      <c r="FJ294" s="357"/>
      <c r="FK294" s="357"/>
      <c r="FL294" s="357"/>
      <c r="FM294" s="357"/>
      <c r="FN294" s="357"/>
      <c r="FO294" s="357"/>
      <c r="FP294" s="357"/>
      <c r="FQ294" s="357"/>
      <c r="FR294" s="357"/>
      <c r="FS294" s="357"/>
      <c r="FT294" s="357"/>
      <c r="FU294" s="357"/>
      <c r="FV294" s="357"/>
      <c r="FW294" s="357"/>
      <c r="FX294" s="357"/>
      <c r="FY294" s="357"/>
      <c r="FZ294" s="357"/>
      <c r="GA294" s="357"/>
      <c r="GB294" s="357"/>
      <c r="GC294" s="357"/>
      <c r="GD294" s="357"/>
      <c r="GE294" s="357"/>
      <c r="GF294" s="357"/>
      <c r="GG294" s="357"/>
      <c r="GH294" s="357"/>
      <c r="GI294" s="357"/>
      <c r="GJ294" s="357"/>
      <c r="GK294" s="154"/>
      <c r="GL294" s="154"/>
      <c r="GM294" s="154"/>
      <c r="GN294" s="154"/>
      <c r="GO294" s="154"/>
      <c r="GP294" s="154"/>
      <c r="GQ294" s="154"/>
      <c r="GR294" s="154"/>
      <c r="GS294" s="154"/>
      <c r="GT294" s="154"/>
      <c r="GU294" s="154"/>
      <c r="GV294" s="154"/>
      <c r="GW294" s="154"/>
      <c r="GX294" s="154"/>
    </row>
    <row r="295" spans="7:206">
      <c r="G295" s="154"/>
      <c r="H295" s="154"/>
      <c r="I295" s="154"/>
      <c r="J295" s="154"/>
      <c r="K295" s="154"/>
      <c r="L295" s="154"/>
      <c r="M295" s="154"/>
      <c r="N295" s="154"/>
      <c r="O295" s="154"/>
      <c r="P295" s="154"/>
      <c r="Q295" s="154"/>
      <c r="R295" s="154"/>
      <c r="S295" s="154"/>
      <c r="T295" s="154"/>
      <c r="U295" s="154"/>
      <c r="V295" s="154"/>
      <c r="W295" s="154"/>
      <c r="X295" s="154"/>
      <c r="Y295" s="154"/>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57"/>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7"/>
      <c r="BW295" s="357"/>
      <c r="BX295" s="357"/>
      <c r="BY295" s="357"/>
      <c r="BZ295" s="357"/>
      <c r="CA295" s="357"/>
      <c r="CB295" s="357"/>
      <c r="CC295" s="357"/>
      <c r="CD295" s="357"/>
      <c r="CE295" s="357"/>
      <c r="CF295" s="357"/>
      <c r="CG295" s="357"/>
      <c r="CH295" s="357"/>
      <c r="CI295" s="357"/>
      <c r="CJ295" s="357"/>
      <c r="CK295" s="357"/>
      <c r="CL295" s="357"/>
      <c r="CM295" s="357"/>
      <c r="CN295" s="357"/>
      <c r="CO295" s="357"/>
      <c r="CP295" s="357"/>
      <c r="CQ295" s="357"/>
      <c r="CR295" s="357"/>
      <c r="CS295" s="357"/>
      <c r="CT295" s="357"/>
      <c r="CU295" s="357"/>
      <c r="CV295" s="357"/>
      <c r="CW295" s="357"/>
      <c r="CX295" s="357"/>
      <c r="CY295" s="357"/>
      <c r="CZ295" s="357"/>
      <c r="DA295" s="357"/>
      <c r="DB295" s="357"/>
      <c r="DC295" s="357"/>
      <c r="DD295" s="357"/>
      <c r="DE295" s="357"/>
      <c r="DF295" s="357"/>
      <c r="DG295" s="357"/>
      <c r="DH295" s="357"/>
      <c r="DI295" s="357"/>
      <c r="DJ295" s="357"/>
      <c r="DK295" s="357"/>
      <c r="DL295" s="357"/>
      <c r="DM295" s="357"/>
      <c r="DN295" s="357"/>
      <c r="DO295" s="357"/>
      <c r="DP295" s="357"/>
      <c r="DQ295" s="357"/>
      <c r="DR295" s="357"/>
      <c r="DS295" s="357"/>
      <c r="DT295" s="357"/>
      <c r="DU295" s="357"/>
      <c r="DV295" s="357"/>
      <c r="DW295" s="357"/>
      <c r="DX295" s="357"/>
      <c r="DY295" s="357"/>
      <c r="DZ295" s="357"/>
      <c r="EA295" s="357"/>
      <c r="EB295" s="357"/>
      <c r="EC295" s="357"/>
      <c r="ED295" s="357"/>
      <c r="EE295" s="357"/>
      <c r="EF295" s="357"/>
      <c r="EG295" s="357"/>
      <c r="EH295" s="357"/>
      <c r="EI295" s="357"/>
      <c r="EJ295" s="357"/>
      <c r="EK295" s="357"/>
      <c r="EL295" s="357"/>
      <c r="EM295" s="357"/>
      <c r="EN295" s="357"/>
      <c r="EO295" s="357"/>
      <c r="EP295" s="357"/>
      <c r="EQ295" s="357"/>
      <c r="ER295" s="357"/>
      <c r="ES295" s="357"/>
      <c r="ET295" s="357"/>
      <c r="EU295" s="357"/>
      <c r="EV295" s="357"/>
      <c r="EW295" s="357"/>
      <c r="EX295" s="357"/>
      <c r="EY295" s="357"/>
      <c r="EZ295" s="357"/>
      <c r="FA295" s="357"/>
      <c r="FB295" s="357"/>
      <c r="FC295" s="357"/>
      <c r="FD295" s="357"/>
      <c r="FE295" s="357"/>
      <c r="FF295" s="357"/>
      <c r="FG295" s="357"/>
      <c r="FH295" s="357"/>
      <c r="FI295" s="357"/>
      <c r="FJ295" s="357"/>
      <c r="FK295" s="357"/>
      <c r="FL295" s="357"/>
      <c r="FM295" s="357"/>
      <c r="FN295" s="357"/>
      <c r="FO295" s="357"/>
      <c r="FP295" s="357"/>
      <c r="FQ295" s="357"/>
      <c r="FR295" s="357"/>
      <c r="FS295" s="357"/>
      <c r="FT295" s="357"/>
      <c r="FU295" s="357"/>
      <c r="FV295" s="357"/>
      <c r="FW295" s="357"/>
      <c r="FX295" s="357"/>
      <c r="FY295" s="357"/>
      <c r="FZ295" s="357"/>
      <c r="GA295" s="357"/>
      <c r="GB295" s="357"/>
      <c r="GC295" s="357"/>
      <c r="GD295" s="357"/>
      <c r="GE295" s="357"/>
      <c r="GF295" s="357"/>
      <c r="GG295" s="357"/>
      <c r="GH295" s="357"/>
      <c r="GI295" s="357"/>
      <c r="GJ295" s="357"/>
      <c r="GK295" s="154"/>
      <c r="GL295" s="154"/>
      <c r="GM295" s="154"/>
      <c r="GN295" s="154"/>
      <c r="GO295" s="154"/>
      <c r="GP295" s="154"/>
      <c r="GQ295" s="154"/>
      <c r="GR295" s="154"/>
      <c r="GS295" s="154"/>
      <c r="GT295" s="154"/>
      <c r="GU295" s="154"/>
      <c r="GV295" s="154"/>
      <c r="GW295" s="154"/>
      <c r="GX295" s="154"/>
    </row>
    <row r="296" spans="7:206">
      <c r="G296" s="154"/>
      <c r="H296" s="154"/>
      <c r="I296" s="154"/>
      <c r="J296" s="154"/>
      <c r="K296" s="154"/>
      <c r="L296" s="154"/>
      <c r="M296" s="154"/>
      <c r="N296" s="154"/>
      <c r="O296" s="154"/>
      <c r="P296" s="154"/>
      <c r="Q296" s="154"/>
      <c r="R296" s="154"/>
      <c r="S296" s="154"/>
      <c r="T296" s="154"/>
      <c r="U296" s="154"/>
      <c r="V296" s="154"/>
      <c r="W296" s="154"/>
      <c r="X296" s="154"/>
      <c r="Y296" s="154"/>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57"/>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7"/>
      <c r="BW296" s="357"/>
      <c r="BX296" s="357"/>
      <c r="BY296" s="357"/>
      <c r="BZ296" s="357"/>
      <c r="CA296" s="357"/>
      <c r="CB296" s="357"/>
      <c r="CC296" s="357"/>
      <c r="CD296" s="357"/>
      <c r="CE296" s="357"/>
      <c r="CF296" s="357"/>
      <c r="CG296" s="357"/>
      <c r="CH296" s="357"/>
      <c r="CI296" s="357"/>
      <c r="CJ296" s="357"/>
      <c r="CK296" s="357"/>
      <c r="CL296" s="357"/>
      <c r="CM296" s="357"/>
      <c r="CN296" s="357"/>
      <c r="CO296" s="357"/>
      <c r="CP296" s="357"/>
      <c r="CQ296" s="357"/>
      <c r="CR296" s="357"/>
      <c r="CS296" s="357"/>
      <c r="CT296" s="357"/>
      <c r="CU296" s="357"/>
      <c r="CV296" s="357"/>
      <c r="CW296" s="357"/>
      <c r="CX296" s="357"/>
      <c r="CY296" s="357"/>
      <c r="CZ296" s="357"/>
      <c r="DA296" s="357"/>
      <c r="DB296" s="357"/>
      <c r="DC296" s="357"/>
      <c r="DD296" s="357"/>
      <c r="DE296" s="357"/>
      <c r="DF296" s="357"/>
      <c r="DG296" s="357"/>
      <c r="DH296" s="357"/>
      <c r="DI296" s="357"/>
      <c r="DJ296" s="357"/>
      <c r="DK296" s="357"/>
      <c r="DL296" s="357"/>
      <c r="DM296" s="357"/>
      <c r="DN296" s="357"/>
      <c r="DO296" s="357"/>
      <c r="DP296" s="357"/>
      <c r="DQ296" s="357"/>
      <c r="DR296" s="357"/>
      <c r="DS296" s="357"/>
      <c r="DT296" s="357"/>
      <c r="DU296" s="357"/>
      <c r="DV296" s="357"/>
      <c r="DW296" s="357"/>
      <c r="DX296" s="357"/>
      <c r="DY296" s="357"/>
      <c r="DZ296" s="357"/>
      <c r="EA296" s="357"/>
      <c r="EB296" s="357"/>
      <c r="EC296" s="357"/>
      <c r="ED296" s="357"/>
      <c r="EE296" s="357"/>
      <c r="EF296" s="357"/>
      <c r="EG296" s="357"/>
      <c r="EH296" s="357"/>
      <c r="EI296" s="357"/>
      <c r="EJ296" s="357"/>
      <c r="EK296" s="357"/>
      <c r="EL296" s="357"/>
      <c r="EM296" s="357"/>
      <c r="EN296" s="357"/>
      <c r="EO296" s="357"/>
      <c r="EP296" s="357"/>
      <c r="EQ296" s="357"/>
      <c r="ER296" s="357"/>
      <c r="ES296" s="357"/>
      <c r="ET296" s="357"/>
      <c r="EU296" s="357"/>
      <c r="EV296" s="357"/>
      <c r="EW296" s="357"/>
      <c r="EX296" s="357"/>
      <c r="EY296" s="357"/>
      <c r="EZ296" s="357"/>
      <c r="FA296" s="357"/>
      <c r="FB296" s="357"/>
      <c r="FC296" s="357"/>
      <c r="FD296" s="357"/>
      <c r="FE296" s="357"/>
      <c r="FF296" s="357"/>
      <c r="FG296" s="357"/>
      <c r="FH296" s="357"/>
      <c r="FI296" s="357"/>
      <c r="FJ296" s="357"/>
      <c r="FK296" s="357"/>
      <c r="FL296" s="357"/>
      <c r="FM296" s="357"/>
      <c r="FN296" s="357"/>
      <c r="FO296" s="357"/>
      <c r="FP296" s="357"/>
      <c r="FQ296" s="357"/>
      <c r="FR296" s="357"/>
      <c r="FS296" s="357"/>
      <c r="FT296" s="357"/>
      <c r="FU296" s="357"/>
      <c r="FV296" s="357"/>
      <c r="FW296" s="357"/>
      <c r="FX296" s="357"/>
      <c r="FY296" s="357"/>
      <c r="FZ296" s="357"/>
      <c r="GA296" s="357"/>
      <c r="GB296" s="357"/>
      <c r="GC296" s="357"/>
      <c r="GD296" s="357"/>
      <c r="GE296" s="357"/>
      <c r="GF296" s="357"/>
      <c r="GG296" s="357"/>
      <c r="GH296" s="357"/>
      <c r="GI296" s="357"/>
      <c r="GJ296" s="357"/>
      <c r="GK296" s="154"/>
      <c r="GL296" s="154"/>
      <c r="GM296" s="154"/>
      <c r="GN296" s="154"/>
      <c r="GO296" s="154"/>
      <c r="GP296" s="154"/>
      <c r="GQ296" s="154"/>
      <c r="GR296" s="154"/>
      <c r="GS296" s="154"/>
      <c r="GT296" s="154"/>
      <c r="GU296" s="154"/>
      <c r="GV296" s="154"/>
      <c r="GW296" s="154"/>
      <c r="GX296" s="154"/>
    </row>
    <row r="297" spans="7:206">
      <c r="G297" s="154"/>
      <c r="H297" s="154"/>
      <c r="I297" s="154"/>
      <c r="J297" s="154"/>
      <c r="K297" s="154"/>
      <c r="L297" s="154"/>
      <c r="M297" s="154"/>
      <c r="N297" s="154"/>
      <c r="O297" s="154"/>
      <c r="P297" s="154"/>
      <c r="Q297" s="154"/>
      <c r="R297" s="154"/>
      <c r="S297" s="154"/>
      <c r="T297" s="154"/>
      <c r="U297" s="154"/>
      <c r="V297" s="154"/>
      <c r="W297" s="154"/>
      <c r="X297" s="154"/>
      <c r="Y297" s="154"/>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57"/>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7"/>
      <c r="BW297" s="357"/>
      <c r="BX297" s="357"/>
      <c r="BY297" s="357"/>
      <c r="BZ297" s="357"/>
      <c r="CA297" s="357"/>
      <c r="CB297" s="357"/>
      <c r="CC297" s="357"/>
      <c r="CD297" s="357"/>
      <c r="CE297" s="357"/>
      <c r="CF297" s="357"/>
      <c r="CG297" s="357"/>
      <c r="CH297" s="357"/>
      <c r="CI297" s="357"/>
      <c r="CJ297" s="357"/>
      <c r="CK297" s="357"/>
      <c r="CL297" s="357"/>
      <c r="CM297" s="357"/>
      <c r="CN297" s="357"/>
      <c r="CO297" s="357"/>
      <c r="CP297" s="357"/>
      <c r="CQ297" s="357"/>
      <c r="CR297" s="357"/>
      <c r="CS297" s="357"/>
      <c r="CT297" s="357"/>
      <c r="CU297" s="357"/>
      <c r="CV297" s="357"/>
      <c r="CW297" s="357"/>
      <c r="CX297" s="357"/>
      <c r="CY297" s="357"/>
      <c r="CZ297" s="357"/>
      <c r="DA297" s="357"/>
      <c r="DB297" s="357"/>
      <c r="DC297" s="357"/>
      <c r="DD297" s="357"/>
      <c r="DE297" s="357"/>
      <c r="DF297" s="357"/>
      <c r="DG297" s="357"/>
      <c r="DH297" s="357"/>
      <c r="DI297" s="357"/>
      <c r="DJ297" s="357"/>
      <c r="DK297" s="357"/>
      <c r="DL297" s="357"/>
      <c r="DM297" s="357"/>
      <c r="DN297" s="357"/>
      <c r="DO297" s="357"/>
      <c r="DP297" s="357"/>
      <c r="DQ297" s="357"/>
      <c r="DR297" s="357"/>
      <c r="DS297" s="357"/>
      <c r="DT297" s="357"/>
      <c r="DU297" s="357"/>
      <c r="DV297" s="357"/>
      <c r="DW297" s="357"/>
      <c r="DX297" s="357"/>
      <c r="DY297" s="357"/>
      <c r="DZ297" s="357"/>
      <c r="EA297" s="357"/>
      <c r="EB297" s="357"/>
      <c r="EC297" s="357"/>
      <c r="ED297" s="357"/>
      <c r="EE297" s="357"/>
      <c r="EF297" s="357"/>
      <c r="EG297" s="357"/>
      <c r="EH297" s="357"/>
      <c r="EI297" s="357"/>
      <c r="EJ297" s="357"/>
      <c r="EK297" s="357"/>
      <c r="EL297" s="357"/>
      <c r="EM297" s="357"/>
      <c r="EN297" s="357"/>
      <c r="EO297" s="357"/>
      <c r="EP297" s="357"/>
      <c r="EQ297" s="357"/>
      <c r="ER297" s="357"/>
      <c r="ES297" s="357"/>
      <c r="ET297" s="357"/>
      <c r="EU297" s="357"/>
      <c r="EV297" s="357"/>
      <c r="EW297" s="357"/>
      <c r="EX297" s="357"/>
      <c r="EY297" s="357"/>
      <c r="EZ297" s="357"/>
      <c r="FA297" s="357"/>
      <c r="FB297" s="357"/>
      <c r="FC297" s="357"/>
      <c r="FD297" s="357"/>
      <c r="FE297" s="357"/>
      <c r="FF297" s="357"/>
      <c r="FG297" s="357"/>
      <c r="FH297" s="357"/>
      <c r="FI297" s="357"/>
      <c r="FJ297" s="357"/>
      <c r="FK297" s="357"/>
      <c r="FL297" s="357"/>
      <c r="FM297" s="357"/>
      <c r="FN297" s="357"/>
      <c r="FO297" s="357"/>
      <c r="FP297" s="357"/>
      <c r="FQ297" s="357"/>
      <c r="FR297" s="357"/>
      <c r="FS297" s="357"/>
      <c r="FT297" s="357"/>
      <c r="FU297" s="357"/>
      <c r="FV297" s="357"/>
      <c r="FW297" s="357"/>
      <c r="FX297" s="357"/>
      <c r="FY297" s="357"/>
      <c r="FZ297" s="357"/>
      <c r="GA297" s="357"/>
      <c r="GB297" s="357"/>
      <c r="GC297" s="357"/>
      <c r="GD297" s="357"/>
      <c r="GE297" s="357"/>
      <c r="GF297" s="357"/>
      <c r="GG297" s="357"/>
      <c r="GH297" s="357"/>
      <c r="GI297" s="357"/>
      <c r="GJ297" s="357"/>
      <c r="GK297" s="154"/>
      <c r="GL297" s="154"/>
      <c r="GM297" s="154"/>
      <c r="GN297" s="154"/>
      <c r="GO297" s="154"/>
      <c r="GP297" s="154"/>
      <c r="GQ297" s="154"/>
      <c r="GR297" s="154"/>
      <c r="GS297" s="154"/>
      <c r="GT297" s="154"/>
      <c r="GU297" s="154"/>
      <c r="GV297" s="154"/>
      <c r="GW297" s="154"/>
      <c r="GX297" s="154"/>
    </row>
    <row r="298" spans="7:206">
      <c r="G298" s="154"/>
      <c r="H298" s="154"/>
      <c r="I298" s="154"/>
      <c r="J298" s="154"/>
      <c r="K298" s="154"/>
      <c r="L298" s="154"/>
      <c r="M298" s="154"/>
      <c r="N298" s="154"/>
      <c r="O298" s="154"/>
      <c r="P298" s="154"/>
      <c r="Q298" s="154"/>
      <c r="R298" s="154"/>
      <c r="S298" s="154"/>
      <c r="T298" s="154"/>
      <c r="U298" s="154"/>
      <c r="V298" s="154"/>
      <c r="W298" s="154"/>
      <c r="X298" s="154"/>
      <c r="Y298" s="154"/>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57"/>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7"/>
      <c r="BW298" s="357"/>
      <c r="BX298" s="357"/>
      <c r="BY298" s="357"/>
      <c r="BZ298" s="357"/>
      <c r="CA298" s="357"/>
      <c r="CB298" s="357"/>
      <c r="CC298" s="357"/>
      <c r="CD298" s="357"/>
      <c r="CE298" s="357"/>
      <c r="CF298" s="357"/>
      <c r="CG298" s="357"/>
      <c r="CH298" s="357"/>
      <c r="CI298" s="357"/>
      <c r="CJ298" s="357"/>
      <c r="CK298" s="357"/>
      <c r="CL298" s="357"/>
      <c r="CM298" s="357"/>
      <c r="CN298" s="357"/>
      <c r="CO298" s="357"/>
      <c r="CP298" s="357"/>
      <c r="CQ298" s="357"/>
      <c r="CR298" s="357"/>
      <c r="CS298" s="357"/>
      <c r="CT298" s="357"/>
      <c r="CU298" s="357"/>
      <c r="CV298" s="357"/>
      <c r="CW298" s="357"/>
      <c r="CX298" s="357"/>
      <c r="CY298" s="357"/>
      <c r="CZ298" s="357"/>
      <c r="DA298" s="357"/>
      <c r="DB298" s="357"/>
      <c r="DC298" s="357"/>
      <c r="DD298" s="357"/>
      <c r="DE298" s="357"/>
      <c r="DF298" s="357"/>
      <c r="DG298" s="357"/>
      <c r="DH298" s="357"/>
      <c r="DI298" s="357"/>
      <c r="DJ298" s="357"/>
      <c r="DK298" s="357"/>
      <c r="DL298" s="357"/>
      <c r="DM298" s="357"/>
      <c r="DN298" s="357"/>
      <c r="DO298" s="357"/>
      <c r="DP298" s="357"/>
      <c r="DQ298" s="357"/>
      <c r="DR298" s="357"/>
      <c r="DS298" s="357"/>
      <c r="DT298" s="357"/>
      <c r="DU298" s="357"/>
      <c r="DV298" s="357"/>
      <c r="DW298" s="357"/>
      <c r="DX298" s="357"/>
      <c r="DY298" s="357"/>
      <c r="DZ298" s="357"/>
      <c r="EA298" s="357"/>
      <c r="EB298" s="357"/>
      <c r="EC298" s="357"/>
      <c r="ED298" s="357"/>
      <c r="EE298" s="357"/>
      <c r="EF298" s="357"/>
      <c r="EG298" s="357"/>
      <c r="EH298" s="357"/>
      <c r="EI298" s="357"/>
      <c r="EJ298" s="357"/>
      <c r="EK298" s="357"/>
      <c r="EL298" s="357"/>
      <c r="EM298" s="357"/>
      <c r="EN298" s="357"/>
      <c r="EO298" s="357"/>
      <c r="EP298" s="357"/>
      <c r="EQ298" s="357"/>
      <c r="ER298" s="357"/>
      <c r="ES298" s="357"/>
      <c r="ET298" s="357"/>
      <c r="EU298" s="357"/>
      <c r="EV298" s="357"/>
      <c r="EW298" s="357"/>
      <c r="EX298" s="357"/>
      <c r="EY298" s="357"/>
      <c r="EZ298" s="357"/>
      <c r="FA298" s="357"/>
      <c r="FB298" s="357"/>
      <c r="FC298" s="357"/>
      <c r="FD298" s="357"/>
      <c r="FE298" s="357"/>
      <c r="FF298" s="357"/>
      <c r="FG298" s="357"/>
      <c r="FH298" s="357"/>
      <c r="FI298" s="357"/>
      <c r="FJ298" s="357"/>
      <c r="FK298" s="357"/>
      <c r="FL298" s="357"/>
      <c r="FM298" s="357"/>
      <c r="FN298" s="357"/>
      <c r="FO298" s="357"/>
      <c r="FP298" s="357"/>
      <c r="FQ298" s="357"/>
      <c r="FR298" s="357"/>
      <c r="FS298" s="357"/>
      <c r="FT298" s="357"/>
      <c r="FU298" s="357"/>
      <c r="FV298" s="357"/>
      <c r="FW298" s="357"/>
      <c r="FX298" s="357"/>
      <c r="FY298" s="357"/>
      <c r="FZ298" s="357"/>
      <c r="GA298" s="357"/>
      <c r="GB298" s="357"/>
      <c r="GC298" s="357"/>
      <c r="GD298" s="357"/>
      <c r="GE298" s="357"/>
      <c r="GF298" s="357"/>
      <c r="GG298" s="357"/>
      <c r="GH298" s="357"/>
      <c r="GI298" s="357"/>
      <c r="GJ298" s="357"/>
      <c r="GK298" s="154"/>
      <c r="GL298" s="154"/>
      <c r="GM298" s="154"/>
      <c r="GN298" s="154"/>
      <c r="GO298" s="154"/>
      <c r="GP298" s="154"/>
      <c r="GQ298" s="154"/>
      <c r="GR298" s="154"/>
      <c r="GS298" s="154"/>
      <c r="GT298" s="154"/>
      <c r="GU298" s="154"/>
      <c r="GV298" s="154"/>
      <c r="GW298" s="154"/>
      <c r="GX298" s="154"/>
    </row>
    <row r="299" spans="7:206">
      <c r="G299" s="154"/>
      <c r="H299" s="154"/>
      <c r="I299" s="154"/>
      <c r="J299" s="154"/>
      <c r="K299" s="154"/>
      <c r="L299" s="154"/>
      <c r="M299" s="154"/>
      <c r="N299" s="154"/>
      <c r="O299" s="154"/>
      <c r="P299" s="154"/>
      <c r="Q299" s="154"/>
      <c r="R299" s="154"/>
      <c r="S299" s="154"/>
      <c r="T299" s="154"/>
      <c r="U299" s="154"/>
      <c r="V299" s="154"/>
      <c r="W299" s="154"/>
      <c r="X299" s="154"/>
      <c r="Y299" s="154"/>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57"/>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7"/>
      <c r="BW299" s="357"/>
      <c r="BX299" s="357"/>
      <c r="BY299" s="357"/>
      <c r="BZ299" s="357"/>
      <c r="CA299" s="357"/>
      <c r="CB299" s="357"/>
      <c r="CC299" s="357"/>
      <c r="CD299" s="357"/>
      <c r="CE299" s="357"/>
      <c r="CF299" s="357"/>
      <c r="CG299" s="357"/>
      <c r="CH299" s="357"/>
      <c r="CI299" s="357"/>
      <c r="CJ299" s="357"/>
      <c r="CK299" s="357"/>
      <c r="CL299" s="357"/>
      <c r="CM299" s="357"/>
      <c r="CN299" s="357"/>
      <c r="CO299" s="357"/>
      <c r="CP299" s="357"/>
      <c r="CQ299" s="357"/>
      <c r="CR299" s="357"/>
      <c r="CS299" s="357"/>
      <c r="CT299" s="357"/>
      <c r="CU299" s="357"/>
      <c r="CV299" s="357"/>
      <c r="CW299" s="357"/>
      <c r="CX299" s="357"/>
      <c r="CY299" s="357"/>
      <c r="CZ299" s="357"/>
      <c r="DA299" s="357"/>
      <c r="DB299" s="357"/>
      <c r="DC299" s="357"/>
      <c r="DD299" s="357"/>
      <c r="DE299" s="357"/>
      <c r="DF299" s="357"/>
      <c r="DG299" s="357"/>
      <c r="DH299" s="357"/>
      <c r="DI299" s="357"/>
      <c r="DJ299" s="357"/>
      <c r="DK299" s="357"/>
      <c r="DL299" s="357"/>
      <c r="DM299" s="357"/>
      <c r="DN299" s="357"/>
      <c r="DO299" s="357"/>
      <c r="DP299" s="357"/>
      <c r="DQ299" s="357"/>
      <c r="DR299" s="357"/>
      <c r="DS299" s="357"/>
      <c r="DT299" s="357"/>
      <c r="DU299" s="357"/>
      <c r="DV299" s="357"/>
      <c r="DW299" s="357"/>
      <c r="DX299" s="357"/>
      <c r="DY299" s="357"/>
      <c r="DZ299" s="357"/>
      <c r="EA299" s="357"/>
      <c r="EB299" s="357"/>
      <c r="EC299" s="357"/>
      <c r="ED299" s="357"/>
      <c r="EE299" s="357"/>
      <c r="EF299" s="357"/>
      <c r="EG299" s="357"/>
      <c r="EH299" s="357"/>
      <c r="EI299" s="357"/>
      <c r="EJ299" s="357"/>
      <c r="EK299" s="357"/>
      <c r="EL299" s="357"/>
      <c r="EM299" s="357"/>
      <c r="EN299" s="357"/>
      <c r="EO299" s="357"/>
      <c r="EP299" s="357"/>
      <c r="EQ299" s="357"/>
      <c r="ER299" s="357"/>
      <c r="ES299" s="357"/>
      <c r="ET299" s="357"/>
      <c r="EU299" s="357"/>
      <c r="EV299" s="357"/>
      <c r="EW299" s="357"/>
      <c r="EX299" s="357"/>
      <c r="EY299" s="357"/>
      <c r="EZ299" s="357"/>
      <c r="FA299" s="357"/>
      <c r="FB299" s="357"/>
      <c r="FC299" s="357"/>
      <c r="FD299" s="357"/>
      <c r="FE299" s="357"/>
      <c r="FF299" s="357"/>
      <c r="FG299" s="357"/>
      <c r="FH299" s="357"/>
      <c r="FI299" s="357"/>
      <c r="FJ299" s="357"/>
      <c r="FK299" s="357"/>
      <c r="FL299" s="357"/>
      <c r="FM299" s="357"/>
      <c r="FN299" s="357"/>
      <c r="FO299" s="357"/>
      <c r="FP299" s="357"/>
      <c r="FQ299" s="357"/>
      <c r="FR299" s="357"/>
      <c r="FS299" s="357"/>
      <c r="FT299" s="357"/>
      <c r="FU299" s="357"/>
      <c r="FV299" s="357"/>
      <c r="FW299" s="357"/>
      <c r="FX299" s="357"/>
      <c r="FY299" s="357"/>
      <c r="FZ299" s="357"/>
      <c r="GA299" s="357"/>
      <c r="GB299" s="357"/>
      <c r="GC299" s="357"/>
      <c r="GD299" s="357"/>
      <c r="GE299" s="357"/>
      <c r="GF299" s="357"/>
      <c r="GG299" s="357"/>
      <c r="GH299" s="357"/>
      <c r="GI299" s="357"/>
      <c r="GJ299" s="357"/>
      <c r="GK299" s="154"/>
      <c r="GL299" s="154"/>
      <c r="GM299" s="154"/>
      <c r="GN299" s="154"/>
      <c r="GO299" s="154"/>
      <c r="GP299" s="154"/>
      <c r="GQ299" s="154"/>
      <c r="GR299" s="154"/>
      <c r="GS299" s="154"/>
      <c r="GT299" s="154"/>
      <c r="GU299" s="154"/>
      <c r="GV299" s="154"/>
      <c r="GW299" s="154"/>
      <c r="GX299" s="154"/>
    </row>
    <row r="300" spans="7:206">
      <c r="G300" s="154"/>
      <c r="H300" s="154"/>
      <c r="I300" s="154"/>
      <c r="J300" s="154"/>
      <c r="K300" s="154"/>
      <c r="L300" s="154"/>
      <c r="M300" s="154"/>
      <c r="N300" s="154"/>
      <c r="O300" s="154"/>
      <c r="P300" s="154"/>
      <c r="Q300" s="154"/>
      <c r="R300" s="154"/>
      <c r="S300" s="154"/>
      <c r="T300" s="154"/>
      <c r="U300" s="154"/>
      <c r="V300" s="154"/>
      <c r="W300" s="154"/>
      <c r="X300" s="154"/>
      <c r="Y300" s="154"/>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57"/>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7"/>
      <c r="BW300" s="357"/>
      <c r="BX300" s="357"/>
      <c r="BY300" s="357"/>
      <c r="BZ300" s="357"/>
      <c r="CA300" s="357"/>
      <c r="CB300" s="357"/>
      <c r="CC300" s="357"/>
      <c r="CD300" s="357"/>
      <c r="CE300" s="357"/>
      <c r="CF300" s="357"/>
      <c r="CG300" s="357"/>
      <c r="CH300" s="357"/>
      <c r="CI300" s="357"/>
      <c r="CJ300" s="357"/>
      <c r="CK300" s="357"/>
      <c r="CL300" s="357"/>
      <c r="CM300" s="357"/>
      <c r="CN300" s="357"/>
      <c r="CO300" s="357"/>
      <c r="CP300" s="357"/>
      <c r="CQ300" s="357"/>
      <c r="CR300" s="357"/>
      <c r="CS300" s="357"/>
      <c r="CT300" s="357"/>
      <c r="CU300" s="357"/>
      <c r="CV300" s="357"/>
      <c r="CW300" s="357"/>
      <c r="CX300" s="357"/>
      <c r="CY300" s="357"/>
      <c r="CZ300" s="357"/>
      <c r="DA300" s="357"/>
      <c r="DB300" s="357"/>
      <c r="DC300" s="357"/>
      <c r="DD300" s="357"/>
      <c r="DE300" s="357"/>
      <c r="DF300" s="357"/>
      <c r="DG300" s="357"/>
      <c r="DH300" s="357"/>
      <c r="DI300" s="357"/>
      <c r="DJ300" s="357"/>
      <c r="DK300" s="357"/>
      <c r="DL300" s="357"/>
      <c r="DM300" s="357"/>
      <c r="DN300" s="357"/>
      <c r="DO300" s="357"/>
      <c r="DP300" s="357"/>
      <c r="DQ300" s="357"/>
      <c r="DR300" s="357"/>
      <c r="DS300" s="357"/>
      <c r="DT300" s="357"/>
      <c r="DU300" s="357"/>
      <c r="DV300" s="357"/>
      <c r="DW300" s="357"/>
      <c r="DX300" s="357"/>
      <c r="DY300" s="357"/>
      <c r="DZ300" s="357"/>
      <c r="EA300" s="357"/>
      <c r="EB300" s="357"/>
      <c r="EC300" s="357"/>
      <c r="ED300" s="357"/>
      <c r="EE300" s="357"/>
      <c r="EF300" s="357"/>
      <c r="EG300" s="357"/>
      <c r="EH300" s="357"/>
      <c r="EI300" s="357"/>
      <c r="EJ300" s="357"/>
      <c r="EK300" s="357"/>
      <c r="EL300" s="357"/>
      <c r="EM300" s="357"/>
      <c r="EN300" s="357"/>
      <c r="EO300" s="357"/>
      <c r="EP300" s="357"/>
      <c r="EQ300" s="357"/>
      <c r="ER300" s="357"/>
      <c r="ES300" s="357"/>
      <c r="ET300" s="357"/>
      <c r="EU300" s="357"/>
      <c r="EV300" s="357"/>
      <c r="EW300" s="357"/>
      <c r="EX300" s="357"/>
      <c r="EY300" s="357"/>
      <c r="EZ300" s="357"/>
      <c r="FA300" s="357"/>
      <c r="FB300" s="357"/>
      <c r="FC300" s="357"/>
      <c r="FD300" s="357"/>
      <c r="FE300" s="357"/>
      <c r="FF300" s="357"/>
      <c r="FG300" s="357"/>
      <c r="FH300" s="357"/>
      <c r="FI300" s="357"/>
      <c r="FJ300" s="357"/>
      <c r="FK300" s="357"/>
      <c r="FL300" s="357"/>
      <c r="FM300" s="357"/>
      <c r="FN300" s="357"/>
      <c r="FO300" s="357"/>
      <c r="FP300" s="357"/>
      <c r="FQ300" s="357"/>
      <c r="FR300" s="357"/>
      <c r="FS300" s="357"/>
      <c r="FT300" s="357"/>
      <c r="FU300" s="357"/>
      <c r="FV300" s="357"/>
      <c r="FW300" s="357"/>
      <c r="FX300" s="357"/>
      <c r="FY300" s="357"/>
      <c r="FZ300" s="357"/>
      <c r="GA300" s="357"/>
      <c r="GB300" s="357"/>
      <c r="GC300" s="357"/>
      <c r="GD300" s="357"/>
      <c r="GE300" s="357"/>
      <c r="GF300" s="357"/>
      <c r="GG300" s="357"/>
      <c r="GH300" s="357"/>
      <c r="GI300" s="357"/>
      <c r="GJ300" s="357"/>
      <c r="GK300" s="154"/>
      <c r="GL300" s="154"/>
      <c r="GM300" s="154"/>
      <c r="GN300" s="154"/>
      <c r="GO300" s="154"/>
      <c r="GP300" s="154"/>
      <c r="GQ300" s="154"/>
      <c r="GR300" s="154"/>
      <c r="GS300" s="154"/>
      <c r="GT300" s="154"/>
      <c r="GU300" s="154"/>
      <c r="GV300" s="154"/>
      <c r="GW300" s="154"/>
      <c r="GX300" s="154"/>
    </row>
    <row r="301" spans="7:206">
      <c r="G301" s="154"/>
      <c r="H301" s="154"/>
      <c r="I301" s="154"/>
      <c r="J301" s="154"/>
      <c r="K301" s="154"/>
      <c r="L301" s="154"/>
      <c r="M301" s="154"/>
      <c r="N301" s="154"/>
      <c r="O301" s="154"/>
      <c r="P301" s="154"/>
      <c r="Q301" s="154"/>
      <c r="R301" s="154"/>
      <c r="S301" s="154"/>
      <c r="T301" s="154"/>
      <c r="U301" s="154"/>
      <c r="V301" s="154"/>
      <c r="W301" s="154"/>
      <c r="X301" s="154"/>
      <c r="Y301" s="154"/>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57"/>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7"/>
      <c r="BW301" s="357"/>
      <c r="BX301" s="357"/>
      <c r="BY301" s="357"/>
      <c r="BZ301" s="357"/>
      <c r="CA301" s="357"/>
      <c r="CB301" s="357"/>
      <c r="CC301" s="357"/>
      <c r="CD301" s="357"/>
      <c r="CE301" s="357"/>
      <c r="CF301" s="357"/>
      <c r="CG301" s="357"/>
      <c r="CH301" s="357"/>
      <c r="CI301" s="357"/>
      <c r="CJ301" s="357"/>
      <c r="CK301" s="357"/>
      <c r="CL301" s="357"/>
      <c r="CM301" s="357"/>
      <c r="CN301" s="357"/>
      <c r="CO301" s="357"/>
      <c r="CP301" s="357"/>
      <c r="CQ301" s="357"/>
      <c r="CR301" s="357"/>
      <c r="CS301" s="357"/>
      <c r="CT301" s="357"/>
      <c r="CU301" s="357"/>
      <c r="CV301" s="357"/>
      <c r="CW301" s="357"/>
      <c r="CX301" s="357"/>
      <c r="CY301" s="357"/>
      <c r="CZ301" s="357"/>
      <c r="DA301" s="357"/>
      <c r="DB301" s="357"/>
      <c r="DC301" s="357"/>
      <c r="DD301" s="357"/>
      <c r="DE301" s="357"/>
      <c r="DF301" s="357"/>
      <c r="DG301" s="357"/>
      <c r="DH301" s="357"/>
      <c r="DI301" s="357"/>
      <c r="DJ301" s="357"/>
      <c r="DK301" s="357"/>
      <c r="DL301" s="357"/>
      <c r="DM301" s="357"/>
      <c r="DN301" s="357"/>
      <c r="DO301" s="357"/>
      <c r="DP301" s="357"/>
      <c r="DQ301" s="357"/>
      <c r="DR301" s="357"/>
      <c r="DS301" s="357"/>
      <c r="DT301" s="357"/>
      <c r="DU301" s="357"/>
      <c r="DV301" s="357"/>
      <c r="DW301" s="357"/>
      <c r="DX301" s="357"/>
      <c r="DY301" s="357"/>
      <c r="DZ301" s="357"/>
      <c r="EA301" s="357"/>
      <c r="EB301" s="357"/>
      <c r="EC301" s="357"/>
      <c r="ED301" s="357"/>
      <c r="EE301" s="357"/>
      <c r="EF301" s="357"/>
      <c r="EG301" s="357"/>
      <c r="EH301" s="357"/>
      <c r="EI301" s="357"/>
      <c r="EJ301" s="357"/>
      <c r="EK301" s="357"/>
      <c r="EL301" s="357"/>
      <c r="EM301" s="357"/>
      <c r="EN301" s="357"/>
      <c r="EO301" s="357"/>
      <c r="EP301" s="357"/>
      <c r="EQ301" s="357"/>
      <c r="ER301" s="357"/>
      <c r="ES301" s="357"/>
      <c r="ET301" s="357"/>
      <c r="EU301" s="357"/>
      <c r="EV301" s="357"/>
      <c r="EW301" s="357"/>
      <c r="EX301" s="357"/>
      <c r="EY301" s="357"/>
      <c r="EZ301" s="357"/>
      <c r="FA301" s="357"/>
      <c r="FB301" s="357"/>
      <c r="FC301" s="357"/>
      <c r="FD301" s="357"/>
      <c r="FE301" s="357"/>
      <c r="FF301" s="357"/>
      <c r="FG301" s="357"/>
      <c r="FH301" s="357"/>
      <c r="FI301" s="357"/>
      <c r="FJ301" s="357"/>
      <c r="FK301" s="357"/>
      <c r="FL301" s="357"/>
      <c r="FM301" s="357"/>
      <c r="FN301" s="357"/>
      <c r="FO301" s="357"/>
      <c r="FP301" s="357"/>
      <c r="FQ301" s="357"/>
      <c r="FR301" s="357"/>
      <c r="FS301" s="357"/>
      <c r="FT301" s="357"/>
      <c r="FU301" s="357"/>
      <c r="FV301" s="357"/>
      <c r="FW301" s="357"/>
      <c r="FX301" s="357"/>
      <c r="FY301" s="357"/>
      <c r="FZ301" s="357"/>
      <c r="GA301" s="357"/>
      <c r="GB301" s="357"/>
      <c r="GC301" s="357"/>
      <c r="GD301" s="357"/>
      <c r="GE301" s="357"/>
      <c r="GF301" s="357"/>
      <c r="GG301" s="357"/>
      <c r="GH301" s="357"/>
      <c r="GI301" s="357"/>
      <c r="GJ301" s="357"/>
      <c r="GK301" s="154"/>
      <c r="GL301" s="154"/>
      <c r="GM301" s="154"/>
      <c r="GN301" s="154"/>
      <c r="GO301" s="154"/>
      <c r="GP301" s="154"/>
      <c r="GQ301" s="154"/>
      <c r="GR301" s="154"/>
      <c r="GS301" s="154"/>
      <c r="GT301" s="154"/>
      <c r="GU301" s="154"/>
      <c r="GV301" s="154"/>
      <c r="GW301" s="154"/>
      <c r="GX301" s="154"/>
    </row>
    <row r="302" spans="7:206">
      <c r="G302" s="154"/>
      <c r="H302" s="154"/>
      <c r="I302" s="154"/>
      <c r="J302" s="154"/>
      <c r="K302" s="154"/>
      <c r="L302" s="154"/>
      <c r="M302" s="154"/>
      <c r="N302" s="154"/>
      <c r="O302" s="154"/>
      <c r="P302" s="154"/>
      <c r="Q302" s="154"/>
      <c r="R302" s="154"/>
      <c r="S302" s="154"/>
      <c r="T302" s="154"/>
      <c r="U302" s="154"/>
      <c r="V302" s="154"/>
      <c r="W302" s="154"/>
      <c r="X302" s="154"/>
      <c r="Y302" s="154"/>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57"/>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7"/>
      <c r="BW302" s="357"/>
      <c r="BX302" s="357"/>
      <c r="BY302" s="357"/>
      <c r="BZ302" s="357"/>
      <c r="CA302" s="357"/>
      <c r="CB302" s="357"/>
      <c r="CC302" s="357"/>
      <c r="CD302" s="357"/>
      <c r="CE302" s="357"/>
      <c r="CF302" s="357"/>
      <c r="CG302" s="357"/>
      <c r="CH302" s="357"/>
      <c r="CI302" s="357"/>
      <c r="CJ302" s="357"/>
      <c r="CK302" s="357"/>
      <c r="CL302" s="357"/>
      <c r="CM302" s="357"/>
      <c r="CN302" s="357"/>
      <c r="CO302" s="357"/>
      <c r="CP302" s="357"/>
      <c r="CQ302" s="357"/>
      <c r="CR302" s="357"/>
      <c r="CS302" s="357"/>
      <c r="CT302" s="357"/>
      <c r="CU302" s="357"/>
      <c r="CV302" s="357"/>
      <c r="CW302" s="357"/>
      <c r="CX302" s="357"/>
      <c r="CY302" s="357"/>
      <c r="CZ302" s="357"/>
      <c r="DA302" s="357"/>
      <c r="DB302" s="357"/>
      <c r="DC302" s="357"/>
      <c r="DD302" s="357"/>
      <c r="DE302" s="357"/>
      <c r="DF302" s="357"/>
      <c r="DG302" s="357"/>
      <c r="DH302" s="357"/>
      <c r="DI302" s="357"/>
      <c r="DJ302" s="357"/>
      <c r="DK302" s="357"/>
      <c r="DL302" s="357"/>
      <c r="DM302" s="357"/>
      <c r="DN302" s="357"/>
      <c r="DO302" s="357"/>
      <c r="DP302" s="357"/>
      <c r="DQ302" s="357"/>
      <c r="DR302" s="357"/>
      <c r="DS302" s="357"/>
      <c r="DT302" s="357"/>
      <c r="DU302" s="357"/>
      <c r="DV302" s="357"/>
      <c r="DW302" s="357"/>
      <c r="DX302" s="357"/>
      <c r="DY302" s="357"/>
      <c r="DZ302" s="357"/>
      <c r="EA302" s="357"/>
      <c r="EB302" s="357"/>
      <c r="EC302" s="357"/>
      <c r="ED302" s="357"/>
      <c r="EE302" s="357"/>
      <c r="EF302" s="357"/>
      <c r="EG302" s="357"/>
      <c r="EH302" s="357"/>
      <c r="EI302" s="357"/>
      <c r="EJ302" s="357"/>
      <c r="EK302" s="357"/>
      <c r="EL302" s="357"/>
      <c r="EM302" s="357"/>
      <c r="EN302" s="357"/>
      <c r="EO302" s="357"/>
      <c r="EP302" s="357"/>
      <c r="EQ302" s="357"/>
      <c r="ER302" s="357"/>
      <c r="ES302" s="357"/>
      <c r="ET302" s="357"/>
      <c r="EU302" s="357"/>
      <c r="EV302" s="357"/>
      <c r="EW302" s="357"/>
      <c r="EX302" s="357"/>
      <c r="EY302" s="357"/>
      <c r="EZ302" s="357"/>
      <c r="FA302" s="357"/>
      <c r="FB302" s="357"/>
      <c r="FC302" s="357"/>
      <c r="FD302" s="357"/>
      <c r="FE302" s="357"/>
      <c r="FF302" s="357"/>
      <c r="FG302" s="357"/>
      <c r="FH302" s="357"/>
      <c r="FI302" s="357"/>
      <c r="FJ302" s="357"/>
      <c r="FK302" s="357"/>
      <c r="FL302" s="357"/>
      <c r="FM302" s="357"/>
      <c r="FN302" s="357"/>
      <c r="FO302" s="357"/>
      <c r="FP302" s="357"/>
      <c r="FQ302" s="357"/>
      <c r="FR302" s="357"/>
      <c r="FS302" s="357"/>
      <c r="FT302" s="357"/>
      <c r="FU302" s="357"/>
      <c r="FV302" s="357"/>
      <c r="FW302" s="357"/>
      <c r="FX302" s="357"/>
      <c r="FY302" s="357"/>
      <c r="FZ302" s="357"/>
      <c r="GA302" s="357"/>
      <c r="GB302" s="357"/>
      <c r="GC302" s="357"/>
      <c r="GD302" s="357"/>
      <c r="GE302" s="357"/>
      <c r="GF302" s="357"/>
      <c r="GG302" s="357"/>
      <c r="GH302" s="357"/>
      <c r="GI302" s="357"/>
      <c r="GJ302" s="357"/>
      <c r="GK302" s="154"/>
      <c r="GL302" s="154"/>
      <c r="GM302" s="154"/>
      <c r="GN302" s="154"/>
      <c r="GO302" s="154"/>
      <c r="GP302" s="154"/>
      <c r="GQ302" s="154"/>
      <c r="GR302" s="154"/>
      <c r="GS302" s="154"/>
      <c r="GT302" s="154"/>
      <c r="GU302" s="154"/>
      <c r="GV302" s="154"/>
      <c r="GW302" s="154"/>
      <c r="GX302" s="154"/>
    </row>
    <row r="303" spans="7:206">
      <c r="G303" s="154"/>
      <c r="H303" s="154"/>
      <c r="I303" s="154"/>
      <c r="J303" s="154"/>
      <c r="K303" s="154"/>
      <c r="L303" s="154"/>
      <c r="M303" s="154"/>
      <c r="N303" s="154"/>
      <c r="O303" s="154"/>
      <c r="P303" s="154"/>
      <c r="Q303" s="154"/>
      <c r="R303" s="154"/>
      <c r="S303" s="154"/>
      <c r="T303" s="154"/>
      <c r="U303" s="154"/>
      <c r="V303" s="154"/>
      <c r="W303" s="154"/>
      <c r="X303" s="154"/>
      <c r="Y303" s="154"/>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57"/>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7"/>
      <c r="BW303" s="357"/>
      <c r="BX303" s="357"/>
      <c r="BY303" s="357"/>
      <c r="BZ303" s="357"/>
      <c r="CA303" s="357"/>
      <c r="CB303" s="357"/>
      <c r="CC303" s="357"/>
      <c r="CD303" s="357"/>
      <c r="CE303" s="357"/>
      <c r="CF303" s="357"/>
      <c r="CG303" s="357"/>
      <c r="CH303" s="357"/>
      <c r="CI303" s="357"/>
      <c r="CJ303" s="357"/>
      <c r="CK303" s="357"/>
      <c r="CL303" s="357"/>
      <c r="CM303" s="357"/>
      <c r="CN303" s="357"/>
      <c r="CO303" s="357"/>
      <c r="CP303" s="357"/>
      <c r="CQ303" s="357"/>
      <c r="CR303" s="357"/>
      <c r="CS303" s="357"/>
      <c r="CT303" s="357"/>
      <c r="CU303" s="357"/>
      <c r="CV303" s="357"/>
      <c r="CW303" s="357"/>
      <c r="CX303" s="357"/>
      <c r="CY303" s="357"/>
      <c r="CZ303" s="357"/>
      <c r="DA303" s="357"/>
      <c r="DB303" s="357"/>
      <c r="DC303" s="357"/>
      <c r="DD303" s="357"/>
      <c r="DE303" s="357"/>
      <c r="DF303" s="357"/>
      <c r="DG303" s="357"/>
      <c r="DH303" s="357"/>
      <c r="DI303" s="357"/>
      <c r="DJ303" s="357"/>
      <c r="DK303" s="357"/>
      <c r="DL303" s="357"/>
      <c r="DM303" s="357"/>
      <c r="DN303" s="357"/>
      <c r="DO303" s="357"/>
      <c r="DP303" s="357"/>
      <c r="DQ303" s="357"/>
      <c r="DR303" s="357"/>
      <c r="DS303" s="357"/>
      <c r="DT303" s="357"/>
      <c r="DU303" s="357"/>
      <c r="DV303" s="357"/>
      <c r="DW303" s="357"/>
      <c r="DX303" s="357"/>
      <c r="DY303" s="357"/>
      <c r="DZ303" s="357"/>
      <c r="EA303" s="357"/>
      <c r="EB303" s="357"/>
      <c r="EC303" s="357"/>
      <c r="ED303" s="357"/>
      <c r="EE303" s="357"/>
      <c r="EF303" s="357"/>
      <c r="EG303" s="357"/>
      <c r="EH303" s="357"/>
      <c r="EI303" s="357"/>
      <c r="EJ303" s="357"/>
      <c r="EK303" s="357"/>
      <c r="EL303" s="357"/>
      <c r="EM303" s="357"/>
      <c r="EN303" s="357"/>
      <c r="EO303" s="357"/>
      <c r="EP303" s="357"/>
      <c r="EQ303" s="357"/>
      <c r="ER303" s="357"/>
      <c r="ES303" s="357"/>
      <c r="ET303" s="357"/>
      <c r="EU303" s="357"/>
      <c r="EV303" s="357"/>
      <c r="EW303" s="357"/>
      <c r="EX303" s="357"/>
      <c r="EY303" s="357"/>
      <c r="EZ303" s="357"/>
      <c r="FA303" s="357"/>
      <c r="FB303" s="357"/>
      <c r="FC303" s="357"/>
      <c r="FD303" s="357"/>
      <c r="FE303" s="357"/>
      <c r="FF303" s="357"/>
      <c r="FG303" s="357"/>
      <c r="FH303" s="357"/>
      <c r="FI303" s="357"/>
      <c r="FJ303" s="357"/>
      <c r="FK303" s="357"/>
      <c r="FL303" s="357"/>
      <c r="FM303" s="357"/>
      <c r="FN303" s="357"/>
      <c r="FO303" s="357"/>
      <c r="FP303" s="357"/>
      <c r="FQ303" s="357"/>
      <c r="FR303" s="357"/>
      <c r="FS303" s="357"/>
      <c r="FT303" s="357"/>
      <c r="FU303" s="357"/>
      <c r="FV303" s="357"/>
      <c r="FW303" s="357"/>
      <c r="FX303" s="357"/>
      <c r="FY303" s="357"/>
      <c r="FZ303" s="357"/>
      <c r="GA303" s="357"/>
      <c r="GB303" s="357"/>
      <c r="GC303" s="357"/>
      <c r="GD303" s="357"/>
      <c r="GE303" s="357"/>
      <c r="GF303" s="357"/>
      <c r="GG303" s="357"/>
      <c r="GH303" s="357"/>
      <c r="GI303" s="357"/>
      <c r="GJ303" s="357"/>
      <c r="GK303" s="154"/>
      <c r="GL303" s="154"/>
      <c r="GM303" s="154"/>
      <c r="GN303" s="154"/>
      <c r="GO303" s="154"/>
      <c r="GP303" s="154"/>
      <c r="GQ303" s="154"/>
      <c r="GR303" s="154"/>
      <c r="GS303" s="154"/>
      <c r="GT303" s="154"/>
      <c r="GU303" s="154"/>
      <c r="GV303" s="154"/>
      <c r="GW303" s="154"/>
      <c r="GX303" s="154"/>
    </row>
    <row r="304" spans="7:206">
      <c r="G304" s="154"/>
      <c r="H304" s="154"/>
      <c r="I304" s="154"/>
      <c r="J304" s="154"/>
      <c r="K304" s="154"/>
      <c r="L304" s="154"/>
      <c r="M304" s="154"/>
      <c r="N304" s="154"/>
      <c r="O304" s="154"/>
      <c r="P304" s="154"/>
      <c r="Q304" s="154"/>
      <c r="R304" s="154"/>
      <c r="S304" s="154"/>
      <c r="T304" s="154"/>
      <c r="U304" s="154"/>
      <c r="V304" s="154"/>
      <c r="W304" s="154"/>
      <c r="X304" s="154"/>
      <c r="Y304" s="154"/>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57"/>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7"/>
      <c r="BW304" s="357"/>
      <c r="BX304" s="357"/>
      <c r="BY304" s="357"/>
      <c r="BZ304" s="357"/>
      <c r="CA304" s="357"/>
      <c r="CB304" s="357"/>
      <c r="CC304" s="357"/>
      <c r="CD304" s="357"/>
      <c r="CE304" s="357"/>
      <c r="CF304" s="357"/>
      <c r="CG304" s="357"/>
      <c r="CH304" s="357"/>
      <c r="CI304" s="357"/>
      <c r="CJ304" s="357"/>
      <c r="CK304" s="357"/>
      <c r="CL304" s="357"/>
      <c r="CM304" s="357"/>
      <c r="CN304" s="357"/>
      <c r="CO304" s="357"/>
      <c r="CP304" s="357"/>
      <c r="CQ304" s="357"/>
      <c r="CR304" s="357"/>
      <c r="CS304" s="357"/>
      <c r="CT304" s="357"/>
      <c r="CU304" s="357"/>
      <c r="CV304" s="357"/>
      <c r="CW304" s="357"/>
      <c r="CX304" s="357"/>
      <c r="CY304" s="357"/>
      <c r="CZ304" s="357"/>
      <c r="DA304" s="357"/>
      <c r="DB304" s="357"/>
      <c r="DC304" s="357"/>
      <c r="DD304" s="357"/>
      <c r="DE304" s="357"/>
      <c r="DF304" s="357"/>
      <c r="DG304" s="357"/>
      <c r="DH304" s="357"/>
      <c r="DI304" s="357"/>
      <c r="DJ304" s="357"/>
      <c r="DK304" s="357"/>
      <c r="DL304" s="357"/>
      <c r="DM304" s="357"/>
      <c r="DN304" s="357"/>
      <c r="DO304" s="357"/>
      <c r="DP304" s="357"/>
      <c r="DQ304" s="357"/>
      <c r="DR304" s="357"/>
      <c r="DS304" s="357"/>
      <c r="DT304" s="357"/>
      <c r="DU304" s="357"/>
      <c r="DV304" s="357"/>
      <c r="DW304" s="357"/>
      <c r="DX304" s="357"/>
      <c r="DY304" s="357"/>
      <c r="DZ304" s="357"/>
      <c r="EA304" s="357"/>
      <c r="EB304" s="357"/>
      <c r="EC304" s="357"/>
      <c r="ED304" s="357"/>
      <c r="EE304" s="357"/>
      <c r="EF304" s="357"/>
      <c r="EG304" s="357"/>
      <c r="EH304" s="357"/>
      <c r="EI304" s="357"/>
      <c r="EJ304" s="357"/>
      <c r="EK304" s="357"/>
      <c r="EL304" s="357"/>
      <c r="EM304" s="357"/>
      <c r="EN304" s="357"/>
      <c r="EO304" s="357"/>
      <c r="EP304" s="357"/>
      <c r="EQ304" s="357"/>
      <c r="ER304" s="357"/>
      <c r="ES304" s="357"/>
      <c r="ET304" s="357"/>
      <c r="EU304" s="357"/>
      <c r="EV304" s="357"/>
      <c r="EW304" s="357"/>
      <c r="EX304" s="357"/>
      <c r="EY304" s="357"/>
      <c r="EZ304" s="357"/>
      <c r="FA304" s="357"/>
      <c r="FB304" s="357"/>
      <c r="FC304" s="357"/>
      <c r="FD304" s="357"/>
      <c r="FE304" s="357"/>
      <c r="FF304" s="357"/>
      <c r="FG304" s="357"/>
      <c r="FH304" s="357"/>
      <c r="FI304" s="357"/>
      <c r="FJ304" s="357"/>
      <c r="FK304" s="357"/>
      <c r="FL304" s="357"/>
      <c r="FM304" s="357"/>
      <c r="FN304" s="357"/>
      <c r="FO304" s="357"/>
      <c r="FP304" s="357"/>
      <c r="FQ304" s="357"/>
      <c r="FR304" s="357"/>
      <c r="FS304" s="357"/>
      <c r="FT304" s="357"/>
      <c r="FU304" s="357"/>
      <c r="FV304" s="357"/>
      <c r="FW304" s="357"/>
      <c r="FX304" s="357"/>
      <c r="FY304" s="357"/>
      <c r="FZ304" s="357"/>
      <c r="GA304" s="357"/>
      <c r="GB304" s="357"/>
      <c r="GC304" s="357"/>
      <c r="GD304" s="357"/>
      <c r="GE304" s="357"/>
      <c r="GF304" s="357"/>
      <c r="GG304" s="357"/>
      <c r="GH304" s="357"/>
      <c r="GI304" s="357"/>
      <c r="GJ304" s="357"/>
      <c r="GK304" s="154"/>
      <c r="GL304" s="154"/>
      <c r="GM304" s="154"/>
      <c r="GN304" s="154"/>
      <c r="GO304" s="154"/>
      <c r="GP304" s="154"/>
      <c r="GQ304" s="154"/>
      <c r="GR304" s="154"/>
      <c r="GS304" s="154"/>
      <c r="GT304" s="154"/>
      <c r="GU304" s="154"/>
      <c r="GV304" s="154"/>
      <c r="GW304" s="154"/>
      <c r="GX304" s="154"/>
    </row>
    <row r="305" spans="7:206">
      <c r="G305" s="154"/>
      <c r="H305" s="154"/>
      <c r="I305" s="154"/>
      <c r="J305" s="154"/>
      <c r="K305" s="154"/>
      <c r="L305" s="154"/>
      <c r="M305" s="154"/>
      <c r="N305" s="154"/>
      <c r="O305" s="154"/>
      <c r="P305" s="154"/>
      <c r="Q305" s="154"/>
      <c r="R305" s="154"/>
      <c r="S305" s="154"/>
      <c r="T305" s="154"/>
      <c r="U305" s="154"/>
      <c r="V305" s="154"/>
      <c r="W305" s="154"/>
      <c r="X305" s="154"/>
      <c r="Y305" s="154"/>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57"/>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7"/>
      <c r="BW305" s="357"/>
      <c r="BX305" s="357"/>
      <c r="BY305" s="357"/>
      <c r="BZ305" s="357"/>
      <c r="CA305" s="357"/>
      <c r="CB305" s="357"/>
      <c r="CC305" s="357"/>
      <c r="CD305" s="357"/>
      <c r="CE305" s="357"/>
      <c r="CF305" s="357"/>
      <c r="CG305" s="357"/>
      <c r="CH305" s="357"/>
      <c r="CI305" s="357"/>
      <c r="CJ305" s="357"/>
      <c r="CK305" s="357"/>
      <c r="CL305" s="357"/>
      <c r="CM305" s="357"/>
      <c r="CN305" s="357"/>
      <c r="CO305" s="357"/>
      <c r="CP305" s="357"/>
      <c r="CQ305" s="357"/>
      <c r="CR305" s="357"/>
      <c r="CS305" s="357"/>
      <c r="CT305" s="357"/>
      <c r="CU305" s="357"/>
      <c r="CV305" s="357"/>
      <c r="CW305" s="357"/>
      <c r="CX305" s="357"/>
      <c r="CY305" s="357"/>
      <c r="CZ305" s="357"/>
      <c r="DA305" s="357"/>
      <c r="DB305" s="357"/>
      <c r="DC305" s="357"/>
      <c r="DD305" s="357"/>
      <c r="DE305" s="357"/>
      <c r="DF305" s="357"/>
      <c r="DG305" s="357"/>
      <c r="DH305" s="357"/>
      <c r="DI305" s="357"/>
      <c r="DJ305" s="357"/>
      <c r="DK305" s="357"/>
      <c r="DL305" s="357"/>
      <c r="DM305" s="357"/>
      <c r="DN305" s="357"/>
      <c r="DO305" s="357"/>
      <c r="DP305" s="357"/>
      <c r="DQ305" s="357"/>
      <c r="DR305" s="357"/>
      <c r="DS305" s="357"/>
      <c r="DT305" s="357"/>
      <c r="DU305" s="357"/>
      <c r="DV305" s="357"/>
      <c r="DW305" s="357"/>
      <c r="DX305" s="357"/>
      <c r="DY305" s="357"/>
      <c r="DZ305" s="357"/>
      <c r="EA305" s="357"/>
      <c r="EB305" s="357"/>
      <c r="EC305" s="357"/>
      <c r="ED305" s="357"/>
      <c r="EE305" s="357"/>
      <c r="EF305" s="357"/>
      <c r="EG305" s="357"/>
      <c r="EH305" s="357"/>
      <c r="EI305" s="357"/>
      <c r="EJ305" s="357"/>
      <c r="EK305" s="357"/>
      <c r="EL305" s="357"/>
      <c r="EM305" s="357"/>
      <c r="EN305" s="357"/>
      <c r="EO305" s="357"/>
      <c r="EP305" s="357"/>
      <c r="EQ305" s="357"/>
      <c r="ER305" s="357"/>
      <c r="ES305" s="357"/>
      <c r="ET305" s="357"/>
      <c r="EU305" s="357"/>
      <c r="EV305" s="357"/>
      <c r="EW305" s="357"/>
      <c r="EX305" s="357"/>
      <c r="EY305" s="357"/>
      <c r="EZ305" s="357"/>
      <c r="FA305" s="357"/>
      <c r="FB305" s="357"/>
      <c r="FC305" s="357"/>
      <c r="FD305" s="357"/>
      <c r="FE305" s="357"/>
      <c r="FF305" s="357"/>
      <c r="FG305" s="357"/>
      <c r="FH305" s="357"/>
      <c r="FI305" s="357"/>
      <c r="FJ305" s="357"/>
      <c r="FK305" s="357"/>
      <c r="FL305" s="357"/>
      <c r="FM305" s="357"/>
      <c r="FN305" s="357"/>
      <c r="FO305" s="357"/>
      <c r="FP305" s="357"/>
      <c r="FQ305" s="357"/>
      <c r="FR305" s="357"/>
      <c r="FS305" s="357"/>
      <c r="FT305" s="357"/>
      <c r="FU305" s="357"/>
      <c r="FV305" s="357"/>
      <c r="FW305" s="357"/>
      <c r="FX305" s="357"/>
      <c r="FY305" s="357"/>
      <c r="FZ305" s="357"/>
      <c r="GA305" s="357"/>
      <c r="GB305" s="357"/>
      <c r="GC305" s="357"/>
      <c r="GD305" s="357"/>
      <c r="GE305" s="357"/>
      <c r="GF305" s="357"/>
      <c r="GG305" s="357"/>
      <c r="GH305" s="357"/>
      <c r="GI305" s="357"/>
      <c r="GJ305" s="357"/>
      <c r="GK305" s="154"/>
      <c r="GL305" s="154"/>
      <c r="GM305" s="154"/>
      <c r="GN305" s="154"/>
      <c r="GO305" s="154"/>
      <c r="GP305" s="154"/>
      <c r="GQ305" s="154"/>
      <c r="GR305" s="154"/>
      <c r="GS305" s="154"/>
      <c r="GT305" s="154"/>
      <c r="GU305" s="154"/>
      <c r="GV305" s="154"/>
      <c r="GW305" s="154"/>
      <c r="GX305" s="154"/>
    </row>
    <row r="306" spans="7:206">
      <c r="G306" s="154"/>
      <c r="H306" s="154"/>
      <c r="I306" s="154"/>
      <c r="J306" s="154"/>
      <c r="K306" s="154"/>
      <c r="L306" s="154"/>
      <c r="M306" s="154"/>
      <c r="N306" s="154"/>
      <c r="O306" s="154"/>
      <c r="P306" s="154"/>
      <c r="Q306" s="154"/>
      <c r="R306" s="154"/>
      <c r="S306" s="154"/>
      <c r="T306" s="154"/>
      <c r="U306" s="154"/>
      <c r="V306" s="154"/>
      <c r="W306" s="154"/>
      <c r="X306" s="154"/>
      <c r="Y306" s="154"/>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57"/>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7"/>
      <c r="BW306" s="357"/>
      <c r="BX306" s="357"/>
      <c r="BY306" s="357"/>
      <c r="BZ306" s="357"/>
      <c r="CA306" s="357"/>
      <c r="CB306" s="357"/>
      <c r="CC306" s="357"/>
      <c r="CD306" s="357"/>
      <c r="CE306" s="357"/>
      <c r="CF306" s="357"/>
      <c r="CG306" s="357"/>
      <c r="CH306" s="357"/>
      <c r="CI306" s="357"/>
      <c r="CJ306" s="357"/>
      <c r="CK306" s="357"/>
      <c r="CL306" s="357"/>
      <c r="CM306" s="357"/>
      <c r="CN306" s="357"/>
      <c r="CO306" s="357"/>
      <c r="CP306" s="357"/>
      <c r="CQ306" s="357"/>
      <c r="CR306" s="357"/>
      <c r="CS306" s="357"/>
      <c r="CT306" s="357"/>
      <c r="CU306" s="357"/>
      <c r="CV306" s="357"/>
      <c r="CW306" s="357"/>
      <c r="CX306" s="357"/>
      <c r="CY306" s="357"/>
      <c r="CZ306" s="357"/>
      <c r="DA306" s="357"/>
      <c r="DB306" s="357"/>
      <c r="DC306" s="357"/>
      <c r="DD306" s="357"/>
      <c r="DE306" s="357"/>
      <c r="DF306" s="357"/>
      <c r="DG306" s="357"/>
      <c r="DH306" s="357"/>
      <c r="DI306" s="357"/>
      <c r="DJ306" s="357"/>
      <c r="DK306" s="357"/>
      <c r="DL306" s="357"/>
      <c r="DM306" s="357"/>
      <c r="DN306" s="357"/>
      <c r="DO306" s="357"/>
      <c r="DP306" s="357"/>
      <c r="DQ306" s="357"/>
      <c r="DR306" s="357"/>
      <c r="DS306" s="357"/>
      <c r="DT306" s="357"/>
      <c r="DU306" s="357"/>
      <c r="DV306" s="357"/>
      <c r="DW306" s="357"/>
      <c r="DX306" s="357"/>
      <c r="DY306" s="357"/>
      <c r="DZ306" s="357"/>
      <c r="EA306" s="357"/>
      <c r="EB306" s="357"/>
      <c r="EC306" s="357"/>
      <c r="ED306" s="357"/>
      <c r="EE306" s="357"/>
      <c r="EF306" s="357"/>
      <c r="EG306" s="357"/>
      <c r="EH306" s="357"/>
      <c r="EI306" s="357"/>
      <c r="EJ306" s="357"/>
      <c r="EK306" s="357"/>
      <c r="EL306" s="357"/>
      <c r="EM306" s="357"/>
      <c r="EN306" s="357"/>
      <c r="EO306" s="357"/>
      <c r="EP306" s="357"/>
      <c r="EQ306" s="357"/>
      <c r="ER306" s="357"/>
      <c r="ES306" s="357"/>
      <c r="ET306" s="357"/>
      <c r="EU306" s="357"/>
      <c r="EV306" s="357"/>
      <c r="EW306" s="357"/>
      <c r="EX306" s="357"/>
      <c r="EY306" s="357"/>
      <c r="EZ306" s="357"/>
      <c r="FA306" s="357"/>
      <c r="FB306" s="357"/>
      <c r="FC306" s="357"/>
      <c r="FD306" s="357"/>
      <c r="FE306" s="357"/>
      <c r="FF306" s="357"/>
      <c r="FG306" s="357"/>
      <c r="FH306" s="357"/>
      <c r="FI306" s="357"/>
      <c r="FJ306" s="357"/>
      <c r="FK306" s="357"/>
      <c r="FL306" s="357"/>
      <c r="FM306" s="357"/>
      <c r="FN306" s="357"/>
      <c r="FO306" s="357"/>
      <c r="FP306" s="357"/>
      <c r="FQ306" s="357"/>
      <c r="FR306" s="357"/>
      <c r="FS306" s="357"/>
      <c r="FT306" s="357"/>
      <c r="FU306" s="357"/>
      <c r="FV306" s="357"/>
      <c r="FW306" s="357"/>
      <c r="FX306" s="357"/>
      <c r="FY306" s="357"/>
      <c r="FZ306" s="357"/>
      <c r="GA306" s="357"/>
      <c r="GB306" s="357"/>
      <c r="GC306" s="357"/>
      <c r="GD306" s="357"/>
      <c r="GE306" s="357"/>
      <c r="GF306" s="357"/>
      <c r="GG306" s="357"/>
      <c r="GH306" s="357"/>
      <c r="GI306" s="357"/>
      <c r="GJ306" s="357"/>
      <c r="GK306" s="154"/>
      <c r="GL306" s="154"/>
      <c r="GM306" s="154"/>
      <c r="GN306" s="154"/>
      <c r="GO306" s="154"/>
      <c r="GP306" s="154"/>
      <c r="GQ306" s="154"/>
      <c r="GR306" s="154"/>
      <c r="GS306" s="154"/>
      <c r="GT306" s="154"/>
      <c r="GU306" s="154"/>
      <c r="GV306" s="154"/>
      <c r="GW306" s="154"/>
      <c r="GX306" s="154"/>
    </row>
    <row r="307" spans="7:206">
      <c r="G307" s="154"/>
      <c r="H307" s="154"/>
      <c r="I307" s="154"/>
      <c r="J307" s="154"/>
      <c r="K307" s="154"/>
      <c r="L307" s="154"/>
      <c r="M307" s="154"/>
      <c r="N307" s="154"/>
      <c r="O307" s="154"/>
      <c r="P307" s="154"/>
      <c r="Q307" s="154"/>
      <c r="R307" s="154"/>
      <c r="S307" s="154"/>
      <c r="T307" s="154"/>
      <c r="U307" s="154"/>
      <c r="V307" s="154"/>
      <c r="W307" s="154"/>
      <c r="X307" s="154"/>
      <c r="Y307" s="154"/>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57"/>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7"/>
      <c r="BW307" s="357"/>
      <c r="BX307" s="357"/>
      <c r="BY307" s="357"/>
      <c r="BZ307" s="357"/>
      <c r="CA307" s="357"/>
      <c r="CB307" s="357"/>
      <c r="CC307" s="357"/>
      <c r="CD307" s="357"/>
      <c r="CE307" s="357"/>
      <c r="CF307" s="357"/>
      <c r="CG307" s="357"/>
      <c r="CH307" s="357"/>
      <c r="CI307" s="357"/>
      <c r="CJ307" s="357"/>
      <c r="CK307" s="357"/>
      <c r="CL307" s="357"/>
      <c r="CM307" s="357"/>
      <c r="CN307" s="357"/>
      <c r="CO307" s="357"/>
      <c r="CP307" s="357"/>
      <c r="CQ307" s="357"/>
      <c r="CR307" s="357"/>
      <c r="CS307" s="357"/>
      <c r="CT307" s="357"/>
      <c r="CU307" s="357"/>
      <c r="CV307" s="357"/>
      <c r="CW307" s="357"/>
      <c r="CX307" s="357"/>
      <c r="CY307" s="357"/>
      <c r="CZ307" s="357"/>
      <c r="DA307" s="357"/>
      <c r="DB307" s="357"/>
      <c r="DC307" s="357"/>
      <c r="DD307" s="357"/>
      <c r="DE307" s="357"/>
      <c r="DF307" s="357"/>
      <c r="DG307" s="357"/>
      <c r="DH307" s="357"/>
      <c r="DI307" s="357"/>
      <c r="DJ307" s="357"/>
      <c r="DK307" s="357"/>
      <c r="DL307" s="357"/>
      <c r="DM307" s="357"/>
      <c r="DN307" s="357"/>
      <c r="DO307" s="357"/>
      <c r="DP307" s="357"/>
      <c r="DQ307" s="357"/>
      <c r="DR307" s="357"/>
      <c r="DS307" s="357"/>
      <c r="DT307" s="357"/>
      <c r="DU307" s="357"/>
      <c r="DV307" s="357"/>
      <c r="DW307" s="357"/>
      <c r="DX307" s="357"/>
      <c r="DY307" s="357"/>
      <c r="DZ307" s="357"/>
      <c r="EA307" s="357"/>
      <c r="EB307" s="357"/>
      <c r="EC307" s="357"/>
      <c r="ED307" s="357"/>
      <c r="EE307" s="357"/>
      <c r="EF307" s="357"/>
      <c r="EG307" s="357"/>
      <c r="EH307" s="357"/>
      <c r="EI307" s="357"/>
      <c r="EJ307" s="357"/>
      <c r="EK307" s="357"/>
      <c r="EL307" s="357"/>
      <c r="EM307" s="357"/>
      <c r="EN307" s="357"/>
      <c r="EO307" s="357"/>
      <c r="EP307" s="357"/>
      <c r="EQ307" s="357"/>
      <c r="ER307" s="357"/>
      <c r="ES307" s="357"/>
      <c r="ET307" s="357"/>
      <c r="EU307" s="357"/>
      <c r="EV307" s="357"/>
      <c r="EW307" s="357"/>
      <c r="EX307" s="357"/>
      <c r="EY307" s="357"/>
      <c r="EZ307" s="357"/>
      <c r="FA307" s="357"/>
      <c r="FB307" s="357"/>
      <c r="FC307" s="357"/>
      <c r="FD307" s="357"/>
      <c r="FE307" s="357"/>
      <c r="FF307" s="357"/>
      <c r="FG307" s="357"/>
      <c r="FH307" s="357"/>
      <c r="FI307" s="357"/>
      <c r="FJ307" s="357"/>
      <c r="FK307" s="357"/>
      <c r="FL307" s="357"/>
      <c r="FM307" s="357"/>
      <c r="FN307" s="357"/>
      <c r="FO307" s="357"/>
      <c r="FP307" s="357"/>
      <c r="FQ307" s="357"/>
      <c r="FR307" s="357"/>
      <c r="FS307" s="357"/>
      <c r="FT307" s="357"/>
      <c r="FU307" s="357"/>
      <c r="FV307" s="357"/>
      <c r="FW307" s="357"/>
      <c r="FX307" s="357"/>
      <c r="FY307" s="357"/>
      <c r="FZ307" s="357"/>
      <c r="GA307" s="357"/>
      <c r="GB307" s="357"/>
      <c r="GC307" s="357"/>
      <c r="GD307" s="357"/>
      <c r="GE307" s="357"/>
      <c r="GF307" s="357"/>
      <c r="GG307" s="357"/>
      <c r="GH307" s="357"/>
      <c r="GI307" s="357"/>
      <c r="GJ307" s="357"/>
      <c r="GK307" s="154"/>
      <c r="GL307" s="154"/>
      <c r="GM307" s="154"/>
      <c r="GN307" s="154"/>
      <c r="GO307" s="154"/>
      <c r="GP307" s="154"/>
      <c r="GQ307" s="154"/>
      <c r="GR307" s="154"/>
      <c r="GS307" s="154"/>
      <c r="GT307" s="154"/>
      <c r="GU307" s="154"/>
      <c r="GV307" s="154"/>
      <c r="GW307" s="154"/>
      <c r="GX307" s="154"/>
    </row>
    <row r="308" spans="7:206">
      <c r="G308" s="154"/>
      <c r="H308" s="154"/>
      <c r="I308" s="154"/>
      <c r="J308" s="154"/>
      <c r="K308" s="154"/>
      <c r="L308" s="154"/>
      <c r="M308" s="154"/>
      <c r="N308" s="154"/>
      <c r="O308" s="154"/>
      <c r="P308" s="154"/>
      <c r="Q308" s="154"/>
      <c r="R308" s="154"/>
      <c r="S308" s="154"/>
      <c r="T308" s="154"/>
      <c r="U308" s="154"/>
      <c r="V308" s="154"/>
      <c r="W308" s="154"/>
      <c r="X308" s="154"/>
      <c r="Y308" s="154"/>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57"/>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7"/>
      <c r="BW308" s="357"/>
      <c r="BX308" s="357"/>
      <c r="BY308" s="357"/>
      <c r="BZ308" s="357"/>
      <c r="CA308" s="357"/>
      <c r="CB308" s="357"/>
      <c r="CC308" s="357"/>
      <c r="CD308" s="357"/>
      <c r="CE308" s="357"/>
      <c r="CF308" s="357"/>
      <c r="CG308" s="357"/>
      <c r="CH308" s="357"/>
      <c r="CI308" s="357"/>
      <c r="CJ308" s="357"/>
      <c r="CK308" s="357"/>
      <c r="CL308" s="357"/>
      <c r="CM308" s="357"/>
      <c r="CN308" s="357"/>
      <c r="CO308" s="357"/>
      <c r="CP308" s="357"/>
      <c r="CQ308" s="357"/>
      <c r="CR308" s="357"/>
      <c r="CS308" s="357"/>
      <c r="CT308" s="357"/>
      <c r="CU308" s="357"/>
      <c r="CV308" s="357"/>
      <c r="CW308" s="357"/>
      <c r="CX308" s="357"/>
      <c r="CY308" s="357"/>
      <c r="CZ308" s="357"/>
      <c r="DA308" s="357"/>
      <c r="DB308" s="357"/>
      <c r="DC308" s="357"/>
      <c r="DD308" s="357"/>
      <c r="DE308" s="357"/>
      <c r="DF308" s="357"/>
      <c r="DG308" s="357"/>
      <c r="DH308" s="357"/>
      <c r="DI308" s="357"/>
      <c r="DJ308" s="357"/>
      <c r="DK308" s="357"/>
      <c r="DL308" s="357"/>
      <c r="DM308" s="357"/>
      <c r="DN308" s="357"/>
      <c r="DO308" s="357"/>
      <c r="DP308" s="357"/>
      <c r="DQ308" s="357"/>
      <c r="DR308" s="357"/>
      <c r="DS308" s="357"/>
      <c r="DT308" s="357"/>
      <c r="DU308" s="357"/>
      <c r="DV308" s="357"/>
      <c r="DW308" s="357"/>
      <c r="DX308" s="357"/>
      <c r="DY308" s="357"/>
      <c r="DZ308" s="357"/>
      <c r="EA308" s="357"/>
      <c r="EB308" s="357"/>
      <c r="EC308" s="357"/>
      <c r="ED308" s="357"/>
      <c r="EE308" s="357"/>
      <c r="EF308" s="357"/>
      <c r="EG308" s="357"/>
      <c r="EH308" s="357"/>
      <c r="EI308" s="357"/>
      <c r="EJ308" s="357"/>
      <c r="EK308" s="357"/>
      <c r="EL308" s="357"/>
      <c r="EM308" s="357"/>
      <c r="EN308" s="357"/>
      <c r="EO308" s="357"/>
      <c r="EP308" s="357"/>
      <c r="EQ308" s="357"/>
      <c r="ER308" s="357"/>
      <c r="ES308" s="357"/>
      <c r="ET308" s="357"/>
      <c r="EU308" s="357"/>
      <c r="EV308" s="357"/>
      <c r="EW308" s="357"/>
      <c r="EX308" s="357"/>
      <c r="EY308" s="357"/>
      <c r="EZ308" s="357"/>
      <c r="FA308" s="357"/>
      <c r="FB308" s="357"/>
      <c r="FC308" s="357"/>
      <c r="FD308" s="357"/>
      <c r="FE308" s="357"/>
      <c r="FF308" s="357"/>
      <c r="FG308" s="357"/>
      <c r="FH308" s="357"/>
      <c r="FI308" s="357"/>
      <c r="FJ308" s="357"/>
      <c r="FK308" s="357"/>
      <c r="FL308" s="357"/>
      <c r="FM308" s="357"/>
      <c r="FN308" s="357"/>
      <c r="FO308" s="357"/>
      <c r="FP308" s="357"/>
      <c r="FQ308" s="357"/>
      <c r="FR308" s="357"/>
      <c r="FS308" s="357"/>
      <c r="FT308" s="357"/>
      <c r="FU308" s="357"/>
      <c r="FV308" s="357"/>
      <c r="FW308" s="357"/>
      <c r="FX308" s="357"/>
      <c r="FY308" s="357"/>
      <c r="FZ308" s="357"/>
      <c r="GA308" s="357"/>
      <c r="GB308" s="357"/>
      <c r="GC308" s="357"/>
      <c r="GD308" s="357"/>
      <c r="GE308" s="357"/>
      <c r="GF308" s="357"/>
      <c r="GG308" s="357"/>
      <c r="GH308" s="357"/>
      <c r="GI308" s="357"/>
      <c r="GJ308" s="357"/>
      <c r="GK308" s="154"/>
      <c r="GL308" s="154"/>
      <c r="GM308" s="154"/>
      <c r="GN308" s="154"/>
      <c r="GO308" s="154"/>
      <c r="GP308" s="154"/>
      <c r="GQ308" s="154"/>
      <c r="GR308" s="154"/>
      <c r="GS308" s="154"/>
      <c r="GT308" s="154"/>
      <c r="GU308" s="154"/>
      <c r="GV308" s="154"/>
      <c r="GW308" s="154"/>
      <c r="GX308" s="154"/>
    </row>
    <row r="309" spans="7:206">
      <c r="G309" s="154"/>
      <c r="H309" s="154"/>
      <c r="I309" s="154"/>
      <c r="J309" s="154"/>
      <c r="K309" s="154"/>
      <c r="L309" s="154"/>
      <c r="M309" s="154"/>
      <c r="N309" s="154"/>
      <c r="O309" s="154"/>
      <c r="P309" s="154"/>
      <c r="Q309" s="154"/>
      <c r="R309" s="154"/>
      <c r="S309" s="154"/>
      <c r="T309" s="154"/>
      <c r="U309" s="154"/>
      <c r="V309" s="154"/>
      <c r="W309" s="154"/>
      <c r="X309" s="154"/>
      <c r="Y309" s="154"/>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57"/>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7"/>
      <c r="BW309" s="357"/>
      <c r="BX309" s="357"/>
      <c r="BY309" s="357"/>
      <c r="BZ309" s="357"/>
      <c r="CA309" s="357"/>
      <c r="CB309" s="357"/>
      <c r="CC309" s="357"/>
      <c r="CD309" s="357"/>
      <c r="CE309" s="357"/>
      <c r="CF309" s="357"/>
      <c r="CG309" s="357"/>
      <c r="CH309" s="357"/>
      <c r="CI309" s="357"/>
      <c r="CJ309" s="357"/>
      <c r="CK309" s="357"/>
      <c r="CL309" s="357"/>
      <c r="CM309" s="357"/>
      <c r="CN309" s="357"/>
      <c r="CO309" s="357"/>
      <c r="CP309" s="357"/>
      <c r="CQ309" s="357"/>
      <c r="CR309" s="357"/>
      <c r="CS309" s="357"/>
      <c r="CT309" s="357"/>
      <c r="CU309" s="357"/>
      <c r="CV309" s="357"/>
      <c r="CW309" s="357"/>
      <c r="CX309" s="357"/>
      <c r="CY309" s="357"/>
      <c r="CZ309" s="357"/>
      <c r="DA309" s="357"/>
      <c r="DB309" s="357"/>
      <c r="DC309" s="357"/>
      <c r="DD309" s="357"/>
      <c r="DE309" s="357"/>
      <c r="DF309" s="357"/>
      <c r="DG309" s="357"/>
      <c r="DH309" s="357"/>
      <c r="DI309" s="357"/>
      <c r="DJ309" s="357"/>
      <c r="DK309" s="357"/>
      <c r="DL309" s="357"/>
      <c r="DM309" s="357"/>
      <c r="DN309" s="357"/>
      <c r="DO309" s="357"/>
      <c r="DP309" s="357"/>
      <c r="DQ309" s="357"/>
      <c r="DR309" s="357"/>
      <c r="DS309" s="357"/>
      <c r="DT309" s="357"/>
      <c r="DU309" s="357"/>
      <c r="DV309" s="357"/>
      <c r="DW309" s="357"/>
      <c r="DX309" s="357"/>
      <c r="DY309" s="357"/>
      <c r="DZ309" s="357"/>
      <c r="EA309" s="357"/>
      <c r="EB309" s="357"/>
      <c r="EC309" s="357"/>
      <c r="ED309" s="357"/>
      <c r="EE309" s="357"/>
      <c r="EF309" s="357"/>
      <c r="EG309" s="357"/>
      <c r="EH309" s="357"/>
      <c r="EI309" s="357"/>
      <c r="EJ309" s="357"/>
      <c r="EK309" s="357"/>
      <c r="EL309" s="357"/>
      <c r="EM309" s="357"/>
      <c r="EN309" s="357"/>
      <c r="EO309" s="357"/>
      <c r="EP309" s="357"/>
      <c r="EQ309" s="357"/>
      <c r="ER309" s="357"/>
      <c r="ES309" s="357"/>
      <c r="ET309" s="357"/>
      <c r="EU309" s="357"/>
      <c r="EV309" s="357"/>
      <c r="EW309" s="357"/>
      <c r="EX309" s="357"/>
      <c r="EY309" s="357"/>
      <c r="EZ309" s="357"/>
      <c r="FA309" s="357"/>
      <c r="FB309" s="357"/>
      <c r="FC309" s="357"/>
      <c r="FD309" s="357"/>
      <c r="FE309" s="357"/>
      <c r="FF309" s="357"/>
      <c r="FG309" s="357"/>
      <c r="FH309" s="357"/>
      <c r="FI309" s="357"/>
      <c r="FJ309" s="357"/>
      <c r="FK309" s="357"/>
      <c r="FL309" s="357"/>
      <c r="FM309" s="357"/>
      <c r="FN309" s="357"/>
      <c r="FO309" s="357"/>
      <c r="FP309" s="357"/>
      <c r="FQ309" s="357"/>
      <c r="FR309" s="357"/>
      <c r="FS309" s="357"/>
      <c r="FT309" s="357"/>
      <c r="FU309" s="357"/>
      <c r="FV309" s="357"/>
      <c r="FW309" s="357"/>
      <c r="FX309" s="357"/>
      <c r="FY309" s="357"/>
      <c r="FZ309" s="357"/>
      <c r="GA309" s="357"/>
      <c r="GB309" s="357"/>
      <c r="GC309" s="357"/>
      <c r="GD309" s="357"/>
      <c r="GE309" s="357"/>
      <c r="GF309" s="357"/>
      <c r="GG309" s="357"/>
      <c r="GH309" s="357"/>
      <c r="GI309" s="357"/>
      <c r="GJ309" s="357"/>
      <c r="GK309" s="154"/>
      <c r="GL309" s="154"/>
      <c r="GM309" s="154"/>
      <c r="GN309" s="154"/>
      <c r="GO309" s="154"/>
      <c r="GP309" s="154"/>
      <c r="GQ309" s="154"/>
      <c r="GR309" s="154"/>
      <c r="GS309" s="154"/>
      <c r="GT309" s="154"/>
      <c r="GU309" s="154"/>
      <c r="GV309" s="154"/>
      <c r="GW309" s="154"/>
      <c r="GX309" s="154"/>
    </row>
    <row r="310" spans="7:206">
      <c r="G310" s="154"/>
      <c r="H310" s="154"/>
      <c r="I310" s="154"/>
      <c r="J310" s="154"/>
      <c r="K310" s="154"/>
      <c r="L310" s="154"/>
      <c r="M310" s="154"/>
      <c r="N310" s="154"/>
      <c r="O310" s="154"/>
      <c r="P310" s="154"/>
      <c r="Q310" s="154"/>
      <c r="R310" s="154"/>
      <c r="S310" s="154"/>
      <c r="T310" s="154"/>
      <c r="U310" s="154"/>
      <c r="V310" s="154"/>
      <c r="W310" s="154"/>
      <c r="X310" s="154"/>
      <c r="Y310" s="154"/>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57"/>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7"/>
      <c r="BW310" s="357"/>
      <c r="BX310" s="357"/>
      <c r="BY310" s="357"/>
      <c r="BZ310" s="357"/>
      <c r="CA310" s="357"/>
      <c r="CB310" s="357"/>
      <c r="CC310" s="357"/>
      <c r="CD310" s="357"/>
      <c r="CE310" s="357"/>
      <c r="CF310" s="357"/>
      <c r="CG310" s="357"/>
      <c r="CH310" s="357"/>
      <c r="CI310" s="357"/>
      <c r="CJ310" s="357"/>
      <c r="CK310" s="357"/>
      <c r="CL310" s="357"/>
      <c r="CM310" s="357"/>
      <c r="CN310" s="357"/>
      <c r="CO310" s="357"/>
      <c r="CP310" s="357"/>
      <c r="CQ310" s="357"/>
      <c r="CR310" s="357"/>
      <c r="CS310" s="357"/>
      <c r="CT310" s="357"/>
      <c r="CU310" s="357"/>
      <c r="CV310" s="357"/>
      <c r="CW310" s="357"/>
      <c r="CX310" s="357"/>
      <c r="CY310" s="357"/>
      <c r="CZ310" s="357"/>
      <c r="DA310" s="357"/>
      <c r="DB310" s="357"/>
      <c r="DC310" s="357"/>
      <c r="DD310" s="357"/>
      <c r="DE310" s="357"/>
      <c r="DF310" s="357"/>
      <c r="DG310" s="357"/>
      <c r="DH310" s="357"/>
      <c r="DI310" s="357"/>
      <c r="DJ310" s="357"/>
      <c r="DK310" s="357"/>
      <c r="DL310" s="357"/>
      <c r="DM310" s="357"/>
      <c r="DN310" s="357"/>
      <c r="DO310" s="357"/>
      <c r="DP310" s="357"/>
      <c r="DQ310" s="357"/>
      <c r="DR310" s="357"/>
      <c r="DS310" s="357"/>
      <c r="DT310" s="357"/>
      <c r="DU310" s="357"/>
      <c r="DV310" s="357"/>
      <c r="DW310" s="357"/>
      <c r="DX310" s="357"/>
      <c r="DY310" s="357"/>
      <c r="DZ310" s="357"/>
      <c r="EA310" s="357"/>
      <c r="EB310" s="357"/>
      <c r="EC310" s="357"/>
      <c r="ED310" s="357"/>
      <c r="EE310" s="357"/>
      <c r="EF310" s="357"/>
      <c r="EG310" s="357"/>
      <c r="EH310" s="357"/>
      <c r="EI310" s="357"/>
      <c r="EJ310" s="357"/>
      <c r="EK310" s="357"/>
      <c r="EL310" s="357"/>
      <c r="EM310" s="357"/>
      <c r="EN310" s="357"/>
      <c r="EO310" s="357"/>
      <c r="EP310" s="357"/>
      <c r="EQ310" s="357"/>
      <c r="ER310" s="357"/>
      <c r="ES310" s="357"/>
      <c r="ET310" s="357"/>
      <c r="EU310" s="357"/>
      <c r="EV310" s="357"/>
      <c r="EW310" s="357"/>
      <c r="EX310" s="357"/>
      <c r="EY310" s="357"/>
      <c r="EZ310" s="357"/>
      <c r="FA310" s="357"/>
      <c r="FB310" s="357"/>
      <c r="FC310" s="357"/>
      <c r="FD310" s="357"/>
      <c r="FE310" s="357"/>
      <c r="FF310" s="357"/>
      <c r="FG310" s="357"/>
      <c r="FH310" s="357"/>
      <c r="FI310" s="357"/>
      <c r="FJ310" s="357"/>
      <c r="FK310" s="357"/>
      <c r="FL310" s="357"/>
      <c r="FM310" s="357"/>
      <c r="FN310" s="357"/>
      <c r="FO310" s="357"/>
      <c r="FP310" s="357"/>
      <c r="FQ310" s="357"/>
      <c r="FR310" s="357"/>
      <c r="FS310" s="357"/>
      <c r="FT310" s="357"/>
      <c r="FU310" s="357"/>
      <c r="FV310" s="357"/>
      <c r="FW310" s="357"/>
      <c r="FX310" s="357"/>
      <c r="FY310" s="357"/>
      <c r="FZ310" s="357"/>
      <c r="GA310" s="357"/>
      <c r="GB310" s="357"/>
      <c r="GC310" s="357"/>
      <c r="GD310" s="357"/>
      <c r="GE310" s="357"/>
      <c r="GF310" s="357"/>
      <c r="GG310" s="357"/>
      <c r="GH310" s="357"/>
      <c r="GI310" s="357"/>
      <c r="GJ310" s="357"/>
      <c r="GK310" s="154"/>
      <c r="GL310" s="154"/>
      <c r="GM310" s="154"/>
      <c r="GN310" s="154"/>
      <c r="GO310" s="154"/>
      <c r="GP310" s="154"/>
      <c r="GQ310" s="154"/>
      <c r="GR310" s="154"/>
      <c r="GS310" s="154"/>
      <c r="GT310" s="154"/>
      <c r="GU310" s="154"/>
      <c r="GV310" s="154"/>
      <c r="GW310" s="154"/>
      <c r="GX310" s="154"/>
    </row>
    <row r="311" spans="7:206">
      <c r="G311" s="154"/>
      <c r="H311" s="154"/>
      <c r="I311" s="154"/>
      <c r="J311" s="154"/>
      <c r="K311" s="154"/>
      <c r="L311" s="154"/>
      <c r="M311" s="154"/>
      <c r="N311" s="154"/>
      <c r="O311" s="154"/>
      <c r="P311" s="154"/>
      <c r="Q311" s="154"/>
      <c r="R311" s="154"/>
      <c r="S311" s="154"/>
      <c r="T311" s="154"/>
      <c r="U311" s="154"/>
      <c r="V311" s="154"/>
      <c r="W311" s="154"/>
      <c r="X311" s="154"/>
      <c r="Y311" s="154"/>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57"/>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7"/>
      <c r="BW311" s="357"/>
      <c r="BX311" s="357"/>
      <c r="BY311" s="357"/>
      <c r="BZ311" s="357"/>
      <c r="CA311" s="357"/>
      <c r="CB311" s="357"/>
      <c r="CC311" s="357"/>
      <c r="CD311" s="357"/>
      <c r="CE311" s="357"/>
      <c r="CF311" s="357"/>
      <c r="CG311" s="357"/>
      <c r="CH311" s="357"/>
      <c r="CI311" s="357"/>
      <c r="CJ311" s="357"/>
      <c r="CK311" s="357"/>
      <c r="CL311" s="357"/>
      <c r="CM311" s="357"/>
      <c r="CN311" s="357"/>
      <c r="CO311" s="357"/>
      <c r="CP311" s="357"/>
      <c r="CQ311" s="357"/>
      <c r="CR311" s="357"/>
      <c r="CS311" s="357"/>
      <c r="CT311" s="357"/>
      <c r="CU311" s="357"/>
      <c r="CV311" s="357"/>
      <c r="CW311" s="357"/>
      <c r="CX311" s="357"/>
      <c r="CY311" s="357"/>
      <c r="CZ311" s="357"/>
      <c r="DA311" s="357"/>
      <c r="DB311" s="357"/>
      <c r="DC311" s="357"/>
      <c r="DD311" s="357"/>
      <c r="DE311" s="357"/>
      <c r="DF311" s="357"/>
      <c r="DG311" s="357"/>
      <c r="DH311" s="357"/>
      <c r="DI311" s="357"/>
      <c r="DJ311" s="357"/>
      <c r="DK311" s="357"/>
      <c r="DL311" s="357"/>
      <c r="DM311" s="357"/>
      <c r="DN311" s="357"/>
      <c r="DO311" s="357"/>
      <c r="DP311" s="357"/>
      <c r="DQ311" s="357"/>
      <c r="DR311" s="357"/>
      <c r="DS311" s="357"/>
      <c r="DT311" s="357"/>
      <c r="DU311" s="357"/>
      <c r="DV311" s="357"/>
      <c r="DW311" s="357"/>
      <c r="DX311" s="357"/>
      <c r="DY311" s="357"/>
      <c r="DZ311" s="357"/>
      <c r="EA311" s="357"/>
      <c r="EB311" s="357"/>
      <c r="EC311" s="357"/>
      <c r="ED311" s="357"/>
      <c r="EE311" s="357"/>
      <c r="EF311" s="357"/>
      <c r="EG311" s="357"/>
      <c r="EH311" s="357"/>
      <c r="EI311" s="357"/>
      <c r="EJ311" s="357"/>
      <c r="EK311" s="357"/>
      <c r="EL311" s="357"/>
      <c r="EM311" s="357"/>
      <c r="EN311" s="357"/>
      <c r="EO311" s="357"/>
      <c r="EP311" s="357"/>
      <c r="EQ311" s="357"/>
      <c r="ER311" s="357"/>
      <c r="ES311" s="357"/>
      <c r="ET311" s="357"/>
      <c r="EU311" s="357"/>
      <c r="EV311" s="357"/>
      <c r="EW311" s="357"/>
      <c r="EX311" s="357"/>
      <c r="EY311" s="357"/>
      <c r="EZ311" s="357"/>
      <c r="FA311" s="357"/>
      <c r="FB311" s="357"/>
      <c r="FC311" s="357"/>
      <c r="FD311" s="357"/>
      <c r="FE311" s="357"/>
      <c r="FF311" s="357"/>
      <c r="FG311" s="357"/>
      <c r="FH311" s="357"/>
      <c r="FI311" s="357"/>
      <c r="FJ311" s="357"/>
      <c r="FK311" s="357"/>
      <c r="FL311" s="357"/>
      <c r="FM311" s="357"/>
      <c r="FN311" s="357"/>
      <c r="FO311" s="357"/>
      <c r="FP311" s="357"/>
      <c r="FQ311" s="357"/>
      <c r="FR311" s="357"/>
      <c r="FS311" s="357"/>
      <c r="FT311" s="357"/>
      <c r="FU311" s="357"/>
      <c r="FV311" s="357"/>
      <c r="FW311" s="357"/>
      <c r="FX311" s="357"/>
      <c r="FY311" s="357"/>
      <c r="FZ311" s="357"/>
      <c r="GA311" s="357"/>
      <c r="GB311" s="357"/>
      <c r="GC311" s="357"/>
      <c r="GD311" s="357"/>
      <c r="GE311" s="357"/>
      <c r="GF311" s="357"/>
      <c r="GG311" s="357"/>
      <c r="GH311" s="357"/>
      <c r="GI311" s="357"/>
      <c r="GJ311" s="357"/>
      <c r="GK311" s="154"/>
      <c r="GL311" s="154"/>
      <c r="GM311" s="154"/>
      <c r="GN311" s="154"/>
      <c r="GO311" s="154"/>
      <c r="GP311" s="154"/>
      <c r="GQ311" s="154"/>
      <c r="GR311" s="154"/>
      <c r="GS311" s="154"/>
      <c r="GT311" s="154"/>
      <c r="GU311" s="154"/>
      <c r="GV311" s="154"/>
      <c r="GW311" s="154"/>
      <c r="GX311" s="154"/>
    </row>
    <row r="312" spans="7:206">
      <c r="G312" s="154"/>
      <c r="H312" s="154"/>
      <c r="I312" s="154"/>
      <c r="J312" s="154"/>
      <c r="K312" s="154"/>
      <c r="L312" s="154"/>
      <c r="M312" s="154"/>
      <c r="N312" s="154"/>
      <c r="O312" s="154"/>
      <c r="P312" s="154"/>
      <c r="Q312" s="154"/>
      <c r="R312" s="154"/>
      <c r="S312" s="154"/>
      <c r="T312" s="154"/>
      <c r="U312" s="154"/>
      <c r="V312" s="154"/>
      <c r="W312" s="154"/>
      <c r="X312" s="154"/>
      <c r="Y312" s="154"/>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57"/>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7"/>
      <c r="BW312" s="357"/>
      <c r="BX312" s="357"/>
      <c r="BY312" s="357"/>
      <c r="BZ312" s="357"/>
      <c r="CA312" s="357"/>
      <c r="CB312" s="357"/>
      <c r="CC312" s="357"/>
      <c r="CD312" s="357"/>
      <c r="CE312" s="357"/>
      <c r="CF312" s="357"/>
      <c r="CG312" s="357"/>
      <c r="CH312" s="357"/>
      <c r="CI312" s="357"/>
      <c r="CJ312" s="357"/>
      <c r="CK312" s="357"/>
      <c r="CL312" s="357"/>
      <c r="CM312" s="357"/>
      <c r="CN312" s="357"/>
      <c r="CO312" s="357"/>
      <c r="CP312" s="357"/>
      <c r="CQ312" s="357"/>
      <c r="CR312" s="357"/>
      <c r="CS312" s="357"/>
      <c r="CT312" s="357"/>
      <c r="CU312" s="357"/>
      <c r="CV312" s="357"/>
      <c r="CW312" s="357"/>
      <c r="CX312" s="357"/>
      <c r="CY312" s="357"/>
      <c r="CZ312" s="357"/>
      <c r="DA312" s="357"/>
      <c r="DB312" s="357"/>
      <c r="DC312" s="357"/>
      <c r="DD312" s="357"/>
      <c r="DE312" s="357"/>
      <c r="DF312" s="357"/>
      <c r="DG312" s="357"/>
      <c r="DH312" s="357"/>
      <c r="DI312" s="357"/>
      <c r="DJ312" s="357"/>
      <c r="DK312" s="357"/>
      <c r="DL312" s="357"/>
      <c r="DM312" s="357"/>
      <c r="DN312" s="357"/>
      <c r="DO312" s="357"/>
      <c r="DP312" s="357"/>
      <c r="DQ312" s="357"/>
      <c r="DR312" s="357"/>
      <c r="DS312" s="357"/>
      <c r="DT312" s="357"/>
      <c r="DU312" s="357"/>
      <c r="DV312" s="357"/>
      <c r="DW312" s="357"/>
      <c r="DX312" s="357"/>
      <c r="DY312" s="357"/>
      <c r="DZ312" s="357"/>
      <c r="EA312" s="357"/>
      <c r="EB312" s="357"/>
      <c r="EC312" s="357"/>
      <c r="ED312" s="357"/>
      <c r="EE312" s="357"/>
      <c r="EF312" s="357"/>
      <c r="EG312" s="357"/>
      <c r="EH312" s="357"/>
      <c r="EI312" s="357"/>
      <c r="EJ312" s="357"/>
      <c r="EK312" s="357"/>
      <c r="EL312" s="357"/>
      <c r="EM312" s="357"/>
      <c r="EN312" s="357"/>
      <c r="EO312" s="357"/>
      <c r="EP312" s="357"/>
      <c r="EQ312" s="357"/>
      <c r="ER312" s="357"/>
      <c r="ES312" s="357"/>
      <c r="ET312" s="357"/>
      <c r="EU312" s="357"/>
      <c r="EV312" s="357"/>
      <c r="EW312" s="357"/>
      <c r="EX312" s="357"/>
      <c r="EY312" s="357"/>
      <c r="EZ312" s="357"/>
      <c r="FA312" s="357"/>
      <c r="FB312" s="357"/>
      <c r="FC312" s="357"/>
      <c r="FD312" s="357"/>
      <c r="FE312" s="357"/>
      <c r="FF312" s="357"/>
      <c r="FG312" s="357"/>
      <c r="FH312" s="357"/>
      <c r="FI312" s="357"/>
      <c r="FJ312" s="357"/>
      <c r="FK312" s="357"/>
      <c r="FL312" s="357"/>
      <c r="FM312" s="357"/>
      <c r="FN312" s="357"/>
      <c r="FO312" s="357"/>
      <c r="FP312" s="357"/>
      <c r="FQ312" s="357"/>
      <c r="FR312" s="357"/>
      <c r="FS312" s="357"/>
      <c r="FT312" s="357"/>
      <c r="FU312" s="357"/>
      <c r="FV312" s="357"/>
      <c r="FW312" s="357"/>
      <c r="FX312" s="357"/>
      <c r="FY312" s="357"/>
      <c r="FZ312" s="357"/>
      <c r="GA312" s="357"/>
      <c r="GB312" s="357"/>
      <c r="GC312" s="357"/>
      <c r="GD312" s="357"/>
      <c r="GE312" s="357"/>
      <c r="GF312" s="357"/>
      <c r="GG312" s="357"/>
      <c r="GH312" s="357"/>
      <c r="GI312" s="357"/>
      <c r="GJ312" s="357"/>
      <c r="GK312" s="154"/>
      <c r="GL312" s="154"/>
      <c r="GM312" s="154"/>
      <c r="GN312" s="154"/>
      <c r="GO312" s="154"/>
      <c r="GP312" s="154"/>
      <c r="GQ312" s="154"/>
      <c r="GR312" s="154"/>
      <c r="GS312" s="154"/>
      <c r="GT312" s="154"/>
      <c r="GU312" s="154"/>
      <c r="GV312" s="154"/>
      <c r="GW312" s="154"/>
      <c r="GX312" s="154"/>
    </row>
    <row r="313" spans="7:206">
      <c r="G313" s="154"/>
      <c r="H313" s="154"/>
      <c r="I313" s="154"/>
      <c r="J313" s="154"/>
      <c r="K313" s="154"/>
      <c r="L313" s="154"/>
      <c r="M313" s="154"/>
      <c r="N313" s="154"/>
      <c r="O313" s="154"/>
      <c r="P313" s="154"/>
      <c r="Q313" s="154"/>
      <c r="R313" s="154"/>
      <c r="S313" s="154"/>
      <c r="T313" s="154"/>
      <c r="U313" s="154"/>
      <c r="V313" s="154"/>
      <c r="W313" s="154"/>
      <c r="X313" s="154"/>
      <c r="Y313" s="154"/>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57"/>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7"/>
      <c r="BW313" s="357"/>
      <c r="BX313" s="357"/>
      <c r="BY313" s="357"/>
      <c r="BZ313" s="357"/>
      <c r="CA313" s="357"/>
      <c r="CB313" s="357"/>
      <c r="CC313" s="357"/>
      <c r="CD313" s="357"/>
      <c r="CE313" s="357"/>
      <c r="CF313" s="357"/>
      <c r="CG313" s="357"/>
      <c r="CH313" s="357"/>
      <c r="CI313" s="357"/>
      <c r="CJ313" s="357"/>
      <c r="CK313" s="357"/>
      <c r="CL313" s="357"/>
      <c r="CM313" s="357"/>
      <c r="CN313" s="357"/>
      <c r="CO313" s="357"/>
      <c r="CP313" s="357"/>
      <c r="CQ313" s="357"/>
      <c r="CR313" s="357"/>
      <c r="CS313" s="357"/>
      <c r="CT313" s="357"/>
      <c r="CU313" s="357"/>
      <c r="CV313" s="357"/>
      <c r="CW313" s="357"/>
      <c r="CX313" s="357"/>
      <c r="CY313" s="357"/>
      <c r="CZ313" s="357"/>
      <c r="DA313" s="357"/>
      <c r="DB313" s="357"/>
      <c r="DC313" s="357"/>
      <c r="DD313" s="357"/>
      <c r="DE313" s="357"/>
      <c r="DF313" s="357"/>
      <c r="DG313" s="357"/>
      <c r="DH313" s="357"/>
      <c r="DI313" s="357"/>
      <c r="DJ313" s="357"/>
      <c r="DK313" s="357"/>
      <c r="DL313" s="357"/>
      <c r="DM313" s="357"/>
      <c r="DN313" s="357"/>
      <c r="DO313" s="357"/>
      <c r="DP313" s="357"/>
      <c r="DQ313" s="357"/>
      <c r="DR313" s="357"/>
      <c r="DS313" s="357"/>
      <c r="DT313" s="357"/>
      <c r="DU313" s="357"/>
      <c r="DV313" s="357"/>
      <c r="DW313" s="357"/>
      <c r="DX313" s="357"/>
      <c r="DY313" s="357"/>
      <c r="DZ313" s="357"/>
      <c r="EA313" s="357"/>
      <c r="EB313" s="357"/>
      <c r="EC313" s="357"/>
      <c r="ED313" s="357"/>
      <c r="EE313" s="357"/>
      <c r="EF313" s="357"/>
      <c r="EG313" s="357"/>
      <c r="EH313" s="357"/>
      <c r="EI313" s="357"/>
      <c r="EJ313" s="357"/>
      <c r="EK313" s="357"/>
      <c r="EL313" s="357"/>
      <c r="EM313" s="357"/>
      <c r="EN313" s="357"/>
      <c r="EO313" s="357"/>
      <c r="EP313" s="357"/>
      <c r="EQ313" s="357"/>
      <c r="ER313" s="357"/>
      <c r="ES313" s="357"/>
      <c r="ET313" s="357"/>
      <c r="EU313" s="357"/>
      <c r="EV313" s="357"/>
      <c r="EW313" s="357"/>
      <c r="EX313" s="357"/>
      <c r="EY313" s="357"/>
      <c r="EZ313" s="357"/>
      <c r="FA313" s="357"/>
      <c r="FB313" s="357"/>
      <c r="FC313" s="357"/>
      <c r="FD313" s="357"/>
      <c r="FE313" s="357"/>
      <c r="FF313" s="357"/>
      <c r="FG313" s="357"/>
      <c r="FH313" s="357"/>
      <c r="FI313" s="357"/>
      <c r="FJ313" s="357"/>
      <c r="FK313" s="357"/>
      <c r="FL313" s="357"/>
      <c r="FM313" s="357"/>
      <c r="FN313" s="357"/>
      <c r="FO313" s="357"/>
      <c r="FP313" s="357"/>
      <c r="FQ313" s="357"/>
      <c r="FR313" s="357"/>
      <c r="FS313" s="357"/>
      <c r="FT313" s="357"/>
      <c r="FU313" s="357"/>
      <c r="FV313" s="357"/>
      <c r="FW313" s="357"/>
      <c r="FX313" s="357"/>
      <c r="FY313" s="357"/>
      <c r="FZ313" s="357"/>
      <c r="GA313" s="357"/>
      <c r="GB313" s="357"/>
      <c r="GC313" s="357"/>
      <c r="GD313" s="357"/>
      <c r="GE313" s="357"/>
      <c r="GF313" s="357"/>
      <c r="GG313" s="357"/>
      <c r="GH313" s="357"/>
      <c r="GI313" s="357"/>
      <c r="GJ313" s="357"/>
      <c r="GK313" s="154"/>
      <c r="GL313" s="154"/>
      <c r="GM313" s="154"/>
      <c r="GN313" s="154"/>
      <c r="GO313" s="154"/>
      <c r="GP313" s="154"/>
      <c r="GQ313" s="154"/>
      <c r="GR313" s="154"/>
      <c r="GS313" s="154"/>
      <c r="GT313" s="154"/>
      <c r="GU313" s="154"/>
      <c r="GV313" s="154"/>
      <c r="GW313" s="154"/>
      <c r="GX313" s="154"/>
    </row>
    <row r="314" spans="7:206">
      <c r="G314" s="154"/>
      <c r="H314" s="154"/>
      <c r="I314" s="154"/>
      <c r="J314" s="154"/>
      <c r="K314" s="154"/>
      <c r="L314" s="154"/>
      <c r="M314" s="154"/>
      <c r="N314" s="154"/>
      <c r="O314" s="154"/>
      <c r="P314" s="154"/>
      <c r="Q314" s="154"/>
      <c r="R314" s="154"/>
      <c r="S314" s="154"/>
      <c r="T314" s="154"/>
      <c r="U314" s="154"/>
      <c r="V314" s="154"/>
      <c r="W314" s="154"/>
      <c r="X314" s="154"/>
      <c r="Y314" s="154"/>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57"/>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7"/>
      <c r="BW314" s="357"/>
      <c r="BX314" s="357"/>
      <c r="BY314" s="357"/>
      <c r="BZ314" s="357"/>
      <c r="CA314" s="357"/>
      <c r="CB314" s="357"/>
      <c r="CC314" s="357"/>
      <c r="CD314" s="357"/>
      <c r="CE314" s="357"/>
      <c r="CF314" s="357"/>
      <c r="CG314" s="357"/>
      <c r="CH314" s="357"/>
      <c r="CI314" s="357"/>
      <c r="CJ314" s="357"/>
      <c r="CK314" s="357"/>
      <c r="CL314" s="357"/>
      <c r="CM314" s="357"/>
      <c r="CN314" s="357"/>
      <c r="CO314" s="357"/>
      <c r="CP314" s="357"/>
      <c r="CQ314" s="357"/>
      <c r="CR314" s="357"/>
      <c r="CS314" s="357"/>
      <c r="CT314" s="357"/>
      <c r="CU314" s="357"/>
      <c r="CV314" s="357"/>
      <c r="CW314" s="357"/>
      <c r="CX314" s="357"/>
      <c r="CY314" s="357"/>
      <c r="CZ314" s="357"/>
      <c r="DA314" s="357"/>
      <c r="DB314" s="357"/>
      <c r="DC314" s="357"/>
      <c r="DD314" s="357"/>
      <c r="DE314" s="357"/>
      <c r="DF314" s="357"/>
      <c r="DG314" s="357"/>
      <c r="DH314" s="357"/>
      <c r="DI314" s="357"/>
      <c r="DJ314" s="357"/>
      <c r="DK314" s="357"/>
      <c r="DL314" s="357"/>
      <c r="DM314" s="357"/>
      <c r="DN314" s="357"/>
      <c r="DO314" s="357"/>
      <c r="DP314" s="357"/>
      <c r="DQ314" s="357"/>
      <c r="DR314" s="357"/>
      <c r="DS314" s="357"/>
      <c r="DT314" s="357"/>
      <c r="DU314" s="357"/>
      <c r="DV314" s="357"/>
      <c r="DW314" s="357"/>
      <c r="DX314" s="357"/>
      <c r="DY314" s="357"/>
      <c r="DZ314" s="357"/>
      <c r="EA314" s="357"/>
      <c r="EB314" s="357"/>
      <c r="EC314" s="357"/>
      <c r="ED314" s="357"/>
      <c r="EE314" s="357"/>
      <c r="EF314" s="357"/>
      <c r="EG314" s="357"/>
      <c r="EH314" s="357"/>
      <c r="EI314" s="357"/>
      <c r="EJ314" s="357"/>
      <c r="EK314" s="357"/>
      <c r="EL314" s="357"/>
      <c r="EM314" s="357"/>
      <c r="EN314" s="357"/>
      <c r="EO314" s="357"/>
      <c r="EP314" s="357"/>
      <c r="EQ314" s="357"/>
      <c r="ER314" s="357"/>
      <c r="ES314" s="357"/>
      <c r="ET314" s="357"/>
      <c r="EU314" s="357"/>
      <c r="EV314" s="357"/>
      <c r="EW314" s="357"/>
      <c r="EX314" s="357"/>
      <c r="EY314" s="357"/>
      <c r="EZ314" s="357"/>
      <c r="FA314" s="357"/>
      <c r="FB314" s="357"/>
      <c r="FC314" s="357"/>
      <c r="FD314" s="357"/>
      <c r="FE314" s="357"/>
      <c r="FF314" s="357"/>
      <c r="FG314" s="357"/>
      <c r="FH314" s="357"/>
      <c r="FI314" s="357"/>
      <c r="FJ314" s="357"/>
      <c r="FK314" s="357"/>
      <c r="FL314" s="357"/>
      <c r="FM314" s="357"/>
      <c r="FN314" s="357"/>
      <c r="FO314" s="357"/>
      <c r="FP314" s="357"/>
      <c r="FQ314" s="357"/>
      <c r="FR314" s="357"/>
      <c r="FS314" s="357"/>
      <c r="FT314" s="357"/>
      <c r="FU314" s="357"/>
      <c r="FV314" s="357"/>
      <c r="FW314" s="357"/>
      <c r="FX314" s="357"/>
      <c r="FY314" s="357"/>
      <c r="FZ314" s="357"/>
      <c r="GA314" s="357"/>
      <c r="GB314" s="357"/>
      <c r="GC314" s="357"/>
      <c r="GD314" s="357"/>
      <c r="GE314" s="357"/>
      <c r="GF314" s="357"/>
      <c r="GG314" s="357"/>
      <c r="GH314" s="357"/>
      <c r="GI314" s="357"/>
      <c r="GJ314" s="357"/>
      <c r="GK314" s="154"/>
      <c r="GL314" s="154"/>
      <c r="GM314" s="154"/>
      <c r="GN314" s="154"/>
      <c r="GO314" s="154"/>
      <c r="GP314" s="154"/>
      <c r="GQ314" s="154"/>
      <c r="GR314" s="154"/>
      <c r="GS314" s="154"/>
      <c r="GT314" s="154"/>
      <c r="GU314" s="154"/>
      <c r="GV314" s="154"/>
      <c r="GW314" s="154"/>
      <c r="GX314" s="154"/>
    </row>
    <row r="315" spans="7:206">
      <c r="G315" s="154"/>
      <c r="H315" s="154"/>
      <c r="I315" s="154"/>
      <c r="J315" s="154"/>
      <c r="K315" s="154"/>
      <c r="L315" s="154"/>
      <c r="M315" s="154"/>
      <c r="N315" s="154"/>
      <c r="O315" s="154"/>
      <c r="P315" s="154"/>
      <c r="Q315" s="154"/>
      <c r="R315" s="154"/>
      <c r="S315" s="154"/>
      <c r="T315" s="154"/>
      <c r="U315" s="154"/>
      <c r="V315" s="154"/>
      <c r="W315" s="154"/>
      <c r="X315" s="154"/>
      <c r="Y315" s="154"/>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57"/>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7"/>
      <c r="BW315" s="357"/>
      <c r="BX315" s="357"/>
      <c r="BY315" s="357"/>
      <c r="BZ315" s="357"/>
      <c r="CA315" s="357"/>
      <c r="CB315" s="357"/>
      <c r="CC315" s="357"/>
      <c r="CD315" s="357"/>
      <c r="CE315" s="357"/>
      <c r="CF315" s="357"/>
      <c r="CG315" s="357"/>
      <c r="CH315" s="357"/>
      <c r="CI315" s="357"/>
      <c r="CJ315" s="357"/>
      <c r="CK315" s="357"/>
      <c r="CL315" s="357"/>
      <c r="CM315" s="357"/>
      <c r="CN315" s="357"/>
      <c r="CO315" s="357"/>
      <c r="CP315" s="357"/>
      <c r="CQ315" s="357"/>
      <c r="CR315" s="357"/>
      <c r="CS315" s="357"/>
      <c r="CT315" s="357"/>
      <c r="CU315" s="357"/>
      <c r="CV315" s="357"/>
      <c r="CW315" s="357"/>
      <c r="CX315" s="357"/>
      <c r="CY315" s="357"/>
      <c r="CZ315" s="357"/>
      <c r="DA315" s="357"/>
      <c r="DB315" s="357"/>
      <c r="DC315" s="357"/>
      <c r="DD315" s="357"/>
      <c r="DE315" s="357"/>
      <c r="DF315" s="357"/>
      <c r="DG315" s="357"/>
      <c r="DH315" s="357"/>
      <c r="DI315" s="357"/>
      <c r="DJ315" s="357"/>
      <c r="DK315" s="357"/>
      <c r="DL315" s="357"/>
      <c r="DM315" s="357"/>
      <c r="DN315" s="357"/>
      <c r="DO315" s="357"/>
      <c r="DP315" s="357"/>
      <c r="DQ315" s="357"/>
      <c r="DR315" s="357"/>
      <c r="DS315" s="357"/>
      <c r="DT315" s="357"/>
      <c r="DU315" s="357"/>
      <c r="DV315" s="357"/>
      <c r="DW315" s="357"/>
      <c r="DX315" s="357"/>
      <c r="DY315" s="357"/>
      <c r="DZ315" s="357"/>
      <c r="EA315" s="357"/>
      <c r="EB315" s="357"/>
      <c r="EC315" s="357"/>
      <c r="ED315" s="357"/>
      <c r="EE315" s="357"/>
      <c r="EF315" s="357"/>
      <c r="EG315" s="357"/>
      <c r="EH315" s="357"/>
      <c r="EI315" s="357"/>
      <c r="EJ315" s="357"/>
      <c r="EK315" s="357"/>
      <c r="EL315" s="357"/>
      <c r="EM315" s="357"/>
      <c r="EN315" s="357"/>
      <c r="EO315" s="357"/>
      <c r="EP315" s="357"/>
      <c r="EQ315" s="357"/>
      <c r="ER315" s="357"/>
      <c r="ES315" s="357"/>
      <c r="ET315" s="357"/>
      <c r="EU315" s="357"/>
      <c r="EV315" s="357"/>
      <c r="EW315" s="357"/>
      <c r="EX315" s="357"/>
      <c r="EY315" s="357"/>
      <c r="EZ315" s="357"/>
      <c r="FA315" s="357"/>
      <c r="FB315" s="357"/>
      <c r="FC315" s="357"/>
      <c r="FD315" s="357"/>
      <c r="FE315" s="357"/>
      <c r="FF315" s="357"/>
      <c r="FG315" s="357"/>
      <c r="FH315" s="357"/>
      <c r="FI315" s="357"/>
      <c r="FJ315" s="357"/>
      <c r="FK315" s="357"/>
      <c r="FL315" s="357"/>
      <c r="FM315" s="357"/>
      <c r="FN315" s="357"/>
      <c r="FO315" s="357"/>
      <c r="FP315" s="357"/>
      <c r="FQ315" s="357"/>
      <c r="FR315" s="357"/>
      <c r="FS315" s="357"/>
      <c r="FT315" s="357"/>
      <c r="FU315" s="357"/>
      <c r="FV315" s="357"/>
      <c r="FW315" s="357"/>
      <c r="FX315" s="357"/>
      <c r="FY315" s="357"/>
      <c r="FZ315" s="357"/>
      <c r="GA315" s="357"/>
      <c r="GB315" s="357"/>
      <c r="GC315" s="357"/>
      <c r="GD315" s="357"/>
      <c r="GE315" s="357"/>
      <c r="GF315" s="357"/>
      <c r="GG315" s="357"/>
      <c r="GH315" s="357"/>
      <c r="GI315" s="357"/>
      <c r="GJ315" s="357"/>
      <c r="GK315" s="154"/>
      <c r="GL315" s="154"/>
      <c r="GM315" s="154"/>
      <c r="GN315" s="154"/>
      <c r="GO315" s="154"/>
      <c r="GP315" s="154"/>
      <c r="GQ315" s="154"/>
      <c r="GR315" s="154"/>
      <c r="GS315" s="154"/>
      <c r="GT315" s="154"/>
      <c r="GU315" s="154"/>
      <c r="GV315" s="154"/>
      <c r="GW315" s="154"/>
      <c r="GX315" s="154"/>
    </row>
    <row r="316" spans="7:206">
      <c r="G316" s="154"/>
      <c r="H316" s="154"/>
      <c r="I316" s="154"/>
      <c r="J316" s="154"/>
      <c r="K316" s="154"/>
      <c r="L316" s="154"/>
      <c r="M316" s="154"/>
      <c r="N316" s="154"/>
      <c r="O316" s="154"/>
      <c r="P316" s="154"/>
      <c r="Q316" s="154"/>
      <c r="R316" s="154"/>
      <c r="S316" s="154"/>
      <c r="T316" s="154"/>
      <c r="U316" s="154"/>
      <c r="V316" s="154"/>
      <c r="W316" s="154"/>
      <c r="X316" s="154"/>
      <c r="Y316" s="154"/>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57"/>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7"/>
      <c r="BW316" s="357"/>
      <c r="BX316" s="357"/>
      <c r="BY316" s="357"/>
      <c r="BZ316" s="357"/>
      <c r="CA316" s="357"/>
      <c r="CB316" s="357"/>
      <c r="CC316" s="357"/>
      <c r="CD316" s="357"/>
      <c r="CE316" s="357"/>
      <c r="CF316" s="357"/>
      <c r="CG316" s="357"/>
      <c r="CH316" s="357"/>
      <c r="CI316" s="357"/>
      <c r="CJ316" s="357"/>
      <c r="CK316" s="357"/>
      <c r="CL316" s="357"/>
      <c r="CM316" s="357"/>
      <c r="CN316" s="357"/>
      <c r="CO316" s="357"/>
      <c r="CP316" s="357"/>
      <c r="CQ316" s="357"/>
      <c r="CR316" s="357"/>
      <c r="CS316" s="357"/>
      <c r="CT316" s="357"/>
      <c r="CU316" s="357"/>
      <c r="CV316" s="357"/>
      <c r="CW316" s="357"/>
      <c r="CX316" s="357"/>
      <c r="CY316" s="357"/>
      <c r="CZ316" s="357"/>
      <c r="DA316" s="357"/>
      <c r="DB316" s="357"/>
      <c r="DC316" s="357"/>
      <c r="DD316" s="357"/>
      <c r="DE316" s="357"/>
      <c r="DF316" s="357"/>
      <c r="DG316" s="357"/>
      <c r="DH316" s="357"/>
      <c r="DI316" s="357"/>
      <c r="DJ316" s="357"/>
      <c r="DK316" s="357"/>
      <c r="DL316" s="357"/>
      <c r="DM316" s="357"/>
      <c r="DN316" s="357"/>
      <c r="DO316" s="357"/>
      <c r="DP316" s="357"/>
      <c r="DQ316" s="357"/>
      <c r="DR316" s="357"/>
      <c r="DS316" s="357"/>
      <c r="DT316" s="357"/>
      <c r="DU316" s="357"/>
      <c r="DV316" s="357"/>
      <c r="DW316" s="357"/>
      <c r="DX316" s="357"/>
      <c r="DY316" s="357"/>
      <c r="DZ316" s="357"/>
      <c r="EA316" s="357"/>
      <c r="EB316" s="357"/>
      <c r="EC316" s="357"/>
      <c r="ED316" s="357"/>
      <c r="EE316" s="357"/>
      <c r="EF316" s="357"/>
      <c r="EG316" s="357"/>
      <c r="EH316" s="357"/>
      <c r="EI316" s="357"/>
      <c r="EJ316" s="357"/>
      <c r="EK316" s="357"/>
      <c r="EL316" s="357"/>
      <c r="EM316" s="357"/>
      <c r="EN316" s="357"/>
      <c r="EO316" s="357"/>
      <c r="EP316" s="357"/>
      <c r="EQ316" s="357"/>
      <c r="ER316" s="357"/>
      <c r="ES316" s="357"/>
      <c r="ET316" s="357"/>
      <c r="EU316" s="357"/>
      <c r="EV316" s="357"/>
      <c r="EW316" s="357"/>
      <c r="EX316" s="357"/>
      <c r="EY316" s="357"/>
      <c r="EZ316" s="357"/>
      <c r="FA316" s="357"/>
      <c r="FB316" s="357"/>
      <c r="FC316" s="357"/>
      <c r="FD316" s="357"/>
      <c r="FE316" s="357"/>
      <c r="FF316" s="357"/>
      <c r="FG316" s="357"/>
      <c r="FH316" s="357"/>
      <c r="FI316" s="357"/>
      <c r="FJ316" s="357"/>
      <c r="FK316" s="357"/>
      <c r="FL316" s="357"/>
      <c r="FM316" s="357"/>
      <c r="FN316" s="357"/>
      <c r="FO316" s="357"/>
      <c r="FP316" s="357"/>
      <c r="FQ316" s="357"/>
      <c r="FR316" s="357"/>
      <c r="FS316" s="357"/>
      <c r="FT316" s="357"/>
      <c r="FU316" s="357"/>
      <c r="FV316" s="357"/>
      <c r="FW316" s="357"/>
      <c r="FX316" s="357"/>
      <c r="FY316" s="357"/>
      <c r="FZ316" s="357"/>
      <c r="GA316" s="357"/>
      <c r="GB316" s="357"/>
      <c r="GC316" s="357"/>
      <c r="GD316" s="357"/>
      <c r="GE316" s="357"/>
      <c r="GF316" s="357"/>
      <c r="GG316" s="357"/>
      <c r="GH316" s="357"/>
      <c r="GI316" s="357"/>
      <c r="GJ316" s="357"/>
      <c r="GK316" s="154"/>
      <c r="GL316" s="154"/>
      <c r="GM316" s="154"/>
      <c r="GN316" s="154"/>
      <c r="GO316" s="154"/>
      <c r="GP316" s="154"/>
      <c r="GQ316" s="154"/>
      <c r="GR316" s="154"/>
      <c r="GS316" s="154"/>
      <c r="GT316" s="154"/>
      <c r="GU316" s="154"/>
      <c r="GV316" s="154"/>
      <c r="GW316" s="154"/>
      <c r="GX316" s="154"/>
    </row>
    <row r="317" spans="7:206">
      <c r="G317" s="154"/>
      <c r="H317" s="154"/>
      <c r="I317" s="154"/>
      <c r="J317" s="154"/>
      <c r="K317" s="154"/>
      <c r="L317" s="154"/>
      <c r="M317" s="154"/>
      <c r="N317" s="154"/>
      <c r="O317" s="154"/>
      <c r="P317" s="154"/>
      <c r="Q317" s="154"/>
      <c r="R317" s="154"/>
      <c r="S317" s="154"/>
      <c r="T317" s="154"/>
      <c r="U317" s="154"/>
      <c r="V317" s="154"/>
      <c r="W317" s="154"/>
      <c r="X317" s="154"/>
      <c r="Y317" s="154"/>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57"/>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7"/>
      <c r="BW317" s="357"/>
      <c r="BX317" s="357"/>
      <c r="BY317" s="357"/>
      <c r="BZ317" s="357"/>
      <c r="CA317" s="357"/>
      <c r="CB317" s="357"/>
      <c r="CC317" s="357"/>
      <c r="CD317" s="357"/>
      <c r="CE317" s="357"/>
      <c r="CF317" s="357"/>
      <c r="CG317" s="357"/>
      <c r="CH317" s="357"/>
      <c r="CI317" s="357"/>
      <c r="CJ317" s="357"/>
      <c r="CK317" s="357"/>
      <c r="CL317" s="357"/>
      <c r="CM317" s="357"/>
      <c r="CN317" s="357"/>
      <c r="CO317" s="357"/>
      <c r="CP317" s="357"/>
      <c r="CQ317" s="357"/>
      <c r="CR317" s="357"/>
      <c r="CS317" s="357"/>
      <c r="CT317" s="357"/>
      <c r="CU317" s="357"/>
      <c r="CV317" s="357"/>
      <c r="CW317" s="357"/>
      <c r="CX317" s="357"/>
      <c r="CY317" s="357"/>
      <c r="CZ317" s="357"/>
      <c r="DA317" s="357"/>
      <c r="DB317" s="357"/>
      <c r="DC317" s="357"/>
      <c r="DD317" s="357"/>
      <c r="DE317" s="357"/>
      <c r="DF317" s="357"/>
      <c r="DG317" s="357"/>
      <c r="DH317" s="357"/>
      <c r="DI317" s="357"/>
      <c r="DJ317" s="357"/>
      <c r="DK317" s="357"/>
      <c r="DL317" s="357"/>
      <c r="DM317" s="357"/>
      <c r="DN317" s="357"/>
      <c r="DO317" s="357"/>
      <c r="DP317" s="357"/>
      <c r="DQ317" s="357"/>
      <c r="DR317" s="357"/>
      <c r="DS317" s="357"/>
      <c r="DT317" s="357"/>
      <c r="DU317" s="357"/>
      <c r="DV317" s="357"/>
      <c r="DW317" s="357"/>
      <c r="DX317" s="357"/>
      <c r="DY317" s="357"/>
      <c r="DZ317" s="357"/>
      <c r="EA317" s="357"/>
      <c r="EB317" s="357"/>
      <c r="EC317" s="357"/>
      <c r="ED317" s="357"/>
      <c r="EE317" s="357"/>
      <c r="EF317" s="357"/>
      <c r="EG317" s="357"/>
      <c r="EH317" s="357"/>
      <c r="EI317" s="357"/>
      <c r="EJ317" s="357"/>
      <c r="EK317" s="357"/>
      <c r="EL317" s="357"/>
      <c r="EM317" s="357"/>
      <c r="EN317" s="357"/>
      <c r="EO317" s="357"/>
      <c r="EP317" s="357"/>
      <c r="EQ317" s="357"/>
      <c r="ER317" s="357"/>
      <c r="ES317" s="357"/>
      <c r="ET317" s="357"/>
      <c r="EU317" s="357"/>
      <c r="EV317" s="357"/>
      <c r="EW317" s="357"/>
      <c r="EX317" s="357"/>
      <c r="EY317" s="357"/>
      <c r="EZ317" s="357"/>
      <c r="FA317" s="357"/>
      <c r="FB317" s="357"/>
      <c r="FC317" s="357"/>
      <c r="FD317" s="357"/>
      <c r="FE317" s="357"/>
      <c r="FF317" s="357"/>
      <c r="FG317" s="357"/>
      <c r="FH317" s="357"/>
      <c r="FI317" s="357"/>
      <c r="FJ317" s="357"/>
      <c r="FK317" s="357"/>
      <c r="FL317" s="357"/>
      <c r="FM317" s="357"/>
      <c r="FN317" s="357"/>
      <c r="FO317" s="357"/>
      <c r="FP317" s="357"/>
      <c r="FQ317" s="357"/>
      <c r="FR317" s="357"/>
      <c r="FS317" s="357"/>
      <c r="FT317" s="357"/>
      <c r="FU317" s="357"/>
      <c r="FV317" s="357"/>
      <c r="FW317" s="357"/>
      <c r="FX317" s="357"/>
      <c r="FY317" s="357"/>
      <c r="FZ317" s="357"/>
      <c r="GA317" s="357"/>
      <c r="GB317" s="357"/>
      <c r="GC317" s="357"/>
      <c r="GD317" s="357"/>
      <c r="GE317" s="357"/>
      <c r="GF317" s="357"/>
      <c r="GG317" s="357"/>
      <c r="GH317" s="357"/>
      <c r="GI317" s="357"/>
      <c r="GJ317" s="357"/>
      <c r="GK317" s="154"/>
      <c r="GL317" s="154"/>
      <c r="GM317" s="154"/>
      <c r="GN317" s="154"/>
      <c r="GO317" s="154"/>
      <c r="GP317" s="154"/>
      <c r="GQ317" s="154"/>
      <c r="GR317" s="154"/>
      <c r="GS317" s="154"/>
      <c r="GT317" s="154"/>
      <c r="GU317" s="154"/>
      <c r="GV317" s="154"/>
      <c r="GW317" s="154"/>
      <c r="GX317" s="154"/>
    </row>
    <row r="318" spans="7:206">
      <c r="G318" s="154"/>
      <c r="H318" s="154"/>
      <c r="I318" s="154"/>
      <c r="J318" s="154"/>
      <c r="K318" s="154"/>
      <c r="L318" s="154"/>
      <c r="M318" s="154"/>
      <c r="N318" s="154"/>
      <c r="O318" s="154"/>
      <c r="P318" s="154"/>
      <c r="Q318" s="154"/>
      <c r="R318" s="154"/>
      <c r="S318" s="154"/>
      <c r="T318" s="154"/>
      <c r="U318" s="154"/>
      <c r="V318" s="154"/>
      <c r="W318" s="154"/>
      <c r="X318" s="154"/>
      <c r="Y318" s="154"/>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57"/>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7"/>
      <c r="BW318" s="357"/>
      <c r="BX318" s="357"/>
      <c r="BY318" s="357"/>
      <c r="BZ318" s="357"/>
      <c r="CA318" s="357"/>
      <c r="CB318" s="357"/>
      <c r="CC318" s="357"/>
      <c r="CD318" s="357"/>
      <c r="CE318" s="357"/>
      <c r="CF318" s="357"/>
      <c r="CG318" s="357"/>
      <c r="CH318" s="357"/>
      <c r="CI318" s="357"/>
      <c r="CJ318" s="357"/>
      <c r="CK318" s="357"/>
      <c r="CL318" s="357"/>
      <c r="CM318" s="357"/>
      <c r="CN318" s="357"/>
      <c r="CO318" s="357"/>
      <c r="CP318" s="357"/>
      <c r="CQ318" s="357"/>
      <c r="CR318" s="357"/>
      <c r="CS318" s="357"/>
      <c r="CT318" s="357"/>
      <c r="CU318" s="357"/>
      <c r="CV318" s="357"/>
      <c r="CW318" s="357"/>
      <c r="CX318" s="357"/>
      <c r="CY318" s="357"/>
      <c r="CZ318" s="357"/>
      <c r="DA318" s="357"/>
      <c r="DB318" s="357"/>
      <c r="DC318" s="357"/>
      <c r="DD318" s="357"/>
      <c r="DE318" s="357"/>
      <c r="DF318" s="357"/>
      <c r="DG318" s="357"/>
      <c r="DH318" s="357"/>
      <c r="DI318" s="357"/>
      <c r="DJ318" s="357"/>
      <c r="DK318" s="357"/>
      <c r="DL318" s="357"/>
      <c r="DM318" s="357"/>
      <c r="DN318" s="357"/>
      <c r="DO318" s="357"/>
      <c r="DP318" s="357"/>
      <c r="DQ318" s="357"/>
      <c r="DR318" s="357"/>
      <c r="DS318" s="357"/>
      <c r="DT318" s="357"/>
      <c r="DU318" s="357"/>
      <c r="DV318" s="357"/>
      <c r="DW318" s="357"/>
      <c r="DX318" s="357"/>
      <c r="DY318" s="357"/>
      <c r="DZ318" s="357"/>
      <c r="EA318" s="357"/>
      <c r="EB318" s="357"/>
      <c r="EC318" s="357"/>
      <c r="ED318" s="357"/>
      <c r="EE318" s="357"/>
      <c r="EF318" s="357"/>
      <c r="EG318" s="357"/>
      <c r="EH318" s="357"/>
      <c r="EI318" s="357"/>
      <c r="EJ318" s="357"/>
      <c r="EK318" s="357"/>
      <c r="EL318" s="357"/>
      <c r="EM318" s="357"/>
      <c r="EN318" s="357"/>
      <c r="EO318" s="357"/>
      <c r="EP318" s="357"/>
      <c r="EQ318" s="357"/>
      <c r="ER318" s="357"/>
      <c r="ES318" s="357"/>
      <c r="ET318" s="357"/>
      <c r="EU318" s="357"/>
      <c r="EV318" s="357"/>
      <c r="EW318" s="357"/>
      <c r="EX318" s="357"/>
      <c r="EY318" s="357"/>
      <c r="EZ318" s="357"/>
      <c r="FA318" s="357"/>
      <c r="FB318" s="357"/>
      <c r="FC318" s="357"/>
      <c r="FD318" s="357"/>
      <c r="FE318" s="357"/>
      <c r="FF318" s="357"/>
      <c r="FG318" s="357"/>
      <c r="FH318" s="357"/>
      <c r="FI318" s="357"/>
      <c r="FJ318" s="357"/>
      <c r="FK318" s="357"/>
      <c r="FL318" s="357"/>
      <c r="FM318" s="357"/>
      <c r="FN318" s="357"/>
      <c r="FO318" s="357"/>
      <c r="FP318" s="357"/>
      <c r="FQ318" s="357"/>
      <c r="FR318" s="357"/>
      <c r="FS318" s="357"/>
      <c r="FT318" s="357"/>
      <c r="FU318" s="357"/>
      <c r="FV318" s="357"/>
      <c r="FW318" s="357"/>
      <c r="FX318" s="357"/>
      <c r="FY318" s="357"/>
      <c r="FZ318" s="357"/>
      <c r="GA318" s="357"/>
      <c r="GB318" s="357"/>
      <c r="GC318" s="357"/>
      <c r="GD318" s="357"/>
      <c r="GE318" s="357"/>
      <c r="GF318" s="357"/>
      <c r="GG318" s="357"/>
      <c r="GH318" s="357"/>
      <c r="GI318" s="357"/>
      <c r="GJ318" s="357"/>
      <c r="GK318" s="154"/>
      <c r="GL318" s="154"/>
      <c r="GM318" s="154"/>
      <c r="GN318" s="154"/>
      <c r="GO318" s="154"/>
      <c r="GP318" s="154"/>
      <c r="GQ318" s="154"/>
      <c r="GR318" s="154"/>
      <c r="GS318" s="154"/>
      <c r="GT318" s="154"/>
      <c r="GU318" s="154"/>
      <c r="GV318" s="154"/>
      <c r="GW318" s="154"/>
      <c r="GX318" s="154"/>
    </row>
    <row r="319" spans="7:206">
      <c r="G319" s="154"/>
      <c r="H319" s="154"/>
      <c r="I319" s="154"/>
      <c r="J319" s="154"/>
      <c r="K319" s="154"/>
      <c r="L319" s="154"/>
      <c r="M319" s="154"/>
      <c r="N319" s="154"/>
      <c r="O319" s="154"/>
      <c r="P319" s="154"/>
      <c r="Q319" s="154"/>
      <c r="R319" s="154"/>
      <c r="S319" s="154"/>
      <c r="T319" s="154"/>
      <c r="U319" s="154"/>
      <c r="V319" s="154"/>
      <c r="W319" s="154"/>
      <c r="X319" s="154"/>
      <c r="Y319" s="154"/>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57"/>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7"/>
      <c r="BW319" s="357"/>
      <c r="BX319" s="357"/>
      <c r="BY319" s="357"/>
      <c r="BZ319" s="357"/>
      <c r="CA319" s="357"/>
      <c r="CB319" s="357"/>
      <c r="CC319" s="357"/>
      <c r="CD319" s="357"/>
      <c r="CE319" s="357"/>
      <c r="CF319" s="357"/>
      <c r="CG319" s="357"/>
      <c r="CH319" s="357"/>
      <c r="CI319" s="357"/>
      <c r="CJ319" s="357"/>
      <c r="CK319" s="357"/>
      <c r="CL319" s="357"/>
      <c r="CM319" s="357"/>
      <c r="CN319" s="357"/>
      <c r="CO319" s="357"/>
      <c r="CP319" s="357"/>
      <c r="CQ319" s="357"/>
      <c r="CR319" s="357"/>
      <c r="CS319" s="357"/>
      <c r="CT319" s="357"/>
      <c r="CU319" s="357"/>
      <c r="CV319" s="357"/>
      <c r="CW319" s="357"/>
      <c r="CX319" s="357"/>
      <c r="CY319" s="357"/>
      <c r="CZ319" s="357"/>
      <c r="DA319" s="357"/>
      <c r="DB319" s="357"/>
      <c r="DC319" s="357"/>
      <c r="DD319" s="357"/>
      <c r="DE319" s="357"/>
      <c r="DF319" s="357"/>
      <c r="DG319" s="357"/>
      <c r="DH319" s="357"/>
      <c r="DI319" s="357"/>
      <c r="DJ319" s="357"/>
      <c r="DK319" s="357"/>
      <c r="DL319" s="357"/>
      <c r="DM319" s="357"/>
      <c r="DN319" s="357"/>
      <c r="DO319" s="357"/>
      <c r="DP319" s="357"/>
      <c r="DQ319" s="357"/>
      <c r="DR319" s="357"/>
      <c r="DS319" s="357"/>
      <c r="DT319" s="357"/>
      <c r="DU319" s="357"/>
      <c r="DV319" s="357"/>
      <c r="DW319" s="357"/>
      <c r="DX319" s="357"/>
      <c r="DY319" s="357"/>
      <c r="DZ319" s="357"/>
      <c r="EA319" s="357"/>
      <c r="EB319" s="357"/>
      <c r="EC319" s="357"/>
      <c r="ED319" s="357"/>
      <c r="EE319" s="357"/>
      <c r="EF319" s="357"/>
      <c r="EG319" s="357"/>
      <c r="EH319" s="357"/>
      <c r="EI319" s="357"/>
      <c r="EJ319" s="357"/>
      <c r="EK319" s="357"/>
      <c r="EL319" s="357"/>
      <c r="EM319" s="357"/>
      <c r="EN319" s="357"/>
      <c r="EO319" s="357"/>
      <c r="EP319" s="357"/>
      <c r="EQ319" s="357"/>
      <c r="ER319" s="357"/>
      <c r="ES319" s="357"/>
      <c r="ET319" s="357"/>
      <c r="EU319" s="357"/>
      <c r="EV319" s="357"/>
      <c r="EW319" s="357"/>
      <c r="EX319" s="357"/>
      <c r="EY319" s="357"/>
      <c r="EZ319" s="357"/>
      <c r="FA319" s="357"/>
      <c r="FB319" s="357"/>
      <c r="FC319" s="357"/>
      <c r="FD319" s="357"/>
      <c r="FE319" s="357"/>
      <c r="FF319" s="357"/>
      <c r="FG319" s="357"/>
      <c r="FH319" s="357"/>
      <c r="FI319" s="357"/>
      <c r="FJ319" s="357"/>
      <c r="FK319" s="357"/>
      <c r="FL319" s="357"/>
      <c r="FM319" s="357"/>
      <c r="FN319" s="357"/>
      <c r="FO319" s="357"/>
      <c r="FP319" s="357"/>
      <c r="FQ319" s="357"/>
      <c r="FR319" s="357"/>
      <c r="FS319" s="357"/>
      <c r="FT319" s="357"/>
      <c r="FU319" s="357"/>
      <c r="FV319" s="357"/>
      <c r="FW319" s="357"/>
      <c r="FX319" s="357"/>
      <c r="FY319" s="357"/>
      <c r="FZ319" s="357"/>
      <c r="GA319" s="357"/>
      <c r="GB319" s="357"/>
      <c r="GC319" s="357"/>
      <c r="GD319" s="357"/>
      <c r="GE319" s="357"/>
      <c r="GF319" s="357"/>
      <c r="GG319" s="357"/>
      <c r="GH319" s="357"/>
      <c r="GI319" s="357"/>
      <c r="GJ319" s="357"/>
      <c r="GK319" s="154"/>
      <c r="GL319" s="154"/>
      <c r="GM319" s="154"/>
      <c r="GN319" s="154"/>
      <c r="GO319" s="154"/>
      <c r="GP319" s="154"/>
      <c r="GQ319" s="154"/>
      <c r="GR319" s="154"/>
      <c r="GS319" s="154"/>
      <c r="GT319" s="154"/>
      <c r="GU319" s="154"/>
      <c r="GV319" s="154"/>
      <c r="GW319" s="154"/>
      <c r="GX319" s="154"/>
    </row>
    <row r="320" spans="7:206">
      <c r="G320" s="154"/>
      <c r="H320" s="154"/>
      <c r="I320" s="154"/>
      <c r="J320" s="154"/>
      <c r="K320" s="154"/>
      <c r="L320" s="154"/>
      <c r="M320" s="154"/>
      <c r="N320" s="154"/>
      <c r="O320" s="154"/>
      <c r="P320" s="154"/>
      <c r="Q320" s="154"/>
      <c r="R320" s="154"/>
      <c r="S320" s="154"/>
      <c r="T320" s="154"/>
      <c r="U320" s="154"/>
      <c r="V320" s="154"/>
      <c r="W320" s="154"/>
      <c r="X320" s="154"/>
      <c r="Y320" s="154"/>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57"/>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7"/>
      <c r="BW320" s="357"/>
      <c r="BX320" s="357"/>
      <c r="BY320" s="357"/>
      <c r="BZ320" s="357"/>
      <c r="CA320" s="357"/>
      <c r="CB320" s="357"/>
      <c r="CC320" s="357"/>
      <c r="CD320" s="357"/>
      <c r="CE320" s="357"/>
      <c r="CF320" s="357"/>
      <c r="CG320" s="357"/>
      <c r="CH320" s="357"/>
      <c r="CI320" s="357"/>
      <c r="CJ320" s="357"/>
      <c r="CK320" s="357"/>
      <c r="CL320" s="357"/>
      <c r="CM320" s="357"/>
      <c r="CN320" s="357"/>
      <c r="CO320" s="357"/>
      <c r="CP320" s="357"/>
      <c r="CQ320" s="357"/>
      <c r="CR320" s="357"/>
      <c r="CS320" s="357"/>
      <c r="CT320" s="357"/>
      <c r="CU320" s="357"/>
      <c r="CV320" s="357"/>
      <c r="CW320" s="357"/>
      <c r="CX320" s="357"/>
      <c r="CY320" s="357"/>
      <c r="CZ320" s="357"/>
      <c r="DA320" s="357"/>
      <c r="DB320" s="357"/>
      <c r="DC320" s="357"/>
      <c r="DD320" s="357"/>
      <c r="DE320" s="357"/>
      <c r="DF320" s="357"/>
      <c r="DG320" s="357"/>
      <c r="DH320" s="357"/>
      <c r="DI320" s="357"/>
      <c r="DJ320" s="357"/>
      <c r="DK320" s="357"/>
      <c r="DL320" s="357"/>
      <c r="DM320" s="357"/>
      <c r="DN320" s="357"/>
      <c r="DO320" s="357"/>
      <c r="DP320" s="357"/>
      <c r="DQ320" s="357"/>
      <c r="DR320" s="357"/>
      <c r="DS320" s="357"/>
      <c r="DT320" s="357"/>
      <c r="DU320" s="357"/>
      <c r="DV320" s="357"/>
      <c r="DW320" s="357"/>
      <c r="DX320" s="357"/>
      <c r="DY320" s="357"/>
      <c r="DZ320" s="357"/>
      <c r="EA320" s="357"/>
      <c r="EB320" s="357"/>
      <c r="EC320" s="357"/>
      <c r="ED320" s="357"/>
      <c r="EE320" s="357"/>
      <c r="EF320" s="357"/>
      <c r="EG320" s="357"/>
      <c r="EH320" s="357"/>
      <c r="EI320" s="357"/>
      <c r="EJ320" s="357"/>
      <c r="EK320" s="357"/>
      <c r="EL320" s="357"/>
      <c r="EM320" s="357"/>
      <c r="EN320" s="357"/>
      <c r="EO320" s="357"/>
      <c r="EP320" s="357"/>
      <c r="EQ320" s="357"/>
      <c r="ER320" s="357"/>
      <c r="ES320" s="357"/>
      <c r="ET320" s="357"/>
      <c r="EU320" s="357"/>
      <c r="EV320" s="357"/>
      <c r="EW320" s="357"/>
      <c r="EX320" s="357"/>
      <c r="EY320" s="357"/>
      <c r="EZ320" s="357"/>
      <c r="FA320" s="357"/>
      <c r="FB320" s="357"/>
      <c r="FC320" s="357"/>
      <c r="FD320" s="357"/>
      <c r="FE320" s="357"/>
      <c r="FF320" s="357"/>
      <c r="FG320" s="357"/>
      <c r="FH320" s="357"/>
      <c r="FI320" s="357"/>
      <c r="FJ320" s="357"/>
      <c r="FK320" s="357"/>
      <c r="FL320" s="357"/>
      <c r="FM320" s="357"/>
      <c r="FN320" s="357"/>
      <c r="FO320" s="357"/>
      <c r="FP320" s="357"/>
      <c r="FQ320" s="357"/>
      <c r="FR320" s="357"/>
      <c r="FS320" s="357"/>
      <c r="FT320" s="357"/>
      <c r="FU320" s="357"/>
      <c r="FV320" s="357"/>
      <c r="FW320" s="357"/>
      <c r="FX320" s="357"/>
      <c r="FY320" s="357"/>
      <c r="FZ320" s="357"/>
      <c r="GA320" s="357"/>
      <c r="GB320" s="357"/>
      <c r="GC320" s="357"/>
      <c r="GD320" s="357"/>
      <c r="GE320" s="357"/>
      <c r="GF320" s="357"/>
      <c r="GG320" s="357"/>
      <c r="GH320" s="357"/>
      <c r="GI320" s="357"/>
      <c r="GJ320" s="357"/>
      <c r="GK320" s="154"/>
      <c r="GL320" s="154"/>
      <c r="GM320" s="154"/>
      <c r="GN320" s="154"/>
      <c r="GO320" s="154"/>
      <c r="GP320" s="154"/>
      <c r="GQ320" s="154"/>
      <c r="GR320" s="154"/>
      <c r="GS320" s="154"/>
      <c r="GT320" s="154"/>
      <c r="GU320" s="154"/>
      <c r="GV320" s="154"/>
      <c r="GW320" s="154"/>
      <c r="GX320" s="154"/>
    </row>
    <row r="321" spans="7:206">
      <c r="G321" s="154"/>
      <c r="H321" s="154"/>
      <c r="I321" s="154"/>
      <c r="J321" s="154"/>
      <c r="K321" s="154"/>
      <c r="L321" s="154"/>
      <c r="M321" s="154"/>
      <c r="N321" s="154"/>
      <c r="O321" s="154"/>
      <c r="P321" s="154"/>
      <c r="Q321" s="154"/>
      <c r="R321" s="154"/>
      <c r="S321" s="154"/>
      <c r="T321" s="154"/>
      <c r="U321" s="154"/>
      <c r="V321" s="154"/>
      <c r="W321" s="154"/>
      <c r="X321" s="154"/>
      <c r="Y321" s="154"/>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57"/>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7"/>
      <c r="BW321" s="357"/>
      <c r="BX321" s="357"/>
      <c r="BY321" s="357"/>
      <c r="BZ321" s="357"/>
      <c r="CA321" s="357"/>
      <c r="CB321" s="357"/>
      <c r="CC321" s="357"/>
      <c r="CD321" s="357"/>
      <c r="CE321" s="357"/>
      <c r="CF321" s="357"/>
      <c r="CG321" s="357"/>
      <c r="CH321" s="357"/>
      <c r="CI321" s="357"/>
      <c r="CJ321" s="357"/>
      <c r="CK321" s="357"/>
      <c r="CL321" s="357"/>
      <c r="CM321" s="357"/>
      <c r="CN321" s="357"/>
      <c r="CO321" s="357"/>
      <c r="CP321" s="357"/>
      <c r="CQ321" s="357"/>
      <c r="CR321" s="357"/>
      <c r="CS321" s="357"/>
      <c r="CT321" s="357"/>
      <c r="CU321" s="357"/>
      <c r="CV321" s="357"/>
      <c r="CW321" s="357"/>
      <c r="CX321" s="357"/>
      <c r="CY321" s="357"/>
      <c r="CZ321" s="357"/>
      <c r="DA321" s="357"/>
      <c r="DB321" s="357"/>
      <c r="DC321" s="357"/>
      <c r="DD321" s="357"/>
      <c r="DE321" s="357"/>
      <c r="DF321" s="357"/>
      <c r="DG321" s="357"/>
      <c r="DH321" s="357"/>
      <c r="DI321" s="357"/>
      <c r="DJ321" s="357"/>
      <c r="DK321" s="357"/>
      <c r="DL321" s="357"/>
      <c r="DM321" s="357"/>
      <c r="DN321" s="357"/>
      <c r="DO321" s="357"/>
      <c r="DP321" s="357"/>
      <c r="DQ321" s="357"/>
      <c r="DR321" s="357"/>
      <c r="DS321" s="357"/>
      <c r="DT321" s="357"/>
      <c r="DU321" s="357"/>
      <c r="DV321" s="357"/>
      <c r="DW321" s="357"/>
      <c r="DX321" s="357"/>
      <c r="DY321" s="357"/>
      <c r="DZ321" s="357"/>
      <c r="EA321" s="357"/>
      <c r="EB321" s="357"/>
      <c r="EC321" s="357"/>
      <c r="ED321" s="357"/>
      <c r="EE321" s="357"/>
      <c r="EF321" s="357"/>
      <c r="EG321" s="357"/>
      <c r="EH321" s="357"/>
      <c r="EI321" s="357"/>
      <c r="EJ321" s="357"/>
      <c r="EK321" s="357"/>
      <c r="EL321" s="357"/>
      <c r="EM321" s="357"/>
      <c r="EN321" s="357"/>
      <c r="EO321" s="357"/>
      <c r="EP321" s="357"/>
      <c r="EQ321" s="357"/>
      <c r="ER321" s="357"/>
      <c r="ES321" s="357"/>
      <c r="ET321" s="357"/>
      <c r="EU321" s="357"/>
      <c r="EV321" s="357"/>
      <c r="EW321" s="357"/>
      <c r="EX321" s="357"/>
      <c r="EY321" s="357"/>
      <c r="EZ321" s="357"/>
      <c r="FA321" s="357"/>
      <c r="FB321" s="357"/>
      <c r="FC321" s="357"/>
      <c r="FD321" s="357"/>
      <c r="FE321" s="357"/>
      <c r="FF321" s="357"/>
      <c r="FG321" s="357"/>
      <c r="FH321" s="357"/>
      <c r="FI321" s="357"/>
      <c r="FJ321" s="357"/>
      <c r="FK321" s="357"/>
      <c r="FL321" s="357"/>
      <c r="FM321" s="357"/>
      <c r="FN321" s="357"/>
      <c r="FO321" s="357"/>
      <c r="FP321" s="357"/>
      <c r="FQ321" s="357"/>
      <c r="FR321" s="357"/>
      <c r="FS321" s="357"/>
      <c r="FT321" s="357"/>
      <c r="FU321" s="357"/>
      <c r="FV321" s="357"/>
      <c r="FW321" s="357"/>
      <c r="FX321" s="357"/>
      <c r="FY321" s="357"/>
      <c r="FZ321" s="357"/>
      <c r="GA321" s="357"/>
      <c r="GB321" s="357"/>
      <c r="GC321" s="357"/>
      <c r="GD321" s="357"/>
      <c r="GE321" s="357"/>
      <c r="GF321" s="357"/>
      <c r="GG321" s="357"/>
      <c r="GH321" s="357"/>
      <c r="GI321" s="357"/>
      <c r="GJ321" s="357"/>
      <c r="GK321" s="154"/>
      <c r="GL321" s="154"/>
      <c r="GM321" s="154"/>
      <c r="GN321" s="154"/>
      <c r="GO321" s="154"/>
      <c r="GP321" s="154"/>
      <c r="GQ321" s="154"/>
      <c r="GR321" s="154"/>
      <c r="GS321" s="154"/>
      <c r="GT321" s="154"/>
      <c r="GU321" s="154"/>
      <c r="GV321" s="154"/>
      <c r="GW321" s="154"/>
      <c r="GX321" s="154"/>
    </row>
    <row r="322" spans="7:206">
      <c r="G322" s="154"/>
      <c r="H322" s="154"/>
      <c r="I322" s="154"/>
      <c r="J322" s="154"/>
      <c r="K322" s="154"/>
      <c r="L322" s="154"/>
      <c r="M322" s="154"/>
      <c r="N322" s="154"/>
      <c r="O322" s="154"/>
      <c r="P322" s="154"/>
      <c r="Q322" s="154"/>
      <c r="R322" s="154"/>
      <c r="S322" s="154"/>
      <c r="T322" s="154"/>
      <c r="U322" s="154"/>
      <c r="V322" s="154"/>
      <c r="W322" s="154"/>
      <c r="X322" s="154"/>
      <c r="Y322" s="154"/>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57"/>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7"/>
      <c r="BW322" s="357"/>
      <c r="BX322" s="357"/>
      <c r="BY322" s="357"/>
      <c r="BZ322" s="357"/>
      <c r="CA322" s="357"/>
      <c r="CB322" s="357"/>
      <c r="CC322" s="357"/>
      <c r="CD322" s="357"/>
      <c r="CE322" s="357"/>
      <c r="CF322" s="357"/>
      <c r="CG322" s="357"/>
      <c r="CH322" s="357"/>
      <c r="CI322" s="357"/>
      <c r="CJ322" s="357"/>
      <c r="CK322" s="357"/>
      <c r="CL322" s="357"/>
      <c r="CM322" s="357"/>
      <c r="CN322" s="357"/>
      <c r="CO322" s="357"/>
      <c r="CP322" s="357"/>
      <c r="CQ322" s="357"/>
      <c r="CR322" s="357"/>
      <c r="CS322" s="357"/>
      <c r="CT322" s="357"/>
      <c r="CU322" s="357"/>
      <c r="CV322" s="357"/>
      <c r="CW322" s="357"/>
      <c r="CX322" s="357"/>
      <c r="CY322" s="357"/>
      <c r="CZ322" s="357"/>
      <c r="DA322" s="357"/>
      <c r="DB322" s="357"/>
      <c r="DC322" s="357"/>
      <c r="DD322" s="357"/>
      <c r="DE322" s="357"/>
      <c r="DF322" s="357"/>
      <c r="DG322" s="357"/>
      <c r="DH322" s="357"/>
      <c r="DI322" s="357"/>
      <c r="DJ322" s="357"/>
      <c r="DK322" s="357"/>
      <c r="DL322" s="357"/>
      <c r="DM322" s="357"/>
      <c r="DN322" s="357"/>
      <c r="DO322" s="357"/>
      <c r="DP322" s="357"/>
      <c r="DQ322" s="357"/>
      <c r="DR322" s="357"/>
      <c r="DS322" s="357"/>
      <c r="DT322" s="357"/>
      <c r="DU322" s="357"/>
      <c r="DV322" s="357"/>
      <c r="DW322" s="357"/>
      <c r="DX322" s="357"/>
      <c r="DY322" s="357"/>
      <c r="DZ322" s="357"/>
      <c r="EA322" s="357"/>
      <c r="EB322" s="357"/>
      <c r="EC322" s="357"/>
      <c r="ED322" s="357"/>
      <c r="EE322" s="357"/>
      <c r="EF322" s="357"/>
      <c r="EG322" s="357"/>
      <c r="EH322" s="357"/>
      <c r="EI322" s="357"/>
      <c r="EJ322" s="357"/>
      <c r="EK322" s="357"/>
      <c r="EL322" s="357"/>
      <c r="EM322" s="357"/>
      <c r="EN322" s="357"/>
      <c r="EO322" s="357"/>
      <c r="EP322" s="357"/>
      <c r="EQ322" s="357"/>
      <c r="ER322" s="357"/>
      <c r="ES322" s="357"/>
      <c r="ET322" s="357"/>
      <c r="EU322" s="357"/>
      <c r="EV322" s="357"/>
      <c r="EW322" s="357"/>
      <c r="EX322" s="357"/>
      <c r="EY322" s="357"/>
      <c r="EZ322" s="357"/>
      <c r="FA322" s="357"/>
      <c r="FB322" s="357"/>
      <c r="FC322" s="357"/>
      <c r="FD322" s="357"/>
      <c r="FE322" s="357"/>
      <c r="FF322" s="357"/>
      <c r="FG322" s="357"/>
      <c r="FH322" s="357"/>
      <c r="FI322" s="357"/>
      <c r="FJ322" s="357"/>
      <c r="FK322" s="357"/>
      <c r="FL322" s="357"/>
      <c r="FM322" s="357"/>
      <c r="FN322" s="357"/>
      <c r="FO322" s="357"/>
      <c r="FP322" s="357"/>
      <c r="FQ322" s="357"/>
      <c r="FR322" s="357"/>
      <c r="FS322" s="357"/>
      <c r="FT322" s="357"/>
      <c r="FU322" s="357"/>
      <c r="FV322" s="357"/>
      <c r="FW322" s="357"/>
      <c r="FX322" s="357"/>
      <c r="FY322" s="357"/>
      <c r="FZ322" s="357"/>
      <c r="GA322" s="357"/>
      <c r="GB322" s="357"/>
      <c r="GC322" s="357"/>
      <c r="GD322" s="357"/>
      <c r="GE322" s="357"/>
      <c r="GF322" s="357"/>
      <c r="GG322" s="357"/>
      <c r="GH322" s="357"/>
      <c r="GI322" s="357"/>
      <c r="GJ322" s="357"/>
      <c r="GK322" s="154"/>
      <c r="GL322" s="154"/>
      <c r="GM322" s="154"/>
      <c r="GN322" s="154"/>
      <c r="GO322" s="154"/>
      <c r="GP322" s="154"/>
      <c r="GQ322" s="154"/>
      <c r="GR322" s="154"/>
      <c r="GS322" s="154"/>
      <c r="GT322" s="154"/>
      <c r="GU322" s="154"/>
      <c r="GV322" s="154"/>
      <c r="GW322" s="154"/>
      <c r="GX322" s="154"/>
    </row>
    <row r="323" spans="7:206">
      <c r="G323" s="154"/>
      <c r="H323" s="154"/>
      <c r="I323" s="154"/>
      <c r="J323" s="154"/>
      <c r="K323" s="154"/>
      <c r="L323" s="154"/>
      <c r="M323" s="154"/>
      <c r="N323" s="154"/>
      <c r="O323" s="154"/>
      <c r="P323" s="154"/>
      <c r="Q323" s="154"/>
      <c r="R323" s="154"/>
      <c r="S323" s="154"/>
      <c r="T323" s="154"/>
      <c r="U323" s="154"/>
      <c r="V323" s="154"/>
      <c r="W323" s="154"/>
      <c r="X323" s="154"/>
      <c r="Y323" s="154"/>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57"/>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7"/>
      <c r="BW323" s="357"/>
      <c r="BX323" s="357"/>
      <c r="BY323" s="357"/>
      <c r="BZ323" s="357"/>
      <c r="CA323" s="357"/>
      <c r="CB323" s="357"/>
      <c r="CC323" s="357"/>
      <c r="CD323" s="357"/>
      <c r="CE323" s="357"/>
      <c r="CF323" s="357"/>
      <c r="CG323" s="357"/>
      <c r="CH323" s="357"/>
      <c r="CI323" s="357"/>
      <c r="CJ323" s="357"/>
      <c r="CK323" s="357"/>
      <c r="CL323" s="357"/>
      <c r="CM323" s="357"/>
      <c r="CN323" s="357"/>
      <c r="CO323" s="357"/>
      <c r="CP323" s="357"/>
      <c r="CQ323" s="357"/>
      <c r="CR323" s="357"/>
      <c r="CS323" s="357"/>
      <c r="CT323" s="357"/>
      <c r="CU323" s="357"/>
      <c r="CV323" s="357"/>
      <c r="CW323" s="357"/>
      <c r="CX323" s="357"/>
      <c r="CY323" s="357"/>
      <c r="CZ323" s="357"/>
      <c r="DA323" s="357"/>
      <c r="DB323" s="357"/>
      <c r="DC323" s="357"/>
      <c r="DD323" s="357"/>
      <c r="DE323" s="357"/>
      <c r="DF323" s="357"/>
      <c r="DG323" s="357"/>
      <c r="DH323" s="357"/>
      <c r="DI323" s="357"/>
      <c r="DJ323" s="357"/>
      <c r="DK323" s="357"/>
      <c r="DL323" s="357"/>
      <c r="DM323" s="357"/>
      <c r="DN323" s="357"/>
      <c r="DO323" s="357"/>
      <c r="DP323" s="357"/>
      <c r="DQ323" s="357"/>
      <c r="DR323" s="357"/>
      <c r="DS323" s="357"/>
      <c r="DT323" s="357"/>
      <c r="DU323" s="357"/>
      <c r="DV323" s="357"/>
      <c r="DW323" s="357"/>
      <c r="DX323" s="357"/>
      <c r="DY323" s="357"/>
      <c r="DZ323" s="357"/>
      <c r="EA323" s="357"/>
      <c r="EB323" s="357"/>
      <c r="EC323" s="357"/>
      <c r="ED323" s="357"/>
      <c r="EE323" s="357"/>
      <c r="EF323" s="357"/>
      <c r="EG323" s="357"/>
      <c r="EH323" s="357"/>
      <c r="EI323" s="357"/>
      <c r="EJ323" s="357"/>
      <c r="EK323" s="357"/>
      <c r="EL323" s="357"/>
      <c r="EM323" s="357"/>
      <c r="EN323" s="357"/>
      <c r="EO323" s="357"/>
      <c r="EP323" s="357"/>
      <c r="EQ323" s="357"/>
      <c r="ER323" s="357"/>
      <c r="ES323" s="357"/>
      <c r="ET323" s="357"/>
      <c r="EU323" s="357"/>
      <c r="EV323" s="357"/>
      <c r="EW323" s="357"/>
      <c r="EX323" s="357"/>
      <c r="EY323" s="357"/>
      <c r="EZ323" s="357"/>
      <c r="FA323" s="357"/>
      <c r="FB323" s="357"/>
      <c r="FC323" s="357"/>
      <c r="FD323" s="357"/>
      <c r="FE323" s="357"/>
      <c r="FF323" s="357"/>
      <c r="FG323" s="357"/>
      <c r="FH323" s="357"/>
      <c r="FI323" s="357"/>
      <c r="FJ323" s="357"/>
      <c r="FK323" s="357"/>
      <c r="FL323" s="357"/>
      <c r="FM323" s="357"/>
      <c r="FN323" s="357"/>
      <c r="FO323" s="357"/>
      <c r="FP323" s="357"/>
      <c r="FQ323" s="357"/>
      <c r="FR323" s="357"/>
      <c r="FS323" s="357"/>
      <c r="FT323" s="357"/>
      <c r="FU323" s="357"/>
      <c r="FV323" s="357"/>
      <c r="FW323" s="357"/>
      <c r="FX323" s="357"/>
      <c r="FY323" s="357"/>
      <c r="FZ323" s="357"/>
      <c r="GA323" s="357"/>
      <c r="GB323" s="357"/>
      <c r="GC323" s="357"/>
      <c r="GD323" s="357"/>
      <c r="GE323" s="357"/>
      <c r="GF323" s="357"/>
      <c r="GG323" s="357"/>
      <c r="GH323" s="357"/>
      <c r="GI323" s="357"/>
      <c r="GJ323" s="357"/>
      <c r="GK323" s="154"/>
      <c r="GL323" s="154"/>
      <c r="GM323" s="154"/>
      <c r="GN323" s="154"/>
      <c r="GO323" s="154"/>
      <c r="GP323" s="154"/>
      <c r="GQ323" s="154"/>
      <c r="GR323" s="154"/>
      <c r="GS323" s="154"/>
      <c r="GT323" s="154"/>
      <c r="GU323" s="154"/>
      <c r="GV323" s="154"/>
      <c r="GW323" s="154"/>
      <c r="GX323" s="154"/>
    </row>
    <row r="324" spans="7:206">
      <c r="G324" s="154"/>
      <c r="H324" s="154"/>
      <c r="I324" s="154"/>
      <c r="J324" s="154"/>
      <c r="K324" s="154"/>
      <c r="L324" s="154"/>
      <c r="M324" s="154"/>
      <c r="N324" s="154"/>
      <c r="O324" s="154"/>
      <c r="P324" s="154"/>
      <c r="Q324" s="154"/>
      <c r="R324" s="154"/>
      <c r="S324" s="154"/>
      <c r="T324" s="154"/>
      <c r="U324" s="154"/>
      <c r="V324" s="154"/>
      <c r="W324" s="154"/>
      <c r="X324" s="154"/>
      <c r="Y324" s="154"/>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57"/>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7"/>
      <c r="BW324" s="357"/>
      <c r="BX324" s="357"/>
      <c r="BY324" s="357"/>
      <c r="BZ324" s="357"/>
      <c r="CA324" s="357"/>
      <c r="CB324" s="357"/>
      <c r="CC324" s="357"/>
      <c r="CD324" s="357"/>
      <c r="CE324" s="357"/>
      <c r="CF324" s="357"/>
      <c r="CG324" s="357"/>
      <c r="CH324" s="357"/>
      <c r="CI324" s="357"/>
      <c r="CJ324" s="357"/>
      <c r="CK324" s="357"/>
      <c r="CL324" s="357"/>
      <c r="CM324" s="357"/>
      <c r="CN324" s="357"/>
      <c r="CO324" s="357"/>
      <c r="CP324" s="357"/>
      <c r="CQ324" s="357"/>
      <c r="CR324" s="357"/>
      <c r="CS324" s="357"/>
      <c r="CT324" s="357"/>
      <c r="CU324" s="357"/>
      <c r="CV324" s="357"/>
      <c r="CW324" s="357"/>
      <c r="CX324" s="357"/>
      <c r="CY324" s="357"/>
      <c r="CZ324" s="357"/>
      <c r="DA324" s="357"/>
      <c r="DB324" s="357"/>
      <c r="DC324" s="357"/>
      <c r="DD324" s="357"/>
      <c r="DE324" s="357"/>
      <c r="DF324" s="357"/>
      <c r="DG324" s="357"/>
      <c r="DH324" s="357"/>
      <c r="DI324" s="357"/>
      <c r="DJ324" s="357"/>
      <c r="DK324" s="357"/>
      <c r="DL324" s="357"/>
      <c r="DM324" s="357"/>
      <c r="DN324" s="357"/>
      <c r="DO324" s="357"/>
      <c r="DP324" s="357"/>
      <c r="DQ324" s="357"/>
      <c r="DR324" s="357"/>
      <c r="DS324" s="357"/>
      <c r="DT324" s="357"/>
      <c r="DU324" s="357"/>
      <c r="DV324" s="357"/>
      <c r="DW324" s="357"/>
      <c r="DX324" s="357"/>
      <c r="DY324" s="357"/>
      <c r="DZ324" s="357"/>
      <c r="EA324" s="357"/>
      <c r="EB324" s="357"/>
      <c r="EC324" s="357"/>
      <c r="ED324" s="357"/>
      <c r="EE324" s="357"/>
      <c r="EF324" s="357"/>
      <c r="EG324" s="357"/>
      <c r="EH324" s="357"/>
      <c r="EI324" s="357"/>
      <c r="EJ324" s="357"/>
      <c r="EK324" s="357"/>
      <c r="EL324" s="357"/>
      <c r="EM324" s="357"/>
      <c r="EN324" s="357"/>
      <c r="EO324" s="357"/>
      <c r="EP324" s="357"/>
      <c r="EQ324" s="357"/>
      <c r="ER324" s="357"/>
      <c r="ES324" s="357"/>
      <c r="ET324" s="357"/>
      <c r="EU324" s="357"/>
      <c r="EV324" s="357"/>
      <c r="EW324" s="357"/>
      <c r="EX324" s="357"/>
      <c r="EY324" s="357"/>
      <c r="EZ324" s="357"/>
      <c r="FA324" s="357"/>
      <c r="FB324" s="357"/>
      <c r="FC324" s="357"/>
      <c r="FD324" s="357"/>
      <c r="FE324" s="357"/>
      <c r="FF324" s="357"/>
      <c r="FG324" s="357"/>
      <c r="FH324" s="357"/>
      <c r="FI324" s="357"/>
      <c r="FJ324" s="357"/>
      <c r="FK324" s="357"/>
      <c r="FL324" s="357"/>
      <c r="FM324" s="357"/>
      <c r="FN324" s="357"/>
      <c r="FO324" s="357"/>
      <c r="FP324" s="357"/>
      <c r="FQ324" s="357"/>
      <c r="FR324" s="357"/>
      <c r="FS324" s="357"/>
      <c r="FT324" s="357"/>
      <c r="FU324" s="357"/>
      <c r="FV324" s="357"/>
      <c r="FW324" s="357"/>
      <c r="FX324" s="357"/>
      <c r="FY324" s="357"/>
      <c r="FZ324" s="357"/>
      <c r="GA324" s="357"/>
      <c r="GB324" s="357"/>
      <c r="GC324" s="357"/>
      <c r="GD324" s="357"/>
      <c r="GE324" s="357"/>
      <c r="GF324" s="357"/>
      <c r="GG324" s="357"/>
      <c r="GH324" s="357"/>
      <c r="GI324" s="357"/>
      <c r="GJ324" s="357"/>
      <c r="GK324" s="154"/>
      <c r="GL324" s="154"/>
      <c r="GM324" s="154"/>
      <c r="GN324" s="154"/>
      <c r="GO324" s="154"/>
      <c r="GP324" s="154"/>
      <c r="GQ324" s="154"/>
      <c r="GR324" s="154"/>
      <c r="GS324" s="154"/>
      <c r="GT324" s="154"/>
      <c r="GU324" s="154"/>
      <c r="GV324" s="154"/>
      <c r="GW324" s="154"/>
      <c r="GX324" s="154"/>
    </row>
    <row r="325" spans="7:206">
      <c r="G325" s="154"/>
      <c r="H325" s="154"/>
      <c r="I325" s="154"/>
      <c r="J325" s="154"/>
      <c r="K325" s="154"/>
      <c r="L325" s="154"/>
      <c r="M325" s="154"/>
      <c r="N325" s="154"/>
      <c r="O325" s="154"/>
      <c r="P325" s="154"/>
      <c r="Q325" s="154"/>
      <c r="R325" s="154"/>
      <c r="S325" s="154"/>
      <c r="T325" s="154"/>
      <c r="U325" s="154"/>
      <c r="V325" s="154"/>
      <c r="W325" s="154"/>
      <c r="X325" s="154"/>
      <c r="Y325" s="154"/>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57"/>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7"/>
      <c r="BW325" s="357"/>
      <c r="BX325" s="357"/>
      <c r="BY325" s="357"/>
      <c r="BZ325" s="357"/>
      <c r="CA325" s="357"/>
      <c r="CB325" s="357"/>
      <c r="CC325" s="357"/>
      <c r="CD325" s="357"/>
      <c r="CE325" s="357"/>
      <c r="CF325" s="357"/>
      <c r="CG325" s="357"/>
      <c r="CH325" s="357"/>
      <c r="CI325" s="357"/>
      <c r="CJ325" s="357"/>
      <c r="CK325" s="357"/>
      <c r="CL325" s="357"/>
      <c r="CM325" s="357"/>
      <c r="CN325" s="357"/>
      <c r="CO325" s="357"/>
      <c r="CP325" s="357"/>
      <c r="CQ325" s="357"/>
      <c r="CR325" s="357"/>
      <c r="CS325" s="357"/>
      <c r="CT325" s="357"/>
      <c r="CU325" s="357"/>
      <c r="CV325" s="357"/>
      <c r="CW325" s="357"/>
      <c r="CX325" s="357"/>
      <c r="CY325" s="357"/>
      <c r="CZ325" s="357"/>
      <c r="DA325" s="357"/>
      <c r="DB325" s="357"/>
      <c r="DC325" s="357"/>
      <c r="DD325" s="357"/>
      <c r="DE325" s="357"/>
      <c r="DF325" s="357"/>
      <c r="DG325" s="357"/>
      <c r="DH325" s="357"/>
      <c r="DI325" s="357"/>
      <c r="DJ325" s="357"/>
      <c r="DK325" s="357"/>
      <c r="DL325" s="357"/>
      <c r="DM325" s="357"/>
      <c r="DN325" s="357"/>
      <c r="DO325" s="357"/>
      <c r="DP325" s="357"/>
      <c r="DQ325" s="357"/>
      <c r="DR325" s="357"/>
      <c r="DS325" s="357"/>
      <c r="DT325" s="357"/>
      <c r="DU325" s="357"/>
      <c r="DV325" s="357"/>
      <c r="DW325" s="357"/>
      <c r="DX325" s="357"/>
      <c r="DY325" s="357"/>
      <c r="DZ325" s="357"/>
      <c r="EA325" s="357"/>
      <c r="EB325" s="357"/>
      <c r="EC325" s="357"/>
      <c r="ED325" s="357"/>
      <c r="EE325" s="357"/>
      <c r="EF325" s="357"/>
      <c r="EG325" s="357"/>
      <c r="EH325" s="357"/>
      <c r="EI325" s="357"/>
      <c r="EJ325" s="357"/>
      <c r="EK325" s="357"/>
      <c r="EL325" s="357"/>
      <c r="EM325" s="357"/>
      <c r="EN325" s="357"/>
      <c r="EO325" s="357"/>
      <c r="EP325" s="357"/>
      <c r="EQ325" s="357"/>
      <c r="ER325" s="357"/>
      <c r="ES325" s="357"/>
      <c r="ET325" s="357"/>
      <c r="EU325" s="357"/>
      <c r="EV325" s="357"/>
      <c r="EW325" s="357"/>
      <c r="EX325" s="357"/>
      <c r="EY325" s="357"/>
      <c r="EZ325" s="357"/>
      <c r="FA325" s="357"/>
      <c r="FB325" s="357"/>
      <c r="FC325" s="357"/>
      <c r="FD325" s="357"/>
      <c r="FE325" s="357"/>
      <c r="FF325" s="357"/>
      <c r="FG325" s="357"/>
      <c r="FH325" s="357"/>
      <c r="FI325" s="357"/>
      <c r="FJ325" s="357"/>
      <c r="FK325" s="357"/>
      <c r="FL325" s="357"/>
      <c r="FM325" s="357"/>
      <c r="FN325" s="357"/>
      <c r="FO325" s="357"/>
      <c r="FP325" s="357"/>
      <c r="FQ325" s="357"/>
      <c r="FR325" s="357"/>
      <c r="FS325" s="357"/>
      <c r="FT325" s="357"/>
      <c r="FU325" s="357"/>
      <c r="FV325" s="357"/>
      <c r="FW325" s="357"/>
      <c r="FX325" s="357"/>
      <c r="FY325" s="357"/>
      <c r="FZ325" s="357"/>
      <c r="GA325" s="357"/>
      <c r="GB325" s="357"/>
      <c r="GC325" s="357"/>
      <c r="GD325" s="357"/>
      <c r="GE325" s="357"/>
      <c r="GF325" s="357"/>
      <c r="GG325" s="357"/>
      <c r="GH325" s="357"/>
      <c r="GI325" s="357"/>
      <c r="GJ325" s="357"/>
      <c r="GK325" s="154"/>
      <c r="GL325" s="154"/>
      <c r="GM325" s="154"/>
      <c r="GN325" s="154"/>
      <c r="GO325" s="154"/>
      <c r="GP325" s="154"/>
      <c r="GQ325" s="154"/>
      <c r="GR325" s="154"/>
      <c r="GS325" s="154"/>
      <c r="GT325" s="154"/>
      <c r="GU325" s="154"/>
      <c r="GV325" s="154"/>
      <c r="GW325" s="154"/>
      <c r="GX325" s="154"/>
    </row>
    <row r="326" spans="7:206">
      <c r="G326" s="154"/>
      <c r="H326" s="154"/>
      <c r="I326" s="154"/>
      <c r="J326" s="154"/>
      <c r="K326" s="154"/>
      <c r="L326" s="154"/>
      <c r="M326" s="154"/>
      <c r="N326" s="154"/>
      <c r="O326" s="154"/>
      <c r="P326" s="154"/>
      <c r="Q326" s="154"/>
      <c r="R326" s="154"/>
      <c r="S326" s="154"/>
      <c r="T326" s="154"/>
      <c r="U326" s="154"/>
      <c r="V326" s="154"/>
      <c r="W326" s="154"/>
      <c r="X326" s="154"/>
      <c r="Y326" s="154"/>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57"/>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7"/>
      <c r="BW326" s="357"/>
      <c r="BX326" s="357"/>
      <c r="BY326" s="357"/>
      <c r="BZ326" s="357"/>
      <c r="CA326" s="357"/>
      <c r="CB326" s="357"/>
      <c r="CC326" s="357"/>
      <c r="CD326" s="357"/>
      <c r="CE326" s="357"/>
      <c r="CF326" s="357"/>
      <c r="CG326" s="357"/>
      <c r="CH326" s="357"/>
      <c r="CI326" s="357"/>
      <c r="CJ326" s="357"/>
      <c r="CK326" s="357"/>
      <c r="CL326" s="357"/>
      <c r="CM326" s="357"/>
      <c r="CN326" s="357"/>
      <c r="CO326" s="357"/>
      <c r="CP326" s="357"/>
      <c r="CQ326" s="357"/>
      <c r="CR326" s="357"/>
      <c r="CS326" s="357"/>
      <c r="CT326" s="357"/>
      <c r="CU326" s="357"/>
      <c r="CV326" s="357"/>
      <c r="CW326" s="357"/>
      <c r="CX326" s="357"/>
      <c r="CY326" s="357"/>
      <c r="CZ326" s="357"/>
      <c r="DA326" s="357"/>
      <c r="DB326" s="357"/>
      <c r="DC326" s="357"/>
      <c r="DD326" s="357"/>
      <c r="DE326" s="357"/>
      <c r="DF326" s="357"/>
      <c r="DG326" s="357"/>
      <c r="DH326" s="357"/>
      <c r="DI326" s="357"/>
      <c r="DJ326" s="357"/>
      <c r="DK326" s="357"/>
      <c r="DL326" s="357"/>
      <c r="DM326" s="357"/>
      <c r="DN326" s="357"/>
      <c r="DO326" s="357"/>
      <c r="DP326" s="357"/>
      <c r="DQ326" s="357"/>
      <c r="DR326" s="357"/>
      <c r="DS326" s="357"/>
      <c r="DT326" s="357"/>
      <c r="DU326" s="357"/>
      <c r="DV326" s="357"/>
      <c r="DW326" s="357"/>
      <c r="DX326" s="357"/>
      <c r="DY326" s="357"/>
      <c r="DZ326" s="357"/>
      <c r="EA326" s="357"/>
      <c r="EB326" s="357"/>
      <c r="EC326" s="357"/>
      <c r="ED326" s="357"/>
      <c r="EE326" s="357"/>
      <c r="EF326" s="357"/>
      <c r="EG326" s="357"/>
      <c r="EH326" s="357"/>
      <c r="EI326" s="357"/>
      <c r="EJ326" s="357"/>
      <c r="EK326" s="357"/>
      <c r="EL326" s="357"/>
      <c r="EM326" s="357"/>
      <c r="EN326" s="357"/>
      <c r="EO326" s="357"/>
      <c r="EP326" s="357"/>
      <c r="EQ326" s="357"/>
      <c r="ER326" s="357"/>
      <c r="ES326" s="357"/>
      <c r="ET326" s="357"/>
      <c r="EU326" s="357"/>
      <c r="EV326" s="357"/>
      <c r="EW326" s="357"/>
      <c r="EX326" s="357"/>
      <c r="EY326" s="357"/>
      <c r="EZ326" s="357"/>
      <c r="FA326" s="357"/>
      <c r="FB326" s="357"/>
      <c r="FC326" s="357"/>
      <c r="FD326" s="357"/>
      <c r="FE326" s="357"/>
      <c r="FF326" s="357"/>
      <c r="FG326" s="357"/>
      <c r="FH326" s="357"/>
      <c r="FI326" s="357"/>
      <c r="FJ326" s="357"/>
      <c r="FK326" s="357"/>
      <c r="FL326" s="357"/>
      <c r="FM326" s="357"/>
      <c r="FN326" s="357"/>
      <c r="FO326" s="357"/>
      <c r="FP326" s="357"/>
      <c r="FQ326" s="357"/>
      <c r="FR326" s="357"/>
      <c r="FS326" s="357"/>
      <c r="FT326" s="357"/>
      <c r="FU326" s="357"/>
      <c r="FV326" s="357"/>
      <c r="FW326" s="357"/>
      <c r="FX326" s="357"/>
      <c r="FY326" s="357"/>
      <c r="FZ326" s="357"/>
      <c r="GA326" s="357"/>
      <c r="GB326" s="357"/>
      <c r="GC326" s="357"/>
      <c r="GD326" s="357"/>
      <c r="GE326" s="357"/>
      <c r="GF326" s="357"/>
      <c r="GG326" s="357"/>
      <c r="GH326" s="357"/>
      <c r="GI326" s="357"/>
      <c r="GJ326" s="357"/>
      <c r="GK326" s="154"/>
      <c r="GL326" s="154"/>
      <c r="GM326" s="154"/>
      <c r="GN326" s="154"/>
      <c r="GO326" s="154"/>
      <c r="GP326" s="154"/>
      <c r="GQ326" s="154"/>
      <c r="GR326" s="154"/>
      <c r="GS326" s="154"/>
      <c r="GT326" s="154"/>
      <c r="GU326" s="154"/>
      <c r="GV326" s="154"/>
      <c r="GW326" s="154"/>
      <c r="GX326" s="154"/>
    </row>
    <row r="327" spans="7:206">
      <c r="G327" s="154"/>
      <c r="H327" s="154"/>
      <c r="I327" s="154"/>
      <c r="J327" s="154"/>
      <c r="K327" s="154"/>
      <c r="L327" s="154"/>
      <c r="M327" s="154"/>
      <c r="N327" s="154"/>
      <c r="O327" s="154"/>
      <c r="P327" s="154"/>
      <c r="Q327" s="154"/>
      <c r="R327" s="154"/>
      <c r="S327" s="154"/>
      <c r="T327" s="154"/>
      <c r="U327" s="154"/>
      <c r="V327" s="154"/>
      <c r="W327" s="154"/>
      <c r="X327" s="154"/>
      <c r="Y327" s="154"/>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57"/>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7"/>
      <c r="BW327" s="357"/>
      <c r="BX327" s="357"/>
      <c r="BY327" s="357"/>
      <c r="BZ327" s="357"/>
      <c r="CA327" s="357"/>
      <c r="CB327" s="357"/>
      <c r="CC327" s="357"/>
      <c r="CD327" s="357"/>
      <c r="CE327" s="357"/>
      <c r="CF327" s="357"/>
      <c r="CG327" s="357"/>
      <c r="CH327" s="357"/>
      <c r="CI327" s="357"/>
      <c r="CJ327" s="357"/>
      <c r="CK327" s="357"/>
      <c r="CL327" s="357"/>
      <c r="CM327" s="357"/>
      <c r="CN327" s="357"/>
      <c r="CO327" s="357"/>
      <c r="CP327" s="357"/>
      <c r="CQ327" s="357"/>
      <c r="CR327" s="357"/>
      <c r="CS327" s="357"/>
      <c r="CT327" s="357"/>
      <c r="CU327" s="357"/>
      <c r="CV327" s="357"/>
      <c r="CW327" s="357"/>
      <c r="CX327" s="357"/>
      <c r="CY327" s="357"/>
      <c r="CZ327" s="357"/>
      <c r="DA327" s="357"/>
      <c r="DB327" s="357"/>
      <c r="DC327" s="357"/>
      <c r="DD327" s="357"/>
      <c r="DE327" s="357"/>
      <c r="DF327" s="357"/>
      <c r="DG327" s="357"/>
      <c r="DH327" s="357"/>
      <c r="DI327" s="357"/>
      <c r="DJ327" s="357"/>
      <c r="DK327" s="357"/>
      <c r="DL327" s="357"/>
      <c r="DM327" s="357"/>
      <c r="DN327" s="357"/>
      <c r="DO327" s="357"/>
      <c r="DP327" s="357"/>
      <c r="DQ327" s="357"/>
      <c r="DR327" s="357"/>
      <c r="DS327" s="357"/>
      <c r="DT327" s="357"/>
      <c r="DU327" s="357"/>
      <c r="DV327" s="357"/>
      <c r="DW327" s="357"/>
      <c r="DX327" s="357"/>
      <c r="DY327" s="357"/>
      <c r="DZ327" s="357"/>
      <c r="EA327" s="357"/>
      <c r="EB327" s="357"/>
      <c r="EC327" s="357"/>
      <c r="ED327" s="357"/>
      <c r="EE327" s="357"/>
      <c r="EF327" s="357"/>
      <c r="EG327" s="357"/>
      <c r="EH327" s="357"/>
      <c r="EI327" s="357"/>
      <c r="EJ327" s="357"/>
      <c r="EK327" s="357"/>
      <c r="EL327" s="357"/>
      <c r="EM327" s="357"/>
      <c r="EN327" s="357"/>
      <c r="EO327" s="357"/>
      <c r="EP327" s="357"/>
      <c r="EQ327" s="357"/>
      <c r="ER327" s="357"/>
      <c r="ES327" s="357"/>
      <c r="ET327" s="357"/>
      <c r="EU327" s="357"/>
      <c r="EV327" s="357"/>
      <c r="EW327" s="357"/>
      <c r="EX327" s="357"/>
      <c r="EY327" s="357"/>
      <c r="EZ327" s="357"/>
      <c r="FA327" s="357"/>
      <c r="FB327" s="357"/>
      <c r="FC327" s="357"/>
      <c r="FD327" s="357"/>
      <c r="FE327" s="357"/>
      <c r="FF327" s="357"/>
      <c r="FG327" s="357"/>
      <c r="FH327" s="357"/>
      <c r="FI327" s="357"/>
      <c r="FJ327" s="357"/>
      <c r="FK327" s="357"/>
      <c r="FL327" s="357"/>
      <c r="FM327" s="357"/>
      <c r="FN327" s="357"/>
      <c r="FO327" s="357"/>
      <c r="FP327" s="357"/>
      <c r="FQ327" s="357"/>
      <c r="FR327" s="357"/>
      <c r="FS327" s="357"/>
      <c r="FT327" s="357"/>
      <c r="FU327" s="357"/>
      <c r="FV327" s="357"/>
      <c r="FW327" s="357"/>
      <c r="FX327" s="357"/>
      <c r="FY327" s="357"/>
      <c r="FZ327" s="357"/>
      <c r="GA327" s="357"/>
      <c r="GB327" s="357"/>
      <c r="GC327" s="357"/>
      <c r="GD327" s="357"/>
      <c r="GE327" s="357"/>
      <c r="GF327" s="357"/>
      <c r="GG327" s="357"/>
      <c r="GH327" s="357"/>
      <c r="GI327" s="357"/>
      <c r="GJ327" s="357"/>
      <c r="GK327" s="154"/>
      <c r="GL327" s="154"/>
      <c r="GM327" s="154"/>
      <c r="GN327" s="154"/>
      <c r="GO327" s="154"/>
      <c r="GP327" s="154"/>
      <c r="GQ327" s="154"/>
      <c r="GR327" s="154"/>
      <c r="GS327" s="154"/>
      <c r="GT327" s="154"/>
      <c r="GU327" s="154"/>
      <c r="GV327" s="154"/>
      <c r="GW327" s="154"/>
      <c r="GX327" s="154"/>
    </row>
    <row r="328" spans="7:206">
      <c r="G328" s="154"/>
      <c r="H328" s="154"/>
      <c r="I328" s="154"/>
      <c r="J328" s="154"/>
      <c r="K328" s="154"/>
      <c r="L328" s="154"/>
      <c r="M328" s="154"/>
      <c r="N328" s="154"/>
      <c r="O328" s="154"/>
      <c r="P328" s="154"/>
      <c r="Q328" s="154"/>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57"/>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7"/>
      <c r="BW328" s="357"/>
      <c r="BX328" s="357"/>
      <c r="BY328" s="357"/>
      <c r="BZ328" s="357"/>
      <c r="CA328" s="357"/>
      <c r="CB328" s="357"/>
      <c r="CC328" s="357"/>
      <c r="CD328" s="357"/>
      <c r="CE328" s="357"/>
      <c r="CF328" s="357"/>
      <c r="CG328" s="357"/>
      <c r="CH328" s="357"/>
      <c r="CI328" s="357"/>
      <c r="CJ328" s="357"/>
      <c r="CK328" s="357"/>
      <c r="CL328" s="357"/>
      <c r="CM328" s="357"/>
      <c r="CN328" s="357"/>
      <c r="CO328" s="357"/>
      <c r="CP328" s="357"/>
      <c r="CQ328" s="357"/>
      <c r="CR328" s="357"/>
      <c r="CS328" s="357"/>
      <c r="CT328" s="357"/>
      <c r="CU328" s="357"/>
      <c r="CV328" s="357"/>
      <c r="CW328" s="357"/>
      <c r="CX328" s="357"/>
      <c r="CY328" s="357"/>
      <c r="CZ328" s="357"/>
      <c r="DA328" s="357"/>
      <c r="DB328" s="357"/>
      <c r="DC328" s="357"/>
      <c r="DD328" s="357"/>
      <c r="DE328" s="357"/>
      <c r="DF328" s="357"/>
      <c r="DG328" s="357"/>
      <c r="DH328" s="357"/>
      <c r="DI328" s="357"/>
      <c r="DJ328" s="357"/>
      <c r="DK328" s="357"/>
      <c r="DL328" s="357"/>
      <c r="DM328" s="357"/>
      <c r="DN328" s="357"/>
      <c r="DO328" s="357"/>
      <c r="DP328" s="357"/>
      <c r="DQ328" s="357"/>
      <c r="DR328" s="357"/>
      <c r="DS328" s="357"/>
      <c r="DT328" s="357"/>
      <c r="DU328" s="357"/>
      <c r="DV328" s="357"/>
      <c r="DW328" s="357"/>
      <c r="DX328" s="357"/>
      <c r="DY328" s="357"/>
      <c r="DZ328" s="357"/>
      <c r="EA328" s="357"/>
      <c r="EB328" s="357"/>
      <c r="EC328" s="357"/>
      <c r="ED328" s="357"/>
      <c r="EE328" s="357"/>
      <c r="EF328" s="357"/>
      <c r="EG328" s="357"/>
      <c r="EH328" s="357"/>
      <c r="EI328" s="357"/>
      <c r="EJ328" s="357"/>
      <c r="EK328" s="357"/>
      <c r="EL328" s="357"/>
      <c r="EM328" s="357"/>
      <c r="EN328" s="357"/>
      <c r="EO328" s="357"/>
      <c r="EP328" s="357"/>
      <c r="EQ328" s="357"/>
      <c r="ER328" s="357"/>
      <c r="ES328" s="357"/>
      <c r="ET328" s="357"/>
      <c r="EU328" s="357"/>
      <c r="EV328" s="357"/>
      <c r="EW328" s="357"/>
      <c r="EX328" s="357"/>
      <c r="EY328" s="357"/>
      <c r="EZ328" s="357"/>
      <c r="FA328" s="357"/>
      <c r="FB328" s="357"/>
      <c r="FC328" s="357"/>
      <c r="FD328" s="357"/>
      <c r="FE328" s="357"/>
      <c r="FF328" s="357"/>
      <c r="FG328" s="357"/>
      <c r="FH328" s="357"/>
      <c r="FI328" s="357"/>
      <c r="FJ328" s="357"/>
      <c r="FK328" s="357"/>
      <c r="FL328" s="357"/>
      <c r="FM328" s="357"/>
      <c r="FN328" s="357"/>
      <c r="FO328" s="357"/>
      <c r="FP328" s="357"/>
      <c r="FQ328" s="357"/>
      <c r="FR328" s="357"/>
      <c r="FS328" s="357"/>
      <c r="FT328" s="357"/>
      <c r="FU328" s="357"/>
      <c r="FV328" s="357"/>
      <c r="FW328" s="357"/>
      <c r="FX328" s="357"/>
      <c r="FY328" s="357"/>
      <c r="FZ328" s="357"/>
      <c r="GA328" s="357"/>
      <c r="GB328" s="357"/>
      <c r="GC328" s="357"/>
      <c r="GD328" s="357"/>
      <c r="GE328" s="357"/>
      <c r="GF328" s="357"/>
      <c r="GG328" s="357"/>
      <c r="GH328" s="357"/>
      <c r="GI328" s="357"/>
      <c r="GJ328" s="357"/>
      <c r="GK328" s="154"/>
      <c r="GL328" s="154"/>
      <c r="GM328" s="154"/>
      <c r="GN328" s="154"/>
      <c r="GO328" s="154"/>
      <c r="GP328" s="154"/>
      <c r="GQ328" s="154"/>
      <c r="GR328" s="154"/>
      <c r="GS328" s="154"/>
      <c r="GT328" s="154"/>
      <c r="GU328" s="154"/>
      <c r="GV328" s="154"/>
      <c r="GW328" s="154"/>
      <c r="GX328" s="154"/>
    </row>
    <row r="329" spans="7:206">
      <c r="G329" s="154"/>
      <c r="H329" s="154"/>
      <c r="I329" s="154"/>
      <c r="J329" s="154"/>
      <c r="K329" s="154"/>
      <c r="L329" s="154"/>
      <c r="M329" s="154"/>
      <c r="N329" s="154"/>
      <c r="O329" s="154"/>
      <c r="P329" s="154"/>
      <c r="Q329" s="154"/>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57"/>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7"/>
      <c r="BW329" s="357"/>
      <c r="BX329" s="357"/>
      <c r="BY329" s="357"/>
      <c r="BZ329" s="357"/>
      <c r="CA329" s="357"/>
      <c r="CB329" s="357"/>
      <c r="CC329" s="357"/>
      <c r="CD329" s="357"/>
      <c r="CE329" s="357"/>
      <c r="CF329" s="357"/>
      <c r="CG329" s="357"/>
      <c r="CH329" s="357"/>
      <c r="CI329" s="357"/>
      <c r="CJ329" s="357"/>
      <c r="CK329" s="357"/>
      <c r="CL329" s="357"/>
      <c r="CM329" s="357"/>
      <c r="CN329" s="357"/>
      <c r="CO329" s="357"/>
      <c r="CP329" s="357"/>
      <c r="CQ329" s="357"/>
      <c r="CR329" s="357"/>
      <c r="CS329" s="357"/>
      <c r="CT329" s="357"/>
      <c r="CU329" s="357"/>
      <c r="CV329" s="357"/>
      <c r="CW329" s="357"/>
      <c r="CX329" s="357"/>
      <c r="CY329" s="357"/>
      <c r="CZ329" s="357"/>
      <c r="DA329" s="357"/>
      <c r="DB329" s="357"/>
      <c r="DC329" s="357"/>
      <c r="DD329" s="357"/>
      <c r="DE329" s="357"/>
      <c r="DF329" s="357"/>
      <c r="DG329" s="357"/>
      <c r="DH329" s="357"/>
      <c r="DI329" s="357"/>
      <c r="DJ329" s="357"/>
      <c r="DK329" s="357"/>
      <c r="DL329" s="357"/>
      <c r="DM329" s="357"/>
      <c r="DN329" s="357"/>
      <c r="DO329" s="357"/>
      <c r="DP329" s="357"/>
      <c r="DQ329" s="357"/>
      <c r="DR329" s="357"/>
      <c r="DS329" s="357"/>
      <c r="DT329" s="357"/>
      <c r="DU329" s="357"/>
      <c r="DV329" s="357"/>
      <c r="DW329" s="357"/>
      <c r="DX329" s="357"/>
      <c r="DY329" s="357"/>
      <c r="DZ329" s="357"/>
      <c r="EA329" s="357"/>
      <c r="EB329" s="357"/>
      <c r="EC329" s="357"/>
      <c r="ED329" s="357"/>
      <c r="EE329" s="357"/>
      <c r="EF329" s="357"/>
      <c r="EG329" s="357"/>
      <c r="EH329" s="357"/>
      <c r="EI329" s="357"/>
      <c r="EJ329" s="357"/>
      <c r="EK329" s="357"/>
      <c r="EL329" s="357"/>
      <c r="EM329" s="357"/>
      <c r="EN329" s="357"/>
      <c r="EO329" s="357"/>
      <c r="EP329" s="357"/>
      <c r="EQ329" s="357"/>
      <c r="ER329" s="357"/>
      <c r="ES329" s="357"/>
      <c r="ET329" s="357"/>
      <c r="EU329" s="357"/>
      <c r="EV329" s="357"/>
      <c r="EW329" s="357"/>
      <c r="EX329" s="357"/>
      <c r="EY329" s="357"/>
      <c r="EZ329" s="357"/>
      <c r="FA329" s="357"/>
      <c r="FB329" s="357"/>
      <c r="FC329" s="357"/>
      <c r="FD329" s="357"/>
      <c r="FE329" s="357"/>
      <c r="FF329" s="357"/>
      <c r="FG329" s="357"/>
      <c r="FH329" s="357"/>
      <c r="FI329" s="357"/>
      <c r="FJ329" s="357"/>
      <c r="FK329" s="357"/>
      <c r="FL329" s="357"/>
      <c r="FM329" s="357"/>
      <c r="FN329" s="357"/>
      <c r="FO329" s="357"/>
      <c r="FP329" s="357"/>
      <c r="FQ329" s="357"/>
      <c r="FR329" s="357"/>
      <c r="FS329" s="357"/>
      <c r="FT329" s="357"/>
      <c r="FU329" s="357"/>
      <c r="FV329" s="357"/>
      <c r="FW329" s="357"/>
      <c r="FX329" s="357"/>
      <c r="FY329" s="357"/>
      <c r="FZ329" s="357"/>
      <c r="GA329" s="357"/>
      <c r="GB329" s="357"/>
      <c r="GC329" s="357"/>
      <c r="GD329" s="357"/>
      <c r="GE329" s="357"/>
      <c r="GF329" s="357"/>
      <c r="GG329" s="357"/>
      <c r="GH329" s="357"/>
      <c r="GI329" s="357"/>
      <c r="GJ329" s="357"/>
      <c r="GK329" s="154"/>
      <c r="GL329" s="154"/>
      <c r="GM329" s="154"/>
      <c r="GN329" s="154"/>
      <c r="GO329" s="154"/>
      <c r="GP329" s="154"/>
      <c r="GQ329" s="154"/>
      <c r="GR329" s="154"/>
      <c r="GS329" s="154"/>
      <c r="GT329" s="154"/>
      <c r="GU329" s="154"/>
      <c r="GV329" s="154"/>
      <c r="GW329" s="154"/>
      <c r="GX329" s="154"/>
    </row>
    <row r="330" spans="7:206">
      <c r="G330" s="154"/>
      <c r="H330" s="154"/>
      <c r="I330" s="154"/>
      <c r="J330" s="154"/>
      <c r="K330" s="154"/>
      <c r="L330" s="154"/>
      <c r="M330" s="154"/>
      <c r="N330" s="154"/>
      <c r="O330" s="154"/>
      <c r="P330" s="154"/>
      <c r="Q330" s="154"/>
      <c r="Z330" s="357"/>
      <c r="AA330" s="357"/>
      <c r="AB330" s="357"/>
      <c r="AC330" s="357"/>
      <c r="AD330" s="357"/>
      <c r="AE330" s="357"/>
      <c r="AF330" s="357"/>
      <c r="AG330" s="357"/>
      <c r="AH330" s="357"/>
      <c r="AI330" s="357"/>
      <c r="AJ330" s="357"/>
      <c r="AK330" s="357"/>
      <c r="AL330" s="357"/>
      <c r="AM330" s="357"/>
      <c r="AN330" s="357"/>
      <c r="AO330" s="357"/>
      <c r="AP330" s="357"/>
      <c r="AQ330" s="357"/>
      <c r="AR330" s="357"/>
      <c r="AS330" s="357"/>
      <c r="AT330" s="357"/>
      <c r="AU330" s="357"/>
      <c r="AV330" s="357"/>
      <c r="AW330" s="357"/>
      <c r="AX330" s="357"/>
      <c r="AY330" s="357"/>
      <c r="AZ330" s="357"/>
      <c r="BA330" s="357"/>
      <c r="BB330" s="357"/>
      <c r="BC330" s="357"/>
      <c r="BD330" s="357"/>
      <c r="BE330" s="357"/>
      <c r="BF330" s="357"/>
      <c r="BG330" s="357"/>
      <c r="BH330" s="357"/>
      <c r="BI330" s="357"/>
      <c r="BJ330" s="357"/>
      <c r="BK330" s="357"/>
      <c r="BL330" s="357"/>
      <c r="BM330" s="357"/>
      <c r="BN330" s="357"/>
      <c r="BO330" s="357"/>
      <c r="BP330" s="357"/>
      <c r="BQ330" s="357"/>
      <c r="BR330" s="357"/>
      <c r="BS330" s="357"/>
      <c r="BT330" s="357"/>
      <c r="BU330" s="357"/>
      <c r="BV330" s="357"/>
      <c r="BW330" s="357"/>
      <c r="BX330" s="357"/>
      <c r="BY330" s="357"/>
      <c r="BZ330" s="357"/>
      <c r="CA330" s="357"/>
      <c r="CB330" s="357"/>
      <c r="CC330" s="357"/>
      <c r="CD330" s="357"/>
      <c r="CE330" s="357"/>
      <c r="CF330" s="357"/>
      <c r="CG330" s="357"/>
      <c r="CH330" s="357"/>
      <c r="CI330" s="357"/>
      <c r="CJ330" s="357"/>
      <c r="CK330" s="357"/>
      <c r="CL330" s="357"/>
      <c r="CM330" s="357"/>
      <c r="CN330" s="357"/>
      <c r="CO330" s="357"/>
      <c r="CP330" s="357"/>
      <c r="CQ330" s="357"/>
      <c r="CR330" s="357"/>
      <c r="CS330" s="357"/>
      <c r="CT330" s="357"/>
      <c r="CU330" s="357"/>
      <c r="CV330" s="357"/>
      <c r="CW330" s="357"/>
      <c r="CX330" s="357"/>
      <c r="CY330" s="357"/>
      <c r="CZ330" s="357"/>
      <c r="DA330" s="357"/>
      <c r="DB330" s="357"/>
      <c r="DC330" s="357"/>
      <c r="DD330" s="357"/>
      <c r="DE330" s="357"/>
      <c r="DF330" s="357"/>
      <c r="DG330" s="357"/>
      <c r="DH330" s="357"/>
      <c r="DI330" s="357"/>
      <c r="DJ330" s="357"/>
      <c r="DK330" s="357"/>
      <c r="DL330" s="357"/>
      <c r="DM330" s="357"/>
      <c r="DN330" s="357"/>
      <c r="DO330" s="357"/>
      <c r="DP330" s="357"/>
      <c r="DQ330" s="357"/>
      <c r="DR330" s="357"/>
      <c r="DS330" s="357"/>
      <c r="DT330" s="357"/>
      <c r="DU330" s="357"/>
      <c r="DV330" s="357"/>
      <c r="DW330" s="357"/>
      <c r="DX330" s="357"/>
      <c r="DY330" s="357"/>
      <c r="DZ330" s="357"/>
      <c r="EA330" s="357"/>
      <c r="EB330" s="357"/>
      <c r="EC330" s="357"/>
      <c r="ED330" s="357"/>
      <c r="EE330" s="357"/>
      <c r="EF330" s="357"/>
      <c r="EG330" s="357"/>
      <c r="EH330" s="357"/>
      <c r="EI330" s="357"/>
      <c r="EJ330" s="357"/>
      <c r="EK330" s="357"/>
      <c r="EL330" s="357"/>
      <c r="EM330" s="357"/>
      <c r="EN330" s="357"/>
      <c r="EO330" s="357"/>
      <c r="EP330" s="357"/>
      <c r="EQ330" s="357"/>
      <c r="ER330" s="357"/>
      <c r="ES330" s="357"/>
      <c r="ET330" s="357"/>
      <c r="EU330" s="357"/>
      <c r="EV330" s="357"/>
      <c r="EW330" s="357"/>
      <c r="EX330" s="357"/>
      <c r="EY330" s="357"/>
      <c r="EZ330" s="357"/>
      <c r="FA330" s="357"/>
      <c r="FB330" s="357"/>
      <c r="FC330" s="357"/>
      <c r="FD330" s="357"/>
      <c r="FE330" s="357"/>
      <c r="FF330" s="357"/>
      <c r="FG330" s="357"/>
      <c r="FH330" s="357"/>
      <c r="FI330" s="357"/>
      <c r="FJ330" s="357"/>
      <c r="FK330" s="357"/>
      <c r="FL330" s="357"/>
      <c r="FM330" s="357"/>
      <c r="FN330" s="357"/>
      <c r="FO330" s="357"/>
      <c r="FP330" s="357"/>
      <c r="FQ330" s="357"/>
      <c r="FR330" s="357"/>
      <c r="FS330" s="357"/>
      <c r="FT330" s="357"/>
      <c r="FU330" s="357"/>
      <c r="FV330" s="357"/>
      <c r="FW330" s="357"/>
      <c r="FX330" s="357"/>
      <c r="FY330" s="357"/>
      <c r="FZ330" s="357"/>
      <c r="GA330" s="357"/>
      <c r="GB330" s="357"/>
      <c r="GC330" s="357"/>
      <c r="GD330" s="357"/>
      <c r="GE330" s="357"/>
      <c r="GF330" s="357"/>
      <c r="GG330" s="357"/>
      <c r="GH330" s="357"/>
      <c r="GI330" s="357"/>
      <c r="GJ330" s="357"/>
      <c r="GK330" s="154"/>
      <c r="GL330" s="154"/>
      <c r="GM330" s="154"/>
      <c r="GN330" s="154"/>
      <c r="GO330" s="154"/>
      <c r="GP330" s="154"/>
      <c r="GQ330" s="154"/>
      <c r="GR330" s="154"/>
      <c r="GS330" s="154"/>
      <c r="GT330" s="154"/>
      <c r="GU330" s="154"/>
      <c r="GV330" s="154"/>
      <c r="GW330" s="154"/>
      <c r="GX330" s="154"/>
    </row>
    <row r="331" spans="7:206">
      <c r="G331" s="154"/>
      <c r="H331" s="154"/>
      <c r="I331" s="154"/>
      <c r="J331" s="154"/>
      <c r="K331" s="154"/>
      <c r="L331" s="154"/>
      <c r="M331" s="154"/>
      <c r="N331" s="154"/>
      <c r="O331" s="154"/>
      <c r="P331" s="154"/>
      <c r="Q331" s="154"/>
      <c r="Z331" s="357"/>
      <c r="AA331" s="357"/>
      <c r="AB331" s="357"/>
      <c r="AC331" s="357"/>
      <c r="AD331" s="357"/>
      <c r="AE331" s="357"/>
      <c r="AF331" s="357"/>
      <c r="AG331" s="357"/>
      <c r="AH331" s="357"/>
      <c r="AI331" s="357"/>
      <c r="AJ331" s="357"/>
      <c r="AK331" s="357"/>
      <c r="AL331" s="357"/>
      <c r="AM331" s="357"/>
      <c r="AN331" s="357"/>
      <c r="AO331" s="357"/>
      <c r="AP331" s="357"/>
      <c r="AQ331" s="357"/>
      <c r="AR331" s="357"/>
      <c r="AS331" s="357"/>
      <c r="AT331" s="357"/>
      <c r="AU331" s="357"/>
      <c r="AV331" s="357"/>
      <c r="AW331" s="357"/>
      <c r="AX331" s="357"/>
      <c r="AY331" s="357"/>
      <c r="AZ331" s="357"/>
      <c r="BA331" s="357"/>
      <c r="BB331" s="357"/>
      <c r="BC331" s="357"/>
      <c r="BD331" s="357"/>
      <c r="BE331" s="357"/>
      <c r="BF331" s="357"/>
      <c r="BG331" s="357"/>
      <c r="BH331" s="357"/>
      <c r="BI331" s="357"/>
      <c r="BJ331" s="357"/>
      <c r="BK331" s="357"/>
      <c r="BL331" s="357"/>
      <c r="BM331" s="357"/>
      <c r="BN331" s="357"/>
      <c r="BO331" s="357"/>
      <c r="BP331" s="357"/>
      <c r="BQ331" s="357"/>
      <c r="BR331" s="357"/>
      <c r="BS331" s="357"/>
      <c r="BT331" s="357"/>
      <c r="BU331" s="357"/>
      <c r="BV331" s="357"/>
      <c r="BW331" s="357"/>
      <c r="BX331" s="357"/>
      <c r="BY331" s="357"/>
      <c r="BZ331" s="357"/>
      <c r="CA331" s="357"/>
      <c r="CB331" s="357"/>
      <c r="CC331" s="357"/>
      <c r="CD331" s="357"/>
      <c r="CE331" s="357"/>
      <c r="CF331" s="357"/>
      <c r="CG331" s="357"/>
      <c r="CH331" s="357"/>
      <c r="CI331" s="357"/>
      <c r="CJ331" s="357"/>
      <c r="CK331" s="357"/>
      <c r="CL331" s="357"/>
      <c r="CM331" s="357"/>
      <c r="CN331" s="357"/>
      <c r="CO331" s="357"/>
      <c r="CP331" s="357"/>
      <c r="CQ331" s="357"/>
      <c r="CR331" s="357"/>
      <c r="CS331" s="357"/>
      <c r="CT331" s="357"/>
      <c r="CU331" s="357"/>
      <c r="CV331" s="357"/>
      <c r="CW331" s="357"/>
      <c r="CX331" s="357"/>
      <c r="CY331" s="357"/>
      <c r="CZ331" s="357"/>
      <c r="DA331" s="357"/>
      <c r="DB331" s="357"/>
      <c r="DC331" s="357"/>
      <c r="DD331" s="357"/>
      <c r="DE331" s="357"/>
      <c r="DF331" s="357"/>
      <c r="DG331" s="357"/>
      <c r="DH331" s="357"/>
      <c r="DI331" s="357"/>
      <c r="DJ331" s="357"/>
      <c r="DK331" s="357"/>
      <c r="DL331" s="357"/>
      <c r="DM331" s="357"/>
      <c r="DN331" s="357"/>
      <c r="DO331" s="357"/>
      <c r="DP331" s="357"/>
      <c r="DQ331" s="357"/>
      <c r="DR331" s="357"/>
      <c r="DS331" s="357"/>
      <c r="DT331" s="357"/>
      <c r="DU331" s="357"/>
      <c r="DV331" s="357"/>
      <c r="DW331" s="357"/>
      <c r="DX331" s="357"/>
      <c r="DY331" s="357"/>
      <c r="DZ331" s="357"/>
      <c r="EA331" s="357"/>
      <c r="EB331" s="357"/>
      <c r="EC331" s="357"/>
      <c r="ED331" s="357"/>
      <c r="EE331" s="357"/>
      <c r="EF331" s="357"/>
      <c r="EG331" s="357"/>
      <c r="EH331" s="357"/>
      <c r="EI331" s="357"/>
      <c r="EJ331" s="357"/>
      <c r="EK331" s="357"/>
      <c r="EL331" s="357"/>
      <c r="EM331" s="357"/>
      <c r="EN331" s="357"/>
      <c r="EO331" s="357"/>
      <c r="EP331" s="357"/>
      <c r="EQ331" s="357"/>
      <c r="ER331" s="357"/>
      <c r="ES331" s="357"/>
      <c r="ET331" s="357"/>
      <c r="EU331" s="357"/>
      <c r="EV331" s="357"/>
      <c r="EW331" s="357"/>
      <c r="EX331" s="357"/>
      <c r="EY331" s="357"/>
      <c r="EZ331" s="357"/>
      <c r="FA331" s="357"/>
      <c r="FB331" s="357"/>
      <c r="FC331" s="357"/>
      <c r="FD331" s="357"/>
      <c r="FE331" s="357"/>
      <c r="FF331" s="357"/>
      <c r="FG331" s="357"/>
      <c r="FH331" s="357"/>
      <c r="FI331" s="357"/>
      <c r="FJ331" s="357"/>
      <c r="FK331" s="357"/>
      <c r="FL331" s="357"/>
      <c r="FM331" s="357"/>
      <c r="FN331" s="357"/>
      <c r="FO331" s="357"/>
      <c r="FP331" s="357"/>
      <c r="FQ331" s="357"/>
      <c r="FR331" s="357"/>
      <c r="FS331" s="357"/>
      <c r="FT331" s="357"/>
      <c r="FU331" s="357"/>
      <c r="FV331" s="357"/>
      <c r="FW331" s="357"/>
      <c r="FX331" s="357"/>
      <c r="FY331" s="357"/>
      <c r="FZ331" s="357"/>
      <c r="GA331" s="357"/>
      <c r="GB331" s="357"/>
      <c r="GC331" s="357"/>
      <c r="GD331" s="357"/>
      <c r="GE331" s="357"/>
      <c r="GF331" s="357"/>
      <c r="GG331" s="357"/>
      <c r="GH331" s="357"/>
      <c r="GI331" s="357"/>
      <c r="GJ331" s="357"/>
      <c r="GK331" s="154"/>
      <c r="GL331" s="154"/>
      <c r="GM331" s="154"/>
      <c r="GN331" s="154"/>
      <c r="GO331" s="154"/>
      <c r="GP331" s="154"/>
      <c r="GQ331" s="154"/>
      <c r="GR331" s="154"/>
      <c r="GS331" s="154"/>
      <c r="GT331" s="154"/>
      <c r="GU331" s="154"/>
      <c r="GV331" s="154"/>
      <c r="GW331" s="154"/>
      <c r="GX331" s="154"/>
    </row>
    <row r="332" spans="7:206">
      <c r="Z332" s="357"/>
      <c r="AA332" s="357"/>
      <c r="AB332" s="357"/>
      <c r="AC332" s="357"/>
      <c r="AD332" s="357"/>
      <c r="AE332" s="357"/>
      <c r="AF332" s="357"/>
      <c r="AG332" s="357"/>
      <c r="AH332" s="357"/>
      <c r="AI332" s="357"/>
      <c r="AJ332" s="357"/>
      <c r="AK332" s="357"/>
      <c r="AL332" s="357"/>
      <c r="AM332" s="357"/>
      <c r="AN332" s="357"/>
      <c r="AO332" s="357"/>
      <c r="AP332" s="357"/>
      <c r="AQ332" s="357"/>
      <c r="AR332" s="357"/>
      <c r="AS332" s="357"/>
      <c r="AT332" s="357"/>
      <c r="AU332" s="357"/>
      <c r="AV332" s="357"/>
      <c r="AW332" s="357"/>
      <c r="AX332" s="357"/>
      <c r="AY332" s="357"/>
      <c r="AZ332" s="357"/>
      <c r="BA332" s="357"/>
      <c r="BB332" s="357"/>
      <c r="BC332" s="357"/>
      <c r="BD332" s="357"/>
      <c r="BE332" s="357"/>
      <c r="BF332" s="357"/>
      <c r="BG332" s="357"/>
      <c r="BH332" s="357"/>
      <c r="BI332" s="357"/>
      <c r="BJ332" s="357"/>
      <c r="BK332" s="357"/>
      <c r="BL332" s="357"/>
      <c r="BM332" s="357"/>
      <c r="BN332" s="357"/>
      <c r="BO332" s="357"/>
      <c r="BP332" s="357"/>
      <c r="BQ332" s="357"/>
      <c r="BR332" s="357"/>
      <c r="BS332" s="357"/>
      <c r="BT332" s="357"/>
      <c r="BU332" s="357"/>
      <c r="BV332" s="357"/>
      <c r="BW332" s="357"/>
      <c r="BX332" s="357"/>
      <c r="BY332" s="357"/>
      <c r="BZ332" s="357"/>
      <c r="CA332" s="357"/>
      <c r="CB332" s="357"/>
      <c r="CC332" s="357"/>
      <c r="CD332" s="357"/>
      <c r="CE332" s="357"/>
      <c r="CF332" s="357"/>
      <c r="CG332" s="357"/>
      <c r="CH332" s="357"/>
      <c r="CI332" s="357"/>
      <c r="CJ332" s="357"/>
      <c r="CK332" s="357"/>
      <c r="CL332" s="357"/>
      <c r="CM332" s="357"/>
      <c r="CN332" s="357"/>
      <c r="CO332" s="357"/>
      <c r="CP332" s="357"/>
      <c r="CQ332" s="357"/>
      <c r="CR332" s="357"/>
      <c r="CS332" s="357"/>
      <c r="CT332" s="357"/>
      <c r="CU332" s="357"/>
      <c r="CV332" s="357"/>
      <c r="CW332" s="357"/>
      <c r="CX332" s="357"/>
      <c r="CY332" s="357"/>
      <c r="CZ332" s="357"/>
      <c r="DA332" s="357"/>
      <c r="DB332" s="357"/>
      <c r="DC332" s="357"/>
      <c r="DD332" s="357"/>
      <c r="DE332" s="357"/>
      <c r="DF332" s="357"/>
      <c r="DG332" s="357"/>
      <c r="DH332" s="357"/>
      <c r="DI332" s="357"/>
      <c r="DJ332" s="357"/>
      <c r="DK332" s="357"/>
      <c r="DL332" s="357"/>
      <c r="DM332" s="357"/>
      <c r="DN332" s="357"/>
      <c r="DO332" s="357"/>
      <c r="DP332" s="357"/>
      <c r="DQ332" s="357"/>
      <c r="DR332" s="357"/>
      <c r="DS332" s="357"/>
      <c r="DT332" s="357"/>
      <c r="DU332" s="357"/>
      <c r="DV332" s="357"/>
      <c r="DW332" s="357"/>
      <c r="DX332" s="357"/>
      <c r="DY332" s="357"/>
      <c r="DZ332" s="357"/>
      <c r="EA332" s="357"/>
      <c r="EB332" s="357"/>
      <c r="EC332" s="357"/>
      <c r="ED332" s="357"/>
      <c r="EE332" s="357"/>
      <c r="EF332" s="357"/>
      <c r="EG332" s="357"/>
      <c r="EH332" s="357"/>
      <c r="EI332" s="357"/>
      <c r="EJ332" s="357"/>
      <c r="EK332" s="357"/>
      <c r="EL332" s="357"/>
      <c r="EM332" s="357"/>
      <c r="EN332" s="357"/>
      <c r="EO332" s="357"/>
      <c r="EP332" s="357"/>
      <c r="EQ332" s="357"/>
      <c r="ER332" s="357"/>
      <c r="ES332" s="357"/>
      <c r="ET332" s="357"/>
      <c r="EU332" s="357"/>
      <c r="EV332" s="357"/>
      <c r="EW332" s="357"/>
      <c r="EX332" s="357"/>
      <c r="EY332" s="357"/>
      <c r="EZ332" s="357"/>
      <c r="FA332" s="357"/>
      <c r="FB332" s="357"/>
      <c r="FC332" s="357"/>
      <c r="FD332" s="357"/>
      <c r="FE332" s="357"/>
      <c r="FF332" s="357"/>
      <c r="FG332" s="357"/>
      <c r="FH332" s="357"/>
      <c r="FI332" s="357"/>
      <c r="FJ332" s="357"/>
      <c r="FK332" s="357"/>
      <c r="FL332" s="357"/>
      <c r="FM332" s="357"/>
      <c r="FN332" s="357"/>
      <c r="FO332" s="357"/>
      <c r="FP332" s="357"/>
      <c r="FQ332" s="357"/>
      <c r="FR332" s="357"/>
      <c r="FS332" s="357"/>
      <c r="FT332" s="357"/>
      <c r="FU332" s="357"/>
      <c r="FV332" s="357"/>
      <c r="FW332" s="357"/>
      <c r="FX332" s="357"/>
      <c r="FY332" s="357"/>
      <c r="FZ332" s="357"/>
      <c r="GA332" s="357"/>
      <c r="GB332" s="357"/>
      <c r="GC332" s="357"/>
      <c r="GD332" s="357"/>
      <c r="GE332" s="357"/>
      <c r="GF332" s="357"/>
      <c r="GG332" s="357"/>
      <c r="GH332" s="357"/>
      <c r="GI332" s="357"/>
      <c r="GJ332" s="357"/>
    </row>
    <row r="333" spans="7:206">
      <c r="Z333" s="357"/>
      <c r="AA333" s="357"/>
      <c r="AB333" s="357"/>
      <c r="AC333" s="357"/>
      <c r="AD333" s="357"/>
      <c r="AE333" s="357"/>
      <c r="AF333" s="357"/>
      <c r="AG333" s="357"/>
      <c r="AH333" s="357"/>
      <c r="AI333" s="357"/>
      <c r="AJ333" s="357"/>
      <c r="AK333" s="357"/>
      <c r="AL333" s="357"/>
      <c r="AM333" s="357"/>
      <c r="AN333" s="357"/>
      <c r="AO333" s="357"/>
      <c r="AP333" s="357"/>
      <c r="AQ333" s="357"/>
      <c r="AR333" s="357"/>
      <c r="AS333" s="357"/>
      <c r="AT333" s="357"/>
      <c r="AU333" s="357"/>
      <c r="AV333" s="357"/>
      <c r="AW333" s="357"/>
      <c r="AX333" s="357"/>
      <c r="AY333" s="357"/>
      <c r="AZ333" s="357"/>
      <c r="BA333" s="357"/>
      <c r="BB333" s="357"/>
      <c r="BC333" s="357"/>
      <c r="BD333" s="357"/>
      <c r="BE333" s="357"/>
      <c r="BF333" s="357"/>
      <c r="BG333" s="357"/>
      <c r="BH333" s="357"/>
      <c r="BI333" s="357"/>
      <c r="BJ333" s="357"/>
      <c r="BK333" s="357"/>
      <c r="BL333" s="357"/>
      <c r="BM333" s="357"/>
      <c r="BN333" s="357"/>
      <c r="BO333" s="357"/>
      <c r="BP333" s="357"/>
      <c r="BQ333" s="357"/>
      <c r="BR333" s="357"/>
      <c r="BS333" s="357"/>
      <c r="BT333" s="357"/>
      <c r="BU333" s="357"/>
      <c r="BV333" s="357"/>
      <c r="BW333" s="357"/>
      <c r="BX333" s="357"/>
      <c r="BY333" s="357"/>
      <c r="BZ333" s="357"/>
      <c r="CA333" s="357"/>
      <c r="CB333" s="357"/>
      <c r="CC333" s="357"/>
      <c r="CD333" s="357"/>
      <c r="CE333" s="357"/>
      <c r="CF333" s="357"/>
      <c r="CG333" s="357"/>
      <c r="CH333" s="357"/>
      <c r="CI333" s="357"/>
      <c r="CJ333" s="357"/>
      <c r="CK333" s="357"/>
      <c r="CL333" s="357"/>
      <c r="CM333" s="357"/>
      <c r="CN333" s="357"/>
      <c r="CO333" s="357"/>
      <c r="CP333" s="357"/>
      <c r="CQ333" s="357"/>
      <c r="CR333" s="357"/>
      <c r="CS333" s="357"/>
      <c r="CT333" s="357"/>
      <c r="CU333" s="357"/>
      <c r="CV333" s="357"/>
      <c r="CW333" s="357"/>
      <c r="CX333" s="357"/>
      <c r="CY333" s="357"/>
      <c r="CZ333" s="357"/>
      <c r="DA333" s="357"/>
      <c r="DB333" s="357"/>
      <c r="DC333" s="357"/>
      <c r="DD333" s="357"/>
      <c r="DE333" s="357"/>
      <c r="DF333" s="357"/>
      <c r="DG333" s="357"/>
      <c r="DH333" s="357"/>
      <c r="DI333" s="357"/>
      <c r="DJ333" s="357"/>
      <c r="DK333" s="357"/>
      <c r="DL333" s="357"/>
      <c r="DM333" s="357"/>
      <c r="DN333" s="357"/>
      <c r="DO333" s="357"/>
      <c r="DP333" s="357"/>
      <c r="DQ333" s="357"/>
      <c r="DR333" s="357"/>
      <c r="DS333" s="357"/>
      <c r="DT333" s="357"/>
      <c r="DU333" s="357"/>
      <c r="DV333" s="357"/>
      <c r="DW333" s="357"/>
      <c r="DX333" s="357"/>
      <c r="DY333" s="357"/>
      <c r="DZ333" s="357"/>
      <c r="EA333" s="357"/>
      <c r="EB333" s="357"/>
      <c r="EC333" s="357"/>
      <c r="ED333" s="357"/>
      <c r="EE333" s="357"/>
      <c r="EF333" s="357"/>
      <c r="EG333" s="357"/>
      <c r="EH333" s="357"/>
      <c r="EI333" s="357"/>
      <c r="EJ333" s="357"/>
      <c r="EK333" s="357"/>
      <c r="EL333" s="357"/>
      <c r="EM333" s="357"/>
      <c r="EN333" s="357"/>
      <c r="EO333" s="357"/>
      <c r="EP333" s="357"/>
      <c r="EQ333" s="357"/>
      <c r="ER333" s="357"/>
      <c r="ES333" s="357"/>
      <c r="ET333" s="357"/>
      <c r="EU333" s="357"/>
      <c r="EV333" s="357"/>
      <c r="EW333" s="357"/>
      <c r="EX333" s="357"/>
      <c r="EY333" s="357"/>
      <c r="EZ333" s="357"/>
      <c r="FA333" s="357"/>
      <c r="FB333" s="357"/>
      <c r="FC333" s="357"/>
      <c r="FD333" s="357"/>
      <c r="FE333" s="357"/>
      <c r="FF333" s="357"/>
      <c r="FG333" s="357"/>
      <c r="FH333" s="357"/>
      <c r="FI333" s="357"/>
      <c r="FJ333" s="357"/>
      <c r="FK333" s="357"/>
      <c r="FL333" s="357"/>
      <c r="FM333" s="357"/>
      <c r="FN333" s="357"/>
      <c r="FO333" s="357"/>
      <c r="FP333" s="357"/>
      <c r="FQ333" s="357"/>
      <c r="FR333" s="357"/>
      <c r="FS333" s="357"/>
      <c r="FT333" s="357"/>
      <c r="FU333" s="357"/>
      <c r="FV333" s="357"/>
      <c r="FW333" s="357"/>
      <c r="FX333" s="357"/>
      <c r="FY333" s="357"/>
      <c r="FZ333" s="357"/>
      <c r="GA333" s="357"/>
      <c r="GB333" s="357"/>
      <c r="GC333" s="357"/>
      <c r="GD333" s="357"/>
      <c r="GE333" s="357"/>
      <c r="GF333" s="357"/>
      <c r="GG333" s="357"/>
      <c r="GH333" s="357"/>
      <c r="GI333" s="357"/>
      <c r="GJ333" s="357"/>
    </row>
    <row r="334" spans="7:206">
      <c r="Z334" s="357"/>
      <c r="AA334" s="357"/>
      <c r="AB334" s="357"/>
      <c r="AC334" s="357"/>
      <c r="AD334" s="357"/>
      <c r="AE334" s="357"/>
      <c r="AF334" s="357"/>
      <c r="AG334" s="357"/>
      <c r="AH334" s="357"/>
      <c r="AI334" s="357"/>
      <c r="AJ334" s="357"/>
      <c r="AK334" s="357"/>
      <c r="AL334" s="357"/>
      <c r="AM334" s="357"/>
      <c r="AN334" s="357"/>
      <c r="AO334" s="357"/>
      <c r="AP334" s="357"/>
      <c r="AQ334" s="357"/>
      <c r="AR334" s="357"/>
      <c r="AS334" s="357"/>
      <c r="AT334" s="357"/>
      <c r="AU334" s="357"/>
      <c r="AV334" s="357"/>
      <c r="AW334" s="357"/>
      <c r="AX334" s="357"/>
      <c r="AY334" s="357"/>
      <c r="AZ334" s="357"/>
      <c r="BA334" s="357"/>
      <c r="BB334" s="357"/>
      <c r="BC334" s="357"/>
      <c r="BD334" s="357"/>
      <c r="BE334" s="357"/>
      <c r="BF334" s="357"/>
      <c r="BG334" s="357"/>
      <c r="BH334" s="357"/>
      <c r="BI334" s="357"/>
      <c r="BJ334" s="357"/>
      <c r="BK334" s="357"/>
      <c r="BL334" s="357"/>
      <c r="BM334" s="357"/>
      <c r="BN334" s="357"/>
      <c r="BO334" s="357"/>
      <c r="BP334" s="357"/>
      <c r="BQ334" s="357"/>
      <c r="BR334" s="357"/>
      <c r="BS334" s="357"/>
      <c r="BT334" s="357"/>
      <c r="BU334" s="357"/>
      <c r="BV334" s="357"/>
      <c r="BW334" s="357"/>
      <c r="BX334" s="357"/>
      <c r="BY334" s="357"/>
      <c r="BZ334" s="357"/>
      <c r="CA334" s="357"/>
      <c r="CB334" s="357"/>
      <c r="CC334" s="357"/>
      <c r="CD334" s="357"/>
      <c r="CE334" s="357"/>
      <c r="CF334" s="357"/>
      <c r="CG334" s="357"/>
      <c r="CH334" s="357"/>
      <c r="CI334" s="357"/>
      <c r="CJ334" s="357"/>
      <c r="CK334" s="357"/>
      <c r="CL334" s="357"/>
      <c r="CM334" s="357"/>
      <c r="CN334" s="357"/>
      <c r="CO334" s="357"/>
      <c r="CP334" s="357"/>
      <c r="CQ334" s="357"/>
      <c r="CR334" s="357"/>
      <c r="CS334" s="357"/>
      <c r="CT334" s="357"/>
      <c r="CU334" s="357"/>
      <c r="CV334" s="357"/>
      <c r="CW334" s="357"/>
      <c r="CX334" s="357"/>
      <c r="CY334" s="357"/>
      <c r="CZ334" s="357"/>
      <c r="DA334" s="357"/>
      <c r="DB334" s="357"/>
      <c r="DC334" s="357"/>
      <c r="DD334" s="357"/>
      <c r="DE334" s="357"/>
      <c r="DF334" s="357"/>
      <c r="DG334" s="357"/>
      <c r="DH334" s="357"/>
      <c r="DI334" s="357"/>
      <c r="DJ334" s="357"/>
      <c r="DK334" s="357"/>
      <c r="DL334" s="357"/>
      <c r="DM334" s="357"/>
      <c r="DN334" s="357"/>
      <c r="DO334" s="357"/>
      <c r="DP334" s="357"/>
      <c r="DQ334" s="357"/>
      <c r="DR334" s="357"/>
      <c r="DS334" s="357"/>
      <c r="DT334" s="357"/>
      <c r="DU334" s="357"/>
      <c r="DV334" s="357"/>
      <c r="DW334" s="357"/>
      <c r="DX334" s="357"/>
      <c r="DY334" s="357"/>
      <c r="DZ334" s="357"/>
      <c r="EA334" s="357"/>
      <c r="EB334" s="357"/>
      <c r="EC334" s="357"/>
      <c r="ED334" s="357"/>
      <c r="EE334" s="357"/>
      <c r="EF334" s="357"/>
      <c r="EG334" s="357"/>
      <c r="EH334" s="357"/>
      <c r="EI334" s="357"/>
      <c r="EJ334" s="357"/>
      <c r="EK334" s="357"/>
      <c r="EL334" s="357"/>
      <c r="EM334" s="357"/>
      <c r="EN334" s="357"/>
      <c r="EO334" s="357"/>
      <c r="EP334" s="357"/>
      <c r="EQ334" s="357"/>
      <c r="ER334" s="357"/>
      <c r="ES334" s="357"/>
      <c r="ET334" s="357"/>
      <c r="EU334" s="357"/>
      <c r="EV334" s="357"/>
      <c r="EW334" s="357"/>
      <c r="EX334" s="357"/>
      <c r="EY334" s="357"/>
      <c r="EZ334" s="357"/>
      <c r="FA334" s="357"/>
      <c r="FB334" s="357"/>
      <c r="FC334" s="357"/>
      <c r="FD334" s="357"/>
      <c r="FE334" s="357"/>
      <c r="FF334" s="357"/>
      <c r="FG334" s="357"/>
      <c r="FH334" s="357"/>
      <c r="FI334" s="357"/>
      <c r="FJ334" s="357"/>
      <c r="FK334" s="357"/>
      <c r="FL334" s="357"/>
      <c r="FM334" s="357"/>
      <c r="FN334" s="357"/>
      <c r="FO334" s="357"/>
      <c r="FP334" s="357"/>
      <c r="FQ334" s="357"/>
      <c r="FR334" s="357"/>
      <c r="FS334" s="357"/>
      <c r="FT334" s="357"/>
      <c r="FU334" s="357"/>
      <c r="FV334" s="357"/>
      <c r="FW334" s="357"/>
      <c r="FX334" s="357"/>
      <c r="FY334" s="357"/>
      <c r="FZ334" s="357"/>
      <c r="GA334" s="357"/>
      <c r="GB334" s="357"/>
      <c r="GC334" s="357"/>
      <c r="GD334" s="357"/>
      <c r="GE334" s="357"/>
      <c r="GF334" s="357"/>
      <c r="GG334" s="357"/>
      <c r="GH334" s="357"/>
      <c r="GI334" s="357"/>
      <c r="GJ334" s="357"/>
    </row>
    <row r="335" spans="7:206">
      <c r="Z335" s="357"/>
      <c r="AA335" s="357"/>
      <c r="AB335" s="357"/>
      <c r="AC335" s="357"/>
      <c r="AD335" s="357"/>
      <c r="AE335" s="357"/>
      <c r="AF335" s="357"/>
      <c r="AG335" s="357"/>
      <c r="AH335" s="357"/>
      <c r="AI335" s="357"/>
      <c r="AJ335" s="357"/>
      <c r="AK335" s="357"/>
      <c r="AL335" s="357"/>
      <c r="AM335" s="357"/>
      <c r="AN335" s="357"/>
      <c r="AO335" s="357"/>
      <c r="AP335" s="357"/>
      <c r="AQ335" s="357"/>
      <c r="AR335" s="357"/>
      <c r="AS335" s="357"/>
      <c r="AT335" s="357"/>
      <c r="AU335" s="357"/>
      <c r="AV335" s="357"/>
      <c r="AW335" s="357"/>
      <c r="AX335" s="357"/>
      <c r="AY335" s="357"/>
      <c r="AZ335" s="357"/>
      <c r="BA335" s="357"/>
      <c r="BB335" s="357"/>
      <c r="BC335" s="357"/>
      <c r="BD335" s="357"/>
      <c r="BE335" s="357"/>
      <c r="BF335" s="357"/>
      <c r="BG335" s="357"/>
      <c r="BH335" s="357"/>
      <c r="BI335" s="357"/>
      <c r="BJ335" s="357"/>
      <c r="BK335" s="357"/>
      <c r="BL335" s="357"/>
      <c r="BM335" s="357"/>
      <c r="BN335" s="357"/>
      <c r="BO335" s="357"/>
      <c r="BP335" s="357"/>
      <c r="BQ335" s="357"/>
      <c r="BR335" s="357"/>
      <c r="BS335" s="357"/>
      <c r="BT335" s="357"/>
      <c r="BU335" s="357"/>
      <c r="BV335" s="357"/>
      <c r="BW335" s="357"/>
      <c r="BX335" s="357"/>
      <c r="BY335" s="357"/>
      <c r="BZ335" s="357"/>
      <c r="CA335" s="357"/>
      <c r="CB335" s="357"/>
      <c r="CC335" s="357"/>
      <c r="CD335" s="357"/>
      <c r="CE335" s="357"/>
      <c r="CF335" s="357"/>
      <c r="CG335" s="357"/>
      <c r="CH335" s="357"/>
      <c r="CI335" s="357"/>
      <c r="CJ335" s="357"/>
      <c r="CK335" s="357"/>
      <c r="CL335" s="357"/>
      <c r="CM335" s="357"/>
      <c r="CN335" s="357"/>
      <c r="CO335" s="357"/>
      <c r="CP335" s="357"/>
      <c r="CQ335" s="357"/>
      <c r="CR335" s="357"/>
      <c r="CS335" s="357"/>
      <c r="CT335" s="357"/>
      <c r="CU335" s="357"/>
      <c r="CV335" s="357"/>
      <c r="CW335" s="357"/>
      <c r="CX335" s="357"/>
      <c r="CY335" s="357"/>
      <c r="CZ335" s="357"/>
      <c r="DA335" s="357"/>
      <c r="DB335" s="357"/>
      <c r="DC335" s="357"/>
      <c r="DD335" s="357"/>
      <c r="DE335" s="357"/>
      <c r="DF335" s="357"/>
      <c r="DG335" s="357"/>
      <c r="DH335" s="357"/>
      <c r="DI335" s="357"/>
      <c r="DJ335" s="357"/>
      <c r="DK335" s="357"/>
      <c r="DL335" s="357"/>
      <c r="DM335" s="357"/>
      <c r="DN335" s="357"/>
      <c r="DO335" s="357"/>
      <c r="DP335" s="357"/>
      <c r="DQ335" s="357"/>
      <c r="DR335" s="357"/>
      <c r="DS335" s="357"/>
      <c r="DT335" s="357"/>
      <c r="DU335" s="357"/>
      <c r="DV335" s="357"/>
      <c r="DW335" s="357"/>
      <c r="DX335" s="357"/>
      <c r="DY335" s="357"/>
      <c r="DZ335" s="357"/>
      <c r="EA335" s="357"/>
      <c r="EB335" s="357"/>
      <c r="EC335" s="357"/>
      <c r="ED335" s="357"/>
      <c r="EE335" s="357"/>
      <c r="EF335" s="357"/>
      <c r="EG335" s="357"/>
      <c r="EH335" s="357"/>
      <c r="EI335" s="357"/>
      <c r="EJ335" s="357"/>
      <c r="EK335" s="357"/>
      <c r="EL335" s="357"/>
      <c r="EM335" s="357"/>
      <c r="EN335" s="357"/>
      <c r="EO335" s="357"/>
      <c r="EP335" s="357"/>
      <c r="EQ335" s="357"/>
      <c r="ER335" s="357"/>
      <c r="ES335" s="357"/>
      <c r="ET335" s="357"/>
      <c r="EU335" s="357"/>
      <c r="EV335" s="357"/>
      <c r="EW335" s="357"/>
      <c r="EX335" s="357"/>
      <c r="EY335" s="357"/>
      <c r="EZ335" s="357"/>
      <c r="FA335" s="357"/>
      <c r="FB335" s="357"/>
      <c r="FC335" s="357"/>
      <c r="FD335" s="357"/>
      <c r="FE335" s="357"/>
      <c r="FF335" s="357"/>
      <c r="FG335" s="357"/>
      <c r="FH335" s="357"/>
      <c r="FI335" s="357"/>
      <c r="FJ335" s="357"/>
      <c r="FK335" s="357"/>
      <c r="FL335" s="357"/>
      <c r="FM335" s="357"/>
      <c r="FN335" s="357"/>
      <c r="FO335" s="357"/>
      <c r="FP335" s="357"/>
      <c r="FQ335" s="357"/>
      <c r="FR335" s="357"/>
      <c r="FS335" s="357"/>
      <c r="FT335" s="357"/>
      <c r="FU335" s="357"/>
      <c r="FV335" s="357"/>
      <c r="FW335" s="357"/>
      <c r="FX335" s="357"/>
      <c r="FY335" s="357"/>
      <c r="FZ335" s="357"/>
      <c r="GA335" s="357"/>
      <c r="GB335" s="357"/>
      <c r="GC335" s="357"/>
      <c r="GD335" s="357"/>
      <c r="GE335" s="357"/>
      <c r="GF335" s="357"/>
      <c r="GG335" s="357"/>
      <c r="GH335" s="357"/>
      <c r="GI335" s="357"/>
      <c r="GJ335" s="357"/>
    </row>
    <row r="336" spans="7:206">
      <c r="Z336" s="357"/>
      <c r="AA336" s="357"/>
      <c r="AB336" s="357"/>
      <c r="AC336" s="357"/>
      <c r="AD336" s="357"/>
      <c r="AE336" s="357"/>
      <c r="AF336" s="357"/>
      <c r="AG336" s="357"/>
      <c r="AH336" s="357"/>
      <c r="AI336" s="357"/>
      <c r="AJ336" s="357"/>
      <c r="AK336" s="357"/>
      <c r="AL336" s="357"/>
      <c r="AM336" s="357"/>
      <c r="AN336" s="357"/>
      <c r="AO336" s="357"/>
      <c r="AP336" s="357"/>
      <c r="AQ336" s="357"/>
      <c r="AR336" s="357"/>
      <c r="AS336" s="357"/>
      <c r="AT336" s="357"/>
      <c r="AU336" s="357"/>
      <c r="AV336" s="357"/>
      <c r="AW336" s="357"/>
      <c r="AX336" s="357"/>
      <c r="AY336" s="357"/>
      <c r="AZ336" s="357"/>
      <c r="BA336" s="357"/>
      <c r="BB336" s="357"/>
      <c r="BC336" s="357"/>
      <c r="BD336" s="357"/>
      <c r="BE336" s="357"/>
      <c r="BF336" s="357"/>
      <c r="BG336" s="357"/>
      <c r="BH336" s="357"/>
      <c r="BI336" s="357"/>
      <c r="BJ336" s="357"/>
      <c r="BK336" s="357"/>
      <c r="BL336" s="357"/>
      <c r="BM336" s="357"/>
      <c r="BN336" s="357"/>
      <c r="BO336" s="357"/>
      <c r="BP336" s="357"/>
      <c r="BQ336" s="357"/>
      <c r="BR336" s="357"/>
      <c r="BS336" s="357"/>
      <c r="BT336" s="357"/>
      <c r="BU336" s="357"/>
      <c r="BV336" s="357"/>
      <c r="BW336" s="357"/>
      <c r="BX336" s="357"/>
      <c r="BY336" s="357"/>
      <c r="BZ336" s="357"/>
      <c r="CA336" s="357"/>
      <c r="CB336" s="357"/>
      <c r="CC336" s="357"/>
      <c r="CD336" s="357"/>
      <c r="CE336" s="357"/>
      <c r="CF336" s="357"/>
      <c r="CG336" s="357"/>
      <c r="CH336" s="357"/>
      <c r="CI336" s="357"/>
      <c r="CJ336" s="357"/>
      <c r="CK336" s="357"/>
      <c r="CL336" s="357"/>
      <c r="CM336" s="357"/>
      <c r="CN336" s="357"/>
      <c r="CO336" s="357"/>
      <c r="CP336" s="357"/>
      <c r="CQ336" s="357"/>
      <c r="CR336" s="357"/>
      <c r="CS336" s="357"/>
      <c r="CT336" s="357"/>
      <c r="CU336" s="357"/>
      <c r="CV336" s="357"/>
      <c r="CW336" s="357"/>
      <c r="CX336" s="357"/>
      <c r="CY336" s="357"/>
      <c r="CZ336" s="357"/>
      <c r="DA336" s="357"/>
      <c r="DB336" s="357"/>
      <c r="DC336" s="357"/>
      <c r="DD336" s="357"/>
      <c r="DE336" s="357"/>
      <c r="DF336" s="357"/>
      <c r="DG336" s="357"/>
      <c r="DH336" s="357"/>
      <c r="DI336" s="357"/>
      <c r="DJ336" s="357"/>
      <c r="DK336" s="357"/>
      <c r="DL336" s="357"/>
      <c r="DM336" s="357"/>
      <c r="DN336" s="357"/>
      <c r="DO336" s="357"/>
      <c r="DP336" s="357"/>
      <c r="DQ336" s="357"/>
      <c r="DR336" s="357"/>
      <c r="DS336" s="357"/>
      <c r="DT336" s="357"/>
      <c r="DU336" s="357"/>
      <c r="DV336" s="357"/>
      <c r="DW336" s="357"/>
      <c r="DX336" s="357"/>
      <c r="DY336" s="357"/>
      <c r="DZ336" s="357"/>
      <c r="EA336" s="357"/>
      <c r="EB336" s="357"/>
      <c r="EC336" s="357"/>
      <c r="ED336" s="357"/>
      <c r="EE336" s="357"/>
      <c r="EF336" s="357"/>
      <c r="EG336" s="357"/>
      <c r="EH336" s="357"/>
      <c r="EI336" s="357"/>
      <c r="EJ336" s="357"/>
      <c r="EK336" s="357"/>
      <c r="EL336" s="357"/>
      <c r="EM336" s="357"/>
      <c r="EN336" s="357"/>
      <c r="EO336" s="357"/>
      <c r="EP336" s="357"/>
      <c r="EQ336" s="357"/>
      <c r="ER336" s="357"/>
      <c r="ES336" s="357"/>
      <c r="ET336" s="357"/>
      <c r="EU336" s="357"/>
      <c r="EV336" s="357"/>
      <c r="EW336" s="357"/>
      <c r="EX336" s="357"/>
      <c r="EY336" s="357"/>
      <c r="EZ336" s="357"/>
      <c r="FA336" s="357"/>
      <c r="FB336" s="357"/>
      <c r="FC336" s="357"/>
      <c r="FD336" s="357"/>
      <c r="FE336" s="357"/>
      <c r="FF336" s="357"/>
      <c r="FG336" s="357"/>
      <c r="FH336" s="357"/>
      <c r="FI336" s="357"/>
      <c r="FJ336" s="357"/>
      <c r="FK336" s="357"/>
      <c r="FL336" s="357"/>
      <c r="FM336" s="357"/>
      <c r="FN336" s="357"/>
      <c r="FO336" s="357"/>
      <c r="FP336" s="357"/>
      <c r="FQ336" s="357"/>
      <c r="FR336" s="357"/>
      <c r="FS336" s="357"/>
      <c r="FT336" s="357"/>
      <c r="FU336" s="357"/>
      <c r="FV336" s="357"/>
      <c r="FW336" s="357"/>
      <c r="FX336" s="357"/>
      <c r="FY336" s="357"/>
      <c r="FZ336" s="357"/>
      <c r="GA336" s="357"/>
      <c r="GB336" s="357"/>
      <c r="GC336" s="357"/>
      <c r="GD336" s="357"/>
      <c r="GE336" s="357"/>
      <c r="GF336" s="357"/>
      <c r="GG336" s="357"/>
      <c r="GH336" s="357"/>
      <c r="GI336" s="357"/>
      <c r="GJ336" s="357"/>
    </row>
    <row r="337" spans="26:192">
      <c r="Z337" s="357"/>
      <c r="AA337" s="357"/>
      <c r="AB337" s="357"/>
      <c r="AC337" s="357"/>
      <c r="AD337" s="357"/>
      <c r="AE337" s="357"/>
      <c r="AF337" s="357"/>
      <c r="AG337" s="357"/>
      <c r="AH337" s="357"/>
      <c r="AI337" s="357"/>
      <c r="AJ337" s="357"/>
      <c r="AK337" s="357"/>
      <c r="AL337" s="357"/>
      <c r="AM337" s="357"/>
      <c r="AN337" s="357"/>
      <c r="AO337" s="357"/>
      <c r="AP337" s="357"/>
      <c r="AQ337" s="357"/>
      <c r="AR337" s="357"/>
      <c r="AS337" s="357"/>
      <c r="AT337" s="357"/>
      <c r="AU337" s="357"/>
      <c r="AV337" s="357"/>
      <c r="AW337" s="357"/>
      <c r="AX337" s="357"/>
      <c r="AY337" s="357"/>
      <c r="AZ337" s="357"/>
      <c r="BA337" s="357"/>
      <c r="BB337" s="357"/>
      <c r="BC337" s="357"/>
      <c r="BD337" s="357"/>
      <c r="BE337" s="357"/>
      <c r="BF337" s="357"/>
      <c r="BG337" s="357"/>
      <c r="BH337" s="357"/>
      <c r="BI337" s="357"/>
      <c r="BJ337" s="357"/>
      <c r="BK337" s="357"/>
      <c r="BL337" s="357"/>
      <c r="BM337" s="357"/>
      <c r="BN337" s="357"/>
      <c r="BO337" s="357"/>
      <c r="BP337" s="357"/>
      <c r="BQ337" s="357"/>
      <c r="BR337" s="357"/>
      <c r="BS337" s="357"/>
      <c r="BT337" s="357"/>
      <c r="BU337" s="357"/>
      <c r="BV337" s="357"/>
      <c r="BW337" s="357"/>
      <c r="BX337" s="357"/>
      <c r="BY337" s="357"/>
      <c r="BZ337" s="357"/>
      <c r="CA337" s="357"/>
      <c r="CB337" s="357"/>
      <c r="CC337" s="357"/>
      <c r="CD337" s="357"/>
      <c r="CE337" s="357"/>
      <c r="CF337" s="357"/>
      <c r="CG337" s="357"/>
      <c r="CH337" s="357"/>
      <c r="CI337" s="357"/>
      <c r="CJ337" s="357"/>
      <c r="CK337" s="357"/>
      <c r="CL337" s="357"/>
      <c r="CM337" s="357"/>
      <c r="CN337" s="357"/>
      <c r="CO337" s="357"/>
      <c r="CP337" s="357"/>
      <c r="CQ337" s="357"/>
      <c r="CR337" s="357"/>
      <c r="CS337" s="357"/>
      <c r="CT337" s="357"/>
      <c r="CU337" s="357"/>
      <c r="CV337" s="357"/>
      <c r="CW337" s="357"/>
      <c r="CX337" s="357"/>
      <c r="CY337" s="357"/>
      <c r="CZ337" s="357"/>
      <c r="DA337" s="357"/>
      <c r="DB337" s="357"/>
      <c r="DC337" s="357"/>
      <c r="DD337" s="357"/>
      <c r="DE337" s="357"/>
      <c r="DF337" s="357"/>
      <c r="DG337" s="357"/>
      <c r="DH337" s="357"/>
      <c r="DI337" s="357"/>
      <c r="DJ337" s="357"/>
      <c r="DK337" s="357"/>
      <c r="DL337" s="357"/>
      <c r="DM337" s="357"/>
      <c r="DN337" s="357"/>
      <c r="DO337" s="357"/>
      <c r="DP337" s="357"/>
      <c r="DQ337" s="357"/>
      <c r="DR337" s="357"/>
      <c r="DS337" s="357"/>
      <c r="DT337" s="357"/>
      <c r="DU337" s="357"/>
      <c r="DV337" s="357"/>
      <c r="DW337" s="357"/>
      <c r="DX337" s="357"/>
      <c r="DY337" s="357"/>
      <c r="DZ337" s="357"/>
      <c r="EA337" s="357"/>
      <c r="EB337" s="357"/>
      <c r="EC337" s="357"/>
      <c r="ED337" s="357"/>
      <c r="EE337" s="357"/>
      <c r="EF337" s="357"/>
      <c r="EG337" s="357"/>
      <c r="EH337" s="357"/>
      <c r="EI337" s="357"/>
      <c r="EJ337" s="357"/>
      <c r="EK337" s="357"/>
      <c r="EL337" s="357"/>
      <c r="EM337" s="357"/>
      <c r="EN337" s="357"/>
      <c r="EO337" s="357"/>
      <c r="EP337" s="357"/>
      <c r="EQ337" s="357"/>
      <c r="ER337" s="357"/>
      <c r="ES337" s="357"/>
      <c r="ET337" s="357"/>
      <c r="EU337" s="357"/>
      <c r="EV337" s="357"/>
      <c r="EW337" s="357"/>
      <c r="EX337" s="357"/>
      <c r="EY337" s="357"/>
      <c r="EZ337" s="357"/>
      <c r="FA337" s="357"/>
      <c r="FB337" s="357"/>
      <c r="FC337" s="357"/>
      <c r="FD337" s="357"/>
      <c r="FE337" s="357"/>
      <c r="FF337" s="357"/>
      <c r="FG337" s="357"/>
      <c r="FH337" s="357"/>
      <c r="FI337" s="357"/>
      <c r="FJ337" s="357"/>
      <c r="FK337" s="357"/>
      <c r="FL337" s="357"/>
      <c r="FM337" s="357"/>
      <c r="FN337" s="357"/>
      <c r="FO337" s="357"/>
      <c r="FP337" s="357"/>
      <c r="FQ337" s="357"/>
      <c r="FR337" s="357"/>
      <c r="FS337" s="357"/>
      <c r="FT337" s="357"/>
      <c r="FU337" s="357"/>
      <c r="FV337" s="357"/>
      <c r="FW337" s="357"/>
      <c r="FX337" s="357"/>
      <c r="FY337" s="357"/>
      <c r="FZ337" s="357"/>
      <c r="GA337" s="357"/>
      <c r="GB337" s="357"/>
      <c r="GC337" s="357"/>
      <c r="GD337" s="357"/>
      <c r="GE337" s="357"/>
      <c r="GF337" s="357"/>
      <c r="GG337" s="357"/>
      <c r="GH337" s="357"/>
      <c r="GI337" s="357"/>
      <c r="GJ337" s="357"/>
    </row>
    <row r="338" spans="26:192">
      <c r="Z338" s="357"/>
      <c r="AA338" s="357"/>
      <c r="AB338" s="357"/>
      <c r="AC338" s="357"/>
      <c r="AD338" s="357"/>
      <c r="AE338" s="357"/>
      <c r="AF338" s="357"/>
      <c r="AG338" s="357"/>
      <c r="AH338" s="357"/>
      <c r="AI338" s="357"/>
      <c r="AJ338" s="357"/>
      <c r="AK338" s="357"/>
      <c r="AL338" s="357"/>
      <c r="AM338" s="357"/>
      <c r="AN338" s="357"/>
      <c r="AO338" s="357"/>
      <c r="AP338" s="357"/>
      <c r="AQ338" s="357"/>
      <c r="AR338" s="357"/>
      <c r="AS338" s="357"/>
      <c r="AT338" s="357"/>
      <c r="AU338" s="357"/>
      <c r="AV338" s="357"/>
      <c r="AW338" s="357"/>
      <c r="AX338" s="357"/>
      <c r="AY338" s="357"/>
      <c r="AZ338" s="357"/>
      <c r="BA338" s="357"/>
      <c r="BB338" s="357"/>
      <c r="BC338" s="357"/>
      <c r="BD338" s="357"/>
      <c r="BE338" s="357"/>
      <c r="BF338" s="357"/>
      <c r="BG338" s="357"/>
      <c r="BH338" s="357"/>
      <c r="BI338" s="357"/>
      <c r="BJ338" s="357"/>
      <c r="BK338" s="357"/>
      <c r="BL338" s="357"/>
      <c r="BM338" s="357"/>
      <c r="BN338" s="357"/>
      <c r="BO338" s="357"/>
      <c r="BP338" s="357"/>
      <c r="BQ338" s="357"/>
      <c r="BR338" s="357"/>
      <c r="BS338" s="357"/>
      <c r="BT338" s="357"/>
      <c r="BU338" s="357"/>
      <c r="BV338" s="357"/>
      <c r="BW338" s="357"/>
      <c r="BX338" s="357"/>
      <c r="BY338" s="357"/>
      <c r="BZ338" s="357"/>
      <c r="CA338" s="357"/>
      <c r="CB338" s="357"/>
      <c r="CC338" s="357"/>
      <c r="CD338" s="357"/>
      <c r="CE338" s="357"/>
      <c r="CF338" s="357"/>
      <c r="CG338" s="357"/>
      <c r="CH338" s="357"/>
      <c r="CI338" s="357"/>
      <c r="CJ338" s="357"/>
      <c r="CK338" s="357"/>
      <c r="CL338" s="357"/>
      <c r="CM338" s="357"/>
      <c r="CN338" s="357"/>
      <c r="CO338" s="357"/>
      <c r="CP338" s="357"/>
      <c r="CQ338" s="357"/>
      <c r="CR338" s="357"/>
      <c r="CS338" s="357"/>
      <c r="CT338" s="357"/>
      <c r="CU338" s="357"/>
      <c r="CV338" s="357"/>
      <c r="CW338" s="357"/>
      <c r="CX338" s="357"/>
      <c r="CY338" s="357"/>
      <c r="CZ338" s="357"/>
      <c r="DA338" s="357"/>
      <c r="DB338" s="357"/>
      <c r="DC338" s="357"/>
      <c r="DD338" s="357"/>
      <c r="DE338" s="357"/>
      <c r="DF338" s="357"/>
      <c r="DG338" s="357"/>
      <c r="DH338" s="357"/>
      <c r="DI338" s="357"/>
      <c r="DJ338" s="357"/>
      <c r="DK338" s="357"/>
      <c r="DL338" s="357"/>
      <c r="DM338" s="357"/>
      <c r="DN338" s="357"/>
      <c r="DO338" s="357"/>
      <c r="DP338" s="357"/>
      <c r="DQ338" s="357"/>
      <c r="DR338" s="357"/>
      <c r="DS338" s="357"/>
      <c r="DT338" s="357"/>
      <c r="DU338" s="357"/>
      <c r="DV338" s="357"/>
      <c r="DW338" s="357"/>
      <c r="DX338" s="357"/>
      <c r="DY338" s="357"/>
      <c r="DZ338" s="357"/>
      <c r="EA338" s="357"/>
      <c r="EB338" s="357"/>
      <c r="EC338" s="357"/>
      <c r="ED338" s="357"/>
      <c r="EE338" s="357"/>
      <c r="EF338" s="357"/>
      <c r="EG338" s="357"/>
      <c r="EH338" s="357"/>
      <c r="EI338" s="357"/>
      <c r="EJ338" s="357"/>
      <c r="EK338" s="357"/>
      <c r="EL338" s="357"/>
      <c r="EM338" s="357"/>
      <c r="EN338" s="357"/>
      <c r="EO338" s="357"/>
      <c r="EP338" s="357"/>
      <c r="EQ338" s="357"/>
      <c r="ER338" s="357"/>
      <c r="ES338" s="357"/>
      <c r="ET338" s="357"/>
      <c r="EU338" s="357"/>
      <c r="EV338" s="357"/>
      <c r="EW338" s="357"/>
      <c r="EX338" s="357"/>
      <c r="EY338" s="357"/>
      <c r="EZ338" s="357"/>
      <c r="FA338" s="357"/>
      <c r="FB338" s="357"/>
      <c r="FC338" s="357"/>
      <c r="FD338" s="357"/>
      <c r="FE338" s="357"/>
      <c r="FF338" s="357"/>
      <c r="FG338" s="357"/>
      <c r="FH338" s="357"/>
      <c r="FI338" s="357"/>
      <c r="FJ338" s="357"/>
      <c r="FK338" s="357"/>
      <c r="FL338" s="357"/>
      <c r="FM338" s="357"/>
      <c r="FN338" s="357"/>
      <c r="FO338" s="357"/>
      <c r="FP338" s="357"/>
      <c r="FQ338" s="357"/>
      <c r="FR338" s="357"/>
      <c r="FS338" s="357"/>
      <c r="FT338" s="357"/>
      <c r="FU338" s="357"/>
      <c r="FV338" s="357"/>
      <c r="FW338" s="357"/>
      <c r="FX338" s="357"/>
      <c r="FY338" s="357"/>
      <c r="FZ338" s="357"/>
      <c r="GA338" s="357"/>
      <c r="GB338" s="357"/>
      <c r="GC338" s="357"/>
      <c r="GD338" s="357"/>
      <c r="GE338" s="357"/>
      <c r="GF338" s="357"/>
      <c r="GG338" s="357"/>
      <c r="GH338" s="357"/>
      <c r="GI338" s="357"/>
      <c r="GJ338" s="357"/>
    </row>
    <row r="339" spans="26:192">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7"/>
      <c r="BB339" s="357"/>
      <c r="BC339" s="357"/>
      <c r="BD339" s="357"/>
      <c r="BE339" s="357"/>
      <c r="BF339" s="357"/>
      <c r="BG339" s="357"/>
      <c r="BH339" s="357"/>
      <c r="BI339" s="357"/>
      <c r="BJ339" s="357"/>
      <c r="BK339" s="357"/>
      <c r="BL339" s="357"/>
      <c r="BM339" s="357"/>
      <c r="BN339" s="357"/>
      <c r="BO339" s="357"/>
      <c r="BP339" s="357"/>
      <c r="BQ339" s="357"/>
      <c r="BR339" s="357"/>
      <c r="BS339" s="357"/>
      <c r="BT339" s="357"/>
      <c r="BU339" s="357"/>
      <c r="BV339" s="357"/>
      <c r="BW339" s="357"/>
      <c r="BX339" s="357"/>
      <c r="BY339" s="357"/>
      <c r="BZ339" s="357"/>
      <c r="CA339" s="357"/>
      <c r="CB339" s="357"/>
      <c r="CC339" s="357"/>
      <c r="CD339" s="357"/>
      <c r="CE339" s="357"/>
      <c r="CF339" s="357"/>
      <c r="CG339" s="357"/>
      <c r="CH339" s="357"/>
      <c r="CI339" s="357"/>
      <c r="CJ339" s="357"/>
      <c r="CK339" s="357"/>
      <c r="CL339" s="357"/>
      <c r="CM339" s="357"/>
      <c r="CN339" s="357"/>
      <c r="CO339" s="357"/>
      <c r="CP339" s="357"/>
      <c r="CQ339" s="357"/>
      <c r="CR339" s="357"/>
      <c r="CS339" s="357"/>
      <c r="CT339" s="357"/>
      <c r="CU339" s="357"/>
      <c r="CV339" s="357"/>
      <c r="CW339" s="357"/>
      <c r="CX339" s="357"/>
      <c r="CY339" s="357"/>
      <c r="CZ339" s="357"/>
      <c r="DA339" s="357"/>
      <c r="DB339" s="357"/>
      <c r="DC339" s="357"/>
      <c r="DD339" s="357"/>
      <c r="DE339" s="357"/>
      <c r="DF339" s="357"/>
      <c r="DG339" s="357"/>
      <c r="DH339" s="357"/>
      <c r="DI339" s="357"/>
      <c r="DJ339" s="357"/>
      <c r="DK339" s="357"/>
      <c r="DL339" s="357"/>
      <c r="DM339" s="357"/>
      <c r="DN339" s="357"/>
      <c r="DO339" s="357"/>
      <c r="DP339" s="357"/>
      <c r="DQ339" s="357"/>
      <c r="DR339" s="357"/>
      <c r="DS339" s="357"/>
      <c r="DT339" s="357"/>
      <c r="DU339" s="357"/>
      <c r="DV339" s="357"/>
      <c r="DW339" s="357"/>
      <c r="DX339" s="357"/>
      <c r="DY339" s="357"/>
      <c r="DZ339" s="357"/>
      <c r="EA339" s="357"/>
      <c r="EB339" s="357"/>
      <c r="EC339" s="357"/>
      <c r="ED339" s="357"/>
      <c r="EE339" s="357"/>
      <c r="EF339" s="357"/>
      <c r="EG339" s="357"/>
      <c r="EH339" s="357"/>
      <c r="EI339" s="357"/>
      <c r="EJ339" s="357"/>
      <c r="EK339" s="357"/>
      <c r="EL339" s="357"/>
      <c r="EM339" s="357"/>
      <c r="EN339" s="357"/>
      <c r="EO339" s="357"/>
      <c r="EP339" s="357"/>
      <c r="EQ339" s="357"/>
      <c r="ER339" s="357"/>
      <c r="ES339" s="357"/>
      <c r="ET339" s="357"/>
      <c r="EU339" s="357"/>
      <c r="EV339" s="357"/>
      <c r="EW339" s="357"/>
      <c r="EX339" s="357"/>
      <c r="EY339" s="357"/>
      <c r="EZ339" s="357"/>
      <c r="FA339" s="357"/>
      <c r="FB339" s="357"/>
      <c r="FC339" s="357"/>
      <c r="FD339" s="357"/>
      <c r="FE339" s="357"/>
      <c r="FF339" s="357"/>
      <c r="FG339" s="357"/>
      <c r="FH339" s="357"/>
      <c r="FI339" s="357"/>
      <c r="FJ339" s="357"/>
      <c r="FK339" s="357"/>
      <c r="FL339" s="357"/>
      <c r="FM339" s="357"/>
      <c r="FN339" s="357"/>
      <c r="FO339" s="357"/>
      <c r="FP339" s="357"/>
      <c r="FQ339" s="357"/>
      <c r="FR339" s="357"/>
      <c r="FS339" s="357"/>
      <c r="FT339" s="357"/>
      <c r="FU339" s="357"/>
      <c r="FV339" s="357"/>
      <c r="FW339" s="357"/>
      <c r="FX339" s="357"/>
      <c r="FY339" s="357"/>
      <c r="FZ339" s="357"/>
      <c r="GA339" s="357"/>
      <c r="GB339" s="357"/>
      <c r="GC339" s="357"/>
      <c r="GD339" s="357"/>
      <c r="GE339" s="357"/>
      <c r="GF339" s="357"/>
      <c r="GG339" s="357"/>
      <c r="GH339" s="357"/>
      <c r="GI339" s="357"/>
      <c r="GJ339" s="357"/>
    </row>
    <row r="340" spans="26:192">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57"/>
      <c r="BB340" s="357"/>
      <c r="BC340" s="357"/>
      <c r="BD340" s="357"/>
      <c r="BE340" s="357"/>
      <c r="BF340" s="357"/>
      <c r="BG340" s="357"/>
      <c r="BH340" s="357"/>
      <c r="BI340" s="357"/>
      <c r="BJ340" s="357"/>
      <c r="BK340" s="357"/>
      <c r="BL340" s="357"/>
      <c r="BM340" s="357"/>
      <c r="BN340" s="357"/>
      <c r="BO340" s="357"/>
      <c r="BP340" s="357"/>
      <c r="BQ340" s="357"/>
      <c r="BR340" s="357"/>
      <c r="BS340" s="357"/>
      <c r="BT340" s="357"/>
      <c r="BU340" s="357"/>
      <c r="BV340" s="357"/>
      <c r="BW340" s="357"/>
      <c r="BX340" s="357"/>
      <c r="BY340" s="357"/>
      <c r="BZ340" s="357"/>
      <c r="CA340" s="357"/>
      <c r="CB340" s="357"/>
      <c r="CC340" s="357"/>
      <c r="CD340" s="357"/>
      <c r="CE340" s="357"/>
      <c r="CF340" s="357"/>
      <c r="CG340" s="357"/>
      <c r="CH340" s="357"/>
      <c r="CI340" s="357"/>
      <c r="CJ340" s="357"/>
      <c r="CK340" s="357"/>
      <c r="CL340" s="357"/>
      <c r="CM340" s="357"/>
      <c r="CN340" s="357"/>
      <c r="CO340" s="357"/>
      <c r="CP340" s="357"/>
      <c r="CQ340" s="357"/>
      <c r="CR340" s="357"/>
      <c r="CS340" s="357"/>
      <c r="CT340" s="357"/>
      <c r="CU340" s="357"/>
      <c r="CV340" s="357"/>
      <c r="CW340" s="357"/>
      <c r="CX340" s="357"/>
      <c r="CY340" s="357"/>
      <c r="CZ340" s="357"/>
      <c r="DA340" s="357"/>
      <c r="DB340" s="357"/>
      <c r="DC340" s="357"/>
      <c r="DD340" s="357"/>
      <c r="DE340" s="357"/>
      <c r="DF340" s="357"/>
      <c r="DG340" s="357"/>
      <c r="DH340" s="357"/>
      <c r="DI340" s="357"/>
      <c r="DJ340" s="357"/>
      <c r="DK340" s="357"/>
      <c r="DL340" s="357"/>
      <c r="DM340" s="357"/>
      <c r="DN340" s="357"/>
      <c r="DO340" s="357"/>
      <c r="DP340" s="357"/>
      <c r="DQ340" s="357"/>
      <c r="DR340" s="357"/>
      <c r="DS340" s="357"/>
      <c r="DT340" s="357"/>
      <c r="DU340" s="357"/>
      <c r="DV340" s="357"/>
      <c r="DW340" s="357"/>
      <c r="DX340" s="357"/>
      <c r="DY340" s="357"/>
      <c r="DZ340" s="357"/>
      <c r="EA340" s="357"/>
      <c r="EB340" s="357"/>
      <c r="EC340" s="357"/>
      <c r="ED340" s="357"/>
      <c r="EE340" s="357"/>
      <c r="EF340" s="357"/>
      <c r="EG340" s="357"/>
      <c r="EH340" s="357"/>
      <c r="EI340" s="357"/>
      <c r="EJ340" s="357"/>
      <c r="EK340" s="357"/>
      <c r="EL340" s="357"/>
      <c r="EM340" s="357"/>
      <c r="EN340" s="357"/>
      <c r="EO340" s="357"/>
      <c r="EP340" s="357"/>
      <c r="EQ340" s="357"/>
      <c r="ER340" s="357"/>
      <c r="ES340" s="357"/>
      <c r="ET340" s="357"/>
      <c r="EU340" s="357"/>
      <c r="EV340" s="357"/>
      <c r="EW340" s="357"/>
      <c r="EX340" s="357"/>
      <c r="EY340" s="357"/>
      <c r="EZ340" s="357"/>
      <c r="FA340" s="357"/>
      <c r="FB340" s="357"/>
      <c r="FC340" s="357"/>
      <c r="FD340" s="357"/>
      <c r="FE340" s="357"/>
      <c r="FF340" s="357"/>
      <c r="FG340" s="357"/>
      <c r="FH340" s="357"/>
      <c r="FI340" s="357"/>
      <c r="FJ340" s="357"/>
      <c r="FK340" s="357"/>
      <c r="FL340" s="357"/>
      <c r="FM340" s="357"/>
      <c r="FN340" s="357"/>
      <c r="FO340" s="357"/>
      <c r="FP340" s="357"/>
      <c r="FQ340" s="357"/>
      <c r="FR340" s="357"/>
      <c r="FS340" s="357"/>
      <c r="FT340" s="357"/>
      <c r="FU340" s="357"/>
      <c r="FV340" s="357"/>
      <c r="FW340" s="357"/>
      <c r="FX340" s="357"/>
      <c r="FY340" s="357"/>
      <c r="FZ340" s="357"/>
      <c r="GA340" s="357"/>
      <c r="GB340" s="357"/>
      <c r="GC340" s="357"/>
      <c r="GD340" s="357"/>
      <c r="GE340" s="357"/>
      <c r="GF340" s="357"/>
      <c r="GG340" s="357"/>
      <c r="GH340" s="357"/>
      <c r="GI340" s="357"/>
      <c r="GJ340" s="357"/>
    </row>
    <row r="341" spans="26:192">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357"/>
      <c r="BB341" s="357"/>
      <c r="BC341" s="357"/>
      <c r="BD341" s="357"/>
      <c r="BE341" s="357"/>
      <c r="BF341" s="357"/>
      <c r="BG341" s="357"/>
      <c r="BH341" s="357"/>
      <c r="BI341" s="357"/>
      <c r="BJ341" s="357"/>
      <c r="BK341" s="357"/>
      <c r="BL341" s="357"/>
      <c r="BM341" s="357"/>
      <c r="BN341" s="357"/>
      <c r="BO341" s="357"/>
      <c r="BP341" s="357"/>
      <c r="BQ341" s="357"/>
      <c r="BR341" s="357"/>
      <c r="BS341" s="357"/>
      <c r="BT341" s="357"/>
      <c r="BU341" s="357"/>
      <c r="BV341" s="357"/>
      <c r="BW341" s="357"/>
      <c r="BX341" s="357"/>
      <c r="BY341" s="357"/>
      <c r="BZ341" s="357"/>
      <c r="CA341" s="357"/>
      <c r="CB341" s="357"/>
      <c r="CC341" s="357"/>
      <c r="CD341" s="357"/>
      <c r="CE341" s="357"/>
      <c r="CF341" s="357"/>
      <c r="CG341" s="357"/>
      <c r="CH341" s="357"/>
      <c r="CI341" s="357"/>
      <c r="CJ341" s="357"/>
      <c r="CK341" s="357"/>
      <c r="CL341" s="357"/>
      <c r="CM341" s="357"/>
      <c r="CN341" s="357"/>
      <c r="CO341" s="357"/>
      <c r="CP341" s="357"/>
      <c r="CQ341" s="357"/>
      <c r="CR341" s="357"/>
      <c r="CS341" s="357"/>
      <c r="CT341" s="357"/>
      <c r="CU341" s="357"/>
      <c r="CV341" s="357"/>
      <c r="CW341" s="357"/>
      <c r="CX341" s="357"/>
      <c r="CY341" s="357"/>
      <c r="CZ341" s="357"/>
      <c r="DA341" s="357"/>
      <c r="DB341" s="357"/>
      <c r="DC341" s="357"/>
      <c r="DD341" s="357"/>
      <c r="DE341" s="357"/>
      <c r="DF341" s="357"/>
      <c r="DG341" s="357"/>
      <c r="DH341" s="357"/>
      <c r="DI341" s="357"/>
      <c r="DJ341" s="357"/>
      <c r="DK341" s="357"/>
      <c r="DL341" s="357"/>
      <c r="DM341" s="357"/>
      <c r="DN341" s="357"/>
      <c r="DO341" s="357"/>
      <c r="DP341" s="357"/>
      <c r="DQ341" s="357"/>
      <c r="DR341" s="357"/>
      <c r="DS341" s="357"/>
      <c r="DT341" s="357"/>
      <c r="DU341" s="357"/>
      <c r="DV341" s="357"/>
      <c r="DW341" s="357"/>
      <c r="DX341" s="357"/>
      <c r="DY341" s="357"/>
      <c r="DZ341" s="357"/>
      <c r="EA341" s="357"/>
      <c r="EB341" s="357"/>
      <c r="EC341" s="357"/>
      <c r="ED341" s="357"/>
      <c r="EE341" s="357"/>
      <c r="EF341" s="357"/>
      <c r="EG341" s="357"/>
      <c r="EH341" s="357"/>
      <c r="EI341" s="357"/>
      <c r="EJ341" s="357"/>
      <c r="EK341" s="357"/>
      <c r="EL341" s="357"/>
      <c r="EM341" s="357"/>
      <c r="EN341" s="357"/>
      <c r="EO341" s="357"/>
      <c r="EP341" s="357"/>
      <c r="EQ341" s="357"/>
      <c r="ER341" s="357"/>
      <c r="ES341" s="357"/>
      <c r="ET341" s="357"/>
      <c r="EU341" s="357"/>
      <c r="EV341" s="357"/>
      <c r="EW341" s="357"/>
      <c r="EX341" s="357"/>
      <c r="EY341" s="357"/>
      <c r="EZ341" s="357"/>
      <c r="FA341" s="357"/>
      <c r="FB341" s="357"/>
      <c r="FC341" s="357"/>
      <c r="FD341" s="357"/>
      <c r="FE341" s="357"/>
      <c r="FF341" s="357"/>
      <c r="FG341" s="357"/>
      <c r="FH341" s="357"/>
      <c r="FI341" s="357"/>
      <c r="FJ341" s="357"/>
      <c r="FK341" s="357"/>
      <c r="FL341" s="357"/>
      <c r="FM341" s="357"/>
      <c r="FN341" s="357"/>
      <c r="FO341" s="357"/>
      <c r="FP341" s="357"/>
      <c r="FQ341" s="357"/>
      <c r="FR341" s="357"/>
      <c r="FS341" s="357"/>
      <c r="FT341" s="357"/>
      <c r="FU341" s="357"/>
      <c r="FV341" s="357"/>
      <c r="FW341" s="357"/>
      <c r="FX341" s="357"/>
      <c r="FY341" s="357"/>
      <c r="FZ341" s="357"/>
      <c r="GA341" s="357"/>
      <c r="GB341" s="357"/>
      <c r="GC341" s="357"/>
      <c r="GD341" s="357"/>
      <c r="GE341" s="357"/>
      <c r="GF341" s="357"/>
      <c r="GG341" s="357"/>
      <c r="GH341" s="357"/>
      <c r="GI341" s="357"/>
      <c r="GJ341" s="357"/>
    </row>
    <row r="342" spans="26:192">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357"/>
      <c r="BB342" s="357"/>
      <c r="BC342" s="357"/>
      <c r="BD342" s="357"/>
      <c r="BE342" s="357"/>
      <c r="BF342" s="357"/>
      <c r="BG342" s="357"/>
      <c r="BH342" s="357"/>
      <c r="BI342" s="357"/>
      <c r="BJ342" s="357"/>
      <c r="BK342" s="357"/>
      <c r="BL342" s="357"/>
      <c r="BM342" s="357"/>
      <c r="BN342" s="357"/>
      <c r="BO342" s="357"/>
      <c r="BP342" s="357"/>
      <c r="BQ342" s="357"/>
      <c r="BR342" s="357"/>
      <c r="BS342" s="357"/>
      <c r="BT342" s="357"/>
      <c r="BU342" s="357"/>
      <c r="BV342" s="357"/>
      <c r="BW342" s="357"/>
      <c r="BX342" s="357"/>
      <c r="BY342" s="357"/>
      <c r="BZ342" s="357"/>
      <c r="CA342" s="357"/>
      <c r="CB342" s="357"/>
      <c r="CC342" s="357"/>
      <c r="CD342" s="357"/>
      <c r="CE342" s="357"/>
      <c r="CF342" s="357"/>
      <c r="CG342" s="357"/>
      <c r="CH342" s="357"/>
      <c r="CI342" s="357"/>
      <c r="CJ342" s="357"/>
      <c r="CK342" s="357"/>
      <c r="CL342" s="357"/>
      <c r="CM342" s="357"/>
      <c r="CN342" s="357"/>
      <c r="CO342" s="357"/>
      <c r="CP342" s="357"/>
      <c r="CQ342" s="357"/>
      <c r="CR342" s="357"/>
      <c r="CS342" s="357"/>
      <c r="CT342" s="357"/>
      <c r="CU342" s="357"/>
      <c r="CV342" s="357"/>
      <c r="CW342" s="357"/>
      <c r="CX342" s="357"/>
      <c r="CY342" s="357"/>
      <c r="CZ342" s="357"/>
      <c r="DA342" s="357"/>
      <c r="DB342" s="357"/>
      <c r="DC342" s="357"/>
      <c r="DD342" s="357"/>
      <c r="DE342" s="357"/>
      <c r="DF342" s="357"/>
      <c r="DG342" s="357"/>
      <c r="DH342" s="357"/>
      <c r="DI342" s="357"/>
      <c r="DJ342" s="357"/>
      <c r="DK342" s="357"/>
      <c r="DL342" s="357"/>
      <c r="DM342" s="357"/>
      <c r="DN342" s="357"/>
      <c r="DO342" s="357"/>
      <c r="DP342" s="357"/>
      <c r="DQ342" s="357"/>
      <c r="DR342" s="357"/>
      <c r="DS342" s="357"/>
      <c r="DT342" s="357"/>
      <c r="DU342" s="357"/>
      <c r="DV342" s="357"/>
      <c r="DW342" s="357"/>
      <c r="DX342" s="357"/>
      <c r="DY342" s="357"/>
      <c r="DZ342" s="357"/>
      <c r="EA342" s="357"/>
      <c r="EB342" s="357"/>
      <c r="EC342" s="357"/>
      <c r="ED342" s="357"/>
      <c r="EE342" s="357"/>
      <c r="EF342" s="357"/>
      <c r="EG342" s="357"/>
      <c r="EH342" s="357"/>
      <c r="EI342" s="357"/>
      <c r="EJ342" s="357"/>
      <c r="EK342" s="357"/>
      <c r="EL342" s="357"/>
      <c r="EM342" s="357"/>
      <c r="EN342" s="357"/>
      <c r="EO342" s="357"/>
      <c r="EP342" s="357"/>
      <c r="EQ342" s="357"/>
      <c r="ER342" s="357"/>
      <c r="ES342" s="357"/>
      <c r="ET342" s="357"/>
      <c r="EU342" s="357"/>
      <c r="EV342" s="357"/>
      <c r="EW342" s="357"/>
      <c r="EX342" s="357"/>
      <c r="EY342" s="357"/>
      <c r="EZ342" s="357"/>
      <c r="FA342" s="357"/>
      <c r="FB342" s="357"/>
      <c r="FC342" s="357"/>
      <c r="FD342" s="357"/>
      <c r="FE342" s="357"/>
      <c r="FF342" s="357"/>
      <c r="FG342" s="357"/>
      <c r="FH342" s="357"/>
      <c r="FI342" s="357"/>
      <c r="FJ342" s="357"/>
      <c r="FK342" s="357"/>
      <c r="FL342" s="357"/>
      <c r="FM342" s="357"/>
      <c r="FN342" s="357"/>
      <c r="FO342" s="357"/>
      <c r="FP342" s="357"/>
      <c r="FQ342" s="357"/>
      <c r="FR342" s="357"/>
      <c r="FS342" s="357"/>
      <c r="FT342" s="357"/>
      <c r="FU342" s="357"/>
      <c r="FV342" s="357"/>
      <c r="FW342" s="357"/>
      <c r="FX342" s="357"/>
      <c r="FY342" s="357"/>
      <c r="FZ342" s="357"/>
      <c r="GA342" s="357"/>
      <c r="GB342" s="357"/>
      <c r="GC342" s="357"/>
      <c r="GD342" s="357"/>
      <c r="GE342" s="357"/>
      <c r="GF342" s="357"/>
      <c r="GG342" s="357"/>
      <c r="GH342" s="357"/>
      <c r="GI342" s="357"/>
      <c r="GJ342" s="357"/>
    </row>
    <row r="343" spans="26:192">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357"/>
      <c r="BB343" s="357"/>
      <c r="BC343" s="357"/>
      <c r="BD343" s="357"/>
      <c r="BE343" s="357"/>
      <c r="BF343" s="357"/>
      <c r="BG343" s="357"/>
      <c r="BH343" s="357"/>
      <c r="BI343" s="357"/>
      <c r="BJ343" s="357"/>
      <c r="BK343" s="357"/>
      <c r="BL343" s="357"/>
      <c r="BM343" s="357"/>
      <c r="BN343" s="357"/>
      <c r="BO343" s="357"/>
      <c r="BP343" s="357"/>
      <c r="BQ343" s="357"/>
      <c r="BR343" s="357"/>
      <c r="BS343" s="357"/>
      <c r="BT343" s="357"/>
      <c r="BU343" s="357"/>
      <c r="BV343" s="357"/>
      <c r="BW343" s="357"/>
      <c r="BX343" s="357"/>
      <c r="BY343" s="357"/>
      <c r="BZ343" s="357"/>
      <c r="CA343" s="357"/>
      <c r="CB343" s="357"/>
      <c r="CC343" s="357"/>
      <c r="CD343" s="357"/>
      <c r="CE343" s="357"/>
      <c r="CF343" s="357"/>
      <c r="CG343" s="357"/>
      <c r="CH343" s="357"/>
      <c r="CI343" s="357"/>
      <c r="CJ343" s="357"/>
      <c r="CK343" s="357"/>
      <c r="CL343" s="357"/>
      <c r="CM343" s="357"/>
      <c r="CN343" s="357"/>
      <c r="CO343" s="357"/>
      <c r="CP343" s="357"/>
      <c r="CQ343" s="357"/>
      <c r="CR343" s="357"/>
      <c r="CS343" s="357"/>
      <c r="CT343" s="357"/>
      <c r="CU343" s="357"/>
      <c r="CV343" s="357"/>
      <c r="CW343" s="357"/>
      <c r="CX343" s="357"/>
      <c r="CY343" s="357"/>
      <c r="CZ343" s="357"/>
      <c r="DA343" s="357"/>
      <c r="DB343" s="357"/>
      <c r="DC343" s="357"/>
      <c r="DD343" s="357"/>
      <c r="DE343" s="357"/>
      <c r="DF343" s="357"/>
      <c r="DG343" s="357"/>
      <c r="DH343" s="357"/>
      <c r="DI343" s="357"/>
      <c r="DJ343" s="357"/>
      <c r="DK343" s="357"/>
      <c r="DL343" s="357"/>
      <c r="DM343" s="357"/>
      <c r="DN343" s="357"/>
      <c r="DO343" s="357"/>
      <c r="DP343" s="357"/>
      <c r="DQ343" s="357"/>
      <c r="DR343" s="357"/>
      <c r="DS343" s="357"/>
      <c r="DT343" s="357"/>
      <c r="DU343" s="357"/>
      <c r="DV343" s="357"/>
      <c r="DW343" s="357"/>
      <c r="DX343" s="357"/>
      <c r="DY343" s="357"/>
      <c r="DZ343" s="357"/>
      <c r="EA343" s="357"/>
      <c r="EB343" s="357"/>
      <c r="EC343" s="357"/>
      <c r="ED343" s="357"/>
      <c r="EE343" s="357"/>
      <c r="EF343" s="357"/>
      <c r="EG343" s="357"/>
      <c r="EH343" s="357"/>
      <c r="EI343" s="357"/>
      <c r="EJ343" s="357"/>
      <c r="EK343" s="357"/>
      <c r="EL343" s="357"/>
      <c r="EM343" s="357"/>
      <c r="EN343" s="357"/>
      <c r="EO343" s="357"/>
      <c r="EP343" s="357"/>
      <c r="EQ343" s="357"/>
      <c r="ER343" s="357"/>
      <c r="ES343" s="357"/>
      <c r="ET343" s="357"/>
      <c r="EU343" s="357"/>
      <c r="EV343" s="357"/>
      <c r="EW343" s="357"/>
      <c r="EX343" s="357"/>
      <c r="EY343" s="357"/>
      <c r="EZ343" s="357"/>
      <c r="FA343" s="357"/>
      <c r="FB343" s="357"/>
      <c r="FC343" s="357"/>
      <c r="FD343" s="357"/>
      <c r="FE343" s="357"/>
      <c r="FF343" s="357"/>
      <c r="FG343" s="357"/>
      <c r="FH343" s="357"/>
      <c r="FI343" s="357"/>
      <c r="FJ343" s="357"/>
      <c r="FK343" s="357"/>
      <c r="FL343" s="357"/>
      <c r="FM343" s="357"/>
      <c r="FN343" s="357"/>
      <c r="FO343" s="357"/>
      <c r="FP343" s="357"/>
      <c r="FQ343" s="357"/>
      <c r="FR343" s="357"/>
      <c r="FS343" s="357"/>
      <c r="FT343" s="357"/>
      <c r="FU343" s="357"/>
      <c r="FV343" s="357"/>
      <c r="FW343" s="357"/>
      <c r="FX343" s="357"/>
      <c r="FY343" s="357"/>
      <c r="FZ343" s="357"/>
      <c r="GA343" s="357"/>
      <c r="GB343" s="357"/>
      <c r="GC343" s="357"/>
      <c r="GD343" s="357"/>
      <c r="GE343" s="357"/>
      <c r="GF343" s="357"/>
      <c r="GG343" s="357"/>
      <c r="GH343" s="357"/>
      <c r="GI343" s="357"/>
      <c r="GJ343" s="357"/>
    </row>
    <row r="344" spans="26:192">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357"/>
      <c r="BB344" s="357"/>
      <c r="BC344" s="357"/>
      <c r="BD344" s="357"/>
      <c r="BE344" s="357"/>
      <c r="BF344" s="357"/>
      <c r="BG344" s="357"/>
      <c r="BH344" s="357"/>
      <c r="BI344" s="357"/>
      <c r="BJ344" s="357"/>
      <c r="BK344" s="357"/>
      <c r="BL344" s="357"/>
      <c r="BM344" s="357"/>
      <c r="BN344" s="357"/>
      <c r="BO344" s="357"/>
      <c r="BP344" s="357"/>
      <c r="BQ344" s="357"/>
      <c r="BR344" s="357"/>
      <c r="BS344" s="357"/>
      <c r="BT344" s="357"/>
      <c r="BU344" s="357"/>
      <c r="BV344" s="357"/>
      <c r="BW344" s="357"/>
      <c r="BX344" s="357"/>
      <c r="BY344" s="357"/>
      <c r="BZ344" s="357"/>
      <c r="CA344" s="357"/>
      <c r="CB344" s="357"/>
      <c r="CC344" s="357"/>
      <c r="CD344" s="357"/>
      <c r="CE344" s="357"/>
      <c r="CF344" s="357"/>
      <c r="CG344" s="357"/>
      <c r="CH344" s="357"/>
      <c r="CI344" s="357"/>
      <c r="CJ344" s="357"/>
      <c r="CK344" s="357"/>
      <c r="CL344" s="357"/>
      <c r="CM344" s="357"/>
      <c r="CN344" s="357"/>
      <c r="CO344" s="357"/>
      <c r="CP344" s="357"/>
      <c r="CQ344" s="357"/>
      <c r="CR344" s="357"/>
      <c r="CS344" s="357"/>
      <c r="CT344" s="357"/>
      <c r="CU344" s="357"/>
      <c r="CV344" s="357"/>
      <c r="CW344" s="357"/>
      <c r="CX344" s="357"/>
      <c r="CY344" s="357"/>
      <c r="CZ344" s="357"/>
      <c r="DA344" s="357"/>
      <c r="DB344" s="357"/>
      <c r="DC344" s="357"/>
      <c r="DD344" s="357"/>
      <c r="DE344" s="357"/>
      <c r="DF344" s="357"/>
      <c r="DG344" s="357"/>
      <c r="DH344" s="357"/>
      <c r="DI344" s="357"/>
      <c r="DJ344" s="357"/>
      <c r="DK344" s="357"/>
      <c r="DL344" s="357"/>
      <c r="DM344" s="357"/>
      <c r="DN344" s="357"/>
      <c r="DO344" s="357"/>
      <c r="DP344" s="357"/>
      <c r="DQ344" s="357"/>
      <c r="DR344" s="357"/>
      <c r="DS344" s="357"/>
      <c r="DT344" s="357"/>
      <c r="DU344" s="357"/>
      <c r="DV344" s="357"/>
      <c r="DW344" s="357"/>
      <c r="DX344" s="357"/>
      <c r="DY344" s="357"/>
      <c r="DZ344" s="357"/>
      <c r="EA344" s="357"/>
      <c r="EB344" s="357"/>
      <c r="EC344" s="357"/>
      <c r="ED344" s="357"/>
      <c r="EE344" s="357"/>
      <c r="EF344" s="357"/>
      <c r="EG344" s="357"/>
      <c r="EH344" s="357"/>
      <c r="EI344" s="357"/>
      <c r="EJ344" s="357"/>
      <c r="EK344" s="357"/>
      <c r="EL344" s="357"/>
      <c r="EM344" s="357"/>
      <c r="EN344" s="357"/>
      <c r="EO344" s="357"/>
      <c r="EP344" s="357"/>
      <c r="EQ344" s="357"/>
      <c r="ER344" s="357"/>
      <c r="ES344" s="357"/>
      <c r="ET344" s="357"/>
      <c r="EU344" s="357"/>
      <c r="EV344" s="357"/>
      <c r="EW344" s="357"/>
      <c r="EX344" s="357"/>
      <c r="EY344" s="357"/>
      <c r="EZ344" s="357"/>
      <c r="FA344" s="357"/>
      <c r="FB344" s="357"/>
      <c r="FC344" s="357"/>
      <c r="FD344" s="357"/>
      <c r="FE344" s="357"/>
      <c r="FF344" s="357"/>
      <c r="FG344" s="357"/>
      <c r="FH344" s="357"/>
      <c r="FI344" s="357"/>
      <c r="FJ344" s="357"/>
      <c r="FK344" s="357"/>
      <c r="FL344" s="357"/>
      <c r="FM344" s="357"/>
      <c r="FN344" s="357"/>
      <c r="FO344" s="357"/>
      <c r="FP344" s="357"/>
      <c r="FQ344" s="357"/>
      <c r="FR344" s="357"/>
      <c r="FS344" s="357"/>
      <c r="FT344" s="357"/>
      <c r="FU344" s="357"/>
      <c r="FV344" s="357"/>
      <c r="FW344" s="357"/>
      <c r="FX344" s="357"/>
      <c r="FY344" s="357"/>
      <c r="FZ344" s="357"/>
      <c r="GA344" s="357"/>
      <c r="GB344" s="357"/>
      <c r="GC344" s="357"/>
      <c r="GD344" s="357"/>
      <c r="GE344" s="357"/>
      <c r="GF344" s="357"/>
      <c r="GG344" s="357"/>
      <c r="GH344" s="357"/>
      <c r="GI344" s="357"/>
      <c r="GJ344" s="357"/>
    </row>
    <row r="345" spans="26:192">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357"/>
      <c r="BB345" s="357"/>
      <c r="BC345" s="357"/>
      <c r="BD345" s="357"/>
      <c r="BE345" s="357"/>
      <c r="BF345" s="357"/>
      <c r="BG345" s="357"/>
      <c r="BH345" s="357"/>
      <c r="BI345" s="357"/>
      <c r="BJ345" s="357"/>
      <c r="BK345" s="357"/>
      <c r="BL345" s="357"/>
      <c r="BM345" s="357"/>
      <c r="BN345" s="357"/>
      <c r="BO345" s="357"/>
      <c r="BP345" s="357"/>
      <c r="BQ345" s="357"/>
      <c r="BR345" s="357"/>
      <c r="BS345" s="357"/>
      <c r="BT345" s="357"/>
      <c r="BU345" s="357"/>
      <c r="BV345" s="357"/>
      <c r="BW345" s="357"/>
      <c r="BX345" s="357"/>
      <c r="BY345" s="357"/>
      <c r="BZ345" s="357"/>
      <c r="CA345" s="357"/>
      <c r="CB345" s="357"/>
      <c r="CC345" s="357"/>
      <c r="CD345" s="357"/>
      <c r="CE345" s="357"/>
      <c r="CF345" s="357"/>
      <c r="CG345" s="357"/>
      <c r="CH345" s="357"/>
      <c r="CI345" s="357"/>
      <c r="CJ345" s="357"/>
      <c r="CK345" s="357"/>
      <c r="CL345" s="357"/>
      <c r="CM345" s="357"/>
      <c r="CN345" s="357"/>
      <c r="CO345" s="357"/>
      <c r="CP345" s="357"/>
      <c r="CQ345" s="357"/>
      <c r="CR345" s="357"/>
      <c r="CS345" s="357"/>
      <c r="CT345" s="357"/>
      <c r="CU345" s="357"/>
      <c r="CV345" s="357"/>
      <c r="CW345" s="357"/>
      <c r="CX345" s="357"/>
      <c r="CY345" s="357"/>
      <c r="CZ345" s="357"/>
      <c r="DA345" s="357"/>
      <c r="DB345" s="357"/>
      <c r="DC345" s="357"/>
      <c r="DD345" s="357"/>
      <c r="DE345" s="357"/>
      <c r="DF345" s="357"/>
      <c r="DG345" s="357"/>
      <c r="DH345" s="357"/>
      <c r="DI345" s="357"/>
      <c r="DJ345" s="357"/>
      <c r="DK345" s="357"/>
      <c r="DL345" s="357"/>
      <c r="DM345" s="357"/>
      <c r="DN345" s="357"/>
      <c r="DO345" s="357"/>
      <c r="DP345" s="357"/>
      <c r="DQ345" s="357"/>
      <c r="DR345" s="357"/>
      <c r="DS345" s="357"/>
      <c r="DT345" s="357"/>
      <c r="DU345" s="357"/>
      <c r="DV345" s="357"/>
      <c r="DW345" s="357"/>
      <c r="DX345" s="357"/>
      <c r="DY345" s="357"/>
      <c r="DZ345" s="357"/>
      <c r="EA345" s="357"/>
      <c r="EB345" s="357"/>
      <c r="EC345" s="357"/>
      <c r="ED345" s="357"/>
      <c r="EE345" s="357"/>
      <c r="EF345" s="357"/>
      <c r="EG345" s="357"/>
      <c r="EH345" s="357"/>
      <c r="EI345" s="357"/>
      <c r="EJ345" s="357"/>
      <c r="EK345" s="357"/>
      <c r="EL345" s="357"/>
      <c r="EM345" s="357"/>
      <c r="EN345" s="357"/>
      <c r="EO345" s="357"/>
      <c r="EP345" s="357"/>
      <c r="EQ345" s="357"/>
      <c r="ER345" s="357"/>
      <c r="ES345" s="357"/>
      <c r="ET345" s="357"/>
      <c r="EU345" s="357"/>
      <c r="EV345" s="357"/>
      <c r="EW345" s="357"/>
      <c r="EX345" s="357"/>
      <c r="EY345" s="357"/>
      <c r="EZ345" s="357"/>
      <c r="FA345" s="357"/>
      <c r="FB345" s="357"/>
      <c r="FC345" s="357"/>
      <c r="FD345" s="357"/>
      <c r="FE345" s="357"/>
      <c r="FF345" s="357"/>
      <c r="FG345" s="357"/>
      <c r="FH345" s="357"/>
      <c r="FI345" s="357"/>
      <c r="FJ345" s="357"/>
      <c r="FK345" s="357"/>
      <c r="FL345" s="357"/>
      <c r="FM345" s="357"/>
      <c r="FN345" s="357"/>
      <c r="FO345" s="357"/>
      <c r="FP345" s="357"/>
      <c r="FQ345" s="357"/>
      <c r="FR345" s="357"/>
      <c r="FS345" s="357"/>
      <c r="FT345" s="357"/>
      <c r="FU345" s="357"/>
      <c r="FV345" s="357"/>
      <c r="FW345" s="357"/>
      <c r="FX345" s="357"/>
      <c r="FY345" s="357"/>
      <c r="FZ345" s="357"/>
      <c r="GA345" s="357"/>
      <c r="GB345" s="357"/>
      <c r="GC345" s="357"/>
      <c r="GD345" s="357"/>
      <c r="GE345" s="357"/>
      <c r="GF345" s="357"/>
      <c r="GG345" s="357"/>
      <c r="GH345" s="357"/>
      <c r="GI345" s="357"/>
      <c r="GJ345" s="357"/>
    </row>
    <row r="346" spans="26:192">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357"/>
      <c r="BB346" s="357"/>
      <c r="BC346" s="357"/>
      <c r="BD346" s="357"/>
      <c r="BE346" s="357"/>
      <c r="BF346" s="357"/>
      <c r="BG346" s="357"/>
      <c r="BH346" s="357"/>
      <c r="BI346" s="357"/>
      <c r="BJ346" s="357"/>
      <c r="BK346" s="357"/>
      <c r="BL346" s="357"/>
      <c r="BM346" s="357"/>
      <c r="BN346" s="357"/>
      <c r="BO346" s="357"/>
      <c r="BP346" s="357"/>
      <c r="BQ346" s="357"/>
      <c r="BR346" s="357"/>
      <c r="BS346" s="357"/>
      <c r="BT346" s="357"/>
      <c r="BU346" s="357"/>
      <c r="BV346" s="357"/>
      <c r="BW346" s="357"/>
      <c r="BX346" s="357"/>
      <c r="BY346" s="357"/>
      <c r="BZ346" s="357"/>
      <c r="CA346" s="357"/>
      <c r="CB346" s="357"/>
      <c r="CC346" s="357"/>
      <c r="CD346" s="357"/>
      <c r="CE346" s="357"/>
      <c r="CF346" s="357"/>
      <c r="CG346" s="357"/>
      <c r="CH346" s="357"/>
      <c r="CI346" s="357"/>
      <c r="CJ346" s="357"/>
      <c r="CK346" s="357"/>
      <c r="CL346" s="357"/>
      <c r="CM346" s="357"/>
      <c r="CN346" s="357"/>
      <c r="CO346" s="357"/>
      <c r="CP346" s="357"/>
      <c r="CQ346" s="357"/>
      <c r="CR346" s="357"/>
      <c r="CS346" s="357"/>
      <c r="CT346" s="357"/>
      <c r="CU346" s="357"/>
      <c r="CV346" s="357"/>
      <c r="CW346" s="357"/>
      <c r="CX346" s="357"/>
      <c r="CY346" s="357"/>
      <c r="CZ346" s="357"/>
      <c r="DA346" s="357"/>
      <c r="DB346" s="357"/>
      <c r="DC346" s="357"/>
      <c r="DD346" s="357"/>
      <c r="DE346" s="357"/>
      <c r="DF346" s="357"/>
      <c r="DG346" s="357"/>
      <c r="DH346" s="357"/>
      <c r="DI346" s="357"/>
      <c r="DJ346" s="357"/>
      <c r="DK346" s="357"/>
      <c r="DL346" s="357"/>
      <c r="DM346" s="357"/>
      <c r="DN346" s="357"/>
      <c r="DO346" s="357"/>
      <c r="DP346" s="357"/>
      <c r="DQ346" s="357"/>
      <c r="DR346" s="357"/>
      <c r="DS346" s="357"/>
      <c r="DT346" s="357"/>
      <c r="DU346" s="357"/>
      <c r="DV346" s="357"/>
      <c r="DW346" s="357"/>
      <c r="DX346" s="357"/>
      <c r="DY346" s="357"/>
      <c r="DZ346" s="357"/>
      <c r="EA346" s="357"/>
      <c r="EB346" s="357"/>
      <c r="EC346" s="357"/>
      <c r="ED346" s="357"/>
      <c r="EE346" s="357"/>
      <c r="EF346" s="357"/>
      <c r="EG346" s="357"/>
      <c r="EH346" s="357"/>
      <c r="EI346" s="357"/>
      <c r="EJ346" s="357"/>
      <c r="EK346" s="357"/>
      <c r="EL346" s="357"/>
      <c r="EM346" s="357"/>
      <c r="EN346" s="357"/>
      <c r="EO346" s="357"/>
      <c r="EP346" s="357"/>
      <c r="EQ346" s="357"/>
      <c r="ER346" s="357"/>
      <c r="ES346" s="357"/>
      <c r="ET346" s="357"/>
      <c r="EU346" s="357"/>
      <c r="EV346" s="357"/>
      <c r="EW346" s="357"/>
      <c r="EX346" s="357"/>
      <c r="EY346" s="357"/>
      <c r="EZ346" s="357"/>
      <c r="FA346" s="357"/>
      <c r="FB346" s="357"/>
      <c r="FC346" s="357"/>
      <c r="FD346" s="357"/>
      <c r="FE346" s="357"/>
      <c r="FF346" s="357"/>
      <c r="FG346" s="357"/>
      <c r="FH346" s="357"/>
      <c r="FI346" s="357"/>
      <c r="FJ346" s="357"/>
      <c r="FK346" s="357"/>
      <c r="FL346" s="357"/>
      <c r="FM346" s="357"/>
      <c r="FN346" s="357"/>
      <c r="FO346" s="357"/>
      <c r="FP346" s="357"/>
      <c r="FQ346" s="357"/>
      <c r="FR346" s="357"/>
      <c r="FS346" s="357"/>
      <c r="FT346" s="357"/>
      <c r="FU346" s="357"/>
      <c r="FV346" s="357"/>
      <c r="FW346" s="357"/>
      <c r="FX346" s="357"/>
      <c r="FY346" s="357"/>
      <c r="FZ346" s="357"/>
      <c r="GA346" s="357"/>
      <c r="GB346" s="357"/>
      <c r="GC346" s="357"/>
      <c r="GD346" s="357"/>
      <c r="GE346" s="357"/>
      <c r="GF346" s="357"/>
      <c r="GG346" s="357"/>
      <c r="GH346" s="357"/>
      <c r="GI346" s="357"/>
      <c r="GJ346" s="357"/>
    </row>
    <row r="347" spans="26:192">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357"/>
      <c r="BB347" s="357"/>
      <c r="BC347" s="357"/>
      <c r="BD347" s="357"/>
      <c r="BE347" s="357"/>
      <c r="BF347" s="357"/>
      <c r="BG347" s="357"/>
      <c r="BH347" s="357"/>
      <c r="BI347" s="357"/>
      <c r="BJ347" s="357"/>
      <c r="BK347" s="357"/>
      <c r="BL347" s="357"/>
      <c r="BM347" s="357"/>
      <c r="BN347" s="357"/>
      <c r="BO347" s="357"/>
      <c r="BP347" s="357"/>
      <c r="BQ347" s="357"/>
      <c r="BR347" s="357"/>
      <c r="BS347" s="357"/>
      <c r="BT347" s="357"/>
      <c r="BU347" s="357"/>
      <c r="BV347" s="357"/>
      <c r="BW347" s="357"/>
      <c r="BX347" s="357"/>
      <c r="BY347" s="357"/>
      <c r="BZ347" s="357"/>
      <c r="CA347" s="357"/>
      <c r="CB347" s="357"/>
      <c r="CC347" s="357"/>
      <c r="CD347" s="357"/>
      <c r="CE347" s="357"/>
      <c r="CF347" s="357"/>
      <c r="CG347" s="357"/>
      <c r="CH347" s="357"/>
      <c r="CI347" s="357"/>
      <c r="CJ347" s="357"/>
      <c r="CK347" s="357"/>
      <c r="CL347" s="357"/>
      <c r="CM347" s="357"/>
      <c r="CN347" s="357"/>
      <c r="CO347" s="357"/>
      <c r="CP347" s="357"/>
      <c r="CQ347" s="357"/>
      <c r="CR347" s="357"/>
      <c r="CS347" s="357"/>
      <c r="CT347" s="357"/>
      <c r="CU347" s="357"/>
      <c r="CV347" s="357"/>
      <c r="CW347" s="357"/>
      <c r="CX347" s="357"/>
      <c r="CY347" s="357"/>
      <c r="CZ347" s="357"/>
      <c r="DA347" s="357"/>
      <c r="DB347" s="357"/>
      <c r="DC347" s="357"/>
      <c r="DD347" s="357"/>
      <c r="DE347" s="357"/>
      <c r="DF347" s="357"/>
      <c r="DG347" s="357"/>
      <c r="DH347" s="357"/>
      <c r="DI347" s="357"/>
      <c r="DJ347" s="357"/>
      <c r="DK347" s="357"/>
      <c r="DL347" s="357"/>
      <c r="DM347" s="357"/>
      <c r="DN347" s="357"/>
      <c r="DO347" s="357"/>
      <c r="DP347" s="357"/>
      <c r="DQ347" s="357"/>
      <c r="DR347" s="357"/>
      <c r="DS347" s="357"/>
      <c r="DT347" s="357"/>
      <c r="DU347" s="357"/>
      <c r="DV347" s="357"/>
      <c r="DW347" s="357"/>
      <c r="DX347" s="357"/>
      <c r="DY347" s="357"/>
      <c r="DZ347" s="357"/>
      <c r="EA347" s="357"/>
      <c r="EB347" s="357"/>
      <c r="EC347" s="357"/>
      <c r="ED347" s="357"/>
      <c r="EE347" s="357"/>
      <c r="EF347" s="357"/>
      <c r="EG347" s="357"/>
      <c r="EH347" s="357"/>
      <c r="EI347" s="357"/>
      <c r="EJ347" s="357"/>
      <c r="EK347" s="357"/>
      <c r="EL347" s="357"/>
      <c r="EM347" s="357"/>
      <c r="EN347" s="357"/>
      <c r="EO347" s="357"/>
      <c r="EP347" s="357"/>
      <c r="EQ347" s="357"/>
      <c r="ER347" s="357"/>
      <c r="ES347" s="357"/>
      <c r="ET347" s="357"/>
      <c r="EU347" s="357"/>
      <c r="EV347" s="357"/>
      <c r="EW347" s="357"/>
      <c r="EX347" s="357"/>
      <c r="EY347" s="357"/>
      <c r="EZ347" s="357"/>
      <c r="FA347" s="357"/>
      <c r="FB347" s="357"/>
      <c r="FC347" s="357"/>
      <c r="FD347" s="357"/>
      <c r="FE347" s="357"/>
      <c r="FF347" s="357"/>
      <c r="FG347" s="357"/>
      <c r="FH347" s="357"/>
      <c r="FI347" s="357"/>
      <c r="FJ347" s="357"/>
      <c r="FK347" s="357"/>
      <c r="FL347" s="357"/>
      <c r="FM347" s="357"/>
      <c r="FN347" s="357"/>
      <c r="FO347" s="357"/>
      <c r="FP347" s="357"/>
      <c r="FQ347" s="357"/>
      <c r="FR347" s="357"/>
      <c r="FS347" s="357"/>
      <c r="FT347" s="357"/>
      <c r="FU347" s="357"/>
      <c r="FV347" s="357"/>
      <c r="FW347" s="357"/>
      <c r="FX347" s="357"/>
      <c r="FY347" s="357"/>
      <c r="FZ347" s="357"/>
      <c r="GA347" s="357"/>
      <c r="GB347" s="357"/>
      <c r="GC347" s="357"/>
      <c r="GD347" s="357"/>
      <c r="GE347" s="357"/>
      <c r="GF347" s="357"/>
      <c r="GG347" s="357"/>
      <c r="GH347" s="357"/>
      <c r="GI347" s="357"/>
      <c r="GJ347" s="357"/>
    </row>
    <row r="348" spans="26:192">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357"/>
      <c r="BB348" s="357"/>
      <c r="BC348" s="357"/>
      <c r="BD348" s="357"/>
      <c r="BE348" s="357"/>
      <c r="BF348" s="357"/>
      <c r="BG348" s="357"/>
      <c r="BH348" s="357"/>
      <c r="BI348" s="357"/>
      <c r="BJ348" s="357"/>
      <c r="BK348" s="357"/>
      <c r="BL348" s="357"/>
      <c r="BM348" s="357"/>
      <c r="BN348" s="357"/>
      <c r="BO348" s="357"/>
      <c r="BP348" s="357"/>
      <c r="BQ348" s="357"/>
      <c r="BR348" s="357"/>
      <c r="BS348" s="357"/>
      <c r="BT348" s="357"/>
      <c r="BU348" s="357"/>
      <c r="BV348" s="357"/>
      <c r="BW348" s="357"/>
      <c r="BX348" s="357"/>
      <c r="BY348" s="357"/>
      <c r="BZ348" s="357"/>
      <c r="CA348" s="357"/>
      <c r="CB348" s="357"/>
      <c r="CC348" s="357"/>
      <c r="CD348" s="357"/>
      <c r="CE348" s="357"/>
      <c r="CF348" s="357"/>
      <c r="CG348" s="357"/>
      <c r="CH348" s="357"/>
      <c r="CI348" s="357"/>
      <c r="CJ348" s="357"/>
      <c r="CK348" s="357"/>
      <c r="CL348" s="357"/>
      <c r="CM348" s="357"/>
      <c r="CN348" s="357"/>
      <c r="CO348" s="357"/>
      <c r="CP348" s="357"/>
      <c r="CQ348" s="357"/>
      <c r="CR348" s="357"/>
      <c r="CS348" s="357"/>
      <c r="CT348" s="357"/>
      <c r="CU348" s="357"/>
      <c r="CV348" s="357"/>
      <c r="CW348" s="357"/>
      <c r="CX348" s="357"/>
      <c r="CY348" s="357"/>
      <c r="CZ348" s="357"/>
      <c r="DA348" s="357"/>
      <c r="DB348" s="357"/>
      <c r="DC348" s="357"/>
      <c r="DD348" s="357"/>
      <c r="DE348" s="357"/>
      <c r="DF348" s="357"/>
      <c r="DG348" s="357"/>
      <c r="DH348" s="357"/>
      <c r="DI348" s="357"/>
      <c r="DJ348" s="357"/>
      <c r="DK348" s="357"/>
      <c r="DL348" s="357"/>
      <c r="DM348" s="357"/>
      <c r="DN348" s="357"/>
      <c r="DO348" s="357"/>
      <c r="DP348" s="357"/>
      <c r="DQ348" s="357"/>
      <c r="DR348" s="357"/>
      <c r="DS348" s="357"/>
      <c r="DT348" s="357"/>
      <c r="DU348" s="357"/>
      <c r="DV348" s="357"/>
      <c r="DW348" s="357"/>
      <c r="DX348" s="357"/>
      <c r="DY348" s="357"/>
      <c r="DZ348" s="357"/>
      <c r="EA348" s="357"/>
      <c r="EB348" s="357"/>
      <c r="EC348" s="357"/>
      <c r="ED348" s="357"/>
      <c r="EE348" s="357"/>
      <c r="EF348" s="357"/>
      <c r="EG348" s="357"/>
      <c r="EH348" s="357"/>
      <c r="EI348" s="357"/>
      <c r="EJ348" s="357"/>
      <c r="EK348" s="357"/>
      <c r="EL348" s="357"/>
      <c r="EM348" s="357"/>
      <c r="EN348" s="357"/>
      <c r="EO348" s="357"/>
      <c r="EP348" s="357"/>
      <c r="EQ348" s="357"/>
      <c r="ER348" s="357"/>
      <c r="ES348" s="357"/>
      <c r="ET348" s="357"/>
      <c r="EU348" s="357"/>
      <c r="EV348" s="357"/>
      <c r="EW348" s="357"/>
      <c r="EX348" s="357"/>
      <c r="EY348" s="357"/>
      <c r="EZ348" s="357"/>
      <c r="FA348" s="357"/>
      <c r="FB348" s="357"/>
      <c r="FC348" s="357"/>
      <c r="FD348" s="357"/>
      <c r="FE348" s="357"/>
      <c r="FF348" s="357"/>
      <c r="FG348" s="357"/>
      <c r="FH348" s="357"/>
      <c r="FI348" s="357"/>
      <c r="FJ348" s="357"/>
      <c r="FK348" s="357"/>
      <c r="FL348" s="357"/>
      <c r="FM348" s="357"/>
      <c r="FN348" s="357"/>
      <c r="FO348" s="357"/>
      <c r="FP348" s="357"/>
      <c r="FQ348" s="357"/>
      <c r="FR348" s="357"/>
      <c r="FS348" s="357"/>
      <c r="FT348" s="357"/>
      <c r="FU348" s="357"/>
      <c r="FV348" s="357"/>
      <c r="FW348" s="357"/>
      <c r="FX348" s="357"/>
      <c r="FY348" s="357"/>
      <c r="FZ348" s="357"/>
      <c r="GA348" s="357"/>
      <c r="GB348" s="357"/>
      <c r="GC348" s="357"/>
      <c r="GD348" s="357"/>
      <c r="GE348" s="357"/>
      <c r="GF348" s="357"/>
      <c r="GG348" s="357"/>
      <c r="GH348" s="357"/>
      <c r="GI348" s="357"/>
      <c r="GJ348" s="357"/>
    </row>
    <row r="349" spans="26:192">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357"/>
      <c r="BB349" s="357"/>
      <c r="BC349" s="357"/>
      <c r="BD349" s="357"/>
      <c r="BE349" s="357"/>
      <c r="BF349" s="357"/>
      <c r="BG349" s="357"/>
      <c r="BH349" s="357"/>
      <c r="BI349" s="357"/>
      <c r="BJ349" s="357"/>
      <c r="BK349" s="357"/>
      <c r="BL349" s="357"/>
      <c r="BM349" s="357"/>
      <c r="BN349" s="357"/>
      <c r="BO349" s="357"/>
      <c r="BP349" s="357"/>
      <c r="BQ349" s="357"/>
      <c r="BR349" s="357"/>
      <c r="BS349" s="357"/>
      <c r="BT349" s="357"/>
      <c r="BU349" s="357"/>
      <c r="BV349" s="357"/>
      <c r="BW349" s="357"/>
      <c r="BX349" s="357"/>
      <c r="BY349" s="357"/>
      <c r="BZ349" s="357"/>
      <c r="CA349" s="357"/>
      <c r="CB349" s="357"/>
      <c r="CC349" s="357"/>
      <c r="CD349" s="357"/>
      <c r="CE349" s="357"/>
      <c r="CF349" s="357"/>
      <c r="CG349" s="357"/>
      <c r="CH349" s="357"/>
      <c r="CI349" s="357"/>
      <c r="CJ349" s="357"/>
      <c r="CK349" s="357"/>
      <c r="CL349" s="357"/>
      <c r="CM349" s="357"/>
      <c r="CN349" s="357"/>
      <c r="CO349" s="357"/>
      <c r="CP349" s="357"/>
      <c r="CQ349" s="357"/>
      <c r="CR349" s="357"/>
      <c r="CS349" s="357"/>
      <c r="CT349" s="357"/>
      <c r="CU349" s="357"/>
      <c r="CV349" s="357"/>
      <c r="CW349" s="357"/>
      <c r="CX349" s="357"/>
      <c r="CY349" s="357"/>
      <c r="CZ349" s="357"/>
      <c r="DA349" s="357"/>
      <c r="DB349" s="357"/>
      <c r="DC349" s="357"/>
      <c r="DD349" s="357"/>
      <c r="DE349" s="357"/>
      <c r="DF349" s="357"/>
      <c r="DG349" s="357"/>
      <c r="DH349" s="357"/>
      <c r="DI349" s="357"/>
      <c r="DJ349" s="357"/>
      <c r="DK349" s="357"/>
      <c r="DL349" s="357"/>
      <c r="DM349" s="357"/>
      <c r="DN349" s="357"/>
      <c r="DO349" s="357"/>
      <c r="DP349" s="357"/>
      <c r="DQ349" s="357"/>
      <c r="DR349" s="357"/>
      <c r="DS349" s="357"/>
      <c r="DT349" s="357"/>
      <c r="DU349" s="357"/>
      <c r="DV349" s="357"/>
      <c r="DW349" s="357"/>
      <c r="DX349" s="357"/>
      <c r="DY349" s="357"/>
      <c r="DZ349" s="357"/>
      <c r="EA349" s="357"/>
      <c r="EB349" s="357"/>
      <c r="EC349" s="357"/>
      <c r="ED349" s="357"/>
      <c r="EE349" s="357"/>
      <c r="EF349" s="357"/>
      <c r="EG349" s="357"/>
      <c r="EH349" s="357"/>
      <c r="EI349" s="357"/>
      <c r="EJ349" s="357"/>
      <c r="EK349" s="357"/>
      <c r="EL349" s="357"/>
      <c r="EM349" s="357"/>
      <c r="EN349" s="357"/>
      <c r="EO349" s="357"/>
      <c r="EP349" s="357"/>
      <c r="EQ349" s="357"/>
      <c r="ER349" s="357"/>
      <c r="ES349" s="357"/>
      <c r="ET349" s="357"/>
      <c r="EU349" s="357"/>
      <c r="EV349" s="357"/>
      <c r="EW349" s="357"/>
      <c r="EX349" s="357"/>
      <c r="EY349" s="357"/>
      <c r="EZ349" s="357"/>
      <c r="FA349" s="357"/>
      <c r="FB349" s="357"/>
      <c r="FC349" s="357"/>
      <c r="FD349" s="357"/>
      <c r="FE349" s="357"/>
      <c r="FF349" s="357"/>
      <c r="FG349" s="357"/>
      <c r="FH349" s="357"/>
      <c r="FI349" s="357"/>
      <c r="FJ349" s="357"/>
      <c r="FK349" s="357"/>
      <c r="FL349" s="357"/>
      <c r="FM349" s="357"/>
      <c r="FN349" s="357"/>
      <c r="FO349" s="357"/>
      <c r="FP349" s="357"/>
      <c r="FQ349" s="357"/>
      <c r="FR349" s="357"/>
      <c r="FS349" s="357"/>
      <c r="FT349" s="357"/>
      <c r="FU349" s="357"/>
      <c r="FV349" s="357"/>
      <c r="FW349" s="357"/>
      <c r="FX349" s="357"/>
      <c r="FY349" s="357"/>
      <c r="FZ349" s="357"/>
      <c r="GA349" s="357"/>
      <c r="GB349" s="357"/>
      <c r="GC349" s="357"/>
      <c r="GD349" s="357"/>
      <c r="GE349" s="357"/>
      <c r="GF349" s="357"/>
      <c r="GG349" s="357"/>
      <c r="GH349" s="357"/>
      <c r="GI349" s="357"/>
      <c r="GJ349" s="357"/>
    </row>
    <row r="350" spans="26:192">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357"/>
      <c r="BB350" s="357"/>
      <c r="BC350" s="357"/>
      <c r="BD350" s="357"/>
      <c r="BE350" s="357"/>
      <c r="BF350" s="357"/>
      <c r="BG350" s="357"/>
      <c r="BH350" s="357"/>
      <c r="BI350" s="357"/>
      <c r="BJ350" s="357"/>
      <c r="BK350" s="357"/>
      <c r="BL350" s="357"/>
      <c r="BM350" s="357"/>
      <c r="BN350" s="357"/>
      <c r="BO350" s="357"/>
      <c r="BP350" s="357"/>
      <c r="BQ350" s="357"/>
      <c r="BR350" s="357"/>
      <c r="BS350" s="357"/>
      <c r="BT350" s="357"/>
      <c r="BU350" s="357"/>
      <c r="BV350" s="357"/>
      <c r="BW350" s="357"/>
      <c r="BX350" s="357"/>
      <c r="BY350" s="357"/>
      <c r="BZ350" s="357"/>
      <c r="CA350" s="357"/>
      <c r="CB350" s="357"/>
      <c r="CC350" s="357"/>
      <c r="CD350" s="357"/>
      <c r="CE350" s="357"/>
      <c r="CF350" s="357"/>
      <c r="CG350" s="357"/>
      <c r="CH350" s="357"/>
      <c r="CI350" s="357"/>
      <c r="CJ350" s="357"/>
      <c r="CK350" s="357"/>
      <c r="CL350" s="357"/>
      <c r="CM350" s="357"/>
      <c r="CN350" s="357"/>
      <c r="CO350" s="357"/>
      <c r="CP350" s="357"/>
      <c r="CQ350" s="357"/>
      <c r="CR350" s="357"/>
      <c r="CS350" s="357"/>
      <c r="CT350" s="357"/>
      <c r="CU350" s="357"/>
      <c r="CV350" s="357"/>
      <c r="CW350" s="357"/>
      <c r="CX350" s="357"/>
      <c r="CY350" s="357"/>
      <c r="CZ350" s="357"/>
      <c r="DA350" s="357"/>
      <c r="DB350" s="357"/>
      <c r="DC350" s="357"/>
      <c r="DD350" s="357"/>
      <c r="DE350" s="357"/>
      <c r="DF350" s="357"/>
      <c r="DG350" s="357"/>
      <c r="DH350" s="357"/>
      <c r="DI350" s="357"/>
      <c r="DJ350" s="357"/>
      <c r="DK350" s="357"/>
      <c r="DL350" s="357"/>
      <c r="DM350" s="357"/>
      <c r="DN350" s="357"/>
      <c r="DO350" s="357"/>
      <c r="DP350" s="357"/>
      <c r="DQ350" s="357"/>
      <c r="DR350" s="357"/>
      <c r="DS350" s="357"/>
      <c r="DT350" s="357"/>
      <c r="DU350" s="357"/>
      <c r="DV350" s="357"/>
      <c r="DW350" s="357"/>
      <c r="DX350" s="357"/>
      <c r="DY350" s="357"/>
      <c r="DZ350" s="357"/>
      <c r="EA350" s="357"/>
      <c r="EB350" s="357"/>
      <c r="EC350" s="357"/>
      <c r="ED350" s="357"/>
      <c r="EE350" s="357"/>
      <c r="EF350" s="357"/>
      <c r="EG350" s="357"/>
      <c r="EH350" s="357"/>
      <c r="EI350" s="357"/>
      <c r="EJ350" s="357"/>
      <c r="EK350" s="357"/>
      <c r="EL350" s="357"/>
      <c r="EM350" s="357"/>
      <c r="EN350" s="357"/>
      <c r="EO350" s="357"/>
      <c r="EP350" s="357"/>
      <c r="EQ350" s="357"/>
      <c r="ER350" s="357"/>
      <c r="ES350" s="357"/>
      <c r="ET350" s="357"/>
      <c r="EU350" s="357"/>
      <c r="EV350" s="357"/>
      <c r="EW350" s="357"/>
      <c r="EX350" s="357"/>
      <c r="EY350" s="357"/>
      <c r="EZ350" s="357"/>
      <c r="FA350" s="357"/>
      <c r="FB350" s="357"/>
      <c r="FC350" s="357"/>
      <c r="FD350" s="357"/>
      <c r="FE350" s="357"/>
      <c r="FF350" s="357"/>
      <c r="FG350" s="357"/>
      <c r="FH350" s="357"/>
      <c r="FI350" s="357"/>
      <c r="FJ350" s="357"/>
      <c r="FK350" s="357"/>
      <c r="FL350" s="357"/>
      <c r="FM350" s="357"/>
      <c r="FN350" s="357"/>
      <c r="FO350" s="357"/>
      <c r="FP350" s="357"/>
      <c r="FQ350" s="357"/>
      <c r="FR350" s="357"/>
      <c r="FS350" s="357"/>
      <c r="FT350" s="357"/>
      <c r="FU350" s="357"/>
      <c r="FV350" s="357"/>
      <c r="FW350" s="357"/>
      <c r="FX350" s="357"/>
      <c r="FY350" s="357"/>
      <c r="FZ350" s="357"/>
      <c r="GA350" s="357"/>
      <c r="GB350" s="357"/>
      <c r="GC350" s="357"/>
      <c r="GD350" s="357"/>
      <c r="GE350" s="357"/>
      <c r="GF350" s="357"/>
      <c r="GG350" s="357"/>
      <c r="GH350" s="357"/>
      <c r="GI350" s="357"/>
      <c r="GJ350" s="357"/>
    </row>
    <row r="351" spans="26:192">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357"/>
      <c r="BB351" s="357"/>
      <c r="BC351" s="357"/>
      <c r="BD351" s="357"/>
      <c r="BE351" s="357"/>
      <c r="BF351" s="357"/>
      <c r="BG351" s="357"/>
      <c r="BH351" s="357"/>
      <c r="BI351" s="357"/>
      <c r="BJ351" s="357"/>
      <c r="BK351" s="357"/>
      <c r="BL351" s="357"/>
      <c r="BM351" s="357"/>
      <c r="BN351" s="357"/>
      <c r="BO351" s="357"/>
      <c r="BP351" s="357"/>
      <c r="BQ351" s="357"/>
      <c r="BR351" s="357"/>
      <c r="BS351" s="357"/>
      <c r="BT351" s="357"/>
      <c r="BU351" s="357"/>
      <c r="BV351" s="357"/>
      <c r="BW351" s="357"/>
      <c r="BX351" s="357"/>
      <c r="BY351" s="357"/>
      <c r="BZ351" s="357"/>
      <c r="CA351" s="357"/>
      <c r="CB351" s="357"/>
      <c r="CC351" s="357"/>
      <c r="CD351" s="357"/>
      <c r="CE351" s="357"/>
      <c r="CF351" s="357"/>
      <c r="CG351" s="357"/>
      <c r="CH351" s="357"/>
      <c r="CI351" s="357"/>
      <c r="CJ351" s="357"/>
      <c r="CK351" s="357"/>
      <c r="CL351" s="357"/>
      <c r="CM351" s="357"/>
      <c r="CN351" s="357"/>
      <c r="CO351" s="357"/>
      <c r="CP351" s="357"/>
      <c r="CQ351" s="357"/>
      <c r="CR351" s="357"/>
      <c r="CS351" s="357"/>
      <c r="CT351" s="357"/>
      <c r="CU351" s="357"/>
      <c r="CV351" s="357"/>
      <c r="CW351" s="357"/>
      <c r="CX351" s="357"/>
      <c r="CY351" s="357"/>
      <c r="CZ351" s="357"/>
      <c r="DA351" s="357"/>
      <c r="DB351" s="357"/>
      <c r="DC351" s="357"/>
      <c r="DD351" s="357"/>
      <c r="DE351" s="357"/>
      <c r="DF351" s="357"/>
      <c r="DG351" s="357"/>
      <c r="DH351" s="357"/>
      <c r="DI351" s="357"/>
      <c r="DJ351" s="357"/>
      <c r="DK351" s="357"/>
      <c r="DL351" s="357"/>
      <c r="DM351" s="357"/>
      <c r="DN351" s="357"/>
      <c r="DO351" s="357"/>
      <c r="DP351" s="357"/>
      <c r="DQ351" s="357"/>
      <c r="DR351" s="357"/>
      <c r="DS351" s="357"/>
      <c r="DT351" s="357"/>
      <c r="DU351" s="357"/>
      <c r="DV351" s="357"/>
      <c r="DW351" s="357"/>
      <c r="DX351" s="357"/>
      <c r="DY351" s="357"/>
      <c r="DZ351" s="357"/>
      <c r="EA351" s="357"/>
      <c r="EB351" s="357"/>
      <c r="EC351" s="357"/>
      <c r="ED351" s="357"/>
      <c r="EE351" s="357"/>
      <c r="EF351" s="357"/>
      <c r="EG351" s="357"/>
      <c r="EH351" s="357"/>
      <c r="EI351" s="357"/>
      <c r="EJ351" s="357"/>
      <c r="EK351" s="357"/>
      <c r="EL351" s="357"/>
      <c r="EM351" s="357"/>
      <c r="EN351" s="357"/>
      <c r="EO351" s="357"/>
      <c r="EP351" s="357"/>
      <c r="EQ351" s="357"/>
      <c r="ER351" s="357"/>
      <c r="ES351" s="357"/>
      <c r="ET351" s="357"/>
      <c r="EU351" s="357"/>
      <c r="EV351" s="357"/>
      <c r="EW351" s="357"/>
      <c r="EX351" s="357"/>
      <c r="EY351" s="357"/>
      <c r="EZ351" s="357"/>
      <c r="FA351" s="357"/>
      <c r="FB351" s="357"/>
      <c r="FC351" s="357"/>
      <c r="FD351" s="357"/>
      <c r="FE351" s="357"/>
      <c r="FF351" s="357"/>
      <c r="FG351" s="357"/>
      <c r="FH351" s="357"/>
      <c r="FI351" s="357"/>
      <c r="FJ351" s="357"/>
      <c r="FK351" s="357"/>
      <c r="FL351" s="357"/>
      <c r="FM351" s="357"/>
      <c r="FN351" s="357"/>
      <c r="FO351" s="357"/>
      <c r="FP351" s="357"/>
      <c r="FQ351" s="357"/>
      <c r="FR351" s="357"/>
      <c r="FS351" s="357"/>
      <c r="FT351" s="357"/>
      <c r="FU351" s="357"/>
      <c r="FV351" s="357"/>
      <c r="FW351" s="357"/>
      <c r="FX351" s="357"/>
      <c r="FY351" s="357"/>
      <c r="FZ351" s="357"/>
      <c r="GA351" s="357"/>
      <c r="GB351" s="357"/>
      <c r="GC351" s="357"/>
      <c r="GD351" s="357"/>
      <c r="GE351" s="357"/>
      <c r="GF351" s="357"/>
      <c r="GG351" s="357"/>
      <c r="GH351" s="357"/>
      <c r="GI351" s="357"/>
      <c r="GJ351" s="357"/>
    </row>
    <row r="352" spans="26:192">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357"/>
      <c r="BB352" s="357"/>
      <c r="BC352" s="357"/>
      <c r="BD352" s="357"/>
      <c r="BE352" s="357"/>
      <c r="BF352" s="357"/>
      <c r="BG352" s="357"/>
      <c r="BH352" s="357"/>
      <c r="BI352" s="357"/>
      <c r="BJ352" s="357"/>
      <c r="BK352" s="357"/>
      <c r="BL352" s="357"/>
      <c r="BM352" s="357"/>
      <c r="BN352" s="357"/>
      <c r="BO352" s="357"/>
      <c r="BP352" s="357"/>
      <c r="BQ352" s="357"/>
      <c r="BR352" s="357"/>
      <c r="BS352" s="357"/>
      <c r="BT352" s="357"/>
      <c r="BU352" s="357"/>
      <c r="BV352" s="357"/>
      <c r="BW352" s="357"/>
      <c r="BX352" s="357"/>
      <c r="BY352" s="357"/>
      <c r="BZ352" s="357"/>
      <c r="CA352" s="357"/>
      <c r="CB352" s="357"/>
      <c r="CC352" s="357"/>
      <c r="CD352" s="357"/>
      <c r="CE352" s="357"/>
      <c r="CF352" s="357"/>
      <c r="CG352" s="357"/>
      <c r="CH352" s="357"/>
      <c r="CI352" s="357"/>
      <c r="CJ352" s="357"/>
      <c r="CK352" s="357"/>
      <c r="CL352" s="357"/>
      <c r="CM352" s="357"/>
      <c r="CN352" s="357"/>
      <c r="CO352" s="357"/>
      <c r="CP352" s="357"/>
      <c r="CQ352" s="357"/>
      <c r="CR352" s="357"/>
      <c r="CS352" s="357"/>
      <c r="CT352" s="357"/>
      <c r="CU352" s="357"/>
      <c r="CV352" s="357"/>
      <c r="CW352" s="357"/>
      <c r="CX352" s="357"/>
      <c r="CY352" s="357"/>
      <c r="CZ352" s="357"/>
      <c r="DA352" s="357"/>
      <c r="DB352" s="357"/>
      <c r="DC352" s="357"/>
      <c r="DD352" s="357"/>
      <c r="DE352" s="357"/>
      <c r="DF352" s="357"/>
      <c r="DG352" s="357"/>
      <c r="DH352" s="357"/>
      <c r="DI352" s="357"/>
      <c r="DJ352" s="357"/>
      <c r="DK352" s="357"/>
      <c r="DL352" s="357"/>
      <c r="DM352" s="357"/>
      <c r="DN352" s="357"/>
      <c r="DO352" s="357"/>
      <c r="DP352" s="357"/>
      <c r="DQ352" s="357"/>
      <c r="DR352" s="357"/>
      <c r="DS352" s="357"/>
      <c r="DT352" s="357"/>
      <c r="DU352" s="357"/>
      <c r="DV352" s="357"/>
      <c r="DW352" s="357"/>
      <c r="DX352" s="357"/>
      <c r="DY352" s="357"/>
      <c r="DZ352" s="357"/>
      <c r="EA352" s="357"/>
      <c r="EB352" s="357"/>
      <c r="EC352" s="357"/>
      <c r="ED352" s="357"/>
      <c r="EE352" s="357"/>
      <c r="EF352" s="357"/>
      <c r="EG352" s="357"/>
      <c r="EH352" s="357"/>
      <c r="EI352" s="357"/>
      <c r="EJ352" s="357"/>
      <c r="EK352" s="357"/>
      <c r="EL352" s="357"/>
      <c r="EM352" s="357"/>
      <c r="EN352" s="357"/>
      <c r="EO352" s="357"/>
      <c r="EP352" s="357"/>
      <c r="EQ352" s="357"/>
      <c r="ER352" s="357"/>
      <c r="ES352" s="357"/>
      <c r="ET352" s="357"/>
      <c r="EU352" s="357"/>
      <c r="EV352" s="357"/>
      <c r="EW352" s="357"/>
      <c r="EX352" s="357"/>
      <c r="EY352" s="357"/>
      <c r="EZ352" s="357"/>
      <c r="FA352" s="357"/>
      <c r="FB352" s="357"/>
      <c r="FC352" s="357"/>
      <c r="FD352" s="357"/>
      <c r="FE352" s="357"/>
      <c r="FF352" s="357"/>
      <c r="FG352" s="357"/>
      <c r="FH352" s="357"/>
      <c r="FI352" s="357"/>
      <c r="FJ352" s="357"/>
      <c r="FK352" s="357"/>
      <c r="FL352" s="357"/>
      <c r="FM352" s="357"/>
      <c r="FN352" s="357"/>
      <c r="FO352" s="357"/>
      <c r="FP352" s="357"/>
      <c r="FQ352" s="357"/>
      <c r="FR352" s="357"/>
      <c r="FS352" s="357"/>
      <c r="FT352" s="357"/>
      <c r="FU352" s="357"/>
      <c r="FV352" s="357"/>
      <c r="FW352" s="357"/>
      <c r="FX352" s="357"/>
      <c r="FY352" s="357"/>
      <c r="FZ352" s="357"/>
      <c r="GA352" s="357"/>
      <c r="GB352" s="357"/>
      <c r="GC352" s="357"/>
      <c r="GD352" s="357"/>
      <c r="GE352" s="357"/>
      <c r="GF352" s="357"/>
      <c r="GG352" s="357"/>
      <c r="GH352" s="357"/>
      <c r="GI352" s="357"/>
      <c r="GJ352" s="357"/>
    </row>
    <row r="353" spans="26:192">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357"/>
      <c r="BB353" s="357"/>
      <c r="BC353" s="357"/>
      <c r="BD353" s="357"/>
      <c r="BE353" s="357"/>
      <c r="BF353" s="357"/>
      <c r="BG353" s="357"/>
      <c r="BH353" s="357"/>
      <c r="BI353" s="357"/>
      <c r="BJ353" s="357"/>
      <c r="BK353" s="357"/>
      <c r="BL353" s="357"/>
      <c r="BM353" s="357"/>
      <c r="BN353" s="357"/>
      <c r="BO353" s="357"/>
      <c r="BP353" s="357"/>
      <c r="BQ353" s="357"/>
      <c r="BR353" s="357"/>
      <c r="BS353" s="357"/>
      <c r="BT353" s="357"/>
      <c r="BU353" s="357"/>
      <c r="BV353" s="357"/>
      <c r="BW353" s="357"/>
      <c r="BX353" s="357"/>
      <c r="BY353" s="357"/>
      <c r="BZ353" s="357"/>
      <c r="CA353" s="357"/>
      <c r="CB353" s="357"/>
      <c r="CC353" s="357"/>
      <c r="CD353" s="357"/>
      <c r="CE353" s="357"/>
      <c r="CF353" s="357"/>
      <c r="CG353" s="357"/>
      <c r="CH353" s="357"/>
      <c r="CI353" s="357"/>
      <c r="CJ353" s="357"/>
      <c r="CK353" s="357"/>
      <c r="CL353" s="357"/>
      <c r="CM353" s="357"/>
      <c r="CN353" s="357"/>
      <c r="CO353" s="357"/>
      <c r="CP353" s="357"/>
      <c r="CQ353" s="357"/>
      <c r="CR353" s="357"/>
      <c r="CS353" s="357"/>
      <c r="CT353" s="357"/>
      <c r="CU353" s="357"/>
      <c r="CV353" s="357"/>
      <c r="CW353" s="357"/>
      <c r="CX353" s="357"/>
      <c r="CY353" s="357"/>
      <c r="CZ353" s="357"/>
      <c r="DA353" s="357"/>
      <c r="DB353" s="357"/>
      <c r="DC353" s="357"/>
      <c r="DD353" s="357"/>
      <c r="DE353" s="357"/>
      <c r="DF353" s="357"/>
      <c r="DG353" s="357"/>
      <c r="DH353" s="357"/>
      <c r="DI353" s="357"/>
      <c r="DJ353" s="357"/>
      <c r="DK353" s="357"/>
      <c r="DL353" s="357"/>
      <c r="DM353" s="357"/>
      <c r="DN353" s="357"/>
      <c r="DO353" s="357"/>
      <c r="DP353" s="357"/>
      <c r="DQ353" s="357"/>
      <c r="DR353" s="357"/>
      <c r="DS353" s="357"/>
      <c r="DT353" s="357"/>
      <c r="DU353" s="357"/>
      <c r="DV353" s="357"/>
      <c r="DW353" s="357"/>
      <c r="DX353" s="357"/>
      <c r="DY353" s="357"/>
      <c r="DZ353" s="357"/>
      <c r="EA353" s="357"/>
      <c r="EB353" s="357"/>
      <c r="EC353" s="357"/>
      <c r="ED353" s="357"/>
      <c r="EE353" s="357"/>
      <c r="EF353" s="357"/>
      <c r="EG353" s="357"/>
      <c r="EH353" s="357"/>
      <c r="EI353" s="357"/>
      <c r="EJ353" s="357"/>
      <c r="EK353" s="357"/>
      <c r="EL353" s="357"/>
      <c r="EM353" s="357"/>
      <c r="EN353" s="357"/>
      <c r="EO353" s="357"/>
      <c r="EP353" s="357"/>
      <c r="EQ353" s="357"/>
      <c r="ER353" s="357"/>
      <c r="ES353" s="357"/>
      <c r="ET353" s="357"/>
      <c r="EU353" s="357"/>
      <c r="EV353" s="357"/>
      <c r="EW353" s="357"/>
      <c r="EX353" s="357"/>
      <c r="EY353" s="357"/>
      <c r="EZ353" s="357"/>
      <c r="FA353" s="357"/>
      <c r="FB353" s="357"/>
      <c r="FC353" s="357"/>
      <c r="FD353" s="357"/>
      <c r="FE353" s="357"/>
      <c r="FF353" s="357"/>
      <c r="FG353" s="357"/>
      <c r="FH353" s="357"/>
      <c r="FI353" s="357"/>
      <c r="FJ353" s="357"/>
      <c r="FK353" s="357"/>
      <c r="FL353" s="357"/>
      <c r="FM353" s="357"/>
      <c r="FN353" s="357"/>
      <c r="FO353" s="357"/>
      <c r="FP353" s="357"/>
      <c r="FQ353" s="357"/>
      <c r="FR353" s="357"/>
      <c r="FS353" s="357"/>
      <c r="FT353" s="357"/>
      <c r="FU353" s="357"/>
      <c r="FV353" s="357"/>
      <c r="FW353" s="357"/>
      <c r="FX353" s="357"/>
      <c r="FY353" s="357"/>
      <c r="FZ353" s="357"/>
      <c r="GA353" s="357"/>
      <c r="GB353" s="357"/>
      <c r="GC353" s="357"/>
      <c r="GD353" s="357"/>
      <c r="GE353" s="357"/>
      <c r="GF353" s="357"/>
      <c r="GG353" s="357"/>
      <c r="GH353" s="357"/>
      <c r="GI353" s="357"/>
      <c r="GJ353" s="357"/>
    </row>
    <row r="354" spans="26:192">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357"/>
      <c r="BB354" s="357"/>
      <c r="BC354" s="357"/>
      <c r="BD354" s="357"/>
      <c r="BE354" s="357"/>
      <c r="BF354" s="357"/>
      <c r="BG354" s="357"/>
      <c r="BH354" s="357"/>
      <c r="BI354" s="357"/>
      <c r="BJ354" s="357"/>
      <c r="BK354" s="357"/>
      <c r="BL354" s="357"/>
      <c r="BM354" s="357"/>
      <c r="BN354" s="357"/>
      <c r="BO354" s="357"/>
      <c r="BP354" s="357"/>
      <c r="BQ354" s="357"/>
      <c r="BR354" s="357"/>
      <c r="BS354" s="357"/>
      <c r="BT354" s="357"/>
      <c r="BU354" s="357"/>
      <c r="BV354" s="357"/>
      <c r="BW354" s="357"/>
      <c r="BX354" s="357"/>
      <c r="BY354" s="357"/>
      <c r="BZ354" s="357"/>
      <c r="CA354" s="357"/>
      <c r="CB354" s="357"/>
      <c r="CC354" s="357"/>
      <c r="CD354" s="357"/>
      <c r="CE354" s="357"/>
      <c r="CF354" s="357"/>
      <c r="CG354" s="357"/>
      <c r="CH354" s="357"/>
      <c r="CI354" s="357"/>
      <c r="CJ354" s="357"/>
      <c r="CK354" s="357"/>
      <c r="CL354" s="357"/>
      <c r="CM354" s="357"/>
      <c r="CN354" s="357"/>
      <c r="CO354" s="357"/>
      <c r="CP354" s="357"/>
      <c r="CQ354" s="357"/>
      <c r="CR354" s="357"/>
      <c r="CS354" s="357"/>
      <c r="CT354" s="357"/>
      <c r="CU354" s="357"/>
      <c r="CV354" s="357"/>
      <c r="CW354" s="357"/>
      <c r="CX354" s="357"/>
      <c r="CY354" s="357"/>
      <c r="CZ354" s="357"/>
      <c r="DA354" s="357"/>
      <c r="DB354" s="357"/>
      <c r="DC354" s="357"/>
      <c r="DD354" s="357"/>
      <c r="DE354" s="357"/>
      <c r="DF354" s="357"/>
      <c r="DG354" s="357"/>
      <c r="DH354" s="357"/>
      <c r="DI354" s="357"/>
      <c r="DJ354" s="357"/>
      <c r="DK354" s="357"/>
      <c r="DL354" s="357"/>
      <c r="DM354" s="357"/>
      <c r="DN354" s="357"/>
      <c r="DO354" s="357"/>
      <c r="DP354" s="357"/>
      <c r="DQ354" s="357"/>
      <c r="DR354" s="357"/>
      <c r="DS354" s="357"/>
      <c r="DT354" s="357"/>
      <c r="DU354" s="357"/>
      <c r="DV354" s="357"/>
      <c r="DW354" s="357"/>
      <c r="DX354" s="357"/>
      <c r="DY354" s="357"/>
      <c r="DZ354" s="357"/>
      <c r="EA354" s="357"/>
      <c r="EB354" s="357"/>
      <c r="EC354" s="357"/>
      <c r="ED354" s="357"/>
      <c r="EE354" s="357"/>
      <c r="EF354" s="357"/>
      <c r="EG354" s="357"/>
      <c r="EH354" s="357"/>
      <c r="EI354" s="357"/>
      <c r="EJ354" s="357"/>
      <c r="EK354" s="357"/>
      <c r="EL354" s="357"/>
      <c r="EM354" s="357"/>
      <c r="EN354" s="357"/>
      <c r="EO354" s="357"/>
      <c r="EP354" s="357"/>
      <c r="EQ354" s="357"/>
      <c r="ER354" s="357"/>
      <c r="ES354" s="357"/>
      <c r="ET354" s="357"/>
      <c r="EU354" s="357"/>
      <c r="EV354" s="357"/>
      <c r="EW354" s="357"/>
      <c r="EX354" s="357"/>
      <c r="EY354" s="357"/>
      <c r="EZ354" s="357"/>
      <c r="FA354" s="357"/>
      <c r="FB354" s="357"/>
      <c r="FC354" s="357"/>
      <c r="FD354" s="357"/>
      <c r="FE354" s="357"/>
      <c r="FF354" s="357"/>
      <c r="FG354" s="357"/>
      <c r="FH354" s="357"/>
      <c r="FI354" s="357"/>
      <c r="FJ354" s="357"/>
      <c r="FK354" s="357"/>
      <c r="FL354" s="357"/>
      <c r="FM354" s="357"/>
      <c r="FN354" s="357"/>
      <c r="FO354" s="357"/>
      <c r="FP354" s="357"/>
      <c r="FQ354" s="357"/>
      <c r="FR354" s="357"/>
      <c r="FS354" s="357"/>
      <c r="FT354" s="357"/>
      <c r="FU354" s="357"/>
      <c r="FV354" s="357"/>
      <c r="FW354" s="357"/>
      <c r="FX354" s="357"/>
      <c r="FY354" s="357"/>
      <c r="FZ354" s="357"/>
      <c r="GA354" s="357"/>
      <c r="GB354" s="357"/>
      <c r="GC354" s="357"/>
      <c r="GD354" s="357"/>
      <c r="GE354" s="357"/>
      <c r="GF354" s="357"/>
      <c r="GG354" s="357"/>
      <c r="GH354" s="357"/>
      <c r="GI354" s="357"/>
      <c r="GJ354" s="357"/>
    </row>
    <row r="355" spans="26:192">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57"/>
      <c r="BB355" s="357"/>
      <c r="BC355" s="357"/>
      <c r="BD355" s="357"/>
      <c r="BE355" s="357"/>
      <c r="BF355" s="357"/>
      <c r="BG355" s="357"/>
      <c r="BH355" s="357"/>
      <c r="BI355" s="357"/>
      <c r="BJ355" s="357"/>
      <c r="BK355" s="357"/>
      <c r="BL355" s="357"/>
      <c r="BM355" s="357"/>
      <c r="BN355" s="357"/>
      <c r="BO355" s="357"/>
      <c r="BP355" s="357"/>
      <c r="BQ355" s="357"/>
      <c r="BR355" s="357"/>
      <c r="BS355" s="357"/>
      <c r="BT355" s="357"/>
      <c r="BU355" s="357"/>
      <c r="BV355" s="357"/>
      <c r="BW355" s="357"/>
      <c r="BX355" s="357"/>
      <c r="BY355" s="357"/>
      <c r="BZ355" s="357"/>
      <c r="CA355" s="357"/>
      <c r="CB355" s="357"/>
      <c r="CC355" s="357"/>
      <c r="CD355" s="357"/>
      <c r="CE355" s="357"/>
      <c r="CF355" s="357"/>
      <c r="CG355" s="357"/>
      <c r="CH355" s="357"/>
      <c r="CI355" s="357"/>
      <c r="CJ355" s="357"/>
      <c r="CK355" s="357"/>
      <c r="CL355" s="357"/>
      <c r="CM355" s="357"/>
      <c r="CN355" s="357"/>
      <c r="CO355" s="357"/>
      <c r="CP355" s="357"/>
      <c r="CQ355" s="357"/>
      <c r="CR355" s="357"/>
      <c r="CS355" s="357"/>
      <c r="CT355" s="357"/>
      <c r="CU355" s="357"/>
      <c r="CV355" s="357"/>
      <c r="CW355" s="357"/>
      <c r="CX355" s="357"/>
      <c r="CY355" s="357"/>
      <c r="CZ355" s="357"/>
      <c r="DA355" s="357"/>
      <c r="DB355" s="357"/>
      <c r="DC355" s="357"/>
      <c r="DD355" s="357"/>
      <c r="DE355" s="357"/>
      <c r="DF355" s="357"/>
      <c r="DG355" s="357"/>
      <c r="DH355" s="357"/>
      <c r="DI355" s="357"/>
      <c r="DJ355" s="357"/>
      <c r="DK355" s="357"/>
      <c r="DL355" s="357"/>
      <c r="DM355" s="357"/>
      <c r="DN355" s="357"/>
      <c r="DO355" s="357"/>
      <c r="DP355" s="357"/>
      <c r="DQ355" s="357"/>
      <c r="DR355" s="357"/>
      <c r="DS355" s="357"/>
      <c r="DT355" s="357"/>
      <c r="DU355" s="357"/>
      <c r="DV355" s="357"/>
      <c r="DW355" s="357"/>
      <c r="DX355" s="357"/>
      <c r="DY355" s="357"/>
      <c r="DZ355" s="357"/>
      <c r="EA355" s="357"/>
      <c r="EB355" s="357"/>
      <c r="EC355" s="357"/>
      <c r="ED355" s="357"/>
      <c r="EE355" s="357"/>
      <c r="EF355" s="357"/>
      <c r="EG355" s="357"/>
      <c r="EH355" s="357"/>
      <c r="EI355" s="357"/>
      <c r="EJ355" s="357"/>
      <c r="EK355" s="357"/>
      <c r="EL355" s="357"/>
      <c r="EM355" s="357"/>
      <c r="EN355" s="357"/>
      <c r="EO355" s="357"/>
      <c r="EP355" s="357"/>
      <c r="EQ355" s="357"/>
      <c r="ER355" s="357"/>
      <c r="ES355" s="357"/>
      <c r="ET355" s="357"/>
      <c r="EU355" s="357"/>
      <c r="EV355" s="357"/>
      <c r="EW355" s="357"/>
      <c r="EX355" s="357"/>
      <c r="EY355" s="357"/>
      <c r="EZ355" s="357"/>
      <c r="FA355" s="357"/>
      <c r="FB355" s="357"/>
      <c r="FC355" s="357"/>
      <c r="FD355" s="357"/>
      <c r="FE355" s="357"/>
      <c r="FF355" s="357"/>
      <c r="FG355" s="357"/>
      <c r="FH355" s="357"/>
      <c r="FI355" s="357"/>
      <c r="FJ355" s="357"/>
      <c r="FK355" s="357"/>
      <c r="FL355" s="357"/>
      <c r="FM355" s="357"/>
      <c r="FN355" s="357"/>
      <c r="FO355" s="357"/>
      <c r="FP355" s="357"/>
      <c r="FQ355" s="357"/>
      <c r="FR355" s="357"/>
      <c r="FS355" s="357"/>
      <c r="FT355" s="357"/>
      <c r="FU355" s="357"/>
      <c r="FV355" s="357"/>
      <c r="FW355" s="357"/>
      <c r="FX355" s="357"/>
      <c r="FY355" s="357"/>
      <c r="FZ355" s="357"/>
      <c r="GA355" s="357"/>
      <c r="GB355" s="357"/>
      <c r="GC355" s="357"/>
      <c r="GD355" s="357"/>
      <c r="GE355" s="357"/>
      <c r="GF355" s="357"/>
      <c r="GG355" s="357"/>
      <c r="GH355" s="357"/>
      <c r="GI355" s="357"/>
      <c r="GJ355" s="357"/>
    </row>
    <row r="356" spans="26:192">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57"/>
      <c r="BB356" s="357"/>
      <c r="BC356" s="357"/>
      <c r="BD356" s="357"/>
      <c r="BE356" s="357"/>
      <c r="BF356" s="357"/>
      <c r="BG356" s="357"/>
      <c r="BH356" s="357"/>
      <c r="BI356" s="357"/>
      <c r="BJ356" s="357"/>
      <c r="BK356" s="357"/>
      <c r="BL356" s="357"/>
      <c r="BM356" s="357"/>
      <c r="BN356" s="357"/>
      <c r="BO356" s="357"/>
      <c r="BP356" s="357"/>
      <c r="BQ356" s="357"/>
      <c r="BR356" s="357"/>
      <c r="BS356" s="357"/>
      <c r="BT356" s="357"/>
      <c r="BU356" s="357"/>
      <c r="BV356" s="357"/>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c r="DA356" s="357"/>
      <c r="DB356" s="357"/>
      <c r="DC356" s="357"/>
      <c r="DD356" s="357"/>
      <c r="DE356" s="357"/>
      <c r="DF356" s="357"/>
      <c r="DG356" s="357"/>
      <c r="DH356" s="357"/>
      <c r="DI356" s="357"/>
      <c r="DJ356" s="357"/>
      <c r="DK356" s="357"/>
      <c r="DL356" s="357"/>
      <c r="DM356" s="357"/>
      <c r="DN356" s="357"/>
      <c r="DO356" s="357"/>
      <c r="DP356" s="357"/>
      <c r="DQ356" s="357"/>
      <c r="DR356" s="357"/>
      <c r="DS356" s="357"/>
      <c r="DT356" s="357"/>
      <c r="DU356" s="357"/>
      <c r="DV356" s="357"/>
      <c r="DW356" s="357"/>
      <c r="DX356" s="357"/>
      <c r="DY356" s="357"/>
      <c r="DZ356" s="357"/>
      <c r="EA356" s="357"/>
      <c r="EB356" s="357"/>
      <c r="EC356" s="357"/>
      <c r="ED356" s="357"/>
      <c r="EE356" s="357"/>
      <c r="EF356" s="357"/>
      <c r="EG356" s="357"/>
      <c r="EH356" s="357"/>
      <c r="EI356" s="357"/>
      <c r="EJ356" s="357"/>
      <c r="EK356" s="357"/>
      <c r="EL356" s="357"/>
      <c r="EM356" s="357"/>
      <c r="EN356" s="357"/>
      <c r="EO356" s="357"/>
      <c r="EP356" s="357"/>
      <c r="EQ356" s="357"/>
      <c r="ER356" s="357"/>
      <c r="ES356" s="357"/>
      <c r="ET356" s="357"/>
      <c r="EU356" s="357"/>
      <c r="EV356" s="357"/>
      <c r="EW356" s="357"/>
      <c r="EX356" s="357"/>
      <c r="EY356" s="357"/>
      <c r="EZ356" s="357"/>
      <c r="FA356" s="357"/>
      <c r="FB356" s="357"/>
      <c r="FC356" s="357"/>
      <c r="FD356" s="357"/>
      <c r="FE356" s="357"/>
      <c r="FF356" s="357"/>
      <c r="FG356" s="357"/>
      <c r="FH356" s="357"/>
      <c r="FI356" s="357"/>
      <c r="FJ356" s="357"/>
      <c r="FK356" s="357"/>
      <c r="FL356" s="357"/>
      <c r="FM356" s="357"/>
      <c r="FN356" s="357"/>
      <c r="FO356" s="357"/>
      <c r="FP356" s="357"/>
      <c r="FQ356" s="357"/>
      <c r="FR356" s="357"/>
      <c r="FS356" s="357"/>
      <c r="FT356" s="357"/>
      <c r="FU356" s="357"/>
      <c r="FV356" s="357"/>
      <c r="FW356" s="357"/>
      <c r="FX356" s="357"/>
      <c r="FY356" s="357"/>
      <c r="FZ356" s="357"/>
      <c r="GA356" s="357"/>
      <c r="GB356" s="357"/>
      <c r="GC356" s="357"/>
      <c r="GD356" s="357"/>
      <c r="GE356" s="357"/>
      <c r="GF356" s="357"/>
      <c r="GG356" s="357"/>
      <c r="GH356" s="357"/>
      <c r="GI356" s="357"/>
      <c r="GJ356" s="357"/>
    </row>
    <row r="357" spans="26:192">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57"/>
      <c r="BB357" s="357"/>
      <c r="BC357" s="357"/>
      <c r="BD357" s="357"/>
      <c r="BE357" s="357"/>
      <c r="BF357" s="357"/>
      <c r="BG357" s="357"/>
      <c r="BH357" s="357"/>
      <c r="BI357" s="357"/>
      <c r="BJ357" s="357"/>
      <c r="BK357" s="357"/>
      <c r="BL357" s="357"/>
      <c r="BM357" s="357"/>
      <c r="BN357" s="357"/>
      <c r="BO357" s="357"/>
      <c r="BP357" s="357"/>
      <c r="BQ357" s="357"/>
      <c r="BR357" s="357"/>
      <c r="BS357" s="357"/>
      <c r="BT357" s="357"/>
      <c r="BU357" s="357"/>
      <c r="BV357" s="357"/>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c r="DA357" s="357"/>
      <c r="DB357" s="357"/>
      <c r="DC357" s="357"/>
      <c r="DD357" s="357"/>
      <c r="DE357" s="357"/>
      <c r="DF357" s="357"/>
      <c r="DG357" s="357"/>
      <c r="DH357" s="357"/>
      <c r="DI357" s="357"/>
      <c r="DJ357" s="357"/>
      <c r="DK357" s="357"/>
      <c r="DL357" s="357"/>
      <c r="DM357" s="357"/>
      <c r="DN357" s="357"/>
      <c r="DO357" s="357"/>
      <c r="DP357" s="357"/>
      <c r="DQ357" s="357"/>
      <c r="DR357" s="357"/>
      <c r="DS357" s="357"/>
      <c r="DT357" s="357"/>
      <c r="DU357" s="357"/>
      <c r="DV357" s="357"/>
      <c r="DW357" s="357"/>
      <c r="DX357" s="357"/>
      <c r="DY357" s="357"/>
      <c r="DZ357" s="357"/>
      <c r="EA357" s="357"/>
      <c r="EB357" s="357"/>
      <c r="EC357" s="357"/>
      <c r="ED357" s="357"/>
      <c r="EE357" s="357"/>
      <c r="EF357" s="357"/>
      <c r="EG357" s="357"/>
      <c r="EH357" s="357"/>
      <c r="EI357" s="357"/>
      <c r="EJ357" s="357"/>
      <c r="EK357" s="357"/>
      <c r="EL357" s="357"/>
      <c r="EM357" s="357"/>
      <c r="EN357" s="357"/>
      <c r="EO357" s="357"/>
      <c r="EP357" s="357"/>
      <c r="EQ357" s="357"/>
      <c r="ER357" s="357"/>
      <c r="ES357" s="357"/>
      <c r="ET357" s="357"/>
      <c r="EU357" s="357"/>
      <c r="EV357" s="357"/>
      <c r="EW357" s="357"/>
      <c r="EX357" s="357"/>
      <c r="EY357" s="357"/>
      <c r="EZ357" s="357"/>
      <c r="FA357" s="357"/>
      <c r="FB357" s="357"/>
      <c r="FC357" s="357"/>
      <c r="FD357" s="357"/>
      <c r="FE357" s="357"/>
      <c r="FF357" s="357"/>
      <c r="FG357" s="357"/>
      <c r="FH357" s="357"/>
      <c r="FI357" s="357"/>
      <c r="FJ357" s="357"/>
      <c r="FK357" s="357"/>
      <c r="FL357" s="357"/>
      <c r="FM357" s="357"/>
      <c r="FN357" s="357"/>
      <c r="FO357" s="357"/>
      <c r="FP357" s="357"/>
      <c r="FQ357" s="357"/>
      <c r="FR357" s="357"/>
      <c r="FS357" s="357"/>
      <c r="FT357" s="357"/>
      <c r="FU357" s="357"/>
      <c r="FV357" s="357"/>
      <c r="FW357" s="357"/>
      <c r="FX357" s="357"/>
      <c r="FY357" s="357"/>
      <c r="FZ357" s="357"/>
      <c r="GA357" s="357"/>
      <c r="GB357" s="357"/>
      <c r="GC357" s="357"/>
      <c r="GD357" s="357"/>
      <c r="GE357" s="357"/>
      <c r="GF357" s="357"/>
      <c r="GG357" s="357"/>
      <c r="GH357" s="357"/>
      <c r="GI357" s="357"/>
      <c r="GJ357" s="357"/>
    </row>
    <row r="358" spans="26:192">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57"/>
      <c r="BB358" s="357"/>
      <c r="BC358" s="357"/>
      <c r="BD358" s="357"/>
      <c r="BE358" s="357"/>
      <c r="BF358" s="357"/>
      <c r="BG358" s="357"/>
      <c r="BH358" s="357"/>
      <c r="BI358" s="357"/>
      <c r="BJ358" s="357"/>
      <c r="BK358" s="357"/>
      <c r="BL358" s="357"/>
      <c r="BM358" s="357"/>
      <c r="BN358" s="357"/>
      <c r="BO358" s="357"/>
      <c r="BP358" s="357"/>
      <c r="BQ358" s="357"/>
      <c r="BR358" s="357"/>
      <c r="BS358" s="357"/>
      <c r="BT358" s="357"/>
      <c r="BU358" s="357"/>
      <c r="BV358" s="357"/>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c r="DA358" s="357"/>
      <c r="DB358" s="357"/>
      <c r="DC358" s="357"/>
      <c r="DD358" s="357"/>
      <c r="DE358" s="357"/>
      <c r="DF358" s="357"/>
      <c r="DG358" s="357"/>
      <c r="DH358" s="357"/>
      <c r="DI358" s="357"/>
      <c r="DJ358" s="357"/>
      <c r="DK358" s="357"/>
      <c r="DL358" s="357"/>
      <c r="DM358" s="357"/>
      <c r="DN358" s="357"/>
      <c r="DO358" s="357"/>
      <c r="DP358" s="357"/>
      <c r="DQ358" s="357"/>
      <c r="DR358" s="357"/>
      <c r="DS358" s="357"/>
      <c r="DT358" s="357"/>
      <c r="DU358" s="357"/>
      <c r="DV358" s="357"/>
      <c r="DW358" s="357"/>
      <c r="DX358" s="357"/>
      <c r="DY358" s="357"/>
      <c r="DZ358" s="357"/>
      <c r="EA358" s="357"/>
      <c r="EB358" s="357"/>
      <c r="EC358" s="357"/>
      <c r="ED358" s="357"/>
      <c r="EE358" s="357"/>
      <c r="EF358" s="357"/>
      <c r="EG358" s="357"/>
      <c r="EH358" s="357"/>
      <c r="EI358" s="357"/>
      <c r="EJ358" s="357"/>
      <c r="EK358" s="357"/>
      <c r="EL358" s="357"/>
      <c r="EM358" s="357"/>
      <c r="EN358" s="357"/>
      <c r="EO358" s="357"/>
      <c r="EP358" s="357"/>
      <c r="EQ358" s="357"/>
      <c r="ER358" s="357"/>
      <c r="ES358" s="357"/>
      <c r="ET358" s="357"/>
      <c r="EU358" s="357"/>
      <c r="EV358" s="357"/>
      <c r="EW358" s="357"/>
      <c r="EX358" s="357"/>
      <c r="EY358" s="357"/>
      <c r="EZ358" s="357"/>
      <c r="FA358" s="357"/>
      <c r="FB358" s="357"/>
      <c r="FC358" s="357"/>
      <c r="FD358" s="357"/>
      <c r="FE358" s="357"/>
      <c r="FF358" s="357"/>
      <c r="FG358" s="357"/>
      <c r="FH358" s="357"/>
      <c r="FI358" s="357"/>
      <c r="FJ358" s="357"/>
      <c r="FK358" s="357"/>
      <c r="FL358" s="357"/>
      <c r="FM358" s="357"/>
      <c r="FN358" s="357"/>
      <c r="FO358" s="357"/>
      <c r="FP358" s="357"/>
      <c r="FQ358" s="357"/>
      <c r="FR358" s="357"/>
      <c r="FS358" s="357"/>
      <c r="FT358" s="357"/>
      <c r="FU358" s="357"/>
      <c r="FV358" s="357"/>
      <c r="FW358" s="357"/>
      <c r="FX358" s="357"/>
      <c r="FY358" s="357"/>
      <c r="FZ358" s="357"/>
      <c r="GA358" s="357"/>
      <c r="GB358" s="357"/>
      <c r="GC358" s="357"/>
      <c r="GD358" s="357"/>
      <c r="GE358" s="357"/>
      <c r="GF358" s="357"/>
      <c r="GG358" s="357"/>
      <c r="GH358" s="357"/>
      <c r="GI358" s="357"/>
      <c r="GJ358" s="357"/>
    </row>
    <row r="359" spans="26:192">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57"/>
      <c r="BB359" s="357"/>
      <c r="BC359" s="357"/>
      <c r="BD359" s="357"/>
      <c r="BE359" s="357"/>
      <c r="BF359" s="357"/>
      <c r="BG359" s="357"/>
      <c r="BH359" s="357"/>
      <c r="BI359" s="357"/>
      <c r="BJ359" s="357"/>
      <c r="BK359" s="357"/>
      <c r="BL359" s="357"/>
      <c r="BM359" s="357"/>
      <c r="BN359" s="357"/>
      <c r="BO359" s="357"/>
      <c r="BP359" s="357"/>
      <c r="BQ359" s="357"/>
      <c r="BR359" s="357"/>
      <c r="BS359" s="357"/>
      <c r="BT359" s="357"/>
      <c r="BU359" s="357"/>
      <c r="BV359" s="357"/>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c r="DA359" s="357"/>
      <c r="DB359" s="357"/>
      <c r="DC359" s="357"/>
      <c r="DD359" s="357"/>
      <c r="DE359" s="357"/>
      <c r="DF359" s="357"/>
      <c r="DG359" s="357"/>
      <c r="DH359" s="357"/>
      <c r="DI359" s="357"/>
      <c r="DJ359" s="357"/>
      <c r="DK359" s="357"/>
      <c r="DL359" s="357"/>
      <c r="DM359" s="357"/>
      <c r="DN359" s="357"/>
      <c r="DO359" s="357"/>
      <c r="DP359" s="357"/>
      <c r="DQ359" s="357"/>
      <c r="DR359" s="357"/>
      <c r="DS359" s="357"/>
      <c r="DT359" s="357"/>
      <c r="DU359" s="357"/>
      <c r="DV359" s="357"/>
      <c r="DW359" s="357"/>
      <c r="DX359" s="357"/>
      <c r="DY359" s="357"/>
      <c r="DZ359" s="357"/>
      <c r="EA359" s="357"/>
      <c r="EB359" s="357"/>
      <c r="EC359" s="357"/>
      <c r="ED359" s="357"/>
      <c r="EE359" s="357"/>
      <c r="EF359" s="357"/>
      <c r="EG359" s="357"/>
      <c r="EH359" s="357"/>
      <c r="EI359" s="357"/>
      <c r="EJ359" s="357"/>
      <c r="EK359" s="357"/>
      <c r="EL359" s="357"/>
      <c r="EM359" s="357"/>
      <c r="EN359" s="357"/>
      <c r="EO359" s="357"/>
      <c r="EP359" s="357"/>
      <c r="EQ359" s="357"/>
      <c r="ER359" s="357"/>
      <c r="ES359" s="357"/>
      <c r="ET359" s="357"/>
      <c r="EU359" s="357"/>
      <c r="EV359" s="357"/>
      <c r="EW359" s="357"/>
      <c r="EX359" s="357"/>
      <c r="EY359" s="357"/>
      <c r="EZ359" s="357"/>
      <c r="FA359" s="357"/>
      <c r="FB359" s="357"/>
      <c r="FC359" s="357"/>
      <c r="FD359" s="357"/>
      <c r="FE359" s="357"/>
      <c r="FF359" s="357"/>
      <c r="FG359" s="357"/>
      <c r="FH359" s="357"/>
      <c r="FI359" s="357"/>
      <c r="FJ359" s="357"/>
      <c r="FK359" s="357"/>
      <c r="FL359" s="357"/>
      <c r="FM359" s="357"/>
      <c r="FN359" s="357"/>
      <c r="FO359" s="357"/>
      <c r="FP359" s="357"/>
      <c r="FQ359" s="357"/>
      <c r="FR359" s="357"/>
      <c r="FS359" s="357"/>
      <c r="FT359" s="357"/>
      <c r="FU359" s="357"/>
      <c r="FV359" s="357"/>
      <c r="FW359" s="357"/>
      <c r="FX359" s="357"/>
      <c r="FY359" s="357"/>
      <c r="FZ359" s="357"/>
      <c r="GA359" s="357"/>
      <c r="GB359" s="357"/>
      <c r="GC359" s="357"/>
      <c r="GD359" s="357"/>
      <c r="GE359" s="357"/>
      <c r="GF359" s="357"/>
      <c r="GG359" s="357"/>
      <c r="GH359" s="357"/>
      <c r="GI359" s="357"/>
      <c r="GJ359" s="357"/>
    </row>
    <row r="360" spans="26:192">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57"/>
      <c r="BB360" s="357"/>
      <c r="BC360" s="357"/>
      <c r="BD360" s="357"/>
      <c r="BE360" s="357"/>
      <c r="BF360" s="357"/>
      <c r="BG360" s="357"/>
      <c r="BH360" s="357"/>
      <c r="BI360" s="357"/>
      <c r="BJ360" s="357"/>
      <c r="BK360" s="357"/>
      <c r="BL360" s="357"/>
      <c r="BM360" s="357"/>
      <c r="BN360" s="357"/>
      <c r="BO360" s="357"/>
      <c r="BP360" s="357"/>
      <c r="BQ360" s="357"/>
      <c r="BR360" s="357"/>
      <c r="BS360" s="357"/>
      <c r="BT360" s="357"/>
      <c r="BU360" s="357"/>
      <c r="BV360" s="357"/>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c r="DA360" s="357"/>
      <c r="DB360" s="357"/>
      <c r="DC360" s="357"/>
      <c r="DD360" s="357"/>
      <c r="DE360" s="357"/>
      <c r="DF360" s="357"/>
      <c r="DG360" s="357"/>
      <c r="DH360" s="357"/>
      <c r="DI360" s="357"/>
      <c r="DJ360" s="357"/>
      <c r="DK360" s="357"/>
      <c r="DL360" s="357"/>
      <c r="DM360" s="357"/>
      <c r="DN360" s="357"/>
      <c r="DO360" s="357"/>
      <c r="DP360" s="357"/>
      <c r="DQ360" s="357"/>
      <c r="DR360" s="357"/>
      <c r="DS360" s="357"/>
      <c r="DT360" s="357"/>
      <c r="DU360" s="357"/>
      <c r="DV360" s="357"/>
      <c r="DW360" s="357"/>
      <c r="DX360" s="357"/>
      <c r="DY360" s="357"/>
      <c r="DZ360" s="357"/>
      <c r="EA360" s="357"/>
      <c r="EB360" s="357"/>
      <c r="EC360" s="357"/>
      <c r="ED360" s="357"/>
      <c r="EE360" s="357"/>
      <c r="EF360" s="357"/>
      <c r="EG360" s="357"/>
      <c r="EH360" s="357"/>
      <c r="EI360" s="357"/>
      <c r="EJ360" s="357"/>
      <c r="EK360" s="357"/>
      <c r="EL360" s="357"/>
      <c r="EM360" s="357"/>
      <c r="EN360" s="357"/>
      <c r="EO360" s="357"/>
      <c r="EP360" s="357"/>
      <c r="EQ360" s="357"/>
      <c r="ER360" s="357"/>
      <c r="ES360" s="357"/>
      <c r="ET360" s="357"/>
      <c r="EU360" s="357"/>
      <c r="EV360" s="357"/>
      <c r="EW360" s="357"/>
      <c r="EX360" s="357"/>
      <c r="EY360" s="357"/>
      <c r="EZ360" s="357"/>
      <c r="FA360" s="357"/>
      <c r="FB360" s="357"/>
      <c r="FC360" s="357"/>
      <c r="FD360" s="357"/>
      <c r="FE360" s="357"/>
      <c r="FF360" s="357"/>
      <c r="FG360" s="357"/>
      <c r="FH360" s="357"/>
      <c r="FI360" s="357"/>
      <c r="FJ360" s="357"/>
      <c r="FK360" s="357"/>
      <c r="FL360" s="357"/>
      <c r="FM360" s="357"/>
      <c r="FN360" s="357"/>
      <c r="FO360" s="357"/>
      <c r="FP360" s="357"/>
      <c r="FQ360" s="357"/>
      <c r="FR360" s="357"/>
      <c r="FS360" s="357"/>
      <c r="FT360" s="357"/>
      <c r="FU360" s="357"/>
      <c r="FV360" s="357"/>
      <c r="FW360" s="357"/>
      <c r="FX360" s="357"/>
      <c r="FY360" s="357"/>
      <c r="FZ360" s="357"/>
      <c r="GA360" s="357"/>
      <c r="GB360" s="357"/>
      <c r="GC360" s="357"/>
      <c r="GD360" s="357"/>
      <c r="GE360" s="357"/>
      <c r="GF360" s="357"/>
      <c r="GG360" s="357"/>
      <c r="GH360" s="357"/>
      <c r="GI360" s="357"/>
      <c r="GJ360" s="357"/>
    </row>
    <row r="361" spans="26:192">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57"/>
      <c r="BB361" s="357"/>
      <c r="BC361" s="357"/>
      <c r="BD361" s="357"/>
      <c r="BE361" s="357"/>
      <c r="BF361" s="357"/>
      <c r="BG361" s="357"/>
      <c r="BH361" s="357"/>
      <c r="BI361" s="357"/>
      <c r="BJ361" s="357"/>
      <c r="BK361" s="357"/>
      <c r="BL361" s="357"/>
      <c r="BM361" s="357"/>
      <c r="BN361" s="357"/>
      <c r="BO361" s="357"/>
      <c r="BP361" s="357"/>
      <c r="BQ361" s="357"/>
      <c r="BR361" s="357"/>
      <c r="BS361" s="357"/>
      <c r="BT361" s="357"/>
      <c r="BU361" s="357"/>
      <c r="BV361" s="357"/>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c r="DA361" s="357"/>
      <c r="DB361" s="357"/>
      <c r="DC361" s="357"/>
      <c r="DD361" s="357"/>
      <c r="DE361" s="357"/>
      <c r="DF361" s="357"/>
      <c r="DG361" s="357"/>
      <c r="DH361" s="357"/>
      <c r="DI361" s="357"/>
      <c r="DJ361" s="357"/>
      <c r="DK361" s="357"/>
      <c r="DL361" s="357"/>
      <c r="DM361" s="357"/>
      <c r="DN361" s="357"/>
      <c r="DO361" s="357"/>
      <c r="DP361" s="357"/>
      <c r="DQ361" s="357"/>
      <c r="DR361" s="357"/>
      <c r="DS361" s="357"/>
      <c r="DT361" s="357"/>
      <c r="DU361" s="357"/>
      <c r="DV361" s="357"/>
      <c r="DW361" s="357"/>
      <c r="DX361" s="357"/>
      <c r="DY361" s="357"/>
      <c r="DZ361" s="357"/>
      <c r="EA361" s="357"/>
      <c r="EB361" s="357"/>
      <c r="EC361" s="357"/>
      <c r="ED361" s="357"/>
      <c r="EE361" s="357"/>
      <c r="EF361" s="357"/>
      <c r="EG361" s="357"/>
      <c r="EH361" s="357"/>
      <c r="EI361" s="357"/>
      <c r="EJ361" s="357"/>
      <c r="EK361" s="357"/>
      <c r="EL361" s="357"/>
      <c r="EM361" s="357"/>
      <c r="EN361" s="357"/>
      <c r="EO361" s="357"/>
      <c r="EP361" s="357"/>
      <c r="EQ361" s="357"/>
      <c r="ER361" s="357"/>
      <c r="ES361" s="357"/>
      <c r="ET361" s="357"/>
      <c r="EU361" s="357"/>
      <c r="EV361" s="357"/>
      <c r="EW361" s="357"/>
      <c r="EX361" s="357"/>
      <c r="EY361" s="357"/>
      <c r="EZ361" s="357"/>
      <c r="FA361" s="357"/>
      <c r="FB361" s="357"/>
      <c r="FC361" s="357"/>
      <c r="FD361" s="357"/>
      <c r="FE361" s="357"/>
      <c r="FF361" s="357"/>
      <c r="FG361" s="357"/>
      <c r="FH361" s="357"/>
      <c r="FI361" s="357"/>
      <c r="FJ361" s="357"/>
      <c r="FK361" s="357"/>
      <c r="FL361" s="357"/>
      <c r="FM361" s="357"/>
      <c r="FN361" s="357"/>
      <c r="FO361" s="357"/>
      <c r="FP361" s="357"/>
      <c r="FQ361" s="357"/>
      <c r="FR361" s="357"/>
      <c r="FS361" s="357"/>
      <c r="FT361" s="357"/>
      <c r="FU361" s="357"/>
      <c r="FV361" s="357"/>
      <c r="FW361" s="357"/>
      <c r="FX361" s="357"/>
      <c r="FY361" s="357"/>
      <c r="FZ361" s="357"/>
      <c r="GA361" s="357"/>
      <c r="GB361" s="357"/>
      <c r="GC361" s="357"/>
      <c r="GD361" s="357"/>
      <c r="GE361" s="357"/>
      <c r="GF361" s="357"/>
      <c r="GG361" s="357"/>
      <c r="GH361" s="357"/>
      <c r="GI361" s="357"/>
      <c r="GJ361" s="357"/>
    </row>
    <row r="362" spans="26:192">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57"/>
      <c r="BB362" s="357"/>
      <c r="BC362" s="357"/>
      <c r="BD362" s="357"/>
      <c r="BE362" s="357"/>
      <c r="BF362" s="357"/>
      <c r="BG362" s="357"/>
      <c r="BH362" s="357"/>
      <c r="BI362" s="357"/>
      <c r="BJ362" s="357"/>
      <c r="BK362" s="357"/>
      <c r="BL362" s="357"/>
      <c r="BM362" s="357"/>
      <c r="BN362" s="357"/>
      <c r="BO362" s="357"/>
      <c r="BP362" s="357"/>
      <c r="BQ362" s="357"/>
      <c r="BR362" s="357"/>
      <c r="BS362" s="357"/>
      <c r="BT362" s="357"/>
      <c r="BU362" s="357"/>
      <c r="BV362" s="357"/>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c r="DA362" s="357"/>
      <c r="DB362" s="357"/>
      <c r="DC362" s="357"/>
      <c r="DD362" s="357"/>
      <c r="DE362" s="357"/>
      <c r="DF362" s="357"/>
      <c r="DG362" s="357"/>
      <c r="DH362" s="357"/>
      <c r="DI362" s="357"/>
      <c r="DJ362" s="357"/>
      <c r="DK362" s="357"/>
      <c r="DL362" s="357"/>
      <c r="DM362" s="357"/>
      <c r="DN362" s="357"/>
      <c r="DO362" s="357"/>
      <c r="DP362" s="357"/>
      <c r="DQ362" s="357"/>
      <c r="DR362" s="357"/>
      <c r="DS362" s="357"/>
      <c r="DT362" s="357"/>
      <c r="DU362" s="357"/>
      <c r="DV362" s="357"/>
      <c r="DW362" s="357"/>
      <c r="DX362" s="357"/>
      <c r="DY362" s="357"/>
      <c r="DZ362" s="357"/>
      <c r="EA362" s="357"/>
      <c r="EB362" s="357"/>
      <c r="EC362" s="357"/>
      <c r="ED362" s="357"/>
      <c r="EE362" s="357"/>
      <c r="EF362" s="357"/>
      <c r="EG362" s="357"/>
      <c r="EH362" s="357"/>
      <c r="EI362" s="357"/>
      <c r="EJ362" s="357"/>
      <c r="EK362" s="357"/>
      <c r="EL362" s="357"/>
      <c r="EM362" s="357"/>
      <c r="EN362" s="357"/>
      <c r="EO362" s="357"/>
      <c r="EP362" s="357"/>
      <c r="EQ362" s="357"/>
      <c r="ER362" s="357"/>
      <c r="ES362" s="357"/>
      <c r="ET362" s="357"/>
      <c r="EU362" s="357"/>
      <c r="EV362" s="357"/>
      <c r="EW362" s="357"/>
      <c r="EX362" s="357"/>
      <c r="EY362" s="357"/>
      <c r="EZ362" s="357"/>
      <c r="FA362" s="357"/>
      <c r="FB362" s="357"/>
      <c r="FC362" s="357"/>
      <c r="FD362" s="357"/>
      <c r="FE362" s="357"/>
      <c r="FF362" s="357"/>
      <c r="FG362" s="357"/>
      <c r="FH362" s="357"/>
      <c r="FI362" s="357"/>
      <c r="FJ362" s="357"/>
      <c r="FK362" s="357"/>
      <c r="FL362" s="357"/>
      <c r="FM362" s="357"/>
      <c r="FN362" s="357"/>
      <c r="FO362" s="357"/>
      <c r="FP362" s="357"/>
      <c r="FQ362" s="357"/>
      <c r="FR362" s="357"/>
      <c r="FS362" s="357"/>
      <c r="FT362" s="357"/>
      <c r="FU362" s="357"/>
      <c r="FV362" s="357"/>
      <c r="FW362" s="357"/>
      <c r="FX362" s="357"/>
      <c r="FY362" s="357"/>
      <c r="FZ362" s="357"/>
      <c r="GA362" s="357"/>
      <c r="GB362" s="357"/>
      <c r="GC362" s="357"/>
      <c r="GD362" s="357"/>
      <c r="GE362" s="357"/>
      <c r="GF362" s="357"/>
      <c r="GG362" s="357"/>
      <c r="GH362" s="357"/>
      <c r="GI362" s="357"/>
      <c r="GJ362" s="357"/>
    </row>
    <row r="363" spans="26:192">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57"/>
      <c r="BB363" s="357"/>
      <c r="BC363" s="357"/>
      <c r="BD363" s="357"/>
      <c r="BE363" s="357"/>
      <c r="BF363" s="357"/>
      <c r="BG363" s="357"/>
      <c r="BH363" s="357"/>
      <c r="BI363" s="357"/>
      <c r="BJ363" s="357"/>
      <c r="BK363" s="357"/>
      <c r="BL363" s="357"/>
      <c r="BM363" s="357"/>
      <c r="BN363" s="357"/>
      <c r="BO363" s="357"/>
      <c r="BP363" s="357"/>
      <c r="BQ363" s="357"/>
      <c r="BR363" s="357"/>
      <c r="BS363" s="357"/>
      <c r="BT363" s="357"/>
      <c r="BU363" s="357"/>
      <c r="BV363" s="357"/>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c r="DA363" s="357"/>
      <c r="DB363" s="357"/>
      <c r="DC363" s="357"/>
      <c r="DD363" s="357"/>
      <c r="DE363" s="357"/>
      <c r="DF363" s="357"/>
      <c r="DG363" s="357"/>
      <c r="DH363" s="357"/>
      <c r="DI363" s="357"/>
      <c r="DJ363" s="357"/>
      <c r="DK363" s="357"/>
      <c r="DL363" s="357"/>
      <c r="DM363" s="357"/>
      <c r="DN363" s="357"/>
      <c r="DO363" s="357"/>
      <c r="DP363" s="357"/>
      <c r="DQ363" s="357"/>
      <c r="DR363" s="357"/>
      <c r="DS363" s="357"/>
      <c r="DT363" s="357"/>
      <c r="DU363" s="357"/>
      <c r="DV363" s="357"/>
      <c r="DW363" s="357"/>
      <c r="DX363" s="357"/>
      <c r="DY363" s="357"/>
      <c r="DZ363" s="357"/>
      <c r="EA363" s="357"/>
      <c r="EB363" s="357"/>
      <c r="EC363" s="357"/>
      <c r="ED363" s="357"/>
      <c r="EE363" s="357"/>
      <c r="EF363" s="357"/>
      <c r="EG363" s="357"/>
      <c r="EH363" s="357"/>
      <c r="EI363" s="357"/>
      <c r="EJ363" s="357"/>
      <c r="EK363" s="357"/>
      <c r="EL363" s="357"/>
      <c r="EM363" s="357"/>
      <c r="EN363" s="357"/>
      <c r="EO363" s="357"/>
      <c r="EP363" s="357"/>
      <c r="EQ363" s="357"/>
      <c r="ER363" s="357"/>
      <c r="ES363" s="357"/>
      <c r="ET363" s="357"/>
      <c r="EU363" s="357"/>
      <c r="EV363" s="357"/>
      <c r="EW363" s="357"/>
      <c r="EX363" s="357"/>
      <c r="EY363" s="357"/>
      <c r="EZ363" s="357"/>
      <c r="FA363" s="357"/>
      <c r="FB363" s="357"/>
      <c r="FC363" s="357"/>
      <c r="FD363" s="357"/>
      <c r="FE363" s="357"/>
      <c r="FF363" s="357"/>
      <c r="FG363" s="357"/>
      <c r="FH363" s="357"/>
      <c r="FI363" s="357"/>
      <c r="FJ363" s="357"/>
      <c r="FK363" s="357"/>
      <c r="FL363" s="357"/>
      <c r="FM363" s="357"/>
      <c r="FN363" s="357"/>
      <c r="FO363" s="357"/>
      <c r="FP363" s="357"/>
      <c r="FQ363" s="357"/>
      <c r="FR363" s="357"/>
      <c r="FS363" s="357"/>
      <c r="FT363" s="357"/>
      <c r="FU363" s="357"/>
      <c r="FV363" s="357"/>
      <c r="FW363" s="357"/>
      <c r="FX363" s="357"/>
      <c r="FY363" s="357"/>
      <c r="FZ363" s="357"/>
      <c r="GA363" s="357"/>
      <c r="GB363" s="357"/>
      <c r="GC363" s="357"/>
      <c r="GD363" s="357"/>
      <c r="GE363" s="357"/>
      <c r="GF363" s="357"/>
      <c r="GG363" s="357"/>
      <c r="GH363" s="357"/>
      <c r="GI363" s="357"/>
      <c r="GJ363" s="357"/>
    </row>
    <row r="364" spans="26:192">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57"/>
      <c r="BB364" s="357"/>
      <c r="BC364" s="357"/>
      <c r="BD364" s="357"/>
      <c r="BE364" s="357"/>
      <c r="BF364" s="357"/>
      <c r="BG364" s="357"/>
      <c r="BH364" s="357"/>
      <c r="BI364" s="357"/>
      <c r="BJ364" s="357"/>
      <c r="BK364" s="357"/>
      <c r="BL364" s="357"/>
      <c r="BM364" s="357"/>
      <c r="BN364" s="357"/>
      <c r="BO364" s="357"/>
      <c r="BP364" s="357"/>
      <c r="BQ364" s="357"/>
      <c r="BR364" s="357"/>
      <c r="BS364" s="357"/>
      <c r="BT364" s="357"/>
      <c r="BU364" s="357"/>
      <c r="BV364" s="357"/>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c r="DA364" s="357"/>
      <c r="DB364" s="357"/>
      <c r="DC364" s="357"/>
      <c r="DD364" s="357"/>
      <c r="DE364" s="357"/>
      <c r="DF364" s="357"/>
      <c r="DG364" s="357"/>
      <c r="DH364" s="357"/>
      <c r="DI364" s="357"/>
      <c r="DJ364" s="357"/>
      <c r="DK364" s="357"/>
      <c r="DL364" s="357"/>
      <c r="DM364" s="357"/>
      <c r="DN364" s="357"/>
      <c r="DO364" s="357"/>
      <c r="DP364" s="357"/>
      <c r="DQ364" s="357"/>
      <c r="DR364" s="357"/>
      <c r="DS364" s="357"/>
      <c r="DT364" s="357"/>
      <c r="DU364" s="357"/>
      <c r="DV364" s="357"/>
      <c r="DW364" s="357"/>
      <c r="DX364" s="357"/>
      <c r="DY364" s="357"/>
      <c r="DZ364" s="357"/>
      <c r="EA364" s="357"/>
      <c r="EB364" s="357"/>
      <c r="EC364" s="357"/>
      <c r="ED364" s="357"/>
      <c r="EE364" s="357"/>
      <c r="EF364" s="357"/>
      <c r="EG364" s="357"/>
      <c r="EH364" s="357"/>
      <c r="EI364" s="357"/>
      <c r="EJ364" s="357"/>
      <c r="EK364" s="357"/>
      <c r="EL364" s="357"/>
      <c r="EM364" s="357"/>
      <c r="EN364" s="357"/>
      <c r="EO364" s="357"/>
      <c r="EP364" s="357"/>
      <c r="EQ364" s="357"/>
      <c r="ER364" s="357"/>
      <c r="ES364" s="357"/>
      <c r="ET364" s="357"/>
      <c r="EU364" s="357"/>
      <c r="EV364" s="357"/>
      <c r="EW364" s="357"/>
      <c r="EX364" s="357"/>
      <c r="EY364" s="357"/>
      <c r="EZ364" s="357"/>
      <c r="FA364" s="357"/>
      <c r="FB364" s="357"/>
      <c r="FC364" s="357"/>
      <c r="FD364" s="357"/>
      <c r="FE364" s="357"/>
      <c r="FF364" s="357"/>
      <c r="FG364" s="357"/>
      <c r="FH364" s="357"/>
      <c r="FI364" s="357"/>
      <c r="FJ364" s="357"/>
      <c r="FK364" s="357"/>
      <c r="FL364" s="357"/>
      <c r="FM364" s="357"/>
      <c r="FN364" s="357"/>
      <c r="FO364" s="357"/>
      <c r="FP364" s="357"/>
      <c r="FQ364" s="357"/>
      <c r="FR364" s="357"/>
      <c r="FS364" s="357"/>
      <c r="FT364" s="357"/>
      <c r="FU364" s="357"/>
      <c r="FV364" s="357"/>
      <c r="FW364" s="357"/>
      <c r="FX364" s="357"/>
      <c r="FY364" s="357"/>
      <c r="FZ364" s="357"/>
      <c r="GA364" s="357"/>
      <c r="GB364" s="357"/>
      <c r="GC364" s="357"/>
      <c r="GD364" s="357"/>
      <c r="GE364" s="357"/>
      <c r="GF364" s="357"/>
      <c r="GG364" s="357"/>
      <c r="GH364" s="357"/>
      <c r="GI364" s="357"/>
      <c r="GJ364" s="357"/>
    </row>
    <row r="365" spans="26:192">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57"/>
      <c r="BB365" s="357"/>
      <c r="BC365" s="357"/>
      <c r="BD365" s="357"/>
      <c r="BE365" s="357"/>
      <c r="BF365" s="357"/>
      <c r="BG365" s="357"/>
      <c r="BH365" s="357"/>
      <c r="BI365" s="357"/>
      <c r="BJ365" s="357"/>
      <c r="BK365" s="357"/>
      <c r="BL365" s="357"/>
      <c r="BM365" s="357"/>
      <c r="BN365" s="357"/>
      <c r="BO365" s="357"/>
      <c r="BP365" s="357"/>
      <c r="BQ365" s="357"/>
      <c r="BR365" s="357"/>
      <c r="BS365" s="357"/>
      <c r="BT365" s="357"/>
      <c r="BU365" s="357"/>
      <c r="BV365" s="357"/>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c r="DA365" s="357"/>
      <c r="DB365" s="357"/>
      <c r="DC365" s="357"/>
      <c r="DD365" s="357"/>
      <c r="DE365" s="357"/>
      <c r="DF365" s="357"/>
      <c r="DG365" s="357"/>
      <c r="DH365" s="357"/>
      <c r="DI365" s="357"/>
      <c r="DJ365" s="357"/>
      <c r="DK365" s="357"/>
      <c r="DL365" s="357"/>
      <c r="DM365" s="357"/>
      <c r="DN365" s="357"/>
      <c r="DO365" s="357"/>
      <c r="DP365" s="357"/>
      <c r="DQ365" s="357"/>
      <c r="DR365" s="357"/>
      <c r="DS365" s="357"/>
      <c r="DT365" s="357"/>
      <c r="DU365" s="357"/>
      <c r="DV365" s="357"/>
      <c r="DW365" s="357"/>
      <c r="DX365" s="357"/>
      <c r="DY365" s="357"/>
      <c r="DZ365" s="357"/>
      <c r="EA365" s="357"/>
      <c r="EB365" s="357"/>
      <c r="EC365" s="357"/>
      <c r="ED365" s="357"/>
      <c r="EE365" s="357"/>
      <c r="EF365" s="357"/>
      <c r="EG365" s="357"/>
      <c r="EH365" s="357"/>
      <c r="EI365" s="357"/>
      <c r="EJ365" s="357"/>
      <c r="EK365" s="357"/>
      <c r="EL365" s="357"/>
      <c r="EM365" s="357"/>
      <c r="EN365" s="357"/>
      <c r="EO365" s="357"/>
      <c r="EP365" s="357"/>
      <c r="EQ365" s="357"/>
      <c r="ER365" s="357"/>
      <c r="ES365" s="357"/>
      <c r="ET365" s="357"/>
      <c r="EU365" s="357"/>
      <c r="EV365" s="357"/>
      <c r="EW365" s="357"/>
      <c r="EX365" s="357"/>
      <c r="EY365" s="357"/>
      <c r="EZ365" s="357"/>
      <c r="FA365" s="357"/>
      <c r="FB365" s="357"/>
      <c r="FC365" s="357"/>
      <c r="FD365" s="357"/>
      <c r="FE365" s="357"/>
      <c r="FF365" s="357"/>
      <c r="FG365" s="357"/>
      <c r="FH365" s="357"/>
      <c r="FI365" s="357"/>
      <c r="FJ365" s="357"/>
      <c r="FK365" s="357"/>
      <c r="FL365" s="357"/>
      <c r="FM365" s="357"/>
      <c r="FN365" s="357"/>
      <c r="FO365" s="357"/>
      <c r="FP365" s="357"/>
      <c r="FQ365" s="357"/>
      <c r="FR365" s="357"/>
      <c r="FS365" s="357"/>
      <c r="FT365" s="357"/>
      <c r="FU365" s="357"/>
      <c r="FV365" s="357"/>
      <c r="FW365" s="357"/>
      <c r="FX365" s="357"/>
      <c r="FY365" s="357"/>
      <c r="FZ365" s="357"/>
      <c r="GA365" s="357"/>
      <c r="GB365" s="357"/>
      <c r="GC365" s="357"/>
      <c r="GD365" s="357"/>
      <c r="GE365" s="357"/>
      <c r="GF365" s="357"/>
      <c r="GG365" s="357"/>
      <c r="GH365" s="357"/>
      <c r="GI365" s="357"/>
      <c r="GJ365" s="357"/>
    </row>
    <row r="366" spans="26:192">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57"/>
      <c r="BB366" s="357"/>
      <c r="BC366" s="357"/>
      <c r="BD366" s="357"/>
      <c r="BE366" s="357"/>
      <c r="BF366" s="357"/>
      <c r="BG366" s="357"/>
      <c r="BH366" s="357"/>
      <c r="BI366" s="357"/>
      <c r="BJ366" s="357"/>
      <c r="BK366" s="357"/>
      <c r="BL366" s="357"/>
      <c r="BM366" s="357"/>
      <c r="BN366" s="357"/>
      <c r="BO366" s="357"/>
      <c r="BP366" s="357"/>
      <c r="BQ366" s="357"/>
      <c r="BR366" s="357"/>
      <c r="BS366" s="357"/>
      <c r="BT366" s="357"/>
      <c r="BU366" s="357"/>
      <c r="BV366" s="357"/>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c r="DA366" s="357"/>
      <c r="DB366" s="357"/>
      <c r="DC366" s="357"/>
      <c r="DD366" s="357"/>
      <c r="DE366" s="357"/>
      <c r="DF366" s="357"/>
      <c r="DG366" s="357"/>
      <c r="DH366" s="357"/>
      <c r="DI366" s="357"/>
      <c r="DJ366" s="357"/>
      <c r="DK366" s="357"/>
      <c r="DL366" s="357"/>
      <c r="DM366" s="357"/>
      <c r="DN366" s="357"/>
      <c r="DO366" s="357"/>
      <c r="DP366" s="357"/>
      <c r="DQ366" s="357"/>
      <c r="DR366" s="357"/>
      <c r="DS366" s="357"/>
      <c r="DT366" s="357"/>
      <c r="DU366" s="357"/>
      <c r="DV366" s="357"/>
      <c r="DW366" s="357"/>
      <c r="DX366" s="357"/>
      <c r="DY366" s="357"/>
      <c r="DZ366" s="357"/>
      <c r="EA366" s="357"/>
      <c r="EB366" s="357"/>
      <c r="EC366" s="357"/>
      <c r="ED366" s="357"/>
      <c r="EE366" s="357"/>
      <c r="EF366" s="357"/>
      <c r="EG366" s="357"/>
      <c r="EH366" s="357"/>
      <c r="EI366" s="357"/>
      <c r="EJ366" s="357"/>
      <c r="EK366" s="357"/>
      <c r="EL366" s="357"/>
      <c r="EM366" s="357"/>
      <c r="EN366" s="357"/>
      <c r="EO366" s="357"/>
      <c r="EP366" s="357"/>
      <c r="EQ366" s="357"/>
      <c r="ER366" s="357"/>
      <c r="ES366" s="357"/>
      <c r="ET366" s="357"/>
      <c r="EU366" s="357"/>
      <c r="EV366" s="357"/>
      <c r="EW366" s="357"/>
      <c r="EX366" s="357"/>
      <c r="EY366" s="357"/>
      <c r="EZ366" s="357"/>
      <c r="FA366" s="357"/>
      <c r="FB366" s="357"/>
      <c r="FC366" s="357"/>
      <c r="FD366" s="357"/>
      <c r="FE366" s="357"/>
      <c r="FF366" s="357"/>
      <c r="FG366" s="357"/>
      <c r="FH366" s="357"/>
      <c r="FI366" s="357"/>
      <c r="FJ366" s="357"/>
      <c r="FK366" s="357"/>
      <c r="FL366" s="357"/>
      <c r="FM366" s="357"/>
      <c r="FN366" s="357"/>
      <c r="FO366" s="357"/>
      <c r="FP366" s="357"/>
      <c r="FQ366" s="357"/>
      <c r="FR366" s="357"/>
      <c r="FS366" s="357"/>
      <c r="FT366" s="357"/>
      <c r="FU366" s="357"/>
      <c r="FV366" s="357"/>
      <c r="FW366" s="357"/>
      <c r="FX366" s="357"/>
      <c r="FY366" s="357"/>
      <c r="FZ366" s="357"/>
      <c r="GA366" s="357"/>
      <c r="GB366" s="357"/>
      <c r="GC366" s="357"/>
      <c r="GD366" s="357"/>
      <c r="GE366" s="357"/>
      <c r="GF366" s="357"/>
      <c r="GG366" s="357"/>
      <c r="GH366" s="357"/>
      <c r="GI366" s="357"/>
      <c r="GJ366" s="357"/>
    </row>
    <row r="367" spans="26:192">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57"/>
      <c r="BB367" s="357"/>
      <c r="BC367" s="357"/>
      <c r="BD367" s="357"/>
      <c r="BE367" s="357"/>
      <c r="BF367" s="357"/>
      <c r="BG367" s="357"/>
      <c r="BH367" s="357"/>
      <c r="BI367" s="357"/>
      <c r="BJ367" s="357"/>
      <c r="BK367" s="357"/>
      <c r="BL367" s="357"/>
      <c r="BM367" s="357"/>
      <c r="BN367" s="357"/>
      <c r="BO367" s="357"/>
      <c r="BP367" s="357"/>
      <c r="BQ367" s="357"/>
      <c r="BR367" s="357"/>
      <c r="BS367" s="357"/>
      <c r="BT367" s="357"/>
      <c r="BU367" s="357"/>
      <c r="BV367" s="357"/>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c r="DA367" s="357"/>
      <c r="DB367" s="357"/>
      <c r="DC367" s="357"/>
      <c r="DD367" s="357"/>
      <c r="DE367" s="357"/>
      <c r="DF367" s="357"/>
      <c r="DG367" s="357"/>
      <c r="DH367" s="357"/>
      <c r="DI367" s="357"/>
      <c r="DJ367" s="357"/>
      <c r="DK367" s="357"/>
      <c r="DL367" s="357"/>
      <c r="DM367" s="357"/>
      <c r="DN367" s="357"/>
      <c r="DO367" s="357"/>
      <c r="DP367" s="357"/>
      <c r="DQ367" s="357"/>
      <c r="DR367" s="357"/>
      <c r="DS367" s="357"/>
      <c r="DT367" s="357"/>
      <c r="DU367" s="357"/>
      <c r="DV367" s="357"/>
      <c r="DW367" s="357"/>
      <c r="DX367" s="357"/>
      <c r="DY367" s="357"/>
      <c r="DZ367" s="357"/>
      <c r="EA367" s="357"/>
      <c r="EB367" s="357"/>
      <c r="EC367" s="357"/>
      <c r="ED367" s="357"/>
      <c r="EE367" s="357"/>
      <c r="EF367" s="357"/>
      <c r="EG367" s="357"/>
      <c r="EH367" s="357"/>
      <c r="EI367" s="357"/>
      <c r="EJ367" s="357"/>
      <c r="EK367" s="357"/>
      <c r="EL367" s="357"/>
      <c r="EM367" s="357"/>
      <c r="EN367" s="357"/>
      <c r="EO367" s="357"/>
      <c r="EP367" s="357"/>
      <c r="EQ367" s="357"/>
      <c r="ER367" s="357"/>
      <c r="ES367" s="357"/>
      <c r="ET367" s="357"/>
      <c r="EU367" s="357"/>
      <c r="EV367" s="357"/>
      <c r="EW367" s="357"/>
      <c r="EX367" s="357"/>
      <c r="EY367" s="357"/>
      <c r="EZ367" s="357"/>
      <c r="FA367" s="357"/>
      <c r="FB367" s="357"/>
      <c r="FC367" s="357"/>
      <c r="FD367" s="357"/>
      <c r="FE367" s="357"/>
      <c r="FF367" s="357"/>
      <c r="FG367" s="357"/>
      <c r="FH367" s="357"/>
      <c r="FI367" s="357"/>
      <c r="FJ367" s="357"/>
      <c r="FK367" s="357"/>
      <c r="FL367" s="357"/>
      <c r="FM367" s="357"/>
      <c r="FN367" s="357"/>
      <c r="FO367" s="357"/>
      <c r="FP367" s="357"/>
      <c r="FQ367" s="357"/>
      <c r="FR367" s="357"/>
      <c r="FS367" s="357"/>
      <c r="FT367" s="357"/>
      <c r="FU367" s="357"/>
      <c r="FV367" s="357"/>
      <c r="FW367" s="357"/>
      <c r="FX367" s="357"/>
      <c r="FY367" s="357"/>
      <c r="FZ367" s="357"/>
      <c r="GA367" s="357"/>
      <c r="GB367" s="357"/>
      <c r="GC367" s="357"/>
      <c r="GD367" s="357"/>
      <c r="GE367" s="357"/>
      <c r="GF367" s="357"/>
      <c r="GG367" s="357"/>
      <c r="GH367" s="357"/>
      <c r="GI367" s="357"/>
      <c r="GJ367" s="357"/>
    </row>
    <row r="368" spans="26:192">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57"/>
      <c r="BB368" s="357"/>
      <c r="BC368" s="357"/>
      <c r="BD368" s="357"/>
      <c r="BE368" s="357"/>
      <c r="BF368" s="357"/>
      <c r="BG368" s="357"/>
      <c r="BH368" s="357"/>
      <c r="BI368" s="357"/>
      <c r="BJ368" s="357"/>
      <c r="BK368" s="357"/>
      <c r="BL368" s="357"/>
      <c r="BM368" s="357"/>
      <c r="BN368" s="357"/>
      <c r="BO368" s="357"/>
      <c r="BP368" s="357"/>
      <c r="BQ368" s="357"/>
      <c r="BR368" s="357"/>
      <c r="BS368" s="357"/>
      <c r="BT368" s="357"/>
      <c r="BU368" s="357"/>
      <c r="BV368" s="357"/>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c r="DA368" s="357"/>
      <c r="DB368" s="357"/>
      <c r="DC368" s="357"/>
      <c r="DD368" s="357"/>
      <c r="DE368" s="357"/>
      <c r="DF368" s="357"/>
      <c r="DG368" s="357"/>
      <c r="DH368" s="357"/>
      <c r="DI368" s="357"/>
      <c r="DJ368" s="357"/>
      <c r="DK368" s="357"/>
      <c r="DL368" s="357"/>
      <c r="DM368" s="357"/>
      <c r="DN368" s="357"/>
      <c r="DO368" s="357"/>
      <c r="DP368" s="357"/>
      <c r="DQ368" s="357"/>
      <c r="DR368" s="357"/>
      <c r="DS368" s="357"/>
      <c r="DT368" s="357"/>
      <c r="DU368" s="357"/>
      <c r="DV368" s="357"/>
      <c r="DW368" s="357"/>
      <c r="DX368" s="357"/>
      <c r="DY368" s="357"/>
      <c r="DZ368" s="357"/>
      <c r="EA368" s="357"/>
      <c r="EB368" s="357"/>
      <c r="EC368" s="357"/>
      <c r="ED368" s="357"/>
      <c r="EE368" s="357"/>
      <c r="EF368" s="357"/>
      <c r="EG368" s="357"/>
      <c r="EH368" s="357"/>
      <c r="EI368" s="357"/>
      <c r="EJ368" s="357"/>
      <c r="EK368" s="357"/>
      <c r="EL368" s="357"/>
      <c r="EM368" s="357"/>
      <c r="EN368" s="357"/>
      <c r="EO368" s="357"/>
      <c r="EP368" s="357"/>
      <c r="EQ368" s="357"/>
      <c r="ER368" s="357"/>
      <c r="ES368" s="357"/>
      <c r="ET368" s="357"/>
      <c r="EU368" s="357"/>
      <c r="EV368" s="357"/>
      <c r="EW368" s="357"/>
      <c r="EX368" s="357"/>
      <c r="EY368" s="357"/>
      <c r="EZ368" s="357"/>
      <c r="FA368" s="357"/>
      <c r="FB368" s="357"/>
      <c r="FC368" s="357"/>
      <c r="FD368" s="357"/>
      <c r="FE368" s="357"/>
      <c r="FF368" s="357"/>
      <c r="FG368" s="357"/>
      <c r="FH368" s="357"/>
      <c r="FI368" s="357"/>
      <c r="FJ368" s="357"/>
      <c r="FK368" s="357"/>
      <c r="FL368" s="357"/>
      <c r="FM368" s="357"/>
      <c r="FN368" s="357"/>
      <c r="FO368" s="357"/>
      <c r="FP368" s="357"/>
      <c r="FQ368" s="357"/>
      <c r="FR368" s="357"/>
      <c r="FS368" s="357"/>
      <c r="FT368" s="357"/>
      <c r="FU368" s="357"/>
      <c r="FV368" s="357"/>
      <c r="FW368" s="357"/>
      <c r="FX368" s="357"/>
      <c r="FY368" s="357"/>
      <c r="FZ368" s="357"/>
      <c r="GA368" s="357"/>
      <c r="GB368" s="357"/>
      <c r="GC368" s="357"/>
      <c r="GD368" s="357"/>
      <c r="GE368" s="357"/>
      <c r="GF368" s="357"/>
      <c r="GG368" s="357"/>
      <c r="GH368" s="357"/>
      <c r="GI368" s="357"/>
      <c r="GJ368" s="357"/>
    </row>
    <row r="369" spans="26:192">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57"/>
      <c r="BB369" s="357"/>
      <c r="BC369" s="357"/>
      <c r="BD369" s="357"/>
      <c r="BE369" s="357"/>
      <c r="BF369" s="357"/>
      <c r="BG369" s="357"/>
      <c r="BH369" s="357"/>
      <c r="BI369" s="357"/>
      <c r="BJ369" s="357"/>
      <c r="BK369" s="357"/>
      <c r="BL369" s="357"/>
      <c r="BM369" s="357"/>
      <c r="BN369" s="357"/>
      <c r="BO369" s="357"/>
      <c r="BP369" s="357"/>
      <c r="BQ369" s="357"/>
      <c r="BR369" s="357"/>
      <c r="BS369" s="357"/>
      <c r="BT369" s="357"/>
      <c r="BU369" s="357"/>
      <c r="BV369" s="357"/>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c r="DA369" s="357"/>
      <c r="DB369" s="357"/>
      <c r="DC369" s="357"/>
      <c r="DD369" s="357"/>
      <c r="DE369" s="357"/>
      <c r="DF369" s="357"/>
      <c r="DG369" s="357"/>
      <c r="DH369" s="357"/>
      <c r="DI369" s="357"/>
      <c r="DJ369" s="357"/>
      <c r="DK369" s="357"/>
      <c r="DL369" s="357"/>
      <c r="DM369" s="357"/>
      <c r="DN369" s="357"/>
      <c r="DO369" s="357"/>
      <c r="DP369" s="357"/>
      <c r="DQ369" s="357"/>
      <c r="DR369" s="357"/>
      <c r="DS369" s="357"/>
      <c r="DT369" s="357"/>
      <c r="DU369" s="357"/>
      <c r="DV369" s="357"/>
      <c r="DW369" s="357"/>
      <c r="DX369" s="357"/>
      <c r="DY369" s="357"/>
      <c r="DZ369" s="357"/>
      <c r="EA369" s="357"/>
      <c r="EB369" s="357"/>
      <c r="EC369" s="357"/>
      <c r="ED369" s="357"/>
      <c r="EE369" s="357"/>
      <c r="EF369" s="357"/>
      <c r="EG369" s="357"/>
      <c r="EH369" s="357"/>
      <c r="EI369" s="357"/>
      <c r="EJ369" s="357"/>
      <c r="EK369" s="357"/>
      <c r="EL369" s="357"/>
      <c r="EM369" s="357"/>
      <c r="EN369" s="357"/>
      <c r="EO369" s="357"/>
      <c r="EP369" s="357"/>
      <c r="EQ369" s="357"/>
      <c r="ER369" s="357"/>
      <c r="ES369" s="357"/>
      <c r="ET369" s="357"/>
      <c r="EU369" s="357"/>
      <c r="EV369" s="357"/>
      <c r="EW369" s="357"/>
      <c r="EX369" s="357"/>
      <c r="EY369" s="357"/>
      <c r="EZ369" s="357"/>
      <c r="FA369" s="357"/>
      <c r="FB369" s="357"/>
      <c r="FC369" s="357"/>
      <c r="FD369" s="357"/>
      <c r="FE369" s="357"/>
      <c r="FF369" s="357"/>
      <c r="FG369" s="357"/>
      <c r="FH369" s="357"/>
      <c r="FI369" s="357"/>
      <c r="FJ369" s="357"/>
      <c r="FK369" s="357"/>
      <c r="FL369" s="357"/>
      <c r="FM369" s="357"/>
      <c r="FN369" s="357"/>
      <c r="FO369" s="357"/>
      <c r="FP369" s="357"/>
      <c r="FQ369" s="357"/>
      <c r="FR369" s="357"/>
      <c r="FS369" s="357"/>
      <c r="FT369" s="357"/>
      <c r="FU369" s="357"/>
      <c r="FV369" s="357"/>
      <c r="FW369" s="357"/>
      <c r="FX369" s="357"/>
      <c r="FY369" s="357"/>
      <c r="FZ369" s="357"/>
      <c r="GA369" s="357"/>
      <c r="GB369" s="357"/>
      <c r="GC369" s="357"/>
      <c r="GD369" s="357"/>
      <c r="GE369" s="357"/>
      <c r="GF369" s="357"/>
      <c r="GG369" s="357"/>
      <c r="GH369" s="357"/>
      <c r="GI369" s="357"/>
      <c r="GJ369" s="357"/>
    </row>
    <row r="370" spans="26:192">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57"/>
      <c r="BB370" s="357"/>
      <c r="BC370" s="357"/>
      <c r="BD370" s="357"/>
      <c r="BE370" s="357"/>
      <c r="BF370" s="357"/>
      <c r="BG370" s="357"/>
      <c r="BH370" s="357"/>
      <c r="BI370" s="357"/>
      <c r="BJ370" s="357"/>
      <c r="BK370" s="357"/>
      <c r="BL370" s="357"/>
      <c r="BM370" s="357"/>
      <c r="BN370" s="357"/>
      <c r="BO370" s="357"/>
      <c r="BP370" s="357"/>
      <c r="BQ370" s="357"/>
      <c r="BR370" s="357"/>
      <c r="BS370" s="357"/>
      <c r="BT370" s="357"/>
      <c r="BU370" s="357"/>
      <c r="BV370" s="357"/>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c r="DA370" s="357"/>
      <c r="DB370" s="357"/>
      <c r="DC370" s="357"/>
      <c r="DD370" s="357"/>
      <c r="DE370" s="357"/>
      <c r="DF370" s="357"/>
      <c r="DG370" s="357"/>
      <c r="DH370" s="357"/>
      <c r="DI370" s="357"/>
      <c r="DJ370" s="357"/>
      <c r="DK370" s="357"/>
      <c r="DL370" s="357"/>
      <c r="DM370" s="357"/>
      <c r="DN370" s="357"/>
      <c r="DO370" s="357"/>
      <c r="DP370" s="357"/>
      <c r="DQ370" s="357"/>
      <c r="DR370" s="357"/>
      <c r="DS370" s="357"/>
      <c r="DT370" s="357"/>
      <c r="DU370" s="357"/>
      <c r="DV370" s="357"/>
      <c r="DW370" s="357"/>
      <c r="DX370" s="357"/>
      <c r="DY370" s="357"/>
      <c r="DZ370" s="357"/>
      <c r="EA370" s="357"/>
      <c r="EB370" s="357"/>
      <c r="EC370" s="357"/>
      <c r="ED370" s="357"/>
      <c r="EE370" s="357"/>
      <c r="EF370" s="357"/>
      <c r="EG370" s="357"/>
      <c r="EH370" s="357"/>
      <c r="EI370" s="357"/>
      <c r="EJ370" s="357"/>
      <c r="EK370" s="357"/>
      <c r="EL370" s="357"/>
      <c r="EM370" s="357"/>
      <c r="EN370" s="357"/>
      <c r="EO370" s="357"/>
      <c r="EP370" s="357"/>
      <c r="EQ370" s="357"/>
      <c r="ER370" s="357"/>
      <c r="ES370" s="357"/>
      <c r="ET370" s="357"/>
      <c r="EU370" s="357"/>
      <c r="EV370" s="357"/>
      <c r="EW370" s="357"/>
      <c r="EX370" s="357"/>
      <c r="EY370" s="357"/>
      <c r="EZ370" s="357"/>
      <c r="FA370" s="357"/>
      <c r="FB370" s="357"/>
      <c r="FC370" s="357"/>
      <c r="FD370" s="357"/>
      <c r="FE370" s="357"/>
      <c r="FF370" s="357"/>
      <c r="FG370" s="357"/>
      <c r="FH370" s="357"/>
      <c r="FI370" s="357"/>
      <c r="FJ370" s="357"/>
      <c r="FK370" s="357"/>
      <c r="FL370" s="357"/>
      <c r="FM370" s="357"/>
      <c r="FN370" s="357"/>
      <c r="FO370" s="357"/>
      <c r="FP370" s="357"/>
      <c r="FQ370" s="357"/>
      <c r="FR370" s="357"/>
      <c r="FS370" s="357"/>
      <c r="FT370" s="357"/>
      <c r="FU370" s="357"/>
      <c r="FV370" s="357"/>
      <c r="FW370" s="357"/>
      <c r="FX370" s="357"/>
      <c r="FY370" s="357"/>
      <c r="FZ370" s="357"/>
      <c r="GA370" s="357"/>
      <c r="GB370" s="357"/>
      <c r="GC370" s="357"/>
      <c r="GD370" s="357"/>
      <c r="GE370" s="357"/>
      <c r="GF370" s="357"/>
      <c r="GG370" s="357"/>
      <c r="GH370" s="357"/>
      <c r="GI370" s="357"/>
      <c r="GJ370" s="357"/>
    </row>
    <row r="371" spans="26:192">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57"/>
      <c r="BB371" s="357"/>
      <c r="BC371" s="357"/>
      <c r="BD371" s="357"/>
      <c r="BE371" s="357"/>
      <c r="BF371" s="357"/>
      <c r="BG371" s="357"/>
      <c r="BH371" s="357"/>
      <c r="BI371" s="357"/>
      <c r="BJ371" s="357"/>
      <c r="BK371" s="357"/>
      <c r="BL371" s="357"/>
      <c r="BM371" s="357"/>
      <c r="BN371" s="357"/>
      <c r="BO371" s="357"/>
      <c r="BP371" s="357"/>
      <c r="BQ371" s="357"/>
      <c r="BR371" s="357"/>
      <c r="BS371" s="357"/>
      <c r="BT371" s="357"/>
      <c r="BU371" s="357"/>
      <c r="BV371" s="357"/>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c r="DA371" s="357"/>
      <c r="DB371" s="357"/>
      <c r="DC371" s="357"/>
      <c r="DD371" s="357"/>
      <c r="DE371" s="357"/>
      <c r="DF371" s="357"/>
      <c r="DG371" s="357"/>
      <c r="DH371" s="357"/>
      <c r="DI371" s="357"/>
      <c r="DJ371" s="357"/>
      <c r="DK371" s="357"/>
      <c r="DL371" s="357"/>
      <c r="DM371" s="357"/>
      <c r="DN371" s="357"/>
      <c r="DO371" s="357"/>
      <c r="DP371" s="357"/>
      <c r="DQ371" s="357"/>
      <c r="DR371" s="357"/>
      <c r="DS371" s="357"/>
      <c r="DT371" s="357"/>
      <c r="DU371" s="357"/>
      <c r="DV371" s="357"/>
      <c r="DW371" s="357"/>
      <c r="DX371" s="357"/>
      <c r="DY371" s="357"/>
      <c r="DZ371" s="357"/>
      <c r="EA371" s="357"/>
      <c r="EB371" s="357"/>
      <c r="EC371" s="357"/>
      <c r="ED371" s="357"/>
      <c r="EE371" s="357"/>
      <c r="EF371" s="357"/>
      <c r="EG371" s="357"/>
      <c r="EH371" s="357"/>
      <c r="EI371" s="357"/>
      <c r="EJ371" s="357"/>
      <c r="EK371" s="357"/>
      <c r="EL371" s="357"/>
      <c r="EM371" s="357"/>
      <c r="EN371" s="357"/>
      <c r="EO371" s="357"/>
      <c r="EP371" s="357"/>
      <c r="EQ371" s="357"/>
      <c r="ER371" s="357"/>
      <c r="ES371" s="357"/>
      <c r="ET371" s="357"/>
      <c r="EU371" s="357"/>
      <c r="EV371" s="357"/>
      <c r="EW371" s="357"/>
      <c r="EX371" s="357"/>
      <c r="EY371" s="357"/>
      <c r="EZ371" s="357"/>
      <c r="FA371" s="357"/>
      <c r="FB371" s="357"/>
      <c r="FC371" s="357"/>
      <c r="FD371" s="357"/>
      <c r="FE371" s="357"/>
      <c r="FF371" s="357"/>
      <c r="FG371" s="357"/>
      <c r="FH371" s="357"/>
      <c r="FI371" s="357"/>
      <c r="FJ371" s="357"/>
      <c r="FK371" s="357"/>
      <c r="FL371" s="357"/>
      <c r="FM371" s="357"/>
      <c r="FN371" s="357"/>
      <c r="FO371" s="357"/>
      <c r="FP371" s="357"/>
      <c r="FQ371" s="357"/>
      <c r="FR371" s="357"/>
      <c r="FS371" s="357"/>
      <c r="FT371" s="357"/>
      <c r="FU371" s="357"/>
      <c r="FV371" s="357"/>
      <c r="FW371" s="357"/>
      <c r="FX371" s="357"/>
      <c r="FY371" s="357"/>
      <c r="FZ371" s="357"/>
      <c r="GA371" s="357"/>
      <c r="GB371" s="357"/>
      <c r="GC371" s="357"/>
      <c r="GD371" s="357"/>
      <c r="GE371" s="357"/>
      <c r="GF371" s="357"/>
      <c r="GG371" s="357"/>
      <c r="GH371" s="357"/>
      <c r="GI371" s="357"/>
      <c r="GJ371" s="357"/>
    </row>
    <row r="372" spans="26:192">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57"/>
      <c r="BB372" s="357"/>
      <c r="BC372" s="357"/>
      <c r="BD372" s="357"/>
      <c r="BE372" s="357"/>
      <c r="BF372" s="357"/>
      <c r="BG372" s="357"/>
      <c r="BH372" s="357"/>
      <c r="BI372" s="357"/>
      <c r="BJ372" s="357"/>
      <c r="BK372" s="357"/>
      <c r="BL372" s="357"/>
      <c r="BM372" s="357"/>
      <c r="BN372" s="357"/>
      <c r="BO372" s="357"/>
      <c r="BP372" s="357"/>
      <c r="BQ372" s="357"/>
      <c r="BR372" s="357"/>
      <c r="BS372" s="357"/>
      <c r="BT372" s="357"/>
      <c r="BU372" s="357"/>
      <c r="BV372" s="357"/>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c r="DA372" s="357"/>
      <c r="DB372" s="357"/>
      <c r="DC372" s="357"/>
      <c r="DD372" s="357"/>
      <c r="DE372" s="357"/>
      <c r="DF372" s="357"/>
      <c r="DG372" s="357"/>
      <c r="DH372" s="357"/>
      <c r="DI372" s="357"/>
      <c r="DJ372" s="357"/>
      <c r="DK372" s="357"/>
      <c r="DL372" s="357"/>
      <c r="DM372" s="357"/>
      <c r="DN372" s="357"/>
      <c r="DO372" s="357"/>
      <c r="DP372" s="357"/>
      <c r="DQ372" s="357"/>
      <c r="DR372" s="357"/>
      <c r="DS372" s="357"/>
      <c r="DT372" s="357"/>
      <c r="DU372" s="357"/>
      <c r="DV372" s="357"/>
      <c r="DW372" s="357"/>
      <c r="DX372" s="357"/>
      <c r="DY372" s="357"/>
      <c r="DZ372" s="357"/>
      <c r="EA372" s="357"/>
      <c r="EB372" s="357"/>
      <c r="EC372" s="357"/>
      <c r="ED372" s="357"/>
      <c r="EE372" s="357"/>
      <c r="EF372" s="357"/>
      <c r="EG372" s="357"/>
      <c r="EH372" s="357"/>
      <c r="EI372" s="357"/>
      <c r="EJ372" s="357"/>
      <c r="EK372" s="357"/>
      <c r="EL372" s="357"/>
      <c r="EM372" s="357"/>
      <c r="EN372" s="357"/>
      <c r="EO372" s="357"/>
      <c r="EP372" s="357"/>
      <c r="EQ372" s="357"/>
      <c r="ER372" s="357"/>
      <c r="ES372" s="357"/>
      <c r="ET372" s="357"/>
      <c r="EU372" s="357"/>
      <c r="EV372" s="357"/>
      <c r="EW372" s="357"/>
      <c r="EX372" s="357"/>
      <c r="EY372" s="357"/>
      <c r="EZ372" s="357"/>
      <c r="FA372" s="357"/>
      <c r="FB372" s="357"/>
      <c r="FC372" s="357"/>
      <c r="FD372" s="357"/>
      <c r="FE372" s="357"/>
      <c r="FF372" s="357"/>
      <c r="FG372" s="357"/>
      <c r="FH372" s="357"/>
      <c r="FI372" s="357"/>
      <c r="FJ372" s="357"/>
      <c r="FK372" s="357"/>
      <c r="FL372" s="357"/>
      <c r="FM372" s="357"/>
      <c r="FN372" s="357"/>
      <c r="FO372" s="357"/>
      <c r="FP372" s="357"/>
      <c r="FQ372" s="357"/>
      <c r="FR372" s="357"/>
      <c r="FS372" s="357"/>
      <c r="FT372" s="357"/>
      <c r="FU372" s="357"/>
      <c r="FV372" s="357"/>
      <c r="FW372" s="357"/>
      <c r="FX372" s="357"/>
      <c r="FY372" s="357"/>
      <c r="FZ372" s="357"/>
      <c r="GA372" s="357"/>
      <c r="GB372" s="357"/>
      <c r="GC372" s="357"/>
      <c r="GD372" s="357"/>
      <c r="GE372" s="357"/>
      <c r="GF372" s="357"/>
      <c r="GG372" s="357"/>
      <c r="GH372" s="357"/>
      <c r="GI372" s="357"/>
      <c r="GJ372" s="357"/>
    </row>
    <row r="373" spans="26:192">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57"/>
      <c r="BB373" s="357"/>
      <c r="BC373" s="357"/>
      <c r="BD373" s="357"/>
      <c r="BE373" s="357"/>
      <c r="BF373" s="357"/>
      <c r="BG373" s="357"/>
      <c r="BH373" s="357"/>
      <c r="BI373" s="357"/>
      <c r="BJ373" s="357"/>
      <c r="BK373" s="357"/>
      <c r="BL373" s="357"/>
      <c r="BM373" s="357"/>
      <c r="BN373" s="357"/>
      <c r="BO373" s="357"/>
      <c r="BP373" s="357"/>
      <c r="BQ373" s="357"/>
      <c r="BR373" s="357"/>
      <c r="BS373" s="357"/>
      <c r="BT373" s="357"/>
      <c r="BU373" s="357"/>
      <c r="BV373" s="357"/>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c r="DA373" s="357"/>
      <c r="DB373" s="357"/>
      <c r="DC373" s="357"/>
      <c r="DD373" s="357"/>
      <c r="DE373" s="357"/>
      <c r="DF373" s="357"/>
      <c r="DG373" s="357"/>
      <c r="DH373" s="357"/>
      <c r="DI373" s="357"/>
      <c r="DJ373" s="357"/>
      <c r="DK373" s="357"/>
      <c r="DL373" s="357"/>
      <c r="DM373" s="357"/>
      <c r="DN373" s="357"/>
      <c r="DO373" s="357"/>
      <c r="DP373" s="357"/>
      <c r="DQ373" s="357"/>
      <c r="DR373" s="357"/>
      <c r="DS373" s="357"/>
      <c r="DT373" s="357"/>
      <c r="DU373" s="357"/>
      <c r="DV373" s="357"/>
      <c r="DW373" s="357"/>
      <c r="DX373" s="357"/>
      <c r="DY373" s="357"/>
      <c r="DZ373" s="357"/>
      <c r="EA373" s="357"/>
      <c r="EB373" s="357"/>
      <c r="EC373" s="357"/>
      <c r="ED373" s="357"/>
      <c r="EE373" s="357"/>
      <c r="EF373" s="357"/>
      <c r="EG373" s="357"/>
      <c r="EH373" s="357"/>
      <c r="EI373" s="357"/>
      <c r="EJ373" s="357"/>
      <c r="EK373" s="357"/>
      <c r="EL373" s="357"/>
      <c r="EM373" s="357"/>
      <c r="EN373" s="357"/>
      <c r="EO373" s="357"/>
      <c r="EP373" s="357"/>
      <c r="EQ373" s="357"/>
      <c r="ER373" s="357"/>
      <c r="ES373" s="357"/>
      <c r="ET373" s="357"/>
      <c r="EU373" s="357"/>
      <c r="EV373" s="357"/>
      <c r="EW373" s="357"/>
      <c r="EX373" s="357"/>
      <c r="EY373" s="357"/>
      <c r="EZ373" s="357"/>
      <c r="FA373" s="357"/>
      <c r="FB373" s="357"/>
      <c r="FC373" s="357"/>
      <c r="FD373" s="357"/>
      <c r="FE373" s="357"/>
      <c r="FF373" s="357"/>
      <c r="FG373" s="357"/>
      <c r="FH373" s="357"/>
      <c r="FI373" s="357"/>
      <c r="FJ373" s="357"/>
      <c r="FK373" s="357"/>
      <c r="FL373" s="357"/>
      <c r="FM373" s="357"/>
      <c r="FN373" s="357"/>
      <c r="FO373" s="357"/>
      <c r="FP373" s="357"/>
      <c r="FQ373" s="357"/>
      <c r="FR373" s="357"/>
      <c r="FS373" s="357"/>
      <c r="FT373" s="357"/>
      <c r="FU373" s="357"/>
      <c r="FV373" s="357"/>
      <c r="FW373" s="357"/>
      <c r="FX373" s="357"/>
      <c r="FY373" s="357"/>
      <c r="FZ373" s="357"/>
      <c r="GA373" s="357"/>
      <c r="GB373" s="357"/>
      <c r="GC373" s="357"/>
      <c r="GD373" s="357"/>
      <c r="GE373" s="357"/>
      <c r="GF373" s="357"/>
      <c r="GG373" s="357"/>
      <c r="GH373" s="357"/>
      <c r="GI373" s="357"/>
      <c r="GJ373" s="357"/>
    </row>
    <row r="374" spans="26:192">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57"/>
      <c r="BB374" s="357"/>
      <c r="BC374" s="357"/>
      <c r="BD374" s="357"/>
      <c r="BE374" s="357"/>
      <c r="BF374" s="357"/>
      <c r="BG374" s="357"/>
      <c r="BH374" s="357"/>
      <c r="BI374" s="357"/>
      <c r="BJ374" s="357"/>
      <c r="BK374" s="357"/>
      <c r="BL374" s="357"/>
      <c r="BM374" s="357"/>
      <c r="BN374" s="357"/>
      <c r="BO374" s="357"/>
      <c r="BP374" s="357"/>
      <c r="BQ374" s="357"/>
      <c r="BR374" s="357"/>
      <c r="BS374" s="357"/>
      <c r="BT374" s="357"/>
      <c r="BU374" s="357"/>
      <c r="BV374" s="357"/>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c r="DA374" s="357"/>
      <c r="DB374" s="357"/>
      <c r="DC374" s="357"/>
      <c r="DD374" s="357"/>
      <c r="DE374" s="357"/>
      <c r="DF374" s="357"/>
      <c r="DG374" s="357"/>
      <c r="DH374" s="357"/>
      <c r="DI374" s="357"/>
      <c r="DJ374" s="357"/>
      <c r="DK374" s="357"/>
      <c r="DL374" s="357"/>
      <c r="DM374" s="357"/>
      <c r="DN374" s="357"/>
      <c r="DO374" s="357"/>
      <c r="DP374" s="357"/>
      <c r="DQ374" s="357"/>
      <c r="DR374" s="357"/>
      <c r="DS374" s="357"/>
      <c r="DT374" s="357"/>
      <c r="DU374" s="357"/>
      <c r="DV374" s="357"/>
      <c r="DW374" s="357"/>
      <c r="DX374" s="357"/>
      <c r="DY374" s="357"/>
      <c r="DZ374" s="357"/>
      <c r="EA374" s="357"/>
      <c r="EB374" s="357"/>
      <c r="EC374" s="357"/>
      <c r="ED374" s="357"/>
      <c r="EE374" s="357"/>
      <c r="EF374" s="357"/>
      <c r="EG374" s="357"/>
      <c r="EH374" s="357"/>
      <c r="EI374" s="357"/>
      <c r="EJ374" s="357"/>
      <c r="EK374" s="357"/>
      <c r="EL374" s="357"/>
      <c r="EM374" s="357"/>
      <c r="EN374" s="357"/>
      <c r="EO374" s="357"/>
      <c r="EP374" s="357"/>
      <c r="EQ374" s="357"/>
      <c r="ER374" s="357"/>
      <c r="ES374" s="357"/>
      <c r="ET374" s="357"/>
      <c r="EU374" s="357"/>
      <c r="EV374" s="357"/>
      <c r="EW374" s="357"/>
      <c r="EX374" s="357"/>
      <c r="EY374" s="357"/>
      <c r="EZ374" s="357"/>
      <c r="FA374" s="357"/>
      <c r="FB374" s="357"/>
      <c r="FC374" s="357"/>
      <c r="FD374" s="357"/>
      <c r="FE374" s="357"/>
      <c r="FF374" s="357"/>
      <c r="FG374" s="357"/>
      <c r="FH374" s="357"/>
      <c r="FI374" s="357"/>
      <c r="FJ374" s="357"/>
      <c r="FK374" s="357"/>
      <c r="FL374" s="357"/>
      <c r="FM374" s="357"/>
      <c r="FN374" s="357"/>
      <c r="FO374" s="357"/>
      <c r="FP374" s="357"/>
      <c r="FQ374" s="357"/>
      <c r="FR374" s="357"/>
      <c r="FS374" s="357"/>
      <c r="FT374" s="357"/>
      <c r="FU374" s="357"/>
      <c r="FV374" s="357"/>
      <c r="FW374" s="357"/>
      <c r="FX374" s="357"/>
      <c r="FY374" s="357"/>
      <c r="FZ374" s="357"/>
      <c r="GA374" s="357"/>
      <c r="GB374" s="357"/>
      <c r="GC374" s="357"/>
      <c r="GD374" s="357"/>
      <c r="GE374" s="357"/>
      <c r="GF374" s="357"/>
      <c r="GG374" s="357"/>
      <c r="GH374" s="357"/>
      <c r="GI374" s="357"/>
      <c r="GJ374" s="357"/>
    </row>
    <row r="375" spans="26:192">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57"/>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7"/>
      <c r="BW375" s="357"/>
      <c r="BX375" s="357"/>
      <c r="BY375" s="357"/>
      <c r="BZ375" s="357"/>
      <c r="CA375" s="357"/>
      <c r="CB375" s="357"/>
      <c r="CC375" s="357"/>
      <c r="CD375" s="357"/>
      <c r="CE375" s="357"/>
      <c r="CF375" s="357"/>
      <c r="CG375" s="357"/>
      <c r="CH375" s="357"/>
      <c r="CI375" s="357"/>
      <c r="CJ375" s="357"/>
      <c r="CK375" s="357"/>
      <c r="CL375" s="357"/>
      <c r="CM375" s="357"/>
      <c r="CN375" s="357"/>
      <c r="CO375" s="357"/>
      <c r="CP375" s="357"/>
      <c r="CQ375" s="357"/>
      <c r="CR375" s="357"/>
      <c r="CS375" s="357"/>
      <c r="CT375" s="357"/>
      <c r="CU375" s="357"/>
      <c r="CV375" s="357"/>
      <c r="CW375" s="357"/>
      <c r="CX375" s="357"/>
      <c r="CY375" s="357"/>
      <c r="CZ375" s="357"/>
      <c r="DA375" s="357"/>
      <c r="DB375" s="357"/>
      <c r="DC375" s="357"/>
      <c r="DD375" s="357"/>
      <c r="DE375" s="357"/>
      <c r="DF375" s="357"/>
      <c r="DG375" s="357"/>
      <c r="DH375" s="357"/>
      <c r="DI375" s="357"/>
      <c r="DJ375" s="357"/>
      <c r="DK375" s="357"/>
      <c r="DL375" s="357"/>
      <c r="DM375" s="357"/>
      <c r="DN375" s="357"/>
      <c r="DO375" s="357"/>
      <c r="DP375" s="357"/>
      <c r="DQ375" s="357"/>
      <c r="DR375" s="357"/>
      <c r="DS375" s="357"/>
      <c r="DT375" s="357"/>
      <c r="DU375" s="357"/>
      <c r="DV375" s="357"/>
      <c r="DW375" s="357"/>
      <c r="DX375" s="357"/>
      <c r="DY375" s="357"/>
      <c r="DZ375" s="357"/>
      <c r="EA375" s="357"/>
      <c r="EB375" s="357"/>
      <c r="EC375" s="357"/>
      <c r="ED375" s="357"/>
      <c r="EE375" s="357"/>
      <c r="EF375" s="357"/>
      <c r="EG375" s="357"/>
      <c r="EH375" s="357"/>
      <c r="EI375" s="357"/>
      <c r="EJ375" s="357"/>
      <c r="EK375" s="357"/>
      <c r="EL375" s="357"/>
      <c r="EM375" s="357"/>
      <c r="EN375" s="357"/>
      <c r="EO375" s="357"/>
      <c r="EP375" s="357"/>
      <c r="EQ375" s="357"/>
      <c r="ER375" s="357"/>
      <c r="ES375" s="357"/>
      <c r="ET375" s="357"/>
      <c r="EU375" s="357"/>
      <c r="EV375" s="357"/>
      <c r="EW375" s="357"/>
      <c r="EX375" s="357"/>
      <c r="EY375" s="357"/>
      <c r="EZ375" s="357"/>
      <c r="FA375" s="357"/>
      <c r="FB375" s="357"/>
      <c r="FC375" s="357"/>
      <c r="FD375" s="357"/>
      <c r="FE375" s="357"/>
      <c r="FF375" s="357"/>
      <c r="FG375" s="357"/>
      <c r="FH375" s="357"/>
      <c r="FI375" s="357"/>
      <c r="FJ375" s="357"/>
      <c r="FK375" s="357"/>
      <c r="FL375" s="357"/>
      <c r="FM375" s="357"/>
      <c r="FN375" s="357"/>
      <c r="FO375" s="357"/>
      <c r="FP375" s="357"/>
      <c r="FQ375" s="357"/>
      <c r="FR375" s="357"/>
      <c r="FS375" s="357"/>
      <c r="FT375" s="357"/>
      <c r="FU375" s="357"/>
      <c r="FV375" s="357"/>
      <c r="FW375" s="357"/>
      <c r="FX375" s="357"/>
      <c r="FY375" s="357"/>
      <c r="FZ375" s="357"/>
      <c r="GA375" s="357"/>
      <c r="GB375" s="357"/>
      <c r="GC375" s="357"/>
      <c r="GD375" s="357"/>
      <c r="GE375" s="357"/>
      <c r="GF375" s="357"/>
      <c r="GG375" s="357"/>
      <c r="GH375" s="357"/>
      <c r="GI375" s="357"/>
      <c r="GJ375" s="357"/>
    </row>
    <row r="376" spans="26:192">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57"/>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7"/>
      <c r="BW376" s="357"/>
      <c r="BX376" s="357"/>
      <c r="BY376" s="357"/>
      <c r="BZ376" s="357"/>
      <c r="CA376" s="357"/>
      <c r="CB376" s="357"/>
      <c r="CC376" s="357"/>
      <c r="CD376" s="357"/>
      <c r="CE376" s="357"/>
      <c r="CF376" s="357"/>
      <c r="CG376" s="357"/>
      <c r="CH376" s="357"/>
      <c r="CI376" s="357"/>
      <c r="CJ376" s="357"/>
      <c r="CK376" s="357"/>
      <c r="CL376" s="357"/>
      <c r="CM376" s="357"/>
      <c r="CN376" s="357"/>
      <c r="CO376" s="357"/>
      <c r="CP376" s="357"/>
      <c r="CQ376" s="357"/>
      <c r="CR376" s="357"/>
      <c r="CS376" s="357"/>
      <c r="CT376" s="357"/>
      <c r="CU376" s="357"/>
      <c r="CV376" s="357"/>
      <c r="CW376" s="357"/>
      <c r="CX376" s="357"/>
      <c r="CY376" s="357"/>
      <c r="CZ376" s="357"/>
      <c r="DA376" s="357"/>
      <c r="DB376" s="357"/>
      <c r="DC376" s="357"/>
      <c r="DD376" s="357"/>
      <c r="DE376" s="357"/>
      <c r="DF376" s="357"/>
      <c r="DG376" s="357"/>
      <c r="DH376" s="357"/>
      <c r="DI376" s="357"/>
      <c r="DJ376" s="357"/>
      <c r="DK376" s="357"/>
      <c r="DL376" s="357"/>
      <c r="DM376" s="357"/>
      <c r="DN376" s="357"/>
      <c r="DO376" s="357"/>
      <c r="DP376" s="357"/>
      <c r="DQ376" s="357"/>
      <c r="DR376" s="357"/>
      <c r="DS376" s="357"/>
      <c r="DT376" s="357"/>
      <c r="DU376" s="357"/>
      <c r="DV376" s="357"/>
      <c r="DW376" s="357"/>
      <c r="DX376" s="357"/>
      <c r="DY376" s="357"/>
      <c r="DZ376" s="357"/>
      <c r="EA376" s="357"/>
      <c r="EB376" s="357"/>
      <c r="EC376" s="357"/>
      <c r="ED376" s="357"/>
      <c r="EE376" s="357"/>
      <c r="EF376" s="357"/>
      <c r="EG376" s="357"/>
      <c r="EH376" s="357"/>
      <c r="EI376" s="357"/>
      <c r="EJ376" s="357"/>
      <c r="EK376" s="357"/>
      <c r="EL376" s="357"/>
      <c r="EM376" s="357"/>
      <c r="EN376" s="357"/>
      <c r="EO376" s="357"/>
      <c r="EP376" s="357"/>
      <c r="EQ376" s="357"/>
      <c r="ER376" s="357"/>
      <c r="ES376" s="357"/>
      <c r="ET376" s="357"/>
      <c r="EU376" s="357"/>
      <c r="EV376" s="357"/>
      <c r="EW376" s="357"/>
      <c r="EX376" s="357"/>
      <c r="EY376" s="357"/>
      <c r="EZ376" s="357"/>
      <c r="FA376" s="357"/>
      <c r="FB376" s="357"/>
      <c r="FC376" s="357"/>
      <c r="FD376" s="357"/>
      <c r="FE376" s="357"/>
      <c r="FF376" s="357"/>
      <c r="FG376" s="357"/>
      <c r="FH376" s="357"/>
      <c r="FI376" s="357"/>
      <c r="FJ376" s="357"/>
      <c r="FK376" s="357"/>
      <c r="FL376" s="357"/>
      <c r="FM376" s="357"/>
      <c r="FN376" s="357"/>
      <c r="FO376" s="357"/>
      <c r="FP376" s="357"/>
      <c r="FQ376" s="357"/>
      <c r="FR376" s="357"/>
      <c r="FS376" s="357"/>
      <c r="FT376" s="357"/>
      <c r="FU376" s="357"/>
      <c r="FV376" s="357"/>
      <c r="FW376" s="357"/>
      <c r="FX376" s="357"/>
      <c r="FY376" s="357"/>
      <c r="FZ376" s="357"/>
      <c r="GA376" s="357"/>
      <c r="GB376" s="357"/>
      <c r="GC376" s="357"/>
      <c r="GD376" s="357"/>
      <c r="GE376" s="357"/>
      <c r="GF376" s="357"/>
      <c r="GG376" s="357"/>
      <c r="GH376" s="357"/>
      <c r="GI376" s="357"/>
      <c r="GJ376" s="357"/>
    </row>
    <row r="377" spans="26:192">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57"/>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7"/>
      <c r="BW377" s="357"/>
      <c r="BX377" s="357"/>
      <c r="BY377" s="357"/>
      <c r="BZ377" s="357"/>
      <c r="CA377" s="357"/>
      <c r="CB377" s="357"/>
      <c r="CC377" s="357"/>
      <c r="CD377" s="357"/>
      <c r="CE377" s="357"/>
      <c r="CF377" s="357"/>
      <c r="CG377" s="357"/>
      <c r="CH377" s="357"/>
      <c r="CI377" s="357"/>
      <c r="CJ377" s="357"/>
      <c r="CK377" s="357"/>
      <c r="CL377" s="357"/>
      <c r="CM377" s="357"/>
      <c r="CN377" s="357"/>
      <c r="CO377" s="357"/>
      <c r="CP377" s="357"/>
      <c r="CQ377" s="357"/>
      <c r="CR377" s="357"/>
      <c r="CS377" s="357"/>
      <c r="CT377" s="357"/>
      <c r="CU377" s="357"/>
      <c r="CV377" s="357"/>
      <c r="CW377" s="357"/>
      <c r="CX377" s="357"/>
      <c r="CY377" s="357"/>
      <c r="CZ377" s="357"/>
      <c r="DA377" s="357"/>
      <c r="DB377" s="357"/>
      <c r="DC377" s="357"/>
      <c r="DD377" s="357"/>
      <c r="DE377" s="357"/>
      <c r="DF377" s="357"/>
      <c r="DG377" s="357"/>
      <c r="DH377" s="357"/>
      <c r="DI377" s="357"/>
      <c r="DJ377" s="357"/>
      <c r="DK377" s="357"/>
      <c r="DL377" s="357"/>
      <c r="DM377" s="357"/>
      <c r="DN377" s="357"/>
      <c r="DO377" s="357"/>
      <c r="DP377" s="357"/>
      <c r="DQ377" s="357"/>
      <c r="DR377" s="357"/>
      <c r="DS377" s="357"/>
      <c r="DT377" s="357"/>
      <c r="DU377" s="357"/>
      <c r="DV377" s="357"/>
      <c r="DW377" s="357"/>
      <c r="DX377" s="357"/>
      <c r="DY377" s="357"/>
      <c r="DZ377" s="357"/>
      <c r="EA377" s="357"/>
      <c r="EB377" s="357"/>
      <c r="EC377" s="357"/>
      <c r="ED377" s="357"/>
      <c r="EE377" s="357"/>
      <c r="EF377" s="357"/>
      <c r="EG377" s="357"/>
      <c r="EH377" s="357"/>
      <c r="EI377" s="357"/>
      <c r="EJ377" s="357"/>
      <c r="EK377" s="357"/>
      <c r="EL377" s="357"/>
      <c r="EM377" s="357"/>
      <c r="EN377" s="357"/>
      <c r="EO377" s="357"/>
      <c r="EP377" s="357"/>
      <c r="EQ377" s="357"/>
      <c r="ER377" s="357"/>
      <c r="ES377" s="357"/>
      <c r="ET377" s="357"/>
      <c r="EU377" s="357"/>
      <c r="EV377" s="357"/>
      <c r="EW377" s="357"/>
      <c r="EX377" s="357"/>
      <c r="EY377" s="357"/>
      <c r="EZ377" s="357"/>
      <c r="FA377" s="357"/>
      <c r="FB377" s="357"/>
      <c r="FC377" s="357"/>
      <c r="FD377" s="357"/>
      <c r="FE377" s="357"/>
      <c r="FF377" s="357"/>
      <c r="FG377" s="357"/>
      <c r="FH377" s="357"/>
      <c r="FI377" s="357"/>
      <c r="FJ377" s="357"/>
      <c r="FK377" s="357"/>
      <c r="FL377" s="357"/>
      <c r="FM377" s="357"/>
      <c r="FN377" s="357"/>
      <c r="FO377" s="357"/>
      <c r="FP377" s="357"/>
      <c r="FQ377" s="357"/>
      <c r="FR377" s="357"/>
      <c r="FS377" s="357"/>
      <c r="FT377" s="357"/>
      <c r="FU377" s="357"/>
      <c r="FV377" s="357"/>
      <c r="FW377" s="357"/>
      <c r="FX377" s="357"/>
      <c r="FY377" s="357"/>
      <c r="FZ377" s="357"/>
      <c r="GA377" s="357"/>
      <c r="GB377" s="357"/>
      <c r="GC377" s="357"/>
      <c r="GD377" s="357"/>
      <c r="GE377" s="357"/>
      <c r="GF377" s="357"/>
      <c r="GG377" s="357"/>
      <c r="GH377" s="357"/>
      <c r="GI377" s="357"/>
      <c r="GJ377" s="357"/>
    </row>
    <row r="378" spans="26:192">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57"/>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7"/>
      <c r="BW378" s="357"/>
      <c r="BX378" s="357"/>
      <c r="BY378" s="357"/>
      <c r="BZ378" s="357"/>
      <c r="CA378" s="357"/>
      <c r="CB378" s="357"/>
      <c r="CC378" s="357"/>
      <c r="CD378" s="357"/>
      <c r="CE378" s="357"/>
      <c r="CF378" s="357"/>
      <c r="CG378" s="357"/>
      <c r="CH378" s="357"/>
      <c r="CI378" s="357"/>
      <c r="CJ378" s="357"/>
      <c r="CK378" s="357"/>
      <c r="CL378" s="357"/>
      <c r="CM378" s="357"/>
      <c r="CN378" s="357"/>
      <c r="CO378" s="357"/>
      <c r="CP378" s="357"/>
      <c r="CQ378" s="357"/>
      <c r="CR378" s="357"/>
      <c r="CS378" s="357"/>
      <c r="CT378" s="357"/>
      <c r="CU378" s="357"/>
      <c r="CV378" s="357"/>
      <c r="CW378" s="357"/>
      <c r="CX378" s="357"/>
      <c r="CY378" s="357"/>
      <c r="CZ378" s="357"/>
      <c r="DA378" s="357"/>
      <c r="DB378" s="357"/>
      <c r="DC378" s="357"/>
      <c r="DD378" s="357"/>
      <c r="DE378" s="357"/>
      <c r="DF378" s="357"/>
      <c r="DG378" s="357"/>
      <c r="DH378" s="357"/>
      <c r="DI378" s="357"/>
      <c r="DJ378" s="357"/>
      <c r="DK378" s="357"/>
      <c r="DL378" s="357"/>
      <c r="DM378" s="357"/>
      <c r="DN378" s="357"/>
      <c r="DO378" s="357"/>
      <c r="DP378" s="357"/>
      <c r="DQ378" s="357"/>
      <c r="DR378" s="357"/>
      <c r="DS378" s="357"/>
      <c r="DT378" s="357"/>
      <c r="DU378" s="357"/>
      <c r="DV378" s="357"/>
      <c r="DW378" s="357"/>
      <c r="DX378" s="357"/>
      <c r="DY378" s="357"/>
      <c r="DZ378" s="357"/>
      <c r="EA378" s="357"/>
      <c r="EB378" s="357"/>
      <c r="EC378" s="357"/>
      <c r="ED378" s="357"/>
      <c r="EE378" s="357"/>
      <c r="EF378" s="357"/>
      <c r="EG378" s="357"/>
      <c r="EH378" s="357"/>
      <c r="EI378" s="357"/>
      <c r="EJ378" s="357"/>
      <c r="EK378" s="357"/>
      <c r="EL378" s="357"/>
      <c r="EM378" s="357"/>
      <c r="EN378" s="357"/>
      <c r="EO378" s="357"/>
      <c r="EP378" s="357"/>
      <c r="EQ378" s="357"/>
      <c r="ER378" s="357"/>
      <c r="ES378" s="357"/>
      <c r="ET378" s="357"/>
      <c r="EU378" s="357"/>
      <c r="EV378" s="357"/>
      <c r="EW378" s="357"/>
      <c r="EX378" s="357"/>
      <c r="EY378" s="357"/>
      <c r="EZ378" s="357"/>
      <c r="FA378" s="357"/>
      <c r="FB378" s="357"/>
      <c r="FC378" s="357"/>
      <c r="FD378" s="357"/>
      <c r="FE378" s="357"/>
      <c r="FF378" s="357"/>
      <c r="FG378" s="357"/>
      <c r="FH378" s="357"/>
      <c r="FI378" s="357"/>
      <c r="FJ378" s="357"/>
      <c r="FK378" s="357"/>
      <c r="FL378" s="357"/>
      <c r="FM378" s="357"/>
      <c r="FN378" s="357"/>
      <c r="FO378" s="357"/>
      <c r="FP378" s="357"/>
      <c r="FQ378" s="357"/>
      <c r="FR378" s="357"/>
      <c r="FS378" s="357"/>
      <c r="FT378" s="357"/>
      <c r="FU378" s="357"/>
      <c r="FV378" s="357"/>
      <c r="FW378" s="357"/>
      <c r="FX378" s="357"/>
      <c r="FY378" s="357"/>
      <c r="FZ378" s="357"/>
      <c r="GA378" s="357"/>
      <c r="GB378" s="357"/>
      <c r="GC378" s="357"/>
      <c r="GD378" s="357"/>
      <c r="GE378" s="357"/>
      <c r="GF378" s="357"/>
      <c r="GG378" s="357"/>
      <c r="GH378" s="357"/>
      <c r="GI378" s="357"/>
      <c r="GJ378" s="357"/>
    </row>
    <row r="379" spans="26:192">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57"/>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7"/>
      <c r="BW379" s="357"/>
      <c r="BX379" s="357"/>
      <c r="BY379" s="357"/>
      <c r="BZ379" s="357"/>
      <c r="CA379" s="357"/>
      <c r="CB379" s="357"/>
      <c r="CC379" s="357"/>
      <c r="CD379" s="357"/>
      <c r="CE379" s="357"/>
      <c r="CF379" s="357"/>
      <c r="CG379" s="357"/>
      <c r="CH379" s="357"/>
      <c r="CI379" s="357"/>
      <c r="CJ379" s="357"/>
      <c r="CK379" s="357"/>
      <c r="CL379" s="357"/>
      <c r="CM379" s="357"/>
      <c r="CN379" s="357"/>
      <c r="CO379" s="357"/>
      <c r="CP379" s="357"/>
      <c r="CQ379" s="357"/>
      <c r="CR379" s="357"/>
      <c r="CS379" s="357"/>
      <c r="CT379" s="357"/>
      <c r="CU379" s="357"/>
      <c r="CV379" s="357"/>
      <c r="CW379" s="357"/>
      <c r="CX379" s="357"/>
      <c r="CY379" s="357"/>
      <c r="CZ379" s="357"/>
      <c r="DA379" s="357"/>
      <c r="DB379" s="357"/>
      <c r="DC379" s="357"/>
      <c r="DD379" s="357"/>
      <c r="DE379" s="357"/>
      <c r="DF379" s="357"/>
      <c r="DG379" s="357"/>
      <c r="DH379" s="357"/>
      <c r="DI379" s="357"/>
      <c r="DJ379" s="357"/>
      <c r="DK379" s="357"/>
      <c r="DL379" s="357"/>
      <c r="DM379" s="357"/>
      <c r="DN379" s="357"/>
      <c r="DO379" s="357"/>
      <c r="DP379" s="357"/>
      <c r="DQ379" s="357"/>
      <c r="DR379" s="357"/>
      <c r="DS379" s="357"/>
      <c r="DT379" s="357"/>
      <c r="DU379" s="357"/>
      <c r="DV379" s="357"/>
      <c r="DW379" s="357"/>
      <c r="DX379" s="357"/>
      <c r="DY379" s="357"/>
      <c r="DZ379" s="357"/>
      <c r="EA379" s="357"/>
      <c r="EB379" s="357"/>
      <c r="EC379" s="357"/>
      <c r="ED379" s="357"/>
      <c r="EE379" s="357"/>
      <c r="EF379" s="357"/>
      <c r="EG379" s="357"/>
      <c r="EH379" s="357"/>
      <c r="EI379" s="357"/>
      <c r="EJ379" s="357"/>
      <c r="EK379" s="357"/>
      <c r="EL379" s="357"/>
      <c r="EM379" s="357"/>
      <c r="EN379" s="357"/>
      <c r="EO379" s="357"/>
      <c r="EP379" s="357"/>
      <c r="EQ379" s="357"/>
      <c r="ER379" s="357"/>
      <c r="ES379" s="357"/>
      <c r="ET379" s="357"/>
      <c r="EU379" s="357"/>
      <c r="EV379" s="357"/>
      <c r="EW379" s="357"/>
      <c r="EX379" s="357"/>
      <c r="EY379" s="357"/>
      <c r="EZ379" s="357"/>
      <c r="FA379" s="357"/>
      <c r="FB379" s="357"/>
      <c r="FC379" s="357"/>
      <c r="FD379" s="357"/>
      <c r="FE379" s="357"/>
      <c r="FF379" s="357"/>
      <c r="FG379" s="357"/>
      <c r="FH379" s="357"/>
      <c r="FI379" s="357"/>
      <c r="FJ379" s="357"/>
      <c r="FK379" s="357"/>
      <c r="FL379" s="357"/>
      <c r="FM379" s="357"/>
      <c r="FN379" s="357"/>
      <c r="FO379" s="357"/>
      <c r="FP379" s="357"/>
      <c r="FQ379" s="357"/>
      <c r="FR379" s="357"/>
      <c r="FS379" s="357"/>
      <c r="FT379" s="357"/>
      <c r="FU379" s="357"/>
      <c r="FV379" s="357"/>
      <c r="FW379" s="357"/>
      <c r="FX379" s="357"/>
      <c r="FY379" s="357"/>
      <c r="FZ379" s="357"/>
      <c r="GA379" s="357"/>
      <c r="GB379" s="357"/>
      <c r="GC379" s="357"/>
      <c r="GD379" s="357"/>
      <c r="GE379" s="357"/>
      <c r="GF379" s="357"/>
      <c r="GG379" s="357"/>
      <c r="GH379" s="357"/>
      <c r="GI379" s="357"/>
      <c r="GJ379" s="357"/>
    </row>
    <row r="380" spans="26:192">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57"/>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7"/>
      <c r="BW380" s="357"/>
      <c r="BX380" s="357"/>
      <c r="BY380" s="357"/>
      <c r="BZ380" s="357"/>
      <c r="CA380" s="357"/>
      <c r="CB380" s="357"/>
      <c r="CC380" s="357"/>
      <c r="CD380" s="357"/>
      <c r="CE380" s="357"/>
      <c r="CF380" s="357"/>
      <c r="CG380" s="357"/>
      <c r="CH380" s="357"/>
      <c r="CI380" s="357"/>
      <c r="CJ380" s="357"/>
      <c r="CK380" s="357"/>
      <c r="CL380" s="357"/>
      <c r="CM380" s="357"/>
      <c r="CN380" s="357"/>
      <c r="CO380" s="357"/>
      <c r="CP380" s="357"/>
      <c r="CQ380" s="357"/>
      <c r="CR380" s="357"/>
      <c r="CS380" s="357"/>
      <c r="CT380" s="357"/>
      <c r="CU380" s="357"/>
      <c r="CV380" s="357"/>
      <c r="CW380" s="357"/>
      <c r="CX380" s="357"/>
      <c r="CY380" s="357"/>
      <c r="CZ380" s="357"/>
      <c r="DA380" s="357"/>
      <c r="DB380" s="357"/>
      <c r="DC380" s="357"/>
      <c r="DD380" s="357"/>
      <c r="DE380" s="357"/>
      <c r="DF380" s="357"/>
      <c r="DG380" s="357"/>
      <c r="DH380" s="357"/>
      <c r="DI380" s="357"/>
      <c r="DJ380" s="357"/>
      <c r="DK380" s="357"/>
      <c r="DL380" s="357"/>
      <c r="DM380" s="357"/>
      <c r="DN380" s="357"/>
      <c r="DO380" s="357"/>
      <c r="DP380" s="357"/>
      <c r="DQ380" s="357"/>
      <c r="DR380" s="357"/>
      <c r="DS380" s="357"/>
      <c r="DT380" s="357"/>
      <c r="DU380" s="357"/>
      <c r="DV380" s="357"/>
      <c r="DW380" s="357"/>
      <c r="DX380" s="357"/>
      <c r="DY380" s="357"/>
      <c r="DZ380" s="357"/>
      <c r="EA380" s="357"/>
      <c r="EB380" s="357"/>
      <c r="EC380" s="357"/>
      <c r="ED380" s="357"/>
      <c r="EE380" s="357"/>
      <c r="EF380" s="357"/>
      <c r="EG380" s="357"/>
      <c r="EH380" s="357"/>
      <c r="EI380" s="357"/>
      <c r="EJ380" s="357"/>
      <c r="EK380" s="357"/>
      <c r="EL380" s="357"/>
      <c r="EM380" s="357"/>
      <c r="EN380" s="357"/>
      <c r="EO380" s="357"/>
      <c r="EP380" s="357"/>
      <c r="EQ380" s="357"/>
      <c r="ER380" s="357"/>
      <c r="ES380" s="357"/>
      <c r="ET380" s="357"/>
      <c r="EU380" s="357"/>
      <c r="EV380" s="357"/>
      <c r="EW380" s="357"/>
      <c r="EX380" s="357"/>
      <c r="EY380" s="357"/>
      <c r="EZ380" s="357"/>
      <c r="FA380" s="357"/>
      <c r="FB380" s="357"/>
      <c r="FC380" s="357"/>
      <c r="FD380" s="357"/>
      <c r="FE380" s="357"/>
      <c r="FF380" s="357"/>
      <c r="FG380" s="357"/>
      <c r="FH380" s="357"/>
      <c r="FI380" s="357"/>
      <c r="FJ380" s="357"/>
      <c r="FK380" s="357"/>
      <c r="FL380" s="357"/>
      <c r="FM380" s="357"/>
      <c r="FN380" s="357"/>
      <c r="FO380" s="357"/>
      <c r="FP380" s="357"/>
      <c r="FQ380" s="357"/>
      <c r="FR380" s="357"/>
      <c r="FS380" s="357"/>
      <c r="FT380" s="357"/>
      <c r="FU380" s="357"/>
      <c r="FV380" s="357"/>
      <c r="FW380" s="357"/>
      <c r="FX380" s="357"/>
      <c r="FY380" s="357"/>
      <c r="FZ380" s="357"/>
      <c r="GA380" s="357"/>
      <c r="GB380" s="357"/>
      <c r="GC380" s="357"/>
      <c r="GD380" s="357"/>
      <c r="GE380" s="357"/>
      <c r="GF380" s="357"/>
      <c r="GG380" s="357"/>
      <c r="GH380" s="357"/>
      <c r="GI380" s="357"/>
      <c r="GJ380" s="357"/>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R23" sqref="R23"/>
    </sheetView>
  </sheetViews>
  <sheetFormatPr defaultRowHeight="12.75"/>
  <cols>
    <col min="1" max="1" width="3.7109375" style="149" customWidth="1"/>
    <col min="2" max="2" width="38.85546875" style="357" bestFit="1" customWidth="1"/>
    <col min="3" max="3" width="12.28515625" style="447" customWidth="1"/>
    <col min="4" max="4" width="20" style="447" customWidth="1"/>
    <col min="5" max="5" width="3.7109375" style="149" customWidth="1"/>
    <col min="6" max="6" width="37.85546875" style="149" bestFit="1" customWidth="1"/>
    <col min="7" max="7" width="8.42578125" style="149" customWidth="1"/>
    <col min="8" max="31" width="15.7109375" style="149" customWidth="1"/>
    <col min="32" max="32" width="15.7109375" style="155" customWidth="1"/>
    <col min="33" max="35" width="15.7109375" style="150" customWidth="1"/>
    <col min="36" max="55" width="15.7109375" style="149" customWidth="1"/>
    <col min="56" max="57" width="9.140625" style="149" customWidth="1"/>
    <col min="58" max="58" width="25.42578125" style="149" customWidth="1"/>
    <col min="59" max="76" width="9.140625" style="149" customWidth="1"/>
    <col min="77" max="16384" width="9.140625" style="149"/>
  </cols>
  <sheetData>
    <row r="1" spans="2:153" ht="12.95" customHeight="1"/>
    <row r="2" spans="2:153" ht="12.95" customHeight="1">
      <c r="B2" s="667" t="s">
        <v>871</v>
      </c>
      <c r="C2" s="668"/>
      <c r="D2" s="669"/>
      <c r="V2" s="154"/>
      <c r="W2" s="154"/>
      <c r="X2" s="154"/>
      <c r="Y2" s="366"/>
      <c r="Z2" s="154"/>
      <c r="AA2" s="154"/>
      <c r="AB2" s="154"/>
      <c r="AC2" s="154"/>
      <c r="AD2" s="154"/>
      <c r="AE2" s="154"/>
      <c r="AF2" s="367"/>
      <c r="AG2" s="368"/>
      <c r="AH2" s="368"/>
      <c r="AI2" s="368"/>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c r="CW2" s="154"/>
      <c r="CX2" s="154"/>
      <c r="CY2" s="154"/>
      <c r="CZ2" s="154"/>
      <c r="DA2" s="154"/>
      <c r="DB2" s="154"/>
      <c r="DC2" s="154"/>
      <c r="DD2" s="154"/>
      <c r="DE2" s="154"/>
      <c r="DF2" s="154"/>
      <c r="DG2" s="154"/>
      <c r="DH2" s="154"/>
      <c r="DI2" s="154"/>
      <c r="DJ2" s="154"/>
      <c r="DK2" s="154"/>
      <c r="DL2" s="154"/>
      <c r="DM2" s="154"/>
      <c r="DN2" s="154"/>
      <c r="DO2" s="154"/>
      <c r="DP2" s="154"/>
      <c r="DQ2" s="154"/>
      <c r="DR2" s="154"/>
      <c r="DS2" s="154"/>
      <c r="DT2" s="154"/>
      <c r="DU2" s="154"/>
      <c r="DV2" s="154"/>
      <c r="DW2" s="154"/>
      <c r="DX2" s="154"/>
      <c r="DY2" s="154"/>
    </row>
    <row r="3" spans="2:153" ht="12.95" customHeight="1">
      <c r="B3" s="363" t="s">
        <v>356</v>
      </c>
      <c r="C3" s="360" t="s">
        <v>212</v>
      </c>
      <c r="D3" s="362" t="s">
        <v>359</v>
      </c>
      <c r="V3" s="154"/>
      <c r="W3" s="154"/>
      <c r="X3" s="154"/>
      <c r="Y3" s="154"/>
      <c r="Z3" s="154"/>
      <c r="AA3" s="154"/>
      <c r="AB3" s="154"/>
      <c r="AC3" s="154"/>
      <c r="AD3" s="154"/>
      <c r="AE3" s="154"/>
      <c r="AF3" s="367"/>
      <c r="AG3" s="368"/>
      <c r="AH3" s="368"/>
      <c r="AI3" s="368"/>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c r="CW3" s="154"/>
      <c r="CX3" s="154"/>
      <c r="CY3" s="154"/>
      <c r="CZ3" s="154"/>
      <c r="DA3" s="154"/>
      <c r="DB3" s="154"/>
      <c r="DC3" s="154"/>
      <c r="DD3" s="154"/>
      <c r="DE3" s="154"/>
      <c r="DF3" s="154"/>
      <c r="DG3" s="154"/>
      <c r="DH3" s="154"/>
      <c r="DI3" s="154"/>
      <c r="DJ3" s="154"/>
      <c r="DK3" s="154"/>
      <c r="DL3" s="154"/>
      <c r="DM3" s="154"/>
      <c r="DN3" s="154"/>
      <c r="DO3" s="154"/>
      <c r="DP3" s="154"/>
      <c r="DQ3" s="154"/>
      <c r="DR3" s="154"/>
      <c r="DS3" s="154"/>
      <c r="DT3" s="154"/>
      <c r="DU3" s="154"/>
      <c r="DV3" s="154"/>
      <c r="DW3" s="154"/>
      <c r="DX3" s="154"/>
      <c r="DY3" s="154"/>
    </row>
    <row r="4" spans="2:153" ht="12.95" customHeight="1">
      <c r="B4" s="363" t="s">
        <v>846</v>
      </c>
      <c r="C4" s="360" t="s">
        <v>212</v>
      </c>
      <c r="D4" s="362" t="s">
        <v>365</v>
      </c>
      <c r="P4" s="154"/>
      <c r="Q4" s="154"/>
      <c r="R4" s="154"/>
      <c r="S4" s="154"/>
      <c r="T4" s="154"/>
      <c r="U4" s="154"/>
      <c r="V4" s="154"/>
      <c r="W4" s="154"/>
      <c r="X4" s="154"/>
      <c r="Y4" s="154"/>
      <c r="Z4" s="154"/>
      <c r="AA4" s="154"/>
      <c r="AB4" s="154"/>
      <c r="AC4" s="154"/>
      <c r="AD4" s="154"/>
      <c r="AE4" s="154"/>
      <c r="AF4" s="367"/>
      <c r="AG4" s="368"/>
      <c r="AH4" s="368"/>
      <c r="AI4" s="368"/>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c r="CW4" s="154"/>
      <c r="CX4" s="154"/>
      <c r="CY4" s="154"/>
      <c r="CZ4" s="154"/>
      <c r="DA4" s="154"/>
      <c r="DB4" s="154"/>
      <c r="DC4" s="154"/>
      <c r="DD4" s="154"/>
      <c r="DE4" s="154"/>
      <c r="DF4" s="154"/>
      <c r="DG4" s="154"/>
      <c r="DH4" s="154"/>
      <c r="DI4" s="154"/>
      <c r="DJ4" s="154"/>
      <c r="DK4" s="154"/>
      <c r="DL4" s="154"/>
      <c r="DM4" s="154"/>
      <c r="DN4" s="154"/>
      <c r="DO4" s="154"/>
      <c r="DP4" s="154"/>
      <c r="DQ4" s="154"/>
      <c r="DR4" s="154"/>
      <c r="DS4" s="154"/>
      <c r="DT4" s="154"/>
      <c r="DU4" s="154"/>
      <c r="DV4" s="154"/>
      <c r="DW4" s="154"/>
      <c r="DX4" s="154"/>
      <c r="DY4" s="154"/>
      <c r="DZ4" s="154"/>
      <c r="EA4" s="154"/>
      <c r="EB4" s="154"/>
      <c r="EC4" s="154"/>
      <c r="ED4" s="154"/>
      <c r="EE4" s="154"/>
      <c r="EF4" s="154"/>
      <c r="EG4" s="154"/>
      <c r="EH4" s="154"/>
      <c r="EI4" s="154"/>
      <c r="EJ4" s="154"/>
      <c r="EK4" s="154"/>
      <c r="EL4" s="154"/>
      <c r="EM4" s="154"/>
      <c r="EN4" s="154"/>
      <c r="EO4" s="154"/>
      <c r="EP4" s="154"/>
      <c r="EQ4" s="154"/>
      <c r="ER4" s="154"/>
      <c r="ES4" s="154"/>
      <c r="ET4" s="154"/>
      <c r="EU4" s="154"/>
      <c r="EV4" s="154"/>
      <c r="EW4" s="154"/>
    </row>
    <row r="5" spans="2:153" ht="12.95" customHeight="1">
      <c r="B5" s="363" t="s">
        <v>847</v>
      </c>
      <c r="C5" s="360" t="s">
        <v>212</v>
      </c>
      <c r="D5" s="592" t="s">
        <v>364</v>
      </c>
      <c r="P5" s="154"/>
      <c r="Q5" s="154"/>
      <c r="R5" s="154"/>
      <c r="S5" s="154"/>
      <c r="T5" s="154"/>
      <c r="U5" s="154"/>
      <c r="V5" s="154"/>
      <c r="W5" s="154"/>
      <c r="X5" s="154"/>
      <c r="Y5" s="154"/>
      <c r="Z5" s="154"/>
      <c r="AA5" s="154"/>
      <c r="AB5" s="154"/>
      <c r="AC5" s="154"/>
      <c r="AD5" s="154"/>
      <c r="AE5" s="154"/>
      <c r="AF5" s="367"/>
      <c r="AG5" s="368"/>
      <c r="AH5" s="368"/>
      <c r="AI5" s="368"/>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row>
    <row r="6" spans="2:153" ht="12.95" customHeight="1">
      <c r="B6" s="363" t="s">
        <v>70</v>
      </c>
      <c r="C6" s="360" t="s">
        <v>212</v>
      </c>
      <c r="D6" s="362">
        <v>7</v>
      </c>
      <c r="P6" s="154"/>
      <c r="Q6" s="154"/>
      <c r="R6" s="154"/>
      <c r="S6" s="154"/>
      <c r="T6" s="154"/>
      <c r="U6" s="154"/>
      <c r="V6" s="154"/>
      <c r="W6" s="154"/>
      <c r="X6" s="154"/>
      <c r="Y6" s="154"/>
      <c r="Z6" s="154"/>
      <c r="AA6" s="154"/>
      <c r="AB6" s="154"/>
      <c r="AC6" s="154"/>
      <c r="AD6" s="154"/>
      <c r="AE6" s="154"/>
      <c r="AF6" s="367"/>
      <c r="AG6" s="368"/>
      <c r="AH6" s="368"/>
      <c r="AI6" s="368"/>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row>
    <row r="7" spans="2:153" ht="12.95" customHeight="1">
      <c r="B7" s="363" t="s">
        <v>848</v>
      </c>
      <c r="C7" s="360" t="s">
        <v>212</v>
      </c>
      <c r="D7" s="362">
        <v>21</v>
      </c>
      <c r="P7" s="154"/>
      <c r="Q7" s="154"/>
      <c r="R7" s="154"/>
      <c r="S7" s="154"/>
      <c r="T7" s="379"/>
      <c r="U7" s="154"/>
      <c r="V7" s="154"/>
      <c r="W7" s="154"/>
      <c r="X7" s="154"/>
      <c r="Y7" s="154"/>
      <c r="Z7" s="154"/>
      <c r="AA7" s="154"/>
      <c r="AB7" s="154"/>
      <c r="AC7" s="154"/>
      <c r="AD7" s="154"/>
      <c r="AE7" s="154"/>
      <c r="AF7" s="367"/>
      <c r="AG7" s="368"/>
      <c r="AH7" s="368"/>
      <c r="AI7" s="368"/>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row>
    <row r="8" spans="2:153" ht="12.95" customHeight="1">
      <c r="B8" s="363" t="s">
        <v>849</v>
      </c>
      <c r="C8" s="360" t="s">
        <v>212</v>
      </c>
      <c r="D8" s="362">
        <v>17</v>
      </c>
      <c r="P8" s="154"/>
      <c r="Q8" s="154"/>
      <c r="R8" s="154"/>
      <c r="S8" s="379"/>
      <c r="T8" s="379"/>
      <c r="U8" s="154"/>
      <c r="V8" s="154"/>
      <c r="W8" s="154"/>
      <c r="X8" s="154"/>
      <c r="Y8" s="154"/>
      <c r="Z8" s="154"/>
      <c r="AA8" s="154"/>
      <c r="AB8" s="154"/>
      <c r="AC8" s="154"/>
      <c r="AD8" s="154"/>
      <c r="AE8" s="154"/>
      <c r="AF8" s="367"/>
      <c r="AG8" s="368"/>
      <c r="AH8" s="368"/>
      <c r="AI8" s="368"/>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row>
    <row r="9" spans="2:153" ht="12.95" customHeight="1">
      <c r="B9" s="363" t="s">
        <v>850</v>
      </c>
      <c r="C9" s="360" t="s">
        <v>212</v>
      </c>
      <c r="D9" s="448">
        <f>'graph data'!$C$5</f>
        <v>0</v>
      </c>
      <c r="P9" s="154"/>
      <c r="Q9" s="154"/>
      <c r="R9" s="154"/>
      <c r="S9" s="679"/>
      <c r="T9" s="679"/>
      <c r="U9" s="154"/>
      <c r="V9" s="154"/>
      <c r="W9" s="154"/>
      <c r="X9" s="154"/>
      <c r="Y9" s="154"/>
      <c r="Z9" s="154"/>
      <c r="AA9" s="154"/>
      <c r="AB9" s="154"/>
      <c r="AC9" s="154"/>
      <c r="AD9" s="154"/>
      <c r="AE9" s="154"/>
      <c r="AF9" s="367"/>
      <c r="AG9" s="368"/>
      <c r="AH9" s="368"/>
      <c r="AI9" s="368"/>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row>
    <row r="10" spans="2:153" ht="12.95" customHeight="1">
      <c r="B10" s="363" t="s">
        <v>851</v>
      </c>
      <c r="C10" s="360" t="s">
        <v>212</v>
      </c>
      <c r="D10" s="448" t="str">
        <f>IF('graph data'!B148=1,"Sunday",IF('graph data'!B148=2,"Monday",IF('graph data'!B148=3,"Tuesday",IF('graph data'!B148=4,"Wednesday",IF('graph data'!B148=5,"Thursday",IF('graph data'!B148=6,"Friday",IF('graph data'!B148=9, "Summer Design", IF('graph data'!B148=10, "Winter Design", "Saturday"))))))))</f>
        <v>Saturday</v>
      </c>
      <c r="E10" s="158"/>
      <c r="F10" s="218"/>
      <c r="K10" s="150"/>
      <c r="P10" s="154"/>
      <c r="Q10" s="154"/>
      <c r="R10" s="154"/>
      <c r="S10" s="679"/>
      <c r="T10" s="679"/>
      <c r="U10" s="154"/>
      <c r="V10" s="154"/>
      <c r="W10" s="154"/>
      <c r="X10" s="154"/>
      <c r="Y10" s="154"/>
      <c r="Z10" s="154"/>
      <c r="AA10" s="154"/>
      <c r="AB10" s="154"/>
      <c r="AC10" s="154"/>
      <c r="AD10" s="154"/>
      <c r="AE10" s="154"/>
      <c r="AF10" s="367"/>
      <c r="AG10" s="368"/>
      <c r="AH10" s="368"/>
      <c r="AI10" s="368"/>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row>
    <row r="11" spans="2:153" ht="12.95" customHeight="1">
      <c r="B11" s="363" t="str">
        <f>"Area of the "&amp;Int_zone&amp;" zone"</f>
        <v>Area of the Core zone</v>
      </c>
      <c r="C11" s="360" t="s">
        <v>626</v>
      </c>
      <c r="D11" s="449">
        <f>IF(Int_zone="Core",Core_Area*10.76,Service_Area*10.76)</f>
        <v>12239.23585417886</v>
      </c>
      <c r="E11" s="158"/>
      <c r="K11" s="150"/>
      <c r="P11" s="154"/>
      <c r="Q11" s="154"/>
      <c r="R11" s="154"/>
      <c r="S11" s="380"/>
      <c r="T11" s="381"/>
      <c r="U11" s="154"/>
      <c r="V11" s="154"/>
      <c r="W11" s="154"/>
      <c r="X11" s="154"/>
      <c r="Y11" s="154"/>
      <c r="Z11" s="154"/>
      <c r="AA11" s="154"/>
      <c r="AB11" s="154"/>
      <c r="AC11" s="154"/>
      <c r="AD11" s="154"/>
      <c r="AE11" s="154"/>
      <c r="AF11" s="367"/>
      <c r="AG11" s="368"/>
      <c r="AH11" s="368"/>
      <c r="AI11" s="368"/>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4"/>
      <c r="BP11" s="154"/>
      <c r="BQ11" s="154"/>
      <c r="BR11" s="154"/>
      <c r="BS11" s="154"/>
      <c r="BT11" s="154"/>
      <c r="BU11" s="154"/>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c r="EF11" s="154"/>
      <c r="EG11" s="154"/>
      <c r="EH11" s="154"/>
      <c r="EI11" s="154"/>
      <c r="EJ11" s="154"/>
      <c r="EK11" s="154"/>
      <c r="EL11" s="154"/>
      <c r="EM11" s="154"/>
      <c r="EN11" s="154"/>
      <c r="EO11" s="154"/>
      <c r="EP11" s="154"/>
      <c r="EQ11" s="154"/>
      <c r="ER11" s="154"/>
      <c r="ES11" s="154"/>
      <c r="ET11" s="154"/>
      <c r="EU11" s="154"/>
      <c r="EV11" s="154"/>
      <c r="EW11" s="154"/>
    </row>
    <row r="12" spans="2:153" ht="12.95" customHeight="1">
      <c r="B12" s="395" t="str">
        <f>"Area of the "&amp;perim_zone&amp;" zone"</f>
        <v>Area of the West zone</v>
      </c>
      <c r="C12" s="364" t="s">
        <v>626</v>
      </c>
      <c r="D12" s="450">
        <f>IF(perim_zone="East",EW_Area*10.76,IF(perim_zone="West",EW_Area*10.76,IF(perim_zone="South",SN_Area*10.76,IF(perim_zone="North",SN_Area*10.76))))</f>
        <v>1507.1461367192546</v>
      </c>
      <c r="K12" s="150"/>
      <c r="P12" s="154"/>
      <c r="Q12" s="154"/>
      <c r="R12" s="154"/>
      <c r="S12" s="154"/>
      <c r="T12" s="154"/>
      <c r="U12" s="154"/>
      <c r="V12" s="154"/>
      <c r="W12" s="154"/>
      <c r="X12" s="154"/>
      <c r="Y12" s="154"/>
      <c r="Z12" s="154"/>
      <c r="AA12" s="154"/>
      <c r="AB12" s="154"/>
      <c r="AC12" s="154"/>
      <c r="AD12" s="154"/>
      <c r="AE12" s="154"/>
      <c r="AF12" s="367"/>
      <c r="AG12" s="368"/>
      <c r="AH12" s="368"/>
      <c r="AI12" s="368"/>
      <c r="AJ12" s="154"/>
      <c r="AK12" s="154"/>
      <c r="AL12" s="154"/>
      <c r="AM12" s="154"/>
      <c r="AN12" s="154"/>
      <c r="AO12" s="154"/>
      <c r="AP12" s="154"/>
      <c r="AQ12" s="154"/>
      <c r="AR12" s="154"/>
      <c r="AS12" s="154"/>
      <c r="AT12" s="154"/>
      <c r="AU12" s="154"/>
      <c r="AV12" s="154"/>
      <c r="AW12" s="154"/>
      <c r="AX12" s="154"/>
      <c r="AY12" s="154"/>
      <c r="AZ12" s="154"/>
      <c r="BA12" s="154"/>
      <c r="BB12" s="154"/>
      <c r="BC12" s="154"/>
      <c r="BD12" s="154"/>
      <c r="BE12" s="154"/>
      <c r="BF12" s="154"/>
      <c r="BG12" s="154"/>
      <c r="BH12" s="154"/>
      <c r="BI12" s="154"/>
      <c r="BJ12" s="154"/>
      <c r="BK12" s="154"/>
      <c r="BL12" s="154"/>
      <c r="BM12" s="154"/>
      <c r="BN12" s="154"/>
      <c r="BO12" s="154"/>
      <c r="BP12" s="154"/>
      <c r="BQ12" s="154"/>
      <c r="BR12" s="154"/>
      <c r="BS12" s="154"/>
      <c r="BT12" s="154"/>
      <c r="BU12" s="154"/>
      <c r="BV12" s="154"/>
      <c r="BW12" s="154"/>
      <c r="BX12" s="154"/>
      <c r="BY12" s="154"/>
      <c r="BZ12" s="154"/>
      <c r="CA12" s="154"/>
      <c r="CB12" s="154"/>
      <c r="CC12" s="154"/>
      <c r="CD12" s="154"/>
      <c r="CE12" s="154"/>
      <c r="CF12" s="154"/>
      <c r="CG12" s="154"/>
      <c r="CH12" s="154"/>
      <c r="CI12" s="154"/>
      <c r="CJ12" s="154"/>
      <c r="CK12" s="154"/>
      <c r="CL12" s="154"/>
      <c r="CM12" s="154"/>
      <c r="CN12" s="154"/>
      <c r="CO12" s="154"/>
      <c r="CP12" s="154"/>
      <c r="CQ12" s="154"/>
      <c r="CR12" s="154"/>
      <c r="CS12" s="154"/>
      <c r="CT12" s="154"/>
      <c r="CU12" s="154"/>
      <c r="CV12" s="154"/>
      <c r="CW12" s="154"/>
      <c r="CX12" s="154"/>
      <c r="CY12" s="154"/>
      <c r="CZ12" s="154"/>
      <c r="DA12" s="154"/>
      <c r="DB12" s="154"/>
      <c r="DC12" s="154"/>
      <c r="DD12" s="154"/>
      <c r="DE12" s="154"/>
      <c r="DF12" s="154"/>
      <c r="DG12" s="154"/>
      <c r="DH12" s="154"/>
      <c r="DI12" s="154"/>
      <c r="DJ12" s="154"/>
      <c r="DK12" s="154"/>
      <c r="DL12" s="154"/>
      <c r="DM12" s="154"/>
      <c r="DN12" s="154"/>
      <c r="DO12" s="154"/>
      <c r="DP12" s="154"/>
      <c r="DQ12" s="154"/>
      <c r="DR12" s="154"/>
      <c r="DS12" s="154"/>
      <c r="DT12" s="154"/>
      <c r="DU12" s="154"/>
      <c r="DV12" s="154"/>
      <c r="DW12" s="154"/>
      <c r="DX12" s="154"/>
      <c r="DY12" s="154"/>
      <c r="DZ12" s="154"/>
      <c r="EA12" s="154"/>
      <c r="EB12" s="154"/>
      <c r="EC12" s="154"/>
      <c r="ED12" s="154"/>
      <c r="EE12" s="154"/>
      <c r="EF12" s="154"/>
      <c r="EG12" s="154"/>
      <c r="EH12" s="154"/>
      <c r="EI12" s="154"/>
      <c r="EJ12" s="154"/>
      <c r="EK12" s="154"/>
      <c r="EL12" s="154"/>
      <c r="EM12" s="154"/>
      <c r="EN12" s="154"/>
      <c r="EO12" s="154"/>
      <c r="EP12" s="154"/>
      <c r="EQ12" s="154"/>
      <c r="ER12" s="154"/>
      <c r="ES12" s="154"/>
      <c r="ET12" s="154"/>
      <c r="EU12" s="154"/>
      <c r="EV12" s="154"/>
      <c r="EW12" s="154"/>
    </row>
    <row r="13" spans="2:153" ht="12.95" customHeight="1">
      <c r="E13" s="158"/>
      <c r="P13" s="154"/>
      <c r="Q13" s="154"/>
      <c r="R13" s="154"/>
      <c r="S13" s="154"/>
      <c r="T13" s="154"/>
      <c r="U13" s="154"/>
      <c r="V13" s="154"/>
      <c r="W13" s="154"/>
      <c r="X13" s="154"/>
      <c r="Y13" s="154"/>
      <c r="Z13" s="154"/>
      <c r="AA13" s="154"/>
      <c r="AB13" s="154"/>
      <c r="AC13" s="154"/>
      <c r="AD13" s="154"/>
      <c r="AE13" s="154"/>
      <c r="AF13" s="367"/>
      <c r="AG13" s="368"/>
      <c r="AH13" s="368"/>
      <c r="AI13" s="368"/>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c r="CH13" s="154"/>
      <c r="CI13" s="154"/>
      <c r="CJ13" s="154"/>
      <c r="CK13" s="154"/>
      <c r="CL13" s="154"/>
      <c r="CM13" s="154"/>
      <c r="CN13" s="154"/>
      <c r="CO13" s="154"/>
      <c r="CP13" s="154"/>
      <c r="CQ13" s="154"/>
      <c r="CR13" s="154"/>
      <c r="CS13" s="154"/>
      <c r="CT13" s="154"/>
      <c r="CU13" s="154"/>
      <c r="CV13" s="154"/>
      <c r="CW13" s="154"/>
      <c r="CX13" s="154"/>
      <c r="CY13" s="154"/>
      <c r="CZ13" s="154"/>
      <c r="DA13" s="154"/>
      <c r="DB13" s="154"/>
      <c r="DC13" s="154"/>
      <c r="DD13" s="154"/>
      <c r="DE13" s="154"/>
      <c r="DF13" s="154"/>
      <c r="DG13" s="154"/>
      <c r="DH13" s="154"/>
      <c r="DI13" s="154"/>
      <c r="DJ13" s="154"/>
      <c r="DK13" s="154"/>
      <c r="DL13" s="154"/>
      <c r="DM13" s="154"/>
      <c r="DN13" s="154"/>
      <c r="DO13" s="154"/>
      <c r="DP13" s="154"/>
      <c r="DQ13" s="154"/>
      <c r="DR13" s="154"/>
      <c r="DS13" s="154"/>
      <c r="DT13" s="154"/>
      <c r="DU13" s="154"/>
      <c r="DV13" s="154"/>
      <c r="DW13" s="154"/>
      <c r="DX13" s="154"/>
      <c r="DY13" s="154"/>
      <c r="DZ13" s="154"/>
      <c r="EA13" s="154"/>
      <c r="EB13" s="154"/>
      <c r="EC13" s="154"/>
      <c r="ED13" s="154"/>
      <c r="EE13" s="154"/>
      <c r="EF13" s="154"/>
      <c r="EG13" s="154"/>
      <c r="EH13" s="154"/>
      <c r="EI13" s="154"/>
      <c r="EJ13" s="154"/>
      <c r="EK13" s="154"/>
      <c r="EL13" s="154"/>
      <c r="EM13" s="154"/>
      <c r="EN13" s="154"/>
      <c r="EO13" s="154"/>
      <c r="EP13" s="154"/>
      <c r="EQ13" s="154"/>
      <c r="ER13" s="154"/>
      <c r="ES13" s="154"/>
      <c r="ET13" s="154"/>
      <c r="EU13" s="154"/>
      <c r="EV13" s="154"/>
      <c r="EW13" s="154"/>
    </row>
    <row r="14" spans="2:153" ht="12.95" customHeight="1">
      <c r="B14" s="667" t="s">
        <v>870</v>
      </c>
      <c r="C14" s="668"/>
      <c r="D14" s="669"/>
      <c r="E14" s="158"/>
      <c r="P14" s="154"/>
      <c r="Q14" s="154"/>
      <c r="R14" s="154"/>
      <c r="S14" s="154"/>
      <c r="T14" s="154"/>
      <c r="U14" s="154"/>
      <c r="V14" s="154"/>
      <c r="W14" s="154"/>
      <c r="X14" s="154"/>
      <c r="Y14" s="154"/>
      <c r="Z14" s="154"/>
      <c r="AA14" s="154"/>
      <c r="AB14" s="154"/>
      <c r="AC14" s="154"/>
      <c r="AD14" s="154"/>
      <c r="AE14" s="154"/>
      <c r="AF14" s="367"/>
      <c r="AG14" s="368"/>
      <c r="AH14" s="368"/>
      <c r="AI14" s="368"/>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row>
    <row r="15" spans="2:153" ht="12.95" customHeight="1">
      <c r="B15" s="547" t="s">
        <v>853</v>
      </c>
      <c r="C15" s="548" t="s">
        <v>777</v>
      </c>
      <c r="D15" s="490">
        <f>IF(Heat_Recovery="No",HLOOKUP("Environment:Outdoor Dry Bulb [C](Hourly)",'Eplus results'!1:1048576,'graph data'!D4,FALSE)*9/5+32,HLOOKUP("AHU_HeatRecovery Outlet Node:System Node Temp[C](Hourly)",'Eplus results'!1:1048576,'graph data'!D4,FALSE)*9/5+32)</f>
        <v>32</v>
      </c>
      <c r="E15" s="158"/>
      <c r="P15" s="154"/>
      <c r="Q15" s="154"/>
      <c r="R15" s="154"/>
      <c r="S15" s="154"/>
      <c r="T15" s="154"/>
      <c r="U15" s="154"/>
      <c r="V15" s="154"/>
      <c r="W15" s="154"/>
      <c r="X15" s="154"/>
      <c r="Y15" s="154"/>
      <c r="Z15" s="154"/>
      <c r="AA15" s="154"/>
      <c r="AB15" s="154"/>
      <c r="AC15" s="154"/>
      <c r="AD15" s="154"/>
      <c r="AE15" s="154"/>
      <c r="AF15" s="367"/>
      <c r="AG15" s="368"/>
      <c r="AH15" s="368"/>
      <c r="AI15" s="368"/>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row>
    <row r="16" spans="2:153" ht="12.95" customHeight="1">
      <c r="B16" s="451" t="s">
        <v>852</v>
      </c>
      <c r="C16" s="454" t="s">
        <v>108</v>
      </c>
      <c r="D16" s="455" t="e">
        <f>IF(Heat_Recovery="No",HLOOKUP("AHU OUTSIDE AIR INLET:System Node VolFlowRate[m3/s](Hourly)",'Eplus results'!1:1048576,'graph data'!D4,FALSE)*35.314667*60,HLOOKUP("AHU_HeatRecovery Outlet Node:System Node VolFlowRate[m3/s](Hourly)",'Eplus results'!1:1048576,'graph data'!D4,FALSE)*35.314667*60)</f>
        <v>#N/A</v>
      </c>
      <c r="E16" s="158"/>
      <c r="P16" s="154"/>
      <c r="Q16" s="154"/>
      <c r="R16" s="154"/>
      <c r="S16" s="154"/>
      <c r="T16" s="154"/>
      <c r="U16" s="154"/>
      <c r="V16" s="154"/>
      <c r="W16" s="154"/>
      <c r="X16" s="154"/>
      <c r="Y16" s="154"/>
      <c r="Z16" s="154"/>
      <c r="AA16" s="154"/>
      <c r="AB16" s="154"/>
      <c r="AC16" s="154"/>
      <c r="AD16" s="154"/>
      <c r="AE16" s="154"/>
      <c r="AF16" s="367"/>
      <c r="AG16" s="368"/>
      <c r="AH16" s="368"/>
      <c r="AI16" s="368"/>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row>
    <row r="17" spans="1:153" ht="12.95" customHeight="1">
      <c r="B17" s="451" t="s">
        <v>881</v>
      </c>
      <c r="C17" s="452" t="s">
        <v>777</v>
      </c>
      <c r="D17" s="453">
        <f>HLOOKUP("AHU MIXED AIR OUTLET:System Node Temp[C](Hourly)",'Eplus results'!1:1048576,'graph data'!D4,FALSE)*9/5+32</f>
        <v>32</v>
      </c>
      <c r="P17" s="154"/>
      <c r="Q17" s="154"/>
      <c r="R17" s="154"/>
      <c r="S17" s="154"/>
      <c r="T17" s="154"/>
      <c r="U17" s="154"/>
      <c r="V17" s="154"/>
      <c r="W17" s="154"/>
      <c r="X17" s="154"/>
      <c r="Y17" s="154"/>
      <c r="Z17" s="154"/>
      <c r="AA17" s="154"/>
      <c r="AB17" s="154"/>
      <c r="AC17" s="154"/>
      <c r="AD17" s="154"/>
      <c r="AE17" s="154"/>
      <c r="AF17" s="367"/>
      <c r="AG17" s="368"/>
      <c r="AH17" s="368"/>
      <c r="AI17" s="368"/>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row>
    <row r="18" spans="1:153" ht="12.95" customHeight="1">
      <c r="B18" s="451" t="s">
        <v>854</v>
      </c>
      <c r="C18" s="454" t="s">
        <v>108</v>
      </c>
      <c r="D18" s="455" t="e">
        <f>HLOOKUP("AHU MIXED AIR OUTLET:System Node VolFlowRate[m3/s](Hourly)",'Eplus results'!1:1048576,'graph data'!D4,FALSE)*35.314667*60</f>
        <v>#N/A</v>
      </c>
      <c r="P18" s="154"/>
      <c r="Q18" s="154"/>
      <c r="R18" s="154"/>
      <c r="S18" s="154"/>
      <c r="T18" s="154"/>
      <c r="U18" s="154"/>
      <c r="V18" s="154"/>
      <c r="W18" s="154"/>
      <c r="X18" s="154"/>
      <c r="Y18" s="154"/>
      <c r="Z18" s="154"/>
      <c r="AA18" s="154"/>
      <c r="AB18" s="154"/>
      <c r="AC18" s="154"/>
      <c r="AD18" s="154"/>
      <c r="AE18" s="154"/>
      <c r="AF18" s="367"/>
      <c r="AG18" s="368"/>
      <c r="AH18" s="368"/>
      <c r="AI18" s="368"/>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row>
    <row r="19" spans="1:153" ht="12.95" customHeight="1">
      <c r="A19" s="154"/>
      <c r="B19" s="394" t="s">
        <v>891</v>
      </c>
      <c r="C19" s="548" t="s">
        <v>777</v>
      </c>
      <c r="D19" s="490">
        <f>HLOOKUP("AHU MIXED AIR OUTLET:System Node Temp[C](Hourly)",'Eplus results'!1:1048576,'graph data'!D4,FALSE)*9/5+32</f>
        <v>32</v>
      </c>
      <c r="P19" s="154"/>
      <c r="Q19" s="154"/>
      <c r="R19" s="154"/>
      <c r="S19" s="154"/>
      <c r="T19" s="154"/>
      <c r="U19" s="154"/>
      <c r="V19" s="154"/>
      <c r="W19" s="154"/>
      <c r="X19" s="154"/>
      <c r="Y19" s="154"/>
      <c r="Z19" s="154"/>
      <c r="AA19" s="154"/>
      <c r="AB19" s="154"/>
      <c r="AC19" s="154"/>
      <c r="AD19" s="154"/>
      <c r="AE19" s="154"/>
      <c r="AF19" s="367"/>
      <c r="AG19" s="368"/>
      <c r="AH19" s="368"/>
      <c r="AI19" s="368"/>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row>
    <row r="20" spans="1:153" ht="12.95" customHeight="1">
      <c r="A20" s="154"/>
      <c r="B20" s="363" t="s">
        <v>892</v>
      </c>
      <c r="C20" s="452" t="s">
        <v>777</v>
      </c>
      <c r="D20" s="453">
        <f>HLOOKUP("AHU Cooling Coil Outlet:System Node Temp[C](Hourly)",'Eplus results'!1:1048576,'graph data'!D4,FALSE)*9/5+32</f>
        <v>32</v>
      </c>
      <c r="P20" s="154"/>
      <c r="Q20" s="154"/>
      <c r="R20" s="154"/>
      <c r="S20" s="154"/>
      <c r="T20" s="154"/>
      <c r="U20" s="154"/>
      <c r="V20" s="154"/>
      <c r="W20" s="154"/>
      <c r="X20" s="154"/>
      <c r="Y20" s="154"/>
      <c r="Z20" s="154"/>
      <c r="AA20" s="154"/>
      <c r="AB20" s="154"/>
      <c r="AC20" s="154"/>
      <c r="AD20" s="154"/>
      <c r="AE20" s="154"/>
      <c r="AF20" s="367"/>
      <c r="AG20" s="368"/>
      <c r="AH20" s="368"/>
      <c r="AI20" s="368"/>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row>
    <row r="21" spans="1:153" ht="12.95" customHeight="1">
      <c r="A21" s="154"/>
      <c r="B21" s="363" t="s">
        <v>893</v>
      </c>
      <c r="C21" s="452" t="s">
        <v>777</v>
      </c>
      <c r="D21" s="453">
        <f>HLOOKUP("AHU Heating Coil Outlet:System Node Temp[C](Hourly)",'Eplus results'!1:1048576,'graph data'!D4,FALSE)*9/5+32</f>
        <v>32</v>
      </c>
      <c r="P21" s="154"/>
      <c r="Q21" s="154"/>
      <c r="R21" s="154"/>
      <c r="S21" s="154"/>
      <c r="T21" s="154"/>
      <c r="U21" s="154"/>
      <c r="V21" s="154"/>
      <c r="W21" s="154"/>
      <c r="X21" s="154"/>
      <c r="Y21" s="154"/>
      <c r="Z21" s="154"/>
      <c r="AA21" s="154"/>
      <c r="AB21" s="154"/>
      <c r="AC21" s="154"/>
      <c r="AD21" s="154"/>
      <c r="AE21" s="154"/>
      <c r="AF21" s="367"/>
      <c r="AG21" s="368"/>
      <c r="AH21" s="368"/>
      <c r="AI21" s="368"/>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c r="BS21" s="154"/>
      <c r="BT21" s="154"/>
      <c r="BU21" s="154"/>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c r="EF21" s="154"/>
      <c r="EG21" s="154"/>
      <c r="EH21" s="154"/>
      <c r="EI21" s="154"/>
      <c r="EJ21" s="154"/>
      <c r="EK21" s="154"/>
      <c r="EL21" s="154"/>
      <c r="EM21" s="154"/>
      <c r="EN21" s="154"/>
      <c r="EO21" s="154"/>
      <c r="EP21" s="154"/>
      <c r="EQ21" s="154"/>
      <c r="ER21" s="154"/>
      <c r="ES21" s="154"/>
      <c r="ET21" s="154"/>
      <c r="EU21" s="154"/>
      <c r="EV21" s="154"/>
      <c r="EW21" s="154"/>
    </row>
    <row r="22" spans="1:153" ht="12.95" customHeight="1">
      <c r="B22" s="395" t="s">
        <v>864</v>
      </c>
      <c r="C22" s="551" t="s">
        <v>777</v>
      </c>
      <c r="D22" s="494">
        <f>'graph data'!F7</f>
        <v>32</v>
      </c>
      <c r="P22" s="154"/>
      <c r="Q22" s="154"/>
      <c r="R22" s="154"/>
      <c r="S22" s="154"/>
      <c r="T22" s="154"/>
      <c r="U22" s="154"/>
      <c r="V22" s="154"/>
      <c r="W22" s="154"/>
      <c r="X22" s="154"/>
      <c r="Y22" s="154"/>
      <c r="Z22" s="154"/>
      <c r="AA22" s="154"/>
      <c r="AB22" s="154"/>
      <c r="AC22" s="154"/>
      <c r="AD22" s="154"/>
      <c r="AE22" s="154"/>
      <c r="AF22" s="367"/>
      <c r="AG22" s="368"/>
      <c r="AH22" s="368"/>
      <c r="AI22" s="368"/>
      <c r="AJ22" s="154"/>
      <c r="AK22" s="154"/>
      <c r="AL22" s="154"/>
      <c r="AM22" s="154"/>
      <c r="AN22" s="154"/>
      <c r="AO22" s="154"/>
      <c r="AP22" s="154"/>
      <c r="AQ22" s="154"/>
      <c r="AR22" s="154"/>
      <c r="AS22" s="154"/>
      <c r="AT22" s="154"/>
      <c r="AU22" s="154"/>
      <c r="AV22" s="154"/>
      <c r="AW22" s="154"/>
      <c r="AX22" s="154"/>
      <c r="AY22" s="154"/>
      <c r="AZ22" s="154"/>
      <c r="BA22" s="154"/>
      <c r="BB22" s="154"/>
      <c r="BC22" s="154"/>
      <c r="BD22" s="154"/>
      <c r="BE22" s="154"/>
      <c r="BF22" s="154"/>
      <c r="BG22" s="154"/>
      <c r="BH22" s="154"/>
      <c r="BI22" s="154"/>
      <c r="BJ22" s="154"/>
      <c r="BK22" s="154"/>
      <c r="BL22" s="154"/>
      <c r="BM22" s="154"/>
      <c r="BN22" s="154"/>
      <c r="BO22" s="154"/>
      <c r="BP22" s="154"/>
      <c r="BQ22" s="154"/>
      <c r="BR22" s="154"/>
      <c r="BS22" s="154"/>
      <c r="BT22" s="154"/>
      <c r="BU22" s="154"/>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c r="EF22" s="154"/>
      <c r="EG22" s="154"/>
      <c r="EH22" s="154"/>
      <c r="EI22" s="154"/>
      <c r="EJ22" s="154"/>
      <c r="EK22" s="154"/>
      <c r="EL22" s="154"/>
      <c r="EM22" s="154"/>
      <c r="EN22" s="154"/>
      <c r="EO22" s="154"/>
      <c r="EP22" s="154"/>
      <c r="EQ22" s="154"/>
      <c r="ER22" s="154"/>
      <c r="ES22" s="154"/>
      <c r="ET22" s="154"/>
      <c r="EU22" s="154"/>
      <c r="EV22" s="154"/>
      <c r="EW22" s="154"/>
    </row>
    <row r="23" spans="1:153" ht="12.95" customHeight="1">
      <c r="B23" s="451" t="s">
        <v>855</v>
      </c>
      <c r="C23" s="452" t="s">
        <v>777</v>
      </c>
      <c r="D23" s="456">
        <f>HLOOKUP("AHU Air Loop Inlet:System Node Temp[C](Hourly)",'Eplus results'!1:1048576,'graph data'!D4,FALSE)*9/5+32</f>
        <v>32</v>
      </c>
      <c r="P23" s="154"/>
      <c r="Q23" s="154"/>
      <c r="R23" s="154"/>
      <c r="S23" s="154"/>
      <c r="T23" s="154"/>
      <c r="U23" s="154"/>
      <c r="V23" s="154"/>
      <c r="W23" s="154"/>
      <c r="X23" s="154"/>
      <c r="Y23" s="154"/>
      <c r="Z23" s="154"/>
      <c r="AA23" s="154"/>
      <c r="AB23" s="154"/>
      <c r="AC23" s="154"/>
      <c r="AD23" s="154"/>
      <c r="AE23" s="154"/>
      <c r="AF23" s="367"/>
      <c r="AG23" s="368"/>
      <c r="AH23" s="368"/>
      <c r="AI23" s="368"/>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c r="BS23" s="154"/>
      <c r="BT23" s="154"/>
      <c r="BU23" s="154"/>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c r="EF23" s="154"/>
      <c r="EG23" s="154"/>
      <c r="EH23" s="154"/>
      <c r="EI23" s="154"/>
      <c r="EJ23" s="154"/>
      <c r="EK23" s="154"/>
      <c r="EL23" s="154"/>
      <c r="EM23" s="154"/>
      <c r="EN23" s="154"/>
      <c r="EO23" s="154"/>
      <c r="EP23" s="154"/>
      <c r="EQ23" s="154"/>
      <c r="ER23" s="154"/>
      <c r="ES23" s="154"/>
      <c r="ET23" s="154"/>
      <c r="EU23" s="154"/>
      <c r="EV23" s="154"/>
      <c r="EW23" s="154"/>
    </row>
    <row r="24" spans="1:153" ht="12.95" customHeight="1">
      <c r="B24" s="451" t="s">
        <v>856</v>
      </c>
      <c r="C24" s="454" t="s">
        <v>108</v>
      </c>
      <c r="D24" s="455" t="e">
        <f>HLOOKUP("AHU Air Loop Inlet:System Node VolFlowRate[m3/s](Hourly)",'Eplus results'!1:1048576,'graph data'!D4,FALSE)*35.314667*60</f>
        <v>#N/A</v>
      </c>
      <c r="P24" s="154"/>
      <c r="Q24" s="154"/>
      <c r="R24" s="154"/>
      <c r="S24" s="154"/>
      <c r="T24" s="154"/>
      <c r="U24" s="154"/>
      <c r="V24" s="154"/>
      <c r="W24" s="154"/>
      <c r="X24" s="154"/>
      <c r="Y24" s="154"/>
      <c r="Z24" s="154"/>
      <c r="AA24" s="154"/>
      <c r="AB24" s="154"/>
      <c r="AC24" s="154"/>
      <c r="AD24" s="154"/>
      <c r="AE24" s="154"/>
      <c r="AF24" s="367"/>
      <c r="AG24" s="368"/>
      <c r="AH24" s="368"/>
      <c r="AI24" s="368"/>
      <c r="AJ24" s="154"/>
      <c r="AK24" s="154"/>
      <c r="AL24" s="154"/>
      <c r="AM24" s="154"/>
      <c r="AN24" s="154"/>
      <c r="AO24" s="154"/>
      <c r="AP24" s="154"/>
      <c r="AQ24" s="154"/>
      <c r="AR24" s="154"/>
      <c r="AS24" s="154"/>
      <c r="AT24" s="154"/>
      <c r="AU24" s="154"/>
      <c r="AV24" s="154"/>
      <c r="AW24" s="154"/>
      <c r="AX24" s="154"/>
      <c r="AY24" s="154"/>
      <c r="AZ24" s="154"/>
      <c r="BA24" s="154"/>
      <c r="BB24" s="154"/>
      <c r="BC24" s="154"/>
      <c r="BD24" s="154"/>
      <c r="BE24" s="154"/>
      <c r="BF24" s="154"/>
      <c r="BG24" s="154"/>
      <c r="BH24" s="154"/>
      <c r="BI24" s="154"/>
      <c r="BJ24" s="154"/>
      <c r="BK24" s="154"/>
      <c r="BL24" s="154"/>
      <c r="BM24" s="154"/>
      <c r="BN24" s="154"/>
      <c r="BO24" s="154"/>
      <c r="BP24" s="154"/>
      <c r="BQ24" s="154"/>
      <c r="BR24" s="154"/>
      <c r="BS24" s="154"/>
      <c r="BT24" s="154"/>
      <c r="BU24" s="154"/>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c r="EF24" s="154"/>
      <c r="EG24" s="154"/>
      <c r="EH24" s="154"/>
      <c r="EI24" s="154"/>
      <c r="EJ24" s="154"/>
      <c r="EK24" s="154"/>
      <c r="EL24" s="154"/>
      <c r="EM24" s="154"/>
      <c r="EN24" s="154"/>
      <c r="EO24" s="154"/>
      <c r="EP24" s="154"/>
      <c r="EQ24" s="154"/>
      <c r="ER24" s="154"/>
      <c r="ES24" s="154"/>
      <c r="ET24" s="154"/>
      <c r="EU24" s="154"/>
      <c r="EV24" s="154"/>
      <c r="EW24" s="154"/>
    </row>
    <row r="25" spans="1:153" ht="12.95" customHeight="1">
      <c r="B25" s="451" t="s">
        <v>857</v>
      </c>
      <c r="C25" s="452" t="s">
        <v>777</v>
      </c>
      <c r="D25" s="456">
        <f>HLOOKUP("AHU RELIEF AIR OUTLET:System Node Temp[C](Hourly)",'Eplus results'!1:1048576,'graph data'!D4,FALSE)*9/5+32</f>
        <v>32</v>
      </c>
      <c r="P25" s="154"/>
      <c r="Q25" s="154"/>
      <c r="R25" s="154"/>
      <c r="S25" s="154"/>
      <c r="T25" s="154"/>
      <c r="U25" s="154"/>
      <c r="V25" s="154"/>
      <c r="W25" s="154"/>
      <c r="X25" s="154"/>
      <c r="Y25" s="154"/>
      <c r="Z25" s="154"/>
      <c r="AA25" s="154"/>
      <c r="AB25" s="154"/>
      <c r="AC25" s="154"/>
      <c r="AD25" s="154"/>
      <c r="AE25" s="154"/>
      <c r="AF25" s="367"/>
      <c r="AG25" s="368"/>
      <c r="AH25" s="368"/>
      <c r="AI25" s="368"/>
      <c r="AJ25" s="154"/>
      <c r="AK25" s="154"/>
      <c r="AL25" s="154"/>
      <c r="AM25" s="154"/>
      <c r="AN25" s="154"/>
      <c r="AO25" s="154"/>
      <c r="AP25" s="154"/>
      <c r="AQ25" s="154"/>
      <c r="AR25" s="154"/>
      <c r="AS25" s="154"/>
      <c r="AT25" s="154"/>
      <c r="AU25" s="154"/>
      <c r="AV25" s="154"/>
      <c r="AW25" s="154"/>
      <c r="AX25" s="154"/>
      <c r="AY25" s="154"/>
      <c r="AZ25" s="154"/>
      <c r="BA25" s="154"/>
      <c r="BB25" s="154"/>
      <c r="BC25" s="154"/>
      <c r="BD25" s="154"/>
      <c r="BE25" s="154"/>
      <c r="BF25" s="154"/>
      <c r="BG25" s="154"/>
      <c r="BH25" s="154"/>
      <c r="BI25" s="154"/>
      <c r="BJ25" s="154"/>
      <c r="BK25" s="154"/>
      <c r="BL25" s="154"/>
      <c r="BM25" s="154"/>
      <c r="BN25" s="154"/>
      <c r="BO25" s="154"/>
      <c r="BP25" s="154"/>
      <c r="BQ25" s="154"/>
      <c r="BR25" s="154"/>
      <c r="BS25" s="154"/>
      <c r="BT25" s="154"/>
      <c r="BU25" s="154"/>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c r="EF25" s="154"/>
      <c r="EG25" s="154"/>
      <c r="EH25" s="154"/>
      <c r="EI25" s="154"/>
      <c r="EJ25" s="154"/>
      <c r="EK25" s="154"/>
      <c r="EL25" s="154"/>
      <c r="EM25" s="154"/>
      <c r="EN25" s="154"/>
      <c r="EO25" s="154"/>
      <c r="EP25" s="154"/>
      <c r="EQ25" s="154"/>
      <c r="ER25" s="154"/>
      <c r="ES25" s="154"/>
      <c r="ET25" s="154"/>
      <c r="EU25" s="154"/>
      <c r="EV25" s="154"/>
      <c r="EW25" s="154"/>
    </row>
    <row r="26" spans="1:153" ht="12.95" customHeight="1">
      <c r="B26" s="549" t="s">
        <v>858</v>
      </c>
      <c r="C26" s="550" t="s">
        <v>108</v>
      </c>
      <c r="D26" s="450" t="e">
        <f>HLOOKUP("AHU RELIEF AIR OUTLET:System Node VolFlowRate[m3/s](Hourly) ",'Eplus results'!1:1048576,'graph data'!D4,FALSE)*35.314667*60</f>
        <v>#N/A</v>
      </c>
      <c r="P26" s="154"/>
      <c r="Q26" s="154"/>
      <c r="R26" s="154"/>
      <c r="S26" s="154"/>
      <c r="T26" s="154"/>
      <c r="U26" s="154"/>
      <c r="V26" s="154"/>
      <c r="W26" s="154"/>
      <c r="X26" s="154"/>
      <c r="Y26" s="154"/>
      <c r="Z26" s="154"/>
      <c r="AA26" s="154"/>
      <c r="AB26" s="154"/>
      <c r="AC26" s="154"/>
      <c r="AD26" s="154"/>
      <c r="AE26" s="154"/>
      <c r="AF26" s="367"/>
      <c r="AG26" s="368"/>
      <c r="AH26" s="368"/>
      <c r="AI26" s="368"/>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c r="EF26" s="154"/>
      <c r="EG26" s="154"/>
      <c r="EH26" s="154"/>
      <c r="EI26" s="154"/>
      <c r="EJ26" s="154"/>
      <c r="EK26" s="154"/>
      <c r="EL26" s="154"/>
      <c r="EM26" s="154"/>
      <c r="EN26" s="154"/>
      <c r="EO26" s="154"/>
      <c r="EP26" s="154"/>
      <c r="EQ26" s="154"/>
      <c r="ER26" s="154"/>
      <c r="ES26" s="154"/>
      <c r="ET26" s="154"/>
      <c r="EU26" s="154"/>
      <c r="EV26" s="154"/>
      <c r="EW26" s="154"/>
    </row>
    <row r="27" spans="1:153" ht="12.95" customHeight="1">
      <c r="B27" s="363" t="s">
        <v>872</v>
      </c>
      <c r="C27" s="360" t="s">
        <v>960</v>
      </c>
      <c r="D27" s="480" t="e">
        <f>(HLOOKUP("AHU SUPPLY FAN:Fan Electric Power[W](Hourly)",'Eplus results'!1:1048576,'graph data'!D4,FALSE)+HLOOKUP("RETURN FAN 1:Fan Electric Power[W](Hourly)",'Eplus results'!1:1048576,'graph data'!D4,FALSE))/1000</f>
        <v>#N/A</v>
      </c>
      <c r="P27" s="154"/>
      <c r="Q27" s="154"/>
      <c r="R27" s="154"/>
      <c r="S27" s="154"/>
      <c r="T27" s="154"/>
      <c r="U27" s="154"/>
      <c r="V27" s="154"/>
      <c r="W27" s="154"/>
      <c r="X27" s="154"/>
      <c r="Y27" s="154"/>
      <c r="Z27" s="154"/>
      <c r="AA27" s="154"/>
      <c r="AB27" s="154"/>
      <c r="AC27" s="154"/>
      <c r="AD27" s="154"/>
      <c r="AE27" s="154"/>
      <c r="AF27" s="367"/>
      <c r="AG27" s="368"/>
      <c r="AH27" s="368"/>
      <c r="AI27" s="368"/>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c r="BS27" s="154"/>
      <c r="BT27" s="154"/>
      <c r="BU27" s="154"/>
      <c r="BV27" s="154"/>
      <c r="BW27" s="154"/>
      <c r="BX27" s="154"/>
      <c r="BY27" s="154"/>
      <c r="BZ27" s="154"/>
      <c r="CA27" s="154"/>
      <c r="CB27" s="154"/>
      <c r="CC27" s="154"/>
      <c r="CD27" s="154"/>
      <c r="CE27" s="154"/>
      <c r="CF27" s="154"/>
      <c r="CG27" s="154"/>
      <c r="CH27" s="154"/>
      <c r="CI27" s="154"/>
      <c r="CJ27" s="154"/>
      <c r="CK27" s="154"/>
      <c r="CL27" s="154"/>
      <c r="CM27" s="154"/>
      <c r="CN27" s="154"/>
      <c r="CO27" s="154"/>
      <c r="CP27" s="154"/>
      <c r="CQ27" s="154"/>
      <c r="CR27" s="154"/>
      <c r="CS27" s="154"/>
      <c r="CT27" s="154"/>
      <c r="CU27" s="154"/>
      <c r="CV27" s="154"/>
      <c r="CW27" s="154"/>
      <c r="CX27" s="154"/>
      <c r="CY27" s="154"/>
      <c r="CZ27" s="154"/>
      <c r="DA27" s="154"/>
      <c r="DB27" s="154"/>
      <c r="DC27" s="154"/>
      <c r="DD27" s="154"/>
      <c r="DE27" s="154"/>
      <c r="DF27" s="154"/>
      <c r="DG27" s="154"/>
      <c r="DH27" s="154"/>
      <c r="DI27" s="154"/>
      <c r="DJ27" s="154"/>
      <c r="DK27" s="154"/>
      <c r="DL27" s="154"/>
      <c r="DM27" s="154"/>
      <c r="DN27" s="154"/>
      <c r="DO27" s="154"/>
      <c r="DP27" s="154"/>
      <c r="DQ27" s="154"/>
      <c r="DR27" s="154"/>
      <c r="DS27" s="154"/>
      <c r="DT27" s="154"/>
      <c r="DU27" s="154"/>
      <c r="DV27" s="154"/>
      <c r="DW27" s="154"/>
      <c r="DX27" s="154"/>
      <c r="DY27" s="154"/>
      <c r="DZ27" s="154"/>
      <c r="EA27" s="154"/>
      <c r="EB27" s="154"/>
      <c r="EC27" s="154"/>
      <c r="ED27" s="154"/>
      <c r="EE27" s="154"/>
      <c r="EF27" s="154"/>
      <c r="EG27" s="154"/>
      <c r="EH27" s="154"/>
      <c r="EI27" s="154"/>
      <c r="EJ27" s="154"/>
      <c r="EK27" s="154"/>
      <c r="EL27" s="154"/>
      <c r="EM27" s="154"/>
      <c r="EN27" s="154"/>
      <c r="EO27" s="154"/>
      <c r="EP27" s="154"/>
      <c r="EQ27" s="154"/>
      <c r="ER27" s="154"/>
      <c r="ES27" s="154"/>
      <c r="ET27" s="154"/>
      <c r="EU27" s="154"/>
      <c r="EV27" s="154"/>
      <c r="EW27" s="154"/>
    </row>
    <row r="28" spans="1:153" ht="12.95" customHeight="1">
      <c r="B28" s="363" t="s">
        <v>873</v>
      </c>
      <c r="C28" s="360" t="s">
        <v>960</v>
      </c>
      <c r="D28" s="480">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0</v>
      </c>
      <c r="P28" s="154"/>
      <c r="Q28" s="154"/>
      <c r="R28" s="154"/>
      <c r="S28" s="154"/>
      <c r="T28" s="154"/>
      <c r="U28" s="154"/>
      <c r="V28" s="154"/>
      <c r="W28" s="154"/>
      <c r="X28" s="154"/>
      <c r="Y28" s="154"/>
      <c r="Z28" s="154"/>
      <c r="AA28" s="154"/>
      <c r="AB28" s="154"/>
      <c r="AC28" s="154"/>
      <c r="AD28" s="154"/>
      <c r="AE28" s="154"/>
      <c r="AF28" s="367"/>
      <c r="AG28" s="368"/>
      <c r="AH28" s="368"/>
      <c r="AI28" s="368"/>
      <c r="AJ28" s="154"/>
      <c r="AK28" s="154"/>
      <c r="AL28" s="154"/>
      <c r="AM28" s="154"/>
      <c r="AN28" s="154"/>
      <c r="AO28" s="154"/>
      <c r="AP28" s="154"/>
      <c r="AQ28" s="154"/>
      <c r="AR28" s="154"/>
      <c r="AS28" s="154"/>
      <c r="AT28" s="154"/>
      <c r="AU28" s="154"/>
      <c r="AV28" s="154"/>
      <c r="AW28" s="154"/>
      <c r="AX28" s="154"/>
      <c r="AY28" s="154"/>
      <c r="AZ28" s="154"/>
      <c r="BA28" s="154"/>
      <c r="BB28" s="154"/>
      <c r="BC28" s="154"/>
      <c r="BD28" s="154"/>
      <c r="BE28" s="154"/>
      <c r="BF28" s="154"/>
      <c r="BG28" s="154"/>
      <c r="BH28" s="154"/>
      <c r="BI28" s="154"/>
      <c r="BJ28" s="154"/>
      <c r="BK28" s="154"/>
      <c r="BL28" s="154"/>
      <c r="BM28" s="154"/>
      <c r="BN28" s="154"/>
      <c r="BO28" s="154"/>
      <c r="BP28" s="154"/>
      <c r="BQ28" s="154"/>
      <c r="BR28" s="154"/>
      <c r="BS28" s="154"/>
      <c r="BT28" s="154"/>
      <c r="BU28" s="154"/>
      <c r="BV28" s="154"/>
      <c r="BW28" s="154"/>
      <c r="BX28" s="154"/>
      <c r="BY28" s="154"/>
      <c r="BZ28" s="154"/>
      <c r="CA28" s="154"/>
      <c r="CB28" s="154"/>
      <c r="CC28" s="154"/>
      <c r="CD28" s="154"/>
      <c r="CE28" s="154"/>
      <c r="CF28" s="154"/>
      <c r="CG28" s="154"/>
      <c r="CH28" s="154"/>
      <c r="CI28" s="154"/>
      <c r="CJ28" s="154"/>
      <c r="CK28" s="154"/>
      <c r="CL28" s="154"/>
      <c r="CM28" s="154"/>
      <c r="CN28" s="154"/>
      <c r="CO28" s="154"/>
      <c r="CP28" s="154"/>
      <c r="CQ28" s="154"/>
      <c r="CR28" s="154"/>
      <c r="CS28" s="154"/>
      <c r="CT28" s="154"/>
      <c r="CU28" s="154"/>
      <c r="CV28" s="154"/>
      <c r="CW28" s="154"/>
      <c r="CX28" s="154"/>
      <c r="CY28" s="154"/>
      <c r="CZ28" s="154"/>
      <c r="DA28" s="154"/>
      <c r="DB28" s="154"/>
      <c r="DC28" s="154"/>
      <c r="DD28" s="154"/>
      <c r="DE28" s="154"/>
      <c r="DF28" s="154"/>
      <c r="DG28" s="154"/>
      <c r="DH28" s="154"/>
      <c r="DI28" s="154"/>
      <c r="DJ28" s="154"/>
      <c r="DK28" s="154"/>
      <c r="DL28" s="154"/>
      <c r="DM28" s="154"/>
      <c r="DN28" s="154"/>
      <c r="DO28" s="154"/>
      <c r="DP28" s="154"/>
      <c r="DQ28" s="154"/>
      <c r="DR28" s="154"/>
      <c r="DS28" s="154"/>
      <c r="DT28" s="154"/>
      <c r="DU28" s="154"/>
      <c r="DV28" s="154"/>
      <c r="DW28" s="154"/>
      <c r="DX28" s="154"/>
      <c r="DY28" s="154"/>
      <c r="DZ28" s="154"/>
      <c r="EA28" s="154"/>
      <c r="EB28" s="154"/>
      <c r="EC28" s="154"/>
      <c r="ED28" s="154"/>
      <c r="EE28" s="154"/>
      <c r="EF28" s="154"/>
      <c r="EG28" s="154"/>
      <c r="EH28" s="154"/>
      <c r="EI28" s="154"/>
      <c r="EJ28" s="154"/>
      <c r="EK28" s="154"/>
      <c r="EL28" s="154"/>
      <c r="EM28" s="154"/>
      <c r="EN28" s="154"/>
      <c r="EO28" s="154"/>
      <c r="EP28" s="154"/>
      <c r="EQ28" s="154"/>
      <c r="ER28" s="154"/>
      <c r="ES28" s="154"/>
      <c r="ET28" s="154"/>
      <c r="EU28" s="154"/>
      <c r="EV28" s="154"/>
      <c r="EW28" s="154"/>
    </row>
    <row r="29" spans="1:153" ht="12.95" customHeight="1">
      <c r="B29" s="395" t="s">
        <v>874</v>
      </c>
      <c r="C29" s="364" t="s">
        <v>212</v>
      </c>
      <c r="D29" s="457" t="e">
        <f>D27/D28</f>
        <v>#N/A</v>
      </c>
      <c r="P29" s="154"/>
      <c r="Q29" s="154"/>
      <c r="R29" s="154"/>
      <c r="S29" s="154"/>
      <c r="T29" s="154"/>
      <c r="U29" s="154"/>
      <c r="V29" s="154"/>
      <c r="W29" s="154"/>
      <c r="X29" s="154"/>
      <c r="Y29" s="154"/>
      <c r="Z29" s="154"/>
      <c r="AA29" s="154"/>
      <c r="AB29" s="154"/>
      <c r="AC29" s="154"/>
      <c r="AD29" s="154"/>
      <c r="AE29" s="154"/>
      <c r="AF29" s="367"/>
      <c r="AG29" s="368"/>
      <c r="AH29" s="368"/>
      <c r="AI29" s="368"/>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c r="BS29" s="154"/>
      <c r="BT29" s="154"/>
      <c r="BU29" s="154"/>
      <c r="BV29" s="154"/>
      <c r="BW29" s="154"/>
      <c r="BX29" s="154"/>
      <c r="BY29" s="154"/>
      <c r="BZ29" s="154"/>
      <c r="CA29" s="154"/>
      <c r="CB29" s="154"/>
      <c r="CC29" s="154"/>
      <c r="CD29" s="154"/>
      <c r="CE29" s="154"/>
      <c r="CF29" s="154"/>
      <c r="CG29" s="154"/>
      <c r="CH29" s="154"/>
      <c r="CI29" s="154"/>
      <c r="CJ29" s="154"/>
      <c r="CK29" s="154"/>
      <c r="CL29" s="154"/>
      <c r="CM29" s="154"/>
      <c r="CN29" s="154"/>
      <c r="CO29" s="154"/>
      <c r="CP29" s="154"/>
      <c r="CQ29" s="154"/>
      <c r="CR29" s="154"/>
      <c r="CS29" s="154"/>
      <c r="CT29" s="154"/>
      <c r="CU29" s="154"/>
      <c r="CV29" s="154"/>
      <c r="CW29" s="154"/>
      <c r="CX29" s="154"/>
      <c r="CY29" s="154"/>
      <c r="CZ29" s="154"/>
      <c r="DA29" s="154"/>
      <c r="DB29" s="154"/>
      <c r="DC29" s="154"/>
      <c r="DD29" s="154"/>
      <c r="DE29" s="154"/>
      <c r="DF29" s="154"/>
      <c r="DG29" s="154"/>
      <c r="DH29" s="154"/>
      <c r="DI29" s="154"/>
      <c r="DJ29" s="154"/>
      <c r="DK29" s="154"/>
      <c r="DL29" s="154"/>
      <c r="DM29" s="154"/>
      <c r="DN29" s="154"/>
      <c r="DO29" s="154"/>
      <c r="DP29" s="154"/>
      <c r="DQ29" s="154"/>
      <c r="DR29" s="154"/>
      <c r="DS29" s="154"/>
      <c r="DT29" s="154"/>
      <c r="DU29" s="154"/>
      <c r="DV29" s="154"/>
      <c r="DW29" s="154"/>
      <c r="DX29" s="154"/>
      <c r="DY29" s="154"/>
      <c r="DZ29" s="154"/>
      <c r="EA29" s="154"/>
      <c r="EB29" s="154"/>
      <c r="EC29" s="154"/>
      <c r="ED29" s="154"/>
      <c r="EE29" s="154"/>
      <c r="EF29" s="154"/>
      <c r="EG29" s="154"/>
      <c r="EH29" s="154"/>
      <c r="EI29" s="154"/>
      <c r="EJ29" s="154"/>
      <c r="EK29" s="154"/>
      <c r="EL29" s="154"/>
      <c r="EM29" s="154"/>
      <c r="EN29" s="154"/>
      <c r="EO29" s="154"/>
      <c r="EP29" s="154"/>
      <c r="EQ29" s="154"/>
      <c r="ER29" s="154"/>
      <c r="ES29" s="154"/>
      <c r="ET29" s="154"/>
      <c r="EU29" s="154"/>
      <c r="EV29" s="154"/>
      <c r="EW29" s="154"/>
    </row>
    <row r="30" spans="1:153" ht="12.95" customHeight="1">
      <c r="P30" s="154"/>
      <c r="Q30" s="154"/>
      <c r="R30" s="154"/>
      <c r="S30" s="154"/>
      <c r="T30" s="154"/>
      <c r="U30" s="154"/>
      <c r="V30" s="154"/>
      <c r="W30" s="154"/>
      <c r="X30" s="154"/>
      <c r="Y30" s="154"/>
      <c r="Z30" s="154"/>
      <c r="AA30" s="154"/>
      <c r="AB30" s="154"/>
      <c r="AC30" s="365"/>
      <c r="AD30" s="369"/>
      <c r="AE30" s="369"/>
      <c r="AF30" s="370"/>
      <c r="AG30" s="369"/>
      <c r="AH30" s="369"/>
      <c r="AI30" s="368"/>
      <c r="AJ30" s="154"/>
      <c r="AK30" s="154"/>
      <c r="AL30" s="154"/>
      <c r="AM30" s="154"/>
      <c r="AN30" s="154"/>
      <c r="AO30" s="154"/>
      <c r="AP30" s="154"/>
      <c r="AQ30" s="154"/>
      <c r="AR30" s="154"/>
      <c r="AS30" s="154"/>
      <c r="AT30" s="154"/>
      <c r="AU30" s="154"/>
      <c r="AV30" s="154"/>
      <c r="AW30" s="154"/>
      <c r="AX30" s="154"/>
      <c r="AY30" s="154"/>
      <c r="AZ30" s="154"/>
      <c r="BA30" s="154"/>
      <c r="BB30" s="154"/>
      <c r="BC30" s="154"/>
      <c r="BD30" s="154"/>
      <c r="BE30" s="154"/>
      <c r="BF30" s="154"/>
      <c r="BG30" s="154"/>
      <c r="BH30" s="154"/>
      <c r="BI30" s="154"/>
      <c r="BJ30" s="154"/>
      <c r="BK30" s="154"/>
      <c r="BL30" s="154"/>
      <c r="BM30" s="154"/>
      <c r="BN30" s="154"/>
      <c r="BO30" s="154"/>
      <c r="BP30" s="154"/>
      <c r="BQ30" s="154"/>
      <c r="BR30" s="154"/>
      <c r="BS30" s="154"/>
      <c r="BT30" s="154"/>
      <c r="BU30" s="154"/>
      <c r="BV30" s="154"/>
      <c r="BW30" s="154"/>
      <c r="BX30" s="154"/>
      <c r="BY30" s="154"/>
      <c r="BZ30" s="154"/>
      <c r="CA30" s="154"/>
      <c r="CB30" s="154"/>
      <c r="CC30" s="154"/>
      <c r="CD30" s="154"/>
      <c r="CE30" s="154"/>
      <c r="CF30" s="154"/>
      <c r="CG30" s="154"/>
      <c r="CH30" s="154"/>
      <c r="CI30" s="154"/>
      <c r="CJ30" s="154"/>
      <c r="CK30" s="154"/>
      <c r="CL30" s="154"/>
      <c r="CM30" s="154"/>
      <c r="CN30" s="154"/>
      <c r="CO30" s="154"/>
      <c r="CP30" s="154"/>
      <c r="CQ30" s="154"/>
      <c r="CR30" s="154"/>
      <c r="CS30" s="154"/>
      <c r="CT30" s="154"/>
      <c r="CU30" s="154"/>
      <c r="CV30" s="154"/>
      <c r="CW30" s="154"/>
      <c r="CX30" s="154"/>
      <c r="CY30" s="154"/>
      <c r="CZ30" s="154"/>
      <c r="DA30" s="154"/>
      <c r="DB30" s="154"/>
      <c r="DC30" s="154"/>
      <c r="DD30" s="154"/>
      <c r="DE30" s="154"/>
      <c r="DF30" s="154"/>
      <c r="DG30" s="154"/>
      <c r="DH30" s="154"/>
      <c r="DI30" s="154"/>
      <c r="DJ30" s="154"/>
      <c r="DK30" s="154"/>
      <c r="DL30" s="154"/>
      <c r="DM30" s="154"/>
      <c r="DN30" s="154"/>
      <c r="DO30" s="154"/>
      <c r="DP30" s="154"/>
      <c r="DQ30" s="154"/>
      <c r="DR30" s="154"/>
      <c r="DS30" s="154"/>
      <c r="DT30" s="154"/>
      <c r="DU30" s="154"/>
      <c r="DV30" s="154"/>
      <c r="DW30" s="154"/>
      <c r="DX30" s="154"/>
      <c r="DY30" s="154"/>
      <c r="DZ30" s="154"/>
      <c r="EA30" s="154"/>
      <c r="EB30" s="154"/>
      <c r="EC30" s="154"/>
      <c r="ED30" s="154"/>
      <c r="EE30" s="154"/>
      <c r="EF30" s="154"/>
      <c r="EG30" s="154"/>
      <c r="EH30" s="154"/>
      <c r="EI30" s="154"/>
      <c r="EJ30" s="154"/>
      <c r="EK30" s="154"/>
      <c r="EL30" s="154"/>
      <c r="EM30" s="154"/>
      <c r="EN30" s="154"/>
      <c r="EO30" s="154"/>
      <c r="EP30" s="154"/>
      <c r="EQ30" s="154"/>
      <c r="ER30" s="154"/>
      <c r="ES30" s="154"/>
      <c r="ET30" s="154"/>
      <c r="EU30" s="154"/>
      <c r="EV30" s="154"/>
      <c r="EW30" s="154"/>
    </row>
    <row r="31" spans="1:153" ht="12.95" customHeight="1">
      <c r="B31" s="667" t="s">
        <v>806</v>
      </c>
      <c r="C31" s="668"/>
      <c r="D31" s="669"/>
      <c r="J31" s="54"/>
      <c r="P31" s="154"/>
      <c r="Q31" s="154"/>
      <c r="R31" s="154"/>
      <c r="S31" s="678"/>
      <c r="T31" s="678"/>
      <c r="U31" s="154"/>
      <c r="V31" s="154"/>
      <c r="W31" s="154"/>
      <c r="X31" s="154"/>
      <c r="Y31" s="154"/>
      <c r="Z31" s="154"/>
      <c r="AA31" s="154"/>
      <c r="AB31" s="154"/>
      <c r="AC31" s="365"/>
      <c r="AD31" s="369"/>
      <c r="AE31" s="369"/>
      <c r="AF31" s="369"/>
      <c r="AG31" s="371"/>
      <c r="AH31" s="371"/>
      <c r="AI31" s="368"/>
      <c r="AJ31" s="154"/>
      <c r="AK31" s="154"/>
      <c r="AL31" s="154"/>
      <c r="AM31" s="154"/>
      <c r="AN31" s="154"/>
      <c r="AO31" s="154"/>
      <c r="AP31" s="154"/>
      <c r="AQ31" s="154"/>
      <c r="AR31" s="154"/>
      <c r="AS31" s="154"/>
      <c r="AT31" s="154"/>
      <c r="AU31" s="154"/>
      <c r="AV31" s="154"/>
      <c r="AW31" s="154"/>
      <c r="AX31" s="154"/>
      <c r="AY31" s="154"/>
      <c r="AZ31" s="154"/>
      <c r="BA31" s="154"/>
      <c r="BB31" s="154"/>
      <c r="BC31" s="154"/>
      <c r="BD31" s="154"/>
      <c r="BE31" s="154"/>
      <c r="BF31" s="154"/>
      <c r="BG31" s="154"/>
      <c r="BH31" s="154"/>
      <c r="BI31" s="154"/>
      <c r="BJ31" s="154"/>
      <c r="BK31" s="154"/>
      <c r="BL31" s="154"/>
      <c r="BM31" s="154"/>
      <c r="BN31" s="154"/>
      <c r="BO31" s="154"/>
      <c r="BP31" s="154"/>
      <c r="BQ31" s="154"/>
      <c r="BR31" s="154"/>
      <c r="BS31" s="154"/>
      <c r="BT31" s="154"/>
      <c r="BU31" s="154"/>
      <c r="BV31" s="154"/>
      <c r="BW31" s="154"/>
      <c r="BX31" s="154"/>
      <c r="BY31" s="154"/>
      <c r="BZ31" s="154"/>
      <c r="CA31" s="154"/>
      <c r="CB31" s="154"/>
      <c r="CC31" s="154"/>
      <c r="CD31" s="154"/>
      <c r="CE31" s="154"/>
      <c r="CF31" s="154"/>
      <c r="CG31" s="154"/>
      <c r="CH31" s="154"/>
      <c r="CI31" s="154"/>
      <c r="CJ31" s="154"/>
      <c r="CK31" s="154"/>
      <c r="CL31" s="154"/>
      <c r="CM31" s="154"/>
      <c r="CN31" s="154"/>
      <c r="CO31" s="154"/>
      <c r="CP31" s="154"/>
      <c r="CQ31" s="154"/>
      <c r="CR31" s="154"/>
      <c r="CS31" s="154"/>
      <c r="CT31" s="154"/>
      <c r="CU31" s="154"/>
      <c r="CV31" s="154"/>
      <c r="CW31" s="154"/>
      <c r="CX31" s="154"/>
      <c r="CY31" s="154"/>
      <c r="CZ31" s="154"/>
      <c r="DA31" s="154"/>
      <c r="DB31" s="154"/>
      <c r="DC31" s="154"/>
      <c r="DD31" s="154"/>
      <c r="DE31" s="154"/>
      <c r="DF31" s="154"/>
      <c r="DG31" s="154"/>
      <c r="DH31" s="154"/>
      <c r="DI31" s="154"/>
      <c r="DJ31" s="154"/>
      <c r="DK31" s="154"/>
      <c r="DL31" s="154"/>
      <c r="DM31" s="154"/>
      <c r="DN31" s="154"/>
      <c r="DO31" s="154"/>
      <c r="DP31" s="154"/>
      <c r="DQ31" s="154"/>
      <c r="DR31" s="154"/>
      <c r="DS31" s="154"/>
      <c r="DT31" s="154"/>
      <c r="DU31" s="154"/>
      <c r="DV31" s="154"/>
      <c r="DW31" s="154"/>
      <c r="DX31" s="154"/>
      <c r="DY31" s="154"/>
      <c r="DZ31" s="154"/>
      <c r="EA31" s="154"/>
      <c r="EB31" s="154"/>
      <c r="EC31" s="154"/>
      <c r="ED31" s="154"/>
      <c r="EE31" s="154"/>
      <c r="EF31" s="154"/>
      <c r="EG31" s="154"/>
      <c r="EH31" s="154"/>
      <c r="EI31" s="154"/>
      <c r="EJ31" s="154"/>
      <c r="EK31" s="154"/>
      <c r="EL31" s="154"/>
      <c r="EM31" s="154"/>
      <c r="EN31" s="154"/>
      <c r="EO31" s="154"/>
      <c r="EP31" s="154"/>
      <c r="EQ31" s="154"/>
      <c r="ER31" s="154"/>
      <c r="ES31" s="154"/>
      <c r="ET31" s="154"/>
      <c r="EU31" s="154"/>
      <c r="EV31" s="154"/>
      <c r="EW31" s="154"/>
    </row>
    <row r="32" spans="1:153" ht="12.95" customHeight="1">
      <c r="B32" s="458" t="s">
        <v>900</v>
      </c>
      <c r="C32" s="452" t="s">
        <v>777</v>
      </c>
      <c r="D32" s="480">
        <f>HLOOKUP("BOILER:Boiler Water Inlet Temp [C](Hourly)",'Eplus results'!1:1048576,'graph data'!D4,FALSE)*9/5+32</f>
        <v>32</v>
      </c>
      <c r="J32" s="54"/>
      <c r="P32" s="154"/>
      <c r="Q32" s="154"/>
      <c r="R32" s="154"/>
      <c r="S32" s="154"/>
      <c r="T32" s="154"/>
      <c r="U32" s="154"/>
      <c r="V32" s="154"/>
      <c r="W32" s="154"/>
      <c r="X32" s="154"/>
      <c r="Y32" s="154"/>
      <c r="Z32" s="154"/>
      <c r="AA32" s="154"/>
      <c r="AB32" s="154"/>
      <c r="AC32" s="365"/>
      <c r="AD32" s="372"/>
      <c r="AE32" s="373"/>
      <c r="AF32" s="373"/>
      <c r="AG32" s="373"/>
      <c r="AH32" s="374"/>
      <c r="AI32" s="368"/>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c r="BK32" s="154"/>
      <c r="BL32" s="154"/>
      <c r="BM32" s="154"/>
      <c r="BN32" s="154"/>
      <c r="BO32" s="154"/>
      <c r="BP32" s="154"/>
      <c r="BQ32" s="154"/>
      <c r="BR32" s="154"/>
      <c r="BS32" s="154"/>
      <c r="BT32" s="154"/>
      <c r="BU32" s="154"/>
      <c r="BV32" s="154"/>
      <c r="BW32" s="154"/>
      <c r="BX32" s="154"/>
      <c r="BY32" s="154"/>
      <c r="BZ32" s="154"/>
      <c r="CA32" s="154"/>
      <c r="CB32" s="154"/>
      <c r="CC32" s="154"/>
      <c r="CD32" s="154"/>
      <c r="CE32" s="154"/>
      <c r="CF32" s="154"/>
      <c r="CG32" s="154"/>
      <c r="CH32" s="154"/>
      <c r="CI32" s="154"/>
      <c r="CJ32" s="154"/>
      <c r="CK32" s="154"/>
      <c r="CL32" s="154"/>
      <c r="CM32" s="154"/>
      <c r="CN32" s="154"/>
      <c r="CO32" s="154"/>
      <c r="CP32" s="154"/>
      <c r="CQ32" s="154"/>
      <c r="CR32" s="154"/>
      <c r="CS32" s="154"/>
      <c r="CT32" s="154"/>
      <c r="CU32" s="154"/>
      <c r="CV32" s="154"/>
      <c r="CW32" s="154"/>
      <c r="CX32" s="154"/>
      <c r="CY32" s="154"/>
      <c r="CZ32" s="154"/>
      <c r="DA32" s="154"/>
      <c r="DB32" s="154"/>
      <c r="DC32" s="154"/>
      <c r="DD32" s="154"/>
      <c r="DE32" s="154"/>
      <c r="DF32" s="154"/>
      <c r="DG32" s="154"/>
      <c r="DH32" s="154"/>
      <c r="DI32" s="154"/>
      <c r="DJ32" s="154"/>
      <c r="DK32" s="154"/>
      <c r="DL32" s="154"/>
      <c r="DM32" s="154"/>
      <c r="DN32" s="154"/>
      <c r="DO32" s="154"/>
      <c r="DP32" s="154"/>
      <c r="DQ32" s="154"/>
      <c r="DR32" s="154"/>
      <c r="DS32" s="154"/>
      <c r="DT32" s="154"/>
      <c r="DU32" s="154"/>
      <c r="DV32" s="154"/>
      <c r="DW32" s="154"/>
      <c r="DX32" s="154"/>
      <c r="DY32" s="154"/>
      <c r="DZ32" s="154"/>
      <c r="EA32" s="154"/>
      <c r="EB32" s="154"/>
      <c r="EC32" s="154"/>
      <c r="ED32" s="154"/>
      <c r="EE32" s="154"/>
      <c r="EF32" s="154"/>
      <c r="EG32" s="154"/>
      <c r="EH32" s="154"/>
      <c r="EI32" s="154"/>
      <c r="EJ32" s="154"/>
      <c r="EK32" s="154"/>
      <c r="EL32" s="154"/>
      <c r="EM32" s="154"/>
      <c r="EN32" s="154"/>
      <c r="EO32" s="154"/>
      <c r="EP32" s="154"/>
      <c r="EQ32" s="154"/>
      <c r="ER32" s="154"/>
      <c r="ES32" s="154"/>
      <c r="ET32" s="154"/>
      <c r="EU32" s="154"/>
      <c r="EV32" s="154"/>
      <c r="EW32" s="154"/>
    </row>
    <row r="33" spans="1:153" ht="12.95" customHeight="1">
      <c r="B33" s="458" t="s">
        <v>897</v>
      </c>
      <c r="C33" s="452" t="s">
        <v>777</v>
      </c>
      <c r="D33" s="480">
        <f>HLOOKUP("BOILER:Boiler Water Outlet Temp [C](Hourly)",'Eplus results'!1:1048576,'graph data'!D4,FALSE)*9/5+32</f>
        <v>32</v>
      </c>
      <c r="J33" s="179"/>
      <c r="P33" s="154"/>
      <c r="Q33" s="154"/>
      <c r="R33" s="154"/>
      <c r="S33" s="154"/>
      <c r="T33" s="154"/>
      <c r="U33" s="154"/>
      <c r="V33" s="154"/>
      <c r="W33" s="154"/>
      <c r="X33" s="154"/>
      <c r="Y33" s="154"/>
      <c r="Z33" s="154"/>
      <c r="AA33" s="154"/>
      <c r="AB33" s="154"/>
      <c r="AC33" s="365"/>
      <c r="AD33" s="365"/>
      <c r="AE33" s="365"/>
      <c r="AF33" s="370"/>
      <c r="AG33" s="369"/>
      <c r="AH33" s="369"/>
      <c r="AI33" s="368"/>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c r="BS33" s="154"/>
      <c r="BT33" s="154"/>
      <c r="BU33" s="154"/>
      <c r="BV33" s="154"/>
      <c r="BW33" s="154"/>
      <c r="BX33" s="154"/>
      <c r="BY33" s="154"/>
      <c r="BZ33" s="154"/>
      <c r="CA33" s="154"/>
      <c r="CB33" s="154"/>
      <c r="CC33" s="154"/>
      <c r="CD33" s="154"/>
      <c r="CE33" s="154"/>
      <c r="CF33" s="154"/>
      <c r="CG33" s="154"/>
      <c r="CH33" s="154"/>
      <c r="CI33" s="154"/>
      <c r="CJ33" s="154"/>
      <c r="CK33" s="154"/>
      <c r="CL33" s="154"/>
      <c r="CM33" s="154"/>
      <c r="CN33" s="154"/>
      <c r="CO33" s="154"/>
      <c r="CP33" s="154"/>
      <c r="CQ33" s="154"/>
      <c r="CR33" s="154"/>
      <c r="CS33" s="154"/>
      <c r="CT33" s="154"/>
      <c r="CU33" s="154"/>
      <c r="CV33" s="154"/>
      <c r="CW33" s="154"/>
      <c r="CX33" s="154"/>
      <c r="CY33" s="154"/>
      <c r="CZ33" s="154"/>
      <c r="DA33" s="154"/>
      <c r="DB33" s="154"/>
      <c r="DC33" s="154"/>
      <c r="DD33" s="154"/>
      <c r="DE33" s="154"/>
      <c r="DF33" s="154"/>
      <c r="DG33" s="154"/>
      <c r="DH33" s="154"/>
      <c r="DI33" s="154"/>
      <c r="DJ33" s="154"/>
      <c r="DK33" s="154"/>
      <c r="DL33" s="154"/>
      <c r="DM33" s="154"/>
      <c r="DN33" s="154"/>
      <c r="DO33" s="154"/>
      <c r="DP33" s="154"/>
      <c r="DQ33" s="154"/>
      <c r="DR33" s="154"/>
      <c r="DS33" s="154"/>
      <c r="DT33" s="154"/>
      <c r="DU33" s="154"/>
      <c r="DV33" s="154"/>
      <c r="DW33" s="154"/>
      <c r="DX33" s="154"/>
      <c r="DY33" s="154"/>
      <c r="DZ33" s="154"/>
      <c r="EA33" s="154"/>
      <c r="EB33" s="154"/>
      <c r="EC33" s="154"/>
      <c r="ED33" s="154"/>
      <c r="EE33" s="154"/>
      <c r="EF33" s="154"/>
      <c r="EG33" s="154"/>
      <c r="EH33" s="154"/>
      <c r="EI33" s="154"/>
      <c r="EJ33" s="154"/>
      <c r="EK33" s="154"/>
      <c r="EL33" s="154"/>
      <c r="EM33" s="154"/>
      <c r="EN33" s="154"/>
      <c r="EO33" s="154"/>
      <c r="EP33" s="154"/>
      <c r="EQ33" s="154"/>
      <c r="ER33" s="154"/>
      <c r="ES33" s="154"/>
      <c r="ET33" s="154"/>
      <c r="EU33" s="154"/>
      <c r="EV33" s="154"/>
      <c r="EW33" s="154"/>
    </row>
    <row r="34" spans="1:153" ht="12.95" customHeight="1">
      <c r="B34" s="458" t="s">
        <v>894</v>
      </c>
      <c r="C34" s="454" t="s">
        <v>946</v>
      </c>
      <c r="D34" s="480">
        <f>HLOOKUP("BOILER:Boiler Water Mass Flow Rate [kg/s](Hourly)",'Eplus results'!1:1048576,'graph data'!D4,FALSE)/(3.785/60)</f>
        <v>0</v>
      </c>
      <c r="J34" s="54"/>
      <c r="P34" s="154"/>
      <c r="Q34" s="154"/>
      <c r="R34" s="154"/>
      <c r="S34" s="154"/>
      <c r="T34" s="154"/>
      <c r="U34" s="154"/>
      <c r="V34" s="154"/>
      <c r="W34" s="154"/>
      <c r="X34" s="154"/>
      <c r="Y34" s="154"/>
      <c r="Z34" s="154"/>
      <c r="AA34" s="154"/>
      <c r="AB34" s="154"/>
      <c r="AC34" s="365"/>
      <c r="AD34" s="365"/>
      <c r="AE34" s="365"/>
      <c r="AF34" s="370"/>
      <c r="AG34" s="369"/>
      <c r="AH34" s="369"/>
      <c r="AI34" s="368"/>
      <c r="AJ34" s="154"/>
      <c r="AK34" s="154"/>
      <c r="AL34" s="154"/>
      <c r="AM34" s="154"/>
      <c r="AN34" s="154"/>
      <c r="AO34" s="154"/>
      <c r="AP34" s="154"/>
      <c r="AQ34" s="154"/>
      <c r="AR34" s="154"/>
      <c r="AS34" s="154"/>
      <c r="AT34" s="154"/>
      <c r="AU34" s="154"/>
      <c r="AV34" s="154"/>
      <c r="AW34" s="154"/>
      <c r="AX34" s="154"/>
      <c r="AY34" s="154"/>
      <c r="AZ34" s="154"/>
      <c r="BA34" s="154"/>
      <c r="BB34" s="154"/>
      <c r="BC34" s="154"/>
      <c r="BD34" s="154"/>
      <c r="BE34" s="154"/>
      <c r="BF34" s="154"/>
      <c r="BG34" s="154"/>
      <c r="BH34" s="154"/>
      <c r="BI34" s="154"/>
      <c r="BJ34" s="154"/>
      <c r="BK34" s="154"/>
      <c r="BL34" s="154"/>
      <c r="BM34" s="154"/>
      <c r="BN34" s="154"/>
      <c r="BO34" s="154"/>
      <c r="BP34" s="154"/>
      <c r="BQ34" s="154"/>
      <c r="BR34" s="154"/>
      <c r="BS34" s="154"/>
      <c r="BT34" s="154"/>
      <c r="BU34" s="154"/>
      <c r="BV34" s="154"/>
      <c r="BW34" s="154"/>
      <c r="BX34" s="154"/>
      <c r="BY34" s="154"/>
      <c r="BZ34" s="154"/>
      <c r="CA34" s="154"/>
      <c r="CB34" s="154"/>
      <c r="CC34" s="154"/>
      <c r="CD34" s="154"/>
      <c r="CE34" s="154"/>
      <c r="CF34" s="154"/>
      <c r="CG34" s="154"/>
      <c r="CH34" s="154"/>
      <c r="CI34" s="154"/>
      <c r="CJ34" s="154"/>
      <c r="CK34" s="154"/>
      <c r="CL34" s="154"/>
      <c r="CM34" s="154"/>
      <c r="CN34" s="154"/>
      <c r="CO34" s="154"/>
      <c r="CP34" s="154"/>
      <c r="CQ34" s="154"/>
      <c r="CR34" s="154"/>
      <c r="CS34" s="154"/>
      <c r="CT34" s="154"/>
      <c r="CU34" s="154"/>
      <c r="CV34" s="154"/>
      <c r="CW34" s="154"/>
      <c r="CX34" s="154"/>
      <c r="CY34" s="154"/>
      <c r="CZ34" s="154"/>
      <c r="DA34" s="154"/>
      <c r="DB34" s="154"/>
      <c r="DC34" s="154"/>
      <c r="DD34" s="154"/>
      <c r="DE34" s="154"/>
      <c r="DF34" s="154"/>
      <c r="DG34" s="154"/>
      <c r="DH34" s="154"/>
      <c r="DI34" s="154"/>
      <c r="DJ34" s="154"/>
      <c r="DK34" s="154"/>
      <c r="DL34" s="154"/>
      <c r="DM34" s="154"/>
      <c r="DN34" s="154"/>
      <c r="DO34" s="154"/>
      <c r="DP34" s="154"/>
      <c r="DQ34" s="154"/>
      <c r="DR34" s="154"/>
      <c r="DS34" s="154"/>
      <c r="DT34" s="154"/>
      <c r="DU34" s="154"/>
      <c r="DV34" s="154"/>
      <c r="DW34" s="154"/>
      <c r="DX34" s="154"/>
      <c r="DY34" s="154"/>
      <c r="DZ34" s="154"/>
      <c r="EA34" s="154"/>
      <c r="EB34" s="154"/>
      <c r="EC34" s="154"/>
      <c r="ED34" s="154"/>
      <c r="EE34" s="154"/>
      <c r="EF34" s="154"/>
      <c r="EG34" s="154"/>
      <c r="EH34" s="154"/>
      <c r="EI34" s="154"/>
      <c r="EJ34" s="154"/>
      <c r="EK34" s="154"/>
      <c r="EL34" s="154"/>
      <c r="EM34" s="154"/>
      <c r="EN34" s="154"/>
      <c r="EO34" s="154"/>
      <c r="EP34" s="154"/>
      <c r="EQ34" s="154"/>
      <c r="ER34" s="154"/>
      <c r="ES34" s="154"/>
      <c r="ET34" s="154"/>
      <c r="EU34" s="154"/>
      <c r="EV34" s="154"/>
      <c r="EW34" s="154"/>
    </row>
    <row r="35" spans="1:153" ht="12.95" customHeight="1">
      <c r="B35" s="479" t="s">
        <v>883</v>
      </c>
      <c r="C35" s="360" t="s">
        <v>938</v>
      </c>
      <c r="D35" s="480">
        <f>HLOOKUP("BOILER:Boiler Heating Output Rate [W](Hourly)",'Eplus results'!1:1048576,'graph data'!D4,FALSE)*3.415179/1000</f>
        <v>0</v>
      </c>
      <c r="E35" s="185"/>
      <c r="J35" s="54"/>
      <c r="P35" s="154"/>
      <c r="Q35" s="154"/>
      <c r="R35" s="154"/>
      <c r="S35" s="154"/>
      <c r="T35" s="154"/>
      <c r="U35" s="154"/>
      <c r="V35" s="154"/>
      <c r="W35" s="154"/>
      <c r="X35" s="154"/>
      <c r="Y35" s="154"/>
      <c r="Z35" s="154"/>
      <c r="AA35" s="154"/>
      <c r="AB35" s="154"/>
      <c r="AC35" s="154"/>
      <c r="AD35" s="154"/>
      <c r="AE35" s="154"/>
      <c r="AF35" s="367"/>
      <c r="AG35" s="368"/>
      <c r="AH35" s="368"/>
      <c r="AI35" s="368"/>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4"/>
      <c r="BP35" s="154"/>
      <c r="BQ35" s="154"/>
      <c r="BR35" s="154"/>
      <c r="BS35" s="154"/>
      <c r="BT35" s="154"/>
      <c r="BU35" s="154"/>
      <c r="BV35" s="154"/>
      <c r="BW35" s="154"/>
      <c r="BX35" s="154"/>
      <c r="BY35" s="154"/>
      <c r="BZ35" s="154"/>
      <c r="CA35" s="154"/>
      <c r="CB35" s="154"/>
      <c r="CC35" s="154"/>
      <c r="CD35" s="154"/>
      <c r="CE35" s="154"/>
      <c r="CF35" s="154"/>
      <c r="CG35" s="154"/>
      <c r="CH35" s="154"/>
      <c r="CI35" s="154"/>
      <c r="CJ35" s="154"/>
      <c r="CK35" s="154"/>
      <c r="CL35" s="154"/>
      <c r="CM35" s="154"/>
      <c r="CN35" s="154"/>
      <c r="CO35" s="154"/>
      <c r="CP35" s="154"/>
      <c r="CQ35" s="154"/>
      <c r="CR35" s="154"/>
      <c r="CS35" s="154"/>
      <c r="CT35" s="154"/>
      <c r="CU35" s="154"/>
      <c r="CV35" s="154"/>
      <c r="CW35" s="154"/>
      <c r="CX35" s="154"/>
      <c r="CY35" s="154"/>
      <c r="CZ35" s="154"/>
      <c r="DA35" s="154"/>
      <c r="DB35" s="154"/>
      <c r="DC35" s="154"/>
      <c r="DD35" s="154"/>
      <c r="DE35" s="154"/>
      <c r="DF35" s="154"/>
      <c r="DG35" s="154"/>
      <c r="DH35" s="154"/>
      <c r="DI35" s="154"/>
      <c r="DJ35" s="154"/>
      <c r="DK35" s="154"/>
      <c r="DL35" s="154"/>
      <c r="DM35" s="154"/>
      <c r="DN35" s="154"/>
      <c r="DO35" s="154"/>
      <c r="DP35" s="154"/>
      <c r="DQ35" s="154"/>
      <c r="DR35" s="154"/>
      <c r="DS35" s="154"/>
      <c r="DT35" s="154"/>
      <c r="DU35" s="154"/>
      <c r="DV35" s="154"/>
      <c r="DW35" s="154"/>
      <c r="DX35" s="154"/>
      <c r="DY35" s="154"/>
      <c r="DZ35" s="154"/>
      <c r="EA35" s="154"/>
      <c r="EB35" s="154"/>
      <c r="EC35" s="154"/>
      <c r="ED35" s="154"/>
      <c r="EE35" s="154"/>
      <c r="EF35" s="154"/>
      <c r="EG35" s="154"/>
      <c r="EH35" s="154"/>
      <c r="EI35" s="154"/>
      <c r="EJ35" s="154"/>
      <c r="EK35" s="154"/>
      <c r="EL35" s="154"/>
      <c r="EM35" s="154"/>
      <c r="EN35" s="154"/>
      <c r="EO35" s="154"/>
      <c r="EP35" s="154"/>
      <c r="EQ35" s="154"/>
      <c r="ER35" s="154"/>
      <c r="ES35" s="154"/>
      <c r="ET35" s="154"/>
      <c r="EU35" s="154"/>
      <c r="EV35" s="154"/>
      <c r="EW35" s="154"/>
    </row>
    <row r="36" spans="1:153" ht="12.95" customHeight="1">
      <c r="B36" s="487" t="s">
        <v>947</v>
      </c>
      <c r="C36" s="364" t="s">
        <v>212</v>
      </c>
      <c r="D36" s="496">
        <f>HLOOKUP("BOILER:Boiler Part-Load Ratio(Hourly)",'Eplus results'!1:1048576,'graph data'!D4,FALSE)</f>
        <v>0</v>
      </c>
      <c r="E36" s="185"/>
      <c r="J36" s="54"/>
      <c r="P36" s="154"/>
      <c r="Q36" s="154"/>
      <c r="R36" s="154"/>
      <c r="S36" s="154"/>
      <c r="T36" s="154"/>
      <c r="U36" s="154"/>
      <c r="V36" s="154"/>
      <c r="W36" s="154"/>
      <c r="X36" s="154"/>
      <c r="Y36" s="154"/>
      <c r="Z36" s="154"/>
      <c r="AA36" s="154"/>
      <c r="AB36" s="154"/>
      <c r="AC36" s="154"/>
      <c r="AD36" s="154"/>
      <c r="AE36" s="154"/>
      <c r="AF36" s="367"/>
      <c r="AG36" s="444"/>
      <c r="AH36" s="444"/>
      <c r="AI36" s="444"/>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54"/>
      <c r="BO36" s="154"/>
      <c r="BP36" s="154"/>
      <c r="BQ36" s="154"/>
      <c r="BR36" s="154"/>
      <c r="BS36" s="154"/>
      <c r="BT36" s="154"/>
      <c r="BU36" s="154"/>
      <c r="BV36" s="154"/>
      <c r="BW36" s="154"/>
      <c r="BX36" s="154"/>
      <c r="BY36" s="154"/>
      <c r="BZ36" s="154"/>
      <c r="CA36" s="154"/>
      <c r="CB36" s="154"/>
      <c r="CC36" s="154"/>
      <c r="CD36" s="154"/>
      <c r="CE36" s="154"/>
      <c r="CF36" s="154"/>
      <c r="CG36" s="154"/>
      <c r="CH36" s="154"/>
      <c r="CI36" s="154"/>
      <c r="CJ36" s="154"/>
      <c r="CK36" s="154"/>
      <c r="CL36" s="154"/>
      <c r="CM36" s="154"/>
      <c r="CN36" s="154"/>
      <c r="CO36" s="154"/>
      <c r="CP36" s="154"/>
      <c r="CQ36" s="154"/>
      <c r="CR36" s="154"/>
      <c r="CS36" s="154"/>
      <c r="CT36" s="154"/>
      <c r="CU36" s="154"/>
      <c r="CV36" s="154"/>
      <c r="CW36" s="154"/>
      <c r="CX36" s="154"/>
      <c r="CY36" s="154"/>
      <c r="CZ36" s="154"/>
      <c r="DA36" s="154"/>
      <c r="DB36" s="154"/>
      <c r="DC36" s="154"/>
      <c r="DD36" s="154"/>
      <c r="DE36" s="154"/>
      <c r="DF36" s="154"/>
      <c r="DG36" s="154"/>
      <c r="DH36" s="154"/>
      <c r="DI36" s="154"/>
      <c r="DJ36" s="154"/>
      <c r="DK36" s="154"/>
      <c r="DL36" s="154"/>
      <c r="DM36" s="154"/>
      <c r="DN36" s="154"/>
      <c r="DO36" s="154"/>
      <c r="DP36" s="154"/>
      <c r="DQ36" s="154"/>
      <c r="DR36" s="154"/>
      <c r="DS36" s="154"/>
      <c r="DT36" s="154"/>
      <c r="DU36" s="154"/>
      <c r="DV36" s="154"/>
      <c r="DW36" s="154"/>
      <c r="DX36" s="154"/>
      <c r="DY36" s="154"/>
      <c r="DZ36" s="154"/>
      <c r="EA36" s="154"/>
      <c r="EB36" s="154"/>
      <c r="EC36" s="154"/>
      <c r="ED36" s="154"/>
      <c r="EE36" s="154"/>
      <c r="EF36" s="154"/>
      <c r="EG36" s="154"/>
      <c r="EH36" s="154"/>
      <c r="EI36" s="154"/>
      <c r="EJ36" s="154"/>
      <c r="EK36" s="154"/>
      <c r="EL36" s="154"/>
      <c r="EM36" s="154"/>
      <c r="EN36" s="154"/>
      <c r="EO36" s="154"/>
      <c r="EP36" s="154"/>
      <c r="EQ36" s="154"/>
      <c r="ER36" s="154"/>
      <c r="ES36" s="154"/>
      <c r="ET36" s="154"/>
      <c r="EU36" s="154"/>
      <c r="EV36" s="154"/>
      <c r="EW36" s="154"/>
    </row>
    <row r="37" spans="1:153" ht="12.95" customHeight="1">
      <c r="B37" s="488" t="s">
        <v>901</v>
      </c>
      <c r="C37" s="489" t="s">
        <v>777</v>
      </c>
      <c r="D37" s="490">
        <f>HLOOKUP("CHILLER:Chiller Evap Water Inlet Temp [C](Hourly)",'Eplus results'!1:1048576,'graph data'!D4,FALSE)*9/5+32</f>
        <v>32</v>
      </c>
      <c r="P37" s="154"/>
      <c r="Q37" s="154"/>
      <c r="R37" s="154"/>
      <c r="S37" s="154"/>
      <c r="T37" s="154"/>
      <c r="U37" s="154"/>
      <c r="V37" s="154"/>
      <c r="W37" s="154"/>
      <c r="X37" s="154"/>
      <c r="Y37" s="154"/>
      <c r="Z37" s="154"/>
      <c r="AA37" s="154"/>
      <c r="AB37" s="154"/>
      <c r="AC37" s="154"/>
      <c r="AD37" s="154"/>
      <c r="AE37" s="154"/>
      <c r="AF37" s="367"/>
      <c r="AG37" s="368"/>
      <c r="AH37" s="368"/>
      <c r="AI37" s="368"/>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c r="BX37" s="154"/>
      <c r="BY37" s="154"/>
      <c r="BZ37" s="154"/>
      <c r="CA37" s="154"/>
      <c r="CB37" s="154"/>
      <c r="CC37" s="154"/>
      <c r="CD37" s="154"/>
      <c r="CE37" s="154"/>
      <c r="CF37" s="154"/>
      <c r="CG37" s="154"/>
      <c r="CH37" s="154"/>
      <c r="CI37" s="154"/>
      <c r="CJ37" s="154"/>
      <c r="CK37" s="154"/>
      <c r="CL37" s="154"/>
      <c r="CM37" s="154"/>
      <c r="CN37" s="154"/>
      <c r="CO37" s="154"/>
      <c r="CP37" s="154"/>
      <c r="CQ37" s="154"/>
      <c r="CR37" s="154"/>
      <c r="CS37" s="154"/>
      <c r="CT37" s="154"/>
      <c r="CU37" s="154"/>
      <c r="CV37" s="154"/>
      <c r="CW37" s="154"/>
      <c r="CX37" s="154"/>
      <c r="CY37" s="154"/>
      <c r="CZ37" s="154"/>
      <c r="DA37" s="154"/>
      <c r="DB37" s="154"/>
      <c r="DC37" s="154"/>
      <c r="DD37" s="154"/>
      <c r="DE37" s="154"/>
      <c r="DF37" s="154"/>
      <c r="DG37" s="154"/>
      <c r="DH37" s="154"/>
      <c r="DI37" s="154"/>
      <c r="DJ37" s="154"/>
      <c r="DK37" s="154"/>
      <c r="DL37" s="154"/>
      <c r="DM37" s="154"/>
      <c r="DN37" s="154"/>
      <c r="DO37" s="154"/>
      <c r="DP37" s="154"/>
      <c r="DQ37" s="154"/>
      <c r="DR37" s="154"/>
      <c r="DS37" s="154"/>
      <c r="DT37" s="154"/>
      <c r="DU37" s="154"/>
      <c r="DV37" s="154"/>
      <c r="DW37" s="154"/>
      <c r="DX37" s="154"/>
      <c r="DY37" s="154"/>
      <c r="DZ37" s="154"/>
      <c r="EA37" s="154"/>
      <c r="EB37" s="154"/>
      <c r="EC37" s="154"/>
      <c r="ED37" s="154"/>
      <c r="EE37" s="154"/>
      <c r="EF37" s="154"/>
      <c r="EG37" s="154"/>
      <c r="EH37" s="154"/>
      <c r="EI37" s="154"/>
      <c r="EJ37" s="154"/>
      <c r="EK37" s="154"/>
      <c r="EL37" s="154"/>
      <c r="EM37" s="154"/>
      <c r="EN37" s="154"/>
      <c r="EO37" s="154"/>
      <c r="EP37" s="154"/>
      <c r="EQ37" s="154"/>
      <c r="ER37" s="154"/>
      <c r="ES37" s="154"/>
      <c r="ET37" s="154"/>
      <c r="EU37" s="154"/>
      <c r="EV37" s="154"/>
      <c r="EW37" s="154"/>
    </row>
    <row r="38" spans="1:153" ht="12.95" customHeight="1">
      <c r="A38" s="154"/>
      <c r="B38" s="458" t="s">
        <v>898</v>
      </c>
      <c r="C38" s="468" t="s">
        <v>777</v>
      </c>
      <c r="D38" s="453">
        <f>HLOOKUP("CHILLER:Chiller Evap Water Outlet Temp [C](Hourly)",'Eplus results'!1:1048576,'graph data'!D4,FALSE)*9/5+32</f>
        <v>32</v>
      </c>
      <c r="P38" s="154"/>
      <c r="Q38" s="154"/>
      <c r="R38" s="154"/>
      <c r="S38" s="154"/>
      <c r="T38" s="154"/>
      <c r="U38" s="154"/>
      <c r="V38" s="154"/>
      <c r="W38" s="154"/>
      <c r="X38" s="154"/>
      <c r="Y38" s="154"/>
      <c r="Z38" s="154"/>
      <c r="AA38" s="154"/>
      <c r="AB38" s="154"/>
      <c r="AC38" s="154"/>
      <c r="AD38" s="154"/>
      <c r="AE38" s="154"/>
      <c r="AF38" s="367"/>
      <c r="AG38" s="368"/>
      <c r="AH38" s="368"/>
      <c r="AI38" s="368"/>
      <c r="AJ38" s="154"/>
      <c r="AK38" s="154"/>
      <c r="AL38" s="154"/>
      <c r="AM38" s="154"/>
      <c r="AN38" s="154"/>
      <c r="AO38" s="154"/>
      <c r="AP38" s="154"/>
      <c r="AQ38" s="154"/>
      <c r="AR38" s="154"/>
      <c r="AS38" s="154"/>
      <c r="AT38" s="154"/>
      <c r="AU38" s="154"/>
      <c r="AV38" s="154"/>
      <c r="AW38" s="154"/>
      <c r="AX38" s="154"/>
      <c r="AY38" s="154"/>
      <c r="AZ38" s="154"/>
      <c r="BA38" s="154"/>
      <c r="BB38" s="154"/>
      <c r="BC38" s="154"/>
      <c r="BD38" s="154"/>
      <c r="BE38" s="154"/>
      <c r="BF38" s="154"/>
      <c r="BG38" s="154"/>
      <c r="BH38" s="154"/>
      <c r="BI38" s="154"/>
      <c r="BJ38" s="154"/>
      <c r="BK38" s="154"/>
      <c r="BL38" s="154"/>
      <c r="BM38" s="154"/>
      <c r="BN38" s="154"/>
      <c r="BO38" s="154"/>
      <c r="BP38" s="154"/>
      <c r="BQ38" s="154"/>
      <c r="BR38" s="154"/>
      <c r="BS38" s="154"/>
      <c r="BT38" s="154"/>
      <c r="BU38" s="154"/>
      <c r="BV38" s="154"/>
      <c r="BW38" s="154"/>
      <c r="BX38" s="154"/>
      <c r="BY38" s="154"/>
      <c r="BZ38" s="154"/>
      <c r="CA38" s="154"/>
      <c r="CB38" s="154"/>
      <c r="CC38" s="154"/>
      <c r="CD38" s="154"/>
      <c r="CE38" s="154"/>
      <c r="CF38" s="154"/>
      <c r="CG38" s="154"/>
      <c r="CH38" s="154"/>
      <c r="CI38" s="154"/>
      <c r="CJ38" s="154"/>
      <c r="CK38" s="154"/>
      <c r="CL38" s="154"/>
      <c r="CM38" s="154"/>
      <c r="CN38" s="154"/>
      <c r="CO38" s="154"/>
      <c r="CP38" s="154"/>
      <c r="CQ38" s="154"/>
      <c r="CR38" s="154"/>
      <c r="CS38" s="154"/>
      <c r="CT38" s="154"/>
      <c r="CU38" s="154"/>
      <c r="CV38" s="154"/>
      <c r="CW38" s="154"/>
      <c r="CX38" s="154"/>
      <c r="CY38" s="154"/>
      <c r="CZ38" s="154"/>
      <c r="DA38" s="154"/>
      <c r="DB38" s="154"/>
      <c r="DC38" s="154"/>
      <c r="DD38" s="154"/>
      <c r="DE38" s="154"/>
      <c r="DF38" s="154"/>
      <c r="DG38" s="154"/>
      <c r="DH38" s="154"/>
      <c r="DI38" s="154"/>
      <c r="DJ38" s="154"/>
      <c r="DK38" s="154"/>
      <c r="DL38" s="154"/>
      <c r="DM38" s="154"/>
      <c r="DN38" s="154"/>
      <c r="DO38" s="154"/>
      <c r="DP38" s="154"/>
      <c r="DQ38" s="154"/>
      <c r="DR38" s="154"/>
      <c r="DS38" s="154"/>
      <c r="DT38" s="154"/>
      <c r="DU38" s="154"/>
      <c r="DV38" s="154"/>
      <c r="DW38" s="154"/>
      <c r="DX38" s="154"/>
      <c r="DY38" s="154"/>
      <c r="DZ38" s="154"/>
      <c r="EA38" s="154"/>
      <c r="EB38" s="154"/>
      <c r="EC38" s="154"/>
      <c r="ED38" s="154"/>
      <c r="EE38" s="154"/>
      <c r="EF38" s="154"/>
      <c r="EG38" s="154"/>
      <c r="EH38" s="154"/>
      <c r="EI38" s="154"/>
      <c r="EJ38" s="154"/>
      <c r="EK38" s="154"/>
      <c r="EL38" s="154"/>
      <c r="EM38" s="154"/>
      <c r="EN38" s="154"/>
      <c r="EO38" s="154"/>
      <c r="EP38" s="154"/>
      <c r="EQ38" s="154"/>
      <c r="ER38" s="154"/>
      <c r="ES38" s="154"/>
      <c r="ET38" s="154"/>
      <c r="EU38" s="154"/>
      <c r="EV38" s="154"/>
      <c r="EW38" s="154"/>
    </row>
    <row r="39" spans="1:153" ht="12.95" customHeight="1">
      <c r="B39" s="458" t="s">
        <v>895</v>
      </c>
      <c r="C39" s="454" t="s">
        <v>946</v>
      </c>
      <c r="D39" s="453">
        <f>HLOOKUP("CHILLER:Chiller Evap Water Outlet Temp [C](Hourly)",'Eplus results'!1:1048576,'graph data'!D4,FALSE)/(3.785/60)</f>
        <v>0</v>
      </c>
      <c r="P39" s="154"/>
      <c r="Q39" s="154"/>
      <c r="R39" s="154"/>
      <c r="S39" s="154"/>
      <c r="T39" s="154"/>
      <c r="U39" s="154"/>
      <c r="V39" s="154"/>
      <c r="W39" s="154"/>
      <c r="X39" s="154"/>
      <c r="Y39" s="154"/>
      <c r="Z39" s="154"/>
      <c r="AA39" s="154"/>
      <c r="AB39" s="154"/>
      <c r="AC39" s="154"/>
      <c r="AD39" s="154"/>
      <c r="AE39" s="154"/>
      <c r="AF39" s="367"/>
      <c r="AG39" s="368"/>
      <c r="AH39" s="368"/>
      <c r="AI39" s="368"/>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c r="BS39" s="154"/>
      <c r="BT39" s="154"/>
      <c r="BU39" s="154"/>
      <c r="BV39" s="154"/>
      <c r="BW39" s="154"/>
      <c r="BX39" s="154"/>
      <c r="BY39" s="154"/>
      <c r="BZ39" s="154"/>
      <c r="CA39" s="154"/>
      <c r="CB39" s="154"/>
      <c r="CC39" s="154"/>
      <c r="CD39" s="154"/>
      <c r="CE39" s="154"/>
      <c r="CF39" s="154"/>
      <c r="CG39" s="154"/>
      <c r="CH39" s="154"/>
      <c r="CI39" s="154"/>
      <c r="CJ39" s="154"/>
      <c r="CK39" s="154"/>
      <c r="CL39" s="154"/>
      <c r="CM39" s="154"/>
      <c r="CN39" s="154"/>
      <c r="CO39" s="154"/>
      <c r="CP39" s="154"/>
      <c r="CQ39" s="154"/>
      <c r="CR39" s="154"/>
      <c r="CS39" s="154"/>
      <c r="CT39" s="154"/>
      <c r="CU39" s="154"/>
      <c r="CV39" s="154"/>
      <c r="CW39" s="154"/>
      <c r="CX39" s="154"/>
      <c r="CY39" s="154"/>
      <c r="CZ39" s="154"/>
      <c r="DA39" s="154"/>
      <c r="DB39" s="154"/>
      <c r="DC39" s="154"/>
      <c r="DD39" s="154"/>
      <c r="DE39" s="154"/>
      <c r="DF39" s="154"/>
      <c r="DG39" s="154"/>
      <c r="DH39" s="154"/>
      <c r="DI39" s="154"/>
      <c r="DJ39" s="154"/>
      <c r="DK39" s="154"/>
      <c r="DL39" s="154"/>
      <c r="DM39" s="154"/>
      <c r="DN39" s="154"/>
      <c r="DO39" s="154"/>
      <c r="DP39" s="154"/>
      <c r="DQ39" s="154"/>
      <c r="DR39" s="154"/>
      <c r="DS39" s="154"/>
      <c r="DT39" s="154"/>
      <c r="DU39" s="154"/>
      <c r="DV39" s="154"/>
      <c r="DW39" s="154"/>
      <c r="DX39" s="154"/>
      <c r="DY39" s="154"/>
      <c r="DZ39" s="154"/>
      <c r="EA39" s="154"/>
      <c r="EB39" s="154"/>
      <c r="EC39" s="154"/>
      <c r="ED39" s="154"/>
      <c r="EE39" s="154"/>
      <c r="EF39" s="154"/>
      <c r="EG39" s="154"/>
      <c r="EH39" s="154"/>
      <c r="EI39" s="154"/>
      <c r="EJ39" s="154"/>
      <c r="EK39" s="154"/>
      <c r="EL39" s="154"/>
      <c r="EM39" s="154"/>
      <c r="EN39" s="154"/>
      <c r="EO39" s="154"/>
      <c r="EP39" s="154"/>
      <c r="EQ39" s="154"/>
      <c r="ER39" s="154"/>
      <c r="ES39" s="154"/>
      <c r="ET39" s="154"/>
      <c r="EU39" s="154"/>
      <c r="EV39" s="154"/>
      <c r="EW39" s="154"/>
    </row>
    <row r="40" spans="1:153" ht="12.95" customHeight="1">
      <c r="B40" s="363" t="s">
        <v>887</v>
      </c>
      <c r="C40" s="360" t="s">
        <v>212</v>
      </c>
      <c r="D40" s="481">
        <f>HLOOKUP("CHILLER:Chiller COP [W/W](Hourly)",'Eplus results'!1:1048576,'graph data'!D4,FALSE)</f>
        <v>0</v>
      </c>
      <c r="P40" s="154"/>
      <c r="Q40" s="154"/>
      <c r="R40" s="154"/>
      <c r="S40" s="154"/>
      <c r="T40" s="154"/>
      <c r="U40" s="154"/>
      <c r="V40" s="154"/>
      <c r="W40" s="154"/>
      <c r="X40" s="154"/>
      <c r="Y40" s="154"/>
      <c r="Z40" s="154"/>
      <c r="AA40" s="154"/>
      <c r="AB40" s="154"/>
      <c r="AC40" s="154"/>
      <c r="AD40" s="154"/>
      <c r="AE40" s="154"/>
      <c r="AF40" s="367"/>
      <c r="AG40" s="368"/>
      <c r="AH40" s="368"/>
      <c r="AI40" s="368"/>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4"/>
      <c r="BP40" s="154"/>
      <c r="BQ40" s="154"/>
      <c r="BR40" s="154"/>
      <c r="BS40" s="154"/>
      <c r="BT40" s="154"/>
      <c r="BU40" s="154"/>
      <c r="BV40" s="154"/>
      <c r="BW40" s="154"/>
      <c r="BX40" s="154"/>
      <c r="BY40" s="154"/>
      <c r="BZ40" s="154"/>
      <c r="CA40" s="154"/>
      <c r="CB40" s="154"/>
      <c r="CC40" s="154"/>
      <c r="CD40" s="154"/>
      <c r="CE40" s="154"/>
      <c r="CF40" s="154"/>
      <c r="CG40" s="154"/>
      <c r="CH40" s="154"/>
      <c r="CI40" s="154"/>
      <c r="CJ40" s="154"/>
      <c r="CK40" s="154"/>
      <c r="CL40" s="154"/>
      <c r="CM40" s="154"/>
      <c r="CN40" s="154"/>
      <c r="CO40" s="154"/>
      <c r="CP40" s="154"/>
      <c r="CQ40" s="154"/>
      <c r="CR40" s="154"/>
      <c r="CS40" s="154"/>
      <c r="CT40" s="154"/>
      <c r="CU40" s="154"/>
      <c r="CV40" s="154"/>
      <c r="CW40" s="154"/>
      <c r="CX40" s="154"/>
      <c r="CY40" s="154"/>
      <c r="CZ40" s="154"/>
      <c r="DA40" s="154"/>
      <c r="DB40" s="154"/>
      <c r="DC40" s="154"/>
      <c r="DD40" s="154"/>
      <c r="DE40" s="154"/>
      <c r="DF40" s="154"/>
      <c r="DG40" s="154"/>
      <c r="DH40" s="154"/>
      <c r="DI40" s="154"/>
      <c r="DJ40" s="154"/>
      <c r="DK40" s="154"/>
      <c r="DL40" s="154"/>
      <c r="DM40" s="154"/>
      <c r="DN40" s="154"/>
      <c r="DO40" s="154"/>
      <c r="DP40" s="154"/>
      <c r="DQ40" s="154"/>
      <c r="DR40" s="154"/>
      <c r="DS40" s="154"/>
      <c r="DT40" s="154"/>
      <c r="DU40" s="154"/>
      <c r="DV40" s="154"/>
      <c r="DW40" s="154"/>
      <c r="DX40" s="154"/>
      <c r="DY40" s="154"/>
      <c r="DZ40" s="154"/>
      <c r="EA40" s="154"/>
      <c r="EB40" s="154"/>
      <c r="EC40" s="154"/>
      <c r="ED40" s="154"/>
      <c r="EE40" s="154"/>
      <c r="EF40" s="154"/>
      <c r="EG40" s="154"/>
      <c r="EH40" s="154"/>
      <c r="EI40" s="154"/>
      <c r="EJ40" s="154"/>
      <c r="EK40" s="154"/>
      <c r="EL40" s="154"/>
      <c r="EM40" s="154"/>
      <c r="EN40" s="154"/>
      <c r="EO40" s="154"/>
      <c r="EP40" s="154"/>
      <c r="EQ40" s="154"/>
      <c r="ER40" s="154"/>
      <c r="ES40" s="154"/>
      <c r="ET40" s="154"/>
      <c r="EU40" s="154"/>
      <c r="EV40" s="154"/>
      <c r="EW40" s="154"/>
    </row>
    <row r="41" spans="1:153" ht="12.95" customHeight="1">
      <c r="B41" s="363" t="s">
        <v>888</v>
      </c>
      <c r="C41" s="360" t="s">
        <v>212</v>
      </c>
      <c r="D41" s="481">
        <f>HLOOKUP("CHILLER:Chiller Part Load Ratio(Hourly)",'Eplus results'!1:1048576,'graph data'!D4,FALSE)</f>
        <v>0</v>
      </c>
      <c r="G41" s="164"/>
      <c r="P41" s="154"/>
      <c r="Q41" s="154"/>
      <c r="R41" s="154"/>
      <c r="S41" s="154"/>
      <c r="T41" s="154"/>
      <c r="U41" s="154"/>
      <c r="V41" s="154"/>
      <c r="W41" s="672"/>
      <c r="X41" s="672"/>
      <c r="Y41" s="154"/>
      <c r="Z41" s="375"/>
      <c r="AA41" s="375"/>
      <c r="AB41" s="154"/>
      <c r="AC41" s="153"/>
      <c r="AD41" s="154"/>
      <c r="AE41" s="154"/>
      <c r="AF41" s="367"/>
      <c r="AG41" s="368"/>
      <c r="AH41" s="368"/>
      <c r="AI41" s="368"/>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4"/>
      <c r="BP41" s="154"/>
      <c r="BQ41" s="154"/>
      <c r="BR41" s="154"/>
      <c r="BS41" s="154"/>
      <c r="BT41" s="154"/>
      <c r="BU41" s="154"/>
      <c r="BV41" s="154"/>
      <c r="BW41" s="154"/>
      <c r="BX41" s="154"/>
      <c r="BY41" s="154"/>
      <c r="BZ41" s="154"/>
      <c r="CA41" s="154"/>
      <c r="CB41" s="154"/>
      <c r="CC41" s="154"/>
      <c r="CD41" s="154"/>
      <c r="CE41" s="154"/>
      <c r="CF41" s="154"/>
      <c r="CG41" s="154"/>
      <c r="CH41" s="154"/>
      <c r="CI41" s="154"/>
      <c r="CJ41" s="154"/>
      <c r="CK41" s="154"/>
      <c r="CL41" s="154"/>
      <c r="CM41" s="154"/>
      <c r="CN41" s="154"/>
      <c r="CO41" s="154"/>
      <c r="CP41" s="154"/>
      <c r="CQ41" s="154"/>
      <c r="CR41" s="154"/>
      <c r="CS41" s="154"/>
      <c r="CT41" s="154"/>
      <c r="CU41" s="154"/>
      <c r="CV41" s="154"/>
      <c r="CW41" s="154"/>
      <c r="CX41" s="154"/>
      <c r="CY41" s="154"/>
      <c r="CZ41" s="154"/>
      <c r="DA41" s="154"/>
      <c r="DB41" s="154"/>
      <c r="DC41" s="154"/>
      <c r="DD41" s="154"/>
      <c r="DE41" s="154"/>
      <c r="DF41" s="154"/>
      <c r="DG41" s="154"/>
      <c r="DH41" s="154"/>
      <c r="DI41" s="154"/>
      <c r="DJ41" s="154"/>
      <c r="DK41" s="154"/>
      <c r="DL41" s="154"/>
      <c r="DM41" s="154"/>
      <c r="DN41" s="154"/>
      <c r="DO41" s="154"/>
      <c r="DP41" s="154"/>
      <c r="DQ41" s="154"/>
      <c r="DR41" s="154"/>
      <c r="DS41" s="154"/>
      <c r="DT41" s="154"/>
      <c r="DU41" s="154"/>
      <c r="DV41" s="154"/>
      <c r="DW41" s="154"/>
      <c r="DX41" s="154"/>
      <c r="DY41" s="154"/>
      <c r="DZ41" s="154"/>
      <c r="EA41" s="154"/>
      <c r="EB41" s="154"/>
      <c r="EC41" s="154"/>
      <c r="ED41" s="154"/>
      <c r="EE41" s="154"/>
      <c r="EF41" s="154"/>
      <c r="EG41" s="154"/>
      <c r="EH41" s="154"/>
      <c r="EI41" s="154"/>
      <c r="EJ41" s="154"/>
      <c r="EK41" s="154"/>
      <c r="EL41" s="154"/>
      <c r="EM41" s="154"/>
      <c r="EN41" s="154"/>
      <c r="EO41" s="154"/>
      <c r="EP41" s="154"/>
      <c r="EQ41" s="154"/>
      <c r="ER41" s="154"/>
      <c r="ES41" s="154"/>
      <c r="ET41" s="154"/>
      <c r="EU41" s="154"/>
      <c r="EV41" s="154"/>
      <c r="EW41" s="154"/>
    </row>
    <row r="42" spans="1:153" ht="12.95" customHeight="1">
      <c r="A42" s="178"/>
      <c r="B42" s="363" t="s">
        <v>889</v>
      </c>
      <c r="C42" s="360" t="s">
        <v>960</v>
      </c>
      <c r="D42" s="453">
        <f>HLOOKUP("CHILLER:Chiller Electric Consumption [J](Hourly)",'Eplus results'!1:1048576,'graph data'!D4,FALSE)/(3600*1000)</f>
        <v>0</v>
      </c>
      <c r="G42" s="164"/>
      <c r="P42" s="154"/>
      <c r="Q42" s="375"/>
      <c r="R42" s="154"/>
      <c r="S42" s="382"/>
      <c r="T42" s="154"/>
      <c r="U42" s="382"/>
      <c r="V42" s="154"/>
      <c r="W42" s="672"/>
      <c r="X42" s="672"/>
      <c r="Y42" s="154"/>
      <c r="Z42" s="375"/>
      <c r="AA42" s="154"/>
      <c r="AB42" s="375"/>
      <c r="AC42" s="154"/>
      <c r="AD42" s="154"/>
      <c r="AE42" s="154"/>
      <c r="AF42" s="367"/>
      <c r="AG42" s="368"/>
      <c r="AH42" s="368"/>
      <c r="AI42" s="368"/>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M42" s="154"/>
      <c r="CN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c r="DM42" s="154"/>
      <c r="DN42" s="154"/>
      <c r="DO42" s="154"/>
      <c r="DP42" s="154"/>
      <c r="DQ42" s="154"/>
      <c r="DR42" s="154"/>
      <c r="DS42" s="154"/>
      <c r="DT42" s="154"/>
      <c r="DU42" s="154"/>
      <c r="DV42" s="154"/>
      <c r="DW42" s="154"/>
      <c r="DX42" s="154"/>
      <c r="DY42" s="154"/>
      <c r="DZ42" s="154"/>
      <c r="EA42" s="154"/>
      <c r="EB42" s="154"/>
      <c r="EC42" s="154"/>
      <c r="ED42" s="154"/>
      <c r="EE42" s="154"/>
      <c r="EF42" s="154"/>
      <c r="EG42" s="154"/>
      <c r="EH42" s="154"/>
      <c r="EI42" s="154"/>
      <c r="EJ42" s="154"/>
      <c r="EK42" s="154"/>
      <c r="EL42" s="154"/>
      <c r="EM42" s="154"/>
      <c r="EN42" s="154"/>
      <c r="EO42" s="154"/>
      <c r="EP42" s="154"/>
      <c r="EQ42" s="154"/>
      <c r="ER42" s="154"/>
      <c r="ES42" s="154"/>
      <c r="ET42" s="154"/>
      <c r="EU42" s="154"/>
      <c r="EV42" s="154"/>
      <c r="EW42" s="154"/>
    </row>
    <row r="43" spans="1:153" ht="12.95" customHeight="1">
      <c r="A43" s="176"/>
      <c r="B43" s="395" t="s">
        <v>896</v>
      </c>
      <c r="C43" s="364" t="s">
        <v>960</v>
      </c>
      <c r="D43" s="494">
        <f>HLOOKUP("CHILLER:Chiller Evap Heat Trans Rate [W](Hourly)",'Eplus results'!1:1048576,'graph data'!D4,FALSE)/1000</f>
        <v>0</v>
      </c>
      <c r="E43" s="187"/>
      <c r="G43" s="164"/>
      <c r="P43" s="154"/>
      <c r="Q43" s="154"/>
      <c r="R43" s="383"/>
      <c r="S43" s="382"/>
      <c r="T43" s="154"/>
      <c r="U43" s="382"/>
      <c r="V43" s="154"/>
      <c r="W43" s="154"/>
      <c r="X43" s="154"/>
      <c r="Y43" s="154"/>
      <c r="Z43" s="154"/>
      <c r="AA43" s="154"/>
      <c r="AB43" s="154"/>
      <c r="AC43" s="153"/>
      <c r="AD43" s="154"/>
      <c r="AE43" s="154"/>
      <c r="AF43" s="367"/>
      <c r="AG43" s="368"/>
      <c r="AH43" s="368"/>
      <c r="AI43" s="368"/>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4"/>
      <c r="BP43" s="154"/>
      <c r="BQ43" s="154"/>
      <c r="BR43" s="154"/>
      <c r="BS43" s="154"/>
      <c r="BT43" s="154"/>
      <c r="BU43" s="154"/>
      <c r="BV43" s="154"/>
      <c r="BW43" s="154"/>
      <c r="BX43" s="154"/>
      <c r="BY43" s="154"/>
      <c r="BZ43" s="154"/>
      <c r="CA43" s="154"/>
      <c r="CB43" s="154"/>
      <c r="CC43" s="154"/>
      <c r="CD43" s="154"/>
      <c r="CE43" s="154"/>
      <c r="CF43" s="154"/>
      <c r="CG43" s="154"/>
      <c r="CH43" s="154"/>
      <c r="CI43" s="154"/>
      <c r="CJ43" s="154"/>
      <c r="CK43" s="154"/>
      <c r="CL43" s="154"/>
      <c r="CM43" s="154"/>
      <c r="CN43" s="154"/>
      <c r="CO43" s="154"/>
      <c r="CP43" s="154"/>
      <c r="CQ43" s="154"/>
      <c r="CR43" s="154"/>
      <c r="CS43" s="154"/>
      <c r="CT43" s="154"/>
      <c r="CU43" s="154"/>
      <c r="CV43" s="154"/>
      <c r="CW43" s="154"/>
      <c r="CX43" s="154"/>
      <c r="CY43" s="154"/>
      <c r="CZ43" s="154"/>
      <c r="DA43" s="154"/>
      <c r="DB43" s="154"/>
      <c r="DC43" s="154"/>
      <c r="DD43" s="154"/>
      <c r="DE43" s="154"/>
      <c r="DF43" s="154"/>
      <c r="DG43" s="154"/>
      <c r="DH43" s="154"/>
      <c r="DI43" s="154"/>
      <c r="DJ43" s="154"/>
      <c r="DK43" s="154"/>
      <c r="DL43" s="154"/>
      <c r="DM43" s="154"/>
      <c r="DN43" s="154"/>
      <c r="DO43" s="154"/>
      <c r="DP43" s="154"/>
      <c r="DQ43" s="154"/>
      <c r="DR43" s="154"/>
      <c r="DS43" s="154"/>
      <c r="DT43" s="154"/>
      <c r="DU43" s="154"/>
      <c r="DV43" s="154"/>
      <c r="DW43" s="154"/>
      <c r="DX43" s="154"/>
      <c r="DY43" s="154"/>
      <c r="DZ43" s="154"/>
      <c r="EA43" s="154"/>
      <c r="EB43" s="154"/>
      <c r="EC43" s="154"/>
      <c r="ED43" s="154"/>
      <c r="EE43" s="154"/>
      <c r="EF43" s="154"/>
      <c r="EG43" s="154"/>
      <c r="EH43" s="154"/>
      <c r="EI43" s="154"/>
      <c r="EJ43" s="154"/>
      <c r="EK43" s="154"/>
      <c r="EL43" s="154"/>
      <c r="EM43" s="154"/>
      <c r="EN43" s="154"/>
      <c r="EO43" s="154"/>
      <c r="EP43" s="154"/>
      <c r="EQ43" s="154"/>
      <c r="ER43" s="154"/>
      <c r="ES43" s="154"/>
      <c r="ET43" s="154"/>
      <c r="EU43" s="154"/>
      <c r="EV43" s="154"/>
      <c r="EW43" s="154"/>
    </row>
    <row r="44" spans="1:153" ht="12.95" customHeight="1">
      <c r="B44" s="458" t="s">
        <v>902</v>
      </c>
      <c r="C44" s="468" t="s">
        <v>777</v>
      </c>
      <c r="D44" s="449">
        <f>HLOOKUP("TOWER:Tower Water Inlet Temp [C](Hourly)",'Eplus results'!1:1048576,'graph data'!D4,FALSE)*9/5+32</f>
        <v>32</v>
      </c>
      <c r="E44" s="189"/>
      <c r="G44" s="164"/>
      <c r="P44" s="154"/>
      <c r="Q44" s="154"/>
      <c r="R44" s="384"/>
      <c r="S44" s="382"/>
      <c r="T44" s="154"/>
      <c r="U44" s="382"/>
      <c r="V44" s="154"/>
      <c r="W44" s="154"/>
      <c r="X44" s="154"/>
      <c r="Y44" s="154"/>
      <c r="Z44" s="154"/>
      <c r="AA44" s="154"/>
      <c r="AB44" s="154"/>
      <c r="AC44" s="154"/>
      <c r="AD44" s="154"/>
      <c r="AE44" s="154"/>
      <c r="AF44" s="367"/>
      <c r="AG44" s="368"/>
      <c r="AH44" s="368"/>
      <c r="AI44" s="368"/>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4"/>
      <c r="BP44" s="154"/>
      <c r="BQ44" s="154"/>
      <c r="BR44" s="154"/>
      <c r="BS44" s="154"/>
      <c r="BT44" s="154"/>
      <c r="BU44" s="154"/>
      <c r="BV44" s="154"/>
      <c r="BW44" s="154"/>
      <c r="BX44" s="154"/>
      <c r="BY44" s="154"/>
      <c r="BZ44" s="154"/>
      <c r="CA44" s="154"/>
      <c r="CB44" s="154"/>
      <c r="CC44" s="154"/>
      <c r="CD44" s="154"/>
      <c r="CE44" s="154"/>
      <c r="CF44" s="154"/>
      <c r="CG44" s="154"/>
      <c r="CH44" s="154"/>
      <c r="CI44" s="154"/>
      <c r="CJ44" s="154"/>
      <c r="CK44" s="154"/>
      <c r="CL44" s="154"/>
      <c r="CM44" s="154"/>
      <c r="CN44" s="154"/>
      <c r="CO44" s="154"/>
      <c r="CP44" s="154"/>
      <c r="CQ44" s="154"/>
      <c r="CR44" s="154"/>
      <c r="CS44" s="154"/>
      <c r="CT44" s="154"/>
      <c r="CU44" s="154"/>
      <c r="CV44" s="154"/>
      <c r="CW44" s="154"/>
      <c r="CX44" s="154"/>
      <c r="CY44" s="154"/>
      <c r="CZ44" s="154"/>
      <c r="DA44" s="154"/>
      <c r="DB44" s="154"/>
      <c r="DC44" s="154"/>
      <c r="DD44" s="154"/>
      <c r="DE44" s="154"/>
      <c r="DF44" s="154"/>
      <c r="DG44" s="154"/>
      <c r="DH44" s="154"/>
      <c r="DI44" s="154"/>
      <c r="DJ44" s="154"/>
      <c r="DK44" s="154"/>
      <c r="DL44" s="154"/>
      <c r="DM44" s="154"/>
      <c r="DN44" s="154"/>
      <c r="DO44" s="154"/>
      <c r="DP44" s="154"/>
      <c r="DQ44" s="154"/>
      <c r="DR44" s="154"/>
      <c r="DS44" s="154"/>
      <c r="DT44" s="154"/>
      <c r="DU44" s="154"/>
      <c r="DV44" s="154"/>
      <c r="DW44" s="154"/>
      <c r="DX44" s="154"/>
      <c r="DY44" s="154"/>
      <c r="DZ44" s="154"/>
      <c r="EA44" s="154"/>
      <c r="EB44" s="154"/>
      <c r="EC44" s="154"/>
      <c r="ED44" s="154"/>
      <c r="EE44" s="154"/>
      <c r="EF44" s="154"/>
      <c r="EG44" s="154"/>
      <c r="EH44" s="154"/>
      <c r="EI44" s="154"/>
      <c r="EJ44" s="154"/>
      <c r="EK44" s="154"/>
      <c r="EL44" s="154"/>
      <c r="EM44" s="154"/>
      <c r="EN44" s="154"/>
      <c r="EO44" s="154"/>
      <c r="EP44" s="154"/>
      <c r="EQ44" s="154"/>
      <c r="ER44" s="154"/>
      <c r="ES44" s="154"/>
      <c r="ET44" s="154"/>
      <c r="EU44" s="154"/>
      <c r="EV44" s="154"/>
      <c r="EW44" s="154"/>
    </row>
    <row r="45" spans="1:153" ht="12.95" customHeight="1">
      <c r="B45" s="458" t="s">
        <v>899</v>
      </c>
      <c r="C45" s="468" t="s">
        <v>777</v>
      </c>
      <c r="D45" s="449">
        <f>HLOOKUP("TOWER:Tower Water Outlet Temp [C](Hourly)",'Eplus results'!1:1048576,'graph data'!D4,FALSE)*9/5+32</f>
        <v>32</v>
      </c>
      <c r="E45" s="181"/>
      <c r="P45" s="154"/>
      <c r="Q45" s="154"/>
      <c r="R45" s="384"/>
      <c r="S45" s="384"/>
      <c r="T45" s="385"/>
      <c r="U45" s="154"/>
      <c r="V45" s="154"/>
      <c r="W45" s="154"/>
      <c r="X45" s="154"/>
      <c r="Y45" s="154"/>
      <c r="Z45" s="154"/>
      <c r="AA45" s="154"/>
      <c r="AB45" s="154"/>
      <c r="AC45" s="154"/>
      <c r="AD45" s="154"/>
      <c r="AE45" s="154"/>
      <c r="AF45" s="367"/>
      <c r="AG45" s="368"/>
      <c r="AH45" s="368"/>
      <c r="AI45" s="368"/>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A45" s="154"/>
      <c r="DB45" s="154"/>
      <c r="DC45" s="154"/>
      <c r="DD45" s="154"/>
      <c r="DE45" s="154"/>
      <c r="DF45" s="154"/>
      <c r="DG45" s="154"/>
      <c r="DH45" s="154"/>
      <c r="DI45" s="154"/>
      <c r="DJ45" s="154"/>
      <c r="DK45" s="154"/>
      <c r="DL45" s="154"/>
      <c r="DM45" s="154"/>
      <c r="DN45" s="154"/>
      <c r="DO45" s="154"/>
      <c r="DP45" s="154"/>
      <c r="DQ45" s="154"/>
      <c r="DR45" s="154"/>
      <c r="DS45" s="154"/>
      <c r="DT45" s="154"/>
      <c r="DU45" s="154"/>
      <c r="DV45" s="154"/>
      <c r="DW45" s="154"/>
      <c r="DX45" s="154"/>
      <c r="DY45" s="154"/>
      <c r="DZ45" s="154"/>
      <c r="EA45" s="154"/>
      <c r="EB45" s="154"/>
      <c r="EC45" s="154"/>
      <c r="ED45" s="154"/>
      <c r="EE45" s="154"/>
      <c r="EF45" s="154"/>
      <c r="EG45" s="154"/>
      <c r="EH45" s="154"/>
      <c r="EI45" s="154"/>
      <c r="EJ45" s="154"/>
      <c r="EK45" s="154"/>
      <c r="EL45" s="154"/>
      <c r="EM45" s="154"/>
      <c r="EN45" s="154"/>
      <c r="EO45" s="154"/>
      <c r="EP45" s="154"/>
      <c r="EQ45" s="154"/>
      <c r="ER45" s="154"/>
      <c r="ES45" s="154"/>
      <c r="ET45" s="154"/>
      <c r="EU45" s="154"/>
      <c r="EV45" s="154"/>
      <c r="EW45" s="154"/>
    </row>
    <row r="46" spans="1:153" ht="12.95" customHeight="1">
      <c r="B46" s="458" t="s">
        <v>884</v>
      </c>
      <c r="C46" s="454" t="s">
        <v>946</v>
      </c>
      <c r="D46" s="486">
        <f>HLOOKUP("TOWER:Tower Water Mass Flow Rate [kg/s](Hourly)",'Eplus results'!1:1048576,'graph data'!D4,FALSE)/(3.785/60)</f>
        <v>0</v>
      </c>
      <c r="P46" s="154"/>
      <c r="Q46" s="154"/>
      <c r="R46" s="384"/>
      <c r="S46" s="384"/>
      <c r="T46" s="385"/>
      <c r="U46" s="154"/>
      <c r="V46" s="154"/>
      <c r="W46" s="154"/>
      <c r="X46" s="154"/>
      <c r="Y46" s="154"/>
      <c r="Z46" s="154"/>
      <c r="AA46" s="154"/>
      <c r="AB46" s="154"/>
      <c r="AC46" s="154"/>
      <c r="AD46" s="154"/>
      <c r="AE46" s="154"/>
      <c r="AF46" s="367"/>
      <c r="AG46" s="368"/>
      <c r="AH46" s="368"/>
      <c r="AI46" s="368"/>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A46" s="154"/>
      <c r="DB46" s="154"/>
      <c r="DC46" s="154"/>
      <c r="DD46" s="154"/>
      <c r="DE46" s="154"/>
      <c r="DF46" s="154"/>
      <c r="DG46" s="154"/>
      <c r="DH46" s="154"/>
      <c r="DI46" s="154"/>
      <c r="DJ46" s="154"/>
      <c r="DK46" s="154"/>
      <c r="DL46" s="154"/>
      <c r="DM46" s="154"/>
      <c r="DN46" s="154"/>
      <c r="DO46" s="154"/>
      <c r="DP46" s="154"/>
      <c r="DQ46" s="154"/>
      <c r="DR46" s="154"/>
      <c r="DS46" s="154"/>
      <c r="DT46" s="154"/>
      <c r="DU46" s="154"/>
      <c r="DV46" s="154"/>
      <c r="DW46" s="154"/>
      <c r="DX46" s="154"/>
      <c r="DY46" s="154"/>
      <c r="DZ46" s="154"/>
      <c r="EA46" s="154"/>
      <c r="EB46" s="154"/>
      <c r="EC46" s="154"/>
      <c r="ED46" s="154"/>
      <c r="EE46" s="154"/>
      <c r="EF46" s="154"/>
      <c r="EG46" s="154"/>
      <c r="EH46" s="154"/>
      <c r="EI46" s="154"/>
      <c r="EJ46" s="154"/>
      <c r="EK46" s="154"/>
      <c r="EL46" s="154"/>
      <c r="EM46" s="154"/>
      <c r="EN46" s="154"/>
      <c r="EO46" s="154"/>
      <c r="EP46" s="154"/>
      <c r="EQ46" s="154"/>
      <c r="ER46" s="154"/>
      <c r="ES46" s="154"/>
      <c r="ET46" s="154"/>
      <c r="EU46" s="154"/>
      <c r="EV46" s="154"/>
      <c r="EW46" s="154"/>
    </row>
    <row r="47" spans="1:153" ht="12.95" customHeight="1">
      <c r="B47" s="363" t="s">
        <v>885</v>
      </c>
      <c r="C47" s="360" t="s">
        <v>960</v>
      </c>
      <c r="D47" s="453">
        <f>HLOOKUP("TOWER:Tower Fan Electric Power [W](Hourly)",'Eplus results'!1:1048576,'graph data'!D4,FALSE)/1000</f>
        <v>0</v>
      </c>
      <c r="P47" s="154"/>
      <c r="Q47" s="154"/>
      <c r="R47" s="154"/>
      <c r="S47" s="154"/>
      <c r="T47" s="154"/>
      <c r="U47" s="154"/>
      <c r="V47" s="154"/>
      <c r="W47" s="154"/>
      <c r="X47" s="154"/>
      <c r="Y47" s="154"/>
      <c r="Z47" s="154"/>
      <c r="AA47" s="154"/>
      <c r="AB47" s="154"/>
      <c r="AC47" s="154"/>
      <c r="AD47" s="154"/>
      <c r="AE47" s="154"/>
      <c r="AF47" s="367"/>
      <c r="AG47" s="368"/>
      <c r="AH47" s="368"/>
      <c r="AI47" s="368"/>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A47" s="154"/>
      <c r="DB47" s="154"/>
      <c r="DC47" s="154"/>
      <c r="DD47" s="154"/>
      <c r="DE47" s="154"/>
      <c r="DF47" s="154"/>
      <c r="DG47" s="154"/>
      <c r="DH47" s="154"/>
      <c r="DI47" s="154"/>
      <c r="DJ47" s="154"/>
      <c r="DK47" s="154"/>
      <c r="DL47" s="154"/>
      <c r="DM47" s="154"/>
      <c r="DN47" s="154"/>
      <c r="DO47" s="154"/>
      <c r="DP47" s="154"/>
      <c r="DQ47" s="154"/>
      <c r="DR47" s="154"/>
      <c r="DS47" s="154"/>
      <c r="DT47" s="154"/>
      <c r="DU47" s="154"/>
      <c r="DV47" s="154"/>
      <c r="DW47" s="154"/>
      <c r="DX47" s="154"/>
      <c r="DY47" s="154"/>
      <c r="DZ47" s="154"/>
      <c r="EA47" s="154"/>
      <c r="EB47" s="154"/>
      <c r="EC47" s="154"/>
      <c r="ED47" s="154"/>
      <c r="EE47" s="154"/>
      <c r="EF47" s="154"/>
      <c r="EG47" s="154"/>
      <c r="EH47" s="154"/>
      <c r="EI47" s="154"/>
      <c r="EJ47" s="154"/>
      <c r="EK47" s="154"/>
      <c r="EL47" s="154"/>
      <c r="EM47" s="154"/>
      <c r="EN47" s="154"/>
      <c r="EO47" s="154"/>
      <c r="EP47" s="154"/>
      <c r="EQ47" s="154"/>
      <c r="ER47" s="154"/>
      <c r="ES47" s="154"/>
      <c r="ET47" s="154"/>
      <c r="EU47" s="154"/>
      <c r="EV47" s="154"/>
      <c r="EW47" s="154"/>
    </row>
    <row r="48" spans="1:153" ht="12.95" customHeight="1">
      <c r="B48" s="395" t="s">
        <v>886</v>
      </c>
      <c r="C48" s="364" t="s">
        <v>960</v>
      </c>
      <c r="D48" s="494">
        <f>HLOOKUP("TOWER:Tower Heat Transfer [W](Hourly)",'Eplus results'!1:1048576,'graph data'!D4,FALSE)/1000</f>
        <v>0</v>
      </c>
      <c r="P48" s="154"/>
      <c r="Q48" s="154"/>
      <c r="R48" s="154"/>
      <c r="S48" s="154"/>
      <c r="T48" s="154"/>
      <c r="U48" s="154"/>
      <c r="V48" s="154"/>
      <c r="W48" s="154"/>
      <c r="X48" s="154"/>
      <c r="Y48" s="154"/>
      <c r="Z48" s="154"/>
      <c r="AA48" s="154"/>
      <c r="AB48" s="154"/>
      <c r="AC48" s="154"/>
      <c r="AD48" s="154"/>
      <c r="AE48" s="154"/>
      <c r="AF48" s="367"/>
      <c r="AG48" s="368"/>
      <c r="AH48" s="368"/>
      <c r="AI48" s="368"/>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A48" s="154"/>
      <c r="DB48" s="154"/>
      <c r="DC48" s="154"/>
      <c r="DD48" s="154"/>
      <c r="DE48" s="154"/>
      <c r="DF48" s="154"/>
      <c r="DG48" s="154"/>
      <c r="DH48" s="154"/>
      <c r="DI48" s="154"/>
      <c r="DJ48" s="154"/>
      <c r="DK48" s="154"/>
      <c r="DL48" s="154"/>
      <c r="DM48" s="154"/>
      <c r="DN48" s="154"/>
      <c r="DO48" s="154"/>
      <c r="DP48" s="154"/>
      <c r="DQ48" s="154"/>
      <c r="DR48" s="154"/>
      <c r="DS48" s="154"/>
      <c r="DT48" s="154"/>
      <c r="DU48" s="154"/>
      <c r="DV48" s="154"/>
      <c r="DW48" s="154"/>
      <c r="DX48" s="154"/>
      <c r="DY48" s="154"/>
      <c r="DZ48" s="154"/>
      <c r="EA48" s="154"/>
      <c r="EB48" s="154"/>
      <c r="EC48" s="154"/>
      <c r="ED48" s="154"/>
      <c r="EE48" s="154"/>
      <c r="EF48" s="154"/>
      <c r="EG48" s="154"/>
      <c r="EH48" s="154"/>
      <c r="EI48" s="154"/>
      <c r="EJ48" s="154"/>
      <c r="EK48" s="154"/>
      <c r="EL48" s="154"/>
      <c r="EM48" s="154"/>
      <c r="EN48" s="154"/>
      <c r="EO48" s="154"/>
      <c r="EP48" s="154"/>
      <c r="EQ48" s="154"/>
      <c r="ER48" s="154"/>
      <c r="ES48" s="154"/>
      <c r="ET48" s="154"/>
      <c r="EU48" s="154"/>
      <c r="EV48" s="154"/>
      <c r="EW48" s="154"/>
    </row>
    <row r="49" spans="2:153" s="178" customFormat="1" ht="12.95" customHeight="1">
      <c r="B49" s="459"/>
      <c r="C49" s="459"/>
      <c r="D49" s="459"/>
      <c r="F49" s="467" t="str">
        <f>B8</f>
        <v>Hour from starting simulation</v>
      </c>
      <c r="G49" s="441" t="s">
        <v>212</v>
      </c>
      <c r="H49" s="676">
        <f>D8</f>
        <v>17</v>
      </c>
      <c r="I49" s="677"/>
      <c r="P49" s="376"/>
      <c r="Q49" s="383"/>
      <c r="R49" s="386" t="s">
        <v>368</v>
      </c>
      <c r="S49" s="383"/>
      <c r="T49" s="383"/>
      <c r="U49" s="383"/>
      <c r="V49" s="376"/>
      <c r="W49" s="376"/>
      <c r="X49" s="376"/>
      <c r="Y49" s="376"/>
      <c r="Z49" s="376"/>
      <c r="AA49" s="376"/>
      <c r="AB49" s="376"/>
      <c r="AC49" s="376"/>
      <c r="AD49" s="376"/>
      <c r="AE49" s="376"/>
      <c r="AF49" s="376"/>
      <c r="AG49" s="376"/>
      <c r="AH49" s="376"/>
      <c r="AI49" s="376"/>
      <c r="AJ49" s="376"/>
      <c r="AK49" s="376"/>
      <c r="AL49" s="376"/>
      <c r="AM49" s="376"/>
      <c r="AN49" s="376"/>
      <c r="AO49" s="376"/>
      <c r="AP49" s="376"/>
      <c r="AQ49" s="376"/>
      <c r="AR49" s="376"/>
      <c r="AS49" s="376"/>
      <c r="AT49" s="376"/>
      <c r="AU49" s="376"/>
      <c r="AV49" s="376"/>
      <c r="AW49" s="376"/>
      <c r="AX49" s="376"/>
      <c r="AY49" s="376"/>
      <c r="AZ49" s="376"/>
      <c r="BA49" s="376"/>
      <c r="BB49" s="376"/>
      <c r="BC49" s="376"/>
      <c r="BD49" s="376"/>
      <c r="BE49" s="376"/>
      <c r="BF49" s="376"/>
      <c r="BG49" s="376"/>
      <c r="BH49" s="376"/>
      <c r="BI49" s="376"/>
      <c r="BJ49" s="376"/>
      <c r="BK49" s="376"/>
      <c r="BL49" s="376"/>
      <c r="BM49" s="376"/>
      <c r="BN49" s="376"/>
      <c r="BO49" s="376"/>
      <c r="BP49" s="376"/>
      <c r="BQ49" s="376"/>
      <c r="BR49" s="376"/>
      <c r="BS49" s="376"/>
      <c r="BT49" s="376"/>
      <c r="BU49" s="376"/>
      <c r="BV49" s="376"/>
      <c r="BW49" s="376"/>
      <c r="BX49" s="376"/>
      <c r="BY49" s="376"/>
      <c r="BZ49" s="376"/>
      <c r="CA49" s="376"/>
      <c r="CB49" s="376"/>
      <c r="CC49" s="376"/>
      <c r="CD49" s="376"/>
      <c r="CE49" s="376"/>
      <c r="CF49" s="376"/>
      <c r="CG49" s="376"/>
      <c r="CH49" s="376"/>
      <c r="CI49" s="376"/>
      <c r="CJ49" s="376"/>
      <c r="CK49" s="376"/>
      <c r="CL49" s="376"/>
      <c r="CM49" s="376"/>
      <c r="CN49" s="376"/>
      <c r="CO49" s="376"/>
      <c r="CP49" s="376"/>
      <c r="CQ49" s="376"/>
      <c r="CR49" s="376"/>
      <c r="CS49" s="376"/>
      <c r="CT49" s="376"/>
      <c r="CU49" s="376"/>
      <c r="CV49" s="376"/>
      <c r="CW49" s="376"/>
      <c r="CX49" s="376"/>
      <c r="CY49" s="376"/>
      <c r="CZ49" s="376"/>
      <c r="DA49" s="376"/>
      <c r="DB49" s="376"/>
      <c r="DC49" s="376"/>
      <c r="DD49" s="376"/>
      <c r="DE49" s="376"/>
      <c r="DF49" s="376"/>
      <c r="DG49" s="376"/>
      <c r="DH49" s="376"/>
      <c r="DI49" s="376"/>
      <c r="DJ49" s="376"/>
      <c r="DK49" s="376"/>
      <c r="DL49" s="376"/>
      <c r="DM49" s="376"/>
      <c r="DN49" s="376"/>
      <c r="DO49" s="376"/>
      <c r="DP49" s="376"/>
      <c r="DQ49" s="376"/>
      <c r="DR49" s="376"/>
      <c r="DS49" s="376"/>
      <c r="DT49" s="376"/>
      <c r="DU49" s="376"/>
      <c r="DV49" s="376"/>
      <c r="DW49" s="376"/>
      <c r="DX49" s="376"/>
      <c r="DY49" s="376"/>
      <c r="DZ49" s="376"/>
      <c r="EA49" s="376"/>
      <c r="EB49" s="376"/>
      <c r="EC49" s="376"/>
      <c r="ED49" s="376"/>
      <c r="EE49" s="376"/>
      <c r="EF49" s="376"/>
      <c r="EG49" s="376"/>
      <c r="EH49" s="376"/>
      <c r="EI49" s="376"/>
      <c r="EJ49" s="376"/>
      <c r="EK49" s="376"/>
      <c r="EL49" s="376"/>
      <c r="EM49" s="376"/>
      <c r="EN49" s="376"/>
      <c r="EO49" s="376"/>
      <c r="EP49" s="376"/>
      <c r="EQ49" s="376"/>
      <c r="ER49" s="376"/>
      <c r="ES49" s="376"/>
      <c r="ET49" s="376"/>
      <c r="EU49" s="376"/>
      <c r="EV49" s="376"/>
      <c r="EW49" s="376"/>
    </row>
    <row r="50" spans="2:153" s="176" customFormat="1" ht="12.95" customHeight="1">
      <c r="B50" s="673" t="s">
        <v>944</v>
      </c>
      <c r="C50" s="674"/>
      <c r="D50" s="675"/>
      <c r="F50" s="465"/>
      <c r="G50" s="463"/>
      <c r="H50" s="464" t="str">
        <f>Int_zone</f>
        <v>Core</v>
      </c>
      <c r="I50" s="466" t="str">
        <f>perim_zone</f>
        <v>West</v>
      </c>
      <c r="N50" s="177"/>
      <c r="O50" s="186"/>
      <c r="P50" s="377"/>
      <c r="Q50" s="387"/>
      <c r="R50" s="377"/>
      <c r="S50" s="377"/>
      <c r="T50" s="375"/>
      <c r="U50" s="377"/>
      <c r="V50" s="377"/>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75"/>
      <c r="BA50" s="375"/>
      <c r="BB50" s="375"/>
      <c r="BC50" s="375"/>
      <c r="BD50" s="375"/>
      <c r="BE50" s="375"/>
      <c r="BF50" s="375"/>
      <c r="BG50" s="375"/>
      <c r="BH50" s="375"/>
      <c r="BI50" s="375"/>
      <c r="BJ50" s="375"/>
      <c r="BK50" s="375"/>
      <c r="BL50" s="375"/>
      <c r="BM50" s="375"/>
      <c r="BN50" s="375"/>
      <c r="BO50" s="375"/>
      <c r="BP50" s="375"/>
      <c r="BQ50" s="375"/>
      <c r="BR50" s="375"/>
      <c r="BS50" s="375"/>
      <c r="BT50" s="375"/>
      <c r="BU50" s="375"/>
      <c r="BV50" s="375"/>
      <c r="BW50" s="375"/>
      <c r="BX50" s="375"/>
      <c r="BY50" s="375"/>
      <c r="BZ50" s="375"/>
      <c r="CA50" s="375"/>
      <c r="CB50" s="375"/>
      <c r="CC50" s="375"/>
      <c r="CD50" s="375"/>
      <c r="CE50" s="375"/>
      <c r="CF50" s="375"/>
      <c r="CG50" s="375"/>
      <c r="CH50" s="375"/>
      <c r="CI50" s="375"/>
      <c r="CJ50" s="375"/>
      <c r="CK50" s="375"/>
      <c r="CL50" s="375"/>
      <c r="CM50" s="375"/>
      <c r="CN50" s="375"/>
      <c r="CO50" s="375"/>
      <c r="CP50" s="375"/>
      <c r="CQ50" s="375"/>
      <c r="CR50" s="375"/>
      <c r="CS50" s="375"/>
      <c r="CT50" s="375"/>
      <c r="CU50" s="375"/>
      <c r="CV50" s="375"/>
      <c r="CW50" s="375"/>
      <c r="CX50" s="375"/>
      <c r="CY50" s="375"/>
      <c r="CZ50" s="375"/>
      <c r="DA50" s="375"/>
      <c r="DB50" s="375"/>
      <c r="DC50" s="375"/>
      <c r="DD50" s="375"/>
      <c r="DE50" s="375"/>
      <c r="DF50" s="375"/>
      <c r="DG50" s="375"/>
      <c r="DH50" s="375"/>
      <c r="DI50" s="375"/>
      <c r="DJ50" s="375"/>
      <c r="DK50" s="375"/>
      <c r="DL50" s="375"/>
      <c r="DM50" s="375"/>
      <c r="DN50" s="375"/>
      <c r="DO50" s="375"/>
      <c r="DP50" s="375"/>
      <c r="DQ50" s="375"/>
      <c r="DR50" s="375"/>
      <c r="DS50" s="375"/>
      <c r="DT50" s="375"/>
      <c r="DU50" s="375"/>
      <c r="DV50" s="375"/>
      <c r="DW50" s="375"/>
      <c r="DX50" s="375"/>
      <c r="DY50" s="375"/>
      <c r="DZ50" s="375"/>
      <c r="EA50" s="375"/>
      <c r="EB50" s="375"/>
      <c r="EC50" s="375"/>
      <c r="ED50" s="375"/>
      <c r="EE50" s="375"/>
      <c r="EF50" s="375"/>
      <c r="EG50" s="375"/>
      <c r="EH50" s="375"/>
      <c r="EI50" s="375"/>
      <c r="EJ50" s="375"/>
      <c r="EK50" s="375"/>
      <c r="EL50" s="375"/>
      <c r="EM50" s="375"/>
      <c r="EN50" s="375"/>
      <c r="EO50" s="375"/>
      <c r="EP50" s="375"/>
      <c r="EQ50" s="375"/>
      <c r="ER50" s="375"/>
      <c r="ES50" s="375"/>
      <c r="ET50" s="375"/>
      <c r="EU50" s="375"/>
      <c r="EV50" s="375"/>
      <c r="EW50" s="375"/>
    </row>
    <row r="51" spans="2:153" ht="12.95" customHeight="1">
      <c r="B51" s="394" t="s">
        <v>933</v>
      </c>
      <c r="C51" s="439"/>
      <c r="D51" s="460" t="s">
        <v>934</v>
      </c>
      <c r="F51" s="451" t="s">
        <v>865</v>
      </c>
      <c r="G51" s="468" t="s">
        <v>777</v>
      </c>
      <c r="H51" s="469">
        <f>HLOOKUP("GFCore:Zone/sys Thermostat Heating Setpoint [C](hourly)",'Eplus results'!1:1048576,'graph data'!D4,FALSE)*9/5+32</f>
        <v>32</v>
      </c>
      <c r="I51" s="470">
        <f>HLOOKUP("GFCore:Zone/sys Thermostat Heating Setpoint [C](hourly)",'Eplus results'!1:1048576,'graph data'!D4,FALSE)*9/5+32</f>
        <v>32</v>
      </c>
      <c r="J51" s="176"/>
      <c r="N51" s="188"/>
      <c r="O51" s="186"/>
      <c r="P51" s="377"/>
      <c r="Q51" s="388"/>
      <c r="R51" s="377"/>
      <c r="S51" s="377"/>
      <c r="T51" s="377"/>
      <c r="U51" s="377"/>
      <c r="V51" s="377"/>
      <c r="W51" s="154"/>
      <c r="X51" s="154"/>
      <c r="Y51" s="154"/>
      <c r="Z51" s="154"/>
      <c r="AA51" s="154"/>
      <c r="AB51" s="154"/>
      <c r="AC51" s="378"/>
      <c r="AD51" s="154"/>
      <c r="AE51" s="154"/>
      <c r="AF51" s="367"/>
      <c r="AG51" s="368"/>
      <c r="AH51" s="368"/>
      <c r="AI51" s="368"/>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BH51" s="154"/>
      <c r="BI51" s="154"/>
      <c r="BJ51" s="154"/>
      <c r="BK51" s="154"/>
      <c r="BL51" s="154"/>
      <c r="BM51" s="154"/>
      <c r="BN51" s="154"/>
      <c r="BO51" s="154"/>
      <c r="BP51" s="154"/>
      <c r="BQ51" s="154"/>
      <c r="BR51" s="154"/>
      <c r="BS51" s="154"/>
      <c r="BT51" s="154"/>
      <c r="BU51" s="154"/>
      <c r="BV51" s="154"/>
      <c r="BW51" s="154"/>
      <c r="BX51" s="154"/>
      <c r="BY51" s="154"/>
      <c r="BZ51" s="154"/>
      <c r="CA51" s="154"/>
      <c r="CB51" s="154"/>
      <c r="CC51" s="154"/>
      <c r="CD51" s="154"/>
      <c r="CE51" s="154"/>
      <c r="CF51" s="154"/>
      <c r="CG51" s="154"/>
      <c r="CH51" s="154"/>
      <c r="CI51" s="154"/>
      <c r="CJ51" s="154"/>
      <c r="CK51" s="154"/>
      <c r="CL51" s="154"/>
      <c r="CM51" s="154"/>
      <c r="CN51" s="154"/>
      <c r="CO51" s="154"/>
      <c r="CP51" s="154"/>
      <c r="CQ51" s="154"/>
      <c r="CR51" s="154"/>
      <c r="CS51" s="154"/>
      <c r="CT51" s="154"/>
      <c r="CU51" s="154"/>
      <c r="CV51" s="154"/>
      <c r="CW51" s="154"/>
      <c r="CX51" s="154"/>
      <c r="CY51" s="154"/>
      <c r="CZ51" s="154"/>
      <c r="DA51" s="154"/>
      <c r="DB51" s="154"/>
      <c r="DC51" s="154"/>
      <c r="DD51" s="154"/>
      <c r="DE51" s="154"/>
      <c r="DF51" s="154"/>
      <c r="DG51" s="154"/>
      <c r="DH51" s="154"/>
      <c r="DI51" s="154"/>
      <c r="DJ51" s="154"/>
      <c r="DK51" s="154"/>
      <c r="DL51" s="154"/>
      <c r="DM51" s="154"/>
      <c r="DN51" s="154"/>
      <c r="DO51" s="154"/>
      <c r="DP51" s="154"/>
      <c r="DQ51" s="154"/>
      <c r="DR51" s="154"/>
      <c r="DS51" s="154"/>
      <c r="DT51" s="154"/>
      <c r="DU51" s="154"/>
      <c r="DV51" s="154"/>
      <c r="DW51" s="154"/>
      <c r="DX51" s="154"/>
      <c r="DY51" s="154"/>
      <c r="DZ51" s="154"/>
      <c r="EA51" s="154"/>
      <c r="EB51" s="154"/>
      <c r="EC51" s="154"/>
      <c r="ED51" s="154"/>
      <c r="EE51" s="154"/>
      <c r="EF51" s="154"/>
      <c r="EG51" s="154"/>
      <c r="EH51" s="154"/>
      <c r="EI51" s="154"/>
      <c r="EJ51" s="154"/>
      <c r="EK51" s="154"/>
      <c r="EL51" s="154"/>
      <c r="EM51" s="154"/>
      <c r="EN51" s="154"/>
      <c r="EO51" s="154"/>
      <c r="EP51" s="154"/>
      <c r="EQ51" s="154"/>
      <c r="ER51" s="154"/>
      <c r="ES51" s="154"/>
      <c r="ET51" s="154"/>
      <c r="EU51" s="154"/>
      <c r="EV51" s="154"/>
      <c r="EW51" s="154"/>
    </row>
    <row r="52" spans="2:153" ht="12.95" customHeight="1">
      <c r="B52" s="482" t="str">
        <f>ROUND(HLOOKUP("AHU RELIEF AIR OUTLET:System Node Volume Flow Rate Standard Density [m3/s](Hourly)",'Eplus results'!1:1048576,'graph data'!D4,FALSE)*35.314667*60, 0)&amp;" cfm"</f>
        <v>0 cfm</v>
      </c>
      <c r="C52" s="433"/>
      <c r="D52" s="484" t="str">
        <f>ROUND(HLOOKUP("AHU Air Loop Inlet:System Node Volume Flow Rate Standard Density [m3/s](Hourly)",'Eplus results'!1:1048576,'graph data'!D4,FALSE)*35.314667*60, 0)&amp;" cfm"</f>
        <v>0 cfm</v>
      </c>
      <c r="E52" s="357"/>
      <c r="F52" s="451" t="s">
        <v>866</v>
      </c>
      <c r="G52" s="468" t="s">
        <v>777</v>
      </c>
      <c r="H52" s="469">
        <f>HLOOKUP("GFCore:Zone/sys Thermostat Cooling Setpoint [C](hourly)",'Eplus results'!1:1048576,'graph data'!D4,FALSE)*9/5+32</f>
        <v>32</v>
      </c>
      <c r="I52" s="470">
        <f>HLOOKUP("GFCore:Zone/sys Thermostat Cooling Setpoint [C](hourly)",'Eplus results'!1:1048576,'graph data'!D4,FALSE)*9/5+32</f>
        <v>32</v>
      </c>
      <c r="N52" s="188"/>
      <c r="O52" s="186"/>
      <c r="P52" s="377"/>
      <c r="Q52" s="388"/>
      <c r="R52" s="377"/>
      <c r="S52" s="377"/>
      <c r="T52" s="377"/>
      <c r="U52" s="377"/>
      <c r="V52" s="377"/>
      <c r="W52" s="154"/>
      <c r="X52" s="154"/>
      <c r="Y52" s="154"/>
      <c r="Z52" s="154"/>
      <c r="AA52" s="154"/>
      <c r="AB52" s="154"/>
      <c r="AC52" s="154"/>
      <c r="AD52" s="154"/>
      <c r="AE52" s="154"/>
      <c r="AF52" s="367"/>
      <c r="AG52" s="368"/>
      <c r="AH52" s="368"/>
      <c r="AI52" s="368"/>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H52" s="154"/>
      <c r="CI52" s="154"/>
      <c r="CJ52" s="154"/>
      <c r="CK52" s="154"/>
      <c r="CL52" s="154"/>
      <c r="CM52" s="154"/>
      <c r="CN52" s="154"/>
      <c r="CO52" s="154"/>
      <c r="CP52" s="154"/>
      <c r="CQ52" s="154"/>
      <c r="CR52" s="154"/>
      <c r="CS52" s="154"/>
      <c r="CT52" s="154"/>
      <c r="CU52" s="154"/>
      <c r="CV52" s="154"/>
      <c r="CW52" s="154"/>
      <c r="CX52" s="154"/>
      <c r="CY52" s="154"/>
      <c r="CZ52" s="154"/>
      <c r="DA52" s="154"/>
      <c r="DB52" s="154"/>
      <c r="DC52" s="154"/>
      <c r="DD52" s="154"/>
      <c r="DE52" s="154"/>
      <c r="DF52" s="154"/>
      <c r="DG52" s="154"/>
      <c r="DH52" s="154"/>
      <c r="DI52" s="154"/>
      <c r="DJ52" s="154"/>
      <c r="DK52" s="154"/>
      <c r="DL52" s="154"/>
      <c r="DM52" s="154"/>
      <c r="DN52" s="154"/>
      <c r="DO52" s="154"/>
      <c r="DP52" s="154"/>
      <c r="DQ52" s="154"/>
      <c r="DR52" s="154"/>
      <c r="DS52" s="154"/>
      <c r="DT52" s="154"/>
      <c r="DU52" s="154"/>
      <c r="DV52" s="154"/>
      <c r="DW52" s="154"/>
      <c r="DX52" s="154"/>
      <c r="DY52" s="154"/>
      <c r="DZ52" s="154"/>
      <c r="EA52" s="154"/>
      <c r="EB52" s="154"/>
      <c r="EC52" s="154"/>
      <c r="ED52" s="154"/>
      <c r="EE52" s="154"/>
      <c r="EF52" s="154"/>
      <c r="EG52" s="154"/>
      <c r="EH52" s="154"/>
      <c r="EI52" s="154"/>
      <c r="EJ52" s="154"/>
      <c r="EK52" s="154"/>
      <c r="EL52" s="154"/>
      <c r="EM52" s="154"/>
      <c r="EN52" s="154"/>
      <c r="EO52" s="154"/>
      <c r="EP52" s="154"/>
      <c r="EQ52" s="154"/>
      <c r="ER52" s="154"/>
      <c r="ES52" s="154"/>
      <c r="ET52" s="154"/>
      <c r="EU52" s="154"/>
      <c r="EV52" s="154"/>
      <c r="EW52" s="154"/>
    </row>
    <row r="53" spans="2:153" ht="12.95" customHeight="1">
      <c r="B53" s="482" t="str">
        <f>ROUND(HLOOKUP("AHU RELIEF AIR OUTLET:System Node Temp[C](Hourly)",'Eplus results'!1:1048576,'graph data'!D4,FALSE)*9/5+32, 1)&amp;" F"</f>
        <v>32 F</v>
      </c>
      <c r="C53" s="433"/>
      <c r="D53" s="484" t="str">
        <f>ROUND(HLOOKUP("AHU Air Loop Inlet:System Node Temp[C](Hourly)",'Eplus results'!1:1048576,'graph data'!D4,FALSE)*9/5+32, 1)&amp;" F"</f>
        <v>32 F</v>
      </c>
      <c r="F53" s="451" t="s">
        <v>868</v>
      </c>
      <c r="G53" s="360" t="s">
        <v>945</v>
      </c>
      <c r="H53" s="469">
        <f>35.314667*'graph data'!F46*60/D11</f>
        <v>0</v>
      </c>
      <c r="I53" s="470">
        <f>35.314667*'graph data'!F45*60/D12</f>
        <v>0</v>
      </c>
      <c r="N53" s="188"/>
      <c r="O53" s="186"/>
      <c r="P53" s="377"/>
      <c r="Q53" s="388"/>
      <c r="R53" s="377"/>
      <c r="S53" s="377"/>
      <c r="T53" s="377"/>
      <c r="U53" s="377"/>
      <c r="V53" s="377"/>
      <c r="W53" s="154"/>
      <c r="X53" s="154"/>
      <c r="Y53" s="154"/>
      <c r="Z53" s="154"/>
      <c r="AA53" s="154"/>
      <c r="AB53" s="154"/>
      <c r="AC53" s="378"/>
      <c r="AD53" s="154"/>
      <c r="AE53" s="154"/>
      <c r="AF53" s="367"/>
      <c r="AG53" s="368"/>
      <c r="AH53" s="368"/>
      <c r="AI53" s="368"/>
      <c r="AJ53" s="154"/>
      <c r="AK53" s="154"/>
      <c r="AL53" s="154"/>
      <c r="AM53" s="154"/>
      <c r="AN53" s="154"/>
      <c r="AO53" s="154"/>
      <c r="AP53" s="154"/>
      <c r="AQ53" s="154"/>
      <c r="AR53" s="154"/>
      <c r="AS53" s="154"/>
      <c r="AT53" s="154"/>
      <c r="AU53" s="154"/>
      <c r="AV53" s="154"/>
      <c r="AW53" s="154"/>
      <c r="AX53" s="154"/>
      <c r="AY53" s="154"/>
      <c r="AZ53" s="154"/>
      <c r="BA53" s="154"/>
      <c r="BB53" s="154"/>
      <c r="BC53" s="154"/>
      <c r="BD53" s="154"/>
      <c r="BE53" s="154"/>
      <c r="BF53" s="154"/>
      <c r="BG53" s="154"/>
      <c r="BH53" s="154"/>
      <c r="BI53" s="154"/>
      <c r="BJ53" s="154"/>
      <c r="BK53" s="154"/>
      <c r="BL53" s="154"/>
      <c r="BM53" s="154"/>
      <c r="BN53" s="154"/>
      <c r="BO53" s="154"/>
      <c r="BP53" s="154"/>
      <c r="BQ53" s="154"/>
      <c r="BR53" s="154"/>
      <c r="BS53" s="154"/>
      <c r="BT53" s="154"/>
      <c r="BU53" s="154"/>
      <c r="BV53" s="154"/>
      <c r="BW53" s="154"/>
      <c r="BX53" s="154"/>
      <c r="BY53" s="154"/>
      <c r="BZ53" s="154"/>
      <c r="CA53" s="154"/>
      <c r="CB53" s="154"/>
      <c r="CC53" s="154"/>
      <c r="CD53" s="154"/>
      <c r="CE53" s="154"/>
      <c r="CF53" s="154"/>
      <c r="CG53" s="154"/>
      <c r="CH53" s="154"/>
      <c r="CI53" s="154"/>
      <c r="CJ53" s="154"/>
      <c r="CK53" s="154"/>
      <c r="CL53" s="154"/>
      <c r="CM53" s="154"/>
      <c r="CN53" s="154"/>
      <c r="CO53" s="154"/>
      <c r="CP53" s="154"/>
      <c r="CQ53" s="154"/>
      <c r="CR53" s="154"/>
      <c r="CS53" s="154"/>
      <c r="CT53" s="154"/>
      <c r="CU53" s="154"/>
      <c r="CV53" s="154"/>
      <c r="CW53" s="154"/>
      <c r="CX53" s="154"/>
      <c r="CY53" s="154"/>
      <c r="CZ53" s="154"/>
      <c r="DA53" s="154"/>
      <c r="DB53" s="154"/>
      <c r="DC53" s="154"/>
      <c r="DD53" s="154"/>
      <c r="DE53" s="154"/>
      <c r="DF53" s="154"/>
      <c r="DG53" s="154"/>
      <c r="DH53" s="154"/>
      <c r="DI53" s="154"/>
      <c r="DJ53" s="154"/>
      <c r="DK53" s="154"/>
      <c r="DL53" s="154"/>
      <c r="DM53" s="154"/>
      <c r="DN53" s="154"/>
      <c r="DO53" s="154"/>
      <c r="DP53" s="154"/>
      <c r="DQ53" s="154"/>
      <c r="DR53" s="154"/>
      <c r="DS53" s="154"/>
      <c r="DT53" s="154"/>
      <c r="DU53" s="154"/>
      <c r="DV53" s="154"/>
      <c r="DW53" s="154"/>
      <c r="DX53" s="154"/>
      <c r="DY53" s="154"/>
      <c r="DZ53" s="154"/>
      <c r="EA53" s="154"/>
      <c r="EB53" s="154"/>
      <c r="EC53" s="154"/>
      <c r="ED53" s="154"/>
      <c r="EE53" s="154"/>
      <c r="EF53" s="154"/>
      <c r="EG53" s="154"/>
      <c r="EH53" s="154"/>
      <c r="EI53" s="154"/>
      <c r="EJ53" s="154"/>
      <c r="EK53" s="154"/>
      <c r="EL53" s="154"/>
      <c r="EM53" s="154"/>
      <c r="EN53" s="154"/>
      <c r="EO53" s="154"/>
      <c r="EP53" s="154"/>
      <c r="EQ53" s="154"/>
      <c r="ER53" s="154"/>
      <c r="ES53" s="154"/>
      <c r="ET53" s="154"/>
      <c r="EU53" s="154"/>
      <c r="EV53" s="154"/>
      <c r="EW53" s="154"/>
    </row>
    <row r="54" spans="2:153" ht="12.95" customHeight="1">
      <c r="B54" s="363" t="s">
        <v>936</v>
      </c>
      <c r="C54" s="433"/>
      <c r="D54" s="461"/>
      <c r="F54" s="451" t="s">
        <v>859</v>
      </c>
      <c r="G54" s="468" t="s">
        <v>777</v>
      </c>
      <c r="H54" s="471">
        <f>1.8*ROUND(HLOOKUP(floor&amp;Int_zone&amp;":Zone Operative Temperature [C](Hourly)",'Eplus results'!1:1048576,'graph data'!D4,FALSE), 1)+32</f>
        <v>32</v>
      </c>
      <c r="I54" s="472">
        <f>1.8*ROUND(HLOOKUP(floor&amp;perim_zone&amp;":Zone Operative Temperature [C](Hourly)",'Eplus results'!1:1048576,'graph data'!D4,FALSE), 1)+32</f>
        <v>32</v>
      </c>
      <c r="N54" s="183"/>
      <c r="O54" s="186"/>
      <c r="P54" s="377"/>
      <c r="Q54" s="388"/>
      <c r="R54" s="377"/>
      <c r="S54" s="377"/>
      <c r="T54" s="377"/>
      <c r="U54" s="377"/>
      <c r="V54" s="154"/>
      <c r="W54" s="154"/>
      <c r="X54" s="154"/>
      <c r="Y54" s="154"/>
      <c r="Z54" s="154"/>
      <c r="AA54" s="154"/>
      <c r="AB54" s="154"/>
      <c r="AC54" s="378"/>
      <c r="AD54" s="154"/>
      <c r="AE54" s="154"/>
      <c r="AF54" s="367"/>
      <c r="AG54" s="368"/>
      <c r="AH54" s="368"/>
      <c r="AI54" s="368"/>
      <c r="AJ54" s="154"/>
      <c r="AK54" s="154"/>
      <c r="AL54" s="154"/>
      <c r="AM54" s="154"/>
      <c r="AN54" s="154"/>
      <c r="AO54" s="154"/>
      <c r="AP54" s="154"/>
      <c r="AQ54" s="154"/>
      <c r="AR54" s="154"/>
      <c r="AS54" s="154"/>
      <c r="AT54" s="154"/>
      <c r="AU54" s="154"/>
      <c r="AV54" s="154"/>
      <c r="AW54" s="154"/>
      <c r="AX54" s="154"/>
      <c r="AY54" s="154"/>
      <c r="AZ54" s="154"/>
      <c r="BA54" s="154"/>
      <c r="BB54" s="154"/>
      <c r="BC54" s="154"/>
      <c r="BD54" s="154"/>
      <c r="BE54" s="154"/>
      <c r="BF54" s="154"/>
      <c r="BG54" s="154"/>
      <c r="BH54" s="154"/>
      <c r="BI54" s="154"/>
      <c r="BJ54" s="154"/>
      <c r="BK54" s="154"/>
      <c r="BL54" s="154"/>
      <c r="BM54" s="154"/>
      <c r="BN54" s="154"/>
      <c r="BO54" s="154"/>
      <c r="BP54" s="154"/>
      <c r="BQ54" s="154"/>
      <c r="BR54" s="154"/>
      <c r="BS54" s="154"/>
      <c r="BT54" s="154"/>
      <c r="BU54" s="154"/>
      <c r="BV54" s="154"/>
      <c r="BW54" s="154"/>
      <c r="BX54" s="154"/>
      <c r="BY54" s="154"/>
      <c r="BZ54" s="154"/>
      <c r="CA54" s="154"/>
      <c r="CB54" s="154"/>
      <c r="CC54" s="154"/>
      <c r="CD54" s="154"/>
      <c r="CE54" s="154"/>
      <c r="CF54" s="154"/>
      <c r="CG54" s="154"/>
      <c r="CH54" s="154"/>
      <c r="CI54" s="154"/>
      <c r="CJ54" s="154"/>
      <c r="CK54" s="154"/>
      <c r="CL54" s="154"/>
      <c r="CM54" s="154"/>
      <c r="CN54" s="154"/>
      <c r="CO54" s="154"/>
      <c r="CP54" s="154"/>
      <c r="CQ54" s="154"/>
      <c r="CR54" s="154"/>
      <c r="CS54" s="154"/>
      <c r="CT54" s="154"/>
      <c r="CU54" s="154"/>
      <c r="CV54" s="154"/>
      <c r="CW54" s="154"/>
      <c r="CX54" s="154"/>
      <c r="CY54" s="154"/>
      <c r="CZ54" s="154"/>
      <c r="DA54" s="154"/>
      <c r="DB54" s="154"/>
      <c r="DC54" s="154"/>
      <c r="DD54" s="154"/>
      <c r="DE54" s="154"/>
      <c r="DF54" s="154"/>
      <c r="DG54" s="154"/>
      <c r="DH54" s="154"/>
      <c r="DI54" s="154"/>
      <c r="DJ54" s="154"/>
      <c r="DK54" s="154"/>
      <c r="DL54" s="154"/>
      <c r="DM54" s="154"/>
      <c r="DN54" s="154"/>
      <c r="DO54" s="154"/>
      <c r="DP54" s="154"/>
      <c r="DQ54" s="154"/>
      <c r="DR54" s="154"/>
      <c r="DS54" s="154"/>
      <c r="DT54" s="154"/>
      <c r="DU54" s="154"/>
      <c r="DV54" s="154"/>
      <c r="DW54" s="154"/>
      <c r="DX54" s="154"/>
      <c r="DY54" s="154"/>
      <c r="DZ54" s="154"/>
      <c r="EA54" s="154"/>
      <c r="EB54" s="154"/>
      <c r="EC54" s="154"/>
      <c r="ED54" s="154"/>
      <c r="EE54" s="154"/>
      <c r="EF54" s="154"/>
      <c r="EG54" s="154"/>
      <c r="EH54" s="154"/>
      <c r="EI54" s="154"/>
      <c r="EJ54" s="154"/>
      <c r="EK54" s="154"/>
      <c r="EL54" s="154"/>
      <c r="EM54" s="154"/>
      <c r="EN54" s="154"/>
      <c r="EO54" s="154"/>
      <c r="EP54" s="154"/>
      <c r="EQ54" s="154"/>
      <c r="ER54" s="154"/>
      <c r="ES54" s="154"/>
      <c r="ET54" s="154"/>
      <c r="EU54" s="154"/>
      <c r="EV54" s="154"/>
      <c r="EW54" s="154"/>
    </row>
    <row r="55" spans="2:153" ht="12.95" customHeight="1">
      <c r="B55" s="482" t="str">
        <f>ROUND(HLOOKUP("AHU OUTSIDE AIR INLET:System Node Volume Flow Rate Standard Density [m3/s](Hourly)",'Eplus results'!1:1048576,'graph data'!D4,FALSE)*35.314667*60, 0)&amp;" cfm"</f>
        <v>0 cfm</v>
      </c>
      <c r="C55" s="433"/>
      <c r="D55" s="461" t="s">
        <v>935</v>
      </c>
      <c r="F55" s="451" t="s">
        <v>860</v>
      </c>
      <c r="G55" s="468" t="s">
        <v>777</v>
      </c>
      <c r="H55" s="471">
        <f>1.8*ROUND(HLOOKUP(floor&amp;Int_zone&amp;":Zone Mean Radiant Temperature [C](Hourly)",'Eplus results'!1:1048576,'graph data'!D4,FALSE), 1)+32</f>
        <v>32</v>
      </c>
      <c r="I55" s="472">
        <f>1.8*ROUND(HLOOKUP(floor&amp;perim_zone&amp;":Zone Mean Radiant Temperature [C](Hourly)",'Eplus results'!1:1048576,'graph data'!D4,FALSE), 1)+32</f>
        <v>32</v>
      </c>
      <c r="N55" s="189"/>
      <c r="P55" s="154"/>
      <c r="Q55" s="154"/>
      <c r="R55" s="154"/>
      <c r="S55" s="154"/>
      <c r="T55" s="154"/>
      <c r="U55" s="154"/>
      <c r="V55" s="154"/>
      <c r="W55" s="154"/>
      <c r="X55" s="154"/>
      <c r="Y55" s="154"/>
      <c r="Z55" s="154"/>
      <c r="AA55" s="154"/>
      <c r="AB55" s="154"/>
      <c r="AC55" s="154"/>
      <c r="AD55" s="154"/>
      <c r="AE55" s="154"/>
      <c r="AF55" s="367"/>
      <c r="AG55" s="368"/>
      <c r="AH55" s="368"/>
      <c r="AI55" s="368"/>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54"/>
      <c r="BH55" s="154"/>
      <c r="BI55" s="154"/>
      <c r="BJ55" s="154"/>
      <c r="BK55" s="154"/>
      <c r="BL55" s="154"/>
      <c r="BM55" s="154"/>
      <c r="BN55" s="154"/>
      <c r="BO55" s="154"/>
      <c r="BP55" s="154"/>
      <c r="BQ55" s="154"/>
      <c r="BR55" s="154"/>
      <c r="BS55" s="154"/>
      <c r="BT55" s="154"/>
      <c r="BU55" s="154"/>
      <c r="BV55" s="154"/>
      <c r="BW55" s="154"/>
      <c r="BX55" s="154"/>
      <c r="BY55" s="154"/>
      <c r="BZ55" s="154"/>
      <c r="CA55" s="154"/>
      <c r="CB55" s="154"/>
      <c r="CC55" s="154"/>
      <c r="CD55" s="154"/>
      <c r="CE55" s="154"/>
      <c r="CF55" s="154"/>
      <c r="CG55" s="154"/>
      <c r="CH55" s="154"/>
      <c r="CI55" s="154"/>
      <c r="CJ55" s="154"/>
      <c r="CK55" s="154"/>
      <c r="CL55" s="154"/>
      <c r="CM55" s="154"/>
      <c r="CN55" s="154"/>
      <c r="CO55" s="154"/>
      <c r="CP55" s="154"/>
      <c r="CQ55" s="154"/>
      <c r="CR55" s="154"/>
      <c r="CS55" s="154"/>
      <c r="CT55" s="154"/>
      <c r="CU55" s="154"/>
      <c r="CV55" s="154"/>
      <c r="CW55" s="154"/>
      <c r="CX55" s="154"/>
      <c r="CY55" s="154"/>
      <c r="CZ55" s="154"/>
      <c r="DA55" s="154"/>
      <c r="DB55" s="154"/>
      <c r="DC55" s="154"/>
      <c r="DD55" s="154"/>
      <c r="DE55" s="154"/>
      <c r="DF55" s="154"/>
      <c r="DG55" s="154"/>
      <c r="DH55" s="154"/>
      <c r="DI55" s="154"/>
      <c r="DJ55" s="154"/>
      <c r="DK55" s="154"/>
      <c r="DL55" s="154"/>
      <c r="DM55" s="154"/>
      <c r="DN55" s="154"/>
      <c r="DO55" s="154"/>
      <c r="DP55" s="154"/>
      <c r="DQ55" s="154"/>
      <c r="DR55" s="154"/>
      <c r="DS55" s="154"/>
      <c r="DT55" s="154"/>
      <c r="DU55" s="154"/>
      <c r="DV55" s="154"/>
      <c r="DW55" s="154"/>
      <c r="DX55" s="154"/>
      <c r="DY55" s="154"/>
      <c r="DZ55" s="154"/>
      <c r="EA55" s="154"/>
      <c r="EB55" s="154"/>
      <c r="EC55" s="154"/>
      <c r="ED55" s="154"/>
      <c r="EE55" s="154"/>
      <c r="EF55" s="154"/>
      <c r="EG55" s="154"/>
      <c r="EH55" s="154"/>
      <c r="EI55" s="154"/>
      <c r="EJ55" s="154"/>
      <c r="EK55" s="154"/>
      <c r="EL55" s="154"/>
      <c r="EM55" s="154"/>
      <c r="EN55" s="154"/>
      <c r="EO55" s="154"/>
      <c r="EP55" s="154"/>
      <c r="EQ55" s="154"/>
      <c r="ER55" s="154"/>
      <c r="ES55" s="154"/>
      <c r="ET55" s="154"/>
      <c r="EU55" s="154"/>
      <c r="EV55" s="154"/>
      <c r="EW55" s="154"/>
    </row>
    <row r="56" spans="2:153" ht="12.95" customHeight="1">
      <c r="B56" s="482" t="str">
        <f>ROUND(HLOOKUP("Environment:Outdoor Dry Bulb [C](Hourly)",'Eplus results'!1:1048576,'graph data'!D4,FALSE)*9/5+32, 1)&amp;" F"</f>
        <v>32 F</v>
      </c>
      <c r="C56" s="433"/>
      <c r="D56" s="484" t="str">
        <f>ROUND(HLOOKUP("AHU MIXED AIR OUTLET:System Node Volume Flow Rate Standard Density [m3/s](Hourly)",'Eplus results'!1:1048576,'graph data'!D4,FALSE)*35.314667*60, 0)&amp;" cfm"</f>
        <v>0 cfm</v>
      </c>
      <c r="F56" s="451" t="s">
        <v>861</v>
      </c>
      <c r="G56" s="360" t="s">
        <v>258</v>
      </c>
      <c r="H56" s="473">
        <f>39.36996*HLOOKUP(floor&amp;Int_zone&amp;":UF Transition Height [m](Hourly)",'Eplus results'!$1:$1048576,'graph data'!D4, FALSE)</f>
        <v>0</v>
      </c>
      <c r="I56" s="474">
        <f>39.36996*HLOOKUP(floor&amp;perim_zone&amp;":UF Transition Height [m](Hourly)",'Eplus results'!$1:$1048576,'graph data'!D4, FALSE)</f>
        <v>0</v>
      </c>
      <c r="N56" s="181"/>
      <c r="P56" s="154"/>
      <c r="Q56" s="154"/>
      <c r="R56" s="154"/>
      <c r="S56" s="154"/>
      <c r="T56" s="154"/>
      <c r="U56" s="154"/>
      <c r="V56" s="154"/>
      <c r="W56" s="154"/>
      <c r="X56" s="154"/>
      <c r="Y56" s="154"/>
      <c r="Z56" s="154"/>
      <c r="AA56" s="154"/>
      <c r="AB56" s="154"/>
      <c r="AC56" s="375"/>
      <c r="AD56" s="154"/>
      <c r="AE56" s="154"/>
      <c r="AF56" s="367"/>
      <c r="AG56" s="368"/>
      <c r="AH56" s="368"/>
      <c r="AI56" s="368"/>
      <c r="AJ56" s="154"/>
      <c r="AK56" s="154"/>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c r="BJ56" s="154"/>
      <c r="BK56" s="154"/>
      <c r="BL56" s="154"/>
      <c r="BM56" s="154"/>
      <c r="BN56" s="154"/>
      <c r="BO56" s="154"/>
      <c r="BP56" s="154"/>
      <c r="BQ56" s="154"/>
      <c r="BR56" s="154"/>
      <c r="BS56" s="154"/>
      <c r="BT56" s="154"/>
      <c r="BU56" s="154"/>
      <c r="BV56" s="154"/>
      <c r="BW56" s="154"/>
      <c r="BX56" s="154"/>
      <c r="BY56" s="154"/>
      <c r="BZ56" s="154"/>
      <c r="CA56" s="154"/>
      <c r="CB56" s="154"/>
      <c r="CC56" s="154"/>
      <c r="CD56" s="154"/>
      <c r="CE56" s="154"/>
      <c r="CF56" s="154"/>
      <c r="CG56" s="154"/>
      <c r="CH56" s="154"/>
      <c r="CI56" s="154"/>
      <c r="CJ56" s="154"/>
      <c r="CK56" s="154"/>
      <c r="CL56" s="154"/>
      <c r="CM56" s="154"/>
      <c r="CN56" s="154"/>
      <c r="CO56" s="154"/>
      <c r="CP56" s="154"/>
      <c r="CQ56" s="154"/>
      <c r="CR56" s="154"/>
      <c r="CS56" s="154"/>
      <c r="CT56" s="154"/>
      <c r="CU56" s="154"/>
      <c r="CV56" s="154"/>
      <c r="CW56" s="154"/>
      <c r="CX56" s="154"/>
      <c r="CY56" s="154"/>
      <c r="CZ56" s="154"/>
      <c r="DA56" s="154"/>
      <c r="DB56" s="154"/>
      <c r="DC56" s="154"/>
      <c r="DD56" s="154"/>
      <c r="DE56" s="154"/>
      <c r="DF56" s="154"/>
      <c r="DG56" s="154"/>
      <c r="DH56" s="154"/>
      <c r="DI56" s="154"/>
      <c r="DJ56" s="154"/>
      <c r="DK56" s="154"/>
      <c r="DL56" s="154"/>
      <c r="DM56" s="154"/>
      <c r="DN56" s="154"/>
      <c r="DO56" s="154"/>
      <c r="DP56" s="154"/>
      <c r="DQ56" s="154"/>
      <c r="DR56" s="154"/>
      <c r="DS56" s="154"/>
      <c r="DT56" s="154"/>
      <c r="DU56" s="154"/>
      <c r="DV56" s="154"/>
      <c r="DW56" s="154"/>
      <c r="DX56" s="154"/>
      <c r="DY56" s="154"/>
      <c r="DZ56" s="154"/>
      <c r="EA56" s="154"/>
      <c r="EB56" s="154"/>
      <c r="EC56" s="154"/>
      <c r="ED56" s="154"/>
      <c r="EE56" s="154"/>
      <c r="EF56" s="154"/>
      <c r="EG56" s="154"/>
      <c r="EH56" s="154"/>
      <c r="EI56" s="154"/>
      <c r="EJ56" s="154"/>
      <c r="EK56" s="154"/>
      <c r="EL56" s="154"/>
      <c r="EM56" s="154"/>
      <c r="EN56" s="154"/>
      <c r="EO56" s="154"/>
      <c r="EP56" s="154"/>
      <c r="EQ56" s="154"/>
      <c r="ER56" s="154"/>
      <c r="ES56" s="154"/>
      <c r="ET56" s="154"/>
      <c r="EU56" s="154"/>
      <c r="EV56" s="154"/>
      <c r="EW56" s="154"/>
    </row>
    <row r="57" spans="2:153" ht="12.95" customHeight="1">
      <c r="B57" s="483" t="e">
        <f>(('graph data'!C646)*100) &amp; "% OA damper position"</f>
        <v>#N/A</v>
      </c>
      <c r="C57" s="462"/>
      <c r="D57" s="485" t="str">
        <f>ROUND(HLOOKUP("AHU MIXED AIR OUTLET:System Node Temp[C](Hourly)",'Eplus results'!1:1048576,'graph data'!D4,FALSE)*9/5+32, 1)&amp;" F"</f>
        <v>32 F</v>
      </c>
      <c r="F57" s="451" t="s">
        <v>867</v>
      </c>
      <c r="G57" s="468" t="s">
        <v>777</v>
      </c>
      <c r="H57" s="475">
        <f>'graph data'!C174-'graph data'!C177</f>
        <v>0</v>
      </c>
      <c r="I57" s="476">
        <f>'graph data'!C157-'graph data'!C160</f>
        <v>0</v>
      </c>
      <c r="P57" s="154"/>
      <c r="Q57" s="154"/>
      <c r="R57" s="154"/>
      <c r="S57" s="154"/>
      <c r="T57" s="154"/>
      <c r="U57" s="154"/>
      <c r="V57" s="154"/>
      <c r="W57" s="154"/>
      <c r="X57" s="154"/>
      <c r="Y57" s="154"/>
      <c r="Z57" s="154"/>
      <c r="AA57" s="154"/>
      <c r="AB57" s="154"/>
      <c r="AC57" s="375"/>
      <c r="AD57" s="154"/>
      <c r="AE57" s="154"/>
      <c r="AF57" s="367"/>
      <c r="AG57" s="368"/>
      <c r="AH57" s="368"/>
      <c r="AI57" s="368"/>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54"/>
      <c r="BH57" s="154"/>
      <c r="BI57" s="154"/>
      <c r="BJ57" s="154"/>
      <c r="BK57" s="154"/>
      <c r="BL57" s="154"/>
      <c r="BM57" s="154"/>
      <c r="BN57" s="154"/>
      <c r="BO57" s="154"/>
      <c r="BP57" s="154"/>
      <c r="BQ57" s="154"/>
      <c r="BR57" s="154"/>
      <c r="BS57" s="154"/>
      <c r="BT57" s="154"/>
      <c r="BU57" s="154"/>
      <c r="BV57" s="154"/>
      <c r="BW57" s="154"/>
      <c r="BX57" s="154"/>
      <c r="BY57" s="154"/>
      <c r="BZ57" s="154"/>
      <c r="CA57" s="154"/>
      <c r="CB57" s="154"/>
      <c r="CC57" s="154"/>
      <c r="CD57" s="154"/>
      <c r="CE57" s="154"/>
      <c r="CF57" s="154"/>
      <c r="CG57" s="154"/>
      <c r="CH57" s="154"/>
      <c r="CI57" s="154"/>
      <c r="CJ57" s="154"/>
      <c r="CK57" s="154"/>
      <c r="CL57" s="154"/>
      <c r="CM57" s="154"/>
      <c r="CN57" s="154"/>
      <c r="CO57" s="154"/>
      <c r="CP57" s="154"/>
      <c r="CQ57" s="154"/>
      <c r="CR57" s="154"/>
      <c r="CS57" s="154"/>
      <c r="CT57" s="154"/>
      <c r="CU57" s="154"/>
      <c r="CV57" s="154"/>
      <c r="CW57" s="154"/>
      <c r="CX57" s="154"/>
      <c r="CY57" s="154"/>
      <c r="CZ57" s="154"/>
      <c r="DA57" s="154"/>
      <c r="DB57" s="154"/>
      <c r="DC57" s="154"/>
      <c r="DD57" s="154"/>
      <c r="DE57" s="154"/>
      <c r="DF57" s="154"/>
      <c r="DG57" s="154"/>
      <c r="DH57" s="154"/>
      <c r="DI57" s="154"/>
      <c r="DJ57" s="154"/>
      <c r="DK57" s="154"/>
      <c r="DL57" s="154"/>
      <c r="DM57" s="154"/>
      <c r="DN57" s="154"/>
      <c r="DO57" s="154"/>
      <c r="DP57" s="154"/>
      <c r="DQ57" s="154"/>
      <c r="DR57" s="154"/>
      <c r="DS57" s="154"/>
      <c r="DT57" s="154"/>
      <c r="DU57" s="154"/>
      <c r="DV57" s="154"/>
      <c r="DW57" s="154"/>
      <c r="DX57" s="154"/>
      <c r="DY57" s="154"/>
      <c r="DZ57" s="154"/>
      <c r="EA57" s="154"/>
      <c r="EB57" s="154"/>
      <c r="EC57" s="154"/>
      <c r="ED57" s="154"/>
      <c r="EE57" s="154"/>
      <c r="EF57" s="154"/>
      <c r="EG57" s="154"/>
      <c r="EH57" s="154"/>
      <c r="EI57" s="154"/>
      <c r="EJ57" s="154"/>
      <c r="EK57" s="154"/>
      <c r="EL57" s="154"/>
      <c r="EM57" s="154"/>
      <c r="EN57" s="154"/>
      <c r="EO57" s="154"/>
      <c r="EP57" s="154"/>
      <c r="EQ57" s="154"/>
      <c r="ER57" s="154"/>
      <c r="ES57" s="154"/>
      <c r="ET57" s="154"/>
      <c r="EU57" s="154"/>
      <c r="EV57" s="154"/>
      <c r="EW57" s="154"/>
    </row>
    <row r="58" spans="2:153" ht="12.95" customHeight="1">
      <c r="C58" s="433"/>
      <c r="F58" s="363" t="s">
        <v>922</v>
      </c>
      <c r="G58" s="360" t="s">
        <v>923</v>
      </c>
      <c r="H58" s="469">
        <f>IF(Int_zone="Core", 35.314667*'graph data'!F46*60/'imf input text'!E45, "NA")</f>
        <v>0</v>
      </c>
      <c r="I58" s="470">
        <f>IF(perim_zone="East", 35.314667*'graph data'!F45*60/'imf input text'!E18, IF(perim_zone="West", 35.314667*'graph data'!F45*60/'imf input text'!E19, IF(perim_zone="South", 35.314667*'graph data'!F45*60/'imf input text'!E20, IF(perim_zone="North", 35.314667*'graph data'!F45*60/'imf input text'!E21))))</f>
        <v>0</v>
      </c>
      <c r="P58" s="154"/>
      <c r="Q58" s="154"/>
      <c r="R58" s="154"/>
      <c r="S58" s="154"/>
      <c r="T58" s="154"/>
      <c r="U58" s="154"/>
      <c r="V58" s="154"/>
      <c r="W58" s="154"/>
      <c r="X58" s="154"/>
      <c r="Y58" s="154"/>
      <c r="Z58" s="154"/>
      <c r="AA58" s="154"/>
      <c r="AB58" s="154"/>
      <c r="AC58" s="375"/>
      <c r="AD58" s="154"/>
      <c r="AE58" s="154"/>
      <c r="AF58" s="367"/>
      <c r="AG58" s="368"/>
      <c r="AH58" s="368"/>
      <c r="AI58" s="368"/>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J58" s="154"/>
      <c r="BK58" s="154"/>
      <c r="BL58" s="154"/>
      <c r="BM58" s="154"/>
      <c r="BN58" s="154"/>
      <c r="BO58" s="154"/>
      <c r="BP58" s="154"/>
      <c r="BQ58" s="154"/>
      <c r="BR58" s="154"/>
      <c r="BS58" s="154"/>
      <c r="BT58" s="154"/>
      <c r="BU58" s="154"/>
      <c r="BV58" s="154"/>
      <c r="BW58" s="154"/>
      <c r="BX58" s="154"/>
      <c r="BY58" s="154"/>
      <c r="BZ58" s="154"/>
      <c r="CA58" s="154"/>
      <c r="CB58" s="154"/>
      <c r="CC58" s="154"/>
      <c r="CD58" s="154"/>
      <c r="CE58" s="154"/>
      <c r="CF58" s="154"/>
      <c r="CG58" s="154"/>
      <c r="CH58" s="154"/>
      <c r="CI58" s="154"/>
      <c r="CJ58" s="154"/>
      <c r="CK58" s="154"/>
      <c r="CL58" s="154"/>
      <c r="CM58" s="154"/>
      <c r="CN58" s="154"/>
      <c r="CO58" s="154"/>
      <c r="CP58" s="154"/>
      <c r="CQ58" s="154"/>
      <c r="CR58" s="154"/>
      <c r="CS58" s="154"/>
      <c r="CT58" s="154"/>
      <c r="CU58" s="154"/>
      <c r="CV58" s="154"/>
      <c r="CW58" s="154"/>
      <c r="CX58" s="154"/>
      <c r="CY58" s="154"/>
      <c r="CZ58" s="154"/>
      <c r="DA58" s="154"/>
      <c r="DB58" s="154"/>
      <c r="DC58" s="154"/>
      <c r="DD58" s="154"/>
      <c r="DE58" s="154"/>
      <c r="DF58" s="154"/>
      <c r="DG58" s="154"/>
      <c r="DH58" s="154"/>
      <c r="DI58" s="154"/>
      <c r="DJ58" s="154"/>
      <c r="DK58" s="154"/>
      <c r="DL58" s="154"/>
      <c r="DM58" s="154"/>
      <c r="DN58" s="154"/>
      <c r="DO58" s="154"/>
      <c r="DP58" s="154"/>
      <c r="DQ58" s="154"/>
      <c r="DR58" s="154"/>
      <c r="DS58" s="154"/>
      <c r="DT58" s="154"/>
      <c r="DU58" s="154"/>
      <c r="DV58" s="154"/>
      <c r="DW58" s="154"/>
      <c r="DX58" s="154"/>
      <c r="DY58" s="154"/>
      <c r="DZ58" s="154"/>
      <c r="EA58" s="154"/>
      <c r="EB58" s="154"/>
      <c r="EC58" s="154"/>
      <c r="ED58" s="154"/>
      <c r="EE58" s="154"/>
      <c r="EF58" s="154"/>
      <c r="EG58" s="154"/>
      <c r="EH58" s="154"/>
      <c r="EI58" s="154"/>
      <c r="EJ58" s="154"/>
      <c r="EK58" s="154"/>
      <c r="EL58" s="154"/>
      <c r="EM58" s="154"/>
      <c r="EN58" s="154"/>
      <c r="EO58" s="154"/>
      <c r="EP58" s="154"/>
      <c r="EQ58" s="154"/>
      <c r="ER58" s="154"/>
      <c r="ES58" s="154"/>
      <c r="ET58" s="154"/>
      <c r="EU58" s="154"/>
      <c r="EV58" s="154"/>
      <c r="EW58" s="154"/>
    </row>
    <row r="59" spans="2:153" ht="12.95" customHeight="1">
      <c r="B59" s="54"/>
      <c r="C59" s="433"/>
      <c r="D59" s="433"/>
      <c r="F59" s="495" t="s">
        <v>930</v>
      </c>
      <c r="G59" s="360" t="s">
        <v>212</v>
      </c>
      <c r="H59" s="469"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59" s="470"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N59" s="154"/>
      <c r="P59" s="154"/>
      <c r="Q59" s="154"/>
      <c r="R59" s="154"/>
      <c r="S59" s="154"/>
      <c r="T59" s="154"/>
      <c r="U59" s="154"/>
      <c r="V59" s="154"/>
      <c r="W59" s="154"/>
      <c r="X59" s="154"/>
      <c r="Y59" s="154"/>
      <c r="Z59" s="154"/>
      <c r="AA59" s="154"/>
      <c r="AB59" s="154"/>
      <c r="AC59" s="375"/>
      <c r="AD59" s="154"/>
      <c r="AE59" s="154"/>
      <c r="AF59" s="367"/>
      <c r="AG59" s="368"/>
      <c r="AH59" s="368"/>
      <c r="AI59" s="368"/>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4"/>
      <c r="BP59" s="154"/>
      <c r="BQ59" s="154"/>
      <c r="BR59" s="154"/>
      <c r="BS59" s="154"/>
      <c r="BT59" s="154"/>
      <c r="BU59" s="154"/>
      <c r="BV59" s="154"/>
      <c r="BW59" s="154"/>
      <c r="BX59" s="154"/>
      <c r="BY59" s="154"/>
      <c r="BZ59" s="154"/>
      <c r="CA59" s="154"/>
      <c r="CB59" s="154"/>
      <c r="CC59" s="154"/>
      <c r="CD59" s="154"/>
      <c r="CE59" s="154"/>
      <c r="CF59" s="154"/>
      <c r="CG59" s="154"/>
      <c r="CH59" s="154"/>
      <c r="CI59" s="154"/>
      <c r="CJ59" s="154"/>
      <c r="CK59" s="154"/>
      <c r="CL59" s="154"/>
      <c r="CM59" s="154"/>
      <c r="CN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c r="DM59" s="154"/>
      <c r="DN59" s="154"/>
      <c r="DO59" s="154"/>
      <c r="DP59" s="154"/>
      <c r="DQ59" s="154"/>
      <c r="DR59" s="154"/>
      <c r="DS59" s="154"/>
      <c r="DT59" s="154"/>
      <c r="DU59" s="154"/>
      <c r="DV59" s="154"/>
      <c r="DW59" s="154"/>
      <c r="DX59" s="154"/>
      <c r="DY59" s="154"/>
      <c r="DZ59" s="154"/>
      <c r="EA59" s="154"/>
      <c r="EB59" s="154"/>
      <c r="EC59" s="154"/>
      <c r="ED59" s="154"/>
      <c r="EE59" s="154"/>
      <c r="EF59" s="154"/>
      <c r="EG59" s="154"/>
      <c r="EH59" s="154"/>
      <c r="EI59" s="154"/>
      <c r="EJ59" s="154"/>
      <c r="EK59" s="154"/>
      <c r="EL59" s="154"/>
      <c r="EM59" s="154"/>
      <c r="EN59" s="154"/>
      <c r="EO59" s="154"/>
      <c r="EP59" s="154"/>
      <c r="EQ59" s="154"/>
      <c r="ER59" s="154"/>
      <c r="ES59" s="154"/>
      <c r="ET59" s="154"/>
      <c r="EU59" s="154"/>
      <c r="EV59" s="154"/>
      <c r="EW59" s="154"/>
    </row>
    <row r="60" spans="2:153" ht="12.95" customHeight="1">
      <c r="D60" s="380"/>
      <c r="F60" s="363" t="s">
        <v>931</v>
      </c>
      <c r="G60" s="360" t="s">
        <v>212</v>
      </c>
      <c r="H60" s="469"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0" s="470"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0" s="154"/>
      <c r="Q60" s="154"/>
      <c r="R60" s="154"/>
      <c r="S60" s="154"/>
      <c r="T60" s="154"/>
      <c r="U60" s="154"/>
      <c r="V60" s="154"/>
      <c r="W60" s="154"/>
      <c r="X60" s="154"/>
      <c r="Y60" s="154"/>
      <c r="Z60" s="154"/>
      <c r="AA60" s="154"/>
      <c r="AB60" s="154"/>
      <c r="AC60" s="375"/>
      <c r="AD60" s="154"/>
      <c r="AE60" s="154"/>
      <c r="AF60" s="367"/>
      <c r="AG60" s="368"/>
      <c r="AH60" s="368"/>
      <c r="AI60" s="368"/>
      <c r="AJ60" s="154"/>
      <c r="AK60" s="154"/>
      <c r="AL60" s="154"/>
      <c r="AM60" s="154"/>
      <c r="AN60" s="154"/>
      <c r="AO60" s="154"/>
      <c r="AP60" s="154"/>
      <c r="AQ60" s="154"/>
      <c r="AR60" s="154"/>
      <c r="AS60" s="154"/>
      <c r="AT60" s="154"/>
      <c r="AU60" s="154"/>
      <c r="AV60" s="154"/>
      <c r="AW60" s="154"/>
      <c r="AX60" s="154"/>
      <c r="AY60" s="154"/>
      <c r="AZ60" s="154"/>
      <c r="BA60" s="154"/>
      <c r="BB60" s="154"/>
      <c r="BC60" s="154"/>
      <c r="BD60" s="154"/>
      <c r="BE60" s="154"/>
      <c r="BF60" s="154"/>
      <c r="BG60" s="154"/>
      <c r="BH60" s="154"/>
      <c r="BI60" s="154"/>
      <c r="BJ60" s="154"/>
      <c r="BK60" s="154"/>
      <c r="BL60" s="154"/>
      <c r="BM60" s="154"/>
      <c r="BN60" s="154"/>
      <c r="BO60" s="154"/>
      <c r="BP60" s="154"/>
      <c r="BQ60" s="154"/>
      <c r="BR60" s="154"/>
      <c r="BS60" s="154"/>
      <c r="BT60" s="154"/>
      <c r="BU60" s="154"/>
      <c r="BV60" s="154"/>
      <c r="BW60" s="154"/>
      <c r="BX60" s="154"/>
      <c r="BY60" s="154"/>
      <c r="BZ60" s="154"/>
      <c r="CA60" s="154"/>
      <c r="CB60" s="154"/>
      <c r="CC60" s="154"/>
      <c r="CD60" s="154"/>
      <c r="CE60" s="154"/>
      <c r="CF60" s="154"/>
      <c r="CG60" s="154"/>
      <c r="CH60" s="154"/>
      <c r="CI60" s="154"/>
      <c r="CJ60" s="154"/>
      <c r="CK60" s="154"/>
      <c r="CL60" s="154"/>
      <c r="CM60" s="154"/>
      <c r="CN60" s="154"/>
      <c r="CO60" s="154"/>
      <c r="CP60" s="154"/>
      <c r="CQ60" s="154"/>
      <c r="CR60" s="154"/>
      <c r="CS60" s="154"/>
      <c r="CT60" s="154"/>
      <c r="CU60" s="154"/>
      <c r="CV60" s="154"/>
      <c r="CW60" s="154"/>
      <c r="CX60" s="154"/>
      <c r="CY60" s="154"/>
      <c r="CZ60" s="154"/>
      <c r="DA60" s="154"/>
      <c r="DB60" s="154"/>
      <c r="DC60" s="154"/>
      <c r="DD60" s="154"/>
      <c r="DE60" s="154"/>
      <c r="DF60" s="154"/>
      <c r="DG60" s="154"/>
      <c r="DH60" s="154"/>
      <c r="DI60" s="154"/>
      <c r="DJ60" s="154"/>
      <c r="DK60" s="154"/>
      <c r="DL60" s="154"/>
      <c r="DM60" s="154"/>
      <c r="DN60" s="154"/>
      <c r="DO60" s="154"/>
      <c r="DP60" s="154"/>
      <c r="DQ60" s="154"/>
      <c r="DR60" s="154"/>
      <c r="DS60" s="154"/>
      <c r="DT60" s="154"/>
      <c r="DU60" s="154"/>
      <c r="DV60" s="154"/>
      <c r="DW60" s="154"/>
      <c r="DX60" s="154"/>
      <c r="DY60" s="154"/>
      <c r="DZ60" s="154"/>
      <c r="EA60" s="154"/>
      <c r="EB60" s="154"/>
      <c r="EC60" s="154"/>
      <c r="ED60" s="154"/>
      <c r="EE60" s="154"/>
      <c r="EF60" s="154"/>
      <c r="EG60" s="154"/>
      <c r="EH60" s="154"/>
      <c r="EI60" s="154"/>
      <c r="EJ60" s="154"/>
      <c r="EK60" s="154"/>
      <c r="EL60" s="154"/>
      <c r="EM60" s="154"/>
      <c r="EN60" s="154"/>
      <c r="EO60" s="154"/>
      <c r="EP60" s="154"/>
      <c r="EQ60" s="154"/>
      <c r="ER60" s="154"/>
      <c r="ES60" s="154"/>
      <c r="ET60" s="154"/>
      <c r="EU60" s="154"/>
      <c r="EV60" s="154"/>
      <c r="EW60" s="154"/>
    </row>
    <row r="61" spans="2:153" ht="12.95" customHeight="1">
      <c r="D61" s="380"/>
      <c r="F61" s="395" t="s">
        <v>932</v>
      </c>
      <c r="G61" s="364" t="s">
        <v>212</v>
      </c>
      <c r="H61" s="477"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1" s="478"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1" s="154"/>
      <c r="Q61" s="154"/>
      <c r="R61" s="154"/>
      <c r="S61" s="154"/>
      <c r="T61" s="154"/>
      <c r="U61" s="154"/>
      <c r="V61" s="154"/>
      <c r="W61" s="154"/>
      <c r="X61" s="154"/>
      <c r="Y61" s="154"/>
      <c r="Z61" s="154"/>
      <c r="AA61" s="154"/>
      <c r="AB61" s="154"/>
      <c r="AC61" s="154"/>
      <c r="AD61" s="154"/>
      <c r="AE61" s="154"/>
      <c r="AF61" s="367"/>
      <c r="AG61" s="368"/>
      <c r="AH61" s="368"/>
      <c r="AI61" s="368"/>
      <c r="AJ61" s="154"/>
      <c r="AK61" s="154"/>
      <c r="AL61" s="154"/>
      <c r="AM61" s="154"/>
      <c r="AN61" s="154"/>
      <c r="AO61" s="154"/>
      <c r="AP61" s="154"/>
      <c r="AQ61" s="154"/>
      <c r="AR61" s="154"/>
      <c r="AS61" s="154"/>
      <c r="AT61" s="154"/>
      <c r="AU61" s="154"/>
      <c r="AV61" s="154"/>
      <c r="AW61" s="154"/>
      <c r="AX61" s="154"/>
      <c r="AY61" s="154"/>
      <c r="AZ61" s="154"/>
      <c r="BA61" s="154"/>
      <c r="BB61" s="154"/>
      <c r="BC61" s="154"/>
      <c r="BD61" s="154"/>
      <c r="BE61" s="154"/>
      <c r="BF61" s="154"/>
      <c r="BG61" s="154"/>
      <c r="BH61" s="154"/>
      <c r="BI61" s="154"/>
      <c r="BJ61" s="154"/>
      <c r="BK61" s="154"/>
      <c r="BL61" s="154"/>
      <c r="BM61" s="154"/>
      <c r="BN61" s="154"/>
      <c r="BO61" s="154"/>
      <c r="BP61" s="154"/>
      <c r="BQ61" s="154"/>
      <c r="BR61" s="154"/>
      <c r="BS61" s="154"/>
      <c r="BT61" s="154"/>
      <c r="BU61" s="154"/>
      <c r="BV61" s="154"/>
      <c r="BW61" s="154"/>
      <c r="BX61" s="154"/>
      <c r="BY61" s="154"/>
      <c r="BZ61" s="154"/>
      <c r="CA61" s="154"/>
      <c r="CB61" s="154"/>
      <c r="CC61" s="154"/>
      <c r="CD61" s="154"/>
      <c r="CE61" s="154"/>
      <c r="CF61" s="154"/>
      <c r="CG61" s="154"/>
      <c r="CH61" s="154"/>
      <c r="CI61" s="154"/>
      <c r="CJ61" s="154"/>
      <c r="CK61" s="154"/>
      <c r="CL61" s="154"/>
      <c r="CM61" s="154"/>
      <c r="CN61" s="154"/>
      <c r="CO61" s="154"/>
      <c r="CP61" s="154"/>
      <c r="CQ61" s="154"/>
      <c r="CR61" s="154"/>
      <c r="CS61" s="154"/>
      <c r="CT61" s="154"/>
      <c r="CU61" s="154"/>
      <c r="CV61" s="154"/>
      <c r="CW61" s="154"/>
      <c r="CX61" s="154"/>
      <c r="CY61" s="154"/>
      <c r="CZ61" s="154"/>
      <c r="DA61" s="154"/>
      <c r="DB61" s="154"/>
      <c r="DC61" s="154"/>
      <c r="DD61" s="154"/>
      <c r="DE61" s="154"/>
      <c r="DF61" s="154"/>
      <c r="DG61" s="154"/>
      <c r="DH61" s="154"/>
      <c r="DI61" s="154"/>
      <c r="DJ61" s="154"/>
      <c r="DK61" s="154"/>
      <c r="DL61" s="154"/>
      <c r="DM61" s="154"/>
      <c r="DN61" s="154"/>
      <c r="DO61" s="154"/>
      <c r="DP61" s="154"/>
      <c r="DQ61" s="154"/>
      <c r="DR61" s="154"/>
      <c r="DS61" s="154"/>
      <c r="DT61" s="154"/>
      <c r="DU61" s="154"/>
      <c r="DV61" s="154"/>
      <c r="DW61" s="154"/>
      <c r="DX61" s="154"/>
      <c r="DY61" s="154"/>
      <c r="DZ61" s="154"/>
      <c r="EA61" s="154"/>
      <c r="EB61" s="154"/>
      <c r="EC61" s="154"/>
      <c r="ED61" s="154"/>
      <c r="EE61" s="154"/>
      <c r="EF61" s="154"/>
      <c r="EG61" s="154"/>
      <c r="EH61" s="154"/>
      <c r="EI61" s="154"/>
      <c r="EJ61" s="154"/>
      <c r="EK61" s="154"/>
      <c r="EL61" s="154"/>
      <c r="EM61" s="154"/>
      <c r="EN61" s="154"/>
      <c r="EO61" s="154"/>
      <c r="EP61" s="154"/>
      <c r="EQ61" s="154"/>
      <c r="ER61" s="154"/>
      <c r="ES61" s="154"/>
      <c r="ET61" s="154"/>
      <c r="EU61" s="154"/>
      <c r="EV61" s="154"/>
      <c r="EW61" s="154"/>
    </row>
    <row r="62" spans="2:153" ht="12.95" customHeight="1">
      <c r="P62" s="154"/>
      <c r="Q62" s="154"/>
      <c r="R62" s="154"/>
      <c r="S62" s="154"/>
      <c r="T62" s="154"/>
      <c r="U62" s="154"/>
      <c r="V62" s="154"/>
      <c r="W62" s="154"/>
      <c r="X62" s="154"/>
      <c r="Y62" s="154"/>
      <c r="Z62" s="154"/>
      <c r="AA62" s="154"/>
      <c r="AB62" s="154"/>
      <c r="AC62" s="154"/>
      <c r="AD62" s="154"/>
      <c r="AE62" s="154"/>
      <c r="AF62" s="367"/>
      <c r="AG62" s="368"/>
      <c r="AH62" s="368"/>
      <c r="AI62" s="368"/>
      <c r="AJ62" s="154"/>
      <c r="AK62" s="154"/>
      <c r="AL62" s="154"/>
      <c r="AM62" s="154"/>
      <c r="AN62" s="154"/>
      <c r="AO62" s="154"/>
      <c r="AP62" s="154"/>
      <c r="AQ62" s="154"/>
      <c r="AR62" s="154"/>
      <c r="AS62" s="154"/>
      <c r="AT62" s="154"/>
      <c r="AU62" s="154"/>
      <c r="AV62" s="154"/>
      <c r="AW62" s="154"/>
      <c r="AX62" s="154"/>
      <c r="AY62" s="154"/>
      <c r="AZ62" s="154"/>
      <c r="BA62" s="154"/>
      <c r="BB62" s="154"/>
      <c r="BC62" s="154"/>
      <c r="BD62" s="154"/>
      <c r="BE62" s="154"/>
      <c r="BF62" s="154"/>
      <c r="BG62" s="154"/>
      <c r="BH62" s="154"/>
      <c r="BI62" s="154"/>
      <c r="BJ62" s="154"/>
      <c r="BK62" s="154"/>
      <c r="BL62" s="154"/>
      <c r="BM62" s="154"/>
      <c r="BN62" s="154"/>
      <c r="BO62" s="154"/>
      <c r="BP62" s="154"/>
      <c r="BQ62" s="154"/>
      <c r="BR62" s="154"/>
      <c r="BS62" s="154"/>
      <c r="BT62" s="154"/>
      <c r="BU62" s="154"/>
      <c r="BV62" s="154"/>
      <c r="BW62" s="154"/>
      <c r="BX62" s="154"/>
      <c r="BY62" s="154"/>
      <c r="BZ62" s="154"/>
      <c r="CA62" s="154"/>
      <c r="CB62" s="154"/>
      <c r="CC62" s="154"/>
      <c r="CD62" s="154"/>
      <c r="CE62" s="154"/>
      <c r="CF62" s="154"/>
      <c r="CG62" s="154"/>
      <c r="CH62" s="154"/>
      <c r="CI62" s="154"/>
      <c r="CJ62" s="154"/>
      <c r="CK62" s="154"/>
      <c r="CL62" s="154"/>
      <c r="CM62" s="154"/>
      <c r="CN62" s="154"/>
      <c r="CO62" s="154"/>
      <c r="CP62" s="154"/>
      <c r="CQ62" s="154"/>
      <c r="CR62" s="154"/>
      <c r="CS62" s="154"/>
      <c r="CT62" s="154"/>
      <c r="CU62" s="154"/>
      <c r="CV62" s="154"/>
      <c r="CW62" s="154"/>
      <c r="CX62" s="154"/>
      <c r="CY62" s="154"/>
      <c r="CZ62" s="154"/>
      <c r="DA62" s="154"/>
      <c r="DB62" s="154"/>
      <c r="DC62" s="154"/>
      <c r="DD62" s="154"/>
      <c r="DE62" s="154"/>
      <c r="DF62" s="154"/>
      <c r="DG62" s="154"/>
      <c r="DH62" s="154"/>
      <c r="DI62" s="154"/>
      <c r="DJ62" s="154"/>
      <c r="DK62" s="154"/>
      <c r="DL62" s="154"/>
      <c r="DM62" s="154"/>
      <c r="DN62" s="154"/>
      <c r="DO62" s="154"/>
      <c r="DP62" s="154"/>
      <c r="DQ62" s="154"/>
      <c r="DR62" s="154"/>
      <c r="DS62" s="154"/>
      <c r="DT62" s="154"/>
      <c r="DU62" s="154"/>
      <c r="DV62" s="154"/>
      <c r="DW62" s="154"/>
      <c r="DX62" s="154"/>
      <c r="DY62" s="154"/>
      <c r="DZ62" s="154"/>
      <c r="EA62" s="154"/>
      <c r="EB62" s="154"/>
      <c r="EC62" s="154"/>
      <c r="ED62" s="154"/>
      <c r="EE62" s="154"/>
      <c r="EF62" s="154"/>
      <c r="EG62" s="154"/>
      <c r="EH62" s="154"/>
      <c r="EI62" s="154"/>
      <c r="EJ62" s="154"/>
      <c r="EK62" s="154"/>
      <c r="EL62" s="154"/>
      <c r="EM62" s="154"/>
      <c r="EN62" s="154"/>
      <c r="EO62" s="154"/>
      <c r="EP62" s="154"/>
      <c r="EQ62" s="154"/>
      <c r="ER62" s="154"/>
      <c r="ES62" s="154"/>
      <c r="ET62" s="154"/>
      <c r="EU62" s="154"/>
      <c r="EV62" s="154"/>
      <c r="EW62" s="154"/>
    </row>
    <row r="63" spans="2:153" ht="12.95" customHeight="1">
      <c r="P63" s="154"/>
      <c r="Q63" s="154"/>
      <c r="R63" s="154"/>
      <c r="S63" s="154"/>
      <c r="T63" s="154"/>
      <c r="U63" s="154"/>
      <c r="V63" s="154"/>
      <c r="W63" s="154"/>
      <c r="X63" s="154"/>
      <c r="Y63" s="154"/>
      <c r="Z63" s="154"/>
      <c r="AA63" s="154"/>
      <c r="AB63" s="154"/>
      <c r="AC63" s="154"/>
      <c r="AD63" s="154"/>
      <c r="AE63" s="154"/>
      <c r="AF63" s="367"/>
      <c r="AG63" s="368"/>
      <c r="AH63" s="368"/>
      <c r="AI63" s="368"/>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BH63" s="154"/>
      <c r="BI63" s="154"/>
      <c r="BJ63" s="154"/>
      <c r="BK63" s="154"/>
      <c r="BL63" s="154"/>
      <c r="BM63" s="154"/>
      <c r="BN63" s="154"/>
      <c r="BO63" s="154"/>
      <c r="BP63" s="154"/>
      <c r="BQ63" s="154"/>
      <c r="BR63" s="154"/>
      <c r="BS63" s="154"/>
      <c r="BT63" s="154"/>
      <c r="BU63" s="154"/>
      <c r="BV63" s="154"/>
      <c r="BW63" s="154"/>
      <c r="BX63" s="154"/>
      <c r="BY63" s="154"/>
      <c r="BZ63" s="154"/>
      <c r="CA63" s="154"/>
      <c r="CB63" s="154"/>
      <c r="CC63" s="154"/>
      <c r="CD63" s="154"/>
      <c r="CE63" s="154"/>
      <c r="CF63" s="154"/>
      <c r="CG63" s="154"/>
      <c r="CH63" s="154"/>
      <c r="CI63" s="154"/>
      <c r="CJ63" s="154"/>
      <c r="CK63" s="154"/>
      <c r="CL63" s="154"/>
      <c r="CM63" s="154"/>
      <c r="CN63" s="154"/>
      <c r="CO63" s="154"/>
      <c r="CP63" s="154"/>
      <c r="CQ63" s="154"/>
      <c r="CR63" s="154"/>
      <c r="CS63" s="154"/>
      <c r="CT63" s="154"/>
      <c r="CU63" s="154"/>
      <c r="CV63" s="154"/>
      <c r="CW63" s="154"/>
      <c r="CX63" s="154"/>
      <c r="CY63" s="154"/>
      <c r="CZ63" s="154"/>
      <c r="DA63" s="154"/>
      <c r="DB63" s="154"/>
      <c r="DC63" s="154"/>
      <c r="DD63" s="154"/>
      <c r="DE63" s="154"/>
      <c r="DF63" s="154"/>
      <c r="DG63" s="154"/>
      <c r="DH63" s="154"/>
      <c r="DI63" s="154"/>
      <c r="DJ63" s="154"/>
      <c r="DK63" s="154"/>
      <c r="DL63" s="154"/>
      <c r="DM63" s="154"/>
      <c r="DN63" s="154"/>
      <c r="DO63" s="154"/>
      <c r="DP63" s="154"/>
      <c r="DQ63" s="154"/>
      <c r="DR63" s="154"/>
      <c r="DS63" s="154"/>
      <c r="DT63" s="154"/>
      <c r="DU63" s="154"/>
      <c r="DV63" s="154"/>
      <c r="DW63" s="154"/>
      <c r="DX63" s="154"/>
      <c r="DY63" s="154"/>
      <c r="DZ63" s="154"/>
      <c r="EA63" s="154"/>
      <c r="EB63" s="154"/>
      <c r="EC63" s="154"/>
      <c r="ED63" s="154"/>
      <c r="EE63" s="154"/>
      <c r="EF63" s="154"/>
      <c r="EG63" s="154"/>
      <c r="EH63" s="154"/>
      <c r="EI63" s="154"/>
      <c r="EJ63" s="154"/>
      <c r="EK63" s="154"/>
      <c r="EL63" s="154"/>
      <c r="EM63" s="154"/>
      <c r="EN63" s="154"/>
      <c r="EO63" s="154"/>
      <c r="EP63" s="154"/>
      <c r="EQ63" s="154"/>
      <c r="ER63" s="154"/>
      <c r="ES63" s="154"/>
      <c r="ET63" s="154"/>
      <c r="EU63" s="154"/>
      <c r="EV63" s="154"/>
      <c r="EW63" s="154"/>
    </row>
    <row r="64" spans="2:153" ht="12.95" customHeight="1">
      <c r="B64" s="154"/>
      <c r="C64" s="380"/>
      <c r="D64" s="380"/>
      <c r="H64" s="54"/>
      <c r="K64" s="154"/>
      <c r="L64" s="154"/>
      <c r="M64" s="154"/>
      <c r="N64" s="154"/>
      <c r="O64" s="154"/>
      <c r="P64" s="154"/>
      <c r="Q64" s="154"/>
      <c r="R64" s="154"/>
      <c r="S64" s="154"/>
      <c r="T64" s="154"/>
      <c r="U64" s="154"/>
      <c r="V64" s="154"/>
      <c r="W64" s="154"/>
      <c r="X64" s="154"/>
      <c r="Y64" s="154"/>
      <c r="Z64" s="154"/>
      <c r="AA64" s="154"/>
      <c r="AB64" s="154"/>
      <c r="AC64" s="154"/>
      <c r="AD64" s="154"/>
      <c r="AE64" s="154"/>
      <c r="AF64" s="367"/>
      <c r="AG64" s="368"/>
      <c r="AH64" s="368"/>
      <c r="AI64" s="368"/>
      <c r="AJ64" s="154"/>
      <c r="AK64" s="154"/>
      <c r="AL64" s="154"/>
      <c r="AM64" s="154"/>
      <c r="AN64" s="154"/>
      <c r="AO64" s="154"/>
      <c r="AP64" s="154"/>
      <c r="AQ64" s="154"/>
      <c r="AR64" s="154"/>
      <c r="AS64" s="154"/>
      <c r="AT64" s="154"/>
      <c r="AU64" s="154"/>
      <c r="AV64" s="154"/>
      <c r="AW64" s="154"/>
      <c r="AX64" s="154"/>
      <c r="AY64" s="154"/>
      <c r="AZ64" s="154"/>
      <c r="BA64" s="154"/>
      <c r="BB64" s="154"/>
      <c r="BC64" s="154"/>
      <c r="BD64" s="154"/>
      <c r="BE64" s="154"/>
      <c r="BF64" s="154"/>
      <c r="BG64" s="154"/>
      <c r="BH64" s="154"/>
      <c r="BI64" s="154"/>
      <c r="BJ64" s="154"/>
      <c r="BK64" s="154"/>
      <c r="BL64" s="154"/>
      <c r="BM64" s="154"/>
      <c r="BN64" s="154"/>
      <c r="BO64" s="154"/>
      <c r="BP64" s="154"/>
      <c r="BQ64" s="154"/>
      <c r="BR64" s="154"/>
      <c r="BS64" s="154"/>
      <c r="BT64" s="154"/>
      <c r="BU64" s="154"/>
      <c r="BV64" s="154"/>
      <c r="BW64" s="154"/>
      <c r="BX64" s="154"/>
      <c r="BY64" s="154"/>
      <c r="BZ64" s="154"/>
      <c r="CA64" s="154"/>
      <c r="CB64" s="154"/>
      <c r="CC64" s="154"/>
      <c r="CD64" s="154"/>
      <c r="CE64" s="154"/>
      <c r="CF64" s="154"/>
      <c r="CG64" s="154"/>
      <c r="CH64" s="154"/>
      <c r="CI64" s="154"/>
      <c r="CJ64" s="154"/>
      <c r="CK64" s="154"/>
      <c r="CL64" s="154"/>
      <c r="CM64" s="154"/>
      <c r="CN64" s="154"/>
      <c r="CO64" s="154"/>
      <c r="CP64" s="154"/>
      <c r="CQ64" s="154"/>
      <c r="CR64" s="154"/>
      <c r="CS64" s="154"/>
      <c r="CT64" s="154"/>
      <c r="CU64" s="154"/>
      <c r="CV64" s="154"/>
      <c r="CW64" s="154"/>
      <c r="CX64" s="154"/>
      <c r="CY64" s="154"/>
      <c r="CZ64" s="154"/>
      <c r="DA64" s="154"/>
      <c r="DB64" s="154"/>
      <c r="DC64" s="154"/>
      <c r="DD64" s="154"/>
      <c r="DE64" s="154"/>
      <c r="DF64" s="154"/>
      <c r="DG64" s="154"/>
      <c r="DH64" s="154"/>
      <c r="DI64" s="154"/>
      <c r="DJ64" s="154"/>
      <c r="DK64" s="154"/>
      <c r="DL64" s="154"/>
      <c r="DM64" s="154"/>
      <c r="DN64" s="154"/>
      <c r="DO64" s="154"/>
      <c r="DP64" s="154"/>
      <c r="DQ64" s="154"/>
      <c r="DR64" s="154"/>
      <c r="DS64" s="154"/>
      <c r="DT64" s="154"/>
      <c r="DU64" s="154"/>
      <c r="DV64" s="154"/>
      <c r="DW64" s="154"/>
      <c r="DX64" s="154"/>
      <c r="DY64" s="154"/>
      <c r="DZ64" s="154"/>
      <c r="EA64" s="154"/>
      <c r="EB64" s="154"/>
      <c r="EC64" s="154"/>
      <c r="ED64" s="154"/>
      <c r="EE64" s="154"/>
      <c r="EF64" s="154"/>
      <c r="EG64" s="154"/>
      <c r="EH64" s="154"/>
      <c r="EI64" s="154"/>
      <c r="EJ64" s="154"/>
      <c r="EK64" s="154"/>
      <c r="EL64" s="154"/>
      <c r="EM64" s="154"/>
      <c r="EN64" s="154"/>
      <c r="EO64" s="154"/>
      <c r="EP64" s="154"/>
      <c r="EQ64" s="154"/>
      <c r="ER64" s="154"/>
      <c r="ES64" s="154"/>
      <c r="ET64" s="154"/>
      <c r="EU64" s="154"/>
      <c r="EV64" s="154"/>
      <c r="EW64" s="154"/>
    </row>
    <row r="65" spans="2:153" ht="12.95" customHeight="1">
      <c r="B65" s="154"/>
      <c r="C65" s="380"/>
      <c r="D65" s="380"/>
      <c r="H65" s="54"/>
      <c r="K65" s="154"/>
      <c r="L65" s="154"/>
      <c r="M65" s="154"/>
      <c r="N65" s="154"/>
      <c r="O65" s="154"/>
      <c r="P65" s="154"/>
      <c r="Q65" s="154"/>
      <c r="R65" s="154"/>
      <c r="S65" s="154"/>
      <c r="T65" s="154"/>
      <c r="U65" s="154"/>
      <c r="V65" s="154"/>
      <c r="W65" s="154"/>
      <c r="X65" s="154"/>
      <c r="Y65" s="154"/>
      <c r="Z65" s="154"/>
      <c r="AA65" s="154"/>
      <c r="AB65" s="154"/>
      <c r="AC65" s="154"/>
      <c r="AD65" s="154"/>
      <c r="AE65" s="154"/>
      <c r="AF65" s="367"/>
      <c r="AG65" s="368"/>
      <c r="AH65" s="368"/>
      <c r="AI65" s="368"/>
      <c r="AJ65" s="154"/>
      <c r="AK65" s="154"/>
      <c r="AL65" s="154"/>
      <c r="AM65" s="154"/>
      <c r="AN65" s="154"/>
      <c r="AO65" s="154"/>
      <c r="AP65" s="154"/>
      <c r="AQ65" s="154"/>
      <c r="AR65" s="154"/>
      <c r="AS65" s="154"/>
      <c r="AT65" s="154"/>
      <c r="AU65" s="154"/>
      <c r="AV65" s="154"/>
      <c r="AW65" s="154"/>
      <c r="AX65" s="154"/>
      <c r="AY65" s="154"/>
      <c r="AZ65" s="154"/>
      <c r="BA65" s="154"/>
      <c r="BB65" s="154"/>
      <c r="BC65" s="154"/>
      <c r="BD65" s="154"/>
      <c r="BE65" s="154"/>
      <c r="BF65" s="154"/>
      <c r="BG65" s="154"/>
      <c r="BH65" s="154"/>
      <c r="BI65" s="154"/>
      <c r="BJ65" s="154"/>
      <c r="BK65" s="154"/>
      <c r="BL65" s="154"/>
      <c r="BM65" s="154"/>
      <c r="BN65" s="154"/>
      <c r="BO65" s="154"/>
      <c r="BP65" s="154"/>
      <c r="BQ65" s="154"/>
      <c r="BR65" s="154"/>
      <c r="BS65" s="154"/>
      <c r="BT65" s="154"/>
      <c r="BU65" s="154"/>
      <c r="BV65" s="154"/>
      <c r="BW65" s="154"/>
      <c r="BX65" s="154"/>
      <c r="BY65" s="154"/>
      <c r="BZ65" s="154"/>
      <c r="CA65" s="154"/>
      <c r="CB65" s="154"/>
      <c r="CC65" s="154"/>
      <c r="CD65" s="154"/>
      <c r="CE65" s="154"/>
      <c r="CF65" s="154"/>
      <c r="CG65" s="154"/>
      <c r="CH65" s="154"/>
      <c r="CI65" s="154"/>
      <c r="CJ65" s="154"/>
      <c r="CK65" s="154"/>
      <c r="CL65" s="154"/>
      <c r="CM65" s="154"/>
      <c r="CN65" s="154"/>
      <c r="CO65" s="154"/>
      <c r="CP65" s="154"/>
      <c r="CQ65" s="154"/>
      <c r="CR65" s="154"/>
      <c r="CS65" s="154"/>
      <c r="CT65" s="154"/>
      <c r="CU65" s="154"/>
      <c r="CV65" s="154"/>
      <c r="CW65" s="154"/>
      <c r="CX65" s="154"/>
      <c r="CY65" s="154"/>
      <c r="CZ65" s="154"/>
      <c r="DA65" s="154"/>
      <c r="DB65" s="154"/>
      <c r="DC65" s="154"/>
      <c r="DD65" s="154"/>
      <c r="DE65" s="154"/>
      <c r="DF65" s="154"/>
      <c r="DG65" s="154"/>
      <c r="DH65" s="154"/>
      <c r="DI65" s="154"/>
      <c r="DJ65" s="154"/>
      <c r="DK65" s="154"/>
      <c r="DL65" s="154"/>
      <c r="DM65" s="154"/>
      <c r="DN65" s="154"/>
      <c r="DO65" s="154"/>
      <c r="DP65" s="154"/>
      <c r="DQ65" s="154"/>
      <c r="DR65" s="154"/>
      <c r="DS65" s="154"/>
      <c r="DT65" s="154"/>
      <c r="DU65" s="154"/>
      <c r="DV65" s="154"/>
      <c r="DW65" s="154"/>
      <c r="DX65" s="154"/>
      <c r="DY65" s="154"/>
      <c r="DZ65" s="154"/>
      <c r="EA65" s="154"/>
      <c r="EB65" s="154"/>
      <c r="EC65" s="154"/>
      <c r="ED65" s="154"/>
      <c r="EE65" s="154"/>
      <c r="EF65" s="154"/>
      <c r="EG65" s="154"/>
      <c r="EH65" s="154"/>
      <c r="EI65" s="154"/>
      <c r="EJ65" s="154"/>
      <c r="EK65" s="154"/>
      <c r="EL65" s="154"/>
      <c r="EM65" s="154"/>
      <c r="EN65" s="154"/>
      <c r="EO65" s="154"/>
      <c r="EP65" s="154"/>
      <c r="EQ65" s="154"/>
      <c r="ER65" s="154"/>
      <c r="ES65" s="154"/>
      <c r="ET65" s="154"/>
      <c r="EU65" s="154"/>
      <c r="EV65" s="154"/>
      <c r="EW65" s="154"/>
    </row>
    <row r="66" spans="2:153" ht="12.95" customHeight="1">
      <c r="B66" s="154"/>
      <c r="C66" s="380"/>
      <c r="D66" s="380"/>
      <c r="H66" s="54"/>
      <c r="K66" s="154"/>
      <c r="L66" s="154"/>
      <c r="M66" s="154"/>
      <c r="N66" s="154"/>
      <c r="O66" s="154"/>
      <c r="P66" s="154"/>
      <c r="Q66" s="154"/>
      <c r="R66" s="154"/>
      <c r="S66" s="154"/>
      <c r="T66" s="154"/>
      <c r="U66" s="154"/>
      <c r="V66" s="154"/>
      <c r="W66" s="154"/>
      <c r="X66" s="154"/>
      <c r="Y66" s="154"/>
      <c r="Z66" s="154"/>
      <c r="AA66" s="154"/>
      <c r="AB66" s="154"/>
      <c r="AC66" s="154"/>
      <c r="AD66" s="154"/>
      <c r="AE66" s="154"/>
      <c r="AF66" s="367"/>
      <c r="AG66" s="368"/>
      <c r="AH66" s="368"/>
      <c r="AI66" s="368"/>
      <c r="AJ66" s="154"/>
      <c r="AK66" s="154"/>
      <c r="AL66" s="154"/>
      <c r="AM66" s="154"/>
      <c r="AN66" s="154"/>
      <c r="AO66" s="154"/>
      <c r="AP66" s="154"/>
      <c r="AQ66" s="154"/>
      <c r="AR66" s="154"/>
      <c r="AS66" s="154"/>
      <c r="AT66" s="154"/>
      <c r="AU66" s="154"/>
      <c r="AV66" s="154"/>
      <c r="AW66" s="154"/>
      <c r="AX66" s="154"/>
      <c r="AY66" s="154"/>
      <c r="AZ66" s="154"/>
      <c r="BA66" s="154"/>
      <c r="BB66" s="154"/>
      <c r="BC66" s="154"/>
      <c r="BD66" s="154"/>
      <c r="BE66" s="154"/>
      <c r="BF66" s="154"/>
      <c r="BG66" s="154"/>
      <c r="BH66" s="154"/>
      <c r="BI66" s="154"/>
      <c r="BJ66" s="154"/>
      <c r="BK66" s="154"/>
      <c r="BL66" s="154"/>
      <c r="BM66" s="154"/>
      <c r="BN66" s="154"/>
      <c r="BO66" s="154"/>
      <c r="BP66" s="154"/>
      <c r="BQ66" s="154"/>
      <c r="BR66" s="154"/>
      <c r="BS66" s="154"/>
      <c r="BT66" s="154"/>
      <c r="BU66" s="154"/>
      <c r="BV66" s="154"/>
      <c r="BW66" s="154"/>
      <c r="BX66" s="154"/>
      <c r="BY66" s="154"/>
      <c r="BZ66" s="154"/>
      <c r="CA66" s="154"/>
      <c r="CB66" s="154"/>
      <c r="CC66" s="154"/>
      <c r="CD66" s="154"/>
      <c r="CE66" s="154"/>
      <c r="CF66" s="154"/>
      <c r="CG66" s="154"/>
      <c r="CH66" s="154"/>
      <c r="CI66" s="154"/>
      <c r="CJ66" s="154"/>
      <c r="CK66" s="154"/>
      <c r="CL66" s="154"/>
      <c r="CM66" s="154"/>
      <c r="CN66" s="154"/>
      <c r="CO66" s="154"/>
      <c r="CP66" s="154"/>
      <c r="CQ66" s="154"/>
      <c r="CR66" s="154"/>
      <c r="CS66" s="154"/>
      <c r="CT66" s="154"/>
      <c r="CU66" s="154"/>
      <c r="CV66" s="154"/>
      <c r="CW66" s="154"/>
      <c r="CX66" s="154"/>
      <c r="CY66" s="154"/>
      <c r="CZ66" s="154"/>
      <c r="DA66" s="154"/>
      <c r="DB66" s="154"/>
      <c r="DC66" s="154"/>
      <c r="DD66" s="154"/>
      <c r="DE66" s="154"/>
      <c r="DF66" s="154"/>
      <c r="DG66" s="154"/>
      <c r="DH66" s="154"/>
      <c r="DI66" s="154"/>
      <c r="DJ66" s="154"/>
      <c r="DK66" s="154"/>
      <c r="DL66" s="154"/>
      <c r="DM66" s="154"/>
      <c r="DN66" s="154"/>
      <c r="DO66" s="154"/>
      <c r="DP66" s="154"/>
      <c r="DQ66" s="154"/>
      <c r="DR66" s="154"/>
      <c r="DS66" s="154"/>
      <c r="DT66" s="154"/>
      <c r="DU66" s="154"/>
      <c r="DV66" s="154"/>
      <c r="DW66" s="154"/>
      <c r="DX66" s="154"/>
      <c r="DY66" s="154"/>
      <c r="DZ66" s="154"/>
      <c r="EA66" s="154"/>
      <c r="EB66" s="154"/>
      <c r="EC66" s="154"/>
      <c r="ED66" s="154"/>
      <c r="EE66" s="154"/>
      <c r="EF66" s="154"/>
      <c r="EG66" s="154"/>
      <c r="EH66" s="154"/>
      <c r="EI66" s="154"/>
      <c r="EJ66" s="154"/>
      <c r="EK66" s="154"/>
      <c r="EL66" s="154"/>
      <c r="EM66" s="154"/>
      <c r="EN66" s="154"/>
      <c r="EO66" s="154"/>
      <c r="EP66" s="154"/>
      <c r="EQ66" s="154"/>
      <c r="ER66" s="154"/>
      <c r="ES66" s="154"/>
      <c r="ET66" s="154"/>
      <c r="EU66" s="154"/>
      <c r="EV66" s="154"/>
      <c r="EW66" s="154"/>
    </row>
    <row r="67" spans="2:153" ht="12.95" customHeight="1">
      <c r="B67" s="154"/>
      <c r="C67" s="380"/>
      <c r="D67" s="380"/>
      <c r="H67" s="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367"/>
      <c r="AG67" s="368"/>
      <c r="AH67" s="368"/>
      <c r="AI67" s="368"/>
      <c r="AJ67" s="154"/>
      <c r="AK67" s="154"/>
      <c r="AL67" s="154"/>
      <c r="AM67" s="154"/>
      <c r="AN67" s="154"/>
      <c r="AO67" s="154"/>
      <c r="AP67" s="154"/>
      <c r="AQ67" s="154"/>
      <c r="AR67" s="154"/>
      <c r="AS67" s="154"/>
      <c r="AT67" s="154"/>
      <c r="AU67" s="154"/>
      <c r="AV67" s="154"/>
      <c r="AW67" s="154"/>
      <c r="AX67" s="154"/>
      <c r="AY67" s="154"/>
      <c r="AZ67" s="154"/>
      <c r="BA67" s="154"/>
      <c r="BB67" s="154"/>
      <c r="BC67" s="154"/>
      <c r="BD67" s="154"/>
      <c r="BE67" s="154"/>
      <c r="BF67" s="154"/>
      <c r="BG67" s="154"/>
      <c r="BH67" s="154"/>
      <c r="BI67" s="154"/>
      <c r="BJ67" s="154"/>
      <c r="BK67" s="154"/>
      <c r="BL67" s="154"/>
      <c r="BM67" s="154"/>
      <c r="BN67" s="154"/>
      <c r="BO67" s="154"/>
      <c r="BP67" s="154"/>
      <c r="BQ67" s="154"/>
      <c r="BR67" s="154"/>
      <c r="BS67" s="154"/>
      <c r="BT67" s="154"/>
      <c r="BU67" s="154"/>
      <c r="BV67" s="154"/>
      <c r="BW67" s="154"/>
      <c r="BX67" s="154"/>
      <c r="BY67" s="154"/>
      <c r="BZ67" s="154"/>
      <c r="CA67" s="154"/>
      <c r="CB67" s="154"/>
      <c r="CC67" s="154"/>
      <c r="CD67" s="154"/>
      <c r="CE67" s="154"/>
      <c r="CF67" s="154"/>
      <c r="CG67" s="154"/>
      <c r="CH67" s="154"/>
      <c r="CI67" s="154"/>
      <c r="CJ67" s="154"/>
      <c r="CK67" s="154"/>
      <c r="CL67" s="154"/>
      <c r="CM67" s="154"/>
      <c r="CN67" s="154"/>
      <c r="CO67" s="154"/>
      <c r="CP67" s="154"/>
      <c r="CQ67" s="154"/>
      <c r="CR67" s="154"/>
      <c r="CS67" s="154"/>
      <c r="CT67" s="154"/>
      <c r="CU67" s="154"/>
      <c r="CV67" s="154"/>
      <c r="CW67" s="154"/>
      <c r="CX67" s="154"/>
      <c r="CY67" s="154"/>
      <c r="CZ67" s="154"/>
      <c r="DA67" s="154"/>
      <c r="DB67" s="154"/>
      <c r="DC67" s="154"/>
      <c r="DD67" s="154"/>
      <c r="DE67" s="154"/>
      <c r="DF67" s="154"/>
      <c r="DG67" s="154"/>
      <c r="DH67" s="154"/>
      <c r="DI67" s="154"/>
      <c r="DJ67" s="154"/>
      <c r="DK67" s="154"/>
      <c r="DL67" s="154"/>
      <c r="DM67" s="154"/>
      <c r="DN67" s="154"/>
      <c r="DO67" s="154"/>
      <c r="DP67" s="154"/>
      <c r="DQ67" s="154"/>
      <c r="DR67" s="154"/>
      <c r="DS67" s="154"/>
      <c r="DT67" s="154"/>
      <c r="DU67" s="154"/>
      <c r="DV67" s="154"/>
      <c r="DW67" s="154"/>
      <c r="DX67" s="154"/>
      <c r="DY67" s="154"/>
      <c r="DZ67" s="154"/>
      <c r="EA67" s="154"/>
      <c r="EB67" s="154"/>
      <c r="EC67" s="154"/>
      <c r="ED67" s="154"/>
      <c r="EE67" s="154"/>
      <c r="EF67" s="154"/>
      <c r="EG67" s="154"/>
      <c r="EH67" s="154"/>
      <c r="EI67" s="154"/>
      <c r="EJ67" s="154"/>
      <c r="EK67" s="154"/>
      <c r="EL67" s="154"/>
      <c r="EM67" s="154"/>
      <c r="EN67" s="154"/>
      <c r="EO67" s="154"/>
      <c r="EP67" s="154"/>
      <c r="EQ67" s="154"/>
      <c r="ER67" s="154"/>
      <c r="ES67" s="154"/>
      <c r="ET67" s="154"/>
      <c r="EU67" s="154"/>
      <c r="EV67" s="154"/>
      <c r="EW67" s="154"/>
    </row>
    <row r="68" spans="2:153" ht="12.95" customHeight="1">
      <c r="B68" s="154"/>
      <c r="C68" s="380"/>
      <c r="D68" s="380"/>
      <c r="H68" s="54"/>
      <c r="K68" s="154"/>
      <c r="L68" s="154"/>
      <c r="M68" s="154"/>
      <c r="N68" s="377"/>
      <c r="O68" s="154"/>
      <c r="P68" s="154"/>
      <c r="Q68" s="154"/>
      <c r="R68" s="154"/>
      <c r="S68" s="154"/>
      <c r="T68" s="154"/>
      <c r="U68" s="154"/>
      <c r="V68" s="154"/>
      <c r="W68" s="154"/>
      <c r="X68" s="154"/>
      <c r="Y68" s="375"/>
      <c r="Z68" s="377"/>
      <c r="AA68" s="154"/>
      <c r="AB68" s="154"/>
      <c r="AC68" s="154"/>
      <c r="AD68" s="154"/>
      <c r="AE68" s="154"/>
      <c r="AF68" s="367"/>
      <c r="AG68" s="368"/>
      <c r="AH68" s="368"/>
      <c r="AI68" s="368"/>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4"/>
      <c r="BP68" s="154"/>
      <c r="BQ68" s="154"/>
      <c r="BR68" s="154"/>
      <c r="BS68" s="154"/>
      <c r="BT68" s="154"/>
      <c r="BU68" s="154"/>
      <c r="BV68" s="154"/>
      <c r="BW68" s="154"/>
      <c r="BX68" s="154"/>
      <c r="BY68" s="154"/>
      <c r="BZ68" s="154"/>
      <c r="CA68" s="154"/>
      <c r="CB68" s="154"/>
      <c r="CC68" s="154"/>
      <c r="CD68" s="154"/>
      <c r="CE68" s="154"/>
      <c r="CF68" s="154"/>
      <c r="CG68" s="154"/>
      <c r="CH68" s="154"/>
      <c r="CI68" s="154"/>
      <c r="CJ68" s="154"/>
      <c r="CK68" s="154"/>
      <c r="CL68" s="154"/>
      <c r="CM68" s="154"/>
      <c r="CN68" s="154"/>
      <c r="CO68" s="154"/>
      <c r="CP68" s="154"/>
      <c r="CQ68" s="154"/>
      <c r="CR68" s="154"/>
      <c r="CS68" s="154"/>
      <c r="CT68" s="154"/>
      <c r="CU68" s="154"/>
      <c r="CV68" s="154"/>
      <c r="CW68" s="154"/>
      <c r="CX68" s="154"/>
      <c r="CY68" s="154"/>
      <c r="CZ68" s="154"/>
      <c r="DA68" s="154"/>
      <c r="DB68" s="154"/>
      <c r="DC68" s="154"/>
      <c r="DD68" s="154"/>
      <c r="DE68" s="154"/>
      <c r="DF68" s="154"/>
      <c r="DG68" s="154"/>
      <c r="DH68" s="154"/>
      <c r="DI68" s="154"/>
      <c r="DJ68" s="154"/>
      <c r="DK68" s="154"/>
      <c r="DL68" s="154"/>
      <c r="DM68" s="154"/>
      <c r="DN68" s="154"/>
      <c r="DO68" s="154"/>
      <c r="DP68" s="154"/>
      <c r="DQ68" s="154"/>
      <c r="DR68" s="154"/>
      <c r="DS68" s="154"/>
      <c r="DT68" s="154"/>
      <c r="DU68" s="154"/>
      <c r="DV68" s="154"/>
      <c r="DW68" s="154"/>
      <c r="DX68" s="154"/>
      <c r="DY68" s="154"/>
      <c r="DZ68" s="154"/>
      <c r="EA68" s="154"/>
      <c r="EB68" s="154"/>
      <c r="EC68" s="154"/>
      <c r="ED68" s="154"/>
      <c r="EE68" s="154"/>
      <c r="EF68" s="154"/>
      <c r="EG68" s="154"/>
      <c r="EH68" s="154"/>
      <c r="EI68" s="154"/>
      <c r="EJ68" s="154"/>
      <c r="EK68" s="154"/>
      <c r="EL68" s="154"/>
      <c r="EM68" s="154"/>
      <c r="EN68" s="154"/>
      <c r="EO68" s="154"/>
      <c r="EP68" s="154"/>
      <c r="EQ68" s="154"/>
      <c r="ER68" s="154"/>
      <c r="ES68" s="154"/>
      <c r="ET68" s="154"/>
      <c r="EU68" s="154"/>
      <c r="EV68" s="154"/>
      <c r="EW68" s="154"/>
    </row>
    <row r="69" spans="2:153" ht="12.95" customHeight="1">
      <c r="B69" s="154"/>
      <c r="C69" s="380"/>
      <c r="D69" s="380"/>
      <c r="H69" s="54"/>
      <c r="K69" s="154"/>
      <c r="L69" s="154"/>
      <c r="M69" s="154"/>
      <c r="N69" s="154"/>
      <c r="O69" s="154"/>
      <c r="P69" s="154"/>
      <c r="Q69" s="154"/>
      <c r="R69" s="154"/>
      <c r="S69" s="154"/>
      <c r="T69" s="154"/>
      <c r="U69" s="154"/>
      <c r="V69" s="154"/>
      <c r="W69" s="154"/>
      <c r="X69" s="154"/>
      <c r="Y69" s="375"/>
      <c r="Z69" s="154"/>
      <c r="AA69" s="154"/>
      <c r="AB69" s="154"/>
      <c r="AC69" s="154"/>
      <c r="AD69" s="154"/>
      <c r="AE69" s="154"/>
      <c r="AF69" s="367"/>
      <c r="AG69" s="368"/>
      <c r="AH69" s="368"/>
      <c r="AI69" s="368"/>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c r="BH69" s="154"/>
      <c r="BI69" s="154"/>
      <c r="BJ69" s="154"/>
      <c r="BK69" s="154"/>
      <c r="BL69" s="154"/>
      <c r="BM69" s="154"/>
      <c r="BN69" s="154"/>
      <c r="BO69" s="154"/>
      <c r="BP69" s="154"/>
      <c r="BQ69" s="154"/>
      <c r="BR69" s="154"/>
      <c r="BS69" s="154"/>
      <c r="BT69" s="154"/>
      <c r="BU69" s="154"/>
      <c r="BV69" s="154"/>
      <c r="BW69" s="154"/>
      <c r="BX69" s="154"/>
      <c r="BY69" s="154"/>
      <c r="BZ69" s="154"/>
      <c r="CA69" s="154"/>
      <c r="CB69" s="154"/>
      <c r="CC69" s="154"/>
      <c r="CD69" s="154"/>
      <c r="CE69" s="154"/>
      <c r="CF69" s="154"/>
      <c r="CG69" s="154"/>
      <c r="CH69" s="154"/>
      <c r="CI69" s="154"/>
      <c r="CJ69" s="154"/>
      <c r="CK69" s="154"/>
      <c r="CL69" s="154"/>
      <c r="CM69" s="154"/>
      <c r="CN69" s="154"/>
      <c r="CO69" s="154"/>
      <c r="CP69" s="154"/>
      <c r="CQ69" s="154"/>
      <c r="CR69" s="154"/>
      <c r="CS69" s="154"/>
      <c r="CT69" s="154"/>
      <c r="CU69" s="154"/>
      <c r="CV69" s="154"/>
      <c r="CW69" s="154"/>
      <c r="CX69" s="154"/>
      <c r="CY69" s="154"/>
      <c r="CZ69" s="154"/>
      <c r="DA69" s="154"/>
      <c r="DB69" s="154"/>
      <c r="DC69" s="154"/>
      <c r="DD69" s="154"/>
      <c r="DE69" s="154"/>
      <c r="DF69" s="154"/>
      <c r="DG69" s="154"/>
      <c r="DH69" s="154"/>
      <c r="DI69" s="154"/>
      <c r="DJ69" s="154"/>
      <c r="DK69" s="154"/>
      <c r="DL69" s="154"/>
      <c r="DM69" s="154"/>
      <c r="DN69" s="154"/>
      <c r="DO69" s="154"/>
      <c r="DP69" s="154"/>
      <c r="DQ69" s="154"/>
      <c r="DR69" s="154"/>
      <c r="DS69" s="154"/>
      <c r="DT69" s="154"/>
      <c r="DU69" s="154"/>
      <c r="DV69" s="154"/>
      <c r="DW69" s="154"/>
      <c r="DX69" s="154"/>
      <c r="DY69" s="154"/>
      <c r="DZ69" s="154"/>
      <c r="EA69" s="154"/>
      <c r="EB69" s="154"/>
      <c r="EC69" s="154"/>
      <c r="ED69" s="154"/>
      <c r="EE69" s="154"/>
      <c r="EF69" s="154"/>
      <c r="EG69" s="154"/>
      <c r="EH69" s="154"/>
      <c r="EI69" s="154"/>
      <c r="EJ69" s="154"/>
      <c r="EK69" s="154"/>
      <c r="EL69" s="154"/>
      <c r="EM69" s="154"/>
      <c r="EN69" s="154"/>
      <c r="EO69" s="154"/>
      <c r="EP69" s="154"/>
      <c r="EQ69" s="154"/>
      <c r="ER69" s="154"/>
      <c r="ES69" s="154"/>
      <c r="ET69" s="154"/>
      <c r="EU69" s="154"/>
      <c r="EV69" s="154"/>
      <c r="EW69" s="154"/>
    </row>
    <row r="70" spans="2:153" ht="12.95" customHeight="1">
      <c r="B70" s="154"/>
      <c r="C70" s="380"/>
      <c r="D70" s="380"/>
      <c r="E70" s="154"/>
      <c r="H70" s="54"/>
      <c r="K70" s="154"/>
      <c r="L70" s="154"/>
      <c r="M70" s="154"/>
      <c r="N70" s="154"/>
      <c r="O70" s="154"/>
      <c r="P70" s="154"/>
      <c r="Q70" s="154"/>
      <c r="R70" s="154"/>
      <c r="S70" s="154"/>
      <c r="T70" s="154"/>
      <c r="U70" s="154"/>
      <c r="V70" s="154"/>
      <c r="W70" s="154"/>
      <c r="X70" s="154"/>
      <c r="Y70" s="154"/>
      <c r="Z70" s="154"/>
      <c r="AA70" s="154"/>
      <c r="AB70" s="154"/>
      <c r="AC70" s="154"/>
      <c r="AD70" s="154"/>
      <c r="AE70" s="154"/>
      <c r="AF70" s="367"/>
      <c r="AG70" s="368"/>
      <c r="AH70" s="368"/>
      <c r="AI70" s="368"/>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4"/>
      <c r="BP70" s="154"/>
      <c r="BQ70" s="154"/>
      <c r="BR70" s="154"/>
      <c r="BS70" s="154"/>
      <c r="BT70" s="154"/>
      <c r="BU70" s="154"/>
      <c r="BV70" s="154"/>
      <c r="BW70" s="154"/>
      <c r="BX70" s="154"/>
      <c r="BY70" s="154"/>
      <c r="BZ70" s="154"/>
      <c r="CA70" s="154"/>
      <c r="CB70" s="154"/>
      <c r="CC70" s="154"/>
      <c r="CD70" s="154"/>
      <c r="CE70" s="154"/>
      <c r="CF70" s="154"/>
      <c r="CG70" s="154"/>
      <c r="CH70" s="154"/>
      <c r="CI70" s="154"/>
      <c r="CJ70" s="154"/>
      <c r="CK70" s="154"/>
      <c r="CL70" s="154"/>
      <c r="CM70" s="154"/>
      <c r="CN70" s="154"/>
      <c r="CO70" s="154"/>
      <c r="CP70" s="154"/>
      <c r="CQ70" s="154"/>
      <c r="CR70" s="154"/>
      <c r="CS70" s="154"/>
      <c r="CT70" s="154"/>
      <c r="CU70" s="154"/>
      <c r="CV70" s="154"/>
      <c r="CW70" s="154"/>
      <c r="CX70" s="154"/>
      <c r="CY70" s="154"/>
      <c r="CZ70" s="154"/>
      <c r="DA70" s="154"/>
      <c r="DB70" s="154"/>
      <c r="DC70" s="154"/>
      <c r="DD70" s="154"/>
      <c r="DE70" s="154"/>
      <c r="DF70" s="154"/>
      <c r="DG70" s="154"/>
      <c r="DH70" s="154"/>
      <c r="DI70" s="154"/>
      <c r="DJ70" s="154"/>
      <c r="DK70" s="154"/>
      <c r="DL70" s="154"/>
      <c r="DM70" s="154"/>
      <c r="DN70" s="154"/>
      <c r="DO70" s="154"/>
      <c r="DP70" s="154"/>
      <c r="DQ70" s="154"/>
      <c r="DR70" s="154"/>
      <c r="DS70" s="154"/>
      <c r="DT70" s="154"/>
      <c r="DU70" s="154"/>
      <c r="DV70" s="154"/>
      <c r="DW70" s="154"/>
      <c r="DX70" s="154"/>
      <c r="DY70" s="154"/>
      <c r="DZ70" s="154"/>
      <c r="EA70" s="154"/>
      <c r="EB70" s="154"/>
      <c r="EC70" s="154"/>
      <c r="ED70" s="154"/>
      <c r="EE70" s="154"/>
      <c r="EF70" s="154"/>
      <c r="EG70" s="154"/>
      <c r="EH70" s="154"/>
      <c r="EI70" s="154"/>
      <c r="EJ70" s="154"/>
      <c r="EK70" s="154"/>
      <c r="EL70" s="154"/>
      <c r="EM70" s="154"/>
      <c r="EN70" s="154"/>
      <c r="EO70" s="154"/>
      <c r="EP70" s="154"/>
      <c r="EQ70" s="154"/>
      <c r="ER70" s="154"/>
      <c r="ES70" s="154"/>
      <c r="ET70" s="154"/>
      <c r="EU70" s="154"/>
      <c r="EV70" s="154"/>
      <c r="EW70" s="154"/>
    </row>
    <row r="71" spans="2:153" ht="12.95" customHeight="1">
      <c r="B71" s="154"/>
      <c r="C71" s="380"/>
      <c r="D71" s="380"/>
      <c r="E71" s="154"/>
      <c r="H71" s="54"/>
      <c r="I71" s="54"/>
      <c r="K71" s="154"/>
      <c r="L71" s="154"/>
      <c r="M71" s="154"/>
      <c r="N71" s="154"/>
      <c r="O71" s="154"/>
      <c r="P71" s="154"/>
      <c r="Q71" s="154"/>
      <c r="R71" s="154"/>
      <c r="S71" s="154"/>
      <c r="T71" s="154"/>
      <c r="U71" s="154"/>
      <c r="V71" s="154"/>
      <c r="W71" s="154"/>
      <c r="X71" s="154"/>
      <c r="Y71" s="154"/>
      <c r="Z71" s="154"/>
      <c r="AA71" s="154"/>
      <c r="AB71" s="154"/>
      <c r="AC71" s="154"/>
      <c r="AD71" s="154"/>
      <c r="AE71" s="154"/>
      <c r="AF71" s="367"/>
      <c r="AG71" s="368"/>
      <c r="AH71" s="368"/>
      <c r="AI71" s="368"/>
      <c r="AJ71" s="154"/>
      <c r="AK71" s="154"/>
      <c r="AL71" s="154"/>
      <c r="AM71" s="154"/>
      <c r="AN71" s="154"/>
      <c r="AO71" s="154"/>
      <c r="AP71" s="154"/>
      <c r="AQ71" s="154"/>
      <c r="AR71" s="154"/>
      <c r="AS71" s="154"/>
      <c r="AT71" s="154"/>
      <c r="AU71" s="154"/>
      <c r="AV71" s="154"/>
      <c r="AW71" s="154"/>
      <c r="AX71" s="154"/>
      <c r="AY71" s="154"/>
      <c r="AZ71" s="154"/>
      <c r="BA71" s="154"/>
      <c r="BB71" s="154"/>
      <c r="BC71" s="154"/>
      <c r="BD71" s="154"/>
      <c r="BE71" s="154"/>
      <c r="BF71" s="154"/>
      <c r="BG71" s="154"/>
      <c r="BH71" s="154"/>
      <c r="BI71" s="154"/>
      <c r="BJ71" s="154"/>
      <c r="BK71" s="154"/>
      <c r="BL71" s="154"/>
      <c r="BM71" s="154"/>
      <c r="BN71" s="154"/>
      <c r="BO71" s="154"/>
      <c r="BP71" s="154"/>
      <c r="BQ71" s="154"/>
      <c r="BR71" s="154"/>
      <c r="BS71" s="154"/>
      <c r="BT71" s="154"/>
      <c r="BU71" s="154"/>
      <c r="BV71" s="154"/>
      <c r="BW71" s="154"/>
      <c r="BX71" s="154"/>
      <c r="BY71" s="154"/>
      <c r="BZ71" s="154"/>
      <c r="CA71" s="154"/>
      <c r="CB71" s="154"/>
      <c r="CC71" s="154"/>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154"/>
      <c r="DI71" s="154"/>
      <c r="DJ71" s="154"/>
      <c r="DK71" s="154"/>
      <c r="DL71" s="154"/>
      <c r="DM71" s="154"/>
      <c r="DN71" s="154"/>
      <c r="DO71" s="154"/>
      <c r="DP71" s="154"/>
      <c r="DQ71" s="154"/>
      <c r="DR71" s="154"/>
      <c r="DS71" s="154"/>
      <c r="DT71" s="154"/>
      <c r="DU71" s="154"/>
      <c r="DV71" s="154"/>
      <c r="DW71" s="154"/>
      <c r="DX71" s="154"/>
      <c r="DY71" s="154"/>
      <c r="DZ71" s="154"/>
      <c r="EA71" s="154"/>
      <c r="EB71" s="154"/>
      <c r="EC71" s="154"/>
      <c r="ED71" s="154"/>
      <c r="EE71" s="154"/>
      <c r="EF71" s="154"/>
      <c r="EG71" s="154"/>
      <c r="EH71" s="154"/>
      <c r="EI71" s="154"/>
      <c r="EJ71" s="154"/>
      <c r="EK71" s="154"/>
      <c r="EL71" s="154"/>
      <c r="EM71" s="154"/>
      <c r="EN71" s="154"/>
      <c r="EO71" s="154"/>
      <c r="EP71" s="154"/>
      <c r="EQ71" s="154"/>
      <c r="ER71" s="154"/>
      <c r="ES71" s="154"/>
      <c r="ET71" s="154"/>
      <c r="EU71" s="154"/>
      <c r="EV71" s="154"/>
      <c r="EW71" s="154"/>
    </row>
    <row r="72" spans="2:153" ht="12.95" customHeight="1">
      <c r="B72" s="154"/>
      <c r="C72" s="380"/>
      <c r="D72" s="380"/>
      <c r="E72" s="154"/>
      <c r="F72" s="154"/>
      <c r="G72" s="154"/>
      <c r="H72" s="388"/>
      <c r="I72" s="377"/>
      <c r="J72" s="154"/>
      <c r="K72" s="154"/>
      <c r="L72" s="154"/>
      <c r="M72" s="154"/>
      <c r="N72" s="154"/>
      <c r="O72" s="154"/>
      <c r="P72" s="154"/>
      <c r="Q72" s="154"/>
      <c r="R72" s="154"/>
      <c r="S72" s="154"/>
      <c r="T72" s="154"/>
      <c r="U72" s="154"/>
      <c r="V72" s="154"/>
      <c r="W72" s="154"/>
      <c r="X72" s="154"/>
      <c r="Y72" s="154"/>
      <c r="Z72" s="154"/>
      <c r="AA72" s="154"/>
      <c r="AB72" s="154"/>
      <c r="AC72" s="154"/>
      <c r="AD72" s="154"/>
      <c r="AE72" s="154"/>
      <c r="AF72" s="367"/>
      <c r="AG72" s="368"/>
      <c r="AH72" s="368"/>
      <c r="AI72" s="368"/>
      <c r="AJ72" s="154"/>
      <c r="AK72" s="154"/>
      <c r="AL72" s="154"/>
      <c r="AM72" s="154"/>
      <c r="AN72" s="154"/>
      <c r="AO72" s="154"/>
      <c r="AP72" s="154"/>
      <c r="AQ72" s="154"/>
      <c r="AR72" s="154"/>
      <c r="AS72" s="154"/>
      <c r="AT72" s="154"/>
      <c r="AU72" s="154"/>
      <c r="AV72" s="154"/>
      <c r="AW72" s="154"/>
      <c r="AX72" s="154"/>
      <c r="AY72" s="154"/>
      <c r="AZ72" s="154"/>
      <c r="BA72" s="154"/>
      <c r="BB72" s="154"/>
      <c r="BC72" s="154"/>
      <c r="BD72" s="154"/>
      <c r="BE72" s="154"/>
      <c r="BF72" s="154"/>
      <c r="BG72" s="154"/>
      <c r="BH72" s="154"/>
      <c r="BI72" s="154"/>
      <c r="BJ72" s="154"/>
      <c r="BK72" s="154"/>
      <c r="BL72" s="154"/>
      <c r="BM72" s="154"/>
      <c r="BN72" s="154"/>
      <c r="BO72" s="154"/>
      <c r="BP72" s="154"/>
      <c r="BQ72" s="154"/>
      <c r="BR72" s="154"/>
      <c r="BS72" s="154"/>
      <c r="BT72" s="154"/>
      <c r="BU72" s="154"/>
      <c r="BV72" s="154"/>
      <c r="BW72" s="154"/>
      <c r="BX72" s="154"/>
      <c r="BY72" s="154"/>
      <c r="BZ72" s="154"/>
      <c r="CA72" s="154"/>
      <c r="CB72" s="154"/>
      <c r="CC72" s="154"/>
      <c r="CD72" s="154"/>
      <c r="CE72" s="154"/>
      <c r="CF72" s="154"/>
      <c r="CG72" s="154"/>
      <c r="CH72" s="154"/>
      <c r="CI72" s="154"/>
      <c r="CJ72" s="154"/>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154"/>
      <c r="EA72" s="154"/>
      <c r="EB72" s="154"/>
      <c r="EC72" s="154"/>
      <c r="ED72" s="154"/>
      <c r="EE72" s="154"/>
      <c r="EF72" s="154"/>
      <c r="EG72" s="154"/>
      <c r="EH72" s="154"/>
      <c r="EI72" s="154"/>
      <c r="EJ72" s="154"/>
      <c r="EK72" s="154"/>
      <c r="EL72" s="154"/>
      <c r="EM72" s="154"/>
      <c r="EN72" s="154"/>
      <c r="EO72" s="154"/>
      <c r="EP72" s="154"/>
      <c r="EQ72" s="154"/>
      <c r="ER72" s="154"/>
      <c r="ES72" s="154"/>
      <c r="ET72" s="154"/>
      <c r="EU72" s="154"/>
      <c r="EV72" s="154"/>
      <c r="EW72" s="154"/>
    </row>
    <row r="73" spans="2:153" ht="12.95" customHeight="1">
      <c r="B73" s="154"/>
      <c r="C73" s="380"/>
      <c r="D73" s="380"/>
      <c r="E73" s="154"/>
      <c r="F73" s="154"/>
      <c r="G73" s="154"/>
      <c r="H73" s="388"/>
      <c r="I73" s="377"/>
      <c r="J73" s="154"/>
      <c r="K73" s="154"/>
      <c r="L73" s="154"/>
      <c r="M73" s="154"/>
      <c r="N73" s="154"/>
      <c r="O73" s="154"/>
      <c r="P73" s="154"/>
      <c r="Q73" s="154"/>
      <c r="R73" s="154"/>
      <c r="S73" s="154"/>
      <c r="T73" s="154"/>
      <c r="U73" s="154"/>
      <c r="V73" s="154"/>
      <c r="W73" s="154"/>
      <c r="X73" s="154"/>
      <c r="Y73" s="154"/>
      <c r="Z73" s="154"/>
      <c r="AA73" s="154"/>
      <c r="AB73" s="154"/>
      <c r="AC73" s="154"/>
      <c r="AD73" s="154"/>
      <c r="AE73" s="154"/>
      <c r="AF73" s="367"/>
      <c r="AG73" s="368"/>
      <c r="AH73" s="368"/>
      <c r="AI73" s="368"/>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c r="BH73" s="154"/>
      <c r="BI73" s="154"/>
      <c r="BJ73" s="154"/>
      <c r="BK73" s="154"/>
      <c r="BL73" s="154"/>
      <c r="BM73" s="154"/>
      <c r="BN73" s="154"/>
      <c r="BO73" s="154"/>
      <c r="BP73" s="154"/>
      <c r="BQ73" s="154"/>
      <c r="BR73" s="154"/>
      <c r="BS73" s="154"/>
      <c r="BT73" s="154"/>
      <c r="BU73" s="154"/>
      <c r="BV73" s="154"/>
      <c r="BW73" s="154"/>
      <c r="BX73" s="154"/>
      <c r="BY73" s="154"/>
      <c r="BZ73" s="154"/>
      <c r="CA73" s="154"/>
      <c r="CB73" s="154"/>
      <c r="CC73" s="154"/>
      <c r="CD73" s="154"/>
      <c r="CE73" s="154"/>
      <c r="CF73" s="154"/>
      <c r="CG73" s="154"/>
      <c r="CH73" s="154"/>
      <c r="CI73" s="154"/>
      <c r="CJ73" s="154"/>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154"/>
      <c r="EA73" s="154"/>
      <c r="EB73" s="154"/>
      <c r="EC73" s="154"/>
      <c r="ED73" s="154"/>
      <c r="EE73" s="154"/>
      <c r="EF73" s="154"/>
      <c r="EG73" s="154"/>
      <c r="EH73" s="154"/>
      <c r="EI73" s="154"/>
      <c r="EJ73" s="154"/>
      <c r="EK73" s="154"/>
      <c r="EL73" s="154"/>
      <c r="EM73" s="154"/>
      <c r="EN73" s="154"/>
      <c r="EO73" s="154"/>
      <c r="EP73" s="154"/>
      <c r="EQ73" s="154"/>
      <c r="ER73" s="154"/>
      <c r="ES73" s="154"/>
      <c r="ET73" s="154"/>
      <c r="EU73" s="154"/>
      <c r="EV73" s="154"/>
      <c r="EW73" s="154"/>
    </row>
    <row r="74" spans="2:153" ht="12.95" customHeight="1">
      <c r="B74" s="154"/>
      <c r="C74" s="380"/>
      <c r="D74" s="380"/>
      <c r="E74" s="154"/>
      <c r="F74" s="154"/>
      <c r="G74" s="154"/>
      <c r="H74" s="388"/>
      <c r="I74" s="387"/>
      <c r="J74" s="154"/>
      <c r="K74" s="154"/>
      <c r="L74" s="154"/>
      <c r="M74" s="154"/>
      <c r="N74" s="154"/>
      <c r="O74" s="154"/>
      <c r="P74" s="154"/>
      <c r="Q74" s="154"/>
      <c r="R74" s="154"/>
      <c r="S74" s="154"/>
      <c r="T74" s="154"/>
      <c r="U74" s="154"/>
      <c r="V74" s="154"/>
      <c r="W74" s="154"/>
      <c r="X74" s="154"/>
      <c r="Y74" s="154"/>
      <c r="Z74" s="154"/>
      <c r="AA74" s="154"/>
      <c r="AB74" s="154"/>
      <c r="AC74" s="154"/>
      <c r="AD74" s="154"/>
      <c r="AE74" s="154"/>
      <c r="AF74" s="367"/>
      <c r="AG74" s="368"/>
      <c r="AH74" s="368"/>
      <c r="AI74" s="368"/>
      <c r="AJ74" s="154"/>
      <c r="AK74" s="154"/>
      <c r="AL74" s="154"/>
      <c r="AM74" s="154"/>
      <c r="AN74" s="154"/>
      <c r="AO74" s="154"/>
      <c r="AP74" s="154"/>
      <c r="AQ74" s="154"/>
      <c r="AR74" s="154"/>
      <c r="AS74" s="154"/>
      <c r="AT74" s="154"/>
      <c r="AU74" s="154"/>
      <c r="AV74" s="154"/>
      <c r="AW74" s="154"/>
      <c r="AX74" s="154"/>
      <c r="AY74" s="154"/>
      <c r="AZ74" s="154"/>
      <c r="BA74" s="154"/>
      <c r="BB74" s="154"/>
      <c r="BC74" s="154"/>
      <c r="BD74" s="154"/>
      <c r="BE74" s="154"/>
      <c r="BF74" s="154"/>
      <c r="BG74" s="154"/>
      <c r="BH74" s="154"/>
      <c r="BI74" s="154"/>
      <c r="BJ74" s="154"/>
      <c r="BK74" s="154"/>
      <c r="BL74" s="154"/>
      <c r="BM74" s="154"/>
      <c r="BN74" s="154"/>
      <c r="BO74" s="154"/>
      <c r="BP74" s="154"/>
      <c r="BQ74" s="154"/>
      <c r="BR74" s="154"/>
      <c r="BS74" s="154"/>
      <c r="BT74" s="154"/>
      <c r="BU74" s="154"/>
      <c r="BV74" s="154"/>
      <c r="BW74" s="154"/>
      <c r="BX74" s="154"/>
      <c r="BY74" s="154"/>
      <c r="BZ74" s="154"/>
      <c r="CA74" s="154"/>
      <c r="CB74" s="154"/>
      <c r="CC74" s="154"/>
      <c r="CD74" s="154"/>
      <c r="CE74" s="154"/>
      <c r="CF74" s="154"/>
      <c r="CG74" s="154"/>
      <c r="CH74" s="154"/>
      <c r="CI74" s="154"/>
      <c r="CJ74" s="154"/>
      <c r="CK74" s="154"/>
      <c r="CL74" s="154"/>
      <c r="CM74" s="154"/>
      <c r="CN74" s="154"/>
      <c r="CO74" s="154"/>
      <c r="CP74" s="154"/>
      <c r="CQ74" s="154"/>
      <c r="CR74" s="154"/>
      <c r="CS74" s="154"/>
      <c r="CT74" s="154"/>
      <c r="CU74" s="154"/>
      <c r="CV74" s="154"/>
      <c r="CW74" s="154"/>
      <c r="CX74" s="154"/>
      <c r="CY74" s="154"/>
      <c r="CZ74" s="154"/>
      <c r="DA74" s="154"/>
      <c r="DB74" s="154"/>
      <c r="DC74" s="154"/>
      <c r="DD74" s="154"/>
      <c r="DE74" s="154"/>
      <c r="DF74" s="154"/>
      <c r="DG74" s="154"/>
      <c r="DH74" s="154"/>
      <c r="DI74" s="154"/>
      <c r="DJ74" s="154"/>
      <c r="DK74" s="154"/>
      <c r="DL74" s="154"/>
      <c r="DM74" s="154"/>
      <c r="DN74" s="154"/>
      <c r="DO74" s="154"/>
      <c r="DP74" s="154"/>
      <c r="DQ74" s="154"/>
      <c r="DR74" s="154"/>
      <c r="DS74" s="154"/>
      <c r="DT74" s="154"/>
      <c r="DU74" s="154"/>
      <c r="DV74" s="154"/>
      <c r="DW74" s="154"/>
      <c r="DX74" s="154"/>
      <c r="DY74" s="154"/>
      <c r="DZ74" s="154"/>
      <c r="EA74" s="154"/>
      <c r="EB74" s="154"/>
      <c r="EC74" s="154"/>
      <c r="ED74" s="154"/>
      <c r="EE74" s="154"/>
      <c r="EF74" s="154"/>
      <c r="EG74" s="154"/>
      <c r="EH74" s="154"/>
      <c r="EI74" s="154"/>
      <c r="EJ74" s="154"/>
      <c r="EK74" s="154"/>
      <c r="EL74" s="154"/>
      <c r="EM74" s="154"/>
      <c r="EN74" s="154"/>
      <c r="EO74" s="154"/>
      <c r="EP74" s="154"/>
      <c r="EQ74" s="154"/>
      <c r="ER74" s="154"/>
      <c r="ES74" s="154"/>
      <c r="ET74" s="154"/>
      <c r="EU74" s="154"/>
      <c r="EV74" s="154"/>
      <c r="EW74" s="154"/>
    </row>
    <row r="75" spans="2:153" ht="12.95" customHeight="1">
      <c r="B75" s="154"/>
      <c r="C75" s="380"/>
      <c r="D75" s="380"/>
      <c r="E75" s="154"/>
      <c r="F75" s="154"/>
      <c r="G75" s="154"/>
      <c r="H75" s="388"/>
      <c r="I75" s="377"/>
      <c r="J75" s="154"/>
      <c r="K75" s="154"/>
      <c r="L75" s="154"/>
      <c r="M75" s="154"/>
      <c r="N75" s="154"/>
      <c r="O75" s="154"/>
      <c r="P75" s="154"/>
      <c r="Q75" s="154"/>
      <c r="R75" s="154"/>
      <c r="S75" s="154"/>
      <c r="T75" s="154"/>
      <c r="U75" s="154"/>
      <c r="V75" s="154"/>
      <c r="W75" s="154"/>
      <c r="X75" s="154"/>
      <c r="Y75" s="154"/>
      <c r="Z75" s="154"/>
      <c r="AA75" s="154"/>
      <c r="AB75" s="154"/>
      <c r="AC75" s="154"/>
      <c r="AD75" s="154"/>
      <c r="AE75" s="154"/>
      <c r="AF75" s="367"/>
      <c r="AG75" s="368"/>
      <c r="AH75" s="368"/>
      <c r="AI75" s="368"/>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BH75" s="154"/>
      <c r="BI75" s="154"/>
      <c r="BJ75" s="154"/>
      <c r="BK75" s="154"/>
      <c r="BL75" s="154"/>
      <c r="BM75" s="154"/>
      <c r="BN75" s="154"/>
      <c r="BO75" s="154"/>
      <c r="BP75" s="154"/>
      <c r="BQ75" s="154"/>
      <c r="BR75" s="154"/>
      <c r="BS75" s="154"/>
      <c r="BT75" s="154"/>
      <c r="BU75" s="154"/>
      <c r="BV75" s="154"/>
      <c r="BW75" s="154"/>
      <c r="BX75" s="154"/>
      <c r="BY75" s="154"/>
      <c r="BZ75" s="154"/>
      <c r="CA75" s="154"/>
      <c r="CB75" s="154"/>
      <c r="CC75" s="154"/>
      <c r="CD75" s="154"/>
      <c r="CE75" s="154"/>
      <c r="CF75" s="154"/>
      <c r="CG75" s="154"/>
      <c r="CH75" s="154"/>
      <c r="CI75" s="154"/>
      <c r="CJ75" s="154"/>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154"/>
      <c r="EA75" s="154"/>
      <c r="EB75" s="154"/>
      <c r="EC75" s="154"/>
      <c r="ED75" s="154"/>
      <c r="EE75" s="154"/>
      <c r="EF75" s="154"/>
      <c r="EG75" s="154"/>
      <c r="EH75" s="154"/>
      <c r="EI75" s="154"/>
      <c r="EJ75" s="154"/>
      <c r="EK75" s="154"/>
      <c r="EL75" s="154"/>
      <c r="EM75" s="154"/>
      <c r="EN75" s="154"/>
      <c r="EO75" s="154"/>
      <c r="EP75" s="154"/>
      <c r="EQ75" s="154"/>
      <c r="ER75" s="154"/>
      <c r="ES75" s="154"/>
      <c r="ET75" s="154"/>
      <c r="EU75" s="154"/>
      <c r="EV75" s="154"/>
      <c r="EW75" s="154"/>
    </row>
    <row r="76" spans="2:153" ht="12.95" customHeight="1">
      <c r="B76" s="154"/>
      <c r="C76" s="380"/>
      <c r="D76" s="380"/>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367"/>
      <c r="AG76" s="368"/>
      <c r="AH76" s="368"/>
      <c r="AI76" s="368"/>
      <c r="AJ76" s="154"/>
      <c r="AK76" s="154"/>
      <c r="AL76" s="154"/>
      <c r="AM76" s="154"/>
      <c r="AN76" s="154"/>
      <c r="AO76" s="154"/>
      <c r="AP76" s="154"/>
      <c r="AQ76" s="154"/>
      <c r="AR76" s="154"/>
      <c r="AS76" s="154"/>
      <c r="AT76" s="154"/>
      <c r="AU76" s="154"/>
      <c r="AV76" s="154"/>
      <c r="AW76" s="154"/>
      <c r="AX76" s="154"/>
      <c r="AY76" s="154"/>
      <c r="AZ76" s="154"/>
      <c r="BA76" s="154"/>
      <c r="BB76" s="154"/>
      <c r="BC76" s="154"/>
      <c r="BD76" s="154"/>
      <c r="BE76" s="154"/>
      <c r="BF76" s="154"/>
      <c r="BG76" s="154"/>
      <c r="BH76" s="154"/>
      <c r="BI76" s="154"/>
      <c r="BJ76" s="154"/>
      <c r="BK76" s="154"/>
      <c r="BL76" s="154"/>
      <c r="BM76" s="154"/>
      <c r="BN76" s="154"/>
      <c r="BO76" s="154"/>
      <c r="BP76" s="154"/>
      <c r="BQ76" s="154"/>
      <c r="BR76" s="154"/>
      <c r="BS76" s="154"/>
      <c r="BT76" s="154"/>
      <c r="BU76" s="154"/>
      <c r="BV76" s="154"/>
      <c r="BW76" s="154"/>
      <c r="BX76" s="154"/>
      <c r="BY76" s="154"/>
      <c r="BZ76" s="154"/>
      <c r="CA76" s="154"/>
      <c r="CB76" s="154"/>
      <c r="CC76" s="154"/>
      <c r="CD76" s="154"/>
      <c r="CE76" s="154"/>
      <c r="CF76" s="154"/>
      <c r="CG76" s="154"/>
      <c r="CH76" s="154"/>
      <c r="CI76" s="154"/>
      <c r="CJ76" s="154"/>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154"/>
      <c r="EA76" s="154"/>
      <c r="EB76" s="154"/>
      <c r="EC76" s="154"/>
      <c r="ED76" s="154"/>
      <c r="EE76" s="154"/>
      <c r="EF76" s="154"/>
      <c r="EG76" s="154"/>
      <c r="EH76" s="154"/>
      <c r="EI76" s="154"/>
      <c r="EJ76" s="154"/>
      <c r="EK76" s="154"/>
      <c r="EL76" s="154"/>
      <c r="EM76" s="154"/>
      <c r="EN76" s="154"/>
      <c r="EO76" s="154"/>
      <c r="EP76" s="154"/>
      <c r="EQ76" s="154"/>
      <c r="ER76" s="154"/>
      <c r="ES76" s="154"/>
      <c r="ET76" s="154"/>
      <c r="EU76" s="154"/>
      <c r="EV76" s="154"/>
      <c r="EW76" s="154"/>
    </row>
    <row r="77" spans="2:153" ht="12.95" customHeight="1">
      <c r="B77" s="154"/>
      <c r="C77" s="380"/>
      <c r="D77" s="380"/>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367"/>
      <c r="AG77" s="368"/>
      <c r="AH77" s="368"/>
      <c r="AI77" s="368"/>
      <c r="AJ77" s="154"/>
      <c r="AK77" s="154"/>
      <c r="AL77" s="154"/>
      <c r="AM77" s="154"/>
      <c r="AN77" s="154"/>
      <c r="AO77" s="154"/>
      <c r="AP77" s="154"/>
      <c r="AQ77" s="154"/>
      <c r="AR77" s="154"/>
      <c r="AS77" s="154"/>
      <c r="AT77" s="154"/>
      <c r="AU77" s="154"/>
      <c r="AV77" s="154"/>
      <c r="AW77" s="154"/>
      <c r="AX77" s="154"/>
      <c r="AY77" s="154"/>
      <c r="AZ77" s="154"/>
      <c r="BA77" s="154"/>
      <c r="BB77" s="154"/>
      <c r="BC77" s="154"/>
      <c r="BD77" s="154"/>
      <c r="BE77" s="154"/>
      <c r="BF77" s="154"/>
      <c r="BG77" s="154"/>
      <c r="BH77" s="154"/>
      <c r="BI77" s="154"/>
      <c r="BJ77" s="154"/>
      <c r="BK77" s="154"/>
      <c r="BL77" s="154"/>
      <c r="BM77" s="154"/>
      <c r="BN77" s="154"/>
      <c r="BO77" s="154"/>
      <c r="BP77" s="154"/>
      <c r="BQ77" s="154"/>
      <c r="BR77" s="154"/>
      <c r="BS77" s="154"/>
      <c r="BT77" s="154"/>
      <c r="BU77" s="154"/>
      <c r="BV77" s="154"/>
      <c r="BW77" s="154"/>
      <c r="BX77" s="154"/>
      <c r="BY77" s="154"/>
      <c r="BZ77" s="154"/>
      <c r="CA77" s="154"/>
      <c r="CB77" s="154"/>
      <c r="CC77" s="154"/>
      <c r="CD77" s="154"/>
      <c r="CE77" s="154"/>
      <c r="CF77" s="154"/>
      <c r="CG77" s="154"/>
      <c r="CH77" s="154"/>
      <c r="CI77" s="154"/>
      <c r="CJ77" s="154"/>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154"/>
      <c r="EA77" s="154"/>
      <c r="EB77" s="154"/>
      <c r="EC77" s="154"/>
      <c r="ED77" s="154"/>
      <c r="EE77" s="154"/>
      <c r="EF77" s="154"/>
      <c r="EG77" s="154"/>
      <c r="EH77" s="154"/>
      <c r="EI77" s="154"/>
      <c r="EJ77" s="154"/>
      <c r="EK77" s="154"/>
      <c r="EL77" s="154"/>
      <c r="EM77" s="154"/>
      <c r="EN77" s="154"/>
      <c r="EO77" s="154"/>
      <c r="EP77" s="154"/>
      <c r="EQ77" s="154"/>
      <c r="ER77" s="154"/>
      <c r="ES77" s="154"/>
      <c r="ET77" s="154"/>
      <c r="EU77" s="154"/>
      <c r="EV77" s="154"/>
      <c r="EW77" s="154"/>
    </row>
    <row r="78" spans="2:153" ht="12.95" customHeight="1">
      <c r="B78" s="154"/>
      <c r="C78" s="380"/>
      <c r="D78" s="380"/>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367"/>
      <c r="AG78" s="368"/>
      <c r="AH78" s="368"/>
      <c r="AI78" s="368"/>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4"/>
      <c r="BP78" s="154"/>
      <c r="BQ78" s="154"/>
      <c r="BR78" s="154"/>
      <c r="BS78" s="154"/>
      <c r="BT78" s="154"/>
      <c r="BU78" s="154"/>
      <c r="BV78" s="154"/>
      <c r="BW78" s="154"/>
      <c r="BX78" s="154"/>
      <c r="BY78" s="154"/>
      <c r="BZ78" s="154"/>
      <c r="CA78" s="154"/>
      <c r="CB78" s="154"/>
      <c r="CC78" s="154"/>
      <c r="CD78" s="154"/>
      <c r="CE78" s="154"/>
      <c r="CF78" s="154"/>
      <c r="CG78" s="154"/>
      <c r="CH78" s="154"/>
      <c r="CI78" s="154"/>
      <c r="CJ78" s="154"/>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154"/>
      <c r="EA78" s="154"/>
      <c r="EB78" s="154"/>
      <c r="EC78" s="154"/>
      <c r="ED78" s="154"/>
      <c r="EE78" s="154"/>
      <c r="EF78" s="154"/>
      <c r="EG78" s="154"/>
      <c r="EH78" s="154"/>
      <c r="EI78" s="154"/>
      <c r="EJ78" s="154"/>
      <c r="EK78" s="154"/>
      <c r="EL78" s="154"/>
      <c r="EM78" s="154"/>
      <c r="EN78" s="154"/>
      <c r="EO78" s="154"/>
      <c r="EP78" s="154"/>
      <c r="EQ78" s="154"/>
      <c r="ER78" s="154"/>
      <c r="ES78" s="154"/>
      <c r="ET78" s="154"/>
      <c r="EU78" s="154"/>
      <c r="EV78" s="154"/>
      <c r="EW78" s="154"/>
    </row>
    <row r="79" spans="2:153" ht="12.95" customHeight="1">
      <c r="B79" s="154"/>
      <c r="C79" s="380"/>
      <c r="D79" s="380"/>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367"/>
      <c r="AG79" s="368"/>
      <c r="AH79" s="368"/>
      <c r="AI79" s="368"/>
      <c r="AJ79" s="154"/>
      <c r="AK79" s="154"/>
      <c r="AL79" s="154"/>
      <c r="AM79" s="154"/>
      <c r="AN79" s="154"/>
      <c r="AO79" s="154"/>
      <c r="AP79" s="154"/>
      <c r="AQ79" s="154"/>
      <c r="AR79" s="154"/>
      <c r="AS79" s="154"/>
      <c r="AT79" s="154"/>
      <c r="AU79" s="154"/>
      <c r="AV79" s="154"/>
      <c r="AW79" s="154"/>
      <c r="AX79" s="154"/>
      <c r="AY79" s="154"/>
      <c r="AZ79" s="154"/>
      <c r="BA79" s="154"/>
      <c r="BB79" s="154"/>
      <c r="BC79" s="154"/>
      <c r="BD79" s="154"/>
      <c r="BE79" s="154"/>
      <c r="BF79" s="154"/>
      <c r="BG79" s="154"/>
      <c r="BH79" s="154"/>
      <c r="BI79" s="154"/>
      <c r="BJ79" s="154"/>
      <c r="BK79" s="154"/>
      <c r="BL79" s="154"/>
      <c r="BM79" s="154"/>
      <c r="BN79" s="154"/>
      <c r="BO79" s="154"/>
      <c r="BP79" s="154"/>
      <c r="BQ79" s="154"/>
      <c r="BR79" s="154"/>
      <c r="BS79" s="154"/>
      <c r="BT79" s="154"/>
      <c r="BU79" s="154"/>
      <c r="BV79" s="154"/>
      <c r="BW79" s="154"/>
      <c r="BX79" s="154"/>
      <c r="BY79" s="154"/>
      <c r="BZ79" s="154"/>
      <c r="CA79" s="154"/>
      <c r="CB79" s="154"/>
      <c r="CC79" s="154"/>
      <c r="CD79" s="154"/>
      <c r="CE79" s="154"/>
      <c r="CF79" s="154"/>
      <c r="CG79" s="154"/>
      <c r="CH79" s="154"/>
      <c r="CI79" s="154"/>
      <c r="CJ79" s="154"/>
      <c r="CK79" s="154"/>
      <c r="CL79" s="154"/>
      <c r="CM79" s="154"/>
      <c r="CN79" s="154"/>
      <c r="CO79" s="154"/>
      <c r="CP79" s="154"/>
      <c r="CQ79" s="154"/>
      <c r="CR79" s="154"/>
      <c r="CS79" s="154"/>
      <c r="CT79" s="154"/>
      <c r="CU79" s="154"/>
      <c r="CV79" s="154"/>
      <c r="CW79" s="154"/>
      <c r="CX79" s="154"/>
      <c r="CY79" s="154"/>
      <c r="CZ79" s="154"/>
      <c r="DA79" s="154"/>
      <c r="DB79" s="154"/>
      <c r="DC79" s="154"/>
      <c r="DD79" s="154"/>
      <c r="DE79" s="154"/>
      <c r="DF79" s="154"/>
      <c r="DG79" s="154"/>
      <c r="DH79" s="154"/>
      <c r="DI79" s="154"/>
      <c r="DJ79" s="154"/>
      <c r="DK79" s="154"/>
      <c r="DL79" s="154"/>
      <c r="DM79" s="154"/>
      <c r="DN79" s="154"/>
      <c r="DO79" s="154"/>
      <c r="DP79" s="154"/>
      <c r="DQ79" s="154"/>
      <c r="DR79" s="154"/>
      <c r="DS79" s="154"/>
      <c r="DT79" s="154"/>
      <c r="DU79" s="154"/>
      <c r="DV79" s="154"/>
      <c r="DW79" s="154"/>
      <c r="DX79" s="154"/>
      <c r="DY79" s="154"/>
      <c r="DZ79" s="154"/>
      <c r="EA79" s="154"/>
      <c r="EB79" s="154"/>
      <c r="EC79" s="154"/>
      <c r="ED79" s="154"/>
      <c r="EE79" s="154"/>
      <c r="EF79" s="154"/>
      <c r="EG79" s="154"/>
      <c r="EH79" s="154"/>
      <c r="EI79" s="154"/>
      <c r="EJ79" s="154"/>
      <c r="EK79" s="154"/>
      <c r="EL79" s="154"/>
      <c r="EM79" s="154"/>
      <c r="EN79" s="154"/>
      <c r="EO79" s="154"/>
      <c r="EP79" s="154"/>
      <c r="EQ79" s="154"/>
      <c r="ER79" s="154"/>
      <c r="ES79" s="154"/>
      <c r="ET79" s="154"/>
      <c r="EU79" s="154"/>
      <c r="EV79" s="154"/>
      <c r="EW79" s="154"/>
    </row>
    <row r="80" spans="2:153" ht="12.95" customHeight="1">
      <c r="B80" s="154"/>
      <c r="C80" s="380"/>
      <c r="D80" s="380"/>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367"/>
      <c r="AG80" s="368"/>
      <c r="AH80" s="368"/>
      <c r="AI80" s="368"/>
      <c r="AJ80" s="154"/>
      <c r="AK80" s="154"/>
      <c r="AL80" s="154"/>
      <c r="AM80" s="154"/>
      <c r="AN80" s="154"/>
      <c r="AO80" s="154"/>
      <c r="AP80" s="154"/>
      <c r="AQ80" s="154"/>
      <c r="AR80" s="154"/>
      <c r="AS80" s="154"/>
      <c r="AT80" s="154"/>
      <c r="AU80" s="154"/>
      <c r="AV80" s="154"/>
      <c r="AW80" s="154"/>
      <c r="AX80" s="154"/>
      <c r="AY80" s="154"/>
      <c r="AZ80" s="154"/>
      <c r="BA80" s="154"/>
      <c r="BB80" s="154"/>
      <c r="BC80" s="154"/>
      <c r="BD80" s="154"/>
      <c r="BE80" s="154"/>
      <c r="BF80" s="154"/>
      <c r="BG80" s="154"/>
      <c r="BH80" s="154"/>
      <c r="BI80" s="154"/>
      <c r="BJ80" s="154"/>
      <c r="BK80" s="154"/>
      <c r="BL80" s="154"/>
      <c r="BM80" s="154"/>
      <c r="BN80" s="154"/>
      <c r="BO80" s="154"/>
      <c r="BP80" s="154"/>
      <c r="BQ80" s="154"/>
      <c r="BR80" s="154"/>
      <c r="BS80" s="154"/>
      <c r="BT80" s="154"/>
      <c r="BU80" s="154"/>
      <c r="BV80" s="154"/>
      <c r="BW80" s="154"/>
      <c r="BX80" s="154"/>
      <c r="BY80" s="154"/>
      <c r="BZ80" s="154"/>
      <c r="CA80" s="154"/>
      <c r="CB80" s="154"/>
      <c r="CC80" s="154"/>
      <c r="CD80" s="154"/>
      <c r="CE80" s="154"/>
      <c r="CF80" s="154"/>
      <c r="CG80" s="154"/>
      <c r="CH80" s="154"/>
      <c r="CI80" s="154"/>
      <c r="CJ80" s="154"/>
      <c r="CK80" s="154"/>
      <c r="CL80" s="154"/>
      <c r="CM80" s="154"/>
      <c r="CN80" s="154"/>
      <c r="CO80" s="154"/>
      <c r="CP80" s="154"/>
      <c r="CQ80" s="154"/>
      <c r="CR80" s="154"/>
      <c r="CS80" s="154"/>
      <c r="CT80" s="154"/>
      <c r="CU80" s="154"/>
      <c r="CV80" s="154"/>
      <c r="CW80" s="154"/>
      <c r="CX80" s="154"/>
      <c r="CY80" s="154"/>
      <c r="CZ80" s="154"/>
      <c r="DA80" s="154"/>
      <c r="DB80" s="154"/>
      <c r="DC80" s="154"/>
      <c r="DD80" s="154"/>
      <c r="DE80" s="154"/>
      <c r="DF80" s="154"/>
      <c r="DG80" s="154"/>
      <c r="DH80" s="154"/>
      <c r="DI80" s="154"/>
      <c r="DJ80" s="154"/>
      <c r="DK80" s="154"/>
      <c r="DL80" s="154"/>
      <c r="DM80" s="154"/>
      <c r="DN80" s="154"/>
      <c r="DO80" s="154"/>
      <c r="DP80" s="154"/>
      <c r="DQ80" s="154"/>
      <c r="DR80" s="154"/>
      <c r="DS80" s="154"/>
      <c r="DT80" s="154"/>
      <c r="DU80" s="154"/>
      <c r="DV80" s="154"/>
      <c r="DW80" s="154"/>
      <c r="DX80" s="154"/>
      <c r="DY80" s="154"/>
      <c r="DZ80" s="154"/>
      <c r="EA80" s="154"/>
      <c r="EB80" s="154"/>
      <c r="EC80" s="154"/>
      <c r="ED80" s="154"/>
      <c r="EE80" s="154"/>
      <c r="EF80" s="154"/>
      <c r="EG80" s="154"/>
      <c r="EH80" s="154"/>
      <c r="EI80" s="154"/>
      <c r="EJ80" s="154"/>
      <c r="EK80" s="154"/>
      <c r="EL80" s="154"/>
      <c r="EM80" s="154"/>
      <c r="EN80" s="154"/>
      <c r="EO80" s="154"/>
      <c r="EP80" s="154"/>
      <c r="EQ80" s="154"/>
      <c r="ER80" s="154"/>
      <c r="ES80" s="154"/>
      <c r="ET80" s="154"/>
      <c r="EU80" s="154"/>
      <c r="EV80" s="154"/>
      <c r="EW80" s="154"/>
    </row>
    <row r="81" spans="2:153" ht="12.95" customHeight="1">
      <c r="B81" s="154"/>
      <c r="C81" s="380"/>
      <c r="D81" s="380"/>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367"/>
      <c r="AG81" s="368"/>
      <c r="AH81" s="368"/>
      <c r="AI81" s="368"/>
      <c r="AJ81" s="154"/>
      <c r="AK81" s="154"/>
      <c r="AL81" s="154"/>
      <c r="AM81" s="154"/>
      <c r="AN81" s="154"/>
      <c r="AO81" s="154"/>
      <c r="AP81" s="154"/>
      <c r="AQ81" s="154"/>
      <c r="AR81" s="154"/>
      <c r="AS81" s="154"/>
      <c r="AT81" s="154"/>
      <c r="AU81" s="154"/>
      <c r="AV81" s="154"/>
      <c r="AW81" s="154"/>
      <c r="AX81" s="154"/>
      <c r="AY81" s="154"/>
      <c r="AZ81" s="154"/>
      <c r="BA81" s="154"/>
      <c r="BB81" s="154"/>
      <c r="BC81" s="154"/>
      <c r="BD81" s="154"/>
      <c r="BE81" s="154"/>
      <c r="BF81" s="154"/>
      <c r="BG81" s="154"/>
      <c r="BH81" s="154"/>
      <c r="BI81" s="154"/>
      <c r="BJ81" s="154"/>
      <c r="BK81" s="154"/>
      <c r="BL81" s="154"/>
      <c r="BM81" s="154"/>
      <c r="BN81" s="154"/>
      <c r="BO81" s="154"/>
      <c r="BP81" s="154"/>
      <c r="BQ81" s="154"/>
      <c r="BR81" s="154"/>
      <c r="BS81" s="154"/>
      <c r="BT81" s="154"/>
      <c r="BU81" s="154"/>
      <c r="BV81" s="154"/>
      <c r="BW81" s="154"/>
      <c r="BX81" s="154"/>
      <c r="BY81" s="154"/>
      <c r="BZ81" s="154"/>
      <c r="CA81" s="154"/>
      <c r="CB81" s="154"/>
      <c r="CC81" s="154"/>
      <c r="CD81" s="154"/>
      <c r="CE81" s="154"/>
      <c r="CF81" s="154"/>
      <c r="CG81" s="154"/>
      <c r="CH81" s="154"/>
      <c r="CI81" s="154"/>
      <c r="CJ81" s="154"/>
      <c r="CK81" s="154"/>
      <c r="CL81" s="154"/>
      <c r="CM81" s="154"/>
      <c r="CN81" s="154"/>
      <c r="CO81" s="154"/>
      <c r="CP81" s="154"/>
      <c r="CQ81" s="154"/>
      <c r="CR81" s="154"/>
      <c r="CS81" s="154"/>
      <c r="CT81" s="154"/>
      <c r="CU81" s="154"/>
      <c r="CV81" s="154"/>
      <c r="CW81" s="154"/>
      <c r="CX81" s="154"/>
      <c r="CY81" s="154"/>
      <c r="CZ81" s="154"/>
      <c r="DA81" s="154"/>
      <c r="DB81" s="154"/>
      <c r="DC81" s="154"/>
      <c r="DD81" s="154"/>
      <c r="DE81" s="154"/>
      <c r="DF81" s="154"/>
      <c r="DG81" s="154"/>
      <c r="DH81" s="154"/>
      <c r="DI81" s="154"/>
      <c r="DJ81" s="154"/>
      <c r="DK81" s="154"/>
      <c r="DL81" s="154"/>
      <c r="DM81" s="154"/>
      <c r="DN81" s="154"/>
      <c r="DO81" s="154"/>
      <c r="DP81" s="154"/>
      <c r="DQ81" s="154"/>
      <c r="DR81" s="154"/>
      <c r="DS81" s="154"/>
      <c r="DT81" s="154"/>
      <c r="DU81" s="154"/>
      <c r="DV81" s="154"/>
      <c r="DW81" s="154"/>
      <c r="DX81" s="154"/>
      <c r="DY81" s="154"/>
      <c r="DZ81" s="154"/>
      <c r="EA81" s="154"/>
      <c r="EB81" s="154"/>
      <c r="EC81" s="154"/>
      <c r="ED81" s="154"/>
      <c r="EE81" s="154"/>
      <c r="EF81" s="154"/>
      <c r="EG81" s="154"/>
      <c r="EH81" s="154"/>
      <c r="EI81" s="154"/>
      <c r="EJ81" s="154"/>
      <c r="EK81" s="154"/>
      <c r="EL81" s="154"/>
      <c r="EM81" s="154"/>
      <c r="EN81" s="154"/>
      <c r="EO81" s="154"/>
      <c r="EP81" s="154"/>
      <c r="EQ81" s="154"/>
      <c r="ER81" s="154"/>
      <c r="ES81" s="154"/>
      <c r="ET81" s="154"/>
      <c r="EU81" s="154"/>
      <c r="EV81" s="154"/>
      <c r="EW81" s="154"/>
    </row>
    <row r="82" spans="2:153" ht="12.95" customHeight="1">
      <c r="B82" s="154"/>
      <c r="C82" s="380"/>
      <c r="D82" s="380"/>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367"/>
      <c r="AG82" s="368"/>
      <c r="AH82" s="368"/>
      <c r="AI82" s="368"/>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c r="BH82" s="154"/>
      <c r="BI82" s="154"/>
      <c r="BJ82" s="154"/>
      <c r="BK82" s="154"/>
      <c r="BL82" s="154"/>
      <c r="BM82" s="154"/>
      <c r="BN82" s="154"/>
      <c r="BO82" s="154"/>
      <c r="BP82" s="154"/>
      <c r="BQ82" s="154"/>
      <c r="BR82" s="154"/>
      <c r="BS82" s="154"/>
      <c r="BT82" s="154"/>
      <c r="BU82" s="154"/>
      <c r="BV82" s="154"/>
      <c r="BW82" s="154"/>
      <c r="BX82" s="154"/>
      <c r="BY82" s="154"/>
      <c r="BZ82" s="154"/>
      <c r="CA82" s="154"/>
      <c r="CB82" s="154"/>
      <c r="CC82" s="154"/>
      <c r="CD82" s="154"/>
      <c r="CE82" s="154"/>
      <c r="CF82" s="154"/>
      <c r="CG82" s="154"/>
      <c r="CH82" s="154"/>
      <c r="CI82" s="154"/>
      <c r="CJ82" s="154"/>
      <c r="CK82" s="154"/>
      <c r="CL82" s="154"/>
      <c r="CM82" s="154"/>
      <c r="CN82" s="154"/>
      <c r="CO82" s="154"/>
      <c r="CP82" s="154"/>
      <c r="CQ82" s="154"/>
      <c r="CR82" s="154"/>
      <c r="CS82" s="154"/>
      <c r="CT82" s="154"/>
      <c r="CU82" s="154"/>
      <c r="CV82" s="154"/>
      <c r="CW82" s="154"/>
      <c r="CX82" s="154"/>
      <c r="CY82" s="154"/>
      <c r="CZ82" s="154"/>
      <c r="DA82" s="154"/>
      <c r="DB82" s="154"/>
      <c r="DC82" s="154"/>
      <c r="DD82" s="154"/>
      <c r="DE82" s="154"/>
      <c r="DF82" s="154"/>
      <c r="DG82" s="154"/>
      <c r="DH82" s="154"/>
      <c r="DI82" s="154"/>
      <c r="DJ82" s="154"/>
      <c r="DK82" s="154"/>
      <c r="DL82" s="154"/>
      <c r="DM82" s="154"/>
      <c r="DN82" s="154"/>
      <c r="DO82" s="154"/>
      <c r="DP82" s="154"/>
      <c r="DQ82" s="154"/>
      <c r="DR82" s="154"/>
      <c r="DS82" s="154"/>
      <c r="DT82" s="154"/>
      <c r="DU82" s="154"/>
      <c r="DV82" s="154"/>
      <c r="DW82" s="154"/>
      <c r="DX82" s="154"/>
      <c r="DY82" s="154"/>
      <c r="DZ82" s="154"/>
      <c r="EA82" s="154"/>
      <c r="EB82" s="154"/>
      <c r="EC82" s="154"/>
      <c r="ED82" s="154"/>
      <c r="EE82" s="154"/>
      <c r="EF82" s="154"/>
      <c r="EG82" s="154"/>
      <c r="EH82" s="154"/>
      <c r="EI82" s="154"/>
      <c r="EJ82" s="154"/>
      <c r="EK82" s="154"/>
      <c r="EL82" s="154"/>
      <c r="EM82" s="154"/>
      <c r="EN82" s="154"/>
      <c r="EO82" s="154"/>
      <c r="EP82" s="154"/>
      <c r="EQ82" s="154"/>
      <c r="ER82" s="154"/>
      <c r="ES82" s="154"/>
      <c r="ET82" s="154"/>
      <c r="EU82" s="154"/>
      <c r="EV82" s="154"/>
      <c r="EW82" s="154"/>
    </row>
    <row r="83" spans="2:153" ht="12.95" customHeight="1">
      <c r="B83" s="154"/>
      <c r="C83" s="380"/>
      <c r="D83" s="380"/>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367"/>
      <c r="AG83" s="368"/>
      <c r="AH83" s="368"/>
      <c r="AI83" s="368"/>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54"/>
      <c r="BH83" s="154"/>
      <c r="BI83" s="154"/>
      <c r="BJ83" s="154"/>
      <c r="BK83" s="154"/>
      <c r="BL83" s="154"/>
      <c r="BM83" s="154"/>
      <c r="BN83" s="154"/>
      <c r="BO83" s="154"/>
      <c r="BP83" s="154"/>
      <c r="BQ83" s="154"/>
      <c r="BR83" s="154"/>
      <c r="BS83" s="154"/>
      <c r="BT83" s="154"/>
      <c r="BU83" s="154"/>
      <c r="BV83" s="154"/>
      <c r="BW83" s="154"/>
      <c r="BX83" s="154"/>
      <c r="BY83" s="154"/>
      <c r="BZ83" s="154"/>
      <c r="CA83" s="154"/>
      <c r="CB83" s="154"/>
      <c r="CC83" s="154"/>
      <c r="CD83" s="154"/>
      <c r="CE83" s="154"/>
      <c r="CF83" s="154"/>
      <c r="CG83" s="154"/>
      <c r="CH83" s="154"/>
      <c r="CI83" s="154"/>
      <c r="CJ83" s="154"/>
      <c r="CK83" s="154"/>
      <c r="CL83" s="154"/>
      <c r="CM83" s="154"/>
      <c r="CN83" s="154"/>
      <c r="CO83" s="154"/>
      <c r="CP83" s="154"/>
      <c r="CQ83" s="154"/>
      <c r="CR83" s="154"/>
      <c r="CS83" s="154"/>
      <c r="CT83" s="154"/>
      <c r="CU83" s="154"/>
      <c r="CV83" s="154"/>
      <c r="CW83" s="154"/>
      <c r="CX83" s="154"/>
      <c r="CY83" s="154"/>
      <c r="CZ83" s="154"/>
      <c r="DA83" s="154"/>
      <c r="DB83" s="154"/>
      <c r="DC83" s="154"/>
      <c r="DD83" s="154"/>
      <c r="DE83" s="154"/>
      <c r="DF83" s="154"/>
      <c r="DG83" s="154"/>
      <c r="DH83" s="154"/>
      <c r="DI83" s="154"/>
      <c r="DJ83" s="154"/>
      <c r="DK83" s="154"/>
      <c r="DL83" s="154"/>
      <c r="DM83" s="154"/>
      <c r="DN83" s="154"/>
      <c r="DO83" s="154"/>
      <c r="DP83" s="154"/>
      <c r="DQ83" s="154"/>
      <c r="DR83" s="154"/>
      <c r="DS83" s="154"/>
      <c r="DT83" s="154"/>
      <c r="DU83" s="154"/>
      <c r="DV83" s="154"/>
      <c r="DW83" s="154"/>
      <c r="DX83" s="154"/>
      <c r="DY83" s="154"/>
      <c r="DZ83" s="154"/>
      <c r="EA83" s="154"/>
      <c r="EB83" s="154"/>
      <c r="EC83" s="154"/>
      <c r="ED83" s="154"/>
      <c r="EE83" s="154"/>
      <c r="EF83" s="154"/>
      <c r="EG83" s="154"/>
      <c r="EH83" s="154"/>
      <c r="EI83" s="154"/>
      <c r="EJ83" s="154"/>
      <c r="EK83" s="154"/>
      <c r="EL83" s="154"/>
      <c r="EM83" s="154"/>
      <c r="EN83" s="154"/>
      <c r="EO83" s="154"/>
      <c r="EP83" s="154"/>
      <c r="EQ83" s="154"/>
      <c r="ER83" s="154"/>
      <c r="ES83" s="154"/>
      <c r="ET83" s="154"/>
      <c r="EU83" s="154"/>
      <c r="EV83" s="154"/>
      <c r="EW83" s="154"/>
    </row>
    <row r="84" spans="2:153" ht="12.95" customHeight="1">
      <c r="B84" s="154"/>
      <c r="C84" s="380"/>
      <c r="D84" s="380"/>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367"/>
      <c r="AG84" s="368"/>
      <c r="AH84" s="368"/>
      <c r="AI84" s="368"/>
      <c r="AJ84" s="154"/>
      <c r="AK84" s="154"/>
      <c r="AL84" s="154"/>
      <c r="AM84" s="154"/>
      <c r="AN84" s="154"/>
      <c r="AO84" s="154"/>
      <c r="AP84" s="154"/>
      <c r="AQ84" s="154"/>
      <c r="AR84" s="154"/>
      <c r="AS84" s="154"/>
      <c r="AT84" s="154"/>
      <c r="AU84" s="154"/>
      <c r="AV84" s="154"/>
      <c r="AW84" s="154"/>
      <c r="AX84" s="154"/>
      <c r="AY84" s="154"/>
      <c r="AZ84" s="154"/>
      <c r="BA84" s="154"/>
      <c r="BB84" s="154"/>
      <c r="BC84" s="154"/>
      <c r="BD84" s="154"/>
      <c r="BE84" s="154"/>
      <c r="BF84" s="154"/>
      <c r="BG84" s="154"/>
      <c r="BH84" s="154"/>
      <c r="BI84" s="154"/>
      <c r="BJ84" s="154"/>
      <c r="BK84" s="154"/>
      <c r="BL84" s="154"/>
      <c r="BM84" s="154"/>
      <c r="BN84" s="154"/>
      <c r="BO84" s="154"/>
      <c r="BP84" s="154"/>
      <c r="BQ84" s="154"/>
      <c r="BR84" s="154"/>
      <c r="BS84" s="154"/>
      <c r="BT84" s="154"/>
      <c r="BU84" s="154"/>
      <c r="BV84" s="154"/>
      <c r="BW84" s="154"/>
      <c r="BX84" s="154"/>
      <c r="BY84" s="154"/>
      <c r="BZ84" s="154"/>
      <c r="CA84" s="154"/>
      <c r="CB84" s="154"/>
      <c r="CC84" s="154"/>
      <c r="CD84" s="154"/>
      <c r="CE84" s="154"/>
      <c r="CF84" s="154"/>
      <c r="CG84" s="154"/>
      <c r="CH84" s="154"/>
      <c r="CI84" s="154"/>
      <c r="CJ84" s="154"/>
      <c r="CK84" s="154"/>
      <c r="CL84" s="154"/>
      <c r="CM84" s="154"/>
      <c r="CN84" s="154"/>
      <c r="CO84" s="154"/>
      <c r="CP84" s="154"/>
      <c r="CQ84" s="154"/>
      <c r="CR84" s="154"/>
      <c r="CS84" s="154"/>
      <c r="CT84" s="154"/>
      <c r="CU84" s="154"/>
      <c r="CV84" s="154"/>
      <c r="CW84" s="154"/>
      <c r="CX84" s="154"/>
      <c r="CY84" s="154"/>
      <c r="CZ84" s="154"/>
      <c r="DA84" s="154"/>
      <c r="DB84" s="154"/>
      <c r="DC84" s="154"/>
      <c r="DD84" s="154"/>
      <c r="DE84" s="154"/>
      <c r="DF84" s="154"/>
      <c r="DG84" s="154"/>
      <c r="DH84" s="154"/>
      <c r="DI84" s="154"/>
      <c r="DJ84" s="154"/>
      <c r="DK84" s="154"/>
      <c r="DL84" s="154"/>
      <c r="DM84" s="154"/>
      <c r="DN84" s="154"/>
      <c r="DO84" s="154"/>
      <c r="DP84" s="154"/>
      <c r="DQ84" s="154"/>
      <c r="DR84" s="154"/>
      <c r="DS84" s="154"/>
      <c r="DT84" s="154"/>
      <c r="DU84" s="154"/>
      <c r="DV84" s="154"/>
      <c r="DW84" s="154"/>
      <c r="DX84" s="154"/>
      <c r="DY84" s="154"/>
      <c r="DZ84" s="154"/>
      <c r="EA84" s="154"/>
      <c r="EB84" s="154"/>
      <c r="EC84" s="154"/>
      <c r="ED84" s="154"/>
      <c r="EE84" s="154"/>
      <c r="EF84" s="154"/>
      <c r="EG84" s="154"/>
      <c r="EH84" s="154"/>
      <c r="EI84" s="154"/>
      <c r="EJ84" s="154"/>
      <c r="EK84" s="154"/>
      <c r="EL84" s="154"/>
      <c r="EM84" s="154"/>
      <c r="EN84" s="154"/>
      <c r="EO84" s="154"/>
      <c r="EP84" s="154"/>
      <c r="EQ84" s="154"/>
      <c r="ER84" s="154"/>
      <c r="ES84" s="154"/>
      <c r="ET84" s="154"/>
      <c r="EU84" s="154"/>
      <c r="EV84" s="154"/>
      <c r="EW84" s="154"/>
    </row>
    <row r="85" spans="2:153" ht="12.95" customHeight="1">
      <c r="B85" s="154"/>
      <c r="C85" s="380"/>
      <c r="D85" s="380"/>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367"/>
      <c r="AG85" s="368"/>
      <c r="AH85" s="368"/>
      <c r="AI85" s="368"/>
      <c r="AJ85" s="154"/>
      <c r="AK85" s="154"/>
      <c r="AL85" s="154"/>
      <c r="AM85" s="154"/>
      <c r="AN85" s="154"/>
      <c r="AO85" s="154"/>
      <c r="AP85" s="154"/>
      <c r="AQ85" s="154"/>
      <c r="AR85" s="154"/>
      <c r="AS85" s="154"/>
      <c r="AT85" s="154"/>
      <c r="AU85" s="154"/>
      <c r="AV85" s="154"/>
      <c r="AW85" s="154"/>
      <c r="AX85" s="154"/>
      <c r="AY85" s="154"/>
      <c r="AZ85" s="154"/>
      <c r="BA85" s="154"/>
      <c r="BB85" s="154"/>
      <c r="BC85" s="154"/>
      <c r="BD85" s="154"/>
      <c r="BE85" s="154"/>
      <c r="BF85" s="154"/>
      <c r="BG85" s="154"/>
      <c r="BH85" s="154"/>
      <c r="BI85" s="154"/>
      <c r="BJ85" s="154"/>
      <c r="BK85" s="154"/>
      <c r="BL85" s="154"/>
      <c r="BM85" s="154"/>
      <c r="BN85" s="154"/>
      <c r="BO85" s="154"/>
      <c r="BP85" s="154"/>
      <c r="BQ85" s="154"/>
      <c r="BR85" s="154"/>
      <c r="BS85" s="154"/>
      <c r="BT85" s="154"/>
      <c r="BU85" s="154"/>
      <c r="BV85" s="154"/>
      <c r="BW85" s="154"/>
      <c r="BX85" s="154"/>
      <c r="BY85" s="154"/>
      <c r="BZ85" s="154"/>
      <c r="CA85" s="154"/>
      <c r="CB85" s="154"/>
      <c r="CC85" s="154"/>
      <c r="CD85" s="154"/>
      <c r="CE85" s="154"/>
      <c r="CF85" s="154"/>
      <c r="CG85" s="154"/>
      <c r="CH85" s="154"/>
      <c r="CI85" s="154"/>
      <c r="CJ85" s="154"/>
      <c r="CK85" s="154"/>
      <c r="CL85" s="154"/>
      <c r="CM85" s="154"/>
      <c r="CN85" s="154"/>
      <c r="CO85" s="154"/>
      <c r="CP85" s="154"/>
      <c r="CQ85" s="154"/>
      <c r="CR85" s="154"/>
      <c r="CS85" s="154"/>
      <c r="CT85" s="154"/>
      <c r="CU85" s="154"/>
      <c r="CV85" s="154"/>
      <c r="CW85" s="154"/>
      <c r="CX85" s="154"/>
      <c r="CY85" s="154"/>
      <c r="CZ85" s="154"/>
      <c r="DA85" s="154"/>
      <c r="DB85" s="154"/>
      <c r="DC85" s="154"/>
      <c r="DD85" s="154"/>
      <c r="DE85" s="154"/>
      <c r="DF85" s="154"/>
      <c r="DG85" s="154"/>
      <c r="DH85" s="154"/>
      <c r="DI85" s="154"/>
      <c r="DJ85" s="154"/>
      <c r="DK85" s="154"/>
      <c r="DL85" s="154"/>
      <c r="DM85" s="154"/>
      <c r="DN85" s="154"/>
      <c r="DO85" s="154"/>
      <c r="DP85" s="154"/>
      <c r="DQ85" s="154"/>
      <c r="DR85" s="154"/>
      <c r="DS85" s="154"/>
      <c r="DT85" s="154"/>
      <c r="DU85" s="154"/>
      <c r="DV85" s="154"/>
      <c r="DW85" s="154"/>
      <c r="DX85" s="154"/>
      <c r="DY85" s="154"/>
      <c r="DZ85" s="154"/>
      <c r="EA85" s="154"/>
      <c r="EB85" s="154"/>
      <c r="EC85" s="154"/>
      <c r="ED85" s="154"/>
      <c r="EE85" s="154"/>
      <c r="EF85" s="154"/>
      <c r="EG85" s="154"/>
      <c r="EH85" s="154"/>
      <c r="EI85" s="154"/>
      <c r="EJ85" s="154"/>
      <c r="EK85" s="154"/>
      <c r="EL85" s="154"/>
      <c r="EM85" s="154"/>
      <c r="EN85" s="154"/>
      <c r="EO85" s="154"/>
      <c r="EP85" s="154"/>
      <c r="EQ85" s="154"/>
      <c r="ER85" s="154"/>
      <c r="ES85" s="154"/>
      <c r="ET85" s="154"/>
      <c r="EU85" s="154"/>
      <c r="EV85" s="154"/>
      <c r="EW85" s="154"/>
    </row>
    <row r="86" spans="2:153" ht="12.95" customHeight="1">
      <c r="B86" s="154"/>
      <c r="C86" s="380"/>
      <c r="D86" s="380"/>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367"/>
      <c r="AG86" s="368"/>
      <c r="AH86" s="368"/>
      <c r="AI86" s="368"/>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c r="BH86" s="154"/>
      <c r="BI86" s="154"/>
      <c r="BJ86" s="154"/>
      <c r="BK86" s="154"/>
      <c r="BL86" s="154"/>
      <c r="BM86" s="154"/>
      <c r="BN86" s="154"/>
      <c r="BO86" s="154"/>
      <c r="BP86" s="154"/>
      <c r="BQ86" s="154"/>
      <c r="BR86" s="154"/>
      <c r="BS86" s="154"/>
      <c r="BT86" s="154"/>
      <c r="BU86" s="154"/>
      <c r="BV86" s="154"/>
      <c r="BW86" s="154"/>
      <c r="BX86" s="154"/>
      <c r="BY86" s="154"/>
      <c r="BZ86" s="154"/>
      <c r="CA86" s="154"/>
      <c r="CB86" s="154"/>
      <c r="CC86" s="154"/>
      <c r="CD86" s="154"/>
      <c r="CE86" s="154"/>
      <c r="CF86" s="154"/>
      <c r="CG86" s="154"/>
      <c r="CH86" s="154"/>
      <c r="CI86" s="154"/>
      <c r="CJ86" s="154"/>
      <c r="CK86" s="154"/>
      <c r="CL86" s="154"/>
      <c r="CM86" s="154"/>
      <c r="CN86" s="154"/>
      <c r="CO86" s="154"/>
      <c r="CP86" s="154"/>
      <c r="CQ86" s="154"/>
      <c r="CR86" s="154"/>
      <c r="CS86" s="154"/>
      <c r="CT86" s="154"/>
      <c r="CU86" s="154"/>
      <c r="CV86" s="154"/>
      <c r="CW86" s="154"/>
      <c r="CX86" s="154"/>
      <c r="CY86" s="154"/>
      <c r="CZ86" s="154"/>
      <c r="DA86" s="154"/>
      <c r="DB86" s="154"/>
      <c r="DC86" s="154"/>
      <c r="DD86" s="154"/>
      <c r="DE86" s="154"/>
      <c r="DF86" s="154"/>
      <c r="DG86" s="154"/>
      <c r="DH86" s="154"/>
      <c r="DI86" s="154"/>
      <c r="DJ86" s="154"/>
      <c r="DK86" s="154"/>
      <c r="DL86" s="154"/>
      <c r="DM86" s="154"/>
      <c r="DN86" s="154"/>
      <c r="DO86" s="154"/>
      <c r="DP86" s="154"/>
      <c r="DQ86" s="154"/>
      <c r="DR86" s="154"/>
      <c r="DS86" s="154"/>
      <c r="DT86" s="154"/>
      <c r="DU86" s="154"/>
      <c r="DV86" s="154"/>
      <c r="DW86" s="154"/>
      <c r="DX86" s="154"/>
      <c r="DY86" s="154"/>
      <c r="DZ86" s="154"/>
      <c r="EA86" s="154"/>
      <c r="EB86" s="154"/>
      <c r="EC86" s="154"/>
      <c r="ED86" s="154"/>
      <c r="EE86" s="154"/>
      <c r="EF86" s="154"/>
      <c r="EG86" s="154"/>
      <c r="EH86" s="154"/>
      <c r="EI86" s="154"/>
      <c r="EJ86" s="154"/>
      <c r="EK86" s="154"/>
      <c r="EL86" s="154"/>
      <c r="EM86" s="154"/>
      <c r="EN86" s="154"/>
      <c r="EO86" s="154"/>
      <c r="EP86" s="154"/>
      <c r="EQ86" s="154"/>
      <c r="ER86" s="154"/>
      <c r="ES86" s="154"/>
      <c r="ET86" s="154"/>
      <c r="EU86" s="154"/>
      <c r="EV86" s="154"/>
      <c r="EW86" s="154"/>
    </row>
    <row r="87" spans="2:153" ht="12.95" customHeight="1">
      <c r="B87" s="154"/>
      <c r="C87" s="380"/>
      <c r="D87" s="380"/>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367"/>
      <c r="AG87" s="368"/>
      <c r="AH87" s="368"/>
      <c r="AI87" s="368"/>
      <c r="AJ87" s="154"/>
      <c r="AK87" s="154"/>
      <c r="AL87" s="154"/>
      <c r="AM87" s="154"/>
      <c r="AN87" s="154"/>
      <c r="AO87" s="154"/>
      <c r="AP87" s="154"/>
      <c r="AQ87" s="154"/>
      <c r="AR87" s="154"/>
      <c r="AS87" s="154"/>
      <c r="AT87" s="154"/>
      <c r="AU87" s="154"/>
      <c r="AV87" s="154"/>
      <c r="AW87" s="154"/>
      <c r="AX87" s="154"/>
      <c r="AY87" s="154"/>
      <c r="AZ87" s="154"/>
      <c r="BA87" s="154"/>
      <c r="BB87" s="154"/>
      <c r="BC87" s="154"/>
      <c r="BD87" s="154"/>
      <c r="BE87" s="154"/>
      <c r="BF87" s="154"/>
      <c r="BG87" s="154"/>
      <c r="BH87" s="154"/>
      <c r="BI87" s="154"/>
      <c r="BJ87" s="154"/>
      <c r="BK87" s="154"/>
      <c r="BL87" s="154"/>
      <c r="BM87" s="154"/>
      <c r="BN87" s="154"/>
      <c r="BO87" s="154"/>
      <c r="BP87" s="154"/>
      <c r="BQ87" s="154"/>
      <c r="BR87" s="154"/>
      <c r="BS87" s="154"/>
      <c r="BT87" s="154"/>
      <c r="BU87" s="154"/>
      <c r="BV87" s="154"/>
      <c r="BW87" s="154"/>
      <c r="BX87" s="154"/>
      <c r="BY87" s="154"/>
      <c r="BZ87" s="154"/>
      <c r="CA87" s="154"/>
      <c r="CB87" s="154"/>
      <c r="CC87" s="154"/>
      <c r="CD87" s="154"/>
      <c r="CE87" s="154"/>
      <c r="CF87" s="154"/>
      <c r="CG87" s="154"/>
      <c r="CH87" s="154"/>
      <c r="CI87" s="154"/>
      <c r="CJ87" s="154"/>
      <c r="CK87" s="154"/>
      <c r="CL87" s="154"/>
      <c r="CM87" s="154"/>
      <c r="CN87" s="154"/>
      <c r="CO87" s="154"/>
      <c r="CP87" s="154"/>
      <c r="CQ87" s="154"/>
      <c r="CR87" s="154"/>
      <c r="CS87" s="154"/>
      <c r="CT87" s="154"/>
      <c r="CU87" s="154"/>
      <c r="CV87" s="154"/>
      <c r="CW87" s="154"/>
      <c r="CX87" s="154"/>
      <c r="CY87" s="154"/>
      <c r="CZ87" s="154"/>
      <c r="DA87" s="154"/>
      <c r="DB87" s="154"/>
      <c r="DC87" s="154"/>
      <c r="DD87" s="154"/>
      <c r="DE87" s="154"/>
      <c r="DF87" s="154"/>
      <c r="DG87" s="154"/>
      <c r="DH87" s="154"/>
      <c r="DI87" s="154"/>
      <c r="DJ87" s="154"/>
      <c r="DK87" s="154"/>
      <c r="DL87" s="154"/>
      <c r="DM87" s="154"/>
      <c r="DN87" s="154"/>
      <c r="DO87" s="154"/>
      <c r="DP87" s="154"/>
      <c r="DQ87" s="154"/>
      <c r="DR87" s="154"/>
      <c r="DS87" s="154"/>
      <c r="DT87" s="154"/>
      <c r="DU87" s="154"/>
      <c r="DV87" s="154"/>
      <c r="DW87" s="154"/>
      <c r="DX87" s="154"/>
      <c r="DY87" s="154"/>
      <c r="DZ87" s="154"/>
      <c r="EA87" s="154"/>
      <c r="EB87" s="154"/>
      <c r="EC87" s="154"/>
      <c r="ED87" s="154"/>
      <c r="EE87" s="154"/>
      <c r="EF87" s="154"/>
      <c r="EG87" s="154"/>
      <c r="EH87" s="154"/>
      <c r="EI87" s="154"/>
      <c r="EJ87" s="154"/>
      <c r="EK87" s="154"/>
      <c r="EL87" s="154"/>
      <c r="EM87" s="154"/>
      <c r="EN87" s="154"/>
      <c r="EO87" s="154"/>
      <c r="EP87" s="154"/>
      <c r="EQ87" s="154"/>
      <c r="ER87" s="154"/>
      <c r="ES87" s="154"/>
      <c r="ET87" s="154"/>
      <c r="EU87" s="154"/>
      <c r="EV87" s="154"/>
      <c r="EW87" s="154"/>
    </row>
    <row r="88" spans="2:153" ht="12.95" customHeight="1">
      <c r="B88" s="154"/>
      <c r="C88" s="380"/>
      <c r="D88" s="380"/>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367"/>
      <c r="AG88" s="368"/>
      <c r="AH88" s="368"/>
      <c r="AI88" s="368"/>
      <c r="AJ88" s="154"/>
      <c r="AK88" s="154"/>
      <c r="AL88" s="154"/>
      <c r="AM88" s="154"/>
      <c r="AN88" s="154"/>
      <c r="AO88" s="154"/>
      <c r="AP88" s="154"/>
      <c r="AQ88" s="154"/>
      <c r="AR88" s="154"/>
      <c r="AS88" s="154"/>
      <c r="AT88" s="154"/>
      <c r="AU88" s="154"/>
      <c r="AV88" s="154"/>
      <c r="AW88" s="154"/>
      <c r="AX88" s="154"/>
      <c r="AY88" s="154"/>
      <c r="AZ88" s="154"/>
      <c r="BA88" s="154"/>
      <c r="BB88" s="154"/>
      <c r="BC88" s="154"/>
      <c r="BD88" s="154"/>
      <c r="BE88" s="154"/>
      <c r="BF88" s="154"/>
      <c r="BG88" s="15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154"/>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154"/>
      <c r="DI88" s="154"/>
      <c r="DJ88" s="154"/>
      <c r="DK88" s="154"/>
      <c r="DL88" s="154"/>
      <c r="DM88" s="154"/>
      <c r="DN88" s="154"/>
      <c r="DO88" s="154"/>
      <c r="DP88" s="154"/>
      <c r="DQ88" s="154"/>
      <c r="DR88" s="154"/>
      <c r="DS88" s="154"/>
      <c r="DT88" s="154"/>
      <c r="DU88" s="154"/>
      <c r="DV88" s="154"/>
      <c r="DW88" s="154"/>
      <c r="DX88" s="154"/>
      <c r="DY88" s="154"/>
      <c r="DZ88" s="154"/>
      <c r="EA88" s="154"/>
      <c r="EB88" s="154"/>
      <c r="EC88" s="154"/>
      <c r="ED88" s="154"/>
      <c r="EE88" s="154"/>
      <c r="EF88" s="154"/>
      <c r="EG88" s="154"/>
      <c r="EH88" s="154"/>
      <c r="EI88" s="154"/>
      <c r="EJ88" s="154"/>
      <c r="EK88" s="154"/>
      <c r="EL88" s="154"/>
      <c r="EM88" s="154"/>
      <c r="EN88" s="154"/>
      <c r="EO88" s="154"/>
      <c r="EP88" s="154"/>
      <c r="EQ88" s="154"/>
      <c r="ER88" s="154"/>
      <c r="ES88" s="154"/>
      <c r="ET88" s="154"/>
      <c r="EU88" s="154"/>
      <c r="EV88" s="154"/>
      <c r="EW88" s="154"/>
    </row>
    <row r="89" spans="2:153" ht="12.95" customHeight="1">
      <c r="B89" s="154"/>
      <c r="C89" s="380"/>
      <c r="D89" s="380"/>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367"/>
      <c r="AG89" s="368"/>
      <c r="AH89" s="368"/>
      <c r="AI89" s="368"/>
      <c r="AJ89" s="154"/>
      <c r="AK89" s="154"/>
      <c r="AL89" s="154"/>
      <c r="AM89" s="154"/>
      <c r="AN89" s="154"/>
      <c r="AO89" s="154"/>
      <c r="AP89" s="154"/>
      <c r="AQ89" s="154"/>
      <c r="AR89" s="154"/>
      <c r="AS89" s="154"/>
      <c r="AT89" s="154"/>
      <c r="AU89" s="154"/>
      <c r="AV89" s="154"/>
      <c r="AW89" s="154"/>
      <c r="AX89" s="154"/>
      <c r="AY89" s="154"/>
      <c r="AZ89" s="154"/>
      <c r="BA89" s="154"/>
      <c r="BB89" s="154"/>
      <c r="BC89" s="154"/>
      <c r="BD89" s="154"/>
      <c r="BE89" s="154"/>
      <c r="BF89" s="154"/>
      <c r="BG89" s="154"/>
      <c r="BH89" s="154"/>
      <c r="BI89" s="154"/>
      <c r="BJ89" s="154"/>
      <c r="BK89" s="154"/>
      <c r="BL89" s="154"/>
      <c r="BM89" s="154"/>
      <c r="BN89" s="154"/>
      <c r="BO89" s="154"/>
      <c r="BP89" s="154"/>
      <c r="BQ89" s="154"/>
      <c r="BR89" s="154"/>
      <c r="BS89" s="154"/>
      <c r="BT89" s="154"/>
      <c r="BU89" s="154"/>
      <c r="BV89" s="154"/>
      <c r="BW89" s="154"/>
      <c r="BX89" s="154"/>
      <c r="BY89" s="154"/>
      <c r="BZ89" s="154"/>
      <c r="CA89" s="154"/>
      <c r="CB89" s="154"/>
      <c r="CC89" s="154"/>
      <c r="CD89" s="154"/>
      <c r="CE89" s="154"/>
      <c r="CF89" s="154"/>
      <c r="CG89" s="154"/>
      <c r="CH89" s="154"/>
      <c r="CI89" s="154"/>
      <c r="CJ89" s="154"/>
      <c r="CK89" s="154"/>
      <c r="CL89" s="154"/>
      <c r="CM89" s="154"/>
      <c r="CN89" s="154"/>
      <c r="CO89" s="154"/>
      <c r="CP89" s="154"/>
      <c r="CQ89" s="154"/>
      <c r="CR89" s="154"/>
      <c r="CS89" s="154"/>
      <c r="CT89" s="154"/>
      <c r="CU89" s="154"/>
      <c r="CV89" s="154"/>
      <c r="CW89" s="154"/>
      <c r="CX89" s="154"/>
      <c r="CY89" s="154"/>
      <c r="CZ89" s="154"/>
      <c r="DA89" s="154"/>
      <c r="DB89" s="154"/>
      <c r="DC89" s="154"/>
      <c r="DD89" s="154"/>
      <c r="DE89" s="154"/>
      <c r="DF89" s="154"/>
      <c r="DG89" s="154"/>
      <c r="DH89" s="154"/>
      <c r="DI89" s="154"/>
      <c r="DJ89" s="154"/>
      <c r="DK89" s="154"/>
      <c r="DL89" s="154"/>
      <c r="DM89" s="154"/>
      <c r="DN89" s="154"/>
      <c r="DO89" s="154"/>
      <c r="DP89" s="154"/>
      <c r="DQ89" s="154"/>
      <c r="DR89" s="154"/>
      <c r="DS89" s="154"/>
      <c r="DT89" s="154"/>
      <c r="DU89" s="154"/>
      <c r="DV89" s="154"/>
      <c r="DW89" s="154"/>
      <c r="DX89" s="154"/>
      <c r="DY89" s="154"/>
      <c r="DZ89" s="154"/>
      <c r="EA89" s="154"/>
      <c r="EB89" s="154"/>
      <c r="EC89" s="154"/>
      <c r="ED89" s="154"/>
      <c r="EE89" s="154"/>
      <c r="EF89" s="154"/>
      <c r="EG89" s="154"/>
      <c r="EH89" s="154"/>
      <c r="EI89" s="154"/>
      <c r="EJ89" s="154"/>
      <c r="EK89" s="154"/>
      <c r="EL89" s="154"/>
      <c r="EM89" s="154"/>
      <c r="EN89" s="154"/>
      <c r="EO89" s="154"/>
      <c r="EP89" s="154"/>
      <c r="EQ89" s="154"/>
      <c r="ER89" s="154"/>
      <c r="ES89" s="154"/>
      <c r="ET89" s="154"/>
      <c r="EU89" s="154"/>
      <c r="EV89" s="154"/>
      <c r="EW89" s="154"/>
    </row>
    <row r="90" spans="2:153" ht="12.95" customHeight="1">
      <c r="B90" s="154"/>
      <c r="C90" s="380"/>
      <c r="D90" s="380"/>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367"/>
      <c r="AG90" s="368"/>
      <c r="AH90" s="368"/>
      <c r="AI90" s="368"/>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BH90" s="154"/>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c r="DT90" s="154"/>
      <c r="DU90" s="154"/>
      <c r="DV90" s="154"/>
      <c r="DW90" s="154"/>
      <c r="DX90" s="154"/>
      <c r="DY90" s="154"/>
      <c r="DZ90" s="154"/>
      <c r="EA90" s="154"/>
      <c r="EB90" s="154"/>
      <c r="EC90" s="154"/>
      <c r="ED90" s="154"/>
      <c r="EE90" s="154"/>
      <c r="EF90" s="154"/>
      <c r="EG90" s="154"/>
      <c r="EH90" s="154"/>
      <c r="EI90" s="154"/>
      <c r="EJ90" s="154"/>
      <c r="EK90" s="154"/>
      <c r="EL90" s="154"/>
      <c r="EM90" s="154"/>
      <c r="EN90" s="154"/>
      <c r="EO90" s="154"/>
      <c r="EP90" s="154"/>
      <c r="EQ90" s="154"/>
      <c r="ER90" s="154"/>
      <c r="ES90" s="154"/>
      <c r="ET90" s="154"/>
      <c r="EU90" s="154"/>
      <c r="EV90" s="154"/>
      <c r="EW90" s="154"/>
    </row>
    <row r="91" spans="2:153" ht="12.95" customHeight="1">
      <c r="B91" s="154"/>
      <c r="C91" s="380"/>
      <c r="D91" s="380"/>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367"/>
      <c r="AG91" s="368"/>
      <c r="AH91" s="368"/>
      <c r="AI91" s="368"/>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H91" s="154"/>
      <c r="BI91" s="154"/>
      <c r="BJ91" s="154"/>
      <c r="BK91" s="154"/>
      <c r="BL91" s="154"/>
      <c r="BM91" s="154"/>
      <c r="BN91" s="154"/>
      <c r="BO91" s="154"/>
      <c r="BP91" s="154"/>
      <c r="BQ91" s="154"/>
      <c r="BR91" s="154"/>
      <c r="BS91" s="154"/>
      <c r="BT91" s="154"/>
      <c r="BU91" s="154"/>
      <c r="BV91" s="154"/>
      <c r="BW91" s="154"/>
      <c r="BX91" s="154"/>
      <c r="BY91" s="154"/>
      <c r="BZ91" s="154"/>
      <c r="CA91" s="154"/>
      <c r="CB91" s="154"/>
      <c r="CC91" s="154"/>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154"/>
      <c r="DI91" s="154"/>
      <c r="DJ91" s="154"/>
      <c r="DK91" s="154"/>
      <c r="DL91" s="154"/>
      <c r="DM91" s="154"/>
      <c r="DN91" s="154"/>
      <c r="DO91" s="154"/>
      <c r="DP91" s="154"/>
      <c r="DQ91" s="154"/>
      <c r="DR91" s="154"/>
      <c r="DS91" s="154"/>
      <c r="DT91" s="154"/>
      <c r="DU91" s="154"/>
      <c r="DV91" s="154"/>
      <c r="DW91" s="154"/>
      <c r="DX91" s="154"/>
      <c r="DY91" s="154"/>
      <c r="DZ91" s="154"/>
      <c r="EA91" s="154"/>
      <c r="EB91" s="154"/>
      <c r="EC91" s="154"/>
      <c r="ED91" s="154"/>
      <c r="EE91" s="154"/>
      <c r="EF91" s="154"/>
      <c r="EG91" s="154"/>
      <c r="EH91" s="154"/>
      <c r="EI91" s="154"/>
      <c r="EJ91" s="154"/>
      <c r="EK91" s="154"/>
      <c r="EL91" s="154"/>
      <c r="EM91" s="154"/>
      <c r="EN91" s="154"/>
      <c r="EO91" s="154"/>
      <c r="EP91" s="154"/>
      <c r="EQ91" s="154"/>
      <c r="ER91" s="154"/>
      <c r="ES91" s="154"/>
      <c r="ET91" s="154"/>
      <c r="EU91" s="154"/>
      <c r="EV91" s="154"/>
      <c r="EW91" s="154"/>
    </row>
    <row r="92" spans="2:153" ht="12.95" customHeight="1">
      <c r="B92" s="154"/>
      <c r="C92" s="380"/>
      <c r="D92" s="380"/>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367"/>
      <c r="AG92" s="368"/>
      <c r="AH92" s="368"/>
      <c r="AI92" s="368"/>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BH92" s="154"/>
      <c r="BI92" s="154"/>
      <c r="BJ92" s="154"/>
      <c r="BK92" s="154"/>
      <c r="BL92" s="154"/>
      <c r="BM92" s="154"/>
      <c r="BN92" s="154"/>
      <c r="BO92" s="154"/>
      <c r="BP92" s="154"/>
      <c r="BQ92" s="154"/>
      <c r="BR92" s="154"/>
      <c r="BS92" s="154"/>
      <c r="BT92" s="154"/>
      <c r="BU92" s="154"/>
      <c r="BV92" s="154"/>
      <c r="BW92" s="154"/>
      <c r="BX92" s="154"/>
      <c r="BY92" s="154"/>
      <c r="BZ92" s="154"/>
      <c r="CA92" s="154"/>
      <c r="CB92" s="154"/>
      <c r="CC92" s="154"/>
      <c r="CD92" s="154"/>
      <c r="CE92" s="154"/>
      <c r="CF92" s="154"/>
      <c r="CG92" s="154"/>
      <c r="CH92" s="154"/>
      <c r="CI92" s="154"/>
      <c r="CJ92" s="154"/>
      <c r="CK92" s="154"/>
      <c r="CL92" s="154"/>
      <c r="CM92" s="154"/>
      <c r="CN92" s="154"/>
      <c r="CO92" s="154"/>
      <c r="CP92" s="154"/>
      <c r="CQ92" s="154"/>
      <c r="CR92" s="154"/>
      <c r="CS92" s="154"/>
      <c r="CT92" s="154"/>
      <c r="CU92" s="154"/>
      <c r="CV92" s="154"/>
      <c r="CW92" s="154"/>
      <c r="CX92" s="154"/>
      <c r="CY92" s="154"/>
      <c r="CZ92" s="154"/>
      <c r="DA92" s="154"/>
      <c r="DB92" s="154"/>
      <c r="DC92" s="154"/>
      <c r="DD92" s="154"/>
      <c r="DE92" s="154"/>
      <c r="DF92" s="154"/>
      <c r="DG92" s="154"/>
      <c r="DH92" s="154"/>
      <c r="DI92" s="154"/>
      <c r="DJ92" s="154"/>
      <c r="DK92" s="154"/>
      <c r="DL92" s="154"/>
      <c r="DM92" s="154"/>
      <c r="DN92" s="154"/>
      <c r="DO92" s="154"/>
      <c r="DP92" s="154"/>
      <c r="DQ92" s="154"/>
      <c r="DR92" s="154"/>
      <c r="DS92" s="154"/>
      <c r="DT92" s="154"/>
      <c r="DU92" s="154"/>
      <c r="DV92" s="154"/>
      <c r="DW92" s="154"/>
      <c r="DX92" s="154"/>
      <c r="DY92" s="154"/>
      <c r="DZ92" s="154"/>
      <c r="EA92" s="154"/>
      <c r="EB92" s="154"/>
      <c r="EC92" s="154"/>
      <c r="ED92" s="154"/>
      <c r="EE92" s="154"/>
      <c r="EF92" s="154"/>
      <c r="EG92" s="154"/>
      <c r="EH92" s="154"/>
      <c r="EI92" s="154"/>
      <c r="EJ92" s="154"/>
      <c r="EK92" s="154"/>
      <c r="EL92" s="154"/>
      <c r="EM92" s="154"/>
      <c r="EN92" s="154"/>
      <c r="EO92" s="154"/>
      <c r="EP92" s="154"/>
      <c r="EQ92" s="154"/>
      <c r="ER92" s="154"/>
      <c r="ES92" s="154"/>
      <c r="ET92" s="154"/>
      <c r="EU92" s="154"/>
      <c r="EV92" s="154"/>
      <c r="EW92" s="154"/>
    </row>
    <row r="93" spans="2:153" ht="12.95" customHeight="1">
      <c r="B93" s="154"/>
      <c r="C93" s="380"/>
      <c r="D93" s="380"/>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367"/>
      <c r="AG93" s="368"/>
      <c r="AH93" s="368"/>
      <c r="AI93" s="368"/>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H93" s="154"/>
      <c r="BI93" s="154"/>
      <c r="BJ93" s="154"/>
      <c r="BK93" s="154"/>
      <c r="BL93" s="154"/>
      <c r="BM93" s="154"/>
      <c r="BN93" s="154"/>
      <c r="BO93" s="154"/>
      <c r="BP93" s="154"/>
      <c r="BQ93" s="154"/>
      <c r="BR93" s="154"/>
      <c r="BS93" s="154"/>
      <c r="BT93" s="154"/>
      <c r="BU93" s="154"/>
      <c r="BV93" s="154"/>
      <c r="BW93" s="154"/>
      <c r="BX93" s="154"/>
      <c r="BY93" s="154"/>
      <c r="BZ93" s="154"/>
      <c r="CA93" s="154"/>
      <c r="CB93" s="154"/>
      <c r="CC93" s="154"/>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4"/>
      <c r="DY93" s="154"/>
      <c r="DZ93" s="154"/>
      <c r="EA93" s="154"/>
      <c r="EB93" s="154"/>
      <c r="EC93" s="154"/>
      <c r="ED93" s="154"/>
      <c r="EE93" s="154"/>
      <c r="EF93" s="154"/>
      <c r="EG93" s="154"/>
      <c r="EH93" s="154"/>
      <c r="EI93" s="154"/>
      <c r="EJ93" s="154"/>
      <c r="EK93" s="154"/>
      <c r="EL93" s="154"/>
      <c r="EM93" s="154"/>
      <c r="EN93" s="154"/>
      <c r="EO93" s="154"/>
      <c r="EP93" s="154"/>
      <c r="EQ93" s="154"/>
      <c r="ER93" s="154"/>
      <c r="ES93" s="154"/>
      <c r="ET93" s="154"/>
      <c r="EU93" s="154"/>
      <c r="EV93" s="154"/>
      <c r="EW93" s="154"/>
    </row>
    <row r="94" spans="2:153" ht="12.95" customHeight="1">
      <c r="B94" s="154"/>
      <c r="C94" s="380"/>
      <c r="D94" s="380"/>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367"/>
      <c r="AG94" s="368"/>
      <c r="AH94" s="368"/>
      <c r="AI94" s="368"/>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BH94" s="154"/>
      <c r="BI94" s="154"/>
      <c r="BJ94" s="154"/>
      <c r="BK94" s="154"/>
      <c r="BL94" s="154"/>
      <c r="BM94" s="154"/>
      <c r="BN94" s="154"/>
      <c r="BO94" s="154"/>
      <c r="BP94" s="154"/>
      <c r="BQ94" s="154"/>
      <c r="BR94" s="154"/>
      <c r="BS94" s="154"/>
      <c r="BT94" s="154"/>
      <c r="BU94" s="154"/>
      <c r="BV94" s="154"/>
      <c r="BW94" s="154"/>
      <c r="BX94" s="154"/>
      <c r="BY94" s="154"/>
      <c r="BZ94" s="154"/>
      <c r="CA94" s="154"/>
      <c r="CB94" s="154"/>
      <c r="CC94" s="154"/>
      <c r="CD94" s="154"/>
      <c r="CE94" s="154"/>
      <c r="CF94" s="154"/>
      <c r="CG94" s="154"/>
      <c r="CH94" s="154"/>
      <c r="CI94" s="154"/>
      <c r="CJ94" s="154"/>
      <c r="CK94" s="154"/>
      <c r="CL94" s="154"/>
      <c r="CM94" s="154"/>
      <c r="CN94" s="154"/>
      <c r="CO94" s="154"/>
      <c r="CP94" s="154"/>
      <c r="CQ94" s="154"/>
      <c r="CR94" s="154"/>
      <c r="CS94" s="154"/>
      <c r="CT94" s="154"/>
      <c r="CU94" s="154"/>
      <c r="CV94" s="154"/>
      <c r="CW94" s="154"/>
      <c r="CX94" s="154"/>
      <c r="CY94" s="154"/>
      <c r="CZ94" s="154"/>
      <c r="DA94" s="154"/>
      <c r="DB94" s="154"/>
      <c r="DC94" s="154"/>
      <c r="DD94" s="154"/>
      <c r="DE94" s="154"/>
      <c r="DF94" s="154"/>
      <c r="DG94" s="154"/>
      <c r="DH94" s="154"/>
      <c r="DI94" s="154"/>
      <c r="DJ94" s="154"/>
      <c r="DK94" s="154"/>
      <c r="DL94" s="154"/>
      <c r="DM94" s="154"/>
      <c r="DN94" s="154"/>
      <c r="DO94" s="154"/>
      <c r="DP94" s="154"/>
      <c r="DQ94" s="154"/>
      <c r="DR94" s="154"/>
      <c r="DS94" s="154"/>
      <c r="DT94" s="154"/>
      <c r="DU94" s="154"/>
      <c r="DV94" s="154"/>
      <c r="DW94" s="154"/>
      <c r="DX94" s="154"/>
      <c r="DY94" s="154"/>
      <c r="DZ94" s="154"/>
      <c r="EA94" s="154"/>
      <c r="EB94" s="154"/>
      <c r="EC94" s="154"/>
      <c r="ED94" s="154"/>
      <c r="EE94" s="154"/>
      <c r="EF94" s="154"/>
      <c r="EG94" s="154"/>
      <c r="EH94" s="154"/>
      <c r="EI94" s="154"/>
      <c r="EJ94" s="154"/>
      <c r="EK94" s="154"/>
      <c r="EL94" s="154"/>
      <c r="EM94" s="154"/>
      <c r="EN94" s="154"/>
      <c r="EO94" s="154"/>
      <c r="EP94" s="154"/>
      <c r="EQ94" s="154"/>
      <c r="ER94" s="154"/>
      <c r="ES94" s="154"/>
      <c r="ET94" s="154"/>
      <c r="EU94" s="154"/>
      <c r="EV94" s="154"/>
      <c r="EW94" s="154"/>
    </row>
    <row r="95" spans="2:153" ht="12.95" customHeight="1">
      <c r="B95" s="154"/>
      <c r="C95" s="380"/>
      <c r="D95" s="380"/>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367"/>
      <c r="AG95" s="368"/>
      <c r="AH95" s="368"/>
      <c r="AI95" s="368"/>
      <c r="AJ95" s="154"/>
      <c r="AK95" s="154"/>
      <c r="AL95" s="154"/>
      <c r="AM95" s="154"/>
      <c r="AN95" s="154"/>
      <c r="AO95" s="154"/>
      <c r="AP95" s="154"/>
      <c r="AQ95" s="154"/>
      <c r="AR95" s="154"/>
      <c r="AS95" s="154"/>
      <c r="AT95" s="154"/>
      <c r="AU95" s="154"/>
      <c r="AV95" s="154"/>
      <c r="AW95" s="154"/>
      <c r="AX95" s="154"/>
      <c r="AY95" s="154"/>
      <c r="AZ95" s="154"/>
      <c r="BA95" s="154"/>
      <c r="BB95" s="154"/>
      <c r="BC95" s="154"/>
      <c r="BD95" s="154"/>
      <c r="BE95" s="154"/>
      <c r="BF95" s="154"/>
      <c r="BG95" s="154"/>
      <c r="BH95" s="154"/>
      <c r="BI95" s="154"/>
      <c r="BJ95" s="154"/>
      <c r="BK95" s="154"/>
      <c r="BL95" s="154"/>
      <c r="BM95" s="154"/>
      <c r="BN95" s="154"/>
      <c r="BO95" s="154"/>
      <c r="BP95" s="154"/>
      <c r="BQ95" s="154"/>
      <c r="BR95" s="154"/>
      <c r="BS95" s="154"/>
      <c r="BT95" s="154"/>
      <c r="BU95" s="154"/>
      <c r="BV95" s="154"/>
      <c r="BW95" s="154"/>
      <c r="BX95" s="154"/>
      <c r="BY95" s="154"/>
      <c r="BZ95" s="154"/>
      <c r="CA95" s="154"/>
      <c r="CB95" s="154"/>
      <c r="CC95" s="154"/>
      <c r="CD95" s="154"/>
      <c r="CE95" s="154"/>
      <c r="CF95" s="154"/>
      <c r="CG95" s="154"/>
      <c r="CH95" s="154"/>
      <c r="CI95" s="154"/>
      <c r="CJ95" s="154"/>
      <c r="CK95" s="154"/>
      <c r="CL95" s="154"/>
      <c r="CM95" s="154"/>
      <c r="CN95" s="154"/>
      <c r="CO95" s="154"/>
      <c r="CP95" s="154"/>
      <c r="CQ95" s="154"/>
      <c r="CR95" s="154"/>
      <c r="CS95" s="154"/>
      <c r="CT95" s="154"/>
      <c r="CU95" s="154"/>
      <c r="CV95" s="154"/>
      <c r="CW95" s="154"/>
      <c r="CX95" s="154"/>
      <c r="CY95" s="154"/>
      <c r="CZ95" s="154"/>
      <c r="DA95" s="154"/>
      <c r="DB95" s="154"/>
      <c r="DC95" s="154"/>
      <c r="DD95" s="154"/>
      <c r="DE95" s="154"/>
      <c r="DF95" s="154"/>
      <c r="DG95" s="154"/>
      <c r="DH95" s="154"/>
      <c r="DI95" s="154"/>
      <c r="DJ95" s="154"/>
      <c r="DK95" s="154"/>
      <c r="DL95" s="154"/>
      <c r="DM95" s="154"/>
      <c r="DN95" s="154"/>
      <c r="DO95" s="154"/>
      <c r="DP95" s="154"/>
      <c r="DQ95" s="154"/>
      <c r="DR95" s="154"/>
      <c r="DS95" s="154"/>
      <c r="DT95" s="154"/>
      <c r="DU95" s="154"/>
      <c r="DV95" s="154"/>
      <c r="DW95" s="154"/>
      <c r="DX95" s="154"/>
      <c r="DY95" s="154"/>
      <c r="DZ95" s="154"/>
      <c r="EA95" s="154"/>
      <c r="EB95" s="154"/>
      <c r="EC95" s="154"/>
      <c r="ED95" s="154"/>
      <c r="EE95" s="154"/>
      <c r="EF95" s="154"/>
      <c r="EG95" s="154"/>
      <c r="EH95" s="154"/>
      <c r="EI95" s="154"/>
      <c r="EJ95" s="154"/>
      <c r="EK95" s="154"/>
      <c r="EL95" s="154"/>
      <c r="EM95" s="154"/>
      <c r="EN95" s="154"/>
      <c r="EO95" s="154"/>
      <c r="EP95" s="154"/>
      <c r="EQ95" s="154"/>
      <c r="ER95" s="154"/>
      <c r="ES95" s="154"/>
      <c r="ET95" s="154"/>
      <c r="EU95" s="154"/>
      <c r="EV95" s="154"/>
      <c r="EW95" s="154"/>
    </row>
    <row r="96" spans="2:153" ht="12.95" customHeight="1">
      <c r="B96" s="154"/>
      <c r="C96" s="380"/>
      <c r="D96" s="380"/>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367"/>
      <c r="AG96" s="368"/>
      <c r="AH96" s="368"/>
      <c r="AI96" s="368"/>
      <c r="AJ96" s="154"/>
      <c r="AK96" s="154"/>
      <c r="AL96" s="154"/>
      <c r="AM96" s="154"/>
      <c r="AN96" s="154"/>
      <c r="AO96" s="154"/>
      <c r="AP96" s="154"/>
      <c r="AQ96" s="154"/>
      <c r="AR96" s="154"/>
      <c r="AS96" s="154"/>
      <c r="AT96" s="154"/>
      <c r="AU96" s="154"/>
      <c r="AV96" s="154"/>
      <c r="AW96" s="154"/>
      <c r="AX96" s="154"/>
      <c r="AY96" s="154"/>
      <c r="AZ96" s="154"/>
      <c r="BA96" s="154"/>
      <c r="BB96" s="154"/>
      <c r="BC96" s="154"/>
      <c r="BD96" s="154"/>
      <c r="BE96" s="154"/>
      <c r="BF96" s="154"/>
      <c r="BG96" s="154"/>
      <c r="BH96" s="154"/>
      <c r="BI96" s="154"/>
      <c r="BJ96" s="154"/>
      <c r="BK96" s="154"/>
      <c r="BL96" s="154"/>
      <c r="BM96" s="154"/>
      <c r="BN96" s="154"/>
      <c r="BO96" s="154"/>
      <c r="BP96" s="154"/>
      <c r="BQ96" s="154"/>
      <c r="BR96" s="154"/>
      <c r="BS96" s="154"/>
      <c r="BT96" s="154"/>
      <c r="BU96" s="154"/>
      <c r="BV96" s="154"/>
      <c r="BW96" s="154"/>
      <c r="BX96" s="154"/>
      <c r="BY96" s="154"/>
      <c r="BZ96" s="154"/>
      <c r="CA96" s="154"/>
      <c r="CB96" s="154"/>
      <c r="CC96" s="154"/>
      <c r="CD96" s="154"/>
      <c r="CE96" s="154"/>
      <c r="CF96" s="154"/>
      <c r="CG96" s="154"/>
      <c r="CH96" s="154"/>
      <c r="CI96" s="154"/>
      <c r="CJ96" s="154"/>
      <c r="CK96" s="154"/>
      <c r="CL96" s="154"/>
      <c r="CM96" s="154"/>
      <c r="CN96" s="154"/>
      <c r="CO96" s="154"/>
      <c r="CP96" s="154"/>
      <c r="CQ96" s="154"/>
      <c r="CR96" s="154"/>
      <c r="CS96" s="154"/>
      <c r="CT96" s="154"/>
      <c r="CU96" s="154"/>
      <c r="CV96" s="154"/>
      <c r="CW96" s="154"/>
      <c r="CX96" s="154"/>
      <c r="CY96" s="154"/>
      <c r="CZ96" s="154"/>
      <c r="DA96" s="154"/>
      <c r="DB96" s="154"/>
      <c r="DC96" s="154"/>
      <c r="DD96" s="154"/>
      <c r="DE96" s="154"/>
      <c r="DF96" s="154"/>
      <c r="DG96" s="154"/>
      <c r="DH96" s="154"/>
      <c r="DI96" s="154"/>
      <c r="DJ96" s="154"/>
      <c r="DK96" s="154"/>
      <c r="DL96" s="154"/>
      <c r="DM96" s="154"/>
      <c r="DN96" s="154"/>
      <c r="DO96" s="154"/>
      <c r="DP96" s="154"/>
      <c r="DQ96" s="154"/>
      <c r="DR96" s="154"/>
      <c r="DS96" s="154"/>
      <c r="DT96" s="154"/>
      <c r="DU96" s="154"/>
      <c r="DV96" s="154"/>
      <c r="DW96" s="154"/>
      <c r="DX96" s="154"/>
      <c r="DY96" s="154"/>
      <c r="DZ96" s="154"/>
      <c r="EA96" s="154"/>
      <c r="EB96" s="154"/>
      <c r="EC96" s="154"/>
      <c r="ED96" s="154"/>
      <c r="EE96" s="154"/>
      <c r="EF96" s="154"/>
      <c r="EG96" s="154"/>
      <c r="EH96" s="154"/>
      <c r="EI96" s="154"/>
      <c r="EJ96" s="154"/>
      <c r="EK96" s="154"/>
      <c r="EL96" s="154"/>
      <c r="EM96" s="154"/>
      <c r="EN96" s="154"/>
      <c r="EO96" s="154"/>
      <c r="EP96" s="154"/>
      <c r="EQ96" s="154"/>
      <c r="ER96" s="154"/>
      <c r="ES96" s="154"/>
      <c r="ET96" s="154"/>
      <c r="EU96" s="154"/>
      <c r="EV96" s="154"/>
      <c r="EW96" s="154"/>
    </row>
    <row r="97" spans="2:153" ht="12.95" customHeight="1">
      <c r="B97" s="154"/>
      <c r="C97" s="380"/>
      <c r="D97" s="380"/>
      <c r="E97" s="154"/>
      <c r="F97" s="154"/>
      <c r="G97" s="375"/>
      <c r="H97" s="389"/>
      <c r="I97" s="389"/>
      <c r="J97" s="389"/>
      <c r="K97" s="389"/>
      <c r="L97" s="154"/>
      <c r="M97" s="154"/>
      <c r="N97" s="154"/>
      <c r="O97" s="154"/>
      <c r="P97" s="154"/>
      <c r="Q97" s="154"/>
      <c r="R97" s="154"/>
      <c r="S97" s="154"/>
      <c r="T97" s="154"/>
      <c r="U97" s="154"/>
      <c r="V97" s="154"/>
      <c r="W97" s="154"/>
      <c r="X97" s="154"/>
      <c r="Y97" s="154"/>
      <c r="Z97" s="154"/>
      <c r="AA97" s="154"/>
      <c r="AB97" s="154"/>
      <c r="AC97" s="154"/>
      <c r="AD97" s="154"/>
      <c r="AE97" s="154"/>
      <c r="AF97" s="367"/>
      <c r="AG97" s="368"/>
      <c r="AH97" s="368"/>
      <c r="AI97" s="368"/>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BH97" s="154"/>
      <c r="BI97" s="154"/>
      <c r="BJ97" s="154"/>
      <c r="BK97" s="154"/>
      <c r="BL97" s="154"/>
      <c r="BM97" s="154"/>
      <c r="BN97" s="154"/>
      <c r="BO97" s="154"/>
      <c r="BP97" s="154"/>
      <c r="BQ97" s="154"/>
      <c r="BR97" s="154"/>
      <c r="BS97" s="154"/>
      <c r="BT97" s="154"/>
      <c r="BU97" s="154"/>
      <c r="BV97" s="154"/>
      <c r="BW97" s="154"/>
      <c r="BX97" s="154"/>
      <c r="BY97" s="154"/>
      <c r="BZ97" s="154"/>
      <c r="CA97" s="154"/>
      <c r="CB97" s="154"/>
      <c r="CC97" s="154"/>
      <c r="CD97" s="154"/>
      <c r="CE97" s="154"/>
      <c r="CF97" s="154"/>
      <c r="CG97" s="154"/>
      <c r="CH97" s="154"/>
      <c r="CI97" s="154"/>
      <c r="CJ97" s="154"/>
      <c r="CK97" s="154"/>
      <c r="CL97" s="154"/>
      <c r="CM97" s="154"/>
      <c r="CN97" s="154"/>
      <c r="CO97" s="154"/>
      <c r="CP97" s="154"/>
      <c r="CQ97" s="154"/>
      <c r="CR97" s="154"/>
      <c r="CS97" s="154"/>
      <c r="CT97" s="154"/>
      <c r="CU97" s="154"/>
      <c r="CV97" s="154"/>
      <c r="CW97" s="154"/>
      <c r="CX97" s="154"/>
      <c r="CY97" s="154"/>
      <c r="CZ97" s="154"/>
      <c r="DA97" s="154"/>
      <c r="DB97" s="154"/>
      <c r="DC97" s="154"/>
      <c r="DD97" s="154"/>
      <c r="DE97" s="154"/>
      <c r="DF97" s="154"/>
      <c r="DG97" s="154"/>
      <c r="DH97" s="154"/>
      <c r="DI97" s="154"/>
      <c r="DJ97" s="154"/>
      <c r="DK97" s="154"/>
      <c r="DL97" s="154"/>
      <c r="DM97" s="154"/>
      <c r="DN97" s="154"/>
      <c r="DO97" s="154"/>
      <c r="DP97" s="154"/>
      <c r="DQ97" s="154"/>
      <c r="DR97" s="154"/>
      <c r="DS97" s="154"/>
      <c r="DT97" s="154"/>
      <c r="DU97" s="154"/>
      <c r="DV97" s="154"/>
      <c r="DW97" s="154"/>
      <c r="DX97" s="154"/>
      <c r="DY97" s="154"/>
      <c r="DZ97" s="154"/>
      <c r="EA97" s="154"/>
      <c r="EB97" s="154"/>
      <c r="EC97" s="154"/>
      <c r="ED97" s="154"/>
      <c r="EE97" s="154"/>
      <c r="EF97" s="154"/>
      <c r="EG97" s="154"/>
      <c r="EH97" s="154"/>
      <c r="EI97" s="154"/>
      <c r="EJ97" s="154"/>
      <c r="EK97" s="154"/>
      <c r="EL97" s="154"/>
      <c r="EM97" s="154"/>
      <c r="EN97" s="154"/>
      <c r="EO97" s="154"/>
      <c r="EP97" s="154"/>
      <c r="EQ97" s="154"/>
      <c r="ER97" s="154"/>
      <c r="ES97" s="154"/>
      <c r="ET97" s="154"/>
      <c r="EU97" s="154"/>
      <c r="EV97" s="154"/>
      <c r="EW97" s="154"/>
    </row>
    <row r="98" spans="2:153" ht="12.95" customHeight="1">
      <c r="B98" s="154"/>
      <c r="C98" s="380"/>
      <c r="D98" s="380"/>
      <c r="E98" s="154"/>
      <c r="F98" s="154"/>
      <c r="G98" s="376"/>
      <c r="H98" s="390"/>
      <c r="I98" s="390"/>
      <c r="J98" s="390"/>
      <c r="K98" s="390"/>
      <c r="L98" s="154"/>
      <c r="M98" s="154"/>
      <c r="N98" s="154"/>
      <c r="O98" s="154"/>
      <c r="P98" s="154"/>
      <c r="Q98" s="154"/>
      <c r="R98" s="154"/>
      <c r="S98" s="154"/>
      <c r="T98" s="154"/>
      <c r="U98" s="154"/>
      <c r="V98" s="154"/>
      <c r="W98" s="154"/>
      <c r="X98" s="154"/>
      <c r="Y98" s="154"/>
      <c r="Z98" s="154"/>
      <c r="AA98" s="154"/>
      <c r="AB98" s="154"/>
      <c r="AC98" s="154"/>
      <c r="AD98" s="154"/>
      <c r="AE98" s="154"/>
      <c r="AF98" s="367"/>
      <c r="AG98" s="368"/>
      <c r="AH98" s="368"/>
      <c r="AI98" s="368"/>
      <c r="AJ98" s="154"/>
      <c r="AK98" s="154"/>
      <c r="AL98" s="154"/>
      <c r="AM98" s="154"/>
      <c r="AN98" s="154"/>
      <c r="AO98" s="154"/>
      <c r="AP98" s="154"/>
      <c r="AQ98" s="154"/>
      <c r="AR98" s="154"/>
      <c r="AS98" s="154"/>
      <c r="AT98" s="154"/>
      <c r="AU98" s="154"/>
      <c r="AV98" s="154"/>
      <c r="AW98" s="154"/>
      <c r="AX98" s="154"/>
      <c r="AY98" s="154"/>
      <c r="AZ98" s="154"/>
      <c r="BA98" s="154"/>
      <c r="BB98" s="154"/>
      <c r="BC98" s="154"/>
      <c r="BD98" s="154"/>
      <c r="BE98" s="154"/>
      <c r="BF98" s="154"/>
      <c r="BG98" s="154"/>
      <c r="BH98" s="154"/>
      <c r="BI98" s="154"/>
      <c r="BJ98" s="154"/>
      <c r="BK98" s="154"/>
      <c r="BL98" s="154"/>
      <c r="BM98" s="154"/>
      <c r="BN98" s="154"/>
      <c r="BO98" s="154"/>
      <c r="BP98" s="154"/>
      <c r="BQ98" s="154"/>
      <c r="BR98" s="154"/>
      <c r="BS98" s="154"/>
      <c r="BT98" s="154"/>
      <c r="BU98" s="154"/>
      <c r="BV98" s="154"/>
      <c r="BW98" s="154"/>
      <c r="BX98" s="154"/>
      <c r="BY98" s="154"/>
      <c r="BZ98" s="154"/>
      <c r="CA98" s="154"/>
      <c r="CB98" s="154"/>
      <c r="CC98" s="154"/>
      <c r="CD98" s="154"/>
      <c r="CE98" s="154"/>
      <c r="CF98" s="154"/>
      <c r="CG98" s="154"/>
      <c r="CH98" s="154"/>
      <c r="CI98" s="154"/>
      <c r="CJ98" s="154"/>
      <c r="CK98" s="154"/>
      <c r="CL98" s="154"/>
      <c r="CM98" s="154"/>
      <c r="CN98" s="154"/>
      <c r="CO98" s="154"/>
      <c r="CP98" s="154"/>
      <c r="CQ98" s="154"/>
      <c r="CR98" s="154"/>
      <c r="CS98" s="154"/>
      <c r="CT98" s="154"/>
      <c r="CU98" s="154"/>
      <c r="CV98" s="154"/>
      <c r="CW98" s="154"/>
      <c r="CX98" s="154"/>
      <c r="CY98" s="154"/>
      <c r="CZ98" s="154"/>
      <c r="DA98" s="154"/>
      <c r="DB98" s="154"/>
      <c r="DC98" s="154"/>
      <c r="DD98" s="154"/>
      <c r="DE98" s="154"/>
      <c r="DF98" s="154"/>
      <c r="DG98" s="154"/>
      <c r="DH98" s="154"/>
      <c r="DI98" s="154"/>
      <c r="DJ98" s="154"/>
      <c r="DK98" s="154"/>
      <c r="DL98" s="154"/>
      <c r="DM98" s="154"/>
      <c r="DN98" s="154"/>
      <c r="DO98" s="154"/>
      <c r="DP98" s="154"/>
      <c r="DQ98" s="154"/>
      <c r="DR98" s="154"/>
      <c r="DS98" s="154"/>
      <c r="DT98" s="154"/>
      <c r="DU98" s="154"/>
      <c r="DV98" s="154"/>
      <c r="DW98" s="154"/>
      <c r="DX98" s="154"/>
      <c r="DY98" s="154"/>
      <c r="DZ98" s="154"/>
      <c r="EA98" s="154"/>
      <c r="EB98" s="154"/>
      <c r="EC98" s="154"/>
      <c r="ED98" s="154"/>
      <c r="EE98" s="154"/>
      <c r="EF98" s="154"/>
      <c r="EG98" s="154"/>
      <c r="EH98" s="154"/>
      <c r="EI98" s="154"/>
      <c r="EJ98" s="154"/>
      <c r="EK98" s="154"/>
      <c r="EL98" s="154"/>
      <c r="EM98" s="154"/>
      <c r="EN98" s="154"/>
      <c r="EO98" s="154"/>
      <c r="EP98" s="154"/>
      <c r="EQ98" s="154"/>
      <c r="ER98" s="154"/>
      <c r="ES98" s="154"/>
      <c r="ET98" s="154"/>
      <c r="EU98" s="154"/>
      <c r="EV98" s="154"/>
      <c r="EW98" s="154"/>
    </row>
    <row r="99" spans="2:153" ht="12.95" customHeight="1">
      <c r="B99" s="154"/>
      <c r="C99" s="380"/>
      <c r="D99" s="380"/>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367"/>
      <c r="AG99" s="368"/>
      <c r="AH99" s="368"/>
      <c r="AI99" s="368"/>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BH99" s="154"/>
      <c r="BI99" s="154"/>
      <c r="BJ99" s="154"/>
      <c r="BK99" s="154"/>
      <c r="BL99" s="154"/>
      <c r="BM99" s="154"/>
      <c r="BN99" s="154"/>
      <c r="BO99" s="154"/>
      <c r="BP99" s="154"/>
      <c r="BQ99" s="154"/>
      <c r="BR99" s="154"/>
      <c r="BS99" s="154"/>
      <c r="BT99" s="154"/>
      <c r="BU99" s="154"/>
      <c r="BV99" s="154"/>
      <c r="BW99" s="154"/>
      <c r="BX99" s="154"/>
      <c r="BY99" s="154"/>
      <c r="BZ99" s="154"/>
      <c r="CA99" s="154"/>
      <c r="CB99" s="154"/>
      <c r="CC99" s="154"/>
      <c r="CD99" s="154"/>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154"/>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154"/>
      <c r="EN99" s="154"/>
      <c r="EO99" s="154"/>
      <c r="EP99" s="154"/>
      <c r="EQ99" s="154"/>
      <c r="ER99" s="154"/>
      <c r="ES99" s="154"/>
      <c r="ET99" s="154"/>
      <c r="EU99" s="154"/>
      <c r="EV99" s="154"/>
      <c r="EW99" s="154"/>
    </row>
    <row r="100" spans="2:153" ht="12.95" customHeight="1">
      <c r="B100" s="154"/>
      <c r="C100" s="380"/>
      <c r="D100" s="380"/>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367"/>
      <c r="AG100" s="368"/>
      <c r="AH100" s="368"/>
      <c r="AI100" s="368"/>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H100" s="154"/>
      <c r="BI100" s="154"/>
      <c r="BJ100" s="154"/>
      <c r="BK100" s="154"/>
      <c r="BL100" s="154"/>
      <c r="BM100" s="154"/>
      <c r="BN100" s="154"/>
      <c r="BO100" s="154"/>
      <c r="BP100" s="154"/>
      <c r="BQ100" s="154"/>
      <c r="BR100" s="154"/>
      <c r="BS100" s="154"/>
      <c r="BT100" s="154"/>
      <c r="BU100" s="154"/>
      <c r="BV100" s="154"/>
      <c r="BW100" s="154"/>
      <c r="BX100" s="154"/>
      <c r="BY100" s="154"/>
      <c r="BZ100" s="154"/>
      <c r="CA100" s="154"/>
      <c r="CB100" s="154"/>
      <c r="CC100" s="154"/>
      <c r="CD100" s="154"/>
      <c r="CE100" s="154"/>
      <c r="CF100" s="154"/>
      <c r="CG100" s="154"/>
      <c r="CH100" s="154"/>
      <c r="CI100" s="154"/>
      <c r="CJ100" s="154"/>
      <c r="CK100" s="154"/>
      <c r="CL100" s="154"/>
      <c r="CM100" s="154"/>
      <c r="CN100" s="154"/>
      <c r="CO100" s="154"/>
      <c r="CP100" s="154"/>
      <c r="CQ100" s="154"/>
      <c r="CR100" s="154"/>
      <c r="CS100" s="154"/>
      <c r="CT100" s="154"/>
      <c r="CU100" s="154"/>
      <c r="CV100" s="154"/>
      <c r="CW100" s="154"/>
      <c r="CX100" s="154"/>
      <c r="CY100" s="154"/>
      <c r="CZ100" s="154"/>
      <c r="DA100" s="154"/>
      <c r="DB100" s="154"/>
      <c r="DC100" s="154"/>
      <c r="DD100" s="154"/>
      <c r="DE100" s="154"/>
      <c r="DF100" s="154"/>
      <c r="DG100" s="154"/>
      <c r="DH100" s="154"/>
      <c r="DI100" s="154"/>
      <c r="DJ100" s="154"/>
      <c r="DK100" s="154"/>
      <c r="DL100" s="154"/>
      <c r="DM100" s="154"/>
      <c r="DN100" s="154"/>
      <c r="DO100" s="154"/>
      <c r="DP100" s="154"/>
      <c r="DQ100" s="154"/>
      <c r="DR100" s="154"/>
      <c r="DS100" s="154"/>
      <c r="DT100" s="154"/>
      <c r="DU100" s="154"/>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row>
    <row r="101" spans="2:153" ht="12.95" customHeight="1">
      <c r="B101" s="154"/>
      <c r="C101" s="380"/>
      <c r="D101" s="380"/>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367"/>
      <c r="AG101" s="368"/>
      <c r="AH101" s="368"/>
      <c r="AI101" s="368"/>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H101" s="154"/>
      <c r="BI101" s="154"/>
      <c r="BJ101" s="154"/>
      <c r="BK101" s="154"/>
      <c r="BL101" s="154"/>
      <c r="BM101" s="154"/>
      <c r="BN101" s="154"/>
      <c r="BO101" s="154"/>
      <c r="BP101" s="154"/>
      <c r="BQ101" s="154"/>
      <c r="BR101" s="154"/>
      <c r="BS101" s="154"/>
      <c r="BT101" s="154"/>
      <c r="BU101" s="154"/>
      <c r="BV101" s="154"/>
      <c r="BW101" s="154"/>
      <c r="BX101" s="154"/>
      <c r="BY101" s="154"/>
      <c r="BZ101" s="154"/>
      <c r="CA101" s="154"/>
      <c r="CB101" s="154"/>
      <c r="CC101" s="154"/>
      <c r="CD101" s="154"/>
      <c r="CE101" s="154"/>
      <c r="CF101" s="154"/>
      <c r="CG101" s="154"/>
      <c r="CH101" s="154"/>
      <c r="CI101" s="154"/>
      <c r="CJ101" s="154"/>
      <c r="CK101" s="154"/>
      <c r="CL101" s="154"/>
      <c r="CM101" s="154"/>
      <c r="CN101" s="154"/>
      <c r="CO101" s="154"/>
      <c r="CP101" s="154"/>
      <c r="CQ101" s="154"/>
      <c r="CR101" s="154"/>
      <c r="CS101" s="154"/>
      <c r="CT101" s="154"/>
      <c r="CU101" s="154"/>
      <c r="CV101" s="154"/>
      <c r="CW101" s="154"/>
      <c r="CX101" s="154"/>
      <c r="CY101" s="154"/>
      <c r="CZ101" s="154"/>
      <c r="DA101" s="154"/>
      <c r="DB101" s="154"/>
      <c r="DC101" s="154"/>
      <c r="DD101" s="154"/>
      <c r="DE101" s="154"/>
      <c r="DF101" s="154"/>
      <c r="DG101" s="154"/>
      <c r="DH101" s="154"/>
      <c r="DI101" s="154"/>
      <c r="DJ101" s="154"/>
      <c r="DK101" s="154"/>
      <c r="DL101" s="154"/>
      <c r="DM101" s="154"/>
      <c r="DN101" s="154"/>
      <c r="DO101" s="154"/>
      <c r="DP101" s="154"/>
      <c r="DQ101" s="154"/>
      <c r="DR101" s="154"/>
      <c r="DS101" s="154"/>
      <c r="DT101" s="154"/>
      <c r="DU101" s="154"/>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row>
    <row r="102" spans="2:153" ht="12.95" customHeight="1">
      <c r="B102" s="154"/>
      <c r="C102" s="380"/>
      <c r="D102" s="380"/>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367"/>
      <c r="AG102" s="368"/>
      <c r="AH102" s="368"/>
      <c r="AI102" s="368"/>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c r="BF102" s="154"/>
      <c r="BG102" s="154"/>
      <c r="BH102" s="154"/>
      <c r="BI102" s="154"/>
      <c r="BJ102" s="154"/>
      <c r="BK102" s="154"/>
      <c r="BL102" s="154"/>
      <c r="BM102" s="154"/>
      <c r="BN102" s="154"/>
      <c r="BO102" s="154"/>
      <c r="BP102" s="154"/>
      <c r="BQ102" s="154"/>
      <c r="BR102" s="154"/>
      <c r="BS102" s="154"/>
      <c r="BT102" s="154"/>
      <c r="BU102" s="154"/>
      <c r="BV102" s="154"/>
      <c r="BW102" s="154"/>
      <c r="BX102" s="154"/>
      <c r="BY102" s="154"/>
      <c r="BZ102" s="154"/>
      <c r="CA102" s="154"/>
      <c r="CB102" s="154"/>
      <c r="CC102" s="154"/>
      <c r="CD102" s="154"/>
      <c r="CE102" s="154"/>
      <c r="CF102" s="154"/>
      <c r="CG102" s="154"/>
      <c r="CH102" s="154"/>
      <c r="CI102" s="154"/>
      <c r="CJ102" s="154"/>
      <c r="CK102" s="154"/>
      <c r="CL102" s="154"/>
      <c r="CM102" s="154"/>
      <c r="CN102" s="154"/>
      <c r="CO102" s="154"/>
      <c r="CP102" s="154"/>
      <c r="CQ102" s="154"/>
      <c r="CR102" s="154"/>
      <c r="CS102" s="154"/>
      <c r="CT102" s="154"/>
      <c r="CU102" s="154"/>
      <c r="CV102" s="154"/>
      <c r="CW102" s="154"/>
      <c r="CX102" s="154"/>
      <c r="CY102" s="154"/>
      <c r="CZ102" s="154"/>
      <c r="DA102" s="154"/>
      <c r="DB102" s="154"/>
      <c r="DC102" s="154"/>
      <c r="DD102" s="154"/>
      <c r="DE102" s="154"/>
      <c r="DF102" s="154"/>
      <c r="DG102" s="154"/>
      <c r="DH102" s="154"/>
      <c r="DI102" s="154"/>
      <c r="DJ102" s="154"/>
      <c r="DK102" s="154"/>
      <c r="DL102" s="154"/>
      <c r="DM102" s="154"/>
      <c r="DN102" s="154"/>
      <c r="DO102" s="154"/>
      <c r="DP102" s="154"/>
      <c r="DQ102" s="154"/>
      <c r="DR102" s="154"/>
      <c r="DS102" s="154"/>
      <c r="DT102" s="154"/>
      <c r="DU102" s="154"/>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row>
    <row r="103" spans="2:153" ht="12.95" customHeight="1">
      <c r="B103" s="154"/>
      <c r="C103" s="380"/>
      <c r="D103" s="380"/>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367"/>
      <c r="AG103" s="368"/>
      <c r="AH103" s="368"/>
      <c r="AI103" s="368"/>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c r="BH103" s="154"/>
      <c r="BI103" s="154"/>
      <c r="BJ103" s="154"/>
      <c r="BK103" s="154"/>
      <c r="BL103" s="154"/>
      <c r="BM103" s="154"/>
      <c r="BN103" s="154"/>
      <c r="BO103" s="154"/>
      <c r="BP103" s="154"/>
      <c r="BQ103" s="154"/>
      <c r="BR103" s="154"/>
      <c r="BS103" s="154"/>
      <c r="BT103" s="154"/>
      <c r="BU103" s="154"/>
      <c r="BV103" s="154"/>
      <c r="BW103" s="154"/>
      <c r="BX103" s="154"/>
      <c r="BY103" s="154"/>
      <c r="BZ103" s="154"/>
      <c r="CA103" s="154"/>
      <c r="CB103" s="154"/>
      <c r="CC103" s="154"/>
      <c r="CD103" s="154"/>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154"/>
      <c r="DI103" s="154"/>
      <c r="DJ103" s="154"/>
      <c r="DK103" s="154"/>
      <c r="DL103" s="154"/>
      <c r="DM103" s="154"/>
      <c r="DN103" s="154"/>
      <c r="DO103" s="154"/>
      <c r="DP103" s="154"/>
      <c r="DQ103" s="154"/>
      <c r="DR103" s="154"/>
      <c r="DS103" s="154"/>
      <c r="DT103" s="154"/>
      <c r="DU103" s="154"/>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row>
    <row r="104" spans="2:153" ht="12.95" customHeight="1">
      <c r="B104" s="154"/>
      <c r="C104" s="380"/>
      <c r="D104" s="380"/>
      <c r="E104" s="154"/>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367"/>
      <c r="AG104" s="368"/>
      <c r="AH104" s="368"/>
      <c r="AI104" s="368"/>
      <c r="AJ104" s="154"/>
      <c r="AK104" s="154"/>
      <c r="AL104" s="154"/>
      <c r="AM104" s="154"/>
      <c r="AN104" s="154"/>
      <c r="AO104" s="154"/>
      <c r="AP104" s="154"/>
      <c r="AQ104" s="154"/>
      <c r="AR104" s="154"/>
      <c r="AS104" s="154"/>
      <c r="AT104" s="154"/>
      <c r="AU104" s="154"/>
      <c r="AV104" s="154"/>
      <c r="AW104" s="154"/>
      <c r="AX104" s="154"/>
      <c r="AY104" s="154"/>
      <c r="AZ104" s="154"/>
      <c r="BA104" s="154"/>
      <c r="BB104" s="154"/>
      <c r="BC104" s="154"/>
      <c r="BD104" s="154"/>
      <c r="BE104" s="154"/>
      <c r="BF104" s="154"/>
      <c r="BG104" s="154"/>
      <c r="BH104" s="154"/>
      <c r="BI104" s="154"/>
      <c r="BJ104" s="154"/>
      <c r="BK104" s="154"/>
      <c r="BL104" s="154"/>
      <c r="BM104" s="154"/>
      <c r="BN104" s="154"/>
      <c r="BO104" s="154"/>
      <c r="BP104" s="154"/>
      <c r="BQ104" s="154"/>
      <c r="BR104" s="154"/>
      <c r="BS104" s="154"/>
      <c r="BT104" s="154"/>
      <c r="BU104" s="154"/>
      <c r="BV104" s="154"/>
      <c r="BW104" s="154"/>
      <c r="BX104" s="154"/>
      <c r="BY104" s="154"/>
      <c r="BZ104" s="154"/>
      <c r="CA104" s="154"/>
      <c r="CB104" s="154"/>
      <c r="CC104" s="154"/>
      <c r="CD104" s="154"/>
      <c r="CE104" s="154"/>
      <c r="CF104" s="154"/>
      <c r="CG104" s="154"/>
      <c r="CH104" s="154"/>
      <c r="CI104" s="154"/>
      <c r="CJ104" s="154"/>
      <c r="CK104" s="154"/>
      <c r="CL104" s="154"/>
      <c r="CM104" s="154"/>
      <c r="CN104" s="154"/>
      <c r="CO104" s="154"/>
      <c r="CP104" s="154"/>
      <c r="CQ104" s="154"/>
      <c r="CR104" s="154"/>
      <c r="CS104" s="154"/>
      <c r="CT104" s="154"/>
      <c r="CU104" s="154"/>
      <c r="CV104" s="154"/>
      <c r="CW104" s="154"/>
      <c r="CX104" s="154"/>
      <c r="CY104" s="154"/>
      <c r="CZ104" s="154"/>
      <c r="DA104" s="154"/>
      <c r="DB104" s="154"/>
      <c r="DC104" s="154"/>
      <c r="DD104" s="154"/>
      <c r="DE104" s="154"/>
      <c r="DF104" s="154"/>
      <c r="DG104" s="154"/>
      <c r="DH104" s="154"/>
      <c r="DI104" s="154"/>
      <c r="DJ104" s="154"/>
      <c r="DK104" s="154"/>
      <c r="DL104" s="154"/>
      <c r="DM104" s="154"/>
      <c r="DN104" s="154"/>
      <c r="DO104" s="154"/>
      <c r="DP104" s="154"/>
      <c r="DQ104" s="154"/>
      <c r="DR104" s="154"/>
      <c r="DS104" s="154"/>
      <c r="DT104" s="154"/>
      <c r="DU104" s="154"/>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row>
    <row r="105" spans="2:153" ht="12.95" customHeight="1">
      <c r="B105" s="154"/>
      <c r="C105" s="380"/>
      <c r="D105" s="380"/>
      <c r="E105" s="154"/>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367"/>
      <c r="AG105" s="368"/>
      <c r="AH105" s="368"/>
      <c r="AI105" s="368"/>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BH105" s="154"/>
      <c r="BI105" s="154"/>
      <c r="BJ105" s="154"/>
      <c r="BK105" s="154"/>
      <c r="BL105" s="154"/>
      <c r="BM105" s="154"/>
      <c r="BN105" s="154"/>
      <c r="BO105" s="154"/>
      <c r="BP105" s="154"/>
      <c r="BQ105" s="154"/>
      <c r="BR105" s="154"/>
      <c r="BS105" s="154"/>
      <c r="BT105" s="154"/>
      <c r="BU105" s="154"/>
      <c r="BV105" s="154"/>
      <c r="BW105" s="154"/>
      <c r="BX105" s="154"/>
      <c r="BY105" s="154"/>
      <c r="BZ105" s="154"/>
      <c r="CA105" s="154"/>
      <c r="CB105" s="154"/>
      <c r="CC105" s="154"/>
      <c r="CD105" s="154"/>
      <c r="CE105" s="154"/>
      <c r="CF105" s="154"/>
      <c r="CG105" s="154"/>
      <c r="CH105" s="154"/>
      <c r="CI105" s="154"/>
      <c r="CJ105" s="154"/>
      <c r="CK105" s="154"/>
      <c r="CL105" s="154"/>
      <c r="CM105" s="154"/>
      <c r="CN105" s="154"/>
      <c r="CO105" s="154"/>
      <c r="CP105" s="154"/>
      <c r="CQ105" s="154"/>
      <c r="CR105" s="154"/>
      <c r="CS105" s="154"/>
      <c r="CT105" s="154"/>
      <c r="CU105" s="154"/>
      <c r="CV105" s="154"/>
      <c r="CW105" s="154"/>
      <c r="CX105" s="154"/>
      <c r="CY105" s="154"/>
      <c r="CZ105" s="154"/>
      <c r="DA105" s="154"/>
      <c r="DB105" s="154"/>
      <c r="DC105" s="154"/>
      <c r="DD105" s="154"/>
      <c r="DE105" s="154"/>
      <c r="DF105" s="154"/>
      <c r="DG105" s="154"/>
      <c r="DH105" s="154"/>
      <c r="DI105" s="154"/>
      <c r="DJ105" s="154"/>
      <c r="DK105" s="154"/>
      <c r="DL105" s="154"/>
      <c r="DM105" s="154"/>
      <c r="DN105" s="154"/>
      <c r="DO105" s="154"/>
      <c r="DP105" s="154"/>
      <c r="DQ105" s="154"/>
      <c r="DR105" s="154"/>
      <c r="DS105" s="154"/>
      <c r="DT105" s="154"/>
      <c r="DU105" s="154"/>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row>
    <row r="106" spans="2:153" ht="12.95" customHeight="1">
      <c r="B106" s="154"/>
      <c r="C106" s="380"/>
      <c r="D106" s="380"/>
      <c r="E106" s="154"/>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367"/>
      <c r="AG106" s="368"/>
      <c r="AH106" s="368"/>
      <c r="AI106" s="368"/>
      <c r="AJ106" s="154"/>
      <c r="AK106" s="154"/>
      <c r="AL106" s="154"/>
      <c r="AM106" s="154"/>
      <c r="AN106" s="154"/>
      <c r="AO106" s="154"/>
      <c r="AP106" s="154"/>
      <c r="AQ106" s="154"/>
      <c r="AR106" s="154"/>
      <c r="AS106" s="154"/>
      <c r="AT106" s="154"/>
      <c r="AU106" s="154"/>
      <c r="AV106" s="154"/>
      <c r="AW106" s="154"/>
      <c r="AX106" s="154"/>
      <c r="AY106" s="154"/>
      <c r="AZ106" s="154"/>
      <c r="BA106" s="154"/>
      <c r="BB106" s="154"/>
      <c r="BC106" s="154"/>
      <c r="BD106" s="154"/>
      <c r="BE106" s="154"/>
      <c r="BF106" s="154"/>
      <c r="BG106" s="154"/>
      <c r="BH106" s="154"/>
      <c r="BI106" s="154"/>
      <c r="BJ106" s="154"/>
      <c r="BK106" s="154"/>
      <c r="BL106" s="154"/>
      <c r="BM106" s="154"/>
      <c r="BN106" s="154"/>
      <c r="BO106" s="154"/>
      <c r="BP106" s="154"/>
      <c r="BQ106" s="154"/>
      <c r="BR106" s="154"/>
      <c r="BS106" s="154"/>
      <c r="BT106" s="154"/>
      <c r="BU106" s="154"/>
      <c r="BV106" s="154"/>
      <c r="BW106" s="154"/>
      <c r="BX106" s="154"/>
      <c r="BY106" s="154"/>
      <c r="BZ106" s="154"/>
      <c r="CA106" s="154"/>
      <c r="CB106" s="154"/>
      <c r="CC106" s="154"/>
      <c r="CD106" s="154"/>
      <c r="CE106" s="154"/>
      <c r="CF106" s="154"/>
      <c r="CG106" s="154"/>
      <c r="CH106" s="154"/>
      <c r="CI106" s="154"/>
      <c r="CJ106" s="154"/>
      <c r="CK106" s="154"/>
      <c r="CL106" s="154"/>
      <c r="CM106" s="154"/>
      <c r="CN106" s="154"/>
      <c r="CO106" s="154"/>
      <c r="CP106" s="154"/>
      <c r="CQ106" s="154"/>
      <c r="CR106" s="154"/>
      <c r="CS106" s="154"/>
      <c r="CT106" s="154"/>
      <c r="CU106" s="154"/>
      <c r="CV106" s="154"/>
      <c r="CW106" s="154"/>
      <c r="CX106" s="154"/>
      <c r="CY106" s="154"/>
      <c r="CZ106" s="154"/>
      <c r="DA106" s="154"/>
      <c r="DB106" s="154"/>
      <c r="DC106" s="154"/>
      <c r="DD106" s="154"/>
      <c r="DE106" s="154"/>
      <c r="DF106" s="154"/>
      <c r="DG106" s="154"/>
      <c r="DH106" s="154"/>
      <c r="DI106" s="154"/>
      <c r="DJ106" s="154"/>
      <c r="DK106" s="154"/>
      <c r="DL106" s="154"/>
      <c r="DM106" s="154"/>
      <c r="DN106" s="154"/>
      <c r="DO106" s="154"/>
      <c r="DP106" s="154"/>
      <c r="DQ106" s="154"/>
      <c r="DR106" s="154"/>
      <c r="DS106" s="154"/>
      <c r="DT106" s="154"/>
      <c r="DU106" s="154"/>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row>
    <row r="107" spans="2:153" ht="12.95" customHeight="1">
      <c r="B107" s="154"/>
      <c r="C107" s="380"/>
      <c r="D107" s="380"/>
      <c r="E107" s="154"/>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367"/>
      <c r="AG107" s="368"/>
      <c r="AH107" s="368"/>
      <c r="AI107" s="368"/>
      <c r="AJ107" s="154"/>
      <c r="AK107" s="154"/>
      <c r="AL107" s="154"/>
      <c r="AM107" s="154"/>
      <c r="AN107" s="154"/>
      <c r="AO107" s="154"/>
      <c r="AP107" s="154"/>
      <c r="AQ107" s="154"/>
      <c r="AR107" s="154"/>
      <c r="AS107" s="154"/>
      <c r="AT107" s="154"/>
      <c r="AU107" s="154"/>
      <c r="AV107" s="154"/>
      <c r="AW107" s="154"/>
      <c r="AX107" s="154"/>
      <c r="AY107" s="154"/>
      <c r="AZ107" s="154"/>
      <c r="BA107" s="154"/>
      <c r="BB107" s="154"/>
      <c r="BC107" s="154"/>
      <c r="BD107" s="154"/>
      <c r="BE107" s="154"/>
      <c r="BF107" s="154"/>
      <c r="BG107" s="154"/>
      <c r="BH107" s="154"/>
      <c r="BI107" s="154"/>
      <c r="BJ107" s="154"/>
      <c r="BK107" s="154"/>
      <c r="BL107" s="154"/>
      <c r="BM107" s="154"/>
      <c r="BN107" s="154"/>
      <c r="BO107" s="154"/>
      <c r="BP107" s="154"/>
      <c r="BQ107" s="154"/>
      <c r="BR107" s="154"/>
      <c r="BS107" s="154"/>
      <c r="BT107" s="154"/>
      <c r="BU107" s="154"/>
      <c r="BV107" s="154"/>
      <c r="BW107" s="154"/>
      <c r="BX107" s="154"/>
      <c r="BY107" s="154"/>
      <c r="BZ107" s="154"/>
      <c r="CA107" s="154"/>
      <c r="CB107" s="154"/>
      <c r="CC107" s="154"/>
      <c r="CD107" s="154"/>
      <c r="CE107" s="154"/>
      <c r="CF107" s="154"/>
      <c r="CG107" s="154"/>
      <c r="CH107" s="154"/>
      <c r="CI107" s="154"/>
      <c r="CJ107" s="154"/>
      <c r="CK107" s="154"/>
      <c r="CL107" s="154"/>
      <c r="CM107" s="154"/>
      <c r="CN107" s="154"/>
      <c r="CO107" s="154"/>
      <c r="CP107" s="154"/>
      <c r="CQ107" s="154"/>
      <c r="CR107" s="154"/>
      <c r="CS107" s="154"/>
      <c r="CT107" s="154"/>
      <c r="CU107" s="154"/>
      <c r="CV107" s="154"/>
      <c r="CW107" s="154"/>
      <c r="CX107" s="154"/>
      <c r="CY107" s="154"/>
      <c r="CZ107" s="154"/>
      <c r="DA107" s="154"/>
      <c r="DB107" s="154"/>
      <c r="DC107" s="154"/>
      <c r="DD107" s="154"/>
      <c r="DE107" s="154"/>
      <c r="DF107" s="154"/>
      <c r="DG107" s="154"/>
      <c r="DH107" s="154"/>
      <c r="DI107" s="154"/>
      <c r="DJ107" s="154"/>
      <c r="DK107" s="154"/>
      <c r="DL107" s="154"/>
      <c r="DM107" s="154"/>
      <c r="DN107" s="154"/>
      <c r="DO107" s="154"/>
      <c r="DP107" s="154"/>
      <c r="DQ107" s="154"/>
      <c r="DR107" s="154"/>
      <c r="DS107" s="154"/>
      <c r="DT107" s="154"/>
      <c r="DU107" s="154"/>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row>
    <row r="108" spans="2:153" ht="12.95" customHeight="1">
      <c r="B108" s="154"/>
      <c r="C108" s="380"/>
      <c r="D108" s="380"/>
      <c r="E108" s="154"/>
      <c r="F108" s="154"/>
      <c r="G108" s="154"/>
      <c r="H108" s="154"/>
      <c r="I108" s="154"/>
      <c r="J108" s="154"/>
      <c r="K108" s="154"/>
      <c r="L108" s="154"/>
      <c r="M108" s="154"/>
      <c r="N108" s="154"/>
      <c r="O108" s="154"/>
      <c r="P108" s="154"/>
      <c r="Q108" s="154"/>
      <c r="R108" s="154"/>
      <c r="S108" s="154"/>
      <c r="T108" s="154"/>
      <c r="U108" s="154"/>
      <c r="V108" s="154"/>
      <c r="W108" s="154"/>
      <c r="X108" s="154"/>
      <c r="Y108" s="154"/>
      <c r="Z108" s="154"/>
      <c r="AA108" s="154"/>
      <c r="AB108" s="154"/>
      <c r="AC108" s="154"/>
      <c r="AD108" s="154"/>
      <c r="AE108" s="154"/>
      <c r="AF108" s="367"/>
      <c r="AG108" s="368"/>
      <c r="AH108" s="368"/>
      <c r="AI108" s="368"/>
      <c r="AJ108" s="154"/>
      <c r="AK108" s="154"/>
      <c r="AL108" s="154"/>
      <c r="AM108" s="154"/>
      <c r="AN108" s="154"/>
      <c r="AO108" s="154"/>
      <c r="AP108" s="154"/>
      <c r="AQ108" s="154"/>
      <c r="AR108" s="154"/>
      <c r="AS108" s="154"/>
      <c r="AT108" s="154"/>
      <c r="AU108" s="154"/>
      <c r="AV108" s="154"/>
      <c r="AW108" s="154"/>
      <c r="AX108" s="154"/>
      <c r="AY108" s="154"/>
      <c r="AZ108" s="154"/>
      <c r="BA108" s="154"/>
      <c r="BB108" s="154"/>
      <c r="BC108" s="154"/>
      <c r="BD108" s="154"/>
      <c r="BE108" s="154"/>
      <c r="BF108" s="154"/>
      <c r="BG108" s="154"/>
      <c r="BH108" s="154"/>
      <c r="BI108" s="154"/>
      <c r="BJ108" s="154"/>
      <c r="BK108" s="154"/>
      <c r="BL108" s="154"/>
      <c r="BM108" s="154"/>
      <c r="BN108" s="154"/>
      <c r="BO108" s="154"/>
      <c r="BP108" s="154"/>
      <c r="BQ108" s="154"/>
      <c r="BR108" s="154"/>
      <c r="BS108" s="154"/>
      <c r="BT108" s="154"/>
      <c r="BU108" s="154"/>
      <c r="BV108" s="154"/>
      <c r="BW108" s="154"/>
      <c r="BX108" s="154"/>
      <c r="BY108" s="154"/>
      <c r="BZ108" s="154"/>
      <c r="CA108" s="154"/>
      <c r="CB108" s="154"/>
      <c r="CC108" s="154"/>
      <c r="CD108" s="154"/>
      <c r="CE108" s="154"/>
      <c r="CF108" s="154"/>
      <c r="CG108" s="154"/>
      <c r="CH108" s="154"/>
      <c r="CI108" s="154"/>
      <c r="CJ108" s="154"/>
      <c r="CK108" s="154"/>
      <c r="CL108" s="154"/>
      <c r="CM108" s="154"/>
      <c r="CN108" s="154"/>
      <c r="CO108" s="154"/>
      <c r="CP108" s="154"/>
      <c r="CQ108" s="154"/>
      <c r="CR108" s="154"/>
      <c r="CS108" s="154"/>
      <c r="CT108" s="154"/>
      <c r="CU108" s="154"/>
      <c r="CV108" s="154"/>
      <c r="CW108" s="154"/>
      <c r="CX108" s="154"/>
      <c r="CY108" s="154"/>
      <c r="CZ108" s="154"/>
      <c r="DA108" s="154"/>
      <c r="DB108" s="154"/>
      <c r="DC108" s="154"/>
      <c r="DD108" s="154"/>
      <c r="DE108" s="154"/>
      <c r="DF108" s="154"/>
      <c r="DG108" s="154"/>
      <c r="DH108" s="154"/>
      <c r="DI108" s="154"/>
      <c r="DJ108" s="154"/>
      <c r="DK108" s="154"/>
      <c r="DL108" s="154"/>
      <c r="DM108" s="154"/>
      <c r="DN108" s="154"/>
      <c r="DO108" s="154"/>
      <c r="DP108" s="154"/>
      <c r="DQ108" s="154"/>
      <c r="DR108" s="154"/>
      <c r="DS108" s="154"/>
      <c r="DT108" s="154"/>
      <c r="DU108" s="154"/>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row>
    <row r="109" spans="2:153" ht="12.95" customHeight="1">
      <c r="B109" s="154"/>
      <c r="C109" s="380"/>
      <c r="D109" s="380"/>
      <c r="E109" s="154"/>
      <c r="F109" s="154"/>
      <c r="G109" s="154"/>
      <c r="H109" s="154"/>
      <c r="I109" s="154"/>
      <c r="J109" s="154"/>
      <c r="K109" s="154"/>
      <c r="L109" s="154"/>
      <c r="M109" s="154"/>
      <c r="N109" s="154"/>
      <c r="O109" s="154"/>
      <c r="P109" s="154"/>
      <c r="Q109" s="154"/>
      <c r="R109" s="154"/>
      <c r="S109" s="154"/>
      <c r="T109" s="154"/>
      <c r="U109" s="154"/>
      <c r="V109" s="154"/>
      <c r="W109" s="154"/>
      <c r="X109" s="154"/>
      <c r="Y109" s="154"/>
      <c r="Z109" s="154"/>
      <c r="AA109" s="154"/>
      <c r="AB109" s="154"/>
      <c r="AC109" s="154"/>
      <c r="AD109" s="154"/>
      <c r="AE109" s="154"/>
      <c r="AF109" s="367"/>
      <c r="AG109" s="368"/>
      <c r="AH109" s="368"/>
      <c r="AI109" s="368"/>
      <c r="AJ109" s="154"/>
      <c r="AK109" s="154"/>
      <c r="AL109" s="154"/>
      <c r="AM109" s="154"/>
      <c r="AN109" s="154"/>
      <c r="AO109" s="154"/>
      <c r="AP109" s="154"/>
      <c r="AQ109" s="154"/>
      <c r="AR109" s="154"/>
      <c r="AS109" s="154"/>
      <c r="AT109" s="154"/>
      <c r="AU109" s="154"/>
      <c r="AV109" s="154"/>
      <c r="AW109" s="154"/>
      <c r="AX109" s="154"/>
      <c r="AY109" s="154"/>
      <c r="AZ109" s="154"/>
      <c r="BA109" s="154"/>
      <c r="BB109" s="154"/>
      <c r="BC109" s="154"/>
      <c r="BD109" s="154"/>
      <c r="BE109" s="154"/>
      <c r="BF109" s="154"/>
      <c r="BG109" s="154"/>
      <c r="BH109" s="154"/>
      <c r="BI109" s="154"/>
      <c r="BJ109" s="154"/>
      <c r="BK109" s="154"/>
      <c r="BL109" s="154"/>
      <c r="BM109" s="154"/>
      <c r="BN109" s="154"/>
      <c r="BO109" s="154"/>
      <c r="BP109" s="154"/>
      <c r="BQ109" s="154"/>
      <c r="BR109" s="154"/>
      <c r="BS109" s="154"/>
      <c r="BT109" s="154"/>
      <c r="BU109" s="154"/>
      <c r="BV109" s="154"/>
      <c r="BW109" s="154"/>
      <c r="BX109" s="154"/>
      <c r="BY109" s="154"/>
      <c r="BZ109" s="154"/>
      <c r="CA109" s="154"/>
      <c r="CB109" s="154"/>
      <c r="CC109" s="154"/>
      <c r="CD109" s="154"/>
      <c r="CE109" s="154"/>
      <c r="CF109" s="154"/>
      <c r="CG109" s="154"/>
      <c r="CH109" s="154"/>
      <c r="CI109" s="154"/>
      <c r="CJ109" s="154"/>
      <c r="CK109" s="154"/>
      <c r="CL109" s="154"/>
      <c r="CM109" s="154"/>
      <c r="CN109" s="154"/>
      <c r="CO109" s="154"/>
      <c r="CP109" s="154"/>
      <c r="CQ109" s="154"/>
      <c r="CR109" s="154"/>
      <c r="CS109" s="154"/>
      <c r="CT109" s="154"/>
      <c r="CU109" s="154"/>
      <c r="CV109" s="154"/>
      <c r="CW109" s="154"/>
      <c r="CX109" s="154"/>
      <c r="CY109" s="154"/>
      <c r="CZ109" s="154"/>
      <c r="DA109" s="154"/>
      <c r="DB109" s="154"/>
      <c r="DC109" s="154"/>
      <c r="DD109" s="154"/>
      <c r="DE109" s="154"/>
      <c r="DF109" s="154"/>
      <c r="DG109" s="154"/>
      <c r="DH109" s="154"/>
      <c r="DI109" s="154"/>
      <c r="DJ109" s="154"/>
      <c r="DK109" s="154"/>
      <c r="DL109" s="154"/>
      <c r="DM109" s="154"/>
      <c r="DN109" s="154"/>
      <c r="DO109" s="154"/>
      <c r="DP109" s="154"/>
      <c r="DQ109" s="154"/>
      <c r="DR109" s="154"/>
      <c r="DS109" s="154"/>
      <c r="DT109" s="154"/>
      <c r="DU109" s="154"/>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row>
    <row r="110" spans="2:153" ht="12.95" customHeight="1">
      <c r="B110" s="154"/>
      <c r="C110" s="380"/>
      <c r="D110" s="380"/>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154"/>
      <c r="AC110" s="154"/>
      <c r="AD110" s="154"/>
      <c r="AE110" s="154"/>
      <c r="AF110" s="367"/>
      <c r="AG110" s="368"/>
      <c r="AH110" s="368"/>
      <c r="AI110" s="368"/>
      <c r="AJ110" s="154"/>
      <c r="AK110" s="154"/>
      <c r="AL110" s="154"/>
      <c r="AM110" s="154"/>
      <c r="AN110" s="154"/>
      <c r="AO110" s="154"/>
      <c r="AP110" s="154"/>
      <c r="AQ110" s="154"/>
      <c r="AR110" s="154"/>
      <c r="AS110" s="154"/>
      <c r="AT110" s="154"/>
      <c r="AU110" s="154"/>
      <c r="AV110" s="154"/>
      <c r="AW110" s="154"/>
      <c r="AX110" s="154"/>
      <c r="AY110" s="154"/>
      <c r="AZ110" s="154"/>
      <c r="BA110" s="154"/>
      <c r="BB110" s="154"/>
      <c r="BC110" s="154"/>
      <c r="BD110" s="154"/>
      <c r="BE110" s="154"/>
      <c r="BF110" s="154"/>
      <c r="BG110" s="154"/>
      <c r="BH110" s="154"/>
      <c r="BI110" s="154"/>
      <c r="BJ110" s="154"/>
      <c r="BK110" s="154"/>
      <c r="BL110" s="154"/>
      <c r="BM110" s="154"/>
      <c r="BN110" s="154"/>
      <c r="BO110" s="154"/>
      <c r="BP110" s="154"/>
      <c r="BQ110" s="154"/>
      <c r="BR110" s="154"/>
      <c r="BS110" s="154"/>
      <c r="BT110" s="154"/>
      <c r="BU110" s="154"/>
      <c r="BV110" s="154"/>
      <c r="BW110" s="154"/>
      <c r="BX110" s="154"/>
      <c r="BY110" s="154"/>
      <c r="BZ110" s="154"/>
      <c r="CA110" s="154"/>
      <c r="CB110" s="154"/>
      <c r="CC110" s="154"/>
      <c r="CD110" s="154"/>
      <c r="CE110" s="154"/>
      <c r="CF110" s="154"/>
      <c r="CG110" s="154"/>
      <c r="CH110" s="154"/>
      <c r="CI110" s="154"/>
      <c r="CJ110" s="154"/>
      <c r="CK110" s="154"/>
      <c r="CL110" s="154"/>
      <c r="CM110" s="154"/>
      <c r="CN110" s="154"/>
      <c r="CO110" s="154"/>
      <c r="CP110" s="154"/>
      <c r="CQ110" s="154"/>
      <c r="CR110" s="154"/>
      <c r="CS110" s="154"/>
      <c r="CT110" s="154"/>
      <c r="CU110" s="154"/>
      <c r="CV110" s="154"/>
      <c r="CW110" s="154"/>
      <c r="CX110" s="154"/>
      <c r="CY110" s="154"/>
      <c r="CZ110" s="154"/>
      <c r="DA110" s="154"/>
      <c r="DB110" s="154"/>
      <c r="DC110" s="154"/>
      <c r="DD110" s="154"/>
      <c r="DE110" s="154"/>
      <c r="DF110" s="154"/>
      <c r="DG110" s="154"/>
      <c r="DH110" s="154"/>
      <c r="DI110" s="154"/>
      <c r="DJ110" s="154"/>
      <c r="DK110" s="154"/>
      <c r="DL110" s="154"/>
      <c r="DM110" s="154"/>
      <c r="DN110" s="154"/>
      <c r="DO110" s="154"/>
      <c r="DP110" s="154"/>
      <c r="DQ110" s="154"/>
      <c r="DR110" s="154"/>
      <c r="DS110" s="154"/>
      <c r="DT110" s="154"/>
      <c r="DU110" s="154"/>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row>
    <row r="111" spans="2:153" ht="12.95" customHeight="1">
      <c r="B111" s="154"/>
      <c r="C111" s="380"/>
      <c r="D111" s="380"/>
      <c r="E111" s="154"/>
      <c r="F111" s="154"/>
      <c r="G111" s="154"/>
      <c r="H111" s="154"/>
      <c r="I111" s="154"/>
      <c r="J111" s="154"/>
      <c r="K111" s="154"/>
      <c r="L111" s="154"/>
      <c r="M111" s="154"/>
      <c r="N111" s="154"/>
      <c r="O111" s="154"/>
      <c r="P111" s="154"/>
      <c r="Q111" s="154"/>
      <c r="R111" s="154"/>
      <c r="S111" s="154"/>
      <c r="T111" s="154"/>
      <c r="U111" s="154"/>
      <c r="V111" s="154"/>
      <c r="W111" s="154"/>
      <c r="X111" s="154"/>
      <c r="Y111" s="154"/>
      <c r="Z111" s="154"/>
      <c r="AA111" s="154"/>
      <c r="AB111" s="154"/>
      <c r="AC111" s="154"/>
      <c r="AD111" s="154"/>
      <c r="AE111" s="154"/>
      <c r="AF111" s="367"/>
      <c r="AG111" s="368"/>
      <c r="AH111" s="368"/>
      <c r="AI111" s="368"/>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BH111" s="154"/>
      <c r="BI111" s="154"/>
      <c r="BJ111" s="154"/>
      <c r="BK111" s="154"/>
      <c r="BL111" s="154"/>
      <c r="BM111" s="154"/>
      <c r="BN111" s="154"/>
      <c r="BO111" s="154"/>
      <c r="BP111" s="154"/>
      <c r="BQ111" s="154"/>
      <c r="BR111" s="154"/>
      <c r="BS111" s="154"/>
      <c r="BT111" s="154"/>
      <c r="BU111" s="154"/>
      <c r="BV111" s="154"/>
      <c r="BW111" s="154"/>
      <c r="BX111" s="154"/>
      <c r="BY111" s="154"/>
      <c r="BZ111" s="154"/>
      <c r="CA111" s="154"/>
      <c r="CB111" s="154"/>
      <c r="CC111" s="154"/>
      <c r="CD111" s="154"/>
      <c r="CE111" s="154"/>
      <c r="CF111" s="154"/>
      <c r="CG111" s="154"/>
      <c r="CH111" s="154"/>
      <c r="CI111" s="154"/>
      <c r="CJ111" s="154"/>
      <c r="CK111" s="154"/>
      <c r="CL111" s="154"/>
      <c r="CM111" s="154"/>
      <c r="CN111" s="154"/>
      <c r="CO111" s="154"/>
      <c r="CP111" s="154"/>
      <c r="CQ111" s="154"/>
      <c r="CR111" s="154"/>
      <c r="CS111" s="154"/>
      <c r="CT111" s="154"/>
      <c r="CU111" s="154"/>
      <c r="CV111" s="154"/>
      <c r="CW111" s="154"/>
      <c r="CX111" s="154"/>
      <c r="CY111" s="154"/>
      <c r="CZ111" s="154"/>
      <c r="DA111" s="154"/>
      <c r="DB111" s="154"/>
      <c r="DC111" s="154"/>
      <c r="DD111" s="154"/>
      <c r="DE111" s="154"/>
      <c r="DF111" s="154"/>
      <c r="DG111" s="154"/>
      <c r="DH111" s="154"/>
      <c r="DI111" s="154"/>
      <c r="DJ111" s="154"/>
      <c r="DK111" s="154"/>
      <c r="DL111" s="154"/>
      <c r="DM111" s="154"/>
      <c r="DN111" s="154"/>
      <c r="DO111" s="154"/>
      <c r="DP111" s="154"/>
      <c r="DQ111" s="154"/>
      <c r="DR111" s="154"/>
      <c r="DS111" s="154"/>
      <c r="DT111" s="154"/>
      <c r="DU111" s="154"/>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row>
    <row r="112" spans="2:153" ht="12.95" customHeight="1">
      <c r="B112" s="154"/>
      <c r="C112" s="380"/>
      <c r="D112" s="380"/>
      <c r="E112" s="154"/>
      <c r="F112" s="154"/>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367"/>
      <c r="AG112" s="368"/>
      <c r="AH112" s="368"/>
      <c r="AI112" s="368"/>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H112" s="154"/>
      <c r="BI112" s="154"/>
      <c r="BJ112" s="154"/>
      <c r="BK112" s="154"/>
      <c r="BL112" s="154"/>
      <c r="BM112" s="154"/>
      <c r="BN112" s="154"/>
      <c r="BO112" s="154"/>
      <c r="BP112" s="154"/>
      <c r="BQ112" s="154"/>
      <c r="BR112" s="154"/>
      <c r="BS112" s="154"/>
      <c r="BT112" s="154"/>
      <c r="BU112" s="154"/>
      <c r="BV112" s="154"/>
      <c r="BW112" s="154"/>
      <c r="BX112" s="154"/>
      <c r="BY112" s="154"/>
      <c r="BZ112" s="154"/>
      <c r="CA112" s="154"/>
      <c r="CB112" s="154"/>
      <c r="CC112" s="154"/>
      <c r="CD112" s="154"/>
      <c r="CE112" s="154"/>
      <c r="CF112" s="154"/>
      <c r="CG112" s="154"/>
      <c r="CH112" s="154"/>
      <c r="CI112" s="154"/>
      <c r="CJ112" s="154"/>
      <c r="CK112" s="154"/>
      <c r="CL112" s="154"/>
      <c r="CM112" s="154"/>
      <c r="CN112" s="154"/>
      <c r="CO112" s="154"/>
      <c r="CP112" s="154"/>
      <c r="CQ112" s="154"/>
      <c r="CR112" s="154"/>
      <c r="CS112" s="154"/>
      <c r="CT112" s="154"/>
      <c r="CU112" s="154"/>
      <c r="CV112" s="154"/>
      <c r="CW112" s="154"/>
      <c r="CX112" s="154"/>
      <c r="CY112" s="154"/>
      <c r="CZ112" s="154"/>
      <c r="DA112" s="154"/>
      <c r="DB112" s="154"/>
      <c r="DC112" s="154"/>
      <c r="DD112" s="154"/>
      <c r="DE112" s="154"/>
      <c r="DF112" s="154"/>
      <c r="DG112" s="154"/>
      <c r="DH112" s="154"/>
      <c r="DI112" s="154"/>
      <c r="DJ112" s="154"/>
      <c r="DK112" s="154"/>
      <c r="DL112" s="154"/>
      <c r="DM112" s="154"/>
      <c r="DN112" s="154"/>
      <c r="DO112" s="154"/>
      <c r="DP112" s="154"/>
      <c r="DQ112" s="154"/>
      <c r="DR112" s="154"/>
      <c r="DS112" s="154"/>
      <c r="DT112" s="154"/>
      <c r="DU112" s="154"/>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row>
    <row r="113" spans="2:153" ht="12.95" customHeight="1">
      <c r="B113" s="154"/>
      <c r="C113" s="380"/>
      <c r="D113" s="380"/>
      <c r="E113" s="154"/>
      <c r="F113" s="154"/>
      <c r="G113" s="154"/>
      <c r="H113" s="391"/>
      <c r="I113" s="382"/>
      <c r="J113" s="382"/>
      <c r="K113" s="154"/>
      <c r="L113" s="378"/>
      <c r="M113" s="154"/>
      <c r="N113" s="154"/>
      <c r="O113" s="154"/>
      <c r="P113" s="154"/>
      <c r="Q113" s="154"/>
      <c r="R113" s="154"/>
      <c r="S113" s="154"/>
      <c r="T113" s="154"/>
      <c r="U113" s="154"/>
      <c r="V113" s="154"/>
      <c r="W113" s="154"/>
      <c r="X113" s="154"/>
      <c r="Y113" s="154"/>
      <c r="Z113" s="154"/>
      <c r="AA113" s="154"/>
      <c r="AB113" s="154"/>
      <c r="AC113" s="154"/>
      <c r="AD113" s="154"/>
      <c r="AE113" s="154"/>
      <c r="AF113" s="367"/>
      <c r="AG113" s="368"/>
      <c r="AH113" s="368"/>
      <c r="AI113" s="368"/>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c r="BH113" s="154"/>
      <c r="BI113" s="154"/>
      <c r="BJ113" s="154"/>
      <c r="BK113" s="154"/>
      <c r="BL113" s="154"/>
      <c r="BM113" s="154"/>
      <c r="BN113" s="154"/>
      <c r="BO113" s="154"/>
      <c r="BP113" s="154"/>
      <c r="BQ113" s="154"/>
      <c r="BR113" s="154"/>
      <c r="BS113" s="154"/>
      <c r="BT113" s="154"/>
      <c r="BU113" s="154"/>
      <c r="BV113" s="154"/>
      <c r="BW113" s="154"/>
      <c r="BX113" s="154"/>
      <c r="BY113" s="154"/>
      <c r="BZ113" s="154"/>
      <c r="CA113" s="154"/>
      <c r="CB113" s="154"/>
      <c r="CC113" s="154"/>
      <c r="CD113" s="154"/>
      <c r="CE113" s="154"/>
      <c r="CF113" s="154"/>
      <c r="CG113" s="154"/>
      <c r="CH113" s="154"/>
      <c r="CI113" s="154"/>
      <c r="CJ113" s="154"/>
      <c r="CK113" s="154"/>
      <c r="CL113" s="154"/>
      <c r="CM113" s="154"/>
      <c r="CN113" s="154"/>
      <c r="CO113" s="154"/>
      <c r="CP113" s="154"/>
      <c r="CQ113" s="154"/>
      <c r="CR113" s="154"/>
      <c r="CS113" s="154"/>
      <c r="CT113" s="154"/>
      <c r="CU113" s="154"/>
      <c r="CV113" s="154"/>
      <c r="CW113" s="154"/>
      <c r="CX113" s="154"/>
      <c r="CY113" s="154"/>
      <c r="CZ113" s="154"/>
      <c r="DA113" s="154"/>
      <c r="DB113" s="154"/>
      <c r="DC113" s="154"/>
      <c r="DD113" s="154"/>
      <c r="DE113" s="154"/>
      <c r="DF113" s="154"/>
      <c r="DG113" s="154"/>
      <c r="DH113" s="154"/>
      <c r="DI113" s="154"/>
      <c r="DJ113" s="154"/>
      <c r="DK113" s="154"/>
      <c r="DL113" s="154"/>
      <c r="DM113" s="154"/>
      <c r="DN113" s="154"/>
      <c r="DO113" s="154"/>
      <c r="DP113" s="154"/>
      <c r="DQ113" s="154"/>
      <c r="DR113" s="154"/>
      <c r="DS113" s="154"/>
      <c r="DT113" s="154"/>
      <c r="DU113" s="154"/>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row>
    <row r="114" spans="2:153" ht="12.95" customHeight="1">
      <c r="B114" s="154"/>
      <c r="C114" s="380"/>
      <c r="D114" s="380"/>
      <c r="E114" s="154"/>
      <c r="F114" s="154"/>
      <c r="G114" s="154"/>
      <c r="H114" s="391"/>
      <c r="I114" s="382"/>
      <c r="J114" s="382"/>
      <c r="K114" s="154"/>
      <c r="L114" s="378"/>
      <c r="M114" s="154"/>
      <c r="N114" s="154"/>
      <c r="O114" s="154"/>
      <c r="P114" s="154"/>
      <c r="Q114" s="154"/>
      <c r="R114" s="154"/>
      <c r="S114" s="154"/>
      <c r="T114" s="154"/>
      <c r="U114" s="154"/>
      <c r="V114" s="154"/>
      <c r="W114" s="154"/>
      <c r="X114" s="154"/>
      <c r="Y114" s="154"/>
      <c r="Z114" s="154"/>
      <c r="AA114" s="154"/>
      <c r="AB114" s="154"/>
      <c r="AC114" s="154"/>
      <c r="AD114" s="154"/>
      <c r="AE114" s="154"/>
      <c r="AF114" s="367"/>
      <c r="AG114" s="368"/>
      <c r="AH114" s="368"/>
      <c r="AI114" s="368"/>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c r="BH114" s="154"/>
      <c r="BI114" s="154"/>
      <c r="BJ114" s="154"/>
      <c r="BK114" s="154"/>
      <c r="BL114" s="154"/>
      <c r="BM114" s="154"/>
      <c r="BN114" s="154"/>
      <c r="BO114" s="154"/>
      <c r="BP114" s="154"/>
      <c r="BQ114" s="154"/>
      <c r="BR114" s="154"/>
      <c r="BS114" s="154"/>
      <c r="BT114" s="154"/>
      <c r="BU114" s="154"/>
      <c r="BV114" s="154"/>
      <c r="BW114" s="154"/>
      <c r="BX114" s="154"/>
      <c r="BY114" s="154"/>
      <c r="BZ114" s="154"/>
      <c r="CA114" s="154"/>
      <c r="CB114" s="154"/>
      <c r="CC114" s="154"/>
      <c r="CD114" s="154"/>
      <c r="CE114" s="154"/>
      <c r="CF114" s="154"/>
      <c r="CG114" s="154"/>
      <c r="CH114" s="154"/>
      <c r="CI114" s="154"/>
      <c r="CJ114" s="154"/>
      <c r="CK114" s="154"/>
      <c r="CL114" s="154"/>
      <c r="CM114" s="154"/>
      <c r="CN114" s="154"/>
      <c r="CO114" s="154"/>
      <c r="CP114" s="154"/>
      <c r="CQ114" s="154"/>
      <c r="CR114" s="154"/>
      <c r="CS114" s="154"/>
      <c r="CT114" s="154"/>
      <c r="CU114" s="154"/>
      <c r="CV114" s="154"/>
      <c r="CW114" s="154"/>
      <c r="CX114" s="154"/>
      <c r="CY114" s="154"/>
      <c r="CZ114" s="154"/>
      <c r="DA114" s="154"/>
      <c r="DB114" s="154"/>
      <c r="DC114" s="154"/>
      <c r="DD114" s="154"/>
      <c r="DE114" s="154"/>
      <c r="DF114" s="154"/>
      <c r="DG114" s="154"/>
      <c r="DH114" s="154"/>
      <c r="DI114" s="154"/>
      <c r="DJ114" s="154"/>
      <c r="DK114" s="154"/>
      <c r="DL114" s="154"/>
      <c r="DM114" s="154"/>
      <c r="DN114" s="154"/>
      <c r="DO114" s="154"/>
      <c r="DP114" s="154"/>
      <c r="DQ114" s="154"/>
      <c r="DR114" s="154"/>
      <c r="DS114" s="154"/>
      <c r="DT114" s="154"/>
      <c r="DU114" s="154"/>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row>
    <row r="115" spans="2:153" ht="12.95" customHeight="1">
      <c r="B115" s="154"/>
      <c r="C115" s="380"/>
      <c r="D115" s="380"/>
      <c r="E115" s="154"/>
      <c r="F115" s="154"/>
      <c r="G115" s="154"/>
      <c r="H115" s="391"/>
      <c r="I115" s="382"/>
      <c r="J115" s="382"/>
      <c r="K115" s="154"/>
      <c r="L115" s="378"/>
      <c r="M115" s="154"/>
      <c r="N115" s="154"/>
      <c r="O115" s="154"/>
      <c r="P115" s="154"/>
      <c r="Q115" s="154"/>
      <c r="R115" s="154"/>
      <c r="S115" s="154"/>
      <c r="T115" s="154"/>
      <c r="U115" s="154"/>
      <c r="V115" s="154"/>
      <c r="W115" s="154"/>
      <c r="X115" s="154"/>
      <c r="Y115" s="154"/>
      <c r="Z115" s="154"/>
      <c r="AA115" s="154"/>
      <c r="AB115" s="154"/>
      <c r="AC115" s="154"/>
      <c r="AD115" s="154"/>
      <c r="AE115" s="154"/>
      <c r="AF115" s="367"/>
      <c r="AG115" s="368"/>
      <c r="AH115" s="368"/>
      <c r="AI115" s="368"/>
      <c r="AJ115" s="154"/>
      <c r="AK115" s="154"/>
      <c r="AL115" s="154"/>
      <c r="AM115" s="154"/>
      <c r="AN115" s="154"/>
      <c r="AO115" s="154"/>
      <c r="AP115" s="154"/>
      <c r="AQ115" s="154"/>
      <c r="AR115" s="154"/>
      <c r="AS115" s="154"/>
      <c r="AT115" s="154"/>
      <c r="AU115" s="154"/>
      <c r="AV115" s="154"/>
      <c r="AW115" s="154"/>
      <c r="AX115" s="154"/>
      <c r="AY115" s="154"/>
      <c r="AZ115" s="154"/>
      <c r="BA115" s="154"/>
      <c r="BB115" s="154"/>
      <c r="BC115" s="154"/>
      <c r="BD115" s="154"/>
      <c r="BE115" s="154"/>
      <c r="BF115" s="154"/>
      <c r="BG115" s="154"/>
      <c r="BH115" s="154"/>
      <c r="BI115" s="154"/>
      <c r="BJ115" s="154"/>
      <c r="BK115" s="154"/>
      <c r="BL115" s="154"/>
      <c r="BM115" s="154"/>
      <c r="BN115" s="154"/>
      <c r="BO115" s="154"/>
      <c r="BP115" s="154"/>
      <c r="BQ115" s="154"/>
      <c r="BR115" s="154"/>
      <c r="BS115" s="154"/>
      <c r="BT115" s="154"/>
      <c r="BU115" s="154"/>
      <c r="BV115" s="154"/>
      <c r="BW115" s="154"/>
      <c r="BX115" s="154"/>
      <c r="BY115" s="154"/>
      <c r="BZ115" s="154"/>
      <c r="CA115" s="154"/>
      <c r="CB115" s="154"/>
      <c r="CC115" s="154"/>
      <c r="CD115" s="154"/>
      <c r="CE115" s="154"/>
      <c r="CF115" s="154"/>
      <c r="CG115" s="154"/>
      <c r="CH115" s="154"/>
      <c r="CI115" s="154"/>
      <c r="CJ115" s="154"/>
      <c r="CK115" s="154"/>
      <c r="CL115" s="154"/>
      <c r="CM115" s="154"/>
      <c r="CN115" s="154"/>
      <c r="CO115" s="154"/>
      <c r="CP115" s="154"/>
      <c r="CQ115" s="154"/>
      <c r="CR115" s="154"/>
      <c r="CS115" s="154"/>
      <c r="CT115" s="154"/>
      <c r="CU115" s="154"/>
      <c r="CV115" s="154"/>
      <c r="CW115" s="154"/>
      <c r="CX115" s="154"/>
      <c r="CY115" s="154"/>
      <c r="CZ115" s="154"/>
      <c r="DA115" s="154"/>
      <c r="DB115" s="154"/>
      <c r="DC115" s="154"/>
      <c r="DD115" s="154"/>
      <c r="DE115" s="154"/>
      <c r="DF115" s="154"/>
      <c r="DG115" s="154"/>
      <c r="DH115" s="154"/>
      <c r="DI115" s="154"/>
      <c r="DJ115" s="154"/>
      <c r="DK115" s="154"/>
      <c r="DL115" s="154"/>
      <c r="DM115" s="154"/>
      <c r="DN115" s="154"/>
      <c r="DO115" s="154"/>
      <c r="DP115" s="154"/>
      <c r="DQ115" s="154"/>
      <c r="DR115" s="154"/>
      <c r="DS115" s="154"/>
      <c r="DT115" s="154"/>
      <c r="DU115" s="154"/>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row>
    <row r="116" spans="2:153" ht="12.95" customHeight="1">
      <c r="B116" s="154"/>
      <c r="C116" s="380"/>
      <c r="D116" s="380"/>
      <c r="E116" s="154"/>
      <c r="F116" s="154"/>
      <c r="G116" s="154"/>
      <c r="H116" s="154"/>
      <c r="I116" s="154"/>
      <c r="J116" s="154"/>
      <c r="K116" s="154"/>
      <c r="L116" s="154"/>
      <c r="M116" s="154"/>
      <c r="N116" s="154"/>
      <c r="O116" s="154"/>
      <c r="P116" s="154"/>
      <c r="Q116" s="154"/>
      <c r="R116" s="154"/>
      <c r="S116" s="154"/>
      <c r="T116" s="154"/>
      <c r="U116" s="154"/>
      <c r="V116" s="154"/>
      <c r="W116" s="154"/>
      <c r="X116" s="154"/>
      <c r="Y116" s="154"/>
      <c r="Z116" s="154"/>
      <c r="AA116" s="154"/>
      <c r="AB116" s="154"/>
      <c r="AC116" s="154"/>
      <c r="AD116" s="154"/>
      <c r="AE116" s="154"/>
      <c r="AF116" s="367"/>
      <c r="AG116" s="368"/>
      <c r="AH116" s="368"/>
      <c r="AI116" s="368"/>
      <c r="AJ116" s="154"/>
      <c r="AK116" s="154"/>
      <c r="AL116" s="154"/>
      <c r="AM116" s="154"/>
      <c r="AN116" s="154"/>
      <c r="AO116" s="154"/>
      <c r="AP116" s="154"/>
      <c r="AQ116" s="154"/>
      <c r="AR116" s="154"/>
      <c r="AS116" s="154"/>
      <c r="AT116" s="154"/>
      <c r="AU116" s="154"/>
      <c r="AV116" s="154"/>
      <c r="AW116" s="154"/>
      <c r="AX116" s="154"/>
      <c r="AY116" s="154"/>
      <c r="AZ116" s="154"/>
      <c r="BA116" s="154"/>
      <c r="BB116" s="154"/>
      <c r="BC116" s="154"/>
      <c r="BD116" s="154"/>
      <c r="BE116" s="154"/>
      <c r="BF116" s="154"/>
      <c r="BG116" s="154"/>
      <c r="BH116" s="154"/>
      <c r="BI116" s="154"/>
      <c r="BJ116" s="154"/>
      <c r="BK116" s="154"/>
      <c r="BL116" s="154"/>
      <c r="BM116" s="154"/>
      <c r="BN116" s="154"/>
      <c r="BO116" s="154"/>
      <c r="BP116" s="154"/>
      <c r="BQ116" s="154"/>
      <c r="BR116" s="154"/>
      <c r="BS116" s="154"/>
      <c r="BT116" s="154"/>
      <c r="BU116" s="154"/>
      <c r="BV116" s="154"/>
      <c r="BW116" s="154"/>
      <c r="BX116" s="154"/>
      <c r="BY116" s="154"/>
      <c r="BZ116" s="154"/>
      <c r="CA116" s="154"/>
      <c r="CB116" s="154"/>
      <c r="CC116" s="154"/>
      <c r="CD116" s="154"/>
      <c r="CE116" s="154"/>
      <c r="CF116" s="154"/>
      <c r="CG116" s="154"/>
      <c r="CH116" s="154"/>
      <c r="CI116" s="154"/>
      <c r="CJ116" s="154"/>
      <c r="CK116" s="154"/>
      <c r="CL116" s="154"/>
      <c r="CM116" s="154"/>
      <c r="CN116" s="154"/>
      <c r="CO116" s="154"/>
      <c r="CP116" s="154"/>
      <c r="CQ116" s="154"/>
      <c r="CR116" s="154"/>
      <c r="CS116" s="154"/>
      <c r="CT116" s="154"/>
      <c r="CU116" s="154"/>
      <c r="CV116" s="154"/>
      <c r="CW116" s="154"/>
      <c r="CX116" s="154"/>
      <c r="CY116" s="154"/>
      <c r="CZ116" s="154"/>
      <c r="DA116" s="154"/>
      <c r="DB116" s="154"/>
      <c r="DC116" s="154"/>
      <c r="DD116" s="154"/>
      <c r="DE116" s="154"/>
      <c r="DF116" s="154"/>
      <c r="DG116" s="154"/>
      <c r="DH116" s="154"/>
      <c r="DI116" s="154"/>
      <c r="DJ116" s="154"/>
      <c r="DK116" s="154"/>
      <c r="DL116" s="154"/>
      <c r="DM116" s="154"/>
      <c r="DN116" s="154"/>
      <c r="DO116" s="154"/>
      <c r="DP116" s="154"/>
      <c r="DQ116" s="154"/>
      <c r="DR116" s="154"/>
      <c r="DS116" s="154"/>
      <c r="DT116" s="154"/>
      <c r="DU116" s="154"/>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row>
    <row r="117" spans="2:153" ht="12.95" customHeight="1">
      <c r="B117" s="154"/>
      <c r="C117" s="380"/>
      <c r="D117" s="380"/>
      <c r="E117" s="154"/>
      <c r="F117" s="154"/>
      <c r="G117" s="154"/>
      <c r="H117" s="154"/>
      <c r="I117" s="154"/>
      <c r="J117" s="154"/>
      <c r="K117" s="154"/>
      <c r="L117" s="154"/>
      <c r="M117" s="154"/>
      <c r="N117" s="154"/>
      <c r="O117" s="154"/>
      <c r="P117" s="154"/>
      <c r="Q117" s="154"/>
      <c r="R117" s="154"/>
      <c r="S117" s="154"/>
      <c r="T117" s="154"/>
      <c r="U117" s="154"/>
      <c r="V117" s="154"/>
      <c r="W117" s="154"/>
      <c r="X117" s="154"/>
      <c r="Y117" s="154"/>
      <c r="Z117" s="154"/>
      <c r="AA117" s="154"/>
      <c r="AB117" s="154"/>
      <c r="AC117" s="154"/>
      <c r="AD117" s="154"/>
      <c r="AE117" s="154"/>
      <c r="AF117" s="367"/>
      <c r="AG117" s="368"/>
      <c r="AH117" s="368"/>
      <c r="AI117" s="368"/>
      <c r="AJ117" s="154"/>
      <c r="AK117" s="154"/>
      <c r="AL117" s="154"/>
      <c r="AM117" s="154"/>
      <c r="AN117" s="154"/>
      <c r="AO117" s="154"/>
      <c r="AP117" s="154"/>
      <c r="AQ117" s="154"/>
      <c r="AR117" s="154"/>
      <c r="AS117" s="154"/>
      <c r="AT117" s="154"/>
      <c r="AU117" s="154"/>
      <c r="AV117" s="154"/>
      <c r="AW117" s="154"/>
      <c r="AX117" s="154"/>
      <c r="AY117" s="154"/>
      <c r="AZ117" s="154"/>
      <c r="BA117" s="154"/>
      <c r="BB117" s="154"/>
      <c r="BC117" s="154"/>
      <c r="BD117" s="154"/>
      <c r="BE117" s="154"/>
      <c r="BF117" s="154"/>
      <c r="BG117" s="154"/>
      <c r="BH117" s="154"/>
      <c r="BI117" s="154"/>
      <c r="BJ117" s="154"/>
      <c r="BK117" s="154"/>
      <c r="BL117" s="154"/>
      <c r="BM117" s="154"/>
      <c r="BN117" s="154"/>
      <c r="BO117" s="154"/>
      <c r="BP117" s="154"/>
      <c r="BQ117" s="154"/>
      <c r="BR117" s="154"/>
      <c r="BS117" s="154"/>
      <c r="BT117" s="154"/>
      <c r="BU117" s="154"/>
      <c r="BV117" s="154"/>
      <c r="BW117" s="154"/>
      <c r="BX117" s="154"/>
      <c r="BY117" s="154"/>
      <c r="BZ117" s="154"/>
      <c r="CA117" s="154"/>
      <c r="CB117" s="154"/>
      <c r="CC117" s="154"/>
      <c r="CD117" s="154"/>
      <c r="CE117" s="154"/>
      <c r="CF117" s="154"/>
      <c r="CG117" s="154"/>
      <c r="CH117" s="154"/>
      <c r="CI117" s="154"/>
      <c r="CJ117" s="154"/>
      <c r="CK117" s="154"/>
      <c r="CL117" s="154"/>
      <c r="CM117" s="154"/>
      <c r="CN117" s="154"/>
      <c r="CO117" s="154"/>
      <c r="CP117" s="154"/>
      <c r="CQ117" s="154"/>
      <c r="CR117" s="154"/>
      <c r="CS117" s="154"/>
      <c r="CT117" s="154"/>
      <c r="CU117" s="154"/>
      <c r="CV117" s="154"/>
      <c r="CW117" s="154"/>
      <c r="CX117" s="154"/>
      <c r="CY117" s="154"/>
      <c r="CZ117" s="154"/>
      <c r="DA117" s="154"/>
      <c r="DB117" s="154"/>
      <c r="DC117" s="154"/>
      <c r="DD117" s="154"/>
      <c r="DE117" s="154"/>
      <c r="DF117" s="154"/>
      <c r="DG117" s="154"/>
      <c r="DH117" s="154"/>
      <c r="DI117" s="154"/>
      <c r="DJ117" s="154"/>
      <c r="DK117" s="154"/>
      <c r="DL117" s="154"/>
      <c r="DM117" s="154"/>
      <c r="DN117" s="154"/>
      <c r="DO117" s="154"/>
      <c r="DP117" s="154"/>
      <c r="DQ117" s="154"/>
      <c r="DR117" s="154"/>
      <c r="DS117" s="154"/>
      <c r="DT117" s="154"/>
      <c r="DU117" s="154"/>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row>
    <row r="118" spans="2:153" ht="12.95" customHeight="1">
      <c r="B118" s="154"/>
      <c r="C118" s="380"/>
      <c r="D118" s="380"/>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367"/>
      <c r="AG118" s="368"/>
      <c r="AH118" s="368"/>
      <c r="AI118" s="368"/>
      <c r="AJ118" s="154"/>
      <c r="AK118" s="154"/>
      <c r="AL118" s="154"/>
      <c r="AM118" s="154"/>
      <c r="AN118" s="154"/>
      <c r="AO118" s="154"/>
      <c r="AP118" s="154"/>
      <c r="AQ118" s="154"/>
      <c r="AR118" s="154"/>
      <c r="AS118" s="154"/>
      <c r="AT118" s="154"/>
      <c r="AU118" s="154"/>
      <c r="AV118" s="154"/>
      <c r="AW118" s="154"/>
      <c r="AX118" s="154"/>
      <c r="AY118" s="154"/>
      <c r="AZ118" s="154"/>
      <c r="BA118" s="154"/>
      <c r="BB118" s="154"/>
      <c r="BC118" s="154"/>
      <c r="BD118" s="154"/>
      <c r="BE118" s="154"/>
      <c r="BF118" s="154"/>
      <c r="BG118" s="154"/>
      <c r="BH118" s="154"/>
      <c r="BI118" s="154"/>
      <c r="BJ118" s="154"/>
      <c r="BK118" s="154"/>
      <c r="BL118" s="154"/>
      <c r="BM118" s="154"/>
      <c r="BN118" s="154"/>
      <c r="BO118" s="154"/>
      <c r="BP118" s="154"/>
      <c r="BQ118" s="154"/>
      <c r="BR118" s="154"/>
      <c r="BS118" s="154"/>
      <c r="BT118" s="154"/>
      <c r="BU118" s="154"/>
      <c r="BV118" s="154"/>
      <c r="BW118" s="154"/>
      <c r="BX118" s="154"/>
      <c r="BY118" s="154"/>
      <c r="BZ118" s="154"/>
      <c r="CA118" s="154"/>
      <c r="CB118" s="154"/>
      <c r="CC118" s="154"/>
      <c r="CD118" s="154"/>
      <c r="CE118" s="154"/>
      <c r="CF118" s="154"/>
      <c r="CG118" s="154"/>
      <c r="CH118" s="154"/>
      <c r="CI118" s="154"/>
      <c r="CJ118" s="154"/>
      <c r="CK118" s="154"/>
      <c r="CL118" s="154"/>
      <c r="CM118" s="154"/>
      <c r="CN118" s="154"/>
      <c r="CO118" s="154"/>
      <c r="CP118" s="154"/>
      <c r="CQ118" s="154"/>
      <c r="CR118" s="154"/>
      <c r="CS118" s="154"/>
      <c r="CT118" s="154"/>
      <c r="CU118" s="154"/>
      <c r="CV118" s="154"/>
      <c r="CW118" s="154"/>
      <c r="CX118" s="154"/>
      <c r="CY118" s="154"/>
      <c r="CZ118" s="154"/>
      <c r="DA118" s="154"/>
      <c r="DB118" s="154"/>
      <c r="DC118" s="154"/>
      <c r="DD118" s="154"/>
      <c r="DE118" s="154"/>
      <c r="DF118" s="154"/>
      <c r="DG118" s="154"/>
      <c r="DH118" s="154"/>
      <c r="DI118" s="154"/>
      <c r="DJ118" s="154"/>
      <c r="DK118" s="154"/>
      <c r="DL118" s="154"/>
      <c r="DM118" s="154"/>
      <c r="DN118" s="154"/>
      <c r="DO118" s="154"/>
      <c r="DP118" s="154"/>
      <c r="DQ118" s="154"/>
      <c r="DR118" s="154"/>
      <c r="DS118" s="154"/>
      <c r="DT118" s="154"/>
      <c r="DU118" s="154"/>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row>
    <row r="119" spans="2:153" ht="12.95" customHeight="1">
      <c r="B119" s="154"/>
      <c r="C119" s="380"/>
      <c r="D119" s="380"/>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154"/>
      <c r="AB119" s="154"/>
      <c r="AC119" s="154"/>
      <c r="AD119" s="154"/>
      <c r="AE119" s="154"/>
      <c r="AF119" s="367"/>
      <c r="AG119" s="368"/>
      <c r="AH119" s="368"/>
      <c r="AI119" s="368"/>
      <c r="AJ119" s="154"/>
      <c r="AK119" s="154"/>
      <c r="AL119" s="154"/>
      <c r="AM119" s="154"/>
      <c r="AN119" s="154"/>
      <c r="AO119" s="154"/>
      <c r="AP119" s="154"/>
      <c r="AQ119" s="154"/>
      <c r="AR119" s="154"/>
      <c r="AS119" s="154"/>
      <c r="AT119" s="154"/>
      <c r="AU119" s="154"/>
      <c r="AV119" s="154"/>
      <c r="AW119" s="154"/>
      <c r="AX119" s="154"/>
      <c r="AY119" s="154"/>
      <c r="AZ119" s="154"/>
      <c r="BA119" s="154"/>
      <c r="BB119" s="154"/>
      <c r="BC119" s="154"/>
      <c r="BD119" s="154"/>
      <c r="BE119" s="154"/>
      <c r="BF119" s="154"/>
      <c r="BG119" s="154"/>
      <c r="BH119" s="154"/>
      <c r="BI119" s="154"/>
      <c r="BJ119" s="154"/>
      <c r="BK119" s="154"/>
      <c r="BL119" s="154"/>
      <c r="BM119" s="154"/>
      <c r="BN119" s="154"/>
      <c r="BO119" s="154"/>
      <c r="BP119" s="154"/>
      <c r="BQ119" s="154"/>
      <c r="BR119" s="154"/>
      <c r="BS119" s="154"/>
      <c r="BT119" s="154"/>
      <c r="BU119" s="154"/>
      <c r="BV119" s="154"/>
      <c r="BW119" s="154"/>
      <c r="BX119" s="154"/>
      <c r="BY119" s="154"/>
      <c r="BZ119" s="154"/>
      <c r="CA119" s="154"/>
      <c r="CB119" s="154"/>
      <c r="CC119" s="154"/>
      <c r="CD119" s="154"/>
      <c r="CE119" s="154"/>
      <c r="CF119" s="154"/>
      <c r="CG119" s="154"/>
      <c r="CH119" s="154"/>
      <c r="CI119" s="154"/>
      <c r="CJ119" s="154"/>
      <c r="CK119" s="154"/>
      <c r="CL119" s="154"/>
      <c r="CM119" s="154"/>
      <c r="CN119" s="154"/>
      <c r="CO119" s="154"/>
      <c r="CP119" s="154"/>
      <c r="CQ119" s="154"/>
      <c r="CR119" s="154"/>
      <c r="CS119" s="154"/>
      <c r="CT119" s="154"/>
      <c r="CU119" s="154"/>
      <c r="CV119" s="154"/>
      <c r="CW119" s="154"/>
      <c r="CX119" s="154"/>
      <c r="CY119" s="154"/>
      <c r="CZ119" s="154"/>
      <c r="DA119" s="154"/>
      <c r="DB119" s="154"/>
      <c r="DC119" s="154"/>
      <c r="DD119" s="154"/>
      <c r="DE119" s="154"/>
      <c r="DF119" s="154"/>
      <c r="DG119" s="154"/>
      <c r="DH119" s="154"/>
      <c r="DI119" s="154"/>
      <c r="DJ119" s="154"/>
      <c r="DK119" s="154"/>
      <c r="DL119" s="154"/>
      <c r="DM119" s="154"/>
      <c r="DN119" s="154"/>
      <c r="DO119" s="154"/>
      <c r="DP119" s="154"/>
      <c r="DQ119" s="154"/>
      <c r="DR119" s="154"/>
      <c r="DS119" s="154"/>
      <c r="DT119" s="154"/>
      <c r="DU119" s="154"/>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row>
    <row r="120" spans="2:153" ht="12.95" customHeight="1">
      <c r="B120" s="154"/>
      <c r="C120" s="380"/>
      <c r="D120" s="380"/>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154"/>
      <c r="AC120" s="154"/>
      <c r="AD120" s="154"/>
      <c r="AE120" s="154"/>
      <c r="AF120" s="367"/>
      <c r="AG120" s="368"/>
      <c r="AH120" s="368"/>
      <c r="AI120" s="368"/>
      <c r="AJ120" s="154"/>
      <c r="AK120" s="154"/>
      <c r="AL120" s="154"/>
      <c r="AM120" s="154"/>
      <c r="AN120" s="154"/>
      <c r="AO120" s="154"/>
      <c r="AP120" s="154"/>
      <c r="AQ120" s="154"/>
      <c r="AR120" s="154"/>
      <c r="AS120" s="154"/>
      <c r="AT120" s="154"/>
      <c r="AU120" s="154"/>
      <c r="AV120" s="154"/>
      <c r="AW120" s="154"/>
      <c r="AX120" s="154"/>
      <c r="AY120" s="154"/>
      <c r="AZ120" s="154"/>
      <c r="BA120" s="154"/>
      <c r="BB120" s="154"/>
      <c r="BC120" s="154"/>
      <c r="BD120" s="154"/>
      <c r="BE120" s="154"/>
      <c r="BF120" s="154"/>
      <c r="BG120" s="154"/>
      <c r="BH120" s="154"/>
      <c r="BI120" s="154"/>
      <c r="BJ120" s="154"/>
      <c r="BK120" s="154"/>
      <c r="BL120" s="154"/>
      <c r="BM120" s="154"/>
      <c r="BN120" s="154"/>
      <c r="BO120" s="154"/>
      <c r="BP120" s="154"/>
      <c r="BQ120" s="154"/>
      <c r="BR120" s="154"/>
      <c r="BS120" s="154"/>
      <c r="BT120" s="154"/>
      <c r="BU120" s="154"/>
      <c r="BV120" s="154"/>
      <c r="BW120" s="154"/>
      <c r="BX120" s="154"/>
      <c r="BY120" s="154"/>
      <c r="BZ120" s="154"/>
      <c r="CA120" s="154"/>
      <c r="CB120" s="154"/>
      <c r="CC120" s="154"/>
      <c r="CD120" s="154"/>
      <c r="CE120" s="154"/>
      <c r="CF120" s="154"/>
      <c r="CG120" s="154"/>
      <c r="CH120" s="154"/>
      <c r="CI120" s="154"/>
      <c r="CJ120" s="154"/>
      <c r="CK120" s="154"/>
      <c r="CL120" s="154"/>
      <c r="CM120" s="154"/>
      <c r="CN120" s="154"/>
      <c r="CO120" s="154"/>
      <c r="CP120" s="154"/>
      <c r="CQ120" s="154"/>
      <c r="CR120" s="154"/>
      <c r="CS120" s="154"/>
      <c r="CT120" s="154"/>
      <c r="CU120" s="154"/>
      <c r="CV120" s="154"/>
      <c r="CW120" s="154"/>
      <c r="CX120" s="154"/>
      <c r="CY120" s="154"/>
      <c r="CZ120" s="154"/>
      <c r="DA120" s="154"/>
      <c r="DB120" s="154"/>
      <c r="DC120" s="154"/>
      <c r="DD120" s="154"/>
      <c r="DE120" s="154"/>
      <c r="DF120" s="154"/>
      <c r="DG120" s="154"/>
      <c r="DH120" s="154"/>
      <c r="DI120" s="154"/>
      <c r="DJ120" s="154"/>
      <c r="DK120" s="154"/>
      <c r="DL120" s="154"/>
      <c r="DM120" s="154"/>
      <c r="DN120" s="154"/>
      <c r="DO120" s="154"/>
      <c r="DP120" s="154"/>
      <c r="DQ120" s="154"/>
      <c r="DR120" s="154"/>
      <c r="DS120" s="154"/>
      <c r="DT120" s="154"/>
      <c r="DU120" s="154"/>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row>
    <row r="121" spans="2:153" ht="12.95" customHeight="1">
      <c r="B121" s="154"/>
      <c r="C121" s="380"/>
      <c r="D121" s="380"/>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154"/>
      <c r="AB121" s="154"/>
      <c r="AC121" s="154"/>
      <c r="AD121" s="154"/>
      <c r="AE121" s="154"/>
      <c r="AF121" s="367"/>
      <c r="AG121" s="368"/>
      <c r="AH121" s="368"/>
      <c r="AI121" s="368"/>
      <c r="AJ121" s="154"/>
      <c r="AK121" s="154"/>
      <c r="AL121" s="154"/>
      <c r="AM121" s="154"/>
      <c r="AN121" s="154"/>
      <c r="AO121" s="154"/>
      <c r="AP121" s="154"/>
      <c r="AQ121" s="154"/>
      <c r="AR121" s="154"/>
      <c r="AS121" s="154"/>
      <c r="AT121" s="154"/>
      <c r="AU121" s="154"/>
      <c r="AV121" s="154"/>
      <c r="AW121" s="154"/>
      <c r="AX121" s="154"/>
      <c r="AY121" s="154"/>
      <c r="AZ121" s="154"/>
      <c r="BA121" s="154"/>
      <c r="BB121" s="154"/>
      <c r="BC121" s="154"/>
      <c r="BD121" s="154"/>
      <c r="BE121" s="154"/>
      <c r="BF121" s="154"/>
      <c r="BG121" s="154"/>
      <c r="BH121" s="154"/>
      <c r="BI121" s="154"/>
      <c r="BJ121" s="154"/>
      <c r="BK121" s="154"/>
      <c r="BL121" s="154"/>
      <c r="BM121" s="154"/>
      <c r="BN121" s="154"/>
      <c r="BO121" s="154"/>
      <c r="BP121" s="154"/>
      <c r="BQ121" s="154"/>
      <c r="BR121" s="154"/>
      <c r="BS121" s="154"/>
      <c r="BT121" s="154"/>
      <c r="BU121" s="154"/>
      <c r="BV121" s="154"/>
      <c r="BW121" s="154"/>
      <c r="BX121" s="154"/>
      <c r="BY121" s="154"/>
      <c r="BZ121" s="154"/>
      <c r="CA121" s="154"/>
      <c r="CB121" s="154"/>
      <c r="CC121" s="154"/>
      <c r="CD121" s="154"/>
      <c r="CE121" s="154"/>
      <c r="CF121" s="154"/>
      <c r="CG121" s="154"/>
      <c r="CH121" s="154"/>
      <c r="CI121" s="154"/>
      <c r="CJ121" s="154"/>
      <c r="CK121" s="154"/>
      <c r="CL121" s="154"/>
      <c r="CM121" s="154"/>
      <c r="CN121" s="154"/>
      <c r="CO121" s="154"/>
      <c r="CP121" s="154"/>
      <c r="CQ121" s="154"/>
      <c r="CR121" s="154"/>
      <c r="CS121" s="154"/>
      <c r="CT121" s="154"/>
      <c r="CU121" s="154"/>
      <c r="CV121" s="154"/>
      <c r="CW121" s="154"/>
      <c r="CX121" s="154"/>
      <c r="CY121" s="154"/>
      <c r="CZ121" s="154"/>
      <c r="DA121" s="154"/>
      <c r="DB121" s="154"/>
      <c r="DC121" s="154"/>
      <c r="DD121" s="154"/>
      <c r="DE121" s="154"/>
      <c r="DF121" s="154"/>
      <c r="DG121" s="154"/>
      <c r="DH121" s="154"/>
      <c r="DI121" s="154"/>
      <c r="DJ121" s="154"/>
      <c r="DK121" s="154"/>
      <c r="DL121" s="154"/>
      <c r="DM121" s="154"/>
      <c r="DN121" s="154"/>
      <c r="DO121" s="154"/>
      <c r="DP121" s="154"/>
      <c r="DQ121" s="154"/>
      <c r="DR121" s="154"/>
      <c r="DS121" s="154"/>
      <c r="DT121" s="154"/>
      <c r="DU121" s="154"/>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row>
    <row r="122" spans="2:153" ht="12.95" customHeight="1">
      <c r="B122" s="154"/>
      <c r="C122" s="380"/>
      <c r="D122" s="380"/>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4"/>
      <c r="AB122" s="154"/>
      <c r="AC122" s="154"/>
      <c r="AD122" s="154"/>
      <c r="AE122" s="154"/>
      <c r="AF122" s="367"/>
      <c r="AG122" s="368"/>
      <c r="AH122" s="368"/>
      <c r="AI122" s="368"/>
      <c r="AJ122" s="154"/>
      <c r="AK122" s="154"/>
      <c r="AL122" s="154"/>
      <c r="AM122" s="154"/>
      <c r="AN122" s="154"/>
      <c r="AO122" s="154"/>
      <c r="AP122" s="154"/>
      <c r="AQ122" s="154"/>
      <c r="AR122" s="154"/>
      <c r="AS122" s="154"/>
      <c r="AT122" s="154"/>
      <c r="AU122" s="154"/>
      <c r="AV122" s="154"/>
      <c r="AW122" s="154"/>
      <c r="AX122" s="154"/>
      <c r="AY122" s="154"/>
      <c r="AZ122" s="154"/>
      <c r="BA122" s="154"/>
      <c r="BB122" s="154"/>
      <c r="BC122" s="154"/>
      <c r="BD122" s="154"/>
      <c r="BE122" s="154"/>
      <c r="BF122" s="154"/>
      <c r="BG122" s="154"/>
      <c r="BH122" s="154"/>
      <c r="BI122" s="154"/>
      <c r="BJ122" s="154"/>
      <c r="BK122" s="154"/>
      <c r="BL122" s="154"/>
      <c r="BM122" s="154"/>
      <c r="BN122" s="154"/>
      <c r="BO122" s="154"/>
      <c r="BP122" s="154"/>
      <c r="BQ122" s="154"/>
      <c r="BR122" s="154"/>
      <c r="BS122" s="154"/>
      <c r="BT122" s="154"/>
      <c r="BU122" s="154"/>
      <c r="BV122" s="154"/>
      <c r="BW122" s="154"/>
      <c r="BX122" s="154"/>
      <c r="BY122" s="154"/>
      <c r="BZ122" s="154"/>
      <c r="CA122" s="154"/>
      <c r="CB122" s="154"/>
      <c r="CC122" s="154"/>
      <c r="CD122" s="154"/>
      <c r="CE122" s="154"/>
      <c r="CF122" s="154"/>
      <c r="CG122" s="154"/>
      <c r="CH122" s="154"/>
      <c r="CI122" s="154"/>
      <c r="CJ122" s="154"/>
      <c r="CK122" s="154"/>
      <c r="CL122" s="154"/>
      <c r="CM122" s="154"/>
      <c r="CN122" s="154"/>
      <c r="CO122" s="154"/>
      <c r="CP122" s="154"/>
      <c r="CQ122" s="154"/>
      <c r="CR122" s="154"/>
      <c r="CS122" s="154"/>
      <c r="CT122" s="154"/>
      <c r="CU122" s="154"/>
      <c r="CV122" s="154"/>
      <c r="CW122" s="154"/>
      <c r="CX122" s="154"/>
      <c r="CY122" s="154"/>
      <c r="CZ122" s="154"/>
      <c r="DA122" s="154"/>
      <c r="DB122" s="154"/>
      <c r="DC122" s="154"/>
      <c r="DD122" s="154"/>
      <c r="DE122" s="154"/>
      <c r="DF122" s="154"/>
      <c r="DG122" s="154"/>
      <c r="DH122" s="154"/>
      <c r="DI122" s="154"/>
      <c r="DJ122" s="154"/>
      <c r="DK122" s="154"/>
      <c r="DL122" s="154"/>
      <c r="DM122" s="154"/>
      <c r="DN122" s="154"/>
      <c r="DO122" s="154"/>
      <c r="DP122" s="154"/>
      <c r="DQ122" s="154"/>
      <c r="DR122" s="154"/>
      <c r="DS122" s="154"/>
      <c r="DT122" s="154"/>
      <c r="DU122" s="154"/>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row>
    <row r="123" spans="2:153" ht="12.95" customHeight="1">
      <c r="B123" s="154"/>
      <c r="C123" s="380"/>
      <c r="D123" s="380"/>
      <c r="E123" s="154"/>
      <c r="F123" s="154"/>
      <c r="G123" s="154"/>
      <c r="H123" s="154"/>
      <c r="I123" s="154"/>
      <c r="J123" s="154"/>
      <c r="K123" s="154"/>
      <c r="L123" s="154"/>
      <c r="M123" s="154"/>
      <c r="N123" s="154"/>
      <c r="O123" s="154"/>
      <c r="P123" s="154"/>
      <c r="Q123" s="154"/>
      <c r="R123" s="154"/>
      <c r="S123" s="154"/>
      <c r="T123" s="154"/>
      <c r="U123" s="154"/>
      <c r="V123" s="154"/>
      <c r="W123" s="154"/>
      <c r="X123" s="154"/>
      <c r="Y123" s="154"/>
      <c r="Z123" s="154"/>
      <c r="AA123" s="154"/>
      <c r="AB123" s="154"/>
      <c r="AC123" s="154"/>
      <c r="AD123" s="154"/>
      <c r="AE123" s="154"/>
      <c r="AF123" s="367"/>
      <c r="AG123" s="368"/>
      <c r="AH123" s="368"/>
      <c r="AI123" s="368"/>
      <c r="AJ123" s="154"/>
      <c r="AK123" s="154"/>
      <c r="AL123" s="154"/>
      <c r="AM123" s="154"/>
      <c r="AN123" s="154"/>
      <c r="AO123" s="154"/>
      <c r="AP123" s="154"/>
      <c r="AQ123" s="154"/>
      <c r="AR123" s="154"/>
      <c r="AS123" s="154"/>
      <c r="AT123" s="154"/>
      <c r="AU123" s="154"/>
      <c r="AV123" s="154"/>
      <c r="AW123" s="154"/>
      <c r="AX123" s="154"/>
      <c r="AY123" s="154"/>
      <c r="AZ123" s="154"/>
      <c r="BA123" s="154"/>
      <c r="BB123" s="154"/>
      <c r="BC123" s="154"/>
      <c r="BD123" s="154"/>
      <c r="BE123" s="154"/>
      <c r="BF123" s="154"/>
      <c r="BG123" s="154"/>
      <c r="BH123" s="154"/>
      <c r="BI123" s="154"/>
      <c r="BJ123" s="154"/>
      <c r="BK123" s="154"/>
      <c r="BL123" s="154"/>
      <c r="BM123" s="154"/>
      <c r="BN123" s="154"/>
      <c r="BO123" s="154"/>
      <c r="BP123" s="154"/>
      <c r="BQ123" s="154"/>
      <c r="BR123" s="154"/>
      <c r="BS123" s="154"/>
      <c r="BT123" s="154"/>
      <c r="BU123" s="154"/>
      <c r="BV123" s="154"/>
      <c r="BW123" s="154"/>
      <c r="BX123" s="154"/>
      <c r="BY123" s="154"/>
      <c r="BZ123" s="154"/>
      <c r="CA123" s="154"/>
      <c r="CB123" s="154"/>
      <c r="CC123" s="154"/>
      <c r="CD123" s="154"/>
      <c r="CE123" s="154"/>
      <c r="CF123" s="154"/>
      <c r="CG123" s="154"/>
      <c r="CH123" s="154"/>
      <c r="CI123" s="154"/>
      <c r="CJ123" s="154"/>
      <c r="CK123" s="154"/>
      <c r="CL123" s="154"/>
      <c r="CM123" s="154"/>
      <c r="CN123" s="154"/>
      <c r="CO123" s="154"/>
      <c r="CP123" s="154"/>
      <c r="CQ123" s="154"/>
      <c r="CR123" s="154"/>
      <c r="CS123" s="154"/>
      <c r="CT123" s="154"/>
      <c r="CU123" s="154"/>
      <c r="CV123" s="154"/>
      <c r="CW123" s="154"/>
      <c r="CX123" s="154"/>
      <c r="CY123" s="154"/>
      <c r="CZ123" s="154"/>
      <c r="DA123" s="154"/>
      <c r="DB123" s="154"/>
      <c r="DC123" s="154"/>
      <c r="DD123" s="154"/>
      <c r="DE123" s="154"/>
      <c r="DF123" s="154"/>
      <c r="DG123" s="154"/>
      <c r="DH123" s="154"/>
      <c r="DI123" s="154"/>
      <c r="DJ123" s="154"/>
      <c r="DK123" s="154"/>
      <c r="DL123" s="154"/>
      <c r="DM123" s="154"/>
      <c r="DN123" s="154"/>
      <c r="DO123" s="154"/>
      <c r="DP123" s="154"/>
      <c r="DQ123" s="154"/>
      <c r="DR123" s="154"/>
      <c r="DS123" s="154"/>
      <c r="DT123" s="154"/>
      <c r="DU123" s="154"/>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row>
    <row r="124" spans="2:153" ht="12.95" customHeight="1">
      <c r="B124" s="154"/>
      <c r="C124" s="380"/>
      <c r="D124" s="380"/>
      <c r="E124" s="154"/>
      <c r="F124" s="154"/>
      <c r="G124" s="154"/>
      <c r="H124" s="154"/>
      <c r="I124" s="154"/>
      <c r="J124" s="154"/>
      <c r="K124" s="154"/>
      <c r="L124" s="154"/>
      <c r="M124" s="154"/>
      <c r="N124" s="154"/>
      <c r="O124" s="154"/>
      <c r="P124" s="154"/>
      <c r="Q124" s="154"/>
      <c r="R124" s="154"/>
      <c r="S124" s="154"/>
      <c r="T124" s="154"/>
      <c r="U124" s="154"/>
      <c r="V124" s="154"/>
      <c r="W124" s="154"/>
      <c r="X124" s="154"/>
      <c r="Y124" s="154"/>
      <c r="Z124" s="154"/>
      <c r="AA124" s="154"/>
      <c r="AB124" s="154"/>
      <c r="AC124" s="154"/>
      <c r="AD124" s="154"/>
      <c r="AE124" s="154"/>
      <c r="AF124" s="367"/>
      <c r="AG124" s="368"/>
      <c r="AH124" s="368"/>
      <c r="AI124" s="368"/>
      <c r="AJ124" s="154"/>
      <c r="AK124" s="154"/>
      <c r="AL124" s="154"/>
      <c r="AM124" s="154"/>
      <c r="AN124" s="154"/>
      <c r="AO124" s="154"/>
      <c r="AP124" s="154"/>
      <c r="AQ124" s="154"/>
      <c r="AR124" s="154"/>
      <c r="AS124" s="154"/>
      <c r="AT124" s="154"/>
      <c r="AU124" s="154"/>
      <c r="AV124" s="154"/>
      <c r="AW124" s="154"/>
      <c r="AX124" s="154"/>
      <c r="AY124" s="154"/>
      <c r="AZ124" s="154"/>
      <c r="BA124" s="154"/>
      <c r="BB124" s="154"/>
      <c r="BC124" s="154"/>
      <c r="BD124" s="154"/>
      <c r="BE124" s="154"/>
      <c r="BF124" s="154"/>
      <c r="BG124" s="154"/>
      <c r="BH124" s="154"/>
      <c r="BI124" s="154"/>
      <c r="BJ124" s="154"/>
      <c r="BK124" s="154"/>
      <c r="BL124" s="154"/>
      <c r="BM124" s="154"/>
      <c r="BN124" s="154"/>
      <c r="BO124" s="154"/>
      <c r="BP124" s="154"/>
      <c r="BQ124" s="154"/>
      <c r="BR124" s="154"/>
      <c r="BS124" s="154"/>
      <c r="BT124" s="154"/>
      <c r="BU124" s="154"/>
      <c r="BV124" s="154"/>
      <c r="BW124" s="154"/>
      <c r="BX124" s="154"/>
      <c r="BY124" s="154"/>
      <c r="BZ124" s="154"/>
      <c r="CA124" s="154"/>
      <c r="CB124" s="154"/>
      <c r="CC124" s="154"/>
      <c r="CD124" s="154"/>
      <c r="CE124" s="154"/>
      <c r="CF124" s="154"/>
      <c r="CG124" s="154"/>
      <c r="CH124" s="154"/>
      <c r="CI124" s="154"/>
      <c r="CJ124" s="154"/>
      <c r="CK124" s="154"/>
      <c r="CL124" s="154"/>
      <c r="CM124" s="154"/>
      <c r="CN124" s="154"/>
      <c r="CO124" s="154"/>
      <c r="CP124" s="154"/>
      <c r="CQ124" s="154"/>
      <c r="CR124" s="154"/>
      <c r="CS124" s="154"/>
      <c r="CT124" s="154"/>
      <c r="CU124" s="154"/>
      <c r="CV124" s="154"/>
      <c r="CW124" s="154"/>
      <c r="CX124" s="154"/>
      <c r="CY124" s="154"/>
      <c r="CZ124" s="154"/>
      <c r="DA124" s="154"/>
      <c r="DB124" s="154"/>
      <c r="DC124" s="154"/>
      <c r="DD124" s="154"/>
      <c r="DE124" s="154"/>
      <c r="DF124" s="154"/>
      <c r="DG124" s="154"/>
      <c r="DH124" s="154"/>
      <c r="DI124" s="154"/>
      <c r="DJ124" s="154"/>
      <c r="DK124" s="154"/>
      <c r="DL124" s="154"/>
      <c r="DM124" s="154"/>
      <c r="DN124" s="154"/>
      <c r="DO124" s="154"/>
      <c r="DP124" s="154"/>
      <c r="DQ124" s="154"/>
      <c r="DR124" s="154"/>
      <c r="DS124" s="154"/>
      <c r="DT124" s="154"/>
      <c r="DU124" s="154"/>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row>
    <row r="125" spans="2:153" ht="12.95" customHeight="1">
      <c r="B125" s="154"/>
      <c r="C125" s="380"/>
      <c r="D125" s="380"/>
      <c r="E125" s="154"/>
      <c r="F125" s="154"/>
      <c r="G125" s="154"/>
      <c r="H125" s="154"/>
      <c r="I125" s="154"/>
      <c r="J125" s="154"/>
      <c r="K125" s="154"/>
      <c r="L125" s="154"/>
      <c r="M125" s="154"/>
      <c r="N125" s="154"/>
      <c r="O125" s="154"/>
      <c r="P125" s="154"/>
      <c r="Q125" s="154"/>
      <c r="R125" s="154"/>
      <c r="S125" s="154"/>
      <c r="T125" s="154"/>
      <c r="U125" s="154"/>
      <c r="V125" s="154"/>
      <c r="W125" s="154"/>
      <c r="X125" s="154"/>
      <c r="Y125" s="154"/>
      <c r="Z125" s="154"/>
      <c r="AA125" s="154"/>
      <c r="AB125" s="154"/>
      <c r="AC125" s="154"/>
      <c r="AD125" s="154"/>
      <c r="AE125" s="154"/>
      <c r="AF125" s="367"/>
      <c r="AG125" s="368"/>
      <c r="AH125" s="368"/>
      <c r="AI125" s="368"/>
      <c r="AJ125" s="154"/>
      <c r="AK125" s="154"/>
      <c r="AL125" s="154"/>
      <c r="AM125" s="154"/>
      <c r="AN125" s="154"/>
      <c r="AO125" s="154"/>
      <c r="AP125" s="154"/>
      <c r="AQ125" s="154"/>
      <c r="AR125" s="154"/>
      <c r="AS125" s="154"/>
      <c r="AT125" s="154"/>
      <c r="AU125" s="154"/>
      <c r="AV125" s="154"/>
      <c r="AW125" s="154"/>
      <c r="AX125" s="154"/>
      <c r="AY125" s="154"/>
      <c r="AZ125" s="154"/>
      <c r="BA125" s="154"/>
      <c r="BB125" s="154"/>
      <c r="BC125" s="154"/>
      <c r="BD125" s="154"/>
      <c r="BE125" s="154"/>
      <c r="BF125" s="154"/>
      <c r="BG125" s="154"/>
      <c r="BH125" s="154"/>
      <c r="BI125" s="154"/>
      <c r="BJ125" s="154"/>
      <c r="BK125" s="154"/>
      <c r="BL125" s="154"/>
      <c r="BM125" s="154"/>
      <c r="BN125" s="154"/>
      <c r="BO125" s="154"/>
      <c r="BP125" s="154"/>
      <c r="BQ125" s="154"/>
      <c r="BR125" s="154"/>
      <c r="BS125" s="154"/>
      <c r="BT125" s="154"/>
      <c r="BU125" s="154"/>
      <c r="BV125" s="154"/>
      <c r="BW125" s="154"/>
      <c r="BX125" s="154"/>
      <c r="BY125" s="154"/>
      <c r="BZ125" s="154"/>
      <c r="CA125" s="154"/>
      <c r="CB125" s="154"/>
      <c r="CC125" s="154"/>
      <c r="CD125" s="154"/>
      <c r="CE125" s="154"/>
      <c r="CF125" s="154"/>
      <c r="CG125" s="154"/>
      <c r="CH125" s="154"/>
      <c r="CI125" s="154"/>
      <c r="CJ125" s="154"/>
      <c r="CK125" s="154"/>
      <c r="CL125" s="154"/>
      <c r="CM125" s="154"/>
      <c r="CN125" s="154"/>
      <c r="CO125" s="154"/>
      <c r="CP125" s="154"/>
      <c r="CQ125" s="154"/>
      <c r="CR125" s="154"/>
      <c r="CS125" s="154"/>
      <c r="CT125" s="154"/>
      <c r="CU125" s="154"/>
      <c r="CV125" s="154"/>
      <c r="CW125" s="154"/>
      <c r="CX125" s="154"/>
      <c r="CY125" s="154"/>
      <c r="CZ125" s="154"/>
      <c r="DA125" s="154"/>
      <c r="DB125" s="154"/>
      <c r="DC125" s="154"/>
      <c r="DD125" s="154"/>
      <c r="DE125" s="154"/>
      <c r="DF125" s="154"/>
      <c r="DG125" s="154"/>
      <c r="DH125" s="154"/>
      <c r="DI125" s="154"/>
      <c r="DJ125" s="154"/>
      <c r="DK125" s="154"/>
      <c r="DL125" s="154"/>
      <c r="DM125" s="154"/>
      <c r="DN125" s="154"/>
      <c r="DO125" s="154"/>
      <c r="DP125" s="154"/>
      <c r="DQ125" s="154"/>
      <c r="DR125" s="154"/>
      <c r="DS125" s="154"/>
      <c r="DT125" s="154"/>
      <c r="DU125" s="154"/>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row>
    <row r="126" spans="2:153" ht="12.95" customHeight="1">
      <c r="B126" s="154"/>
      <c r="C126" s="380"/>
      <c r="D126" s="380"/>
      <c r="E126" s="154"/>
      <c r="F126" s="154"/>
      <c r="G126" s="154"/>
      <c r="H126" s="154"/>
      <c r="I126" s="154"/>
      <c r="J126" s="154"/>
      <c r="K126" s="154"/>
      <c r="L126" s="154"/>
      <c r="M126" s="154"/>
      <c r="N126" s="154"/>
      <c r="O126" s="154"/>
      <c r="P126" s="154"/>
      <c r="Q126" s="154"/>
      <c r="R126" s="154"/>
      <c r="S126" s="154"/>
      <c r="T126" s="154"/>
      <c r="U126" s="154"/>
      <c r="V126" s="154"/>
      <c r="W126" s="154"/>
      <c r="X126" s="154"/>
      <c r="Y126" s="154"/>
      <c r="Z126" s="154"/>
      <c r="AA126" s="154"/>
      <c r="AB126" s="154"/>
      <c r="AC126" s="154"/>
      <c r="AD126" s="154"/>
      <c r="AE126" s="154"/>
      <c r="AF126" s="367"/>
      <c r="AG126" s="368"/>
      <c r="AH126" s="368"/>
      <c r="AI126" s="368"/>
      <c r="AJ126" s="154"/>
      <c r="AK126" s="154"/>
      <c r="AL126" s="154"/>
      <c r="AM126" s="154"/>
      <c r="AN126" s="154"/>
      <c r="AO126" s="154"/>
      <c r="AP126" s="154"/>
      <c r="AQ126" s="154"/>
      <c r="AR126" s="154"/>
      <c r="AS126" s="154"/>
      <c r="AT126" s="154"/>
      <c r="AU126" s="154"/>
      <c r="AV126" s="154"/>
      <c r="AW126" s="154"/>
      <c r="AX126" s="154"/>
      <c r="AY126" s="154"/>
      <c r="AZ126" s="154"/>
      <c r="BA126" s="154"/>
      <c r="BB126" s="154"/>
      <c r="BC126" s="154"/>
      <c r="BD126" s="154"/>
      <c r="BE126" s="154"/>
      <c r="BF126" s="154"/>
      <c r="BG126" s="154"/>
      <c r="BH126" s="154"/>
      <c r="BI126" s="154"/>
      <c r="BJ126" s="154"/>
      <c r="BK126" s="154"/>
      <c r="BL126" s="154"/>
      <c r="BM126" s="154"/>
      <c r="BN126" s="154"/>
      <c r="BO126" s="154"/>
      <c r="BP126" s="154"/>
      <c r="BQ126" s="154"/>
      <c r="BR126" s="154"/>
      <c r="BS126" s="154"/>
      <c r="BT126" s="154"/>
      <c r="BU126" s="154"/>
      <c r="BV126" s="154"/>
      <c r="BW126" s="154"/>
      <c r="BX126" s="154"/>
      <c r="BY126" s="154"/>
      <c r="BZ126" s="154"/>
      <c r="CA126" s="154"/>
      <c r="CB126" s="154"/>
      <c r="CC126" s="154"/>
      <c r="CD126" s="154"/>
      <c r="CE126" s="154"/>
      <c r="CF126" s="154"/>
      <c r="CG126" s="154"/>
      <c r="CH126" s="154"/>
      <c r="CI126" s="154"/>
      <c r="CJ126" s="154"/>
      <c r="CK126" s="154"/>
      <c r="CL126" s="154"/>
      <c r="CM126" s="154"/>
      <c r="CN126" s="154"/>
      <c r="CO126" s="154"/>
      <c r="CP126" s="154"/>
      <c r="CQ126" s="154"/>
      <c r="CR126" s="154"/>
      <c r="CS126" s="154"/>
      <c r="CT126" s="154"/>
      <c r="CU126" s="154"/>
      <c r="CV126" s="154"/>
      <c r="CW126" s="154"/>
      <c r="CX126" s="154"/>
      <c r="CY126" s="154"/>
      <c r="CZ126" s="154"/>
      <c r="DA126" s="154"/>
      <c r="DB126" s="154"/>
      <c r="DC126" s="154"/>
      <c r="DD126" s="154"/>
      <c r="DE126" s="154"/>
      <c r="DF126" s="154"/>
      <c r="DG126" s="154"/>
      <c r="DH126" s="154"/>
      <c r="DI126" s="154"/>
      <c r="DJ126" s="154"/>
      <c r="DK126" s="154"/>
      <c r="DL126" s="154"/>
      <c r="DM126" s="154"/>
      <c r="DN126" s="154"/>
      <c r="DO126" s="154"/>
      <c r="DP126" s="154"/>
      <c r="DQ126" s="154"/>
      <c r="DR126" s="154"/>
      <c r="DS126" s="154"/>
      <c r="DT126" s="154"/>
      <c r="DU126" s="154"/>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row>
    <row r="127" spans="2:153" ht="12.95" customHeight="1">
      <c r="B127" s="154"/>
      <c r="C127" s="380"/>
      <c r="D127" s="380"/>
      <c r="E127" s="154"/>
      <c r="F127" s="154"/>
      <c r="G127" s="154"/>
      <c r="H127" s="154"/>
      <c r="I127" s="154"/>
      <c r="J127" s="154"/>
      <c r="K127" s="154"/>
      <c r="L127" s="154"/>
      <c r="M127" s="154"/>
      <c r="N127" s="154"/>
      <c r="O127" s="154"/>
      <c r="P127" s="154"/>
      <c r="Q127" s="154"/>
      <c r="R127" s="154"/>
      <c r="S127" s="154"/>
      <c r="T127" s="154"/>
      <c r="U127" s="154"/>
      <c r="V127" s="154"/>
      <c r="W127" s="154"/>
      <c r="X127" s="154"/>
      <c r="Y127" s="154"/>
      <c r="Z127" s="154"/>
      <c r="AA127" s="154"/>
      <c r="AB127" s="154"/>
      <c r="AC127" s="154"/>
      <c r="AD127" s="154"/>
      <c r="AE127" s="154"/>
      <c r="AF127" s="367"/>
      <c r="AG127" s="368"/>
      <c r="AH127" s="368"/>
      <c r="AI127" s="368"/>
      <c r="AJ127" s="154"/>
      <c r="AK127" s="154"/>
      <c r="AL127" s="154"/>
      <c r="AM127" s="154"/>
      <c r="AN127" s="154"/>
      <c r="AO127" s="154"/>
      <c r="AP127" s="154"/>
      <c r="AQ127" s="154"/>
      <c r="AR127" s="154"/>
      <c r="AS127" s="154"/>
      <c r="AT127" s="154"/>
      <c r="AU127" s="154"/>
      <c r="AV127" s="154"/>
      <c r="AW127" s="154"/>
      <c r="AX127" s="154"/>
      <c r="AY127" s="154"/>
      <c r="AZ127" s="154"/>
      <c r="BA127" s="154"/>
      <c r="BB127" s="154"/>
      <c r="BC127" s="154"/>
      <c r="BD127" s="154"/>
      <c r="BE127" s="154"/>
      <c r="BF127" s="154"/>
      <c r="BG127" s="154"/>
      <c r="BH127" s="154"/>
      <c r="BI127" s="154"/>
      <c r="BJ127" s="154"/>
      <c r="BK127" s="154"/>
      <c r="BL127" s="154"/>
      <c r="BM127" s="154"/>
      <c r="BN127" s="154"/>
      <c r="BO127" s="154"/>
      <c r="BP127" s="154"/>
      <c r="BQ127" s="154"/>
      <c r="BR127" s="154"/>
      <c r="BS127" s="154"/>
      <c r="BT127" s="154"/>
      <c r="BU127" s="154"/>
      <c r="BV127" s="154"/>
      <c r="BW127" s="154"/>
      <c r="BX127" s="154"/>
      <c r="BY127" s="154"/>
      <c r="BZ127" s="154"/>
      <c r="CA127" s="154"/>
      <c r="CB127" s="154"/>
      <c r="CC127" s="154"/>
      <c r="CD127" s="154"/>
      <c r="CE127" s="154"/>
      <c r="CF127" s="154"/>
      <c r="CG127" s="154"/>
      <c r="CH127" s="154"/>
      <c r="CI127" s="154"/>
      <c r="CJ127" s="154"/>
      <c r="CK127" s="154"/>
      <c r="CL127" s="154"/>
      <c r="CM127" s="154"/>
      <c r="CN127" s="154"/>
      <c r="CO127" s="154"/>
      <c r="CP127" s="154"/>
      <c r="CQ127" s="154"/>
      <c r="CR127" s="154"/>
      <c r="CS127" s="154"/>
      <c r="CT127" s="154"/>
      <c r="CU127" s="154"/>
      <c r="CV127" s="154"/>
      <c r="CW127" s="154"/>
      <c r="CX127" s="154"/>
      <c r="CY127" s="154"/>
      <c r="CZ127" s="154"/>
      <c r="DA127" s="154"/>
      <c r="DB127" s="154"/>
      <c r="DC127" s="154"/>
      <c r="DD127" s="154"/>
      <c r="DE127" s="154"/>
      <c r="DF127" s="154"/>
      <c r="DG127" s="154"/>
      <c r="DH127" s="154"/>
      <c r="DI127" s="154"/>
      <c r="DJ127" s="154"/>
      <c r="DK127" s="154"/>
      <c r="DL127" s="154"/>
      <c r="DM127" s="154"/>
      <c r="DN127" s="154"/>
      <c r="DO127" s="154"/>
      <c r="DP127" s="154"/>
      <c r="DQ127" s="154"/>
      <c r="DR127" s="154"/>
      <c r="DS127" s="154"/>
      <c r="DT127" s="154"/>
      <c r="DU127" s="154"/>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row>
    <row r="128" spans="2:153" ht="12.95" customHeight="1">
      <c r="B128" s="154"/>
      <c r="C128" s="380"/>
      <c r="D128" s="380"/>
      <c r="E128" s="154"/>
      <c r="F128" s="154"/>
      <c r="G128" s="154"/>
      <c r="H128" s="154"/>
      <c r="I128" s="154"/>
      <c r="J128" s="154"/>
      <c r="K128" s="154"/>
      <c r="L128" s="154"/>
      <c r="M128" s="154"/>
      <c r="N128" s="154"/>
      <c r="O128" s="154"/>
      <c r="P128" s="154"/>
      <c r="Q128" s="154"/>
      <c r="R128" s="154"/>
      <c r="S128" s="154"/>
      <c r="T128" s="154"/>
      <c r="U128" s="154"/>
      <c r="V128" s="154"/>
      <c r="W128" s="154"/>
      <c r="X128" s="154"/>
      <c r="Y128" s="154"/>
      <c r="Z128" s="154"/>
      <c r="AA128" s="154"/>
      <c r="AB128" s="154"/>
      <c r="AC128" s="154"/>
      <c r="AD128" s="154"/>
      <c r="AE128" s="154"/>
      <c r="AF128" s="367"/>
      <c r="AG128" s="368"/>
      <c r="AH128" s="368"/>
      <c r="AI128" s="368"/>
      <c r="AJ128" s="154"/>
      <c r="AK128" s="154"/>
      <c r="AL128" s="154"/>
      <c r="AM128" s="154"/>
      <c r="AN128" s="154"/>
      <c r="AO128" s="154"/>
      <c r="AP128" s="154"/>
      <c r="AQ128" s="154"/>
      <c r="AR128" s="154"/>
      <c r="AS128" s="154"/>
      <c r="AT128" s="154"/>
      <c r="AU128" s="154"/>
      <c r="AV128" s="154"/>
      <c r="AW128" s="154"/>
      <c r="AX128" s="154"/>
      <c r="AY128" s="154"/>
      <c r="AZ128" s="154"/>
      <c r="BA128" s="154"/>
      <c r="BB128" s="154"/>
      <c r="BC128" s="154"/>
      <c r="BD128" s="154"/>
      <c r="BE128" s="154"/>
      <c r="BF128" s="154"/>
      <c r="BG128" s="154"/>
      <c r="BH128" s="154"/>
      <c r="BI128" s="154"/>
      <c r="BJ128" s="154"/>
      <c r="BK128" s="154"/>
      <c r="BL128" s="154"/>
      <c r="BM128" s="154"/>
      <c r="BN128" s="154"/>
      <c r="BO128" s="154"/>
      <c r="BP128" s="154"/>
      <c r="BQ128" s="154"/>
      <c r="BR128" s="154"/>
      <c r="BS128" s="154"/>
      <c r="BT128" s="154"/>
      <c r="BU128" s="154"/>
      <c r="BV128" s="154"/>
      <c r="BW128" s="154"/>
      <c r="BX128" s="154"/>
      <c r="BY128" s="154"/>
      <c r="BZ128" s="154"/>
      <c r="CA128" s="154"/>
      <c r="CB128" s="154"/>
      <c r="CC128" s="154"/>
      <c r="CD128" s="154"/>
      <c r="CE128" s="154"/>
      <c r="CF128" s="154"/>
      <c r="CG128" s="154"/>
      <c r="CH128" s="154"/>
      <c r="CI128" s="154"/>
      <c r="CJ128" s="154"/>
      <c r="CK128" s="154"/>
      <c r="CL128" s="154"/>
      <c r="CM128" s="154"/>
      <c r="CN128" s="154"/>
      <c r="CO128" s="154"/>
      <c r="CP128" s="154"/>
      <c r="CQ128" s="154"/>
      <c r="CR128" s="154"/>
      <c r="CS128" s="154"/>
      <c r="CT128" s="154"/>
      <c r="CU128" s="154"/>
      <c r="CV128" s="154"/>
      <c r="CW128" s="154"/>
      <c r="CX128" s="154"/>
      <c r="CY128" s="154"/>
      <c r="CZ128" s="154"/>
      <c r="DA128" s="154"/>
      <c r="DB128" s="154"/>
      <c r="DC128" s="154"/>
      <c r="DD128" s="154"/>
      <c r="DE128" s="154"/>
      <c r="DF128" s="154"/>
      <c r="DG128" s="154"/>
      <c r="DH128" s="154"/>
      <c r="DI128" s="154"/>
      <c r="DJ128" s="154"/>
      <c r="DK128" s="154"/>
      <c r="DL128" s="154"/>
      <c r="DM128" s="154"/>
      <c r="DN128" s="154"/>
      <c r="DO128" s="154"/>
      <c r="DP128" s="154"/>
      <c r="DQ128" s="154"/>
      <c r="DR128" s="154"/>
      <c r="DS128" s="154"/>
      <c r="DT128" s="154"/>
      <c r="DU128" s="154"/>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row>
    <row r="129" spans="2:153" ht="12.95" customHeight="1">
      <c r="B129" s="154"/>
      <c r="C129" s="380"/>
      <c r="D129" s="380"/>
      <c r="E129" s="154"/>
      <c r="F129" s="154"/>
      <c r="G129" s="154"/>
      <c r="H129" s="154"/>
      <c r="I129" s="154"/>
      <c r="J129" s="154"/>
      <c r="K129" s="154"/>
      <c r="L129" s="154"/>
      <c r="M129" s="154"/>
      <c r="N129" s="154"/>
      <c r="O129" s="154"/>
      <c r="P129" s="154"/>
      <c r="Q129" s="154"/>
      <c r="R129" s="154"/>
      <c r="S129" s="154"/>
      <c r="T129" s="154"/>
      <c r="U129" s="154"/>
      <c r="V129" s="154"/>
      <c r="W129" s="154"/>
      <c r="X129" s="154"/>
      <c r="Y129" s="154"/>
      <c r="Z129" s="154"/>
      <c r="AA129" s="154"/>
      <c r="AB129" s="154"/>
      <c r="AC129" s="154"/>
      <c r="AD129" s="154"/>
      <c r="AE129" s="154"/>
      <c r="AF129" s="367"/>
      <c r="AG129" s="368"/>
      <c r="AH129" s="368"/>
      <c r="AI129" s="368"/>
      <c r="AJ129" s="154"/>
      <c r="AK129" s="154"/>
      <c r="AL129" s="154"/>
      <c r="AM129" s="154"/>
      <c r="AN129" s="154"/>
      <c r="AO129" s="154"/>
      <c r="AP129" s="154"/>
      <c r="AQ129" s="154"/>
      <c r="AR129" s="154"/>
      <c r="AS129" s="154"/>
      <c r="AT129" s="154"/>
      <c r="AU129" s="154"/>
      <c r="AV129" s="154"/>
      <c r="AW129" s="154"/>
      <c r="AX129" s="154"/>
      <c r="AY129" s="154"/>
      <c r="AZ129" s="154"/>
      <c r="BA129" s="154"/>
      <c r="BB129" s="154"/>
      <c r="BC129" s="154"/>
      <c r="BD129" s="154"/>
      <c r="BE129" s="154"/>
      <c r="BF129" s="154"/>
      <c r="BG129" s="154"/>
      <c r="BH129" s="154"/>
      <c r="BI129" s="154"/>
      <c r="BJ129" s="154"/>
      <c r="BK129" s="154"/>
      <c r="BL129" s="154"/>
      <c r="BM129" s="154"/>
      <c r="BN129" s="154"/>
      <c r="BO129" s="154"/>
      <c r="BP129" s="154"/>
      <c r="BQ129" s="154"/>
      <c r="BR129" s="154"/>
      <c r="BS129" s="154"/>
      <c r="BT129" s="154"/>
      <c r="BU129" s="154"/>
      <c r="BV129" s="154"/>
      <c r="BW129" s="154"/>
      <c r="BX129" s="154"/>
      <c r="BY129" s="154"/>
      <c r="BZ129" s="154"/>
      <c r="CA129" s="154"/>
      <c r="CB129" s="154"/>
      <c r="CC129" s="154"/>
      <c r="CD129" s="154"/>
      <c r="CE129" s="154"/>
      <c r="CF129" s="154"/>
      <c r="CG129" s="154"/>
      <c r="CH129" s="154"/>
      <c r="CI129" s="154"/>
      <c r="CJ129" s="154"/>
      <c r="CK129" s="154"/>
      <c r="CL129" s="154"/>
      <c r="CM129" s="154"/>
      <c r="CN129" s="154"/>
      <c r="CO129" s="154"/>
      <c r="CP129" s="154"/>
      <c r="CQ129" s="154"/>
      <c r="CR129" s="154"/>
      <c r="CS129" s="154"/>
      <c r="CT129" s="154"/>
      <c r="CU129" s="154"/>
      <c r="CV129" s="154"/>
      <c r="CW129" s="154"/>
      <c r="CX129" s="154"/>
      <c r="CY129" s="154"/>
      <c r="CZ129" s="154"/>
      <c r="DA129" s="154"/>
      <c r="DB129" s="154"/>
      <c r="DC129" s="154"/>
      <c r="DD129" s="154"/>
      <c r="DE129" s="154"/>
      <c r="DF129" s="154"/>
      <c r="DG129" s="154"/>
      <c r="DH129" s="154"/>
      <c r="DI129" s="154"/>
      <c r="DJ129" s="154"/>
      <c r="DK129" s="154"/>
      <c r="DL129" s="154"/>
      <c r="DM129" s="154"/>
      <c r="DN129" s="154"/>
      <c r="DO129" s="154"/>
      <c r="DP129" s="154"/>
      <c r="DQ129" s="154"/>
      <c r="DR129" s="154"/>
      <c r="DS129" s="154"/>
      <c r="DT129" s="154"/>
      <c r="DU129" s="154"/>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row>
    <row r="130" spans="2:153" ht="12.95" customHeight="1">
      <c r="B130" s="154"/>
      <c r="C130" s="380"/>
      <c r="D130" s="380"/>
      <c r="E130" s="154"/>
      <c r="F130" s="154"/>
      <c r="G130" s="154"/>
      <c r="H130" s="154"/>
      <c r="I130" s="154"/>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367"/>
      <c r="AG130" s="368"/>
      <c r="AH130" s="368"/>
      <c r="AI130" s="368"/>
      <c r="AJ130" s="154"/>
      <c r="AK130" s="154"/>
      <c r="AL130" s="154"/>
      <c r="AM130" s="154"/>
      <c r="AN130" s="154"/>
      <c r="AO130" s="154"/>
      <c r="AP130" s="154"/>
      <c r="AQ130" s="154"/>
      <c r="AR130" s="154"/>
      <c r="AS130" s="154"/>
      <c r="AT130" s="154"/>
      <c r="AU130" s="154"/>
      <c r="AV130" s="154"/>
      <c r="AW130" s="154"/>
      <c r="AX130" s="154"/>
      <c r="AY130" s="154"/>
      <c r="AZ130" s="154"/>
      <c r="BA130" s="154"/>
      <c r="BB130" s="154"/>
      <c r="BC130" s="154"/>
      <c r="BD130" s="154"/>
      <c r="BE130" s="154"/>
      <c r="BF130" s="154"/>
      <c r="BG130" s="154"/>
      <c r="BH130" s="154"/>
      <c r="BI130" s="154"/>
      <c r="BJ130" s="154"/>
      <c r="BK130" s="154"/>
      <c r="BL130" s="154"/>
      <c r="BM130" s="154"/>
      <c r="BN130" s="154"/>
      <c r="BO130" s="154"/>
      <c r="BP130" s="154"/>
      <c r="BQ130" s="154"/>
      <c r="BR130" s="154"/>
      <c r="BS130" s="154"/>
      <c r="BT130" s="154"/>
      <c r="BU130" s="154"/>
      <c r="BV130" s="154"/>
      <c r="BW130" s="154"/>
      <c r="BX130" s="154"/>
      <c r="BY130" s="154"/>
      <c r="BZ130" s="154"/>
      <c r="CA130" s="154"/>
      <c r="CB130" s="154"/>
      <c r="CC130" s="154"/>
      <c r="CD130" s="154"/>
      <c r="CE130" s="154"/>
      <c r="CF130" s="154"/>
      <c r="CG130" s="154"/>
      <c r="CH130" s="154"/>
      <c r="CI130" s="154"/>
      <c r="CJ130" s="154"/>
      <c r="CK130" s="154"/>
      <c r="CL130" s="154"/>
      <c r="CM130" s="154"/>
      <c r="CN130" s="154"/>
      <c r="CO130" s="154"/>
      <c r="CP130" s="154"/>
      <c r="CQ130" s="154"/>
      <c r="CR130" s="154"/>
      <c r="CS130" s="154"/>
      <c r="CT130" s="154"/>
      <c r="CU130" s="154"/>
      <c r="CV130" s="154"/>
      <c r="CW130" s="154"/>
      <c r="CX130" s="154"/>
      <c r="CY130" s="154"/>
      <c r="CZ130" s="154"/>
      <c r="DA130" s="154"/>
      <c r="DB130" s="154"/>
      <c r="DC130" s="154"/>
      <c r="DD130" s="154"/>
      <c r="DE130" s="154"/>
      <c r="DF130" s="154"/>
      <c r="DG130" s="154"/>
      <c r="DH130" s="154"/>
      <c r="DI130" s="154"/>
      <c r="DJ130" s="154"/>
      <c r="DK130" s="154"/>
      <c r="DL130" s="154"/>
      <c r="DM130" s="154"/>
      <c r="DN130" s="154"/>
      <c r="DO130" s="154"/>
      <c r="DP130" s="154"/>
      <c r="DQ130" s="154"/>
      <c r="DR130" s="154"/>
      <c r="DS130" s="154"/>
      <c r="DT130" s="154"/>
      <c r="DU130" s="154"/>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row>
    <row r="131" spans="2:153" ht="12.95" customHeight="1">
      <c r="B131" s="154"/>
      <c r="C131" s="380"/>
      <c r="D131" s="380"/>
      <c r="E131" s="154"/>
      <c r="F131" s="154"/>
      <c r="G131" s="154"/>
      <c r="H131" s="154"/>
      <c r="I131" s="154"/>
      <c r="J131" s="154"/>
      <c r="K131" s="154"/>
      <c r="L131" s="154"/>
      <c r="M131" s="154"/>
      <c r="N131" s="154"/>
      <c r="O131" s="154"/>
      <c r="P131" s="154"/>
      <c r="Q131" s="154"/>
      <c r="R131" s="154"/>
      <c r="S131" s="154"/>
      <c r="T131" s="154"/>
      <c r="U131" s="154"/>
      <c r="V131" s="154"/>
      <c r="W131" s="154"/>
      <c r="X131" s="154"/>
      <c r="Y131" s="154"/>
      <c r="Z131" s="154"/>
      <c r="AA131" s="154"/>
      <c r="AB131" s="154"/>
      <c r="AC131" s="154"/>
      <c r="AD131" s="154"/>
      <c r="AE131" s="154"/>
      <c r="AF131" s="367"/>
      <c r="AG131" s="368"/>
      <c r="AH131" s="368"/>
      <c r="AI131" s="368"/>
      <c r="AJ131" s="154"/>
      <c r="AK131" s="154"/>
      <c r="AL131" s="154"/>
      <c r="AM131" s="154"/>
      <c r="AN131" s="154"/>
      <c r="AO131" s="154"/>
      <c r="AP131" s="154"/>
      <c r="AQ131" s="154"/>
      <c r="AR131" s="154"/>
      <c r="AS131" s="154"/>
      <c r="AT131" s="154"/>
      <c r="AU131" s="154"/>
      <c r="AV131" s="154"/>
      <c r="AW131" s="154"/>
      <c r="AX131" s="154"/>
      <c r="AY131" s="154"/>
      <c r="AZ131" s="154"/>
      <c r="BA131" s="154"/>
      <c r="BB131" s="154"/>
      <c r="BC131" s="154"/>
      <c r="BD131" s="154"/>
      <c r="BE131" s="154"/>
      <c r="BF131" s="154"/>
      <c r="BG131" s="154"/>
      <c r="BH131" s="154"/>
      <c r="BI131" s="154"/>
      <c r="BJ131" s="154"/>
      <c r="BK131" s="154"/>
      <c r="BL131" s="154"/>
      <c r="BM131" s="154"/>
      <c r="BN131" s="154"/>
      <c r="BO131" s="154"/>
      <c r="BP131" s="154"/>
      <c r="BQ131" s="154"/>
      <c r="BR131" s="154"/>
      <c r="BS131" s="154"/>
      <c r="BT131" s="154"/>
      <c r="BU131" s="154"/>
      <c r="BV131" s="154"/>
      <c r="BW131" s="154"/>
      <c r="BX131" s="154"/>
      <c r="BY131" s="154"/>
      <c r="BZ131" s="154"/>
      <c r="CA131" s="154"/>
      <c r="CB131" s="154"/>
      <c r="CC131" s="154"/>
      <c r="CD131" s="154"/>
      <c r="CE131" s="154"/>
      <c r="CF131" s="154"/>
      <c r="CG131" s="154"/>
      <c r="CH131" s="154"/>
      <c r="CI131" s="154"/>
      <c r="CJ131" s="154"/>
      <c r="CK131" s="154"/>
      <c r="CL131" s="154"/>
      <c r="CM131" s="154"/>
      <c r="CN131" s="154"/>
      <c r="CO131" s="154"/>
      <c r="CP131" s="154"/>
      <c r="CQ131" s="154"/>
      <c r="CR131" s="154"/>
      <c r="CS131" s="154"/>
      <c r="CT131" s="154"/>
      <c r="CU131" s="154"/>
      <c r="CV131" s="154"/>
      <c r="CW131" s="154"/>
      <c r="CX131" s="154"/>
      <c r="CY131" s="154"/>
      <c r="CZ131" s="154"/>
      <c r="DA131" s="154"/>
      <c r="DB131" s="154"/>
      <c r="DC131" s="154"/>
      <c r="DD131" s="154"/>
      <c r="DE131" s="154"/>
      <c r="DF131" s="154"/>
      <c r="DG131" s="154"/>
      <c r="DH131" s="154"/>
      <c r="DI131" s="154"/>
      <c r="DJ131" s="154"/>
      <c r="DK131" s="154"/>
      <c r="DL131" s="154"/>
      <c r="DM131" s="154"/>
      <c r="DN131" s="154"/>
      <c r="DO131" s="154"/>
      <c r="DP131" s="154"/>
      <c r="DQ131" s="154"/>
      <c r="DR131" s="154"/>
      <c r="DS131" s="154"/>
      <c r="DT131" s="154"/>
      <c r="DU131" s="154"/>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row>
    <row r="132" spans="2:153" ht="12.95" customHeight="1">
      <c r="B132" s="154"/>
      <c r="C132" s="380"/>
      <c r="D132" s="380"/>
      <c r="E132" s="154"/>
      <c r="F132" s="154"/>
      <c r="G132" s="154"/>
      <c r="H132" s="154"/>
      <c r="I132" s="154"/>
      <c r="J132" s="154"/>
      <c r="K132" s="154"/>
      <c r="L132" s="154"/>
      <c r="M132" s="154"/>
      <c r="N132" s="154"/>
      <c r="O132" s="154"/>
      <c r="P132" s="154"/>
      <c r="Q132" s="154"/>
      <c r="R132" s="154"/>
      <c r="S132" s="154"/>
      <c r="T132" s="154"/>
      <c r="U132" s="154"/>
      <c r="V132" s="154"/>
      <c r="W132" s="154"/>
      <c r="X132" s="154"/>
      <c r="Y132" s="154"/>
      <c r="Z132" s="154"/>
      <c r="AA132" s="154"/>
      <c r="AB132" s="154"/>
      <c r="AC132" s="154"/>
      <c r="AD132" s="154"/>
      <c r="AE132" s="154"/>
      <c r="AF132" s="367"/>
      <c r="AG132" s="368"/>
      <c r="AH132" s="368"/>
      <c r="AI132" s="368"/>
      <c r="AJ132" s="154"/>
      <c r="AK132" s="154"/>
      <c r="AL132" s="154"/>
      <c r="AM132" s="154"/>
      <c r="AN132" s="154"/>
      <c r="AO132" s="154"/>
      <c r="AP132" s="154"/>
      <c r="AQ132" s="154"/>
      <c r="AR132" s="154"/>
      <c r="AS132" s="154"/>
      <c r="AT132" s="154"/>
      <c r="AU132" s="154"/>
      <c r="AV132" s="154"/>
      <c r="AW132" s="154"/>
      <c r="AX132" s="154"/>
      <c r="AY132" s="154"/>
      <c r="AZ132" s="154"/>
      <c r="BA132" s="154"/>
      <c r="BB132" s="154"/>
      <c r="BC132" s="154"/>
      <c r="BD132" s="154"/>
      <c r="BE132" s="154"/>
      <c r="BF132" s="154"/>
      <c r="BG132" s="154"/>
      <c r="BH132" s="154"/>
      <c r="BI132" s="154"/>
      <c r="BJ132" s="154"/>
      <c r="BK132" s="154"/>
      <c r="BL132" s="154"/>
      <c r="BM132" s="154"/>
      <c r="BN132" s="154"/>
      <c r="BO132" s="154"/>
      <c r="BP132" s="154"/>
      <c r="BQ132" s="154"/>
      <c r="BR132" s="154"/>
      <c r="BS132" s="154"/>
      <c r="BT132" s="154"/>
      <c r="BU132" s="154"/>
      <c r="BV132" s="154"/>
      <c r="BW132" s="154"/>
      <c r="BX132" s="154"/>
      <c r="BY132" s="154"/>
      <c r="BZ132" s="154"/>
      <c r="CA132" s="154"/>
      <c r="CB132" s="154"/>
      <c r="CC132" s="154"/>
      <c r="CD132" s="154"/>
      <c r="CE132" s="154"/>
      <c r="CF132" s="154"/>
      <c r="CG132" s="154"/>
      <c r="CH132" s="154"/>
      <c r="CI132" s="154"/>
      <c r="CJ132" s="154"/>
      <c r="CK132" s="154"/>
      <c r="CL132" s="154"/>
      <c r="CM132" s="154"/>
      <c r="CN132" s="154"/>
      <c r="CO132" s="154"/>
      <c r="CP132" s="154"/>
      <c r="CQ132" s="154"/>
      <c r="CR132" s="154"/>
      <c r="CS132" s="154"/>
      <c r="CT132" s="154"/>
      <c r="CU132" s="154"/>
      <c r="CV132" s="154"/>
      <c r="CW132" s="154"/>
      <c r="CX132" s="154"/>
      <c r="CY132" s="154"/>
      <c r="CZ132" s="154"/>
      <c r="DA132" s="154"/>
      <c r="DB132" s="154"/>
      <c r="DC132" s="154"/>
      <c r="DD132" s="154"/>
      <c r="DE132" s="154"/>
      <c r="DF132" s="154"/>
      <c r="DG132" s="154"/>
      <c r="DH132" s="154"/>
      <c r="DI132" s="154"/>
      <c r="DJ132" s="154"/>
      <c r="DK132" s="154"/>
      <c r="DL132" s="154"/>
      <c r="DM132" s="154"/>
      <c r="DN132" s="154"/>
      <c r="DO132" s="154"/>
      <c r="DP132" s="154"/>
      <c r="DQ132" s="154"/>
      <c r="DR132" s="154"/>
      <c r="DS132" s="154"/>
      <c r="DT132" s="154"/>
      <c r="DU132" s="154"/>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row>
    <row r="133" spans="2:153" ht="12.95" customHeight="1">
      <c r="B133" s="154"/>
      <c r="C133" s="380"/>
      <c r="D133" s="380"/>
      <c r="E133" s="154"/>
      <c r="F133" s="154"/>
      <c r="G133" s="154"/>
      <c r="H133" s="154"/>
      <c r="I133" s="154"/>
      <c r="J133" s="154"/>
      <c r="K133" s="154"/>
      <c r="L133" s="154"/>
      <c r="M133" s="154"/>
      <c r="N133" s="154"/>
      <c r="O133" s="154"/>
      <c r="P133" s="154"/>
      <c r="Q133" s="154"/>
      <c r="R133" s="154"/>
      <c r="S133" s="154"/>
      <c r="T133" s="154"/>
      <c r="U133" s="154"/>
      <c r="V133" s="154"/>
      <c r="W133" s="154"/>
      <c r="X133" s="154"/>
      <c r="Y133" s="154"/>
      <c r="Z133" s="154"/>
      <c r="AA133" s="154"/>
      <c r="AB133" s="154"/>
      <c r="AC133" s="154"/>
      <c r="AD133" s="154"/>
      <c r="AE133" s="154"/>
      <c r="AF133" s="367"/>
      <c r="AG133" s="368"/>
      <c r="AH133" s="368"/>
      <c r="AI133" s="368"/>
      <c r="AJ133" s="154"/>
      <c r="AK133" s="154"/>
      <c r="AL133" s="154"/>
      <c r="AM133" s="154"/>
      <c r="AN133" s="154"/>
      <c r="AO133" s="154"/>
      <c r="AP133" s="154"/>
      <c r="AQ133" s="154"/>
      <c r="AR133" s="154"/>
      <c r="AS133" s="154"/>
      <c r="AT133" s="154"/>
      <c r="AU133" s="154"/>
      <c r="AV133" s="154"/>
      <c r="AW133" s="154"/>
      <c r="AX133" s="154"/>
      <c r="AY133" s="154"/>
      <c r="AZ133" s="154"/>
      <c r="BA133" s="154"/>
      <c r="BB133" s="154"/>
      <c r="BC133" s="154"/>
      <c r="BD133" s="154"/>
      <c r="BE133" s="154"/>
      <c r="BF133" s="154"/>
      <c r="BG133" s="154"/>
      <c r="BH133" s="154"/>
      <c r="BI133" s="154"/>
      <c r="BJ133" s="154"/>
      <c r="BK133" s="154"/>
      <c r="BL133" s="154"/>
      <c r="BM133" s="154"/>
      <c r="BN133" s="154"/>
      <c r="BO133" s="154"/>
      <c r="BP133" s="154"/>
      <c r="BQ133" s="154"/>
      <c r="BR133" s="154"/>
      <c r="BS133" s="154"/>
      <c r="BT133" s="154"/>
      <c r="BU133" s="154"/>
      <c r="BV133" s="154"/>
      <c r="BW133" s="154"/>
      <c r="BX133" s="154"/>
      <c r="BY133" s="154"/>
      <c r="BZ133" s="154"/>
      <c r="CA133" s="154"/>
      <c r="CB133" s="154"/>
      <c r="CC133" s="154"/>
      <c r="CD133" s="154"/>
      <c r="CE133" s="154"/>
      <c r="CF133" s="154"/>
      <c r="CG133" s="154"/>
      <c r="CH133" s="154"/>
      <c r="CI133" s="154"/>
      <c r="CJ133" s="154"/>
      <c r="CK133" s="154"/>
      <c r="CL133" s="154"/>
      <c r="CM133" s="154"/>
      <c r="CN133" s="154"/>
      <c r="CO133" s="154"/>
      <c r="CP133" s="154"/>
      <c r="CQ133" s="154"/>
      <c r="CR133" s="154"/>
      <c r="CS133" s="154"/>
      <c r="CT133" s="154"/>
      <c r="CU133" s="154"/>
      <c r="CV133" s="154"/>
      <c r="CW133" s="154"/>
      <c r="CX133" s="154"/>
      <c r="CY133" s="154"/>
      <c r="CZ133" s="154"/>
      <c r="DA133" s="154"/>
      <c r="DB133" s="154"/>
      <c r="DC133" s="154"/>
      <c r="DD133" s="154"/>
      <c r="DE133" s="154"/>
      <c r="DF133" s="154"/>
      <c r="DG133" s="154"/>
      <c r="DH133" s="154"/>
      <c r="DI133" s="154"/>
      <c r="DJ133" s="154"/>
      <c r="DK133" s="154"/>
      <c r="DL133" s="154"/>
      <c r="DM133" s="154"/>
      <c r="DN133" s="154"/>
      <c r="DO133" s="154"/>
      <c r="DP133" s="154"/>
      <c r="DQ133" s="154"/>
      <c r="DR133" s="154"/>
      <c r="DS133" s="154"/>
      <c r="DT133" s="154"/>
      <c r="DU133" s="154"/>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row>
    <row r="134" spans="2:153" ht="12.95" customHeight="1">
      <c r="B134" s="154"/>
      <c r="C134" s="380"/>
      <c r="D134" s="380"/>
      <c r="E134" s="154"/>
      <c r="F134" s="154"/>
      <c r="G134" s="154"/>
      <c r="H134" s="154"/>
      <c r="I134" s="154"/>
      <c r="J134" s="154"/>
      <c r="K134" s="154"/>
      <c r="L134" s="154"/>
      <c r="M134" s="154"/>
      <c r="N134" s="154"/>
      <c r="O134" s="154"/>
      <c r="P134" s="154"/>
      <c r="Q134" s="154"/>
      <c r="R134" s="154"/>
      <c r="S134" s="154"/>
      <c r="T134" s="154"/>
      <c r="U134" s="154"/>
      <c r="V134" s="154"/>
      <c r="W134" s="154"/>
      <c r="X134" s="154"/>
      <c r="Y134" s="154"/>
      <c r="Z134" s="154"/>
      <c r="AA134" s="154"/>
      <c r="AB134" s="154"/>
      <c r="AC134" s="154"/>
      <c r="AD134" s="154"/>
      <c r="AE134" s="154"/>
      <c r="AF134" s="367"/>
      <c r="AG134" s="368"/>
      <c r="AH134" s="368"/>
      <c r="AI134" s="368"/>
      <c r="AJ134" s="154"/>
      <c r="AK134" s="154"/>
      <c r="AL134" s="154"/>
      <c r="AM134" s="154"/>
      <c r="AN134" s="154"/>
      <c r="AO134" s="154"/>
      <c r="AP134" s="154"/>
      <c r="AQ134" s="154"/>
      <c r="AR134" s="154"/>
      <c r="AS134" s="154"/>
      <c r="AT134" s="154"/>
      <c r="AU134" s="154"/>
      <c r="AV134" s="154"/>
      <c r="AW134" s="154"/>
      <c r="AX134" s="154"/>
      <c r="AY134" s="154"/>
      <c r="AZ134" s="154"/>
      <c r="BA134" s="154"/>
      <c r="BB134" s="154"/>
      <c r="BC134" s="154"/>
      <c r="BD134" s="154"/>
      <c r="BE134" s="154"/>
      <c r="BF134" s="154"/>
      <c r="BG134" s="154"/>
      <c r="BH134" s="154"/>
      <c r="BI134" s="154"/>
      <c r="BJ134" s="154"/>
      <c r="BK134" s="154"/>
      <c r="BL134" s="154"/>
      <c r="BM134" s="154"/>
      <c r="BN134" s="154"/>
      <c r="BO134" s="154"/>
      <c r="BP134" s="154"/>
      <c r="BQ134" s="154"/>
      <c r="BR134" s="154"/>
      <c r="BS134" s="154"/>
      <c r="BT134" s="154"/>
      <c r="BU134" s="154"/>
      <c r="BV134" s="154"/>
      <c r="BW134" s="154"/>
      <c r="BX134" s="154"/>
      <c r="BY134" s="154"/>
      <c r="BZ134" s="154"/>
      <c r="CA134" s="154"/>
      <c r="CB134" s="154"/>
      <c r="CC134" s="154"/>
      <c r="CD134" s="154"/>
      <c r="CE134" s="154"/>
      <c r="CF134" s="154"/>
      <c r="CG134" s="154"/>
      <c r="CH134" s="154"/>
      <c r="CI134" s="154"/>
      <c r="CJ134" s="154"/>
      <c r="CK134" s="154"/>
      <c r="CL134" s="154"/>
      <c r="CM134" s="154"/>
      <c r="CN134" s="154"/>
      <c r="CO134" s="154"/>
      <c r="CP134" s="154"/>
      <c r="CQ134" s="154"/>
      <c r="CR134" s="154"/>
      <c r="CS134" s="154"/>
      <c r="CT134" s="154"/>
      <c r="CU134" s="154"/>
      <c r="CV134" s="154"/>
      <c r="CW134" s="154"/>
      <c r="CX134" s="154"/>
      <c r="CY134" s="154"/>
      <c r="CZ134" s="154"/>
      <c r="DA134" s="154"/>
      <c r="DB134" s="154"/>
      <c r="DC134" s="154"/>
      <c r="DD134" s="154"/>
      <c r="DE134" s="154"/>
      <c r="DF134" s="154"/>
      <c r="DG134" s="154"/>
      <c r="DH134" s="154"/>
      <c r="DI134" s="154"/>
      <c r="DJ134" s="154"/>
      <c r="DK134" s="154"/>
      <c r="DL134" s="154"/>
      <c r="DM134" s="154"/>
      <c r="DN134" s="154"/>
      <c r="DO134" s="154"/>
      <c r="DP134" s="154"/>
      <c r="DQ134" s="154"/>
      <c r="DR134" s="154"/>
      <c r="DS134" s="154"/>
      <c r="DT134" s="154"/>
      <c r="DU134" s="154"/>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row>
    <row r="135" spans="2:153" ht="12.95" customHeight="1">
      <c r="B135" s="154"/>
      <c r="C135" s="380"/>
      <c r="D135" s="380"/>
      <c r="E135" s="154"/>
      <c r="F135" s="154"/>
      <c r="G135" s="154"/>
      <c r="H135" s="154"/>
      <c r="I135" s="154"/>
      <c r="J135" s="154"/>
      <c r="K135" s="154"/>
      <c r="L135" s="154"/>
      <c r="M135" s="154"/>
      <c r="N135" s="154"/>
      <c r="O135" s="154"/>
      <c r="P135" s="154"/>
      <c r="Q135" s="154"/>
      <c r="R135" s="154"/>
      <c r="S135" s="154"/>
      <c r="T135" s="154"/>
      <c r="U135" s="154"/>
      <c r="V135" s="154"/>
      <c r="W135" s="154"/>
      <c r="X135" s="154"/>
      <c r="Y135" s="154"/>
      <c r="Z135" s="154"/>
      <c r="AA135" s="154"/>
      <c r="AB135" s="154"/>
      <c r="AC135" s="154"/>
      <c r="AD135" s="154"/>
      <c r="AE135" s="154"/>
      <c r="AF135" s="367"/>
      <c r="AG135" s="368"/>
      <c r="AH135" s="368"/>
      <c r="AI135" s="368"/>
      <c r="AJ135" s="154"/>
      <c r="AK135" s="154"/>
      <c r="AL135" s="154"/>
      <c r="AM135" s="154"/>
      <c r="AN135" s="154"/>
      <c r="AO135" s="154"/>
      <c r="AP135" s="154"/>
      <c r="AQ135" s="154"/>
      <c r="AR135" s="154"/>
      <c r="AS135" s="154"/>
      <c r="AT135" s="154"/>
      <c r="AU135" s="154"/>
      <c r="AV135" s="154"/>
      <c r="AW135" s="154"/>
      <c r="AX135" s="154"/>
      <c r="AY135" s="154"/>
      <c r="AZ135" s="154"/>
      <c r="BA135" s="154"/>
      <c r="BB135" s="154"/>
      <c r="BC135" s="154"/>
      <c r="BD135" s="154"/>
      <c r="BE135" s="154"/>
      <c r="BF135" s="154"/>
      <c r="BG135" s="154"/>
      <c r="BH135" s="154"/>
      <c r="BI135" s="154"/>
      <c r="BJ135" s="154"/>
      <c r="BK135" s="154"/>
      <c r="BL135" s="154"/>
      <c r="BM135" s="154"/>
      <c r="BN135" s="154"/>
      <c r="BO135" s="154"/>
      <c r="BP135" s="154"/>
      <c r="BQ135" s="154"/>
      <c r="BR135" s="154"/>
      <c r="BS135" s="154"/>
      <c r="BT135" s="154"/>
      <c r="BU135" s="154"/>
      <c r="BV135" s="154"/>
      <c r="BW135" s="154"/>
      <c r="BX135" s="154"/>
      <c r="BY135" s="154"/>
      <c r="BZ135" s="154"/>
      <c r="CA135" s="154"/>
      <c r="CB135" s="154"/>
      <c r="CC135" s="154"/>
      <c r="CD135" s="154"/>
      <c r="CE135" s="154"/>
      <c r="CF135" s="154"/>
      <c r="CG135" s="154"/>
      <c r="CH135" s="154"/>
      <c r="CI135" s="154"/>
      <c r="CJ135" s="154"/>
      <c r="CK135" s="154"/>
      <c r="CL135" s="154"/>
      <c r="CM135" s="154"/>
      <c r="CN135" s="154"/>
      <c r="CO135" s="154"/>
      <c r="CP135" s="154"/>
      <c r="CQ135" s="154"/>
      <c r="CR135" s="154"/>
      <c r="CS135" s="154"/>
      <c r="CT135" s="154"/>
      <c r="CU135" s="154"/>
      <c r="CV135" s="154"/>
      <c r="CW135" s="154"/>
      <c r="CX135" s="154"/>
      <c r="CY135" s="154"/>
      <c r="CZ135" s="154"/>
      <c r="DA135" s="154"/>
      <c r="DB135" s="154"/>
      <c r="DC135" s="154"/>
      <c r="DD135" s="154"/>
      <c r="DE135" s="154"/>
      <c r="DF135" s="154"/>
      <c r="DG135" s="154"/>
      <c r="DH135" s="154"/>
      <c r="DI135" s="154"/>
      <c r="DJ135" s="154"/>
      <c r="DK135" s="154"/>
      <c r="DL135" s="154"/>
      <c r="DM135" s="154"/>
      <c r="DN135" s="154"/>
      <c r="DO135" s="154"/>
      <c r="DP135" s="154"/>
      <c r="DQ135" s="154"/>
      <c r="DR135" s="154"/>
      <c r="DS135" s="154"/>
      <c r="DT135" s="154"/>
      <c r="DU135" s="154"/>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row>
    <row r="136" spans="2:153" ht="12.95" customHeight="1">
      <c r="B136" s="154"/>
      <c r="C136" s="380"/>
      <c r="D136" s="380"/>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367"/>
      <c r="AG136" s="368"/>
      <c r="AH136" s="368"/>
      <c r="AI136" s="368"/>
      <c r="AJ136" s="154"/>
      <c r="AK136" s="154"/>
      <c r="AL136" s="154"/>
      <c r="AM136" s="154"/>
      <c r="AN136" s="154"/>
      <c r="AO136" s="154"/>
      <c r="AP136" s="154"/>
      <c r="AQ136" s="154"/>
      <c r="AR136" s="154"/>
      <c r="AS136" s="154"/>
      <c r="AT136" s="154"/>
      <c r="AU136" s="154"/>
      <c r="AV136" s="154"/>
      <c r="AW136" s="154"/>
      <c r="AX136" s="154"/>
      <c r="AY136" s="154"/>
      <c r="AZ136" s="154"/>
      <c r="BA136" s="154"/>
      <c r="BB136" s="154"/>
      <c r="BC136" s="154"/>
      <c r="BD136" s="154"/>
      <c r="BE136" s="154"/>
      <c r="BF136" s="154"/>
      <c r="BG136" s="154"/>
      <c r="BH136" s="154"/>
      <c r="BI136" s="154"/>
      <c r="BJ136" s="154"/>
      <c r="BK136" s="154"/>
      <c r="BL136" s="154"/>
      <c r="BM136" s="154"/>
      <c r="BN136" s="154"/>
      <c r="BO136" s="154"/>
      <c r="BP136" s="154"/>
      <c r="BQ136" s="154"/>
      <c r="BR136" s="154"/>
      <c r="BS136" s="154"/>
      <c r="BT136" s="154"/>
      <c r="BU136" s="154"/>
      <c r="BV136" s="154"/>
      <c r="BW136" s="154"/>
      <c r="BX136" s="154"/>
      <c r="BY136" s="154"/>
      <c r="BZ136" s="154"/>
      <c r="CA136" s="154"/>
      <c r="CB136" s="154"/>
      <c r="CC136" s="154"/>
      <c r="CD136" s="154"/>
      <c r="CE136" s="154"/>
      <c r="CF136" s="154"/>
      <c r="CG136" s="154"/>
      <c r="CH136" s="154"/>
      <c r="CI136" s="154"/>
      <c r="CJ136" s="154"/>
      <c r="CK136" s="154"/>
      <c r="CL136" s="154"/>
      <c r="CM136" s="154"/>
      <c r="CN136" s="154"/>
      <c r="CO136" s="154"/>
      <c r="CP136" s="154"/>
      <c r="CQ136" s="154"/>
      <c r="CR136" s="154"/>
      <c r="CS136" s="154"/>
      <c r="CT136" s="154"/>
      <c r="CU136" s="154"/>
      <c r="CV136" s="154"/>
      <c r="CW136" s="154"/>
      <c r="CX136" s="154"/>
      <c r="CY136" s="154"/>
      <c r="CZ136" s="154"/>
      <c r="DA136" s="154"/>
      <c r="DB136" s="154"/>
      <c r="DC136" s="154"/>
      <c r="DD136" s="154"/>
      <c r="DE136" s="154"/>
      <c r="DF136" s="154"/>
      <c r="DG136" s="154"/>
      <c r="DH136" s="154"/>
      <c r="DI136" s="154"/>
      <c r="DJ136" s="154"/>
      <c r="DK136" s="154"/>
      <c r="DL136" s="154"/>
      <c r="DM136" s="154"/>
      <c r="DN136" s="154"/>
      <c r="DO136" s="154"/>
      <c r="DP136" s="154"/>
      <c r="DQ136" s="154"/>
      <c r="DR136" s="154"/>
      <c r="DS136" s="154"/>
      <c r="DT136" s="154"/>
      <c r="DU136" s="154"/>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row>
    <row r="137" spans="2:153" ht="12.95" customHeight="1">
      <c r="B137" s="154"/>
      <c r="C137" s="380"/>
      <c r="D137" s="380"/>
      <c r="E137" s="154"/>
      <c r="F137" s="154"/>
      <c r="G137" s="154"/>
      <c r="H137" s="154"/>
      <c r="I137" s="154"/>
      <c r="J137" s="154"/>
      <c r="K137" s="154"/>
      <c r="L137" s="154"/>
      <c r="M137" s="154"/>
      <c r="N137" s="154"/>
      <c r="O137" s="154"/>
      <c r="P137" s="154"/>
      <c r="Q137" s="154"/>
      <c r="R137" s="154"/>
      <c r="S137" s="154"/>
      <c r="T137" s="154"/>
      <c r="U137" s="154"/>
      <c r="V137" s="154"/>
      <c r="W137" s="154"/>
      <c r="X137" s="154"/>
      <c r="Y137" s="154"/>
      <c r="Z137" s="154"/>
      <c r="AA137" s="154"/>
      <c r="AB137" s="154"/>
      <c r="AC137" s="154"/>
      <c r="AD137" s="154"/>
      <c r="AE137" s="154"/>
      <c r="AF137" s="367"/>
      <c r="AG137" s="368"/>
      <c r="AH137" s="368"/>
      <c r="AI137" s="368"/>
      <c r="AJ137" s="154"/>
      <c r="AK137" s="154"/>
      <c r="AL137" s="154"/>
      <c r="AM137" s="154"/>
      <c r="AN137" s="154"/>
      <c r="AO137" s="154"/>
      <c r="AP137" s="154"/>
      <c r="AQ137" s="154"/>
      <c r="AR137" s="154"/>
      <c r="AS137" s="154"/>
      <c r="AT137" s="154"/>
      <c r="AU137" s="154"/>
      <c r="AV137" s="154"/>
      <c r="AW137" s="154"/>
      <c r="AX137" s="154"/>
      <c r="AY137" s="154"/>
      <c r="AZ137" s="154"/>
      <c r="BA137" s="154"/>
      <c r="BB137" s="154"/>
      <c r="BC137" s="154"/>
      <c r="BD137" s="154"/>
      <c r="BE137" s="154"/>
      <c r="BF137" s="154"/>
      <c r="BG137" s="154"/>
      <c r="BH137" s="154"/>
      <c r="BI137" s="154"/>
      <c r="BJ137" s="154"/>
      <c r="BK137" s="154"/>
      <c r="BL137" s="154"/>
      <c r="BM137" s="154"/>
      <c r="BN137" s="154"/>
      <c r="BO137" s="154"/>
      <c r="BP137" s="154"/>
      <c r="BQ137" s="154"/>
      <c r="BR137" s="154"/>
      <c r="BS137" s="154"/>
      <c r="BT137" s="154"/>
      <c r="BU137" s="154"/>
      <c r="BV137" s="154"/>
      <c r="BW137" s="154"/>
      <c r="BX137" s="154"/>
      <c r="BY137" s="154"/>
      <c r="BZ137" s="154"/>
      <c r="CA137" s="154"/>
      <c r="CB137" s="154"/>
      <c r="CC137" s="154"/>
      <c r="CD137" s="154"/>
      <c r="CE137" s="154"/>
      <c r="CF137" s="154"/>
      <c r="CG137" s="154"/>
      <c r="CH137" s="154"/>
      <c r="CI137" s="154"/>
      <c r="CJ137" s="154"/>
      <c r="CK137" s="154"/>
      <c r="CL137" s="154"/>
      <c r="CM137" s="154"/>
      <c r="CN137" s="154"/>
      <c r="CO137" s="154"/>
      <c r="CP137" s="154"/>
      <c r="CQ137" s="154"/>
      <c r="CR137" s="154"/>
      <c r="CS137" s="154"/>
      <c r="CT137" s="154"/>
      <c r="CU137" s="154"/>
      <c r="CV137" s="154"/>
      <c r="CW137" s="154"/>
      <c r="CX137" s="154"/>
      <c r="CY137" s="154"/>
      <c r="CZ137" s="154"/>
      <c r="DA137" s="154"/>
      <c r="DB137" s="154"/>
      <c r="DC137" s="154"/>
      <c r="DD137" s="154"/>
      <c r="DE137" s="154"/>
      <c r="DF137" s="154"/>
      <c r="DG137" s="154"/>
      <c r="DH137" s="154"/>
      <c r="DI137" s="154"/>
      <c r="DJ137" s="154"/>
      <c r="DK137" s="154"/>
      <c r="DL137" s="154"/>
      <c r="DM137" s="154"/>
      <c r="DN137" s="154"/>
      <c r="DO137" s="154"/>
      <c r="DP137" s="154"/>
      <c r="DQ137" s="154"/>
      <c r="DR137" s="154"/>
      <c r="DS137" s="154"/>
      <c r="DT137" s="154"/>
      <c r="DU137" s="154"/>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row>
    <row r="138" spans="2:153" ht="12.95" customHeight="1">
      <c r="B138" s="154"/>
      <c r="C138" s="380"/>
      <c r="D138" s="380"/>
      <c r="E138" s="154"/>
      <c r="F138" s="154"/>
      <c r="G138" s="154"/>
      <c r="H138" s="154"/>
      <c r="I138" s="154"/>
      <c r="J138" s="154"/>
      <c r="K138" s="154"/>
      <c r="L138" s="154"/>
      <c r="M138" s="154"/>
      <c r="N138" s="154"/>
      <c r="O138" s="154"/>
      <c r="P138" s="154"/>
      <c r="Q138" s="154"/>
      <c r="R138" s="154"/>
      <c r="S138" s="154"/>
      <c r="T138" s="154"/>
      <c r="U138" s="154"/>
      <c r="V138" s="154"/>
      <c r="W138" s="154"/>
      <c r="X138" s="154"/>
      <c r="Y138" s="154"/>
      <c r="Z138" s="154"/>
      <c r="AA138" s="154"/>
      <c r="AB138" s="154"/>
      <c r="AC138" s="154"/>
      <c r="AD138" s="154"/>
      <c r="AE138" s="154"/>
      <c r="AF138" s="367"/>
      <c r="AG138" s="368"/>
      <c r="AH138" s="368"/>
      <c r="AI138" s="368"/>
      <c r="AJ138" s="154"/>
      <c r="AK138" s="154"/>
      <c r="AL138" s="154"/>
      <c r="AM138" s="154"/>
      <c r="AN138" s="154"/>
      <c r="AO138" s="154"/>
      <c r="AP138" s="154"/>
      <c r="AQ138" s="154"/>
      <c r="AR138" s="154"/>
      <c r="AS138" s="154"/>
      <c r="AT138" s="154"/>
      <c r="AU138" s="154"/>
      <c r="AV138" s="154"/>
      <c r="AW138" s="154"/>
      <c r="AX138" s="154"/>
      <c r="AY138" s="154"/>
      <c r="AZ138" s="154"/>
      <c r="BA138" s="154"/>
      <c r="BB138" s="154"/>
      <c r="BC138" s="154"/>
      <c r="BD138" s="154"/>
      <c r="BE138" s="154"/>
      <c r="BF138" s="154"/>
      <c r="BG138" s="154"/>
      <c r="BH138" s="154"/>
      <c r="BI138" s="154"/>
      <c r="BJ138" s="154"/>
      <c r="BK138" s="154"/>
      <c r="BL138" s="154"/>
      <c r="BM138" s="154"/>
      <c r="BN138" s="154"/>
      <c r="BO138" s="154"/>
      <c r="BP138" s="154"/>
      <c r="BQ138" s="154"/>
      <c r="BR138" s="154"/>
      <c r="BS138" s="154"/>
      <c r="BT138" s="154"/>
      <c r="BU138" s="154"/>
      <c r="BV138" s="154"/>
      <c r="BW138" s="154"/>
      <c r="BX138" s="154"/>
      <c r="BY138" s="154"/>
      <c r="BZ138" s="154"/>
      <c r="CA138" s="154"/>
      <c r="CB138" s="154"/>
      <c r="CC138" s="154"/>
      <c r="CD138" s="154"/>
      <c r="CE138" s="154"/>
      <c r="CF138" s="154"/>
      <c r="CG138" s="154"/>
      <c r="CH138" s="154"/>
      <c r="CI138" s="154"/>
      <c r="CJ138" s="154"/>
      <c r="CK138" s="154"/>
      <c r="CL138" s="154"/>
      <c r="CM138" s="154"/>
      <c r="CN138" s="154"/>
      <c r="CO138" s="154"/>
      <c r="CP138" s="154"/>
      <c r="CQ138" s="154"/>
      <c r="CR138" s="154"/>
      <c r="CS138" s="154"/>
      <c r="CT138" s="154"/>
      <c r="CU138" s="154"/>
      <c r="CV138" s="154"/>
      <c r="CW138" s="154"/>
      <c r="CX138" s="154"/>
      <c r="CY138" s="154"/>
      <c r="CZ138" s="154"/>
      <c r="DA138" s="154"/>
      <c r="DB138" s="154"/>
      <c r="DC138" s="154"/>
      <c r="DD138" s="154"/>
      <c r="DE138" s="154"/>
      <c r="DF138" s="154"/>
      <c r="DG138" s="154"/>
      <c r="DH138" s="154"/>
      <c r="DI138" s="154"/>
      <c r="DJ138" s="154"/>
      <c r="DK138" s="154"/>
      <c r="DL138" s="154"/>
      <c r="DM138" s="154"/>
      <c r="DN138" s="154"/>
      <c r="DO138" s="154"/>
      <c r="DP138" s="154"/>
      <c r="DQ138" s="154"/>
      <c r="DR138" s="154"/>
      <c r="DS138" s="154"/>
      <c r="DT138" s="154"/>
      <c r="DU138" s="154"/>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row>
    <row r="139" spans="2:153" ht="12.95" customHeight="1">
      <c r="B139" s="154"/>
      <c r="C139" s="380"/>
      <c r="D139" s="380"/>
      <c r="E139" s="154"/>
      <c r="F139" s="154"/>
      <c r="G139" s="154"/>
      <c r="H139" s="154"/>
      <c r="I139" s="154"/>
      <c r="J139" s="154"/>
      <c r="K139" s="154"/>
      <c r="L139" s="154"/>
      <c r="M139" s="154"/>
      <c r="N139" s="154"/>
      <c r="O139" s="154"/>
      <c r="P139" s="154"/>
      <c r="Q139" s="154"/>
      <c r="R139" s="154"/>
      <c r="S139" s="154"/>
      <c r="T139" s="154"/>
      <c r="U139" s="154"/>
      <c r="V139" s="154"/>
      <c r="W139" s="154"/>
      <c r="X139" s="154"/>
      <c r="Y139" s="154"/>
      <c r="Z139" s="154"/>
      <c r="AA139" s="154"/>
      <c r="AB139" s="154"/>
      <c r="AC139" s="154"/>
      <c r="AD139" s="154"/>
      <c r="AE139" s="154"/>
      <c r="AF139" s="367"/>
      <c r="AG139" s="368"/>
      <c r="AH139" s="368"/>
      <c r="AI139" s="368"/>
      <c r="AJ139" s="154"/>
      <c r="AK139" s="154"/>
      <c r="AL139" s="154"/>
      <c r="AM139" s="154"/>
      <c r="AN139" s="154"/>
      <c r="AO139" s="154"/>
      <c r="AP139" s="154"/>
      <c r="AQ139" s="154"/>
      <c r="AR139" s="154"/>
      <c r="AS139" s="154"/>
      <c r="AT139" s="154"/>
      <c r="AU139" s="154"/>
      <c r="AV139" s="154"/>
      <c r="AW139" s="154"/>
      <c r="AX139" s="154"/>
      <c r="AY139" s="154"/>
      <c r="AZ139" s="154"/>
      <c r="BA139" s="154"/>
      <c r="BB139" s="154"/>
      <c r="BC139" s="154"/>
      <c r="BD139" s="154"/>
      <c r="BE139" s="154"/>
      <c r="BF139" s="154"/>
      <c r="BG139" s="154"/>
      <c r="BH139" s="154"/>
      <c r="BI139" s="154"/>
      <c r="BJ139" s="154"/>
      <c r="BK139" s="154"/>
      <c r="BL139" s="154"/>
      <c r="BM139" s="154"/>
      <c r="BN139" s="154"/>
      <c r="BO139" s="154"/>
      <c r="BP139" s="154"/>
      <c r="BQ139" s="154"/>
      <c r="BR139" s="154"/>
      <c r="BS139" s="154"/>
      <c r="BT139" s="154"/>
      <c r="BU139" s="154"/>
      <c r="BV139" s="154"/>
      <c r="BW139" s="154"/>
      <c r="BX139" s="154"/>
      <c r="BY139" s="154"/>
      <c r="BZ139" s="154"/>
      <c r="CA139" s="154"/>
      <c r="CB139" s="154"/>
      <c r="CC139" s="154"/>
      <c r="CD139" s="154"/>
      <c r="CE139" s="154"/>
      <c r="CF139" s="154"/>
      <c r="CG139" s="154"/>
      <c r="CH139" s="154"/>
      <c r="CI139" s="154"/>
      <c r="CJ139" s="154"/>
      <c r="CK139" s="154"/>
      <c r="CL139" s="154"/>
      <c r="CM139" s="154"/>
      <c r="CN139" s="154"/>
      <c r="CO139" s="154"/>
      <c r="CP139" s="154"/>
      <c r="CQ139" s="154"/>
      <c r="CR139" s="154"/>
      <c r="CS139" s="154"/>
      <c r="CT139" s="154"/>
      <c r="CU139" s="154"/>
      <c r="CV139" s="154"/>
      <c r="CW139" s="154"/>
      <c r="CX139" s="154"/>
      <c r="CY139" s="154"/>
      <c r="CZ139" s="154"/>
      <c r="DA139" s="154"/>
      <c r="DB139" s="154"/>
      <c r="DC139" s="154"/>
      <c r="DD139" s="154"/>
      <c r="DE139" s="154"/>
      <c r="DF139" s="154"/>
      <c r="DG139" s="154"/>
      <c r="DH139" s="154"/>
      <c r="DI139" s="154"/>
      <c r="DJ139" s="154"/>
      <c r="DK139" s="154"/>
      <c r="DL139" s="154"/>
      <c r="DM139" s="154"/>
      <c r="DN139" s="154"/>
      <c r="DO139" s="154"/>
      <c r="DP139" s="154"/>
      <c r="DQ139" s="154"/>
      <c r="DR139" s="154"/>
      <c r="DS139" s="154"/>
      <c r="DT139" s="154"/>
      <c r="DU139" s="154"/>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row>
    <row r="140" spans="2:153" ht="12.95" customHeight="1">
      <c r="B140" s="154"/>
      <c r="C140" s="380"/>
      <c r="D140" s="380"/>
      <c r="E140" s="154"/>
      <c r="F140" s="154"/>
      <c r="G140" s="154"/>
      <c r="H140" s="154"/>
      <c r="I140" s="154"/>
      <c r="J140" s="154"/>
      <c r="K140" s="154"/>
      <c r="L140" s="154"/>
      <c r="M140" s="154"/>
      <c r="N140" s="154"/>
      <c r="O140" s="154"/>
      <c r="P140" s="154"/>
      <c r="Q140" s="154"/>
      <c r="R140" s="154"/>
      <c r="S140" s="154"/>
      <c r="T140" s="154"/>
      <c r="U140" s="154"/>
      <c r="V140" s="154"/>
      <c r="W140" s="154"/>
      <c r="X140" s="154"/>
      <c r="Y140" s="154"/>
      <c r="Z140" s="154"/>
      <c r="AA140" s="154"/>
      <c r="AB140" s="154"/>
      <c r="AC140" s="154"/>
      <c r="AD140" s="154"/>
      <c r="AE140" s="154"/>
      <c r="AF140" s="367"/>
      <c r="AG140" s="368"/>
      <c r="AH140" s="368"/>
      <c r="AI140" s="368"/>
      <c r="AJ140" s="154"/>
      <c r="AK140" s="154"/>
      <c r="AL140" s="154"/>
      <c r="AM140" s="154"/>
      <c r="AN140" s="154"/>
      <c r="AO140" s="154"/>
      <c r="AP140" s="154"/>
      <c r="AQ140" s="154"/>
      <c r="AR140" s="154"/>
      <c r="AS140" s="154"/>
      <c r="AT140" s="154"/>
      <c r="AU140" s="154"/>
      <c r="AV140" s="154"/>
      <c r="AW140" s="154"/>
      <c r="AX140" s="154"/>
      <c r="AY140" s="154"/>
      <c r="AZ140" s="154"/>
      <c r="BA140" s="154"/>
      <c r="BB140" s="154"/>
      <c r="BC140" s="154"/>
      <c r="BD140" s="154"/>
      <c r="BE140" s="154"/>
      <c r="BF140" s="154"/>
      <c r="BG140" s="154"/>
      <c r="BH140" s="154"/>
      <c r="BI140" s="154"/>
      <c r="BJ140" s="154"/>
      <c r="BK140" s="154"/>
      <c r="BL140" s="154"/>
      <c r="BM140" s="154"/>
      <c r="BN140" s="154"/>
      <c r="BO140" s="154"/>
      <c r="BP140" s="154"/>
      <c r="BQ140" s="154"/>
      <c r="BR140" s="154"/>
      <c r="BS140" s="154"/>
      <c r="BT140" s="154"/>
      <c r="BU140" s="154"/>
      <c r="BV140" s="154"/>
      <c r="BW140" s="154"/>
      <c r="BX140" s="154"/>
      <c r="BY140" s="154"/>
      <c r="BZ140" s="154"/>
      <c r="CA140" s="154"/>
      <c r="CB140" s="154"/>
      <c r="CC140" s="154"/>
      <c r="CD140" s="154"/>
      <c r="CE140" s="154"/>
      <c r="CF140" s="154"/>
      <c r="CG140" s="154"/>
      <c r="CH140" s="154"/>
      <c r="CI140" s="154"/>
      <c r="CJ140" s="154"/>
      <c r="CK140" s="154"/>
      <c r="CL140" s="154"/>
      <c r="CM140" s="154"/>
      <c r="CN140" s="154"/>
      <c r="CO140" s="154"/>
      <c r="CP140" s="154"/>
      <c r="CQ140" s="154"/>
      <c r="CR140" s="154"/>
      <c r="CS140" s="154"/>
      <c r="CT140" s="154"/>
      <c r="CU140" s="154"/>
      <c r="CV140" s="154"/>
      <c r="CW140" s="154"/>
      <c r="CX140" s="154"/>
      <c r="CY140" s="154"/>
      <c r="CZ140" s="154"/>
      <c r="DA140" s="154"/>
      <c r="DB140" s="154"/>
      <c r="DC140" s="154"/>
      <c r="DD140" s="154"/>
      <c r="DE140" s="154"/>
      <c r="DF140" s="154"/>
      <c r="DG140" s="154"/>
      <c r="DH140" s="154"/>
      <c r="DI140" s="154"/>
      <c r="DJ140" s="154"/>
      <c r="DK140" s="154"/>
      <c r="DL140" s="154"/>
      <c r="DM140" s="154"/>
      <c r="DN140" s="154"/>
      <c r="DO140" s="154"/>
      <c r="DP140" s="154"/>
      <c r="DQ140" s="154"/>
      <c r="DR140" s="154"/>
      <c r="DS140" s="154"/>
      <c r="DT140" s="154"/>
      <c r="DU140" s="154"/>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row>
    <row r="141" spans="2:153" ht="12.95" customHeight="1">
      <c r="B141" s="154"/>
      <c r="C141" s="380"/>
      <c r="D141" s="380"/>
      <c r="E141" s="154"/>
      <c r="F141" s="154"/>
      <c r="G141" s="154"/>
      <c r="H141" s="154"/>
      <c r="I141" s="154"/>
      <c r="J141" s="154"/>
      <c r="K141" s="154"/>
      <c r="L141" s="154"/>
      <c r="M141" s="154"/>
      <c r="N141" s="154"/>
      <c r="O141" s="154"/>
      <c r="P141" s="154"/>
      <c r="Q141" s="154"/>
      <c r="R141" s="154"/>
      <c r="S141" s="154"/>
      <c r="T141" s="154"/>
      <c r="U141" s="154"/>
      <c r="V141" s="154"/>
      <c r="W141" s="154"/>
      <c r="X141" s="154"/>
      <c r="Y141" s="154"/>
      <c r="Z141" s="154"/>
      <c r="AA141" s="154"/>
      <c r="AB141" s="154"/>
      <c r="AC141" s="154"/>
      <c r="AD141" s="154"/>
      <c r="AE141" s="154"/>
      <c r="AF141" s="367"/>
      <c r="AG141" s="368"/>
      <c r="AH141" s="368"/>
      <c r="AI141" s="368"/>
      <c r="AJ141" s="154"/>
      <c r="AK141" s="154"/>
      <c r="AL141" s="154"/>
      <c r="AM141" s="154"/>
      <c r="AN141" s="154"/>
      <c r="AO141" s="154"/>
      <c r="AP141" s="154"/>
      <c r="AQ141" s="154"/>
      <c r="AR141" s="154"/>
      <c r="AS141" s="154"/>
      <c r="AT141" s="154"/>
      <c r="AU141" s="154"/>
      <c r="AV141" s="154"/>
      <c r="AW141" s="154"/>
      <c r="AX141" s="154"/>
      <c r="AY141" s="154"/>
      <c r="AZ141" s="154"/>
      <c r="BA141" s="154"/>
      <c r="BB141" s="154"/>
      <c r="BC141" s="154"/>
      <c r="BD141" s="154"/>
      <c r="BE141" s="154"/>
      <c r="BF141" s="154"/>
      <c r="BG141" s="154"/>
      <c r="BH141" s="154"/>
      <c r="BI141" s="154"/>
      <c r="BJ141" s="154"/>
      <c r="BK141" s="154"/>
      <c r="BL141" s="154"/>
      <c r="BM141" s="154"/>
      <c r="BN141" s="154"/>
      <c r="BO141" s="154"/>
      <c r="BP141" s="154"/>
      <c r="BQ141" s="154"/>
      <c r="BR141" s="154"/>
      <c r="BS141" s="154"/>
      <c r="BT141" s="154"/>
      <c r="BU141" s="154"/>
      <c r="BV141" s="154"/>
      <c r="BW141" s="154"/>
      <c r="BX141" s="154"/>
      <c r="BY141" s="154"/>
      <c r="BZ141" s="154"/>
      <c r="CA141" s="154"/>
      <c r="CB141" s="154"/>
      <c r="CC141" s="154"/>
      <c r="CD141" s="154"/>
      <c r="CE141" s="154"/>
      <c r="CF141" s="154"/>
      <c r="CG141" s="154"/>
      <c r="CH141" s="154"/>
      <c r="CI141" s="154"/>
      <c r="CJ141" s="154"/>
      <c r="CK141" s="154"/>
      <c r="CL141" s="154"/>
      <c r="CM141" s="154"/>
      <c r="CN141" s="154"/>
      <c r="CO141" s="154"/>
      <c r="CP141" s="154"/>
      <c r="CQ141" s="154"/>
      <c r="CR141" s="154"/>
      <c r="CS141" s="154"/>
      <c r="CT141" s="154"/>
      <c r="CU141" s="154"/>
      <c r="CV141" s="154"/>
      <c r="CW141" s="154"/>
      <c r="CX141" s="154"/>
      <c r="CY141" s="154"/>
      <c r="CZ141" s="154"/>
      <c r="DA141" s="154"/>
      <c r="DB141" s="154"/>
      <c r="DC141" s="154"/>
      <c r="DD141" s="154"/>
      <c r="DE141" s="154"/>
      <c r="DF141" s="154"/>
      <c r="DG141" s="154"/>
      <c r="DH141" s="154"/>
      <c r="DI141" s="154"/>
      <c r="DJ141" s="154"/>
      <c r="DK141" s="154"/>
      <c r="DL141" s="154"/>
      <c r="DM141" s="154"/>
      <c r="DN141" s="154"/>
      <c r="DO141" s="154"/>
      <c r="DP141" s="154"/>
      <c r="DQ141" s="154"/>
      <c r="DR141" s="154"/>
      <c r="DS141" s="154"/>
      <c r="DT141" s="154"/>
      <c r="DU141" s="154"/>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row>
    <row r="142" spans="2:153" ht="12.95" customHeight="1">
      <c r="B142" s="154"/>
      <c r="C142" s="380"/>
      <c r="D142" s="380"/>
      <c r="E142" s="154"/>
      <c r="F142" s="154"/>
      <c r="G142" s="154"/>
      <c r="H142" s="154"/>
      <c r="I142" s="154"/>
      <c r="J142" s="154"/>
      <c r="K142" s="154"/>
      <c r="L142" s="154"/>
      <c r="M142" s="154"/>
      <c r="N142" s="154"/>
      <c r="O142" s="154"/>
      <c r="P142" s="154"/>
      <c r="Q142" s="154"/>
      <c r="R142" s="154"/>
      <c r="S142" s="154"/>
      <c r="T142" s="154"/>
      <c r="U142" s="154"/>
      <c r="V142" s="154"/>
      <c r="W142" s="154"/>
      <c r="X142" s="154"/>
      <c r="Y142" s="154"/>
      <c r="Z142" s="154"/>
      <c r="AA142" s="154"/>
      <c r="AB142" s="154"/>
      <c r="AC142" s="154"/>
      <c r="AD142" s="154"/>
      <c r="AE142" s="154"/>
      <c r="AF142" s="367"/>
      <c r="AG142" s="368"/>
      <c r="AH142" s="368"/>
      <c r="AI142" s="368"/>
      <c r="AJ142" s="154"/>
      <c r="AK142" s="154"/>
      <c r="AL142" s="154"/>
      <c r="AM142" s="154"/>
      <c r="AN142" s="154"/>
      <c r="AO142" s="154"/>
      <c r="AP142" s="154"/>
      <c r="AQ142" s="154"/>
      <c r="AR142" s="154"/>
      <c r="AS142" s="154"/>
      <c r="AT142" s="154"/>
      <c r="AU142" s="154"/>
      <c r="AV142" s="154"/>
      <c r="AW142" s="154"/>
      <c r="AX142" s="154"/>
      <c r="AY142" s="154"/>
      <c r="AZ142" s="154"/>
      <c r="BA142" s="154"/>
      <c r="BB142" s="154"/>
      <c r="BC142" s="154"/>
      <c r="BD142" s="154"/>
      <c r="BE142" s="154"/>
      <c r="BF142" s="154"/>
      <c r="BG142" s="154"/>
      <c r="BH142" s="154"/>
      <c r="BI142" s="154"/>
      <c r="BJ142" s="154"/>
      <c r="BK142" s="154"/>
      <c r="BL142" s="154"/>
      <c r="BM142" s="154"/>
      <c r="BN142" s="154"/>
      <c r="BO142" s="154"/>
      <c r="BP142" s="154"/>
      <c r="BQ142" s="154"/>
      <c r="BR142" s="154"/>
      <c r="BS142" s="154"/>
      <c r="BT142" s="154"/>
      <c r="BU142" s="154"/>
      <c r="BV142" s="154"/>
      <c r="BW142" s="154"/>
      <c r="BX142" s="154"/>
      <c r="BY142" s="154"/>
      <c r="BZ142" s="154"/>
      <c r="CA142" s="154"/>
      <c r="CB142" s="154"/>
      <c r="CC142" s="154"/>
      <c r="CD142" s="154"/>
      <c r="CE142" s="154"/>
      <c r="CF142" s="154"/>
      <c r="CG142" s="154"/>
      <c r="CH142" s="154"/>
      <c r="CI142" s="154"/>
      <c r="CJ142" s="154"/>
      <c r="CK142" s="154"/>
      <c r="CL142" s="154"/>
      <c r="CM142" s="154"/>
      <c r="CN142" s="154"/>
      <c r="CO142" s="154"/>
      <c r="CP142" s="154"/>
      <c r="CQ142" s="154"/>
      <c r="CR142" s="154"/>
      <c r="CS142" s="154"/>
      <c r="CT142" s="154"/>
      <c r="CU142" s="154"/>
      <c r="CV142" s="154"/>
      <c r="CW142" s="154"/>
      <c r="CX142" s="154"/>
      <c r="CY142" s="154"/>
      <c r="CZ142" s="154"/>
      <c r="DA142" s="154"/>
      <c r="DB142" s="154"/>
      <c r="DC142" s="154"/>
      <c r="DD142" s="154"/>
      <c r="DE142" s="154"/>
      <c r="DF142" s="154"/>
      <c r="DG142" s="154"/>
      <c r="DH142" s="154"/>
      <c r="DI142" s="154"/>
      <c r="DJ142" s="154"/>
      <c r="DK142" s="154"/>
      <c r="DL142" s="154"/>
      <c r="DM142" s="154"/>
      <c r="DN142" s="154"/>
      <c r="DO142" s="154"/>
      <c r="DP142" s="154"/>
      <c r="DQ142" s="154"/>
      <c r="DR142" s="154"/>
      <c r="DS142" s="154"/>
      <c r="DT142" s="154"/>
      <c r="DU142" s="154"/>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row>
    <row r="143" spans="2:153" ht="12.95" customHeight="1">
      <c r="B143" s="154"/>
      <c r="C143" s="380"/>
      <c r="D143" s="380"/>
      <c r="E143" s="154"/>
      <c r="F143" s="154"/>
      <c r="G143" s="154"/>
      <c r="H143" s="154"/>
      <c r="I143" s="154"/>
      <c r="J143" s="154"/>
      <c r="K143" s="154"/>
      <c r="L143" s="154"/>
      <c r="M143" s="154"/>
      <c r="N143" s="154"/>
      <c r="O143" s="154"/>
      <c r="P143" s="154"/>
      <c r="Q143" s="154"/>
      <c r="R143" s="154"/>
      <c r="S143" s="154"/>
      <c r="T143" s="154"/>
      <c r="U143" s="154"/>
      <c r="V143" s="154"/>
      <c r="W143" s="154"/>
      <c r="X143" s="154"/>
      <c r="Y143" s="154"/>
      <c r="Z143" s="154"/>
      <c r="AA143" s="154"/>
      <c r="AB143" s="154"/>
      <c r="AC143" s="154"/>
      <c r="AD143" s="154"/>
      <c r="AE143" s="154"/>
      <c r="AF143" s="367"/>
      <c r="AG143" s="368"/>
      <c r="AH143" s="368"/>
      <c r="AI143" s="368"/>
      <c r="AJ143" s="154"/>
      <c r="AK143" s="154"/>
      <c r="AL143" s="154"/>
      <c r="AM143" s="154"/>
      <c r="AN143" s="154"/>
      <c r="AO143" s="154"/>
      <c r="AP143" s="154"/>
      <c r="AQ143" s="154"/>
      <c r="AR143" s="154"/>
      <c r="AS143" s="154"/>
      <c r="AT143" s="154"/>
      <c r="AU143" s="154"/>
      <c r="AV143" s="154"/>
      <c r="AW143" s="154"/>
      <c r="AX143" s="154"/>
      <c r="AY143" s="154"/>
      <c r="AZ143" s="154"/>
      <c r="BA143" s="154"/>
      <c r="BB143" s="154"/>
      <c r="BC143" s="154"/>
      <c r="BD143" s="154"/>
      <c r="BE143" s="154"/>
      <c r="BF143" s="154"/>
      <c r="BG143" s="154"/>
      <c r="BH143" s="154"/>
      <c r="BI143" s="154"/>
      <c r="BJ143" s="154"/>
      <c r="BK143" s="154"/>
      <c r="BL143" s="154"/>
      <c r="BM143" s="154"/>
      <c r="BN143" s="154"/>
      <c r="BO143" s="154"/>
      <c r="BP143" s="154"/>
      <c r="BQ143" s="154"/>
      <c r="BR143" s="154"/>
      <c r="BS143" s="154"/>
      <c r="BT143" s="154"/>
      <c r="BU143" s="154"/>
      <c r="BV143" s="154"/>
      <c r="BW143" s="154"/>
      <c r="BX143" s="154"/>
      <c r="BY143" s="154"/>
      <c r="BZ143" s="154"/>
      <c r="CA143" s="154"/>
      <c r="CB143" s="154"/>
      <c r="CC143" s="154"/>
      <c r="CD143" s="154"/>
      <c r="CE143" s="154"/>
      <c r="CF143" s="154"/>
      <c r="CG143" s="154"/>
      <c r="CH143" s="154"/>
      <c r="CI143" s="154"/>
      <c r="CJ143" s="154"/>
      <c r="CK143" s="154"/>
      <c r="CL143" s="154"/>
      <c r="CM143" s="154"/>
      <c r="CN143" s="154"/>
      <c r="CO143" s="154"/>
      <c r="CP143" s="154"/>
      <c r="CQ143" s="154"/>
      <c r="CR143" s="154"/>
      <c r="CS143" s="154"/>
      <c r="CT143" s="154"/>
      <c r="CU143" s="154"/>
      <c r="CV143" s="154"/>
      <c r="CW143" s="154"/>
      <c r="CX143" s="154"/>
      <c r="CY143" s="154"/>
      <c r="CZ143" s="154"/>
      <c r="DA143" s="154"/>
      <c r="DB143" s="154"/>
      <c r="DC143" s="154"/>
      <c r="DD143" s="154"/>
      <c r="DE143" s="154"/>
      <c r="DF143" s="154"/>
      <c r="DG143" s="154"/>
      <c r="DH143" s="154"/>
      <c r="DI143" s="154"/>
      <c r="DJ143" s="154"/>
      <c r="DK143" s="154"/>
      <c r="DL143" s="154"/>
      <c r="DM143" s="154"/>
      <c r="DN143" s="154"/>
      <c r="DO143" s="154"/>
      <c r="DP143" s="154"/>
      <c r="DQ143" s="154"/>
      <c r="DR143" s="154"/>
      <c r="DS143" s="154"/>
      <c r="DT143" s="154"/>
      <c r="DU143" s="154"/>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row>
    <row r="144" spans="2:153" ht="12.95" customHeight="1">
      <c r="B144" s="154"/>
      <c r="C144" s="380"/>
      <c r="D144" s="380"/>
      <c r="E144" s="154"/>
      <c r="F144" s="154"/>
      <c r="G144" s="154"/>
      <c r="H144" s="154"/>
      <c r="I144" s="154"/>
      <c r="J144" s="154"/>
      <c r="K144" s="154"/>
      <c r="L144" s="154"/>
      <c r="M144" s="154"/>
      <c r="N144" s="154"/>
      <c r="O144" s="154"/>
      <c r="P144" s="154"/>
      <c r="Q144" s="154"/>
      <c r="R144" s="154"/>
      <c r="S144" s="154"/>
      <c r="T144" s="154"/>
      <c r="U144" s="154"/>
      <c r="V144" s="154"/>
      <c r="W144" s="154"/>
      <c r="X144" s="154"/>
      <c r="Y144" s="154"/>
      <c r="Z144" s="154"/>
      <c r="AA144" s="154"/>
      <c r="AB144" s="154"/>
      <c r="AC144" s="154"/>
      <c r="AD144" s="154"/>
      <c r="AE144" s="154"/>
      <c r="AF144" s="367"/>
      <c r="AG144" s="368"/>
      <c r="AH144" s="368"/>
      <c r="AI144" s="368"/>
      <c r="AJ144" s="154"/>
      <c r="AK144" s="154"/>
      <c r="AL144" s="154"/>
      <c r="AM144" s="154"/>
      <c r="AN144" s="154"/>
      <c r="AO144" s="154"/>
      <c r="AP144" s="154"/>
      <c r="AQ144" s="154"/>
      <c r="AR144" s="154"/>
      <c r="AS144" s="154"/>
      <c r="AT144" s="154"/>
      <c r="AU144" s="154"/>
      <c r="AV144" s="154"/>
      <c r="AW144" s="154"/>
      <c r="AX144" s="154"/>
      <c r="AY144" s="154"/>
      <c r="AZ144" s="154"/>
      <c r="BA144" s="154"/>
      <c r="BB144" s="154"/>
      <c r="BC144" s="154"/>
      <c r="BD144" s="154"/>
      <c r="BE144" s="154"/>
      <c r="BF144" s="154"/>
      <c r="BG144" s="154"/>
      <c r="BH144" s="154"/>
      <c r="BI144" s="154"/>
      <c r="BJ144" s="154"/>
      <c r="BK144" s="154"/>
      <c r="BL144" s="154"/>
      <c r="BM144" s="154"/>
      <c r="BN144" s="154"/>
      <c r="BO144" s="154"/>
      <c r="BP144" s="154"/>
      <c r="BQ144" s="154"/>
      <c r="BR144" s="154"/>
      <c r="BS144" s="154"/>
      <c r="BT144" s="154"/>
      <c r="BU144" s="154"/>
      <c r="BV144" s="154"/>
      <c r="BW144" s="154"/>
      <c r="BX144" s="154"/>
      <c r="BY144" s="154"/>
      <c r="BZ144" s="154"/>
      <c r="CA144" s="154"/>
      <c r="CB144" s="154"/>
      <c r="CC144" s="154"/>
      <c r="CD144" s="154"/>
      <c r="CE144" s="154"/>
      <c r="CF144" s="154"/>
      <c r="CG144" s="154"/>
      <c r="CH144" s="154"/>
      <c r="CI144" s="154"/>
      <c r="CJ144" s="154"/>
      <c r="CK144" s="154"/>
      <c r="CL144" s="154"/>
      <c r="CM144" s="154"/>
      <c r="CN144" s="154"/>
      <c r="CO144" s="154"/>
      <c r="CP144" s="154"/>
      <c r="CQ144" s="154"/>
      <c r="CR144" s="154"/>
      <c r="CS144" s="154"/>
      <c r="CT144" s="154"/>
      <c r="CU144" s="154"/>
      <c r="CV144" s="154"/>
      <c r="CW144" s="154"/>
      <c r="CX144" s="154"/>
      <c r="CY144" s="154"/>
      <c r="CZ144" s="154"/>
      <c r="DA144" s="154"/>
      <c r="DB144" s="154"/>
      <c r="DC144" s="154"/>
      <c r="DD144" s="154"/>
      <c r="DE144" s="154"/>
      <c r="DF144" s="154"/>
      <c r="DG144" s="154"/>
      <c r="DH144" s="154"/>
      <c r="DI144" s="154"/>
      <c r="DJ144" s="154"/>
      <c r="DK144" s="154"/>
      <c r="DL144" s="154"/>
      <c r="DM144" s="154"/>
      <c r="DN144" s="154"/>
      <c r="DO144" s="154"/>
      <c r="DP144" s="154"/>
      <c r="DQ144" s="154"/>
      <c r="DR144" s="154"/>
      <c r="DS144" s="154"/>
      <c r="DT144" s="154"/>
      <c r="DU144" s="154"/>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row>
    <row r="145" spans="2:153" ht="12.95" customHeight="1">
      <c r="B145" s="154"/>
      <c r="C145" s="380"/>
      <c r="D145" s="380"/>
      <c r="E145" s="154"/>
      <c r="F145" s="15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367"/>
      <c r="AG145" s="368"/>
      <c r="AH145" s="368"/>
      <c r="AI145" s="368"/>
      <c r="AJ145" s="154"/>
      <c r="AK145" s="154"/>
      <c r="AL145" s="154"/>
      <c r="AM145" s="154"/>
      <c r="AN145" s="154"/>
      <c r="AO145" s="154"/>
      <c r="AP145" s="154"/>
      <c r="AQ145" s="154"/>
      <c r="AR145" s="154"/>
      <c r="AS145" s="154"/>
      <c r="AT145" s="154"/>
      <c r="AU145" s="154"/>
      <c r="AV145" s="154"/>
      <c r="AW145" s="154"/>
      <c r="AX145" s="154"/>
      <c r="AY145" s="154"/>
      <c r="AZ145" s="154"/>
      <c r="BA145" s="154"/>
      <c r="BB145" s="154"/>
      <c r="BC145" s="154"/>
      <c r="BD145" s="154"/>
      <c r="BE145" s="154"/>
      <c r="BF145" s="154"/>
      <c r="BG145" s="154"/>
      <c r="BH145" s="154"/>
      <c r="BI145" s="154"/>
      <c r="BJ145" s="154"/>
      <c r="BK145" s="154"/>
      <c r="BL145" s="154"/>
      <c r="BM145" s="154"/>
      <c r="BN145" s="154"/>
      <c r="BO145" s="154"/>
      <c r="BP145" s="154"/>
      <c r="BQ145" s="154"/>
      <c r="BR145" s="154"/>
      <c r="BS145" s="154"/>
      <c r="BT145" s="154"/>
      <c r="BU145" s="154"/>
      <c r="BV145" s="154"/>
      <c r="BW145" s="154"/>
      <c r="BX145" s="154"/>
      <c r="BY145" s="154"/>
      <c r="BZ145" s="154"/>
      <c r="CA145" s="154"/>
      <c r="CB145" s="154"/>
      <c r="CC145" s="154"/>
      <c r="CD145" s="154"/>
      <c r="CE145" s="154"/>
      <c r="CF145" s="154"/>
      <c r="CG145" s="154"/>
      <c r="CH145" s="154"/>
      <c r="CI145" s="154"/>
      <c r="CJ145" s="154"/>
      <c r="CK145" s="154"/>
      <c r="CL145" s="154"/>
      <c r="CM145" s="154"/>
      <c r="CN145" s="154"/>
      <c r="CO145" s="154"/>
      <c r="CP145" s="154"/>
      <c r="CQ145" s="154"/>
      <c r="CR145" s="154"/>
      <c r="CS145" s="154"/>
      <c r="CT145" s="154"/>
      <c r="CU145" s="154"/>
      <c r="CV145" s="154"/>
      <c r="CW145" s="154"/>
      <c r="CX145" s="154"/>
      <c r="CY145" s="154"/>
      <c r="CZ145" s="154"/>
      <c r="DA145" s="154"/>
      <c r="DB145" s="154"/>
      <c r="DC145" s="154"/>
      <c r="DD145" s="154"/>
      <c r="DE145" s="154"/>
      <c r="DF145" s="154"/>
      <c r="DG145" s="154"/>
      <c r="DH145" s="154"/>
      <c r="DI145" s="154"/>
      <c r="DJ145" s="154"/>
      <c r="DK145" s="154"/>
      <c r="DL145" s="154"/>
      <c r="DM145" s="154"/>
      <c r="DN145" s="154"/>
      <c r="DO145" s="154"/>
      <c r="DP145" s="154"/>
      <c r="DQ145" s="154"/>
      <c r="DR145" s="154"/>
      <c r="DS145" s="154"/>
      <c r="DT145" s="154"/>
      <c r="DU145" s="154"/>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row>
    <row r="146" spans="2:153" ht="12.95" customHeight="1">
      <c r="B146" s="154"/>
      <c r="C146" s="380"/>
      <c r="D146" s="380"/>
      <c r="E146" s="154"/>
      <c r="F146" s="154"/>
      <c r="G146" s="154"/>
      <c r="H146" s="154"/>
      <c r="I146" s="154"/>
      <c r="J146" s="154"/>
      <c r="K146" s="154"/>
      <c r="L146" s="154"/>
      <c r="M146" s="154"/>
      <c r="N146" s="154"/>
      <c r="O146" s="154"/>
      <c r="P146" s="154"/>
      <c r="Q146" s="154"/>
      <c r="R146" s="154"/>
      <c r="S146" s="154"/>
      <c r="T146" s="154"/>
      <c r="U146" s="154"/>
      <c r="V146" s="154"/>
      <c r="W146" s="154"/>
      <c r="X146" s="154"/>
      <c r="Y146" s="154"/>
      <c r="Z146" s="154"/>
      <c r="AA146" s="154"/>
      <c r="AB146" s="154"/>
      <c r="AC146" s="154"/>
      <c r="AD146" s="154"/>
      <c r="AE146" s="154"/>
      <c r="AF146" s="367"/>
      <c r="AG146" s="368"/>
      <c r="AH146" s="368"/>
      <c r="AI146" s="368"/>
      <c r="AJ146" s="154"/>
      <c r="AK146" s="154"/>
      <c r="AL146" s="154"/>
      <c r="AM146" s="154"/>
      <c r="AN146" s="154"/>
      <c r="AO146" s="154"/>
      <c r="AP146" s="154"/>
      <c r="AQ146" s="154"/>
      <c r="AR146" s="154"/>
      <c r="AS146" s="154"/>
      <c r="AT146" s="154"/>
      <c r="AU146" s="154"/>
      <c r="AV146" s="154"/>
      <c r="AW146" s="154"/>
      <c r="AX146" s="154"/>
      <c r="AY146" s="154"/>
      <c r="AZ146" s="154"/>
      <c r="BA146" s="154"/>
      <c r="BB146" s="154"/>
      <c r="BC146" s="154"/>
      <c r="BD146" s="154"/>
      <c r="BE146" s="154"/>
      <c r="BF146" s="154"/>
      <c r="BG146" s="154"/>
      <c r="BH146" s="154"/>
      <c r="BI146" s="154"/>
      <c r="BJ146" s="154"/>
      <c r="BK146" s="154"/>
      <c r="BL146" s="154"/>
      <c r="BM146" s="154"/>
      <c r="BN146" s="154"/>
      <c r="BO146" s="154"/>
      <c r="BP146" s="154"/>
      <c r="BQ146" s="154"/>
      <c r="BR146" s="154"/>
      <c r="BS146" s="154"/>
      <c r="BT146" s="154"/>
      <c r="BU146" s="154"/>
      <c r="BV146" s="154"/>
      <c r="BW146" s="154"/>
      <c r="BX146" s="154"/>
      <c r="BY146" s="154"/>
      <c r="BZ146" s="154"/>
      <c r="CA146" s="154"/>
      <c r="CB146" s="154"/>
      <c r="CC146" s="154"/>
      <c r="CD146" s="154"/>
      <c r="CE146" s="154"/>
      <c r="CF146" s="154"/>
      <c r="CG146" s="154"/>
      <c r="CH146" s="154"/>
      <c r="CI146" s="154"/>
      <c r="CJ146" s="154"/>
      <c r="CK146" s="154"/>
      <c r="CL146" s="154"/>
      <c r="CM146" s="154"/>
      <c r="CN146" s="154"/>
      <c r="CO146" s="154"/>
      <c r="CP146" s="154"/>
      <c r="CQ146" s="154"/>
      <c r="CR146" s="154"/>
      <c r="CS146" s="154"/>
      <c r="CT146" s="154"/>
      <c r="CU146" s="154"/>
      <c r="CV146" s="154"/>
      <c r="CW146" s="154"/>
      <c r="CX146" s="154"/>
      <c r="CY146" s="154"/>
      <c r="CZ146" s="154"/>
      <c r="DA146" s="154"/>
      <c r="DB146" s="154"/>
      <c r="DC146" s="154"/>
      <c r="DD146" s="154"/>
      <c r="DE146" s="154"/>
      <c r="DF146" s="154"/>
      <c r="DG146" s="154"/>
      <c r="DH146" s="154"/>
      <c r="DI146" s="154"/>
      <c r="DJ146" s="154"/>
      <c r="DK146" s="154"/>
      <c r="DL146" s="154"/>
      <c r="DM146" s="154"/>
      <c r="DN146" s="154"/>
      <c r="DO146" s="154"/>
      <c r="DP146" s="154"/>
      <c r="DQ146" s="154"/>
      <c r="DR146" s="154"/>
      <c r="DS146" s="154"/>
      <c r="DT146" s="154"/>
      <c r="DU146" s="154"/>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row>
    <row r="147" spans="2:153" ht="12.95" customHeight="1">
      <c r="B147" s="154"/>
      <c r="C147" s="380"/>
      <c r="D147" s="380"/>
      <c r="E147" s="154"/>
      <c r="F147" s="154"/>
      <c r="G147" s="154"/>
      <c r="H147" s="154"/>
      <c r="I147" s="154"/>
      <c r="J147" s="154"/>
      <c r="K147" s="154"/>
      <c r="L147" s="154"/>
      <c r="M147" s="154"/>
      <c r="N147" s="154"/>
      <c r="O147" s="154"/>
      <c r="P147" s="154"/>
      <c r="Q147" s="154"/>
      <c r="R147" s="154"/>
      <c r="S147" s="154"/>
      <c r="T147" s="154"/>
      <c r="U147" s="154"/>
      <c r="V147" s="154"/>
      <c r="W147" s="154"/>
      <c r="X147" s="154"/>
      <c r="Y147" s="154"/>
      <c r="Z147" s="154"/>
      <c r="AA147" s="154"/>
      <c r="AB147" s="154"/>
      <c r="AC147" s="154"/>
      <c r="AD147" s="154"/>
      <c r="AE147" s="154"/>
      <c r="AF147" s="367"/>
      <c r="AG147" s="368"/>
      <c r="AH147" s="368"/>
      <c r="AI147" s="368"/>
      <c r="AJ147" s="154"/>
      <c r="AK147" s="154"/>
      <c r="AL147" s="154"/>
      <c r="AM147" s="154"/>
      <c r="AN147" s="154"/>
      <c r="AO147" s="154"/>
      <c r="AP147" s="154"/>
      <c r="AQ147" s="154"/>
      <c r="AR147" s="154"/>
      <c r="AS147" s="154"/>
      <c r="AT147" s="154"/>
      <c r="AU147" s="154"/>
      <c r="AV147" s="154"/>
      <c r="AW147" s="154"/>
      <c r="AX147" s="154"/>
      <c r="AY147" s="154"/>
      <c r="AZ147" s="154"/>
      <c r="BA147" s="154"/>
      <c r="BB147" s="154"/>
      <c r="BC147" s="154"/>
      <c r="BD147" s="154"/>
      <c r="BE147" s="154"/>
      <c r="BF147" s="154"/>
      <c r="BG147" s="154"/>
      <c r="BH147" s="154"/>
      <c r="BI147" s="154"/>
      <c r="BJ147" s="154"/>
      <c r="BK147" s="154"/>
      <c r="BL147" s="154"/>
      <c r="BM147" s="154"/>
      <c r="BN147" s="154"/>
      <c r="BO147" s="154"/>
      <c r="BP147" s="154"/>
      <c r="BQ147" s="154"/>
      <c r="BR147" s="154"/>
      <c r="BS147" s="154"/>
      <c r="BT147" s="154"/>
      <c r="BU147" s="154"/>
      <c r="BV147" s="154"/>
      <c r="BW147" s="154"/>
      <c r="BX147" s="154"/>
      <c r="BY147" s="154"/>
      <c r="BZ147" s="154"/>
      <c r="CA147" s="154"/>
      <c r="CB147" s="154"/>
      <c r="CC147" s="154"/>
      <c r="CD147" s="154"/>
      <c r="CE147" s="154"/>
      <c r="CF147" s="154"/>
      <c r="CG147" s="154"/>
      <c r="CH147" s="154"/>
      <c r="CI147" s="154"/>
      <c r="CJ147" s="154"/>
      <c r="CK147" s="154"/>
      <c r="CL147" s="154"/>
      <c r="CM147" s="154"/>
      <c r="CN147" s="154"/>
      <c r="CO147" s="154"/>
      <c r="CP147" s="154"/>
      <c r="CQ147" s="154"/>
      <c r="CR147" s="154"/>
      <c r="CS147" s="154"/>
      <c r="CT147" s="154"/>
      <c r="CU147" s="154"/>
      <c r="CV147" s="154"/>
      <c r="CW147" s="154"/>
      <c r="CX147" s="154"/>
      <c r="CY147" s="154"/>
      <c r="CZ147" s="154"/>
      <c r="DA147" s="154"/>
      <c r="DB147" s="154"/>
      <c r="DC147" s="154"/>
      <c r="DD147" s="154"/>
      <c r="DE147" s="154"/>
      <c r="DF147" s="154"/>
      <c r="DG147" s="154"/>
      <c r="DH147" s="154"/>
      <c r="DI147" s="154"/>
      <c r="DJ147" s="154"/>
      <c r="DK147" s="154"/>
      <c r="DL147" s="154"/>
      <c r="DM147" s="154"/>
      <c r="DN147" s="154"/>
      <c r="DO147" s="154"/>
      <c r="DP147" s="154"/>
      <c r="DQ147" s="154"/>
      <c r="DR147" s="154"/>
      <c r="DS147" s="154"/>
      <c r="DT147" s="154"/>
      <c r="DU147" s="154"/>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row>
    <row r="148" spans="2:153" ht="12.95" customHeight="1">
      <c r="B148" s="154"/>
      <c r="C148" s="380"/>
      <c r="D148" s="380"/>
      <c r="E148" s="154"/>
      <c r="F148" s="154"/>
      <c r="G148" s="154"/>
      <c r="H148" s="154"/>
      <c r="I148" s="154"/>
      <c r="J148" s="154"/>
      <c r="K148" s="154"/>
      <c r="L148" s="154"/>
      <c r="M148" s="154"/>
      <c r="N148" s="154"/>
      <c r="O148" s="154"/>
      <c r="P148" s="154"/>
      <c r="Q148" s="154"/>
      <c r="R148" s="154"/>
      <c r="S148" s="154"/>
      <c r="T148" s="154"/>
      <c r="U148" s="154"/>
      <c r="V148" s="154"/>
      <c r="W148" s="154"/>
      <c r="X148" s="154"/>
      <c r="Y148" s="154"/>
      <c r="Z148" s="154"/>
      <c r="AA148" s="154"/>
      <c r="AB148" s="154"/>
      <c r="AC148" s="154"/>
      <c r="AD148" s="154"/>
      <c r="AE148" s="154"/>
      <c r="AF148" s="367"/>
      <c r="AG148" s="368"/>
      <c r="AH148" s="368"/>
      <c r="AI148" s="368"/>
      <c r="AJ148" s="154"/>
      <c r="AK148" s="154"/>
      <c r="AL148" s="154"/>
      <c r="AM148" s="154"/>
      <c r="AN148" s="154"/>
      <c r="AO148" s="154"/>
      <c r="AP148" s="154"/>
      <c r="AQ148" s="154"/>
      <c r="AR148" s="154"/>
      <c r="AS148" s="154"/>
      <c r="AT148" s="154"/>
      <c r="AU148" s="154"/>
      <c r="AV148" s="154"/>
      <c r="AW148" s="154"/>
      <c r="AX148" s="154"/>
      <c r="AY148" s="154"/>
      <c r="AZ148" s="154"/>
      <c r="BA148" s="154"/>
      <c r="BB148" s="154"/>
      <c r="BC148" s="154"/>
      <c r="BD148" s="154"/>
      <c r="BE148" s="154"/>
      <c r="BF148" s="154"/>
      <c r="BG148" s="154"/>
      <c r="BH148" s="154"/>
      <c r="BI148" s="154"/>
      <c r="BJ148" s="154"/>
      <c r="BK148" s="154"/>
      <c r="BL148" s="154"/>
      <c r="BM148" s="154"/>
      <c r="BN148" s="154"/>
      <c r="BO148" s="154"/>
      <c r="BP148" s="154"/>
      <c r="BQ148" s="154"/>
      <c r="BR148" s="154"/>
      <c r="BS148" s="154"/>
      <c r="BT148" s="154"/>
      <c r="BU148" s="154"/>
      <c r="BV148" s="154"/>
      <c r="BW148" s="154"/>
      <c r="BX148" s="154"/>
      <c r="BY148" s="154"/>
      <c r="BZ148" s="154"/>
      <c r="CA148" s="154"/>
      <c r="CB148" s="154"/>
      <c r="CC148" s="154"/>
      <c r="CD148" s="154"/>
      <c r="CE148" s="154"/>
      <c r="CF148" s="154"/>
      <c r="CG148" s="154"/>
      <c r="CH148" s="154"/>
      <c r="CI148" s="154"/>
      <c r="CJ148" s="154"/>
      <c r="CK148" s="154"/>
      <c r="CL148" s="154"/>
      <c r="CM148" s="154"/>
      <c r="CN148" s="154"/>
      <c r="CO148" s="154"/>
      <c r="CP148" s="154"/>
      <c r="CQ148" s="154"/>
      <c r="CR148" s="154"/>
      <c r="CS148" s="154"/>
      <c r="CT148" s="154"/>
      <c r="CU148" s="154"/>
      <c r="CV148" s="154"/>
      <c r="CW148" s="154"/>
      <c r="CX148" s="154"/>
      <c r="CY148" s="154"/>
      <c r="CZ148" s="154"/>
      <c r="DA148" s="154"/>
      <c r="DB148" s="154"/>
      <c r="DC148" s="154"/>
      <c r="DD148" s="154"/>
      <c r="DE148" s="154"/>
      <c r="DF148" s="154"/>
      <c r="DG148" s="154"/>
      <c r="DH148" s="154"/>
      <c r="DI148" s="154"/>
      <c r="DJ148" s="154"/>
      <c r="DK148" s="154"/>
      <c r="DL148" s="154"/>
      <c r="DM148" s="154"/>
      <c r="DN148" s="154"/>
      <c r="DO148" s="154"/>
      <c r="DP148" s="154"/>
      <c r="DQ148" s="154"/>
      <c r="DR148" s="154"/>
      <c r="DS148" s="154"/>
      <c r="DT148" s="154"/>
      <c r="DU148" s="154"/>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row>
    <row r="149" spans="2:153" ht="12.95" customHeight="1">
      <c r="B149" s="154"/>
      <c r="C149" s="380"/>
      <c r="D149" s="380"/>
      <c r="E149" s="154"/>
      <c r="F149" s="154"/>
      <c r="G149" s="154"/>
      <c r="H149" s="154"/>
      <c r="I149" s="154"/>
      <c r="J149" s="154"/>
      <c r="K149" s="154"/>
      <c r="L149" s="154"/>
      <c r="M149" s="154"/>
      <c r="N149" s="154"/>
      <c r="O149" s="154"/>
      <c r="P149" s="154"/>
      <c r="Q149" s="154"/>
      <c r="R149" s="154"/>
      <c r="S149" s="154"/>
      <c r="T149" s="154"/>
      <c r="U149" s="154"/>
      <c r="V149" s="154"/>
      <c r="W149" s="154"/>
      <c r="X149" s="154"/>
      <c r="Y149" s="154"/>
      <c r="Z149" s="154"/>
      <c r="AA149" s="154"/>
      <c r="AB149" s="154"/>
      <c r="AC149" s="154"/>
      <c r="AD149" s="154"/>
      <c r="AE149" s="154"/>
      <c r="AF149" s="367"/>
      <c r="AG149" s="368"/>
      <c r="AH149" s="368"/>
      <c r="AI149" s="368"/>
      <c r="AJ149" s="154"/>
      <c r="AK149" s="154"/>
      <c r="AL149" s="154"/>
      <c r="AM149" s="154"/>
      <c r="AN149" s="154"/>
      <c r="AO149" s="154"/>
      <c r="AP149" s="154"/>
      <c r="AQ149" s="154"/>
      <c r="AR149" s="154"/>
      <c r="AS149" s="154"/>
      <c r="AT149" s="154"/>
      <c r="AU149" s="154"/>
      <c r="AV149" s="154"/>
      <c r="AW149" s="154"/>
      <c r="AX149" s="154"/>
      <c r="AY149" s="154"/>
      <c r="AZ149" s="154"/>
      <c r="BA149" s="154"/>
      <c r="BB149" s="154"/>
      <c r="BC149" s="154"/>
      <c r="BD149" s="154"/>
      <c r="BE149" s="154"/>
      <c r="BF149" s="154"/>
      <c r="BG149" s="154"/>
      <c r="BH149" s="154"/>
      <c r="BI149" s="154"/>
      <c r="BJ149" s="154"/>
      <c r="BK149" s="154"/>
      <c r="BL149" s="154"/>
      <c r="BM149" s="154"/>
      <c r="BN149" s="154"/>
      <c r="BO149" s="154"/>
      <c r="BP149" s="154"/>
      <c r="BQ149" s="154"/>
      <c r="BR149" s="154"/>
      <c r="BS149" s="154"/>
      <c r="BT149" s="154"/>
      <c r="BU149" s="154"/>
      <c r="BV149" s="154"/>
      <c r="BW149" s="154"/>
      <c r="BX149" s="154"/>
      <c r="BY149" s="154"/>
      <c r="BZ149" s="154"/>
      <c r="CA149" s="154"/>
      <c r="CB149" s="154"/>
      <c r="CC149" s="154"/>
      <c r="CD149" s="154"/>
      <c r="CE149" s="154"/>
      <c r="CF149" s="154"/>
      <c r="CG149" s="154"/>
      <c r="CH149" s="154"/>
      <c r="CI149" s="154"/>
      <c r="CJ149" s="154"/>
      <c r="CK149" s="154"/>
      <c r="CL149" s="154"/>
      <c r="CM149" s="154"/>
      <c r="CN149" s="154"/>
      <c r="CO149" s="154"/>
      <c r="CP149" s="154"/>
      <c r="CQ149" s="154"/>
      <c r="CR149" s="154"/>
      <c r="CS149" s="154"/>
      <c r="CT149" s="154"/>
      <c r="CU149" s="154"/>
      <c r="CV149" s="154"/>
      <c r="CW149" s="154"/>
      <c r="CX149" s="154"/>
      <c r="CY149" s="154"/>
      <c r="CZ149" s="154"/>
      <c r="DA149" s="154"/>
      <c r="DB149" s="154"/>
      <c r="DC149" s="154"/>
      <c r="DD149" s="154"/>
      <c r="DE149" s="154"/>
      <c r="DF149" s="154"/>
      <c r="DG149" s="154"/>
      <c r="DH149" s="154"/>
      <c r="DI149" s="154"/>
      <c r="DJ149" s="154"/>
      <c r="DK149" s="154"/>
      <c r="DL149" s="154"/>
      <c r="DM149" s="154"/>
      <c r="DN149" s="154"/>
      <c r="DO149" s="154"/>
      <c r="DP149" s="154"/>
      <c r="DQ149" s="154"/>
      <c r="DR149" s="154"/>
      <c r="DS149" s="154"/>
      <c r="DT149" s="154"/>
      <c r="DU149" s="154"/>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row>
    <row r="150" spans="2:153" ht="12.95" customHeight="1">
      <c r="B150" s="154"/>
      <c r="C150" s="380"/>
      <c r="D150" s="380"/>
      <c r="E150" s="154"/>
      <c r="F150" s="154"/>
      <c r="G150" s="154"/>
      <c r="H150" s="154"/>
      <c r="I150" s="154"/>
      <c r="J150" s="154"/>
      <c r="K150" s="154"/>
      <c r="L150" s="154"/>
      <c r="M150" s="154"/>
      <c r="N150" s="154"/>
      <c r="O150" s="154"/>
      <c r="P150" s="154"/>
      <c r="Q150" s="154"/>
      <c r="R150" s="154"/>
      <c r="S150" s="154"/>
      <c r="T150" s="154"/>
      <c r="U150" s="154"/>
      <c r="V150" s="154"/>
      <c r="W150" s="154"/>
      <c r="X150" s="154"/>
      <c r="Y150" s="154"/>
      <c r="Z150" s="154"/>
      <c r="AA150" s="154"/>
      <c r="AB150" s="154"/>
      <c r="AC150" s="154"/>
      <c r="AD150" s="154"/>
      <c r="AE150" s="154"/>
      <c r="AF150" s="367"/>
      <c r="AG150" s="368"/>
      <c r="AH150" s="368"/>
      <c r="AI150" s="368"/>
      <c r="AJ150" s="154"/>
      <c r="AK150" s="154"/>
      <c r="AL150" s="154"/>
      <c r="AM150" s="154"/>
      <c r="AN150" s="154"/>
      <c r="AO150" s="154"/>
      <c r="AP150" s="154"/>
      <c r="AQ150" s="154"/>
      <c r="AR150" s="154"/>
      <c r="AS150" s="154"/>
      <c r="AT150" s="154"/>
      <c r="AU150" s="154"/>
      <c r="AV150" s="154"/>
      <c r="AW150" s="154"/>
      <c r="AX150" s="154"/>
      <c r="AY150" s="154"/>
      <c r="AZ150" s="154"/>
      <c r="BA150" s="154"/>
      <c r="BB150" s="154"/>
      <c r="BC150" s="154"/>
      <c r="BD150" s="154"/>
      <c r="BE150" s="154"/>
      <c r="BF150" s="154"/>
      <c r="BG150" s="154"/>
      <c r="BH150" s="154"/>
      <c r="BI150" s="154"/>
      <c r="BJ150" s="154"/>
      <c r="BK150" s="154"/>
      <c r="BL150" s="154"/>
      <c r="BM150" s="154"/>
      <c r="BN150" s="154"/>
      <c r="BO150" s="154"/>
      <c r="BP150" s="154"/>
      <c r="BQ150" s="154"/>
      <c r="BR150" s="154"/>
      <c r="BS150" s="154"/>
      <c r="BT150" s="154"/>
      <c r="BU150" s="154"/>
      <c r="BV150" s="154"/>
      <c r="BW150" s="154"/>
      <c r="BX150" s="154"/>
      <c r="BY150" s="154"/>
      <c r="BZ150" s="154"/>
      <c r="CA150" s="154"/>
      <c r="CB150" s="154"/>
      <c r="CC150" s="154"/>
      <c r="CD150" s="154"/>
      <c r="CE150" s="154"/>
      <c r="CF150" s="154"/>
      <c r="CG150" s="154"/>
      <c r="CH150" s="154"/>
      <c r="CI150" s="154"/>
      <c r="CJ150" s="154"/>
      <c r="CK150" s="154"/>
      <c r="CL150" s="154"/>
      <c r="CM150" s="154"/>
      <c r="CN150" s="154"/>
      <c r="CO150" s="154"/>
      <c r="CP150" s="154"/>
      <c r="CQ150" s="154"/>
      <c r="CR150" s="154"/>
      <c r="CS150" s="154"/>
      <c r="CT150" s="154"/>
      <c r="CU150" s="154"/>
      <c r="CV150" s="154"/>
      <c r="CW150" s="154"/>
      <c r="CX150" s="154"/>
      <c r="CY150" s="154"/>
      <c r="CZ150" s="154"/>
      <c r="DA150" s="154"/>
      <c r="DB150" s="154"/>
      <c r="DC150" s="154"/>
      <c r="DD150" s="154"/>
      <c r="DE150" s="154"/>
      <c r="DF150" s="154"/>
      <c r="DG150" s="154"/>
      <c r="DH150" s="154"/>
      <c r="DI150" s="154"/>
      <c r="DJ150" s="154"/>
      <c r="DK150" s="154"/>
      <c r="DL150" s="154"/>
      <c r="DM150" s="154"/>
      <c r="DN150" s="154"/>
      <c r="DO150" s="154"/>
      <c r="DP150" s="154"/>
      <c r="DQ150" s="154"/>
      <c r="DR150" s="154"/>
      <c r="DS150" s="154"/>
      <c r="DT150" s="154"/>
      <c r="DU150" s="154"/>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row>
    <row r="151" spans="2:153" ht="12.95" customHeight="1">
      <c r="B151" s="154"/>
      <c r="C151" s="380"/>
      <c r="D151" s="380"/>
      <c r="E151" s="154"/>
      <c r="F151" s="154"/>
      <c r="G151" s="154"/>
      <c r="H151" s="154"/>
      <c r="I151" s="154"/>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367"/>
      <c r="AG151" s="368"/>
      <c r="AH151" s="368"/>
      <c r="AI151" s="368"/>
      <c r="AJ151" s="154"/>
      <c r="AK151" s="154"/>
      <c r="AL151" s="154"/>
      <c r="AM151" s="154"/>
      <c r="AN151" s="154"/>
      <c r="AO151" s="154"/>
      <c r="AP151" s="154"/>
      <c r="AQ151" s="154"/>
      <c r="AR151" s="154"/>
      <c r="AS151" s="154"/>
      <c r="AT151" s="154"/>
      <c r="AU151" s="154"/>
      <c r="AV151" s="154"/>
      <c r="AW151" s="154"/>
      <c r="AX151" s="154"/>
      <c r="AY151" s="154"/>
      <c r="AZ151" s="154"/>
      <c r="BA151" s="154"/>
      <c r="BB151" s="154"/>
      <c r="BC151" s="154"/>
      <c r="BD151" s="154"/>
      <c r="BE151" s="154"/>
      <c r="BF151" s="154"/>
      <c r="BG151" s="154"/>
      <c r="BH151" s="154"/>
      <c r="BI151" s="154"/>
      <c r="BJ151" s="154"/>
      <c r="BK151" s="154"/>
      <c r="BL151" s="154"/>
      <c r="BM151" s="154"/>
      <c r="BN151" s="154"/>
      <c r="BO151" s="154"/>
      <c r="BP151" s="154"/>
      <c r="BQ151" s="154"/>
      <c r="BR151" s="154"/>
      <c r="BS151" s="154"/>
      <c r="BT151" s="154"/>
      <c r="BU151" s="154"/>
      <c r="BV151" s="154"/>
      <c r="BW151" s="154"/>
      <c r="BX151" s="154"/>
      <c r="BY151" s="154"/>
      <c r="BZ151" s="154"/>
      <c r="CA151" s="154"/>
      <c r="CB151" s="154"/>
      <c r="CC151" s="154"/>
      <c r="CD151" s="154"/>
      <c r="CE151" s="154"/>
      <c r="CF151" s="154"/>
      <c r="CG151" s="154"/>
      <c r="CH151" s="154"/>
      <c r="CI151" s="154"/>
      <c r="CJ151" s="154"/>
      <c r="CK151" s="154"/>
      <c r="CL151" s="154"/>
      <c r="CM151" s="154"/>
      <c r="CN151" s="154"/>
      <c r="CO151" s="154"/>
      <c r="CP151" s="154"/>
      <c r="CQ151" s="154"/>
      <c r="CR151" s="154"/>
      <c r="CS151" s="154"/>
      <c r="CT151" s="154"/>
      <c r="CU151" s="154"/>
      <c r="CV151" s="154"/>
      <c r="CW151" s="154"/>
      <c r="CX151" s="154"/>
      <c r="CY151" s="154"/>
      <c r="CZ151" s="154"/>
      <c r="DA151" s="154"/>
      <c r="DB151" s="154"/>
      <c r="DC151" s="154"/>
      <c r="DD151" s="154"/>
      <c r="DE151" s="154"/>
      <c r="DF151" s="154"/>
      <c r="DG151" s="154"/>
      <c r="DH151" s="154"/>
      <c r="DI151" s="154"/>
      <c r="DJ151" s="154"/>
      <c r="DK151" s="154"/>
      <c r="DL151" s="154"/>
      <c r="DM151" s="154"/>
      <c r="DN151" s="154"/>
      <c r="DO151" s="154"/>
      <c r="DP151" s="154"/>
      <c r="DQ151" s="154"/>
      <c r="DR151" s="154"/>
      <c r="DS151" s="154"/>
      <c r="DT151" s="154"/>
      <c r="DU151" s="154"/>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row>
    <row r="152" spans="2:153" ht="12.95" customHeight="1">
      <c r="B152" s="154"/>
      <c r="C152" s="380"/>
      <c r="D152" s="380"/>
      <c r="E152" s="154"/>
      <c r="F152" s="154"/>
      <c r="G152" s="154"/>
      <c r="H152" s="154"/>
      <c r="I152" s="154"/>
      <c r="J152" s="154"/>
      <c r="K152" s="154"/>
      <c r="L152" s="154"/>
      <c r="M152" s="154"/>
      <c r="N152" s="154"/>
      <c r="O152" s="154"/>
      <c r="P152" s="154"/>
      <c r="Q152" s="154"/>
      <c r="R152" s="154"/>
      <c r="S152" s="154"/>
      <c r="T152" s="154"/>
      <c r="U152" s="154"/>
      <c r="V152" s="154"/>
      <c r="W152" s="154"/>
      <c r="X152" s="154"/>
      <c r="Y152" s="154"/>
      <c r="Z152" s="154"/>
      <c r="AA152" s="154"/>
      <c r="AB152" s="154"/>
      <c r="AC152" s="154"/>
      <c r="AD152" s="154"/>
      <c r="AE152" s="154"/>
      <c r="AF152" s="367"/>
      <c r="AG152" s="368"/>
      <c r="AH152" s="368"/>
      <c r="AI152" s="368"/>
      <c r="AJ152" s="154"/>
      <c r="AK152" s="154"/>
      <c r="AL152" s="154"/>
      <c r="AM152" s="154"/>
      <c r="AN152" s="154"/>
      <c r="AO152" s="154"/>
      <c r="AP152" s="154"/>
      <c r="AQ152" s="154"/>
      <c r="AR152" s="154"/>
      <c r="AS152" s="154"/>
      <c r="AT152" s="154"/>
      <c r="AU152" s="154"/>
      <c r="AV152" s="154"/>
      <c r="AW152" s="154"/>
      <c r="AX152" s="154"/>
      <c r="AY152" s="154"/>
      <c r="AZ152" s="154"/>
      <c r="BA152" s="154"/>
      <c r="BB152" s="154"/>
      <c r="BC152" s="154"/>
      <c r="BD152" s="154"/>
      <c r="BE152" s="154"/>
      <c r="BF152" s="154"/>
      <c r="BG152" s="154"/>
      <c r="BH152" s="154"/>
      <c r="BI152" s="154"/>
      <c r="BJ152" s="154"/>
      <c r="BK152" s="154"/>
      <c r="BL152" s="154"/>
      <c r="BM152" s="154"/>
      <c r="BN152" s="154"/>
      <c r="BO152" s="154"/>
      <c r="BP152" s="154"/>
      <c r="BQ152" s="154"/>
      <c r="BR152" s="154"/>
      <c r="BS152" s="154"/>
      <c r="BT152" s="154"/>
      <c r="BU152" s="154"/>
      <c r="BV152" s="154"/>
      <c r="BW152" s="154"/>
      <c r="BX152" s="154"/>
      <c r="BY152" s="154"/>
      <c r="BZ152" s="154"/>
      <c r="CA152" s="154"/>
      <c r="CB152" s="154"/>
      <c r="CC152" s="154"/>
      <c r="CD152" s="154"/>
      <c r="CE152" s="154"/>
      <c r="CF152" s="154"/>
      <c r="CG152" s="154"/>
      <c r="CH152" s="154"/>
      <c r="CI152" s="154"/>
      <c r="CJ152" s="154"/>
      <c r="CK152" s="154"/>
      <c r="CL152" s="154"/>
      <c r="CM152" s="154"/>
      <c r="CN152" s="154"/>
      <c r="CO152" s="154"/>
      <c r="CP152" s="154"/>
      <c r="CQ152" s="154"/>
      <c r="CR152" s="154"/>
      <c r="CS152" s="154"/>
      <c r="CT152" s="154"/>
      <c r="CU152" s="154"/>
      <c r="CV152" s="154"/>
      <c r="CW152" s="154"/>
      <c r="CX152" s="154"/>
      <c r="CY152" s="154"/>
      <c r="CZ152" s="154"/>
      <c r="DA152" s="154"/>
      <c r="DB152" s="154"/>
      <c r="DC152" s="154"/>
      <c r="DD152" s="154"/>
      <c r="DE152" s="154"/>
      <c r="DF152" s="154"/>
      <c r="DG152" s="154"/>
      <c r="DH152" s="154"/>
      <c r="DI152" s="154"/>
      <c r="DJ152" s="154"/>
      <c r="DK152" s="154"/>
      <c r="DL152" s="154"/>
      <c r="DM152" s="154"/>
      <c r="DN152" s="154"/>
      <c r="DO152" s="154"/>
      <c r="DP152" s="154"/>
      <c r="DQ152" s="154"/>
      <c r="DR152" s="154"/>
      <c r="DS152" s="154"/>
      <c r="DT152" s="154"/>
      <c r="DU152" s="154"/>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row>
    <row r="153" spans="2:153" ht="12.95" customHeight="1">
      <c r="B153" s="154"/>
      <c r="C153" s="380"/>
      <c r="D153" s="380"/>
      <c r="E153" s="154"/>
      <c r="F153" s="154"/>
      <c r="G153" s="154"/>
      <c r="H153" s="154"/>
      <c r="I153" s="154"/>
      <c r="J153" s="154"/>
      <c r="K153" s="154"/>
      <c r="L153" s="154"/>
      <c r="M153" s="154"/>
      <c r="N153" s="154"/>
      <c r="O153" s="154"/>
      <c r="P153" s="154"/>
      <c r="Q153" s="154"/>
      <c r="R153" s="154"/>
      <c r="S153" s="154"/>
      <c r="T153" s="154"/>
      <c r="U153" s="154"/>
      <c r="V153" s="154"/>
      <c r="W153" s="154"/>
      <c r="X153" s="154"/>
      <c r="Y153" s="154"/>
      <c r="Z153" s="154"/>
      <c r="AA153" s="154"/>
      <c r="AB153" s="154"/>
      <c r="AC153" s="154"/>
      <c r="AD153" s="154"/>
      <c r="AE153" s="154"/>
      <c r="AF153" s="367"/>
      <c r="AG153" s="368"/>
      <c r="AH153" s="368"/>
      <c r="AI153" s="368"/>
      <c r="AJ153" s="154"/>
      <c r="AK153" s="154"/>
      <c r="AL153" s="154"/>
      <c r="AM153" s="154"/>
      <c r="AN153" s="154"/>
      <c r="AO153" s="154"/>
      <c r="AP153" s="154"/>
      <c r="AQ153" s="154"/>
      <c r="AR153" s="154"/>
      <c r="AS153" s="154"/>
      <c r="AT153" s="154"/>
      <c r="AU153" s="154"/>
      <c r="AV153" s="154"/>
      <c r="AW153" s="154"/>
      <c r="AX153" s="154"/>
      <c r="AY153" s="154"/>
      <c r="AZ153" s="154"/>
      <c r="BA153" s="154"/>
      <c r="BB153" s="154"/>
      <c r="BC153" s="154"/>
      <c r="BD153" s="154"/>
      <c r="BE153" s="154"/>
      <c r="BF153" s="154"/>
      <c r="BG153" s="154"/>
      <c r="BH153" s="154"/>
      <c r="BI153" s="154"/>
      <c r="BJ153" s="154"/>
      <c r="BK153" s="154"/>
      <c r="BL153" s="154"/>
      <c r="BM153" s="154"/>
      <c r="BN153" s="154"/>
      <c r="BO153" s="154"/>
      <c r="BP153" s="154"/>
      <c r="BQ153" s="154"/>
      <c r="BR153" s="154"/>
      <c r="BS153" s="154"/>
      <c r="BT153" s="154"/>
      <c r="BU153" s="154"/>
      <c r="BV153" s="154"/>
      <c r="BW153" s="154"/>
      <c r="BX153" s="154"/>
      <c r="BY153" s="154"/>
      <c r="BZ153" s="154"/>
      <c r="CA153" s="154"/>
      <c r="CB153" s="154"/>
      <c r="CC153" s="154"/>
      <c r="CD153" s="154"/>
      <c r="CE153" s="154"/>
      <c r="CF153" s="154"/>
      <c r="CG153" s="154"/>
      <c r="CH153" s="154"/>
      <c r="CI153" s="154"/>
      <c r="CJ153" s="154"/>
      <c r="CK153" s="154"/>
      <c r="CL153" s="154"/>
      <c r="CM153" s="154"/>
      <c r="CN153" s="154"/>
      <c r="CO153" s="154"/>
      <c r="CP153" s="154"/>
      <c r="CQ153" s="154"/>
      <c r="CR153" s="154"/>
      <c r="CS153" s="154"/>
      <c r="CT153" s="154"/>
      <c r="CU153" s="154"/>
      <c r="CV153" s="154"/>
      <c r="CW153" s="154"/>
      <c r="CX153" s="154"/>
      <c r="CY153" s="154"/>
      <c r="CZ153" s="154"/>
      <c r="DA153" s="154"/>
      <c r="DB153" s="154"/>
      <c r="DC153" s="154"/>
      <c r="DD153" s="154"/>
      <c r="DE153" s="154"/>
      <c r="DF153" s="154"/>
      <c r="DG153" s="154"/>
      <c r="DH153" s="154"/>
      <c r="DI153" s="154"/>
      <c r="DJ153" s="154"/>
      <c r="DK153" s="154"/>
      <c r="DL153" s="154"/>
      <c r="DM153" s="154"/>
      <c r="DN153" s="154"/>
      <c r="DO153" s="154"/>
      <c r="DP153" s="154"/>
      <c r="DQ153" s="154"/>
      <c r="DR153" s="154"/>
      <c r="DS153" s="154"/>
      <c r="DT153" s="154"/>
      <c r="DU153" s="154"/>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row>
    <row r="154" spans="2:153" ht="12.95" customHeight="1">
      <c r="B154" s="154"/>
      <c r="C154" s="380"/>
      <c r="D154" s="380"/>
      <c r="E154" s="154"/>
      <c r="F154" s="154"/>
      <c r="G154" s="154"/>
      <c r="H154" s="154"/>
      <c r="I154" s="154"/>
      <c r="J154" s="154"/>
      <c r="K154" s="154"/>
      <c r="L154" s="154"/>
      <c r="M154" s="154"/>
      <c r="N154" s="154"/>
      <c r="O154" s="154"/>
      <c r="P154" s="154"/>
      <c r="Q154" s="154"/>
      <c r="R154" s="154"/>
      <c r="S154" s="154"/>
      <c r="T154" s="154"/>
      <c r="U154" s="154"/>
      <c r="V154" s="154"/>
      <c r="W154" s="154"/>
      <c r="X154" s="154"/>
      <c r="Y154" s="154"/>
      <c r="Z154" s="154"/>
      <c r="AA154" s="154"/>
      <c r="AB154" s="154"/>
      <c r="AC154" s="154"/>
      <c r="AD154" s="154"/>
      <c r="AE154" s="154"/>
      <c r="AF154" s="367"/>
      <c r="AG154" s="368"/>
      <c r="AH154" s="368"/>
      <c r="AI154" s="368"/>
      <c r="AJ154" s="154"/>
      <c r="AK154" s="154"/>
      <c r="AL154" s="154"/>
      <c r="AM154" s="154"/>
      <c r="AN154" s="154"/>
      <c r="AO154" s="154"/>
      <c r="AP154" s="154"/>
      <c r="AQ154" s="154"/>
      <c r="AR154" s="154"/>
      <c r="AS154" s="154"/>
      <c r="AT154" s="154"/>
      <c r="AU154" s="154"/>
      <c r="AV154" s="154"/>
      <c r="AW154" s="154"/>
      <c r="AX154" s="154"/>
      <c r="AY154" s="154"/>
      <c r="AZ154" s="154"/>
      <c r="BA154" s="154"/>
      <c r="BB154" s="154"/>
      <c r="BC154" s="154"/>
      <c r="BD154" s="154"/>
      <c r="BE154" s="154"/>
      <c r="BF154" s="154"/>
      <c r="BG154" s="154"/>
      <c r="BH154" s="154"/>
      <c r="BI154" s="154"/>
      <c r="BJ154" s="154"/>
      <c r="BK154" s="154"/>
      <c r="BL154" s="154"/>
      <c r="BM154" s="154"/>
      <c r="BN154" s="154"/>
      <c r="BO154" s="154"/>
      <c r="BP154" s="154"/>
      <c r="BQ154" s="154"/>
      <c r="BR154" s="154"/>
      <c r="BS154" s="154"/>
      <c r="BT154" s="154"/>
      <c r="BU154" s="154"/>
      <c r="BV154" s="154"/>
      <c r="BW154" s="154"/>
      <c r="BX154" s="154"/>
      <c r="BY154" s="154"/>
      <c r="BZ154" s="154"/>
      <c r="CA154" s="154"/>
      <c r="CB154" s="154"/>
      <c r="CC154" s="154"/>
      <c r="CD154" s="154"/>
      <c r="CE154" s="154"/>
      <c r="CF154" s="154"/>
      <c r="CG154" s="154"/>
      <c r="CH154" s="154"/>
      <c r="CI154" s="154"/>
      <c r="CJ154" s="154"/>
      <c r="CK154" s="154"/>
      <c r="CL154" s="154"/>
      <c r="CM154" s="154"/>
      <c r="CN154" s="154"/>
      <c r="CO154" s="154"/>
      <c r="CP154" s="154"/>
      <c r="CQ154" s="154"/>
      <c r="CR154" s="154"/>
      <c r="CS154" s="154"/>
      <c r="CT154" s="154"/>
      <c r="CU154" s="154"/>
      <c r="CV154" s="154"/>
      <c r="CW154" s="154"/>
      <c r="CX154" s="154"/>
      <c r="CY154" s="154"/>
      <c r="CZ154" s="154"/>
      <c r="DA154" s="154"/>
      <c r="DB154" s="154"/>
      <c r="DC154" s="154"/>
      <c r="DD154" s="154"/>
      <c r="DE154" s="154"/>
      <c r="DF154" s="154"/>
      <c r="DG154" s="154"/>
      <c r="DH154" s="154"/>
      <c r="DI154" s="154"/>
      <c r="DJ154" s="154"/>
      <c r="DK154" s="154"/>
      <c r="DL154" s="154"/>
      <c r="DM154" s="154"/>
      <c r="DN154" s="154"/>
      <c r="DO154" s="154"/>
      <c r="DP154" s="154"/>
      <c r="DQ154" s="154"/>
      <c r="DR154" s="154"/>
      <c r="DS154" s="154"/>
      <c r="DT154" s="154"/>
      <c r="DU154" s="154"/>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row>
    <row r="155" spans="2:153" ht="12.95" customHeight="1">
      <c r="B155" s="154"/>
      <c r="C155" s="380"/>
      <c r="D155" s="380"/>
      <c r="E155" s="154"/>
      <c r="F155" s="154"/>
      <c r="G155" s="154"/>
      <c r="H155" s="154"/>
      <c r="I155" s="154"/>
      <c r="J155" s="154"/>
      <c r="K155" s="154"/>
      <c r="L155" s="154"/>
      <c r="M155" s="154"/>
      <c r="N155" s="154"/>
      <c r="O155" s="154"/>
      <c r="P155" s="154"/>
      <c r="Q155" s="154"/>
      <c r="R155" s="154"/>
      <c r="S155" s="154"/>
      <c r="T155" s="154"/>
      <c r="U155" s="154"/>
      <c r="V155" s="154"/>
      <c r="W155" s="154"/>
      <c r="X155" s="154"/>
      <c r="Y155" s="154"/>
      <c r="Z155" s="154"/>
      <c r="AA155" s="154"/>
      <c r="AB155" s="154"/>
      <c r="AC155" s="154"/>
      <c r="AD155" s="154"/>
      <c r="AE155" s="154"/>
      <c r="AF155" s="367"/>
      <c r="AG155" s="368"/>
      <c r="AH155" s="368"/>
      <c r="AI155" s="368"/>
      <c r="AJ155" s="154"/>
      <c r="AK155" s="154"/>
      <c r="AL155" s="154"/>
      <c r="AM155" s="154"/>
      <c r="AN155" s="154"/>
      <c r="AO155" s="154"/>
      <c r="AP155" s="154"/>
      <c r="AQ155" s="154"/>
      <c r="AR155" s="154"/>
      <c r="AS155" s="154"/>
      <c r="AT155" s="154"/>
      <c r="AU155" s="154"/>
      <c r="AV155" s="154"/>
      <c r="AW155" s="154"/>
      <c r="AX155" s="154"/>
      <c r="AY155" s="154"/>
      <c r="AZ155" s="154"/>
      <c r="BA155" s="154"/>
      <c r="BB155" s="154"/>
      <c r="BC155" s="154"/>
      <c r="BD155" s="154"/>
      <c r="BE155" s="154"/>
      <c r="BF155" s="154"/>
      <c r="BG155" s="154"/>
      <c r="BH155" s="154"/>
      <c r="BI155" s="154"/>
      <c r="BJ155" s="154"/>
      <c r="BK155" s="154"/>
      <c r="BL155" s="154"/>
      <c r="BM155" s="154"/>
      <c r="BN155" s="154"/>
      <c r="BO155" s="154"/>
      <c r="BP155" s="154"/>
      <c r="BQ155" s="154"/>
      <c r="BR155" s="154"/>
      <c r="BS155" s="154"/>
      <c r="BT155" s="154"/>
      <c r="BU155" s="154"/>
      <c r="BV155" s="154"/>
      <c r="BW155" s="154"/>
      <c r="BX155" s="154"/>
      <c r="BY155" s="154"/>
      <c r="BZ155" s="154"/>
      <c r="CA155" s="154"/>
      <c r="CB155" s="154"/>
      <c r="CC155" s="154"/>
      <c r="CD155" s="154"/>
      <c r="CE155" s="154"/>
      <c r="CF155" s="154"/>
      <c r="CG155" s="154"/>
      <c r="CH155" s="154"/>
      <c r="CI155" s="154"/>
      <c r="CJ155" s="154"/>
      <c r="CK155" s="154"/>
      <c r="CL155" s="154"/>
      <c r="CM155" s="154"/>
      <c r="CN155" s="154"/>
      <c r="CO155" s="154"/>
      <c r="CP155" s="154"/>
      <c r="CQ155" s="154"/>
      <c r="CR155" s="154"/>
      <c r="CS155" s="154"/>
      <c r="CT155" s="154"/>
      <c r="CU155" s="154"/>
      <c r="CV155" s="154"/>
      <c r="CW155" s="154"/>
      <c r="CX155" s="154"/>
      <c r="CY155" s="154"/>
      <c r="CZ155" s="154"/>
      <c r="DA155" s="154"/>
      <c r="DB155" s="154"/>
      <c r="DC155" s="154"/>
      <c r="DD155" s="154"/>
      <c r="DE155" s="154"/>
      <c r="DF155" s="154"/>
      <c r="DG155" s="154"/>
      <c r="DH155" s="154"/>
      <c r="DI155" s="154"/>
      <c r="DJ155" s="154"/>
      <c r="DK155" s="154"/>
      <c r="DL155" s="154"/>
      <c r="DM155" s="154"/>
      <c r="DN155" s="154"/>
      <c r="DO155" s="154"/>
      <c r="DP155" s="154"/>
      <c r="DQ155" s="154"/>
      <c r="DR155" s="154"/>
      <c r="DS155" s="154"/>
      <c r="DT155" s="154"/>
      <c r="DU155" s="154"/>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row>
    <row r="156" spans="2:153" ht="12.95" customHeight="1">
      <c r="B156" s="154"/>
      <c r="C156" s="380"/>
      <c r="D156" s="380"/>
      <c r="E156" s="154"/>
      <c r="F156" s="154"/>
      <c r="G156" s="154"/>
      <c r="H156" s="154"/>
      <c r="I156" s="154"/>
      <c r="J156" s="154"/>
      <c r="K156" s="154"/>
      <c r="L156" s="154"/>
      <c r="M156" s="154"/>
      <c r="N156" s="154"/>
      <c r="O156" s="154"/>
      <c r="P156" s="154"/>
      <c r="Q156" s="154"/>
      <c r="R156" s="154"/>
      <c r="S156" s="154"/>
      <c r="T156" s="154"/>
      <c r="U156" s="154"/>
      <c r="V156" s="154"/>
      <c r="W156" s="154"/>
      <c r="X156" s="154"/>
      <c r="Y156" s="154"/>
      <c r="Z156" s="154"/>
      <c r="AA156" s="154"/>
      <c r="AB156" s="154"/>
      <c r="AC156" s="154"/>
      <c r="AD156" s="154"/>
      <c r="AE156" s="154"/>
      <c r="AF156" s="367"/>
      <c r="AG156" s="368"/>
      <c r="AH156" s="368"/>
      <c r="AI156" s="368"/>
      <c r="AJ156" s="154"/>
      <c r="AK156" s="154"/>
      <c r="AL156" s="154"/>
      <c r="AM156" s="154"/>
      <c r="AN156" s="154"/>
      <c r="AO156" s="154"/>
      <c r="AP156" s="154"/>
      <c r="AQ156" s="154"/>
      <c r="AR156" s="154"/>
      <c r="AS156" s="154"/>
      <c r="AT156" s="154"/>
      <c r="AU156" s="154"/>
      <c r="AV156" s="154"/>
      <c r="AW156" s="154"/>
      <c r="AX156" s="154"/>
      <c r="AY156" s="154"/>
      <c r="AZ156" s="154"/>
      <c r="BA156" s="154"/>
      <c r="BB156" s="154"/>
      <c r="BC156" s="154"/>
      <c r="BD156" s="154"/>
      <c r="BE156" s="154"/>
      <c r="BF156" s="154"/>
      <c r="BG156" s="154"/>
      <c r="BH156" s="154"/>
      <c r="BI156" s="154"/>
      <c r="BJ156" s="154"/>
      <c r="BK156" s="154"/>
      <c r="BL156" s="154"/>
      <c r="BM156" s="154"/>
      <c r="BN156" s="154"/>
      <c r="BO156" s="154"/>
      <c r="BP156" s="154"/>
      <c r="BQ156" s="154"/>
      <c r="BR156" s="154"/>
      <c r="BS156" s="154"/>
      <c r="BT156" s="154"/>
      <c r="BU156" s="154"/>
      <c r="BV156" s="154"/>
      <c r="BW156" s="154"/>
      <c r="BX156" s="154"/>
      <c r="BY156" s="154"/>
      <c r="BZ156" s="154"/>
      <c r="CA156" s="154"/>
      <c r="CB156" s="154"/>
      <c r="CC156" s="154"/>
      <c r="CD156" s="154"/>
      <c r="CE156" s="154"/>
      <c r="CF156" s="154"/>
      <c r="CG156" s="154"/>
      <c r="CH156" s="154"/>
      <c r="CI156" s="154"/>
      <c r="CJ156" s="154"/>
      <c r="CK156" s="154"/>
      <c r="CL156" s="154"/>
      <c r="CM156" s="154"/>
      <c r="CN156" s="154"/>
      <c r="CO156" s="154"/>
      <c r="CP156" s="154"/>
      <c r="CQ156" s="154"/>
      <c r="CR156" s="154"/>
      <c r="CS156" s="154"/>
      <c r="CT156" s="154"/>
      <c r="CU156" s="154"/>
      <c r="CV156" s="154"/>
      <c r="CW156" s="154"/>
      <c r="CX156" s="154"/>
      <c r="CY156" s="154"/>
      <c r="CZ156" s="154"/>
      <c r="DA156" s="154"/>
      <c r="DB156" s="154"/>
      <c r="DC156" s="154"/>
      <c r="DD156" s="154"/>
      <c r="DE156" s="154"/>
      <c r="DF156" s="154"/>
      <c r="DG156" s="154"/>
      <c r="DH156" s="154"/>
      <c r="DI156" s="154"/>
      <c r="DJ156" s="154"/>
      <c r="DK156" s="154"/>
      <c r="DL156" s="154"/>
      <c r="DM156" s="154"/>
      <c r="DN156" s="154"/>
      <c r="DO156" s="154"/>
      <c r="DP156" s="154"/>
      <c r="DQ156" s="154"/>
      <c r="DR156" s="154"/>
      <c r="DS156" s="154"/>
      <c r="DT156" s="154"/>
      <c r="DU156" s="154"/>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row>
    <row r="157" spans="2:153" ht="12.95" customHeight="1">
      <c r="B157" s="154"/>
      <c r="C157" s="380"/>
      <c r="D157" s="380"/>
      <c r="E157" s="154"/>
      <c r="F157" s="154"/>
      <c r="G157" s="154"/>
      <c r="H157" s="154"/>
      <c r="I157" s="154"/>
      <c r="J157" s="154"/>
      <c r="K157" s="154"/>
      <c r="L157" s="154"/>
      <c r="M157" s="154"/>
      <c r="N157" s="154"/>
      <c r="O157" s="154"/>
      <c r="P157" s="154"/>
      <c r="Q157" s="154"/>
      <c r="R157" s="154"/>
      <c r="S157" s="154"/>
      <c r="T157" s="154"/>
      <c r="U157" s="154"/>
      <c r="V157" s="154"/>
      <c r="W157" s="154"/>
      <c r="X157" s="154"/>
      <c r="Y157" s="154"/>
      <c r="Z157" s="154"/>
      <c r="AA157" s="154"/>
      <c r="AB157" s="154"/>
      <c r="AC157" s="154"/>
      <c r="AD157" s="154"/>
      <c r="AE157" s="154"/>
      <c r="AF157" s="367"/>
      <c r="AG157" s="368"/>
      <c r="AH157" s="368"/>
      <c r="AI157" s="368"/>
      <c r="AJ157" s="154"/>
      <c r="AK157" s="154"/>
      <c r="AL157" s="154"/>
      <c r="AM157" s="154"/>
      <c r="AN157" s="154"/>
      <c r="AO157" s="154"/>
      <c r="AP157" s="154"/>
      <c r="AQ157" s="154"/>
      <c r="AR157" s="154"/>
      <c r="AS157" s="154"/>
      <c r="AT157" s="154"/>
      <c r="AU157" s="154"/>
      <c r="AV157" s="154"/>
      <c r="AW157" s="154"/>
      <c r="AX157" s="154"/>
      <c r="AY157" s="154"/>
      <c r="AZ157" s="154"/>
      <c r="BA157" s="154"/>
      <c r="BB157" s="154"/>
      <c r="BC157" s="154"/>
      <c r="BD157" s="154"/>
      <c r="BE157" s="154"/>
      <c r="BF157" s="154"/>
      <c r="BG157" s="154"/>
      <c r="BH157" s="154"/>
      <c r="BI157" s="154"/>
      <c r="BJ157" s="154"/>
      <c r="BK157" s="154"/>
      <c r="BL157" s="154"/>
      <c r="BM157" s="154"/>
      <c r="BN157" s="154"/>
      <c r="BO157" s="154"/>
      <c r="BP157" s="154"/>
      <c r="BQ157" s="154"/>
      <c r="BR157" s="154"/>
      <c r="BS157" s="154"/>
      <c r="BT157" s="154"/>
      <c r="BU157" s="154"/>
      <c r="BV157" s="154"/>
      <c r="BW157" s="154"/>
      <c r="BX157" s="154"/>
      <c r="BY157" s="154"/>
      <c r="BZ157" s="154"/>
      <c r="CA157" s="154"/>
      <c r="CB157" s="154"/>
      <c r="CC157" s="154"/>
      <c r="CD157" s="154"/>
      <c r="CE157" s="154"/>
      <c r="CF157" s="154"/>
      <c r="CG157" s="154"/>
      <c r="CH157" s="154"/>
      <c r="CI157" s="154"/>
      <c r="CJ157" s="154"/>
      <c r="CK157" s="154"/>
      <c r="CL157" s="154"/>
      <c r="CM157" s="154"/>
      <c r="CN157" s="154"/>
      <c r="CO157" s="154"/>
      <c r="CP157" s="154"/>
      <c r="CQ157" s="154"/>
      <c r="CR157" s="154"/>
      <c r="CS157" s="154"/>
      <c r="CT157" s="154"/>
      <c r="CU157" s="154"/>
      <c r="CV157" s="154"/>
      <c r="CW157" s="154"/>
      <c r="CX157" s="154"/>
      <c r="CY157" s="154"/>
      <c r="CZ157" s="154"/>
      <c r="DA157" s="154"/>
      <c r="DB157" s="154"/>
      <c r="DC157" s="154"/>
      <c r="DD157" s="154"/>
      <c r="DE157" s="154"/>
      <c r="DF157" s="154"/>
      <c r="DG157" s="154"/>
      <c r="DH157" s="154"/>
      <c r="DI157" s="154"/>
      <c r="DJ157" s="154"/>
      <c r="DK157" s="154"/>
      <c r="DL157" s="154"/>
      <c r="DM157" s="154"/>
      <c r="DN157" s="154"/>
      <c r="DO157" s="154"/>
      <c r="DP157" s="154"/>
      <c r="DQ157" s="154"/>
      <c r="DR157" s="154"/>
      <c r="DS157" s="154"/>
      <c r="DT157" s="154"/>
      <c r="DU157" s="154"/>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row>
    <row r="158" spans="2:153" ht="12.95" customHeight="1">
      <c r="B158" s="154"/>
      <c r="C158" s="380"/>
      <c r="D158" s="380"/>
      <c r="E158" s="154"/>
      <c r="F158" s="154"/>
      <c r="G158" s="154"/>
      <c r="H158" s="154"/>
      <c r="I158" s="154"/>
      <c r="J158" s="154"/>
      <c r="K158" s="154"/>
      <c r="L158" s="154"/>
      <c r="M158" s="154"/>
      <c r="N158" s="154"/>
      <c r="O158" s="154"/>
      <c r="P158" s="154"/>
      <c r="Q158" s="154"/>
      <c r="R158" s="154"/>
      <c r="S158" s="154"/>
      <c r="T158" s="154"/>
      <c r="U158" s="154"/>
      <c r="V158" s="154"/>
      <c r="W158" s="154"/>
      <c r="X158" s="154"/>
      <c r="Y158" s="154"/>
      <c r="Z158" s="154"/>
      <c r="AA158" s="154"/>
      <c r="AB158" s="154"/>
      <c r="AC158" s="154"/>
      <c r="AD158" s="154"/>
      <c r="AE158" s="154"/>
      <c r="AF158" s="367"/>
      <c r="AG158" s="368"/>
      <c r="AH158" s="368"/>
      <c r="AI158" s="368"/>
      <c r="AJ158" s="154"/>
      <c r="AK158" s="154"/>
      <c r="AL158" s="154"/>
      <c r="AM158" s="154"/>
      <c r="AN158" s="154"/>
      <c r="AO158" s="154"/>
      <c r="AP158" s="154"/>
      <c r="AQ158" s="154"/>
      <c r="AR158" s="154"/>
      <c r="AS158" s="154"/>
      <c r="AT158" s="154"/>
      <c r="AU158" s="154"/>
      <c r="AV158" s="154"/>
      <c r="AW158" s="154"/>
      <c r="AX158" s="154"/>
      <c r="AY158" s="154"/>
      <c r="AZ158" s="154"/>
      <c r="BA158" s="154"/>
      <c r="BB158" s="154"/>
      <c r="BC158" s="154"/>
      <c r="BD158" s="154"/>
      <c r="BE158" s="154"/>
      <c r="BF158" s="154"/>
      <c r="BG158" s="154"/>
      <c r="BH158" s="154"/>
      <c r="BI158" s="154"/>
      <c r="BJ158" s="154"/>
      <c r="BK158" s="154"/>
      <c r="BL158" s="154"/>
      <c r="BM158" s="154"/>
      <c r="BN158" s="154"/>
      <c r="BO158" s="154"/>
      <c r="BP158" s="154"/>
      <c r="BQ158" s="154"/>
      <c r="BR158" s="154"/>
      <c r="BS158" s="154"/>
      <c r="BT158" s="154"/>
      <c r="BU158" s="154"/>
      <c r="BV158" s="154"/>
      <c r="BW158" s="154"/>
      <c r="BX158" s="154"/>
      <c r="BY158" s="154"/>
      <c r="BZ158" s="154"/>
      <c r="CA158" s="154"/>
      <c r="CB158" s="154"/>
      <c r="CC158" s="154"/>
      <c r="CD158" s="154"/>
      <c r="CE158" s="154"/>
      <c r="CF158" s="154"/>
      <c r="CG158" s="154"/>
      <c r="CH158" s="154"/>
      <c r="CI158" s="154"/>
      <c r="CJ158" s="154"/>
      <c r="CK158" s="154"/>
      <c r="CL158" s="154"/>
      <c r="CM158" s="154"/>
      <c r="CN158" s="154"/>
      <c r="CO158" s="154"/>
      <c r="CP158" s="154"/>
      <c r="CQ158" s="154"/>
      <c r="CR158" s="154"/>
      <c r="CS158" s="154"/>
      <c r="CT158" s="154"/>
      <c r="CU158" s="154"/>
      <c r="CV158" s="154"/>
      <c r="CW158" s="154"/>
      <c r="CX158" s="154"/>
      <c r="CY158" s="154"/>
      <c r="CZ158" s="154"/>
      <c r="DA158" s="154"/>
      <c r="DB158" s="154"/>
      <c r="DC158" s="154"/>
      <c r="DD158" s="154"/>
      <c r="DE158" s="154"/>
      <c r="DF158" s="154"/>
      <c r="DG158" s="154"/>
      <c r="DH158" s="154"/>
      <c r="DI158" s="154"/>
      <c r="DJ158" s="154"/>
      <c r="DK158" s="154"/>
      <c r="DL158" s="154"/>
      <c r="DM158" s="154"/>
      <c r="DN158" s="154"/>
      <c r="DO158" s="154"/>
      <c r="DP158" s="154"/>
      <c r="DQ158" s="154"/>
      <c r="DR158" s="154"/>
      <c r="DS158" s="154"/>
      <c r="DT158" s="154"/>
      <c r="DU158" s="154"/>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row>
    <row r="159" spans="2:153" ht="12.95" customHeight="1">
      <c r="B159" s="154"/>
      <c r="C159" s="380"/>
      <c r="D159" s="380"/>
      <c r="E159" s="154"/>
      <c r="F159" s="15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367"/>
      <c r="AG159" s="368"/>
      <c r="AH159" s="368"/>
      <c r="AI159" s="368"/>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54"/>
      <c r="BH159" s="154"/>
      <c r="BI159" s="154"/>
      <c r="BJ159" s="154"/>
      <c r="BK159" s="154"/>
      <c r="BL159" s="154"/>
      <c r="BM159" s="154"/>
      <c r="BN159" s="154"/>
      <c r="BO159" s="154"/>
      <c r="BP159" s="154"/>
      <c r="BQ159" s="154"/>
      <c r="BR159" s="154"/>
      <c r="BS159" s="154"/>
      <c r="BT159" s="154"/>
      <c r="BU159" s="154"/>
      <c r="BV159" s="154"/>
      <c r="BW159" s="154"/>
      <c r="BX159" s="154"/>
      <c r="BY159" s="154"/>
      <c r="BZ159" s="154"/>
      <c r="CA159" s="154"/>
      <c r="CB159" s="154"/>
      <c r="CC159" s="154"/>
      <c r="CD159" s="154"/>
      <c r="CE159" s="154"/>
      <c r="CF159" s="154"/>
      <c r="CG159" s="154"/>
      <c r="CH159" s="154"/>
      <c r="CI159" s="154"/>
      <c r="CJ159" s="154"/>
      <c r="CK159" s="154"/>
      <c r="CL159" s="154"/>
      <c r="CM159" s="154"/>
      <c r="CN159" s="154"/>
      <c r="CO159" s="154"/>
      <c r="CP159" s="154"/>
      <c r="CQ159" s="154"/>
      <c r="CR159" s="154"/>
      <c r="CS159" s="154"/>
      <c r="CT159" s="154"/>
      <c r="CU159" s="154"/>
      <c r="CV159" s="154"/>
      <c r="CW159" s="154"/>
      <c r="CX159" s="154"/>
      <c r="CY159" s="154"/>
      <c r="CZ159" s="154"/>
      <c r="DA159" s="154"/>
      <c r="DB159" s="154"/>
      <c r="DC159" s="154"/>
      <c r="DD159" s="154"/>
      <c r="DE159" s="154"/>
      <c r="DF159" s="154"/>
      <c r="DG159" s="154"/>
      <c r="DH159" s="154"/>
      <c r="DI159" s="154"/>
      <c r="DJ159" s="154"/>
      <c r="DK159" s="154"/>
      <c r="DL159" s="154"/>
      <c r="DM159" s="154"/>
      <c r="DN159" s="154"/>
      <c r="DO159" s="154"/>
      <c r="DP159" s="154"/>
      <c r="DQ159" s="154"/>
      <c r="DR159" s="154"/>
      <c r="DS159" s="154"/>
      <c r="DT159" s="154"/>
      <c r="DU159" s="154"/>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row>
    <row r="160" spans="2:153" ht="12.95" customHeight="1">
      <c r="B160" s="154"/>
      <c r="C160" s="380"/>
      <c r="D160" s="380"/>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54"/>
      <c r="AA160" s="154"/>
      <c r="AB160" s="154"/>
      <c r="AC160" s="154"/>
      <c r="AD160" s="154"/>
      <c r="AE160" s="154"/>
      <c r="AF160" s="367"/>
      <c r="AG160" s="368"/>
      <c r="AH160" s="368"/>
      <c r="AI160" s="368"/>
      <c r="AJ160" s="154"/>
      <c r="AK160" s="154"/>
      <c r="AL160" s="154"/>
      <c r="AM160" s="154"/>
      <c r="AN160" s="154"/>
      <c r="AO160" s="154"/>
      <c r="AP160" s="154"/>
      <c r="AQ160" s="154"/>
      <c r="AR160" s="154"/>
      <c r="AS160" s="154"/>
      <c r="AT160" s="154"/>
      <c r="AU160" s="154"/>
      <c r="AV160" s="154"/>
      <c r="AW160" s="154"/>
      <c r="AX160" s="154"/>
      <c r="AY160" s="154"/>
      <c r="AZ160" s="154"/>
      <c r="BA160" s="154"/>
      <c r="BB160" s="154"/>
      <c r="BC160" s="154"/>
      <c r="BD160" s="154"/>
      <c r="BE160" s="154"/>
      <c r="BF160" s="154"/>
      <c r="BG160" s="154"/>
      <c r="BH160" s="154"/>
      <c r="BI160" s="154"/>
      <c r="BJ160" s="154"/>
      <c r="BK160" s="154"/>
      <c r="BL160" s="154"/>
      <c r="BM160" s="154"/>
      <c r="BN160" s="154"/>
      <c r="BO160" s="154"/>
      <c r="BP160" s="154"/>
      <c r="BQ160" s="154"/>
      <c r="BR160" s="154"/>
      <c r="BS160" s="154"/>
      <c r="BT160" s="154"/>
      <c r="BU160" s="154"/>
      <c r="BV160" s="154"/>
      <c r="BW160" s="154"/>
      <c r="BX160" s="154"/>
      <c r="BY160" s="154"/>
      <c r="BZ160" s="154"/>
      <c r="CA160" s="154"/>
      <c r="CB160" s="154"/>
      <c r="CC160" s="154"/>
      <c r="CD160" s="154"/>
      <c r="CE160" s="154"/>
      <c r="CF160" s="154"/>
      <c r="CG160" s="154"/>
      <c r="CH160" s="154"/>
      <c r="CI160" s="154"/>
      <c r="CJ160" s="154"/>
      <c r="CK160" s="154"/>
      <c r="CL160" s="154"/>
      <c r="CM160" s="154"/>
      <c r="CN160" s="154"/>
      <c r="CO160" s="154"/>
      <c r="CP160" s="154"/>
      <c r="CQ160" s="154"/>
      <c r="CR160" s="154"/>
      <c r="CS160" s="154"/>
      <c r="CT160" s="154"/>
      <c r="CU160" s="154"/>
      <c r="CV160" s="154"/>
      <c r="CW160" s="154"/>
      <c r="CX160" s="154"/>
      <c r="CY160" s="154"/>
      <c r="CZ160" s="154"/>
      <c r="DA160" s="154"/>
      <c r="DB160" s="154"/>
      <c r="DC160" s="154"/>
      <c r="DD160" s="154"/>
      <c r="DE160" s="154"/>
      <c r="DF160" s="154"/>
      <c r="DG160" s="154"/>
      <c r="DH160" s="154"/>
      <c r="DI160" s="154"/>
      <c r="DJ160" s="154"/>
      <c r="DK160" s="154"/>
      <c r="DL160" s="154"/>
      <c r="DM160" s="154"/>
      <c r="DN160" s="154"/>
      <c r="DO160" s="154"/>
      <c r="DP160" s="154"/>
      <c r="DQ160" s="154"/>
      <c r="DR160" s="154"/>
      <c r="DS160" s="154"/>
      <c r="DT160" s="154"/>
      <c r="DU160" s="154"/>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row>
    <row r="161" spans="2:153" ht="12.95" customHeight="1">
      <c r="B161" s="154"/>
      <c r="C161" s="380"/>
      <c r="D161" s="380"/>
      <c r="E161" s="154"/>
      <c r="F161" s="154"/>
      <c r="G161" s="154"/>
      <c r="H161" s="154"/>
      <c r="I161" s="154"/>
      <c r="J161" s="154"/>
      <c r="K161" s="154"/>
      <c r="L161" s="154"/>
      <c r="M161" s="154"/>
      <c r="N161" s="154"/>
      <c r="O161" s="154"/>
      <c r="P161" s="154"/>
      <c r="Q161" s="154"/>
      <c r="R161" s="154"/>
      <c r="S161" s="154"/>
      <c r="T161" s="154"/>
      <c r="U161" s="154"/>
      <c r="V161" s="154"/>
      <c r="W161" s="154"/>
      <c r="X161" s="154"/>
      <c r="Y161" s="154"/>
      <c r="Z161" s="154"/>
      <c r="AA161" s="154"/>
      <c r="AB161" s="154"/>
      <c r="AC161" s="154"/>
      <c r="AD161" s="154"/>
      <c r="AE161" s="154"/>
      <c r="AF161" s="367"/>
      <c r="AG161" s="368"/>
      <c r="AH161" s="368"/>
      <c r="AI161" s="368"/>
      <c r="AJ161" s="154"/>
      <c r="AK161" s="154"/>
      <c r="AL161" s="154"/>
      <c r="AM161" s="154"/>
      <c r="AN161" s="154"/>
      <c r="AO161" s="154"/>
      <c r="AP161" s="154"/>
      <c r="AQ161" s="154"/>
      <c r="AR161" s="154"/>
      <c r="AS161" s="154"/>
      <c r="AT161" s="154"/>
      <c r="AU161" s="154"/>
      <c r="AV161" s="154"/>
      <c r="AW161" s="154"/>
      <c r="AX161" s="154"/>
      <c r="AY161" s="154"/>
      <c r="AZ161" s="154"/>
      <c r="BA161" s="154"/>
      <c r="BB161" s="154"/>
      <c r="BC161" s="154"/>
      <c r="BD161" s="154"/>
      <c r="BE161" s="154"/>
      <c r="BF161" s="154"/>
      <c r="BG161" s="154"/>
      <c r="BH161" s="154"/>
      <c r="BI161" s="154"/>
      <c r="BJ161" s="154"/>
      <c r="BK161" s="154"/>
      <c r="BL161" s="154"/>
      <c r="BM161" s="154"/>
      <c r="BN161" s="154"/>
      <c r="BO161" s="154"/>
      <c r="BP161" s="154"/>
      <c r="BQ161" s="154"/>
      <c r="BR161" s="154"/>
      <c r="BS161" s="154"/>
      <c r="BT161" s="154"/>
      <c r="BU161" s="154"/>
      <c r="BV161" s="154"/>
      <c r="BW161" s="154"/>
      <c r="BX161" s="154"/>
      <c r="BY161" s="154"/>
      <c r="BZ161" s="154"/>
      <c r="CA161" s="154"/>
      <c r="CB161" s="154"/>
      <c r="CC161" s="154"/>
      <c r="CD161" s="154"/>
      <c r="CE161" s="154"/>
      <c r="CF161" s="154"/>
      <c r="CG161" s="154"/>
      <c r="CH161" s="154"/>
      <c r="CI161" s="154"/>
      <c r="CJ161" s="154"/>
      <c r="CK161" s="154"/>
      <c r="CL161" s="154"/>
      <c r="CM161" s="154"/>
      <c r="CN161" s="154"/>
      <c r="CO161" s="154"/>
      <c r="CP161" s="154"/>
      <c r="CQ161" s="154"/>
      <c r="CR161" s="154"/>
      <c r="CS161" s="154"/>
      <c r="CT161" s="154"/>
      <c r="CU161" s="154"/>
      <c r="CV161" s="154"/>
      <c r="CW161" s="154"/>
      <c r="CX161" s="154"/>
      <c r="CY161" s="154"/>
      <c r="CZ161" s="154"/>
      <c r="DA161" s="154"/>
      <c r="DB161" s="154"/>
      <c r="DC161" s="154"/>
      <c r="DD161" s="154"/>
      <c r="DE161" s="154"/>
      <c r="DF161" s="154"/>
      <c r="DG161" s="154"/>
      <c r="DH161" s="154"/>
      <c r="DI161" s="154"/>
      <c r="DJ161" s="154"/>
      <c r="DK161" s="154"/>
      <c r="DL161" s="154"/>
      <c r="DM161" s="154"/>
      <c r="DN161" s="154"/>
      <c r="DO161" s="154"/>
      <c r="DP161" s="154"/>
      <c r="DQ161" s="154"/>
      <c r="DR161" s="154"/>
      <c r="DS161" s="154"/>
      <c r="DT161" s="154"/>
      <c r="DU161" s="154"/>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row>
    <row r="162" spans="2:153" ht="12.95" customHeight="1">
      <c r="B162" s="154"/>
      <c r="C162" s="380"/>
      <c r="D162" s="380"/>
      <c r="E162" s="154"/>
      <c r="F162" s="154"/>
      <c r="G162" s="154"/>
      <c r="H162" s="154"/>
      <c r="I162" s="154"/>
      <c r="J162" s="154"/>
      <c r="K162" s="154"/>
      <c r="L162" s="154"/>
      <c r="M162" s="154"/>
      <c r="N162" s="154"/>
      <c r="O162" s="154"/>
      <c r="P162" s="154"/>
      <c r="Q162" s="154"/>
      <c r="R162" s="154"/>
      <c r="S162" s="154"/>
      <c r="T162" s="154"/>
      <c r="U162" s="154"/>
      <c r="V162" s="154"/>
      <c r="W162" s="154"/>
      <c r="X162" s="154"/>
      <c r="Y162" s="154"/>
      <c r="Z162" s="154"/>
      <c r="AA162" s="154"/>
      <c r="AB162" s="154"/>
      <c r="AC162" s="154"/>
      <c r="AD162" s="154"/>
      <c r="AE162" s="154"/>
      <c r="AF162" s="367"/>
      <c r="AG162" s="368"/>
      <c r="AH162" s="368"/>
      <c r="AI162" s="368"/>
      <c r="AJ162" s="154"/>
      <c r="AK162" s="154"/>
      <c r="AL162" s="154"/>
      <c r="AM162" s="154"/>
      <c r="AN162" s="154"/>
      <c r="AO162" s="154"/>
      <c r="AP162" s="154"/>
      <c r="AQ162" s="154"/>
      <c r="AR162" s="154"/>
      <c r="AS162" s="154"/>
      <c r="AT162" s="154"/>
      <c r="AU162" s="154"/>
      <c r="AV162" s="154"/>
      <c r="AW162" s="154"/>
      <c r="AX162" s="154"/>
      <c r="AY162" s="154"/>
      <c r="AZ162" s="154"/>
      <c r="BA162" s="154"/>
      <c r="BB162" s="154"/>
      <c r="BC162" s="154"/>
      <c r="BD162" s="154"/>
      <c r="BE162" s="154"/>
      <c r="BF162" s="154"/>
      <c r="BG162" s="154"/>
      <c r="BH162" s="154"/>
      <c r="BI162" s="154"/>
      <c r="BJ162" s="154"/>
      <c r="BK162" s="154"/>
      <c r="BL162" s="154"/>
      <c r="BM162" s="154"/>
      <c r="BN162" s="154"/>
      <c r="BO162" s="154"/>
      <c r="BP162" s="154"/>
      <c r="BQ162" s="154"/>
      <c r="BR162" s="154"/>
      <c r="BS162" s="154"/>
      <c r="BT162" s="154"/>
      <c r="BU162" s="154"/>
      <c r="BV162" s="154"/>
      <c r="BW162" s="154"/>
      <c r="BX162" s="154"/>
      <c r="BY162" s="154"/>
      <c r="BZ162" s="154"/>
      <c r="CA162" s="154"/>
      <c r="CB162" s="154"/>
      <c r="CC162" s="154"/>
      <c r="CD162" s="154"/>
      <c r="CE162" s="154"/>
      <c r="CF162" s="154"/>
      <c r="CG162" s="154"/>
      <c r="CH162" s="154"/>
      <c r="CI162" s="154"/>
      <c r="CJ162" s="154"/>
      <c r="CK162" s="154"/>
      <c r="CL162" s="154"/>
      <c r="CM162" s="154"/>
      <c r="CN162" s="154"/>
      <c r="CO162" s="154"/>
      <c r="CP162" s="154"/>
      <c r="CQ162" s="154"/>
      <c r="CR162" s="154"/>
      <c r="CS162" s="154"/>
      <c r="CT162" s="154"/>
      <c r="CU162" s="154"/>
      <c r="CV162" s="154"/>
      <c r="CW162" s="154"/>
      <c r="CX162" s="154"/>
      <c r="CY162" s="154"/>
      <c r="CZ162" s="154"/>
      <c r="DA162" s="154"/>
      <c r="DB162" s="154"/>
      <c r="DC162" s="154"/>
      <c r="DD162" s="154"/>
      <c r="DE162" s="154"/>
      <c r="DF162" s="154"/>
      <c r="DG162" s="154"/>
      <c r="DH162" s="154"/>
      <c r="DI162" s="154"/>
      <c r="DJ162" s="154"/>
      <c r="DK162" s="154"/>
      <c r="DL162" s="154"/>
      <c r="DM162" s="154"/>
      <c r="DN162" s="154"/>
      <c r="DO162" s="154"/>
      <c r="DP162" s="154"/>
      <c r="DQ162" s="154"/>
      <c r="DR162" s="154"/>
      <c r="DS162" s="154"/>
      <c r="DT162" s="154"/>
      <c r="DU162" s="154"/>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row>
    <row r="163" spans="2:153" ht="12.95" customHeight="1">
      <c r="B163" s="154"/>
      <c r="C163" s="380"/>
      <c r="D163" s="380"/>
      <c r="E163" s="154"/>
      <c r="F163" s="154"/>
      <c r="G163" s="154"/>
      <c r="H163" s="154"/>
      <c r="I163" s="154"/>
      <c r="J163" s="154"/>
      <c r="K163" s="154"/>
      <c r="L163" s="154"/>
      <c r="M163" s="154"/>
      <c r="N163" s="154"/>
      <c r="O163" s="154"/>
      <c r="P163" s="154"/>
      <c r="Q163" s="154"/>
      <c r="R163" s="154"/>
      <c r="S163" s="154"/>
      <c r="T163" s="154"/>
      <c r="U163" s="154"/>
      <c r="V163" s="154"/>
      <c r="W163" s="154"/>
      <c r="X163" s="154"/>
      <c r="Y163" s="154"/>
      <c r="Z163" s="154"/>
      <c r="AA163" s="154"/>
      <c r="AB163" s="154"/>
      <c r="AC163" s="154"/>
      <c r="AD163" s="154"/>
      <c r="AE163" s="154"/>
      <c r="AF163" s="367"/>
      <c r="AG163" s="368"/>
      <c r="AH163" s="368"/>
      <c r="AI163" s="368"/>
      <c r="AJ163" s="154"/>
      <c r="AK163" s="154"/>
      <c r="AL163" s="154"/>
      <c r="AM163" s="154"/>
      <c r="AN163" s="154"/>
      <c r="AO163" s="154"/>
      <c r="AP163" s="154"/>
      <c r="AQ163" s="154"/>
      <c r="AR163" s="154"/>
      <c r="AS163" s="154"/>
      <c r="AT163" s="154"/>
      <c r="AU163" s="154"/>
      <c r="AV163" s="154"/>
      <c r="AW163" s="154"/>
      <c r="AX163" s="154"/>
      <c r="AY163" s="154"/>
      <c r="AZ163" s="154"/>
      <c r="BA163" s="154"/>
      <c r="BB163" s="154"/>
      <c r="BC163" s="154"/>
      <c r="BD163" s="154"/>
      <c r="BE163" s="154"/>
      <c r="BF163" s="154"/>
      <c r="BG163" s="154"/>
      <c r="BH163" s="154"/>
      <c r="BI163" s="154"/>
      <c r="BJ163" s="154"/>
      <c r="BK163" s="154"/>
      <c r="BL163" s="154"/>
      <c r="BM163" s="154"/>
      <c r="BN163" s="154"/>
      <c r="BO163" s="154"/>
      <c r="BP163" s="154"/>
      <c r="BQ163" s="154"/>
      <c r="BR163" s="154"/>
      <c r="BS163" s="154"/>
      <c r="BT163" s="154"/>
      <c r="BU163" s="154"/>
      <c r="BV163" s="154"/>
      <c r="BW163" s="154"/>
      <c r="BX163" s="154"/>
      <c r="BY163" s="154"/>
      <c r="BZ163" s="154"/>
      <c r="CA163" s="154"/>
      <c r="CB163" s="154"/>
      <c r="CC163" s="154"/>
      <c r="CD163" s="154"/>
      <c r="CE163" s="154"/>
      <c r="CF163" s="154"/>
      <c r="CG163" s="154"/>
      <c r="CH163" s="154"/>
      <c r="CI163" s="154"/>
      <c r="CJ163" s="154"/>
      <c r="CK163" s="154"/>
      <c r="CL163" s="154"/>
      <c r="CM163" s="154"/>
      <c r="CN163" s="154"/>
      <c r="CO163" s="154"/>
      <c r="CP163" s="154"/>
      <c r="CQ163" s="154"/>
      <c r="CR163" s="154"/>
      <c r="CS163" s="154"/>
      <c r="CT163" s="154"/>
      <c r="CU163" s="154"/>
      <c r="CV163" s="154"/>
      <c r="CW163" s="154"/>
      <c r="CX163" s="154"/>
      <c r="CY163" s="154"/>
      <c r="CZ163" s="154"/>
      <c r="DA163" s="154"/>
      <c r="DB163" s="154"/>
      <c r="DC163" s="154"/>
      <c r="DD163" s="154"/>
      <c r="DE163" s="154"/>
      <c r="DF163" s="154"/>
      <c r="DG163" s="154"/>
      <c r="DH163" s="154"/>
      <c r="DI163" s="154"/>
      <c r="DJ163" s="154"/>
      <c r="DK163" s="154"/>
      <c r="DL163" s="154"/>
      <c r="DM163" s="154"/>
      <c r="DN163" s="154"/>
      <c r="DO163" s="154"/>
      <c r="DP163" s="154"/>
      <c r="DQ163" s="154"/>
      <c r="DR163" s="154"/>
      <c r="DS163" s="154"/>
      <c r="DT163" s="154"/>
      <c r="DU163" s="154"/>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row>
    <row r="164" spans="2:153" ht="12.95" customHeight="1">
      <c r="B164" s="154"/>
      <c r="C164" s="380"/>
      <c r="D164" s="380"/>
      <c r="E164" s="154"/>
      <c r="F164" s="154"/>
      <c r="G164" s="154"/>
      <c r="H164" s="154"/>
      <c r="I164" s="154"/>
      <c r="J164" s="154"/>
      <c r="K164" s="154"/>
      <c r="L164" s="154"/>
      <c r="M164" s="154"/>
      <c r="N164" s="154"/>
      <c r="O164" s="154"/>
      <c r="P164" s="154"/>
      <c r="Q164" s="154"/>
      <c r="R164" s="154"/>
      <c r="S164" s="154"/>
      <c r="T164" s="154"/>
      <c r="U164" s="154"/>
      <c r="V164" s="154"/>
      <c r="W164" s="154"/>
      <c r="X164" s="154"/>
      <c r="Y164" s="154"/>
      <c r="Z164" s="154"/>
      <c r="AA164" s="154"/>
      <c r="AB164" s="154"/>
      <c r="AC164" s="154"/>
      <c r="AD164" s="154"/>
      <c r="AE164" s="154"/>
      <c r="AF164" s="367"/>
      <c r="AG164" s="368"/>
      <c r="AH164" s="368"/>
      <c r="AI164" s="368"/>
      <c r="AJ164" s="154"/>
      <c r="AK164" s="154"/>
      <c r="AL164" s="154"/>
      <c r="AM164" s="154"/>
      <c r="AN164" s="154"/>
      <c r="AO164" s="154"/>
      <c r="AP164" s="154"/>
      <c r="AQ164" s="154"/>
      <c r="AR164" s="154"/>
      <c r="AS164" s="154"/>
      <c r="AT164" s="154"/>
      <c r="AU164" s="154"/>
      <c r="AV164" s="154"/>
      <c r="AW164" s="154"/>
      <c r="AX164" s="154"/>
      <c r="AY164" s="154"/>
      <c r="AZ164" s="154"/>
      <c r="BA164" s="154"/>
      <c r="BB164" s="154"/>
      <c r="BC164" s="154"/>
      <c r="BD164" s="154"/>
      <c r="BE164" s="154"/>
      <c r="BF164" s="154"/>
      <c r="BG164" s="154"/>
      <c r="BH164" s="154"/>
      <c r="BI164" s="154"/>
      <c r="BJ164" s="154"/>
      <c r="BK164" s="154"/>
      <c r="BL164" s="154"/>
      <c r="BM164" s="154"/>
      <c r="BN164" s="154"/>
      <c r="BO164" s="154"/>
      <c r="BP164" s="154"/>
      <c r="BQ164" s="154"/>
      <c r="BR164" s="154"/>
      <c r="BS164" s="154"/>
      <c r="BT164" s="154"/>
      <c r="BU164" s="154"/>
      <c r="BV164" s="154"/>
      <c r="BW164" s="154"/>
      <c r="BX164" s="154"/>
      <c r="BY164" s="154"/>
      <c r="BZ164" s="154"/>
      <c r="CA164" s="154"/>
      <c r="CB164" s="154"/>
      <c r="CC164" s="154"/>
      <c r="CD164" s="154"/>
      <c r="CE164" s="154"/>
      <c r="CF164" s="154"/>
      <c r="CG164" s="154"/>
      <c r="CH164" s="154"/>
      <c r="CI164" s="154"/>
      <c r="CJ164" s="154"/>
      <c r="CK164" s="154"/>
      <c r="CL164" s="154"/>
      <c r="CM164" s="154"/>
      <c r="CN164" s="154"/>
      <c r="CO164" s="154"/>
      <c r="CP164" s="154"/>
      <c r="CQ164" s="154"/>
      <c r="CR164" s="154"/>
      <c r="CS164" s="154"/>
      <c r="CT164" s="154"/>
      <c r="CU164" s="154"/>
      <c r="CV164" s="154"/>
      <c r="CW164" s="154"/>
      <c r="CX164" s="154"/>
      <c r="CY164" s="154"/>
      <c r="CZ164" s="154"/>
      <c r="DA164" s="154"/>
      <c r="DB164" s="154"/>
      <c r="DC164" s="154"/>
      <c r="DD164" s="154"/>
      <c r="DE164" s="154"/>
      <c r="DF164" s="154"/>
      <c r="DG164" s="154"/>
      <c r="DH164" s="154"/>
      <c r="DI164" s="154"/>
      <c r="DJ164" s="154"/>
      <c r="DK164" s="154"/>
      <c r="DL164" s="154"/>
      <c r="DM164" s="154"/>
      <c r="DN164" s="154"/>
      <c r="DO164" s="154"/>
      <c r="DP164" s="154"/>
      <c r="DQ164" s="154"/>
      <c r="DR164" s="154"/>
      <c r="DS164" s="154"/>
      <c r="DT164" s="154"/>
      <c r="DU164" s="154"/>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row>
    <row r="165" spans="2:153" ht="12.95" customHeight="1">
      <c r="B165" s="154"/>
      <c r="C165" s="380"/>
      <c r="D165" s="380"/>
      <c r="E165" s="154"/>
      <c r="F165" s="154"/>
      <c r="G165" s="154"/>
      <c r="H165" s="154"/>
      <c r="I165" s="154"/>
      <c r="J165" s="154"/>
      <c r="K165" s="154"/>
      <c r="L165" s="154"/>
      <c r="M165" s="154"/>
      <c r="N165" s="154"/>
      <c r="O165" s="154"/>
      <c r="P165" s="154"/>
      <c r="Q165" s="154"/>
      <c r="R165" s="154"/>
      <c r="S165" s="154"/>
      <c r="T165" s="154"/>
      <c r="U165" s="154"/>
      <c r="V165" s="154"/>
      <c r="W165" s="154"/>
      <c r="X165" s="154"/>
      <c r="Y165" s="154"/>
      <c r="Z165" s="154"/>
      <c r="AA165" s="154"/>
      <c r="AB165" s="154"/>
      <c r="AC165" s="154"/>
      <c r="AD165" s="154"/>
      <c r="AE165" s="154"/>
      <c r="AF165" s="367"/>
      <c r="AG165" s="368"/>
      <c r="AH165" s="368"/>
      <c r="AI165" s="368"/>
      <c r="AJ165" s="154"/>
      <c r="AK165" s="154"/>
      <c r="AL165" s="154"/>
      <c r="AM165" s="154"/>
      <c r="AN165" s="154"/>
      <c r="AO165" s="154"/>
      <c r="AP165" s="154"/>
      <c r="AQ165" s="154"/>
      <c r="AR165" s="154"/>
      <c r="AS165" s="154"/>
      <c r="AT165" s="154"/>
      <c r="AU165" s="154"/>
      <c r="AV165" s="154"/>
      <c r="AW165" s="154"/>
      <c r="AX165" s="154"/>
      <c r="AY165" s="154"/>
      <c r="AZ165" s="154"/>
      <c r="BA165" s="154"/>
      <c r="BB165" s="154"/>
      <c r="BC165" s="154"/>
      <c r="BD165" s="154"/>
      <c r="BE165" s="154"/>
      <c r="BF165" s="154"/>
      <c r="BG165" s="154"/>
      <c r="BH165" s="154"/>
      <c r="BI165" s="154"/>
      <c r="BJ165" s="154"/>
      <c r="BK165" s="154"/>
      <c r="BL165" s="154"/>
      <c r="BM165" s="154"/>
      <c r="BN165" s="154"/>
      <c r="BO165" s="154"/>
      <c r="BP165" s="154"/>
      <c r="BQ165" s="154"/>
      <c r="BR165" s="154"/>
      <c r="BS165" s="154"/>
      <c r="BT165" s="154"/>
      <c r="BU165" s="154"/>
      <c r="BV165" s="154"/>
      <c r="BW165" s="154"/>
      <c r="BX165" s="154"/>
      <c r="BY165" s="154"/>
      <c r="BZ165" s="154"/>
      <c r="CA165" s="154"/>
      <c r="CB165" s="154"/>
      <c r="CC165" s="154"/>
      <c r="CD165" s="154"/>
      <c r="CE165" s="154"/>
      <c r="CF165" s="154"/>
      <c r="CG165" s="154"/>
      <c r="CH165" s="154"/>
      <c r="CI165" s="154"/>
      <c r="CJ165" s="154"/>
      <c r="CK165" s="154"/>
      <c r="CL165" s="154"/>
      <c r="CM165" s="154"/>
      <c r="CN165" s="154"/>
      <c r="CO165" s="154"/>
      <c r="CP165" s="154"/>
      <c r="CQ165" s="154"/>
      <c r="CR165" s="154"/>
      <c r="CS165" s="154"/>
      <c r="CT165" s="154"/>
      <c r="CU165" s="154"/>
      <c r="CV165" s="154"/>
      <c r="CW165" s="154"/>
      <c r="CX165" s="154"/>
      <c r="CY165" s="154"/>
      <c r="CZ165" s="154"/>
      <c r="DA165" s="154"/>
      <c r="DB165" s="154"/>
      <c r="DC165" s="154"/>
      <c r="DD165" s="154"/>
      <c r="DE165" s="154"/>
      <c r="DF165" s="154"/>
      <c r="DG165" s="154"/>
      <c r="DH165" s="154"/>
      <c r="DI165" s="154"/>
      <c r="DJ165" s="154"/>
      <c r="DK165" s="154"/>
      <c r="DL165" s="154"/>
      <c r="DM165" s="154"/>
      <c r="DN165" s="154"/>
      <c r="DO165" s="154"/>
      <c r="DP165" s="154"/>
      <c r="DQ165" s="154"/>
      <c r="DR165" s="154"/>
      <c r="DS165" s="154"/>
      <c r="DT165" s="154"/>
      <c r="DU165" s="154"/>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row>
    <row r="166" spans="2:153" ht="12.95" customHeight="1">
      <c r="B166" s="154"/>
      <c r="C166" s="380"/>
      <c r="D166" s="380"/>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367"/>
      <c r="AG166" s="368"/>
      <c r="AH166" s="368"/>
      <c r="AI166" s="368"/>
      <c r="AJ166" s="154"/>
      <c r="AK166" s="154"/>
      <c r="AL166" s="154"/>
      <c r="AM166" s="154"/>
      <c r="AN166" s="154"/>
      <c r="AO166" s="154"/>
      <c r="AP166" s="154"/>
      <c r="AQ166" s="154"/>
      <c r="AR166" s="154"/>
      <c r="AS166" s="154"/>
      <c r="AT166" s="154"/>
      <c r="AU166" s="154"/>
      <c r="AV166" s="154"/>
      <c r="AW166" s="154"/>
      <c r="AX166" s="154"/>
      <c r="AY166" s="154"/>
      <c r="AZ166" s="154"/>
      <c r="BA166" s="154"/>
      <c r="BB166" s="154"/>
      <c r="BC166" s="154"/>
      <c r="BD166" s="154"/>
      <c r="BE166" s="154"/>
      <c r="BF166" s="154"/>
      <c r="BG166" s="154"/>
      <c r="BH166" s="154"/>
      <c r="BI166" s="154"/>
      <c r="BJ166" s="154"/>
      <c r="BK166" s="154"/>
      <c r="BL166" s="154"/>
      <c r="BM166" s="154"/>
      <c r="BN166" s="154"/>
      <c r="BO166" s="154"/>
      <c r="BP166" s="154"/>
      <c r="BQ166" s="154"/>
      <c r="BR166" s="154"/>
      <c r="BS166" s="154"/>
      <c r="BT166" s="154"/>
      <c r="BU166" s="154"/>
      <c r="BV166" s="154"/>
      <c r="BW166" s="154"/>
      <c r="BX166" s="154"/>
      <c r="BY166" s="154"/>
      <c r="BZ166" s="154"/>
      <c r="CA166" s="154"/>
      <c r="CB166" s="154"/>
      <c r="CC166" s="154"/>
      <c r="CD166" s="154"/>
      <c r="CE166" s="154"/>
      <c r="CF166" s="154"/>
      <c r="CG166" s="154"/>
      <c r="CH166" s="154"/>
      <c r="CI166" s="154"/>
      <c r="CJ166" s="154"/>
      <c r="CK166" s="154"/>
      <c r="CL166" s="154"/>
      <c r="CM166" s="154"/>
      <c r="CN166" s="154"/>
      <c r="CO166" s="154"/>
      <c r="CP166" s="154"/>
      <c r="CQ166" s="154"/>
      <c r="CR166" s="154"/>
      <c r="CS166" s="154"/>
      <c r="CT166" s="154"/>
      <c r="CU166" s="154"/>
      <c r="CV166" s="154"/>
      <c r="CW166" s="154"/>
      <c r="CX166" s="154"/>
      <c r="CY166" s="154"/>
      <c r="CZ166" s="154"/>
      <c r="DA166" s="154"/>
      <c r="DB166" s="154"/>
      <c r="DC166" s="154"/>
      <c r="DD166" s="154"/>
      <c r="DE166" s="154"/>
      <c r="DF166" s="154"/>
      <c r="DG166" s="154"/>
      <c r="DH166" s="154"/>
      <c r="DI166" s="154"/>
      <c r="DJ166" s="154"/>
      <c r="DK166" s="154"/>
      <c r="DL166" s="154"/>
      <c r="DM166" s="154"/>
      <c r="DN166" s="154"/>
      <c r="DO166" s="154"/>
      <c r="DP166" s="154"/>
      <c r="DQ166" s="154"/>
      <c r="DR166" s="154"/>
      <c r="DS166" s="154"/>
      <c r="DT166" s="154"/>
      <c r="DU166" s="154"/>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row>
    <row r="167" spans="2:153" ht="12.95" customHeight="1">
      <c r="B167" s="154"/>
      <c r="C167" s="380"/>
      <c r="D167" s="380"/>
      <c r="E167" s="154"/>
      <c r="F167" s="154"/>
      <c r="G167" s="154"/>
      <c r="H167" s="154"/>
      <c r="I167" s="154"/>
      <c r="J167" s="154"/>
      <c r="K167" s="154"/>
      <c r="L167" s="154"/>
      <c r="M167" s="154"/>
      <c r="N167" s="154"/>
      <c r="O167" s="154"/>
      <c r="P167" s="154"/>
      <c r="Q167" s="154"/>
      <c r="R167" s="154"/>
      <c r="S167" s="154"/>
      <c r="T167" s="154"/>
      <c r="U167" s="154"/>
      <c r="V167" s="154"/>
      <c r="W167" s="154"/>
      <c r="X167" s="154"/>
      <c r="Y167" s="154"/>
      <c r="Z167" s="154"/>
      <c r="AA167" s="154"/>
      <c r="AB167" s="154"/>
      <c r="AC167" s="154"/>
      <c r="AD167" s="154"/>
      <c r="AE167" s="154"/>
      <c r="AF167" s="367"/>
      <c r="AG167" s="368"/>
      <c r="AH167" s="368"/>
      <c r="AI167" s="368"/>
      <c r="AJ167" s="154"/>
      <c r="AK167" s="154"/>
      <c r="AL167" s="154"/>
      <c r="AM167" s="154"/>
      <c r="AN167" s="154"/>
      <c r="AO167" s="154"/>
      <c r="AP167" s="154"/>
      <c r="AQ167" s="154"/>
      <c r="AR167" s="154"/>
      <c r="AS167" s="154"/>
      <c r="AT167" s="154"/>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154"/>
      <c r="CQ167" s="154"/>
      <c r="CR167" s="154"/>
      <c r="CS167" s="154"/>
      <c r="CT167" s="154"/>
      <c r="CU167" s="154"/>
      <c r="CV167" s="154"/>
      <c r="CW167" s="154"/>
      <c r="CX167" s="154"/>
      <c r="CY167" s="154"/>
      <c r="CZ167" s="154"/>
      <c r="DA167" s="154"/>
      <c r="DB167" s="154"/>
      <c r="DC167" s="154"/>
      <c r="DD167" s="154"/>
      <c r="DE167" s="154"/>
      <c r="DF167" s="154"/>
      <c r="DG167" s="154"/>
      <c r="DH167" s="154"/>
      <c r="DI167" s="154"/>
      <c r="DJ167" s="154"/>
      <c r="DK167" s="154"/>
      <c r="DL167" s="154"/>
      <c r="DM167" s="154"/>
      <c r="DN167" s="154"/>
      <c r="DO167" s="154"/>
      <c r="DP167" s="154"/>
      <c r="DQ167" s="154"/>
      <c r="DR167" s="154"/>
      <c r="DS167" s="154"/>
      <c r="DT167" s="154"/>
      <c r="DU167" s="154"/>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row>
    <row r="168" spans="2:153" ht="12.95" customHeight="1">
      <c r="B168" s="154"/>
      <c r="C168" s="380"/>
      <c r="D168" s="380"/>
      <c r="E168" s="154"/>
      <c r="F168" s="154"/>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367"/>
      <c r="AG168" s="368"/>
      <c r="AH168" s="368"/>
      <c r="AI168" s="368"/>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54"/>
      <c r="BH168" s="154"/>
      <c r="BI168" s="154"/>
      <c r="BJ168" s="154"/>
      <c r="BK168" s="154"/>
      <c r="BL168" s="154"/>
      <c r="BM168" s="154"/>
      <c r="BN168" s="154"/>
      <c r="BO168" s="154"/>
      <c r="BP168" s="154"/>
      <c r="BQ168" s="154"/>
      <c r="BR168" s="154"/>
      <c r="BS168" s="154"/>
      <c r="BT168" s="154"/>
      <c r="BU168" s="154"/>
      <c r="BV168" s="154"/>
      <c r="BW168" s="154"/>
      <c r="BX168" s="154"/>
      <c r="BY168" s="154"/>
      <c r="BZ168" s="154"/>
      <c r="CA168" s="154"/>
      <c r="CB168" s="154"/>
      <c r="CC168" s="154"/>
      <c r="CD168" s="154"/>
      <c r="CE168" s="154"/>
      <c r="CF168" s="154"/>
      <c r="CG168" s="154"/>
      <c r="CH168" s="154"/>
      <c r="CI168" s="154"/>
      <c r="CJ168" s="154"/>
      <c r="CK168" s="154"/>
      <c r="CL168" s="154"/>
      <c r="CM168" s="154"/>
      <c r="CN168" s="154"/>
      <c r="CO168" s="154"/>
      <c r="CP168" s="154"/>
      <c r="CQ168" s="154"/>
      <c r="CR168" s="154"/>
      <c r="CS168" s="154"/>
      <c r="CT168" s="154"/>
      <c r="CU168" s="154"/>
      <c r="CV168" s="154"/>
      <c r="CW168" s="154"/>
      <c r="CX168" s="154"/>
      <c r="CY168" s="154"/>
      <c r="CZ168" s="154"/>
      <c r="DA168" s="154"/>
      <c r="DB168" s="154"/>
      <c r="DC168" s="154"/>
      <c r="DD168" s="154"/>
      <c r="DE168" s="154"/>
      <c r="DF168" s="154"/>
      <c r="DG168" s="154"/>
      <c r="DH168" s="154"/>
      <c r="DI168" s="154"/>
      <c r="DJ168" s="154"/>
      <c r="DK168" s="154"/>
      <c r="DL168" s="154"/>
      <c r="DM168" s="154"/>
      <c r="DN168" s="154"/>
      <c r="DO168" s="154"/>
      <c r="DP168" s="154"/>
      <c r="DQ168" s="154"/>
      <c r="DR168" s="154"/>
      <c r="DS168" s="154"/>
      <c r="DT168" s="154"/>
      <c r="DU168" s="154"/>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row>
    <row r="169" spans="2:153" ht="12.95" customHeight="1">
      <c r="B169" s="154"/>
      <c r="C169" s="380"/>
      <c r="D169" s="380"/>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4"/>
      <c r="AF169" s="367"/>
      <c r="AG169" s="368"/>
      <c r="AH169" s="368"/>
      <c r="AI169" s="368"/>
      <c r="AJ169" s="154"/>
      <c r="AK169" s="154"/>
      <c r="AL169" s="154"/>
      <c r="AM169" s="154"/>
      <c r="AN169" s="154"/>
      <c r="AO169" s="154"/>
      <c r="AP169" s="154"/>
      <c r="AQ169" s="154"/>
      <c r="AR169" s="154"/>
      <c r="AS169" s="154"/>
      <c r="AT169" s="154"/>
      <c r="AU169" s="154"/>
      <c r="AV169" s="154"/>
      <c r="AW169" s="154"/>
      <c r="AX169" s="154"/>
      <c r="AY169" s="154"/>
      <c r="AZ169" s="154"/>
      <c r="BA169" s="154"/>
      <c r="BB169" s="154"/>
      <c r="BC169" s="154"/>
      <c r="BD169" s="154"/>
      <c r="BE169" s="154"/>
      <c r="BF169" s="154"/>
      <c r="BG169" s="154"/>
      <c r="BH169" s="154"/>
      <c r="BI169" s="154"/>
      <c r="BJ169" s="154"/>
      <c r="BK169" s="154"/>
      <c r="BL169" s="154"/>
      <c r="BM169" s="154"/>
      <c r="BN169" s="154"/>
      <c r="BO169" s="154"/>
      <c r="BP169" s="154"/>
      <c r="BQ169" s="154"/>
      <c r="BR169" s="154"/>
      <c r="BS169" s="154"/>
      <c r="BT169" s="154"/>
      <c r="BU169" s="154"/>
      <c r="BV169" s="154"/>
      <c r="BW169" s="154"/>
      <c r="BX169" s="154"/>
      <c r="BY169" s="154"/>
      <c r="BZ169" s="154"/>
      <c r="CA169" s="154"/>
      <c r="CB169" s="154"/>
      <c r="CC169" s="154"/>
      <c r="CD169" s="154"/>
      <c r="CE169" s="154"/>
      <c r="CF169" s="154"/>
      <c r="CG169" s="154"/>
      <c r="CH169" s="154"/>
      <c r="CI169" s="154"/>
      <c r="CJ169" s="154"/>
      <c r="CK169" s="154"/>
      <c r="CL169" s="154"/>
      <c r="CM169" s="154"/>
      <c r="CN169" s="154"/>
      <c r="CO169" s="154"/>
      <c r="CP169" s="154"/>
      <c r="CQ169" s="154"/>
      <c r="CR169" s="154"/>
      <c r="CS169" s="154"/>
      <c r="CT169" s="154"/>
      <c r="CU169" s="154"/>
      <c r="CV169" s="154"/>
      <c r="CW169" s="154"/>
      <c r="CX169" s="154"/>
      <c r="CY169" s="154"/>
      <c r="CZ169" s="154"/>
      <c r="DA169" s="154"/>
      <c r="DB169" s="154"/>
      <c r="DC169" s="154"/>
      <c r="DD169" s="154"/>
      <c r="DE169" s="154"/>
      <c r="DF169" s="154"/>
      <c r="DG169" s="154"/>
      <c r="DH169" s="154"/>
      <c r="DI169" s="154"/>
      <c r="DJ169" s="154"/>
      <c r="DK169" s="154"/>
      <c r="DL169" s="154"/>
      <c r="DM169" s="154"/>
      <c r="DN169" s="154"/>
      <c r="DO169" s="154"/>
      <c r="DP169" s="154"/>
      <c r="DQ169" s="154"/>
      <c r="DR169" s="154"/>
      <c r="DS169" s="154"/>
      <c r="DT169" s="154"/>
      <c r="DU169" s="154"/>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row>
    <row r="170" spans="2:153" ht="12.95" customHeight="1">
      <c r="B170" s="154"/>
      <c r="C170" s="380"/>
      <c r="D170" s="380"/>
      <c r="E170" s="154"/>
      <c r="F170" s="154"/>
      <c r="G170" s="154"/>
      <c r="H170" s="154"/>
      <c r="I170" s="154"/>
      <c r="J170" s="154"/>
      <c r="K170" s="154"/>
      <c r="L170" s="154"/>
      <c r="M170" s="154"/>
      <c r="N170" s="154"/>
      <c r="O170" s="154"/>
      <c r="P170" s="154"/>
      <c r="Q170" s="154"/>
      <c r="R170" s="154"/>
      <c r="S170" s="154"/>
      <c r="T170" s="154"/>
      <c r="U170" s="154"/>
      <c r="V170" s="154"/>
      <c r="W170" s="154"/>
      <c r="X170" s="154"/>
      <c r="Y170" s="154"/>
      <c r="Z170" s="154"/>
      <c r="AA170" s="154"/>
      <c r="AB170" s="154"/>
      <c r="AC170" s="154"/>
      <c r="AD170" s="154"/>
      <c r="AE170" s="154"/>
      <c r="AF170" s="367"/>
      <c r="AG170" s="368"/>
      <c r="AH170" s="368"/>
      <c r="AI170" s="368"/>
      <c r="AJ170" s="154"/>
      <c r="AK170" s="154"/>
      <c r="AL170" s="154"/>
      <c r="AM170" s="154"/>
      <c r="AN170" s="154"/>
      <c r="AO170" s="154"/>
      <c r="AP170" s="154"/>
      <c r="AQ170" s="154"/>
      <c r="AR170" s="154"/>
      <c r="AS170" s="154"/>
      <c r="AT170" s="154"/>
      <c r="AU170" s="154"/>
      <c r="AV170" s="154"/>
      <c r="AW170" s="154"/>
      <c r="AX170" s="154"/>
      <c r="AY170" s="154"/>
      <c r="AZ170" s="154"/>
      <c r="BA170" s="154"/>
      <c r="BB170" s="154"/>
      <c r="BC170" s="154"/>
      <c r="BD170" s="154"/>
      <c r="BE170" s="154"/>
      <c r="BF170" s="154"/>
      <c r="BG170" s="154"/>
      <c r="BH170" s="154"/>
      <c r="BI170" s="154"/>
      <c r="BJ170" s="154"/>
      <c r="BK170" s="154"/>
      <c r="BL170" s="154"/>
      <c r="BM170" s="154"/>
      <c r="BN170" s="154"/>
      <c r="BO170" s="154"/>
      <c r="BP170" s="154"/>
      <c r="BQ170" s="154"/>
      <c r="BR170" s="154"/>
      <c r="BS170" s="154"/>
      <c r="BT170" s="154"/>
      <c r="BU170" s="154"/>
      <c r="BV170" s="154"/>
      <c r="BW170" s="154"/>
      <c r="BX170" s="154"/>
      <c r="BY170" s="154"/>
      <c r="BZ170" s="154"/>
      <c r="CA170" s="154"/>
      <c r="CB170" s="154"/>
      <c r="CC170" s="154"/>
      <c r="CD170" s="154"/>
      <c r="CE170" s="154"/>
      <c r="CF170" s="154"/>
      <c r="CG170" s="154"/>
      <c r="CH170" s="154"/>
      <c r="CI170" s="154"/>
      <c r="CJ170" s="154"/>
      <c r="CK170" s="154"/>
      <c r="CL170" s="154"/>
      <c r="CM170" s="154"/>
      <c r="CN170" s="154"/>
      <c r="CO170" s="154"/>
      <c r="CP170" s="154"/>
      <c r="CQ170" s="154"/>
      <c r="CR170" s="154"/>
      <c r="CS170" s="154"/>
      <c r="CT170" s="154"/>
      <c r="CU170" s="154"/>
      <c r="CV170" s="154"/>
      <c r="CW170" s="154"/>
      <c r="CX170" s="154"/>
      <c r="CY170" s="154"/>
      <c r="CZ170" s="154"/>
      <c r="DA170" s="154"/>
      <c r="DB170" s="154"/>
      <c r="DC170" s="154"/>
      <c r="DD170" s="154"/>
      <c r="DE170" s="154"/>
      <c r="DF170" s="154"/>
      <c r="DG170" s="154"/>
      <c r="DH170" s="154"/>
      <c r="DI170" s="154"/>
      <c r="DJ170" s="154"/>
      <c r="DK170" s="154"/>
      <c r="DL170" s="154"/>
      <c r="DM170" s="154"/>
      <c r="DN170" s="154"/>
      <c r="DO170" s="154"/>
      <c r="DP170" s="154"/>
      <c r="DQ170" s="154"/>
      <c r="DR170" s="154"/>
      <c r="DS170" s="154"/>
      <c r="DT170" s="154"/>
      <c r="DU170" s="154"/>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row>
    <row r="171" spans="2:153" ht="12.95" customHeight="1">
      <c r="B171" s="154"/>
      <c r="C171" s="380"/>
      <c r="D171" s="380"/>
      <c r="E171" s="154"/>
      <c r="F171" s="154"/>
      <c r="G171" s="154"/>
      <c r="H171" s="154"/>
      <c r="I171" s="154"/>
      <c r="J171" s="154"/>
      <c r="K171" s="154"/>
      <c r="L171" s="154"/>
      <c r="M171" s="154"/>
      <c r="N171" s="154"/>
      <c r="O171" s="154"/>
      <c r="P171" s="154"/>
      <c r="Q171" s="154"/>
      <c r="R171" s="154"/>
      <c r="S171" s="154"/>
      <c r="T171" s="154"/>
      <c r="U171" s="154"/>
      <c r="V171" s="154"/>
      <c r="W171" s="154"/>
      <c r="X171" s="154"/>
      <c r="Y171" s="154"/>
      <c r="Z171" s="154"/>
      <c r="AA171" s="154"/>
      <c r="AB171" s="154"/>
      <c r="AC171" s="154"/>
      <c r="AD171" s="154"/>
      <c r="AE171" s="154"/>
      <c r="AF171" s="367"/>
      <c r="AG171" s="368"/>
      <c r="AH171" s="368"/>
      <c r="AI171" s="368"/>
      <c r="AJ171" s="154"/>
      <c r="AK171" s="154"/>
      <c r="AL171" s="154"/>
      <c r="AM171" s="154"/>
      <c r="AN171" s="154"/>
      <c r="AO171" s="154"/>
      <c r="AP171" s="154"/>
      <c r="AQ171" s="154"/>
      <c r="AR171" s="154"/>
      <c r="AS171" s="154"/>
      <c r="AT171" s="154"/>
      <c r="AU171" s="154"/>
      <c r="AV171" s="154"/>
      <c r="AW171" s="154"/>
      <c r="AX171" s="154"/>
      <c r="AY171" s="154"/>
      <c r="AZ171" s="154"/>
      <c r="BA171" s="154"/>
      <c r="BB171" s="154"/>
      <c r="BC171" s="154"/>
      <c r="BD171" s="154"/>
      <c r="BE171" s="154"/>
      <c r="BF171" s="154"/>
      <c r="BG171" s="154"/>
      <c r="BH171" s="154"/>
      <c r="BI171" s="154"/>
      <c r="BJ171" s="154"/>
      <c r="BK171" s="154"/>
      <c r="BL171" s="154"/>
      <c r="BM171" s="154"/>
      <c r="BN171" s="154"/>
      <c r="BO171" s="154"/>
      <c r="BP171" s="154"/>
      <c r="BQ171" s="154"/>
      <c r="BR171" s="154"/>
      <c r="BS171" s="154"/>
      <c r="BT171" s="154"/>
      <c r="BU171" s="154"/>
      <c r="BV171" s="154"/>
      <c r="BW171" s="154"/>
      <c r="BX171" s="154"/>
      <c r="BY171" s="154"/>
      <c r="BZ171" s="154"/>
      <c r="CA171" s="154"/>
      <c r="CB171" s="154"/>
      <c r="CC171" s="154"/>
      <c r="CD171" s="154"/>
      <c r="CE171" s="154"/>
      <c r="CF171" s="154"/>
      <c r="CG171" s="154"/>
      <c r="CH171" s="154"/>
      <c r="CI171" s="154"/>
      <c r="CJ171" s="154"/>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row>
    <row r="172" spans="2:153" ht="12.95" customHeight="1">
      <c r="B172" s="154"/>
      <c r="C172" s="380"/>
      <c r="D172" s="380"/>
      <c r="E172" s="154"/>
      <c r="F172" s="154"/>
      <c r="G172" s="154"/>
      <c r="H172" s="154"/>
      <c r="I172" s="154"/>
      <c r="J172" s="154"/>
      <c r="K172" s="154"/>
      <c r="L172" s="154"/>
      <c r="M172" s="154"/>
      <c r="N172" s="154"/>
      <c r="O172" s="154"/>
      <c r="P172" s="154"/>
      <c r="Q172" s="154"/>
      <c r="R172" s="154"/>
      <c r="S172" s="154"/>
      <c r="T172" s="154"/>
      <c r="U172" s="154"/>
      <c r="V172" s="154"/>
      <c r="W172" s="154"/>
      <c r="X172" s="154"/>
      <c r="Y172" s="154"/>
      <c r="Z172" s="154"/>
      <c r="AA172" s="154"/>
      <c r="AB172" s="154"/>
      <c r="AC172" s="154"/>
      <c r="AD172" s="154"/>
      <c r="AE172" s="154"/>
      <c r="AF172" s="367"/>
      <c r="AG172" s="368"/>
      <c r="AH172" s="368"/>
      <c r="AI172" s="368"/>
      <c r="AJ172" s="154"/>
      <c r="AK172" s="154"/>
      <c r="AL172" s="154"/>
      <c r="AM172" s="154"/>
      <c r="AN172" s="154"/>
      <c r="AO172" s="154"/>
      <c r="AP172" s="154"/>
      <c r="AQ172" s="154"/>
      <c r="AR172" s="154"/>
      <c r="AS172" s="154"/>
      <c r="AT172" s="154"/>
      <c r="AU172" s="154"/>
      <c r="AV172" s="154"/>
      <c r="AW172" s="154"/>
      <c r="AX172" s="154"/>
      <c r="AY172" s="154"/>
      <c r="AZ172" s="154"/>
      <c r="BA172" s="154"/>
      <c r="BB172" s="154"/>
      <c r="BC172" s="154"/>
      <c r="BD172" s="154"/>
      <c r="BE172" s="154"/>
      <c r="BF172" s="154"/>
      <c r="BG172" s="154"/>
      <c r="BH172" s="154"/>
      <c r="BI172" s="154"/>
      <c r="BJ172" s="154"/>
      <c r="BK172" s="154"/>
      <c r="BL172" s="154"/>
      <c r="BM172" s="154"/>
      <c r="BN172" s="154"/>
      <c r="BO172" s="154"/>
      <c r="BP172" s="154"/>
      <c r="BQ172" s="154"/>
      <c r="BR172" s="154"/>
      <c r="BS172" s="154"/>
      <c r="BT172" s="154"/>
      <c r="BU172" s="154"/>
      <c r="BV172" s="154"/>
      <c r="BW172" s="154"/>
      <c r="BX172" s="154"/>
      <c r="BY172" s="154"/>
      <c r="BZ172" s="154"/>
      <c r="CA172" s="154"/>
      <c r="CB172" s="154"/>
      <c r="CC172" s="154"/>
      <c r="CD172" s="154"/>
      <c r="CE172" s="154"/>
      <c r="CF172" s="154"/>
      <c r="CG172" s="154"/>
      <c r="CH172" s="154"/>
      <c r="CI172" s="154"/>
      <c r="CJ172" s="154"/>
      <c r="CK172" s="154"/>
      <c r="CL172" s="154"/>
      <c r="CM172" s="154"/>
      <c r="CN172" s="154"/>
      <c r="CO172" s="154"/>
      <c r="CP172" s="154"/>
      <c r="CQ172" s="154"/>
      <c r="CR172" s="154"/>
      <c r="CS172" s="154"/>
      <c r="CT172" s="154"/>
      <c r="CU172" s="154"/>
      <c r="CV172" s="154"/>
      <c r="CW172" s="154"/>
      <c r="CX172" s="154"/>
      <c r="CY172" s="154"/>
      <c r="CZ172" s="154"/>
      <c r="DA172" s="154"/>
      <c r="DB172" s="154"/>
      <c r="DC172" s="154"/>
      <c r="DD172" s="154"/>
      <c r="DE172" s="154"/>
      <c r="DF172" s="154"/>
      <c r="DG172" s="154"/>
      <c r="DH172" s="154"/>
      <c r="DI172" s="154"/>
      <c r="DJ172" s="154"/>
      <c r="DK172" s="154"/>
      <c r="DL172" s="154"/>
      <c r="DM172" s="154"/>
      <c r="DN172" s="154"/>
      <c r="DO172" s="154"/>
      <c r="DP172" s="154"/>
      <c r="DQ172" s="154"/>
      <c r="DR172" s="154"/>
      <c r="DS172" s="154"/>
      <c r="DT172" s="154"/>
      <c r="DU172" s="154"/>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row>
    <row r="173" spans="2:153" ht="12.95" customHeight="1">
      <c r="B173" s="154"/>
      <c r="C173" s="380"/>
      <c r="D173" s="380"/>
      <c r="E173" s="154"/>
      <c r="F173" s="154"/>
      <c r="G173" s="154"/>
      <c r="H173" s="154"/>
      <c r="I173" s="154"/>
      <c r="J173" s="154"/>
      <c r="K173" s="154"/>
      <c r="L173" s="154"/>
      <c r="M173" s="154"/>
      <c r="N173" s="154"/>
      <c r="O173" s="154"/>
      <c r="P173" s="154"/>
      <c r="Q173" s="154"/>
      <c r="R173" s="154"/>
      <c r="S173" s="154"/>
      <c r="T173" s="154"/>
      <c r="U173" s="154"/>
      <c r="V173" s="154"/>
      <c r="W173" s="154"/>
      <c r="X173" s="154"/>
      <c r="Y173" s="154"/>
      <c r="Z173" s="154"/>
      <c r="AA173" s="154"/>
      <c r="AB173" s="154"/>
      <c r="AC173" s="154"/>
      <c r="AD173" s="154"/>
      <c r="AE173" s="154"/>
      <c r="AF173" s="367"/>
      <c r="AG173" s="368"/>
      <c r="AH173" s="368"/>
      <c r="AI173" s="368"/>
      <c r="AJ173" s="154"/>
      <c r="AK173" s="154"/>
      <c r="AL173" s="154"/>
      <c r="AM173" s="154"/>
      <c r="AN173" s="154"/>
      <c r="AO173" s="154"/>
      <c r="AP173" s="154"/>
      <c r="AQ173" s="154"/>
      <c r="AR173" s="154"/>
      <c r="AS173" s="154"/>
      <c r="AT173" s="154"/>
      <c r="AU173" s="154"/>
      <c r="AV173" s="154"/>
      <c r="AW173" s="154"/>
      <c r="AX173" s="154"/>
      <c r="AY173" s="154"/>
      <c r="AZ173" s="154"/>
      <c r="BA173" s="154"/>
      <c r="BB173" s="154"/>
      <c r="BC173" s="154"/>
      <c r="BD173" s="154"/>
      <c r="BE173" s="154"/>
      <c r="BF173" s="154"/>
      <c r="BG173" s="154"/>
      <c r="BH173" s="154"/>
      <c r="BI173" s="154"/>
      <c r="BJ173" s="154"/>
      <c r="BK173" s="154"/>
      <c r="BL173" s="154"/>
      <c r="BM173" s="154"/>
      <c r="BN173" s="154"/>
      <c r="BO173" s="154"/>
      <c r="BP173" s="154"/>
      <c r="BQ173" s="154"/>
      <c r="BR173" s="154"/>
      <c r="BS173" s="154"/>
      <c r="BT173" s="154"/>
      <c r="BU173" s="154"/>
      <c r="BV173" s="154"/>
      <c r="BW173" s="154"/>
      <c r="BX173" s="154"/>
      <c r="BY173" s="154"/>
      <c r="BZ173" s="154"/>
      <c r="CA173" s="154"/>
      <c r="CB173" s="154"/>
      <c r="CC173" s="154"/>
      <c r="CD173" s="154"/>
      <c r="CE173" s="154"/>
      <c r="CF173" s="154"/>
      <c r="CG173" s="154"/>
      <c r="CH173" s="154"/>
      <c r="CI173" s="154"/>
      <c r="CJ173" s="154"/>
      <c r="CK173" s="154"/>
      <c r="CL173" s="154"/>
      <c r="CM173" s="154"/>
      <c r="CN173" s="154"/>
      <c r="CO173" s="154"/>
      <c r="CP173" s="154"/>
      <c r="CQ173" s="154"/>
      <c r="CR173" s="154"/>
      <c r="CS173" s="154"/>
      <c r="CT173" s="154"/>
      <c r="CU173" s="154"/>
      <c r="CV173" s="154"/>
      <c r="CW173" s="154"/>
      <c r="CX173" s="154"/>
      <c r="CY173" s="154"/>
      <c r="CZ173" s="154"/>
      <c r="DA173" s="154"/>
      <c r="DB173" s="154"/>
      <c r="DC173" s="154"/>
      <c r="DD173" s="154"/>
      <c r="DE173" s="154"/>
      <c r="DF173" s="154"/>
      <c r="DG173" s="154"/>
      <c r="DH173" s="154"/>
      <c r="DI173" s="154"/>
      <c r="DJ173" s="154"/>
      <c r="DK173" s="154"/>
      <c r="DL173" s="154"/>
      <c r="DM173" s="154"/>
      <c r="DN173" s="154"/>
      <c r="DO173" s="154"/>
      <c r="DP173" s="154"/>
      <c r="DQ173" s="154"/>
      <c r="DR173" s="154"/>
      <c r="DS173" s="154"/>
      <c r="DT173" s="154"/>
      <c r="DU173" s="154"/>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row>
    <row r="174" spans="2:153" ht="12.95" customHeight="1">
      <c r="B174" s="154"/>
      <c r="C174" s="380"/>
      <c r="D174" s="380"/>
      <c r="E174" s="154"/>
      <c r="F174" s="154"/>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367"/>
      <c r="AG174" s="368"/>
      <c r="AH174" s="368"/>
      <c r="AI174" s="368"/>
      <c r="AJ174" s="154"/>
      <c r="AK174" s="154"/>
      <c r="AL174" s="154"/>
      <c r="AM174" s="154"/>
      <c r="AN174" s="154"/>
      <c r="AO174" s="154"/>
      <c r="AP174" s="154"/>
      <c r="AQ174" s="154"/>
      <c r="AR174" s="154"/>
      <c r="AS174" s="154"/>
      <c r="AT174" s="154"/>
      <c r="AU174" s="154"/>
      <c r="AV174" s="154"/>
      <c r="AW174" s="154"/>
      <c r="AX174" s="154"/>
      <c r="AY174" s="154"/>
      <c r="AZ174" s="154"/>
      <c r="BA174" s="154"/>
      <c r="BB174" s="154"/>
      <c r="BC174" s="154"/>
      <c r="BD174" s="154"/>
      <c r="BE174" s="154"/>
      <c r="BF174" s="154"/>
      <c r="BG174" s="154"/>
      <c r="BH174" s="154"/>
      <c r="BI174" s="154"/>
      <c r="BJ174" s="154"/>
      <c r="BK174" s="154"/>
      <c r="BL174" s="154"/>
      <c r="BM174" s="154"/>
      <c r="BN174" s="154"/>
      <c r="BO174" s="154"/>
      <c r="BP174" s="154"/>
      <c r="BQ174" s="154"/>
      <c r="BR174" s="154"/>
      <c r="BS174" s="154"/>
      <c r="BT174" s="154"/>
      <c r="BU174" s="154"/>
      <c r="BV174" s="154"/>
      <c r="BW174" s="154"/>
      <c r="BX174" s="154"/>
      <c r="BY174" s="154"/>
      <c r="BZ174" s="154"/>
      <c r="CA174" s="154"/>
      <c r="CB174" s="154"/>
      <c r="CC174" s="154"/>
      <c r="CD174" s="154"/>
      <c r="CE174" s="154"/>
      <c r="CF174" s="154"/>
      <c r="CG174" s="154"/>
      <c r="CH174" s="154"/>
      <c r="CI174" s="154"/>
      <c r="CJ174" s="154"/>
      <c r="CK174" s="154"/>
      <c r="CL174" s="154"/>
      <c r="CM174" s="154"/>
      <c r="CN174" s="154"/>
      <c r="CO174" s="154"/>
      <c r="CP174" s="154"/>
      <c r="CQ174" s="154"/>
      <c r="CR174" s="154"/>
      <c r="CS174" s="154"/>
      <c r="CT174" s="154"/>
      <c r="CU174" s="154"/>
      <c r="CV174" s="154"/>
      <c r="CW174" s="154"/>
      <c r="CX174" s="154"/>
      <c r="CY174" s="154"/>
      <c r="CZ174" s="154"/>
      <c r="DA174" s="154"/>
      <c r="DB174" s="154"/>
      <c r="DC174" s="154"/>
      <c r="DD174" s="154"/>
      <c r="DE174" s="154"/>
      <c r="DF174" s="154"/>
      <c r="DG174" s="154"/>
      <c r="DH174" s="154"/>
      <c r="DI174" s="154"/>
      <c r="DJ174" s="154"/>
      <c r="DK174" s="154"/>
      <c r="DL174" s="154"/>
      <c r="DM174" s="154"/>
      <c r="DN174" s="154"/>
      <c r="DO174" s="154"/>
      <c r="DP174" s="154"/>
      <c r="DQ174" s="154"/>
      <c r="DR174" s="154"/>
      <c r="DS174" s="154"/>
      <c r="DT174" s="154"/>
      <c r="DU174" s="154"/>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row>
    <row r="175" spans="2:153" ht="12.95" customHeight="1">
      <c r="B175" s="154"/>
      <c r="C175" s="380"/>
      <c r="D175" s="380"/>
      <c r="E175" s="154"/>
      <c r="F175" s="154"/>
      <c r="G175" s="154"/>
      <c r="H175" s="154"/>
      <c r="I175" s="154"/>
      <c r="J175" s="154"/>
      <c r="K175" s="154"/>
      <c r="L175" s="154"/>
      <c r="M175" s="154"/>
      <c r="N175" s="154"/>
      <c r="O175" s="154"/>
      <c r="P175" s="154"/>
      <c r="Q175" s="154"/>
      <c r="R175" s="154"/>
      <c r="S175" s="154"/>
      <c r="T175" s="154"/>
      <c r="U175" s="154"/>
      <c r="V175" s="154"/>
      <c r="W175" s="154"/>
      <c r="X175" s="154"/>
      <c r="Y175" s="154"/>
      <c r="Z175" s="154"/>
      <c r="AA175" s="154"/>
      <c r="AB175" s="154"/>
      <c r="AC175" s="154"/>
      <c r="AD175" s="154"/>
      <c r="AE175" s="154"/>
      <c r="AF175" s="367"/>
      <c r="AG175" s="368"/>
      <c r="AH175" s="368"/>
      <c r="AI175" s="368"/>
      <c r="AJ175" s="154"/>
      <c r="AK175" s="154"/>
      <c r="AL175" s="154"/>
      <c r="AM175" s="154"/>
      <c r="AN175" s="154"/>
      <c r="AO175" s="154"/>
      <c r="AP175" s="154"/>
      <c r="AQ175" s="154"/>
      <c r="AR175" s="154"/>
      <c r="AS175" s="154"/>
      <c r="AT175" s="154"/>
      <c r="AU175" s="154"/>
      <c r="AV175" s="154"/>
      <c r="AW175" s="154"/>
      <c r="AX175" s="154"/>
      <c r="AY175" s="154"/>
      <c r="AZ175" s="154"/>
      <c r="BA175" s="154"/>
      <c r="BB175" s="154"/>
      <c r="BC175" s="154"/>
      <c r="BD175" s="154"/>
      <c r="BE175" s="154"/>
      <c r="BF175" s="154"/>
      <c r="BG175" s="154"/>
      <c r="BH175" s="154"/>
      <c r="BI175" s="154"/>
      <c r="BJ175" s="154"/>
      <c r="BK175" s="154"/>
      <c r="BL175" s="154"/>
      <c r="BM175" s="154"/>
      <c r="BN175" s="154"/>
      <c r="BO175" s="154"/>
      <c r="BP175" s="154"/>
      <c r="BQ175" s="154"/>
      <c r="BR175" s="154"/>
      <c r="BS175" s="154"/>
      <c r="BT175" s="154"/>
      <c r="BU175" s="154"/>
      <c r="BV175" s="154"/>
      <c r="BW175" s="154"/>
      <c r="BX175" s="154"/>
      <c r="BY175" s="154"/>
      <c r="BZ175" s="154"/>
      <c r="CA175" s="154"/>
      <c r="CB175" s="154"/>
      <c r="CC175" s="154"/>
      <c r="CD175" s="154"/>
      <c r="CE175" s="154"/>
      <c r="CF175" s="154"/>
      <c r="CG175" s="154"/>
      <c r="CH175" s="154"/>
      <c r="CI175" s="154"/>
      <c r="CJ175" s="154"/>
      <c r="CK175" s="154"/>
      <c r="CL175" s="154"/>
      <c r="CM175" s="154"/>
      <c r="CN175" s="154"/>
      <c r="CO175" s="154"/>
      <c r="CP175" s="154"/>
      <c r="CQ175" s="154"/>
      <c r="CR175" s="154"/>
      <c r="CS175" s="154"/>
      <c r="CT175" s="154"/>
      <c r="CU175" s="154"/>
      <c r="CV175" s="154"/>
      <c r="CW175" s="154"/>
      <c r="CX175" s="154"/>
      <c r="CY175" s="154"/>
      <c r="CZ175" s="154"/>
      <c r="DA175" s="154"/>
      <c r="DB175" s="154"/>
      <c r="DC175" s="154"/>
      <c r="DD175" s="154"/>
      <c r="DE175" s="154"/>
      <c r="DF175" s="154"/>
      <c r="DG175" s="154"/>
      <c r="DH175" s="154"/>
      <c r="DI175" s="154"/>
      <c r="DJ175" s="154"/>
      <c r="DK175" s="154"/>
      <c r="DL175" s="154"/>
      <c r="DM175" s="154"/>
      <c r="DN175" s="154"/>
      <c r="DO175" s="154"/>
      <c r="DP175" s="154"/>
      <c r="DQ175" s="154"/>
      <c r="DR175" s="154"/>
      <c r="DS175" s="154"/>
      <c r="DT175" s="154"/>
      <c r="DU175" s="154"/>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row>
    <row r="176" spans="2:153" ht="12.95" customHeight="1">
      <c r="B176" s="154"/>
      <c r="C176" s="380"/>
      <c r="D176" s="380"/>
      <c r="E176" s="154"/>
      <c r="F176" s="154"/>
      <c r="G176" s="154"/>
      <c r="H176" s="154"/>
      <c r="I176" s="154"/>
      <c r="J176" s="154"/>
      <c r="K176" s="154"/>
      <c r="L176" s="154"/>
      <c r="M176" s="154"/>
      <c r="N176" s="154"/>
      <c r="O176" s="154"/>
      <c r="P176" s="154"/>
      <c r="Q176" s="154"/>
      <c r="R176" s="154"/>
      <c r="S176" s="154"/>
      <c r="T176" s="154"/>
      <c r="U176" s="154"/>
      <c r="V176" s="154"/>
      <c r="W176" s="154"/>
      <c r="X176" s="154"/>
      <c r="Y176" s="154"/>
      <c r="Z176" s="154"/>
      <c r="AA176" s="154"/>
      <c r="AB176" s="154"/>
      <c r="AC176" s="154"/>
      <c r="AD176" s="154"/>
      <c r="AE176" s="154"/>
      <c r="AF176" s="367"/>
      <c r="AG176" s="368"/>
      <c r="AH176" s="368"/>
      <c r="AI176" s="368"/>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54"/>
      <c r="BH176" s="154"/>
      <c r="BI176" s="154"/>
      <c r="BJ176" s="154"/>
      <c r="BK176" s="154"/>
      <c r="BL176" s="154"/>
      <c r="BM176" s="154"/>
      <c r="BN176" s="154"/>
      <c r="BO176" s="154"/>
      <c r="BP176" s="154"/>
      <c r="BQ176" s="154"/>
      <c r="BR176" s="154"/>
      <c r="BS176" s="154"/>
      <c r="BT176" s="154"/>
      <c r="BU176" s="154"/>
      <c r="BV176" s="154"/>
      <c r="BW176" s="154"/>
      <c r="BX176" s="154"/>
      <c r="BY176" s="154"/>
      <c r="BZ176" s="154"/>
      <c r="CA176" s="154"/>
      <c r="CB176" s="154"/>
      <c r="CC176" s="154"/>
      <c r="CD176" s="154"/>
      <c r="CE176" s="154"/>
      <c r="CF176" s="154"/>
      <c r="CG176" s="154"/>
      <c r="CH176" s="154"/>
      <c r="CI176" s="154"/>
      <c r="CJ176" s="154"/>
      <c r="CK176" s="154"/>
      <c r="CL176" s="154"/>
      <c r="CM176" s="154"/>
      <c r="CN176" s="154"/>
      <c r="CO176" s="154"/>
      <c r="CP176" s="154"/>
      <c r="CQ176" s="154"/>
      <c r="CR176" s="154"/>
      <c r="CS176" s="154"/>
      <c r="CT176" s="154"/>
      <c r="CU176" s="154"/>
      <c r="CV176" s="154"/>
      <c r="CW176" s="154"/>
      <c r="CX176" s="154"/>
      <c r="CY176" s="154"/>
      <c r="CZ176" s="154"/>
      <c r="DA176" s="154"/>
      <c r="DB176" s="154"/>
      <c r="DC176" s="154"/>
      <c r="DD176" s="154"/>
      <c r="DE176" s="154"/>
      <c r="DF176" s="154"/>
      <c r="DG176" s="154"/>
      <c r="DH176" s="154"/>
      <c r="DI176" s="154"/>
      <c r="DJ176" s="154"/>
      <c r="DK176" s="154"/>
      <c r="DL176" s="154"/>
      <c r="DM176" s="154"/>
      <c r="DN176" s="154"/>
      <c r="DO176" s="154"/>
      <c r="DP176" s="154"/>
      <c r="DQ176" s="154"/>
      <c r="DR176" s="154"/>
      <c r="DS176" s="154"/>
      <c r="DT176" s="154"/>
      <c r="DU176" s="154"/>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row>
    <row r="177" spans="2:153" ht="12.95" customHeight="1">
      <c r="B177" s="154"/>
      <c r="C177" s="380"/>
      <c r="D177" s="380"/>
      <c r="E177" s="154"/>
      <c r="F177" s="154"/>
      <c r="G177" s="154"/>
      <c r="H177" s="154"/>
      <c r="I177" s="154"/>
      <c r="J177" s="154"/>
      <c r="K177" s="154"/>
      <c r="L177" s="154"/>
      <c r="M177" s="154"/>
      <c r="N177" s="154"/>
      <c r="O177" s="154"/>
      <c r="P177" s="154"/>
      <c r="Q177" s="154"/>
      <c r="R177" s="154"/>
      <c r="S177" s="154"/>
      <c r="T177" s="154"/>
      <c r="U177" s="154"/>
      <c r="V177" s="154"/>
      <c r="W177" s="154"/>
      <c r="X177" s="154"/>
      <c r="Y177" s="154"/>
      <c r="Z177" s="154"/>
      <c r="AA177" s="154"/>
      <c r="AB177" s="154"/>
      <c r="AC177" s="154"/>
      <c r="AD177" s="154"/>
      <c r="AE177" s="154"/>
      <c r="AF177" s="367"/>
      <c r="AG177" s="368"/>
      <c r="AH177" s="368"/>
      <c r="AI177" s="368"/>
      <c r="AJ177" s="154"/>
      <c r="AK177" s="154"/>
      <c r="AL177" s="154"/>
      <c r="AM177" s="154"/>
      <c r="AN177" s="154"/>
      <c r="AO177" s="154"/>
      <c r="AP177" s="154"/>
      <c r="AQ177" s="154"/>
      <c r="AR177" s="154"/>
      <c r="AS177" s="154"/>
      <c r="AT177" s="154"/>
      <c r="AU177" s="154"/>
      <c r="AV177" s="154"/>
      <c r="AW177" s="154"/>
      <c r="AX177" s="154"/>
      <c r="AY177" s="154"/>
      <c r="AZ177" s="154"/>
      <c r="BA177" s="154"/>
      <c r="BB177" s="154"/>
      <c r="BC177" s="154"/>
      <c r="BD177" s="154"/>
      <c r="BE177" s="154"/>
      <c r="BF177" s="154"/>
      <c r="BG177" s="154"/>
      <c r="BH177" s="154"/>
      <c r="BI177" s="154"/>
      <c r="BJ177" s="154"/>
      <c r="BK177" s="154"/>
      <c r="BL177" s="154"/>
      <c r="BM177" s="154"/>
      <c r="BN177" s="154"/>
      <c r="BO177" s="154"/>
      <c r="BP177" s="154"/>
      <c r="BQ177" s="154"/>
      <c r="BR177" s="154"/>
      <c r="BS177" s="154"/>
      <c r="BT177" s="154"/>
      <c r="BU177" s="154"/>
      <c r="BV177" s="154"/>
      <c r="BW177" s="154"/>
      <c r="BX177" s="154"/>
      <c r="BY177" s="154"/>
      <c r="BZ177" s="154"/>
      <c r="CA177" s="154"/>
      <c r="CB177" s="154"/>
      <c r="CC177" s="154"/>
      <c r="CD177" s="154"/>
      <c r="CE177" s="154"/>
      <c r="CF177" s="154"/>
      <c r="CG177" s="154"/>
      <c r="CH177" s="154"/>
      <c r="CI177" s="154"/>
      <c r="CJ177" s="154"/>
      <c r="CK177" s="154"/>
      <c r="CL177" s="154"/>
      <c r="CM177" s="154"/>
      <c r="CN177" s="154"/>
      <c r="CO177" s="154"/>
      <c r="CP177" s="154"/>
      <c r="CQ177" s="154"/>
      <c r="CR177" s="154"/>
      <c r="CS177" s="154"/>
      <c r="CT177" s="154"/>
      <c r="CU177" s="154"/>
      <c r="CV177" s="154"/>
      <c r="CW177" s="154"/>
      <c r="CX177" s="154"/>
      <c r="CY177" s="154"/>
      <c r="CZ177" s="154"/>
      <c r="DA177" s="154"/>
      <c r="DB177" s="154"/>
      <c r="DC177" s="154"/>
      <c r="DD177" s="154"/>
      <c r="DE177" s="154"/>
      <c r="DF177" s="154"/>
      <c r="DG177" s="154"/>
      <c r="DH177" s="154"/>
      <c r="DI177" s="154"/>
      <c r="DJ177" s="154"/>
      <c r="DK177" s="154"/>
      <c r="DL177" s="154"/>
      <c r="DM177" s="154"/>
      <c r="DN177" s="154"/>
      <c r="DO177" s="154"/>
      <c r="DP177" s="154"/>
      <c r="DQ177" s="154"/>
      <c r="DR177" s="154"/>
      <c r="DS177" s="154"/>
      <c r="DT177" s="154"/>
      <c r="DU177" s="154"/>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row>
    <row r="178" spans="2:153" ht="12.95" customHeight="1">
      <c r="B178" s="154"/>
      <c r="C178" s="380"/>
      <c r="D178" s="380"/>
      <c r="E178" s="154"/>
      <c r="F178" s="154"/>
      <c r="G178" s="154"/>
      <c r="H178" s="154"/>
      <c r="I178" s="154"/>
      <c r="J178" s="154"/>
      <c r="K178" s="154"/>
      <c r="L178" s="154"/>
      <c r="M178" s="154"/>
      <c r="N178" s="154"/>
      <c r="O178" s="154"/>
      <c r="P178" s="154"/>
      <c r="Q178" s="154"/>
      <c r="R178" s="154"/>
      <c r="S178" s="154"/>
      <c r="T178" s="154"/>
      <c r="U178" s="154"/>
      <c r="V178" s="154"/>
      <c r="W178" s="154"/>
      <c r="X178" s="154"/>
      <c r="Y178" s="154"/>
      <c r="Z178" s="154"/>
      <c r="AA178" s="154"/>
      <c r="AB178" s="154"/>
      <c r="AC178" s="154"/>
      <c r="AD178" s="154"/>
      <c r="AE178" s="154"/>
      <c r="AF178" s="367"/>
      <c r="AG178" s="368"/>
      <c r="AH178" s="368"/>
      <c r="AI178" s="368"/>
      <c r="AJ178" s="154"/>
      <c r="AK178" s="154"/>
      <c r="AL178" s="154"/>
      <c r="AM178" s="154"/>
      <c r="AN178" s="154"/>
      <c r="AO178" s="154"/>
      <c r="AP178" s="154"/>
      <c r="AQ178" s="154"/>
      <c r="AR178" s="154"/>
      <c r="AS178" s="154"/>
      <c r="AT178" s="154"/>
      <c r="AU178" s="154"/>
      <c r="AV178" s="154"/>
      <c r="AW178" s="154"/>
      <c r="AX178" s="154"/>
      <c r="AY178" s="154"/>
      <c r="AZ178" s="154"/>
      <c r="BA178" s="154"/>
      <c r="BB178" s="154"/>
      <c r="BC178" s="154"/>
      <c r="BD178" s="154"/>
      <c r="BE178" s="154"/>
      <c r="BF178" s="154"/>
      <c r="BG178" s="154"/>
      <c r="BH178" s="154"/>
      <c r="BI178" s="154"/>
      <c r="BJ178" s="154"/>
      <c r="BK178" s="154"/>
      <c r="BL178" s="154"/>
      <c r="BM178" s="154"/>
      <c r="BN178" s="154"/>
      <c r="BO178" s="154"/>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4"/>
      <c r="CK178" s="154"/>
      <c r="CL178" s="154"/>
      <c r="CM178" s="154"/>
      <c r="CN178" s="154"/>
      <c r="CO178" s="154"/>
      <c r="CP178" s="154"/>
      <c r="CQ178" s="154"/>
      <c r="CR178" s="154"/>
      <c r="CS178" s="154"/>
      <c r="CT178" s="154"/>
      <c r="CU178" s="154"/>
      <c r="CV178" s="154"/>
      <c r="CW178" s="154"/>
      <c r="CX178" s="154"/>
      <c r="CY178" s="154"/>
      <c r="CZ178" s="154"/>
      <c r="DA178" s="154"/>
      <c r="DB178" s="154"/>
      <c r="DC178" s="154"/>
      <c r="DD178" s="154"/>
      <c r="DE178" s="154"/>
      <c r="DF178" s="154"/>
      <c r="DG178" s="154"/>
      <c r="DH178" s="154"/>
      <c r="DI178" s="154"/>
      <c r="DJ178" s="154"/>
      <c r="DK178" s="154"/>
      <c r="DL178" s="154"/>
      <c r="DM178" s="154"/>
      <c r="DN178" s="154"/>
      <c r="DO178" s="154"/>
      <c r="DP178" s="154"/>
      <c r="DQ178" s="154"/>
      <c r="DR178" s="154"/>
      <c r="DS178" s="154"/>
      <c r="DT178" s="154"/>
      <c r="DU178" s="154"/>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row>
    <row r="179" spans="2:153" ht="12.95" customHeight="1">
      <c r="B179" s="154"/>
      <c r="C179" s="380"/>
      <c r="D179" s="380"/>
      <c r="E179" s="154"/>
      <c r="F179" s="154"/>
      <c r="G179" s="154"/>
      <c r="H179" s="154"/>
      <c r="I179" s="154"/>
      <c r="J179" s="154"/>
      <c r="K179" s="154"/>
      <c r="L179" s="154"/>
      <c r="M179" s="154"/>
      <c r="N179" s="154"/>
      <c r="O179" s="154"/>
      <c r="P179" s="154"/>
      <c r="Q179" s="154"/>
      <c r="R179" s="154"/>
      <c r="S179" s="154"/>
      <c r="T179" s="154"/>
      <c r="U179" s="154"/>
      <c r="V179" s="154"/>
      <c r="W179" s="154"/>
      <c r="X179" s="154"/>
      <c r="Y179" s="154"/>
      <c r="Z179" s="154"/>
      <c r="AA179" s="154"/>
      <c r="AB179" s="154"/>
      <c r="AC179" s="154"/>
      <c r="AD179" s="154"/>
      <c r="AE179" s="154"/>
      <c r="AF179" s="367"/>
      <c r="AG179" s="368"/>
      <c r="AH179" s="368"/>
      <c r="AI179" s="368"/>
      <c r="AJ179" s="154"/>
      <c r="AK179" s="154"/>
      <c r="AL179" s="154"/>
      <c r="AM179" s="154"/>
      <c r="AN179" s="154"/>
      <c r="AO179" s="154"/>
      <c r="AP179" s="154"/>
      <c r="AQ179" s="154"/>
      <c r="AR179" s="154"/>
      <c r="AS179" s="154"/>
      <c r="AT179" s="154"/>
      <c r="AU179" s="154"/>
      <c r="AV179" s="154"/>
      <c r="AW179" s="154"/>
      <c r="AX179" s="154"/>
      <c r="AY179" s="154"/>
      <c r="AZ179" s="154"/>
      <c r="BA179" s="154"/>
      <c r="BB179" s="154"/>
      <c r="BC179" s="154"/>
      <c r="BD179" s="154"/>
      <c r="BE179" s="154"/>
      <c r="BF179" s="154"/>
      <c r="BG179" s="154"/>
      <c r="BH179" s="154"/>
      <c r="BI179" s="154"/>
      <c r="BJ179" s="154"/>
      <c r="BK179" s="154"/>
      <c r="BL179" s="154"/>
      <c r="BM179" s="154"/>
      <c r="BN179" s="154"/>
      <c r="BO179" s="154"/>
      <c r="BP179" s="154"/>
      <c r="BQ179" s="154"/>
      <c r="BR179" s="154"/>
      <c r="BS179" s="154"/>
      <c r="BT179" s="154"/>
      <c r="BU179" s="154"/>
      <c r="BV179" s="154"/>
      <c r="BW179" s="154"/>
      <c r="BX179" s="154"/>
      <c r="BY179" s="154"/>
      <c r="BZ179" s="154"/>
      <c r="CA179" s="154"/>
      <c r="CB179" s="154"/>
      <c r="CC179" s="154"/>
      <c r="CD179" s="154"/>
      <c r="CE179" s="154"/>
      <c r="CF179" s="154"/>
      <c r="CG179" s="154"/>
      <c r="CH179" s="154"/>
      <c r="CI179" s="154"/>
      <c r="CJ179" s="154"/>
      <c r="CK179" s="154"/>
      <c r="CL179" s="154"/>
      <c r="CM179" s="154"/>
      <c r="CN179" s="154"/>
      <c r="CO179" s="154"/>
      <c r="CP179" s="154"/>
      <c r="CQ179" s="154"/>
      <c r="CR179" s="154"/>
      <c r="CS179" s="154"/>
      <c r="CT179" s="154"/>
      <c r="CU179" s="154"/>
      <c r="CV179" s="154"/>
      <c r="CW179" s="154"/>
      <c r="CX179" s="154"/>
      <c r="CY179" s="154"/>
      <c r="CZ179" s="154"/>
      <c r="DA179" s="154"/>
      <c r="DB179" s="154"/>
      <c r="DC179" s="154"/>
      <c r="DD179" s="154"/>
      <c r="DE179" s="154"/>
      <c r="DF179" s="154"/>
      <c r="DG179" s="154"/>
      <c r="DH179" s="154"/>
      <c r="DI179" s="154"/>
      <c r="DJ179" s="154"/>
      <c r="DK179" s="154"/>
      <c r="DL179" s="154"/>
      <c r="DM179" s="154"/>
      <c r="DN179" s="154"/>
      <c r="DO179" s="154"/>
      <c r="DP179" s="154"/>
      <c r="DQ179" s="154"/>
      <c r="DR179" s="154"/>
      <c r="DS179" s="154"/>
      <c r="DT179" s="154"/>
      <c r="DU179" s="154"/>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row>
    <row r="180" spans="2:153" ht="12.95" customHeight="1">
      <c r="B180" s="154"/>
      <c r="C180" s="380"/>
      <c r="D180" s="380"/>
      <c r="E180" s="154"/>
      <c r="F180" s="154"/>
      <c r="G180" s="154"/>
      <c r="H180" s="154"/>
      <c r="I180" s="154"/>
      <c r="J180" s="154"/>
      <c r="K180" s="154"/>
      <c r="L180" s="154"/>
      <c r="M180" s="154"/>
      <c r="N180" s="154"/>
      <c r="O180" s="154"/>
      <c r="P180" s="154"/>
      <c r="Q180" s="154"/>
      <c r="R180" s="154"/>
      <c r="S180" s="154"/>
      <c r="T180" s="154"/>
      <c r="U180" s="154"/>
      <c r="V180" s="154"/>
      <c r="W180" s="154"/>
      <c r="X180" s="154"/>
      <c r="Y180" s="154"/>
      <c r="Z180" s="154"/>
      <c r="AA180" s="154"/>
      <c r="AB180" s="154"/>
      <c r="AC180" s="154"/>
      <c r="AD180" s="154"/>
      <c r="AE180" s="154"/>
      <c r="AF180" s="367"/>
      <c r="AG180" s="368"/>
      <c r="AH180" s="368"/>
      <c r="AI180" s="368"/>
      <c r="AJ180" s="154"/>
      <c r="AK180" s="154"/>
      <c r="AL180" s="154"/>
      <c r="AM180" s="154"/>
      <c r="AN180" s="154"/>
      <c r="AO180" s="154"/>
      <c r="AP180" s="154"/>
      <c r="AQ180" s="154"/>
      <c r="AR180" s="154"/>
      <c r="AS180" s="154"/>
      <c r="AT180" s="154"/>
      <c r="AU180" s="154"/>
      <c r="AV180" s="154"/>
      <c r="AW180" s="154"/>
      <c r="AX180" s="154"/>
      <c r="AY180" s="154"/>
      <c r="AZ180" s="154"/>
      <c r="BA180" s="154"/>
      <c r="BB180" s="154"/>
      <c r="BC180" s="154"/>
      <c r="BD180" s="154"/>
      <c r="BE180" s="154"/>
      <c r="BF180" s="154"/>
      <c r="BG180" s="154"/>
      <c r="BH180" s="154"/>
      <c r="BI180" s="154"/>
      <c r="BJ180" s="154"/>
      <c r="BK180" s="154"/>
      <c r="BL180" s="154"/>
      <c r="BM180" s="154"/>
      <c r="BN180" s="154"/>
      <c r="BO180" s="154"/>
      <c r="BP180" s="154"/>
      <c r="BQ180" s="154"/>
      <c r="BR180" s="154"/>
      <c r="BS180" s="154"/>
      <c r="BT180" s="154"/>
      <c r="BU180" s="154"/>
      <c r="BV180" s="154"/>
      <c r="BW180" s="154"/>
      <c r="BX180" s="154"/>
      <c r="BY180" s="154"/>
      <c r="BZ180" s="154"/>
      <c r="CA180" s="154"/>
      <c r="CB180" s="154"/>
      <c r="CC180" s="154"/>
      <c r="CD180" s="154"/>
      <c r="CE180" s="154"/>
      <c r="CF180" s="154"/>
      <c r="CG180" s="154"/>
      <c r="CH180" s="154"/>
      <c r="CI180" s="154"/>
      <c r="CJ180" s="154"/>
      <c r="CK180" s="154"/>
      <c r="CL180" s="154"/>
      <c r="CM180" s="154"/>
      <c r="CN180" s="154"/>
      <c r="CO180" s="154"/>
      <c r="CP180" s="154"/>
      <c r="CQ180" s="154"/>
      <c r="CR180" s="154"/>
      <c r="CS180" s="154"/>
      <c r="CT180" s="154"/>
      <c r="CU180" s="154"/>
      <c r="CV180" s="154"/>
      <c r="CW180" s="154"/>
      <c r="CX180" s="154"/>
      <c r="CY180" s="154"/>
      <c r="CZ180" s="154"/>
      <c r="DA180" s="154"/>
      <c r="DB180" s="154"/>
      <c r="DC180" s="154"/>
      <c r="DD180" s="154"/>
      <c r="DE180" s="154"/>
      <c r="DF180" s="154"/>
      <c r="DG180" s="154"/>
      <c r="DH180" s="154"/>
      <c r="DI180" s="154"/>
      <c r="DJ180" s="154"/>
      <c r="DK180" s="154"/>
      <c r="DL180" s="154"/>
      <c r="DM180" s="154"/>
      <c r="DN180" s="154"/>
      <c r="DO180" s="154"/>
      <c r="DP180" s="154"/>
      <c r="DQ180" s="154"/>
      <c r="DR180" s="154"/>
      <c r="DS180" s="154"/>
      <c r="DT180" s="154"/>
      <c r="DU180" s="154"/>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row>
    <row r="181" spans="2:153" ht="12.95" customHeight="1">
      <c r="B181" s="154"/>
      <c r="C181" s="380"/>
      <c r="D181" s="380"/>
      <c r="E181" s="154"/>
      <c r="F181" s="154"/>
      <c r="G181" s="154"/>
      <c r="H181" s="154"/>
      <c r="I181" s="154"/>
      <c r="J181" s="154"/>
      <c r="K181" s="154"/>
      <c r="L181" s="154"/>
      <c r="M181" s="154"/>
      <c r="N181" s="154"/>
      <c r="O181" s="154"/>
      <c r="P181" s="154"/>
      <c r="Q181" s="154"/>
      <c r="R181" s="154"/>
      <c r="S181" s="154"/>
      <c r="T181" s="154"/>
      <c r="U181" s="154"/>
      <c r="V181" s="154"/>
      <c r="W181" s="154"/>
      <c r="X181" s="154"/>
      <c r="Y181" s="154"/>
      <c r="Z181" s="154"/>
      <c r="AA181" s="154"/>
      <c r="AB181" s="154"/>
      <c r="AC181" s="154"/>
      <c r="AD181" s="154"/>
      <c r="AE181" s="154"/>
      <c r="AF181" s="367"/>
      <c r="AG181" s="368"/>
      <c r="AH181" s="368"/>
      <c r="AI181" s="368"/>
      <c r="AJ181" s="154"/>
      <c r="AK181" s="154"/>
      <c r="AL181" s="154"/>
      <c r="AM181" s="154"/>
      <c r="AN181" s="154"/>
      <c r="AO181" s="154"/>
      <c r="AP181" s="154"/>
      <c r="AQ181" s="154"/>
      <c r="AR181" s="154"/>
      <c r="AS181" s="154"/>
      <c r="AT181" s="154"/>
      <c r="AU181" s="154"/>
      <c r="AV181" s="154"/>
      <c r="AW181" s="154"/>
      <c r="AX181" s="154"/>
      <c r="AY181" s="154"/>
      <c r="AZ181" s="154"/>
      <c r="BA181" s="154"/>
      <c r="BB181" s="154"/>
      <c r="BC181" s="154"/>
      <c r="BD181" s="154"/>
      <c r="BE181" s="154"/>
      <c r="BF181" s="154"/>
      <c r="BG181" s="154"/>
      <c r="BH181" s="154"/>
      <c r="BI181" s="154"/>
      <c r="BJ181" s="154"/>
      <c r="BK181" s="154"/>
      <c r="BL181" s="154"/>
      <c r="BM181" s="154"/>
      <c r="BN181" s="154"/>
      <c r="BO181" s="154"/>
      <c r="BP181" s="154"/>
      <c r="BQ181" s="154"/>
      <c r="BR181" s="154"/>
      <c r="BS181" s="154"/>
      <c r="BT181" s="154"/>
      <c r="BU181" s="154"/>
      <c r="BV181" s="154"/>
      <c r="BW181" s="154"/>
      <c r="BX181" s="154"/>
      <c r="BY181" s="154"/>
      <c r="BZ181" s="154"/>
      <c r="CA181" s="154"/>
      <c r="CB181" s="154"/>
      <c r="CC181" s="154"/>
      <c r="CD181" s="154"/>
      <c r="CE181" s="154"/>
      <c r="CF181" s="154"/>
      <c r="CG181" s="154"/>
      <c r="CH181" s="154"/>
      <c r="CI181" s="154"/>
      <c r="CJ181" s="154"/>
      <c r="CK181" s="154"/>
      <c r="CL181" s="154"/>
      <c r="CM181" s="154"/>
      <c r="CN181" s="154"/>
      <c r="CO181" s="154"/>
      <c r="CP181" s="154"/>
      <c r="CQ181" s="154"/>
      <c r="CR181" s="154"/>
      <c r="CS181" s="154"/>
      <c r="CT181" s="154"/>
      <c r="CU181" s="154"/>
      <c r="CV181" s="154"/>
      <c r="CW181" s="154"/>
      <c r="CX181" s="154"/>
      <c r="CY181" s="154"/>
      <c r="CZ181" s="154"/>
      <c r="DA181" s="154"/>
      <c r="DB181" s="154"/>
      <c r="DC181" s="154"/>
      <c r="DD181" s="154"/>
      <c r="DE181" s="154"/>
      <c r="DF181" s="154"/>
      <c r="DG181" s="154"/>
      <c r="DH181" s="154"/>
      <c r="DI181" s="154"/>
      <c r="DJ181" s="154"/>
      <c r="DK181" s="154"/>
      <c r="DL181" s="154"/>
      <c r="DM181" s="154"/>
      <c r="DN181" s="154"/>
      <c r="DO181" s="154"/>
      <c r="DP181" s="154"/>
      <c r="DQ181" s="154"/>
      <c r="DR181" s="154"/>
      <c r="DS181" s="154"/>
      <c r="DT181" s="154"/>
      <c r="DU181" s="154"/>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row>
    <row r="182" spans="2:153" ht="12.95" customHeight="1">
      <c r="B182" s="154"/>
      <c r="C182" s="380"/>
      <c r="D182" s="380"/>
      <c r="E182" s="154"/>
      <c r="F182" s="154"/>
      <c r="G182" s="154"/>
      <c r="H182" s="154"/>
      <c r="I182" s="375"/>
      <c r="J182" s="154"/>
      <c r="K182" s="154"/>
      <c r="L182" s="154"/>
      <c r="M182" s="154"/>
      <c r="N182" s="154"/>
      <c r="O182" s="154"/>
      <c r="P182" s="154"/>
      <c r="Q182" s="154"/>
      <c r="R182" s="154"/>
      <c r="S182" s="154"/>
      <c r="T182" s="154"/>
      <c r="U182" s="154"/>
      <c r="V182" s="154"/>
      <c r="W182" s="154"/>
      <c r="X182" s="154"/>
      <c r="Y182" s="154"/>
      <c r="Z182" s="154"/>
      <c r="AA182" s="154"/>
      <c r="AB182" s="154"/>
      <c r="AC182" s="154"/>
      <c r="AD182" s="154"/>
      <c r="AE182" s="154"/>
      <c r="AF182" s="367"/>
      <c r="AG182" s="368"/>
      <c r="AH182" s="368"/>
      <c r="AI182" s="368"/>
      <c r="AJ182" s="154"/>
      <c r="AK182" s="154"/>
      <c r="AL182" s="154"/>
      <c r="AM182" s="154"/>
      <c r="AN182" s="154"/>
      <c r="AO182" s="154"/>
      <c r="AP182" s="154"/>
      <c r="AQ182" s="154"/>
      <c r="AR182" s="154"/>
      <c r="AS182" s="154"/>
      <c r="AT182" s="154"/>
      <c r="AU182" s="154"/>
      <c r="AV182" s="154"/>
      <c r="AW182" s="154"/>
      <c r="AX182" s="154"/>
      <c r="AY182" s="154"/>
      <c r="AZ182" s="154"/>
      <c r="BA182" s="154"/>
      <c r="BB182" s="154"/>
      <c r="BC182" s="154"/>
      <c r="BD182" s="154"/>
      <c r="BE182" s="154"/>
      <c r="BF182" s="154"/>
      <c r="BG182" s="154"/>
      <c r="BH182" s="154"/>
      <c r="BI182" s="154"/>
      <c r="BJ182" s="154"/>
      <c r="BK182" s="154"/>
      <c r="BL182" s="154"/>
      <c r="BM182" s="154"/>
      <c r="BN182" s="154"/>
      <c r="BO182" s="154"/>
      <c r="BP182" s="154"/>
      <c r="BQ182" s="154"/>
      <c r="BR182" s="154"/>
      <c r="BS182" s="154"/>
      <c r="BT182" s="154"/>
      <c r="BU182" s="154"/>
      <c r="BV182" s="154"/>
      <c r="BW182" s="154"/>
      <c r="BX182" s="154"/>
      <c r="BY182" s="154"/>
      <c r="BZ182" s="154"/>
      <c r="CA182" s="154"/>
      <c r="CB182" s="154"/>
      <c r="CC182" s="154"/>
      <c r="CD182" s="154"/>
      <c r="CE182" s="154"/>
      <c r="CF182" s="154"/>
      <c r="CG182" s="154"/>
      <c r="CH182" s="154"/>
      <c r="CI182" s="154"/>
      <c r="CJ182" s="154"/>
      <c r="CK182" s="154"/>
      <c r="CL182" s="154"/>
      <c r="CM182" s="154"/>
      <c r="CN182" s="154"/>
      <c r="CO182" s="154"/>
      <c r="CP182" s="154"/>
      <c r="CQ182" s="154"/>
      <c r="CR182" s="154"/>
      <c r="CS182" s="154"/>
      <c r="CT182" s="154"/>
      <c r="CU182" s="154"/>
      <c r="CV182" s="154"/>
      <c r="CW182" s="154"/>
      <c r="CX182" s="154"/>
      <c r="CY182" s="154"/>
      <c r="CZ182" s="154"/>
      <c r="DA182" s="154"/>
      <c r="DB182" s="154"/>
      <c r="DC182" s="154"/>
      <c r="DD182" s="154"/>
      <c r="DE182" s="154"/>
      <c r="DF182" s="154"/>
      <c r="DG182" s="154"/>
      <c r="DH182" s="154"/>
      <c r="DI182" s="154"/>
      <c r="DJ182" s="154"/>
      <c r="DK182" s="154"/>
      <c r="DL182" s="154"/>
      <c r="DM182" s="154"/>
      <c r="DN182" s="154"/>
      <c r="DO182" s="154"/>
      <c r="DP182" s="154"/>
      <c r="DQ182" s="154"/>
      <c r="DR182" s="154"/>
      <c r="DS182" s="154"/>
      <c r="DT182" s="154"/>
      <c r="DU182" s="154"/>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row>
    <row r="183" spans="2:153" ht="12.95" customHeight="1">
      <c r="B183" s="154"/>
      <c r="C183" s="380"/>
      <c r="D183" s="380"/>
      <c r="E183" s="154"/>
      <c r="F183" s="154"/>
      <c r="G183" s="154"/>
      <c r="H183" s="154"/>
      <c r="I183" s="154"/>
      <c r="J183" s="154"/>
      <c r="K183" s="154"/>
      <c r="L183" s="154"/>
      <c r="M183" s="154"/>
      <c r="N183" s="154"/>
      <c r="O183" s="154"/>
      <c r="P183" s="154"/>
      <c r="Q183" s="154"/>
      <c r="R183" s="154"/>
      <c r="S183" s="154"/>
      <c r="T183" s="154"/>
      <c r="U183" s="154"/>
      <c r="V183" s="154"/>
      <c r="W183" s="154"/>
      <c r="X183" s="154"/>
      <c r="Y183" s="154"/>
      <c r="Z183" s="154"/>
      <c r="AA183" s="154"/>
      <c r="AB183" s="154"/>
      <c r="AC183" s="154"/>
      <c r="AD183" s="154"/>
      <c r="AE183" s="154"/>
      <c r="AF183" s="367"/>
      <c r="AG183" s="368"/>
      <c r="AH183" s="368"/>
      <c r="AI183" s="368"/>
      <c r="AJ183" s="154"/>
      <c r="AK183" s="154"/>
      <c r="AL183" s="154"/>
      <c r="AM183" s="154"/>
      <c r="AN183" s="154"/>
      <c r="AO183" s="154"/>
      <c r="AP183" s="154"/>
      <c r="AQ183" s="154"/>
      <c r="AR183" s="154"/>
      <c r="AS183" s="154"/>
      <c r="AT183" s="154"/>
      <c r="AU183" s="154"/>
      <c r="AV183" s="154"/>
      <c r="AW183" s="154"/>
      <c r="AX183" s="154"/>
      <c r="AY183" s="154"/>
      <c r="AZ183" s="154"/>
      <c r="BA183" s="154"/>
      <c r="BB183" s="154"/>
      <c r="BC183" s="154"/>
      <c r="BD183" s="154"/>
      <c r="BE183" s="154"/>
      <c r="BF183" s="154"/>
      <c r="BG183" s="154"/>
      <c r="BH183" s="154"/>
      <c r="BI183" s="154"/>
      <c r="BJ183" s="154"/>
      <c r="BK183" s="154"/>
      <c r="BL183" s="154"/>
      <c r="BM183" s="154"/>
      <c r="BN183" s="154"/>
      <c r="BO183" s="154"/>
      <c r="BP183" s="154"/>
      <c r="BQ183" s="154"/>
      <c r="BR183" s="154"/>
      <c r="BS183" s="154"/>
      <c r="BT183" s="154"/>
      <c r="BU183" s="154"/>
      <c r="BV183" s="154"/>
      <c r="BW183" s="154"/>
      <c r="BX183" s="154"/>
      <c r="BY183" s="154"/>
      <c r="BZ183" s="154"/>
      <c r="CA183" s="154"/>
      <c r="CB183" s="154"/>
      <c r="CC183" s="154"/>
      <c r="CD183" s="154"/>
      <c r="CE183" s="154"/>
      <c r="CF183" s="154"/>
      <c r="CG183" s="154"/>
      <c r="CH183" s="154"/>
      <c r="CI183" s="154"/>
      <c r="CJ183" s="154"/>
      <c r="CK183" s="154"/>
      <c r="CL183" s="154"/>
      <c r="CM183" s="154"/>
      <c r="CN183" s="154"/>
      <c r="CO183" s="154"/>
      <c r="CP183" s="154"/>
      <c r="CQ183" s="154"/>
      <c r="CR183" s="154"/>
      <c r="CS183" s="154"/>
      <c r="CT183" s="154"/>
      <c r="CU183" s="154"/>
      <c r="CV183" s="154"/>
      <c r="CW183" s="154"/>
      <c r="CX183" s="154"/>
      <c r="CY183" s="154"/>
      <c r="CZ183" s="154"/>
      <c r="DA183" s="154"/>
      <c r="DB183" s="154"/>
      <c r="DC183" s="154"/>
      <c r="DD183" s="154"/>
      <c r="DE183" s="154"/>
      <c r="DF183" s="154"/>
      <c r="DG183" s="154"/>
      <c r="DH183" s="154"/>
      <c r="DI183" s="154"/>
      <c r="DJ183" s="154"/>
      <c r="DK183" s="154"/>
      <c r="DL183" s="154"/>
      <c r="DM183" s="154"/>
      <c r="DN183" s="154"/>
      <c r="DO183" s="154"/>
      <c r="DP183" s="154"/>
      <c r="DQ183" s="154"/>
      <c r="DR183" s="154"/>
      <c r="DS183" s="154"/>
      <c r="DT183" s="154"/>
      <c r="DU183" s="154"/>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row>
    <row r="184" spans="2:153" ht="12.95" customHeight="1">
      <c r="B184" s="154"/>
      <c r="C184" s="380"/>
      <c r="D184" s="380"/>
      <c r="E184" s="154"/>
      <c r="F184" s="154"/>
      <c r="G184" s="154"/>
      <c r="H184" s="154"/>
      <c r="I184" s="154"/>
      <c r="J184" s="154"/>
      <c r="K184" s="154"/>
      <c r="L184" s="154"/>
      <c r="M184" s="154"/>
      <c r="N184" s="154"/>
      <c r="O184" s="154"/>
      <c r="P184" s="154"/>
      <c r="Q184" s="154"/>
      <c r="R184" s="154"/>
      <c r="S184" s="154"/>
      <c r="T184" s="154"/>
      <c r="U184" s="154"/>
      <c r="V184" s="154"/>
      <c r="W184" s="154"/>
      <c r="X184" s="154"/>
      <c r="Y184" s="154"/>
      <c r="Z184" s="154"/>
      <c r="AA184" s="154"/>
      <c r="AB184" s="154"/>
      <c r="AC184" s="154"/>
      <c r="AD184" s="154"/>
      <c r="AE184" s="154"/>
      <c r="AF184" s="367"/>
      <c r="AG184" s="368"/>
      <c r="AH184" s="368"/>
      <c r="AI184" s="368"/>
      <c r="AJ184" s="154"/>
      <c r="AK184" s="154"/>
      <c r="AL184" s="154"/>
      <c r="AM184" s="154"/>
      <c r="AN184" s="154"/>
      <c r="AO184" s="154"/>
      <c r="AP184" s="154"/>
      <c r="AQ184" s="154"/>
      <c r="AR184" s="154"/>
      <c r="AS184" s="154"/>
      <c r="AT184" s="154"/>
      <c r="AU184" s="154"/>
      <c r="AV184" s="154"/>
      <c r="AW184" s="154"/>
      <c r="AX184" s="154"/>
      <c r="AY184" s="154"/>
      <c r="AZ184" s="154"/>
      <c r="BA184" s="154"/>
      <c r="BB184" s="154"/>
      <c r="BC184" s="154"/>
      <c r="BD184" s="154"/>
      <c r="BE184" s="154"/>
      <c r="BF184" s="154"/>
      <c r="BG184" s="154"/>
      <c r="BH184" s="154"/>
      <c r="BI184" s="154"/>
      <c r="BJ184" s="154"/>
      <c r="BK184" s="154"/>
      <c r="BL184" s="154"/>
      <c r="BM184" s="154"/>
      <c r="BN184" s="154"/>
      <c r="BO184" s="154"/>
      <c r="BP184" s="154"/>
      <c r="BQ184" s="154"/>
      <c r="BR184" s="154"/>
      <c r="BS184" s="154"/>
      <c r="BT184" s="154"/>
      <c r="BU184" s="154"/>
      <c r="BV184" s="154"/>
      <c r="BW184" s="154"/>
      <c r="BX184" s="154"/>
      <c r="BY184" s="154"/>
      <c r="BZ184" s="154"/>
      <c r="CA184" s="154"/>
      <c r="CB184" s="154"/>
      <c r="CC184" s="154"/>
      <c r="CD184" s="154"/>
      <c r="CE184" s="154"/>
      <c r="CF184" s="154"/>
      <c r="CG184" s="154"/>
      <c r="CH184" s="154"/>
      <c r="CI184" s="154"/>
      <c r="CJ184" s="154"/>
      <c r="CK184" s="154"/>
      <c r="CL184" s="154"/>
      <c r="CM184" s="154"/>
      <c r="CN184" s="154"/>
      <c r="CO184" s="154"/>
      <c r="CP184" s="154"/>
      <c r="CQ184" s="154"/>
      <c r="CR184" s="154"/>
      <c r="CS184" s="154"/>
      <c r="CT184" s="154"/>
      <c r="CU184" s="154"/>
      <c r="CV184" s="154"/>
      <c r="CW184" s="154"/>
      <c r="CX184" s="154"/>
      <c r="CY184" s="154"/>
      <c r="CZ184" s="154"/>
      <c r="DA184" s="154"/>
      <c r="DB184" s="154"/>
      <c r="DC184" s="154"/>
      <c r="DD184" s="154"/>
      <c r="DE184" s="154"/>
      <c r="DF184" s="154"/>
      <c r="DG184" s="154"/>
      <c r="DH184" s="154"/>
      <c r="DI184" s="154"/>
      <c r="DJ184" s="154"/>
      <c r="DK184" s="154"/>
      <c r="DL184" s="154"/>
      <c r="DM184" s="154"/>
      <c r="DN184" s="154"/>
      <c r="DO184" s="154"/>
      <c r="DP184" s="154"/>
      <c r="DQ184" s="154"/>
      <c r="DR184" s="154"/>
      <c r="DS184" s="154"/>
      <c r="DT184" s="154"/>
      <c r="DU184" s="154"/>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row>
    <row r="185" spans="2:153" ht="12.95" customHeight="1">
      <c r="B185" s="154"/>
      <c r="C185" s="380"/>
      <c r="D185" s="380"/>
      <c r="E185" s="154"/>
      <c r="F185" s="154"/>
      <c r="G185" s="154"/>
      <c r="H185" s="154"/>
      <c r="I185" s="154"/>
      <c r="J185" s="154"/>
      <c r="K185" s="154"/>
      <c r="L185" s="154"/>
      <c r="M185" s="154"/>
      <c r="N185" s="154"/>
      <c r="O185" s="154"/>
      <c r="P185" s="154"/>
      <c r="Q185" s="154"/>
      <c r="R185" s="154"/>
      <c r="S185" s="154"/>
      <c r="T185" s="154"/>
      <c r="U185" s="154"/>
      <c r="V185" s="154"/>
      <c r="W185" s="154"/>
      <c r="X185" s="154"/>
      <c r="Y185" s="154"/>
      <c r="Z185" s="154"/>
      <c r="AA185" s="154"/>
      <c r="AB185" s="154"/>
      <c r="AC185" s="154"/>
      <c r="AD185" s="154"/>
      <c r="AE185" s="154"/>
      <c r="AF185" s="367"/>
      <c r="AG185" s="368"/>
      <c r="AH185" s="368"/>
      <c r="AI185" s="368"/>
      <c r="AJ185" s="154"/>
      <c r="AK185" s="154"/>
      <c r="AL185" s="154"/>
      <c r="AM185" s="154"/>
      <c r="AN185" s="154"/>
      <c r="AO185" s="154"/>
      <c r="AP185" s="154"/>
      <c r="AQ185" s="154"/>
      <c r="AR185" s="154"/>
      <c r="AS185" s="154"/>
      <c r="AT185" s="154"/>
      <c r="AU185" s="154"/>
      <c r="AV185" s="154"/>
      <c r="AW185" s="154"/>
      <c r="AX185" s="154"/>
      <c r="AY185" s="154"/>
      <c r="AZ185" s="154"/>
      <c r="BA185" s="154"/>
      <c r="BB185" s="154"/>
      <c r="BC185" s="154"/>
      <c r="BD185" s="154"/>
      <c r="BE185" s="154"/>
      <c r="BF185" s="154"/>
      <c r="BG185" s="154"/>
      <c r="BH185" s="154"/>
      <c r="BI185" s="154"/>
      <c r="BJ185" s="154"/>
      <c r="BK185" s="154"/>
      <c r="BL185" s="154"/>
      <c r="BM185" s="154"/>
      <c r="BN185" s="154"/>
      <c r="BO185" s="154"/>
      <c r="BP185" s="154"/>
      <c r="BQ185" s="154"/>
      <c r="BR185" s="154"/>
      <c r="BS185" s="154"/>
      <c r="BT185" s="154"/>
      <c r="BU185" s="154"/>
      <c r="BV185" s="154"/>
      <c r="BW185" s="154"/>
      <c r="BX185" s="154"/>
      <c r="BY185" s="154"/>
      <c r="BZ185" s="154"/>
      <c r="CA185" s="154"/>
      <c r="CB185" s="154"/>
      <c r="CC185" s="154"/>
      <c r="CD185" s="154"/>
      <c r="CE185" s="154"/>
      <c r="CF185" s="154"/>
      <c r="CG185" s="154"/>
      <c r="CH185" s="154"/>
      <c r="CI185" s="154"/>
      <c r="CJ185" s="154"/>
      <c r="CK185" s="154"/>
      <c r="CL185" s="154"/>
      <c r="CM185" s="154"/>
      <c r="CN185" s="154"/>
      <c r="CO185" s="154"/>
      <c r="CP185" s="154"/>
      <c r="CQ185" s="154"/>
      <c r="CR185" s="154"/>
      <c r="CS185" s="154"/>
      <c r="CT185" s="154"/>
      <c r="CU185" s="154"/>
      <c r="CV185" s="154"/>
      <c r="CW185" s="154"/>
      <c r="CX185" s="154"/>
      <c r="CY185" s="154"/>
      <c r="CZ185" s="154"/>
      <c r="DA185" s="154"/>
      <c r="DB185" s="154"/>
      <c r="DC185" s="154"/>
      <c r="DD185" s="154"/>
      <c r="DE185" s="154"/>
      <c r="DF185" s="154"/>
      <c r="DG185" s="154"/>
      <c r="DH185" s="154"/>
      <c r="DI185" s="154"/>
      <c r="DJ185" s="154"/>
      <c r="DK185" s="154"/>
      <c r="DL185" s="154"/>
      <c r="DM185" s="154"/>
      <c r="DN185" s="154"/>
      <c r="DO185" s="154"/>
      <c r="DP185" s="154"/>
      <c r="DQ185" s="154"/>
      <c r="DR185" s="154"/>
      <c r="DS185" s="154"/>
      <c r="DT185" s="154"/>
      <c r="DU185" s="154"/>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row>
    <row r="186" spans="2:153" ht="12.95" customHeight="1">
      <c r="B186" s="154"/>
      <c r="C186" s="380"/>
      <c r="D186" s="380"/>
      <c r="E186" s="154"/>
      <c r="F186" s="154"/>
      <c r="G186" s="154"/>
      <c r="H186" s="154"/>
      <c r="I186" s="154"/>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367"/>
      <c r="AG186" s="368"/>
      <c r="AH186" s="368"/>
      <c r="AI186" s="368"/>
      <c r="AJ186" s="154"/>
      <c r="AK186" s="154"/>
      <c r="AL186" s="154"/>
      <c r="AM186" s="154"/>
      <c r="AN186" s="154"/>
      <c r="AO186" s="154"/>
      <c r="AP186" s="154"/>
      <c r="AQ186" s="154"/>
      <c r="AR186" s="154"/>
      <c r="AS186" s="154"/>
      <c r="AT186" s="154"/>
      <c r="AU186" s="154"/>
      <c r="AV186" s="154"/>
      <c r="AW186" s="154"/>
      <c r="AX186" s="154"/>
      <c r="AY186" s="154"/>
      <c r="AZ186" s="154"/>
      <c r="BA186" s="154"/>
      <c r="BB186" s="154"/>
      <c r="BC186" s="154"/>
      <c r="BD186" s="154"/>
      <c r="BE186" s="154"/>
      <c r="BF186" s="154"/>
      <c r="BG186" s="154"/>
      <c r="BH186" s="154"/>
      <c r="BI186" s="154"/>
      <c r="BJ186" s="154"/>
      <c r="BK186" s="154"/>
      <c r="BL186" s="154"/>
      <c r="BM186" s="154"/>
      <c r="BN186" s="154"/>
      <c r="BO186" s="154"/>
      <c r="BP186" s="154"/>
      <c r="BQ186" s="154"/>
      <c r="BR186" s="154"/>
      <c r="BS186" s="154"/>
      <c r="BT186" s="154"/>
      <c r="BU186" s="154"/>
      <c r="BV186" s="154"/>
      <c r="BW186" s="154"/>
      <c r="BX186" s="154"/>
      <c r="BY186" s="154"/>
      <c r="BZ186" s="154"/>
      <c r="CA186" s="154"/>
      <c r="CB186" s="154"/>
      <c r="CC186" s="154"/>
      <c r="CD186" s="154"/>
      <c r="CE186" s="154"/>
      <c r="CF186" s="154"/>
      <c r="CG186" s="154"/>
      <c r="CH186" s="154"/>
      <c r="CI186" s="154"/>
      <c r="CJ186" s="154"/>
      <c r="CK186" s="154"/>
      <c r="CL186" s="154"/>
      <c r="CM186" s="154"/>
      <c r="CN186" s="154"/>
      <c r="CO186" s="154"/>
      <c r="CP186" s="154"/>
      <c r="CQ186" s="154"/>
      <c r="CR186" s="154"/>
      <c r="CS186" s="154"/>
      <c r="CT186" s="154"/>
      <c r="CU186" s="154"/>
      <c r="CV186" s="154"/>
      <c r="CW186" s="154"/>
      <c r="CX186" s="154"/>
      <c r="CY186" s="154"/>
      <c r="CZ186" s="154"/>
      <c r="DA186" s="154"/>
      <c r="DB186" s="154"/>
      <c r="DC186" s="154"/>
      <c r="DD186" s="154"/>
      <c r="DE186" s="154"/>
      <c r="DF186" s="154"/>
      <c r="DG186" s="154"/>
      <c r="DH186" s="154"/>
      <c r="DI186" s="154"/>
      <c r="DJ186" s="154"/>
      <c r="DK186" s="154"/>
      <c r="DL186" s="154"/>
      <c r="DM186" s="154"/>
      <c r="DN186" s="154"/>
      <c r="DO186" s="154"/>
      <c r="DP186" s="154"/>
      <c r="DQ186" s="154"/>
      <c r="DR186" s="154"/>
      <c r="DS186" s="154"/>
      <c r="DT186" s="154"/>
      <c r="DU186" s="154"/>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row>
    <row r="187" spans="2:153" ht="12.95" customHeight="1">
      <c r="B187" s="154"/>
      <c r="C187" s="380"/>
      <c r="D187" s="380"/>
      <c r="E187" s="154"/>
      <c r="F187" s="154"/>
      <c r="G187" s="154"/>
      <c r="H187" s="154"/>
      <c r="I187" s="154"/>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367"/>
      <c r="AG187" s="368"/>
      <c r="AH187" s="368"/>
      <c r="AI187" s="368"/>
      <c r="AJ187" s="154"/>
      <c r="AK187" s="154"/>
      <c r="AL187" s="154"/>
      <c r="AM187" s="154"/>
      <c r="AN187" s="154"/>
      <c r="AO187" s="154"/>
      <c r="AP187" s="154"/>
      <c r="AQ187" s="154"/>
      <c r="AR187" s="154"/>
      <c r="AS187" s="154"/>
      <c r="AT187" s="154"/>
      <c r="AU187" s="154"/>
      <c r="AV187" s="154"/>
      <c r="AW187" s="154"/>
      <c r="AX187" s="154"/>
      <c r="AY187" s="154"/>
      <c r="AZ187" s="154"/>
      <c r="BA187" s="154"/>
      <c r="BB187" s="154"/>
      <c r="BC187" s="154"/>
      <c r="BD187" s="154"/>
      <c r="BE187" s="154"/>
      <c r="BF187" s="154"/>
      <c r="BG187" s="154"/>
      <c r="BH187" s="154"/>
      <c r="BI187" s="154"/>
      <c r="BJ187" s="154"/>
      <c r="BK187" s="154"/>
      <c r="BL187" s="154"/>
      <c r="BM187" s="154"/>
      <c r="BN187" s="154"/>
      <c r="BO187" s="154"/>
      <c r="BP187" s="154"/>
      <c r="BQ187" s="154"/>
      <c r="BR187" s="154"/>
      <c r="BS187" s="154"/>
      <c r="BT187" s="154"/>
      <c r="BU187" s="154"/>
      <c r="BV187" s="154"/>
      <c r="BW187" s="154"/>
      <c r="BX187" s="154"/>
      <c r="BY187" s="154"/>
      <c r="BZ187" s="154"/>
      <c r="CA187" s="154"/>
      <c r="CB187" s="154"/>
      <c r="CC187" s="154"/>
      <c r="CD187" s="154"/>
      <c r="CE187" s="154"/>
      <c r="CF187" s="154"/>
      <c r="CG187" s="154"/>
      <c r="CH187" s="154"/>
      <c r="CI187" s="154"/>
      <c r="CJ187" s="154"/>
      <c r="CK187" s="154"/>
      <c r="CL187" s="154"/>
      <c r="CM187" s="154"/>
      <c r="CN187" s="154"/>
      <c r="CO187" s="154"/>
      <c r="CP187" s="154"/>
      <c r="CQ187" s="154"/>
      <c r="CR187" s="154"/>
      <c r="CS187" s="154"/>
      <c r="CT187" s="154"/>
      <c r="CU187" s="154"/>
      <c r="CV187" s="154"/>
      <c r="CW187" s="154"/>
      <c r="CX187" s="154"/>
      <c r="CY187" s="154"/>
      <c r="CZ187" s="154"/>
      <c r="DA187" s="154"/>
      <c r="DB187" s="154"/>
      <c r="DC187" s="154"/>
      <c r="DD187" s="154"/>
      <c r="DE187" s="154"/>
      <c r="DF187" s="154"/>
      <c r="DG187" s="154"/>
      <c r="DH187" s="154"/>
      <c r="DI187" s="154"/>
      <c r="DJ187" s="154"/>
      <c r="DK187" s="154"/>
      <c r="DL187" s="154"/>
      <c r="DM187" s="154"/>
      <c r="DN187" s="154"/>
      <c r="DO187" s="154"/>
      <c r="DP187" s="154"/>
      <c r="DQ187" s="154"/>
      <c r="DR187" s="154"/>
      <c r="DS187" s="154"/>
      <c r="DT187" s="154"/>
      <c r="DU187" s="154"/>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row>
    <row r="188" spans="2:153" ht="12.95" customHeight="1">
      <c r="B188" s="154"/>
      <c r="C188" s="380"/>
      <c r="D188" s="380"/>
      <c r="E188" s="154"/>
      <c r="F188" s="154"/>
      <c r="G188" s="154"/>
      <c r="H188" s="154"/>
      <c r="I188" s="154"/>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367"/>
      <c r="AG188" s="368"/>
      <c r="AH188" s="368"/>
      <c r="AI188" s="368"/>
      <c r="AJ188" s="154"/>
      <c r="AK188" s="154"/>
      <c r="AL188" s="154"/>
      <c r="AM188" s="154"/>
      <c r="AN188" s="154"/>
      <c r="AO188" s="154"/>
      <c r="AP188" s="154"/>
      <c r="AQ188" s="154"/>
      <c r="AR188" s="154"/>
      <c r="AS188" s="154"/>
      <c r="AT188" s="154"/>
      <c r="AU188" s="154"/>
      <c r="AV188" s="154"/>
      <c r="AW188" s="154"/>
      <c r="AX188" s="154"/>
      <c r="AY188" s="154"/>
      <c r="AZ188" s="154"/>
      <c r="BA188" s="154"/>
      <c r="BB188" s="154"/>
      <c r="BC188" s="154"/>
      <c r="BD188" s="154"/>
      <c r="BE188" s="154"/>
      <c r="BF188" s="154"/>
      <c r="BG188" s="154"/>
      <c r="BH188" s="154"/>
      <c r="BI188" s="154"/>
      <c r="BJ188" s="154"/>
      <c r="BK188" s="154"/>
      <c r="BL188" s="154"/>
      <c r="BM188" s="154"/>
      <c r="BN188" s="154"/>
      <c r="BO188" s="154"/>
      <c r="BP188" s="154"/>
      <c r="BQ188" s="154"/>
      <c r="BR188" s="154"/>
      <c r="BS188" s="154"/>
      <c r="BT188" s="154"/>
      <c r="BU188" s="154"/>
      <c r="BV188" s="154"/>
      <c r="BW188" s="154"/>
      <c r="BX188" s="154"/>
      <c r="BY188" s="154"/>
      <c r="BZ188" s="154"/>
      <c r="CA188" s="154"/>
      <c r="CB188" s="154"/>
      <c r="CC188" s="154"/>
      <c r="CD188" s="154"/>
      <c r="CE188" s="154"/>
      <c r="CF188" s="154"/>
      <c r="CG188" s="154"/>
      <c r="CH188" s="154"/>
      <c r="CI188" s="154"/>
      <c r="CJ188" s="154"/>
      <c r="CK188" s="154"/>
      <c r="CL188" s="154"/>
      <c r="CM188" s="154"/>
      <c r="CN188" s="154"/>
      <c r="CO188" s="154"/>
      <c r="CP188" s="154"/>
      <c r="CQ188" s="154"/>
      <c r="CR188" s="154"/>
      <c r="CS188" s="154"/>
      <c r="CT188" s="154"/>
      <c r="CU188" s="154"/>
      <c r="CV188" s="154"/>
      <c r="CW188" s="154"/>
      <c r="CX188" s="154"/>
      <c r="CY188" s="154"/>
      <c r="CZ188" s="154"/>
      <c r="DA188" s="154"/>
      <c r="DB188" s="154"/>
      <c r="DC188" s="154"/>
      <c r="DD188" s="154"/>
      <c r="DE188" s="154"/>
      <c r="DF188" s="154"/>
      <c r="DG188" s="154"/>
      <c r="DH188" s="154"/>
      <c r="DI188" s="154"/>
      <c r="DJ188" s="154"/>
      <c r="DK188" s="154"/>
      <c r="DL188" s="154"/>
      <c r="DM188" s="154"/>
      <c r="DN188" s="154"/>
      <c r="DO188" s="154"/>
      <c r="DP188" s="154"/>
      <c r="DQ188" s="154"/>
      <c r="DR188" s="154"/>
      <c r="DS188" s="154"/>
      <c r="DT188" s="154"/>
      <c r="DU188" s="154"/>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row>
    <row r="189" spans="2:153" ht="12.95" customHeight="1">
      <c r="B189" s="154"/>
      <c r="C189" s="380"/>
      <c r="D189" s="380"/>
      <c r="E189" s="154"/>
      <c r="F189" s="154"/>
      <c r="G189" s="154"/>
      <c r="H189" s="154"/>
      <c r="I189" s="154"/>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367"/>
      <c r="AG189" s="368"/>
      <c r="AH189" s="368"/>
      <c r="AI189" s="368"/>
      <c r="AJ189" s="154"/>
      <c r="AK189" s="154"/>
      <c r="AL189" s="154"/>
      <c r="AM189" s="154"/>
      <c r="AN189" s="154"/>
      <c r="AO189" s="154"/>
      <c r="AP189" s="154"/>
      <c r="AQ189" s="154"/>
      <c r="AR189" s="154"/>
      <c r="AS189" s="154"/>
      <c r="AT189" s="154"/>
      <c r="AU189" s="154"/>
      <c r="AV189" s="154"/>
      <c r="AW189" s="154"/>
      <c r="AX189" s="154"/>
      <c r="AY189" s="154"/>
      <c r="AZ189" s="154"/>
      <c r="BA189" s="154"/>
      <c r="BB189" s="154"/>
      <c r="BC189" s="154"/>
      <c r="BD189" s="154"/>
      <c r="BE189" s="154"/>
      <c r="BF189" s="154"/>
      <c r="BG189" s="154"/>
      <c r="BH189" s="154"/>
      <c r="BI189" s="154"/>
      <c r="BJ189" s="154"/>
      <c r="BK189" s="154"/>
      <c r="BL189" s="154"/>
      <c r="BM189" s="154"/>
      <c r="BN189" s="154"/>
      <c r="BO189" s="154"/>
      <c r="BP189" s="154"/>
      <c r="BQ189" s="154"/>
      <c r="BR189" s="154"/>
      <c r="BS189" s="154"/>
      <c r="BT189" s="154"/>
      <c r="BU189" s="154"/>
      <c r="BV189" s="154"/>
      <c r="BW189" s="154"/>
      <c r="BX189" s="154"/>
      <c r="BY189" s="154"/>
      <c r="BZ189" s="154"/>
      <c r="CA189" s="154"/>
      <c r="CB189" s="154"/>
      <c r="CC189" s="154"/>
      <c r="CD189" s="154"/>
      <c r="CE189" s="154"/>
      <c r="CF189" s="154"/>
      <c r="CG189" s="154"/>
      <c r="CH189" s="154"/>
      <c r="CI189" s="154"/>
      <c r="CJ189" s="154"/>
      <c r="CK189" s="154"/>
      <c r="CL189" s="154"/>
      <c r="CM189" s="154"/>
      <c r="CN189" s="154"/>
      <c r="CO189" s="154"/>
      <c r="CP189" s="154"/>
      <c r="CQ189" s="154"/>
      <c r="CR189" s="154"/>
      <c r="CS189" s="154"/>
      <c r="CT189" s="154"/>
      <c r="CU189" s="154"/>
      <c r="CV189" s="154"/>
      <c r="CW189" s="154"/>
      <c r="CX189" s="154"/>
      <c r="CY189" s="154"/>
      <c r="CZ189" s="154"/>
      <c r="DA189" s="154"/>
      <c r="DB189" s="154"/>
      <c r="DC189" s="154"/>
      <c r="DD189" s="154"/>
      <c r="DE189" s="154"/>
      <c r="DF189" s="154"/>
      <c r="DG189" s="154"/>
      <c r="DH189" s="154"/>
      <c r="DI189" s="154"/>
      <c r="DJ189" s="154"/>
      <c r="DK189" s="154"/>
      <c r="DL189" s="154"/>
      <c r="DM189" s="154"/>
      <c r="DN189" s="154"/>
      <c r="DO189" s="154"/>
      <c r="DP189" s="154"/>
      <c r="DQ189" s="154"/>
      <c r="DR189" s="154"/>
      <c r="DS189" s="154"/>
      <c r="DT189" s="154"/>
      <c r="DU189" s="154"/>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row>
    <row r="190" spans="2:153" ht="12.95" customHeight="1">
      <c r="B190" s="154"/>
      <c r="C190" s="380"/>
      <c r="D190" s="380"/>
      <c r="E190" s="154"/>
      <c r="F190" s="154"/>
      <c r="G190" s="154"/>
      <c r="H190" s="154"/>
      <c r="I190" s="154"/>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367"/>
      <c r="AG190" s="368"/>
      <c r="AH190" s="368"/>
      <c r="AI190" s="368"/>
      <c r="AJ190" s="154"/>
      <c r="AK190" s="154"/>
      <c r="AL190" s="154"/>
      <c r="AM190" s="154"/>
      <c r="AN190" s="154"/>
      <c r="AO190" s="154"/>
      <c r="AP190" s="154"/>
      <c r="AQ190" s="154"/>
      <c r="AR190" s="154"/>
      <c r="AS190" s="154"/>
      <c r="AT190" s="154"/>
      <c r="AU190" s="154"/>
      <c r="AV190" s="154"/>
      <c r="AW190" s="154"/>
      <c r="AX190" s="154"/>
      <c r="AY190" s="154"/>
      <c r="AZ190" s="154"/>
      <c r="BA190" s="154"/>
      <c r="BB190" s="154"/>
      <c r="BC190" s="154"/>
      <c r="BD190" s="154"/>
      <c r="BE190" s="154"/>
      <c r="BF190" s="154"/>
      <c r="BG190" s="154"/>
      <c r="BH190" s="154"/>
      <c r="BI190" s="154"/>
      <c r="BJ190" s="154"/>
      <c r="BK190" s="154"/>
      <c r="BL190" s="154"/>
      <c r="BM190" s="154"/>
      <c r="BN190" s="154"/>
      <c r="BO190" s="154"/>
      <c r="BP190" s="154"/>
      <c r="BQ190" s="154"/>
      <c r="BR190" s="154"/>
      <c r="BS190" s="154"/>
      <c r="BT190" s="154"/>
      <c r="BU190" s="154"/>
      <c r="BV190" s="154"/>
      <c r="BW190" s="154"/>
      <c r="BX190" s="154"/>
      <c r="BY190" s="154"/>
      <c r="BZ190" s="154"/>
      <c r="CA190" s="154"/>
      <c r="CB190" s="154"/>
      <c r="CC190" s="154"/>
      <c r="CD190" s="154"/>
      <c r="CE190" s="154"/>
      <c r="CF190" s="154"/>
      <c r="CG190" s="154"/>
      <c r="CH190" s="154"/>
      <c r="CI190" s="154"/>
      <c r="CJ190" s="154"/>
      <c r="CK190" s="154"/>
      <c r="CL190" s="154"/>
      <c r="CM190" s="154"/>
      <c r="CN190" s="154"/>
      <c r="CO190" s="154"/>
      <c r="CP190" s="154"/>
      <c r="CQ190" s="154"/>
      <c r="CR190" s="154"/>
      <c r="CS190" s="154"/>
      <c r="CT190" s="154"/>
      <c r="CU190" s="154"/>
      <c r="CV190" s="154"/>
      <c r="CW190" s="154"/>
      <c r="CX190" s="154"/>
      <c r="CY190" s="154"/>
      <c r="CZ190" s="154"/>
      <c r="DA190" s="154"/>
      <c r="DB190" s="154"/>
      <c r="DC190" s="154"/>
      <c r="DD190" s="154"/>
      <c r="DE190" s="154"/>
      <c r="DF190" s="154"/>
      <c r="DG190" s="154"/>
      <c r="DH190" s="154"/>
      <c r="DI190" s="154"/>
      <c r="DJ190" s="154"/>
      <c r="DK190" s="154"/>
      <c r="DL190" s="154"/>
      <c r="DM190" s="154"/>
      <c r="DN190" s="154"/>
      <c r="DO190" s="154"/>
      <c r="DP190" s="154"/>
      <c r="DQ190" s="154"/>
      <c r="DR190" s="154"/>
      <c r="DS190" s="154"/>
      <c r="DT190" s="154"/>
      <c r="DU190" s="154"/>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row>
    <row r="191" spans="2:153" ht="12.95" customHeight="1">
      <c r="B191" s="154"/>
      <c r="C191" s="380"/>
      <c r="D191" s="380"/>
      <c r="E191" s="154"/>
      <c r="F191" s="154"/>
      <c r="G191" s="154"/>
      <c r="H191" s="154"/>
      <c r="I191" s="154"/>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367"/>
      <c r="AG191" s="368"/>
      <c r="AH191" s="368"/>
      <c r="AI191" s="368"/>
      <c r="AJ191" s="154"/>
      <c r="AK191" s="154"/>
      <c r="AL191" s="154"/>
      <c r="AM191" s="154"/>
      <c r="AN191" s="154"/>
      <c r="AO191" s="154"/>
      <c r="AP191" s="154"/>
      <c r="AQ191" s="154"/>
      <c r="AR191" s="154"/>
      <c r="AS191" s="154"/>
      <c r="AT191" s="154"/>
      <c r="AU191" s="154"/>
      <c r="AV191" s="154"/>
      <c r="AW191" s="154"/>
      <c r="AX191" s="154"/>
      <c r="AY191" s="154"/>
      <c r="AZ191" s="154"/>
      <c r="BA191" s="154"/>
      <c r="BB191" s="154"/>
      <c r="BC191" s="154"/>
      <c r="BD191" s="154"/>
      <c r="BE191" s="154"/>
      <c r="BF191" s="154"/>
      <c r="BG191" s="154"/>
      <c r="BH191" s="154"/>
      <c r="BI191" s="154"/>
      <c r="BJ191" s="154"/>
      <c r="BK191" s="154"/>
      <c r="BL191" s="154"/>
      <c r="BM191" s="154"/>
      <c r="BN191" s="154"/>
      <c r="BO191" s="154"/>
      <c r="BP191" s="154"/>
      <c r="BQ191" s="154"/>
      <c r="BR191" s="154"/>
      <c r="BS191" s="154"/>
      <c r="BT191" s="154"/>
      <c r="BU191" s="154"/>
      <c r="BV191" s="154"/>
      <c r="BW191" s="154"/>
      <c r="BX191" s="154"/>
      <c r="BY191" s="154"/>
      <c r="BZ191" s="154"/>
      <c r="CA191" s="154"/>
      <c r="CB191" s="154"/>
      <c r="CC191" s="154"/>
      <c r="CD191" s="154"/>
      <c r="CE191" s="154"/>
      <c r="CF191" s="154"/>
      <c r="CG191" s="154"/>
      <c r="CH191" s="154"/>
      <c r="CI191" s="154"/>
      <c r="CJ191" s="154"/>
      <c r="CK191" s="154"/>
      <c r="CL191" s="154"/>
      <c r="CM191" s="154"/>
      <c r="CN191" s="154"/>
      <c r="CO191" s="154"/>
      <c r="CP191" s="154"/>
      <c r="CQ191" s="154"/>
      <c r="CR191" s="154"/>
      <c r="CS191" s="154"/>
      <c r="CT191" s="154"/>
      <c r="CU191" s="154"/>
      <c r="CV191" s="154"/>
      <c r="CW191" s="154"/>
      <c r="CX191" s="154"/>
      <c r="CY191" s="154"/>
      <c r="CZ191" s="154"/>
      <c r="DA191" s="154"/>
      <c r="DB191" s="154"/>
      <c r="DC191" s="154"/>
      <c r="DD191" s="154"/>
      <c r="DE191" s="154"/>
      <c r="DF191" s="154"/>
      <c r="DG191" s="154"/>
      <c r="DH191" s="154"/>
      <c r="DI191" s="154"/>
      <c r="DJ191" s="154"/>
      <c r="DK191" s="154"/>
      <c r="DL191" s="154"/>
      <c r="DM191" s="154"/>
      <c r="DN191" s="154"/>
      <c r="DO191" s="154"/>
      <c r="DP191" s="154"/>
      <c r="DQ191" s="154"/>
      <c r="DR191" s="154"/>
      <c r="DS191" s="154"/>
      <c r="DT191" s="154"/>
      <c r="DU191" s="154"/>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row>
    <row r="192" spans="2:153" ht="12.95" customHeight="1">
      <c r="B192" s="154"/>
      <c r="C192" s="380"/>
      <c r="D192" s="380"/>
      <c r="E192" s="154"/>
      <c r="F192" s="154"/>
      <c r="G192" s="154"/>
      <c r="H192" s="154"/>
      <c r="I192" s="154"/>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367"/>
      <c r="AG192" s="368"/>
      <c r="AH192" s="368"/>
      <c r="AI192" s="368"/>
      <c r="AJ192" s="154"/>
      <c r="AK192" s="154"/>
      <c r="AL192" s="154"/>
      <c r="AM192" s="154"/>
      <c r="AN192" s="154"/>
      <c r="AO192" s="154"/>
      <c r="AP192" s="154"/>
      <c r="AQ192" s="154"/>
      <c r="AR192" s="154"/>
      <c r="AS192" s="154"/>
      <c r="AT192" s="154"/>
      <c r="AU192" s="154"/>
      <c r="AV192" s="154"/>
      <c r="AW192" s="154"/>
      <c r="AX192" s="154"/>
      <c r="AY192" s="154"/>
      <c r="AZ192" s="154"/>
      <c r="BA192" s="154"/>
      <c r="BB192" s="154"/>
      <c r="BC192" s="154"/>
      <c r="BD192" s="154"/>
      <c r="BE192" s="154"/>
      <c r="BF192" s="154"/>
      <c r="BG192" s="154"/>
      <c r="BH192" s="154"/>
      <c r="BI192" s="154"/>
      <c r="BJ192" s="154"/>
      <c r="BK192" s="154"/>
      <c r="BL192" s="154"/>
      <c r="BM192" s="154"/>
      <c r="BN192" s="154"/>
      <c r="BO192" s="154"/>
      <c r="BP192" s="154"/>
      <c r="BQ192" s="154"/>
      <c r="BR192" s="154"/>
      <c r="BS192" s="154"/>
      <c r="BT192" s="154"/>
      <c r="BU192" s="154"/>
      <c r="BV192" s="154"/>
      <c r="BW192" s="154"/>
      <c r="BX192" s="154"/>
      <c r="BY192" s="154"/>
      <c r="BZ192" s="154"/>
      <c r="CA192" s="154"/>
      <c r="CB192" s="154"/>
      <c r="CC192" s="154"/>
      <c r="CD192" s="154"/>
      <c r="CE192" s="154"/>
      <c r="CF192" s="154"/>
      <c r="CG192" s="154"/>
      <c r="CH192" s="154"/>
      <c r="CI192" s="154"/>
      <c r="CJ192" s="154"/>
      <c r="CK192" s="154"/>
      <c r="CL192" s="154"/>
      <c r="CM192" s="154"/>
      <c r="CN192" s="154"/>
      <c r="CO192" s="154"/>
      <c r="CP192" s="154"/>
      <c r="CQ192" s="154"/>
      <c r="CR192" s="154"/>
      <c r="CS192" s="154"/>
      <c r="CT192" s="154"/>
      <c r="CU192" s="154"/>
      <c r="CV192" s="154"/>
      <c r="CW192" s="154"/>
      <c r="CX192" s="154"/>
      <c r="CY192" s="154"/>
      <c r="CZ192" s="154"/>
      <c r="DA192" s="154"/>
      <c r="DB192" s="154"/>
      <c r="DC192" s="154"/>
      <c r="DD192" s="154"/>
      <c r="DE192" s="154"/>
      <c r="DF192" s="154"/>
      <c r="DG192" s="154"/>
      <c r="DH192" s="154"/>
      <c r="DI192" s="154"/>
      <c r="DJ192" s="154"/>
      <c r="DK192" s="154"/>
      <c r="DL192" s="154"/>
      <c r="DM192" s="154"/>
      <c r="DN192" s="154"/>
      <c r="DO192" s="154"/>
      <c r="DP192" s="154"/>
      <c r="DQ192" s="154"/>
      <c r="DR192" s="154"/>
      <c r="DS192" s="154"/>
      <c r="DT192" s="154"/>
      <c r="DU192" s="154"/>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row>
    <row r="193" spans="2:153" ht="12.95" customHeight="1">
      <c r="B193" s="154"/>
      <c r="C193" s="380"/>
      <c r="D193" s="380"/>
      <c r="E193" s="154"/>
      <c r="F193" s="154"/>
      <c r="G193" s="154"/>
      <c r="H193" s="154"/>
      <c r="I193" s="154"/>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367"/>
      <c r="AG193" s="368"/>
      <c r="AH193" s="368"/>
      <c r="AI193" s="368"/>
      <c r="AJ193" s="154"/>
      <c r="AK193" s="154"/>
      <c r="AL193" s="154"/>
      <c r="AM193" s="154"/>
      <c r="AN193" s="154"/>
      <c r="AO193" s="154"/>
      <c r="AP193" s="154"/>
      <c r="AQ193" s="154"/>
      <c r="AR193" s="154"/>
      <c r="AS193" s="154"/>
      <c r="AT193" s="154"/>
      <c r="AU193" s="154"/>
      <c r="AV193" s="154"/>
      <c r="AW193" s="154"/>
      <c r="AX193" s="154"/>
      <c r="AY193" s="154"/>
      <c r="AZ193" s="154"/>
      <c r="BA193" s="154"/>
      <c r="BB193" s="154"/>
      <c r="BC193" s="154"/>
      <c r="BD193" s="154"/>
      <c r="BE193" s="154"/>
      <c r="BF193" s="154"/>
      <c r="BG193" s="154"/>
      <c r="BH193" s="154"/>
      <c r="BI193" s="154"/>
      <c r="BJ193" s="154"/>
      <c r="BK193" s="154"/>
      <c r="BL193" s="154"/>
      <c r="BM193" s="154"/>
      <c r="BN193" s="154"/>
      <c r="BO193" s="154"/>
      <c r="BP193" s="154"/>
      <c r="BQ193" s="154"/>
      <c r="BR193" s="154"/>
      <c r="BS193" s="154"/>
      <c r="BT193" s="154"/>
      <c r="BU193" s="154"/>
      <c r="BV193" s="154"/>
      <c r="BW193" s="154"/>
      <c r="BX193" s="154"/>
      <c r="BY193" s="154"/>
      <c r="BZ193" s="154"/>
      <c r="CA193" s="154"/>
      <c r="CB193" s="154"/>
      <c r="CC193" s="154"/>
      <c r="CD193" s="154"/>
      <c r="CE193" s="154"/>
      <c r="CF193" s="154"/>
      <c r="CG193" s="154"/>
      <c r="CH193" s="154"/>
      <c r="CI193" s="154"/>
      <c r="CJ193" s="154"/>
      <c r="CK193" s="154"/>
      <c r="CL193" s="154"/>
      <c r="CM193" s="154"/>
      <c r="CN193" s="154"/>
      <c r="CO193" s="154"/>
      <c r="CP193" s="154"/>
      <c r="CQ193" s="154"/>
      <c r="CR193" s="154"/>
      <c r="CS193" s="154"/>
      <c r="CT193" s="154"/>
      <c r="CU193" s="154"/>
      <c r="CV193" s="154"/>
      <c r="CW193" s="154"/>
      <c r="CX193" s="154"/>
      <c r="CY193" s="154"/>
      <c r="CZ193" s="154"/>
      <c r="DA193" s="154"/>
      <c r="DB193" s="154"/>
      <c r="DC193" s="154"/>
      <c r="DD193" s="154"/>
      <c r="DE193" s="154"/>
      <c r="DF193" s="154"/>
      <c r="DG193" s="154"/>
      <c r="DH193" s="154"/>
      <c r="DI193" s="154"/>
      <c r="DJ193" s="154"/>
      <c r="DK193" s="154"/>
      <c r="DL193" s="154"/>
      <c r="DM193" s="154"/>
      <c r="DN193" s="154"/>
      <c r="DO193" s="154"/>
      <c r="DP193" s="154"/>
      <c r="DQ193" s="154"/>
      <c r="DR193" s="154"/>
      <c r="DS193" s="154"/>
      <c r="DT193" s="154"/>
      <c r="DU193" s="154"/>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row>
    <row r="194" spans="2:153" ht="12.95" customHeight="1">
      <c r="B194" s="154"/>
      <c r="C194" s="380"/>
      <c r="D194" s="380"/>
      <c r="E194" s="154"/>
      <c r="F194" s="154"/>
      <c r="G194" s="154"/>
      <c r="H194" s="154"/>
      <c r="I194" s="154"/>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367"/>
      <c r="AG194" s="368"/>
      <c r="AH194" s="368"/>
      <c r="AI194" s="368"/>
      <c r="AJ194" s="154"/>
      <c r="AK194" s="154"/>
      <c r="AL194" s="154"/>
      <c r="AM194" s="154"/>
      <c r="AN194" s="154"/>
      <c r="AO194" s="154"/>
      <c r="AP194" s="154"/>
      <c r="AQ194" s="154"/>
      <c r="AR194" s="154"/>
      <c r="AS194" s="154"/>
      <c r="AT194" s="154"/>
      <c r="AU194" s="154"/>
      <c r="AV194" s="154"/>
      <c r="AW194" s="154"/>
      <c r="AX194" s="154"/>
      <c r="AY194" s="154"/>
      <c r="AZ194" s="154"/>
      <c r="BA194" s="154"/>
      <c r="BB194" s="154"/>
      <c r="BC194" s="154"/>
      <c r="BD194" s="154"/>
      <c r="BE194" s="154"/>
      <c r="BF194" s="154"/>
      <c r="BG194" s="154"/>
      <c r="BH194" s="154"/>
      <c r="BI194" s="154"/>
      <c r="BJ194" s="154"/>
      <c r="BK194" s="154"/>
      <c r="BL194" s="154"/>
      <c r="BM194" s="154"/>
      <c r="BN194" s="154"/>
      <c r="BO194" s="154"/>
      <c r="BP194" s="154"/>
      <c r="BQ194" s="154"/>
      <c r="BR194" s="154"/>
      <c r="BS194" s="154"/>
      <c r="BT194" s="154"/>
      <c r="BU194" s="154"/>
      <c r="BV194" s="154"/>
      <c r="BW194" s="154"/>
      <c r="BX194" s="154"/>
      <c r="BY194" s="154"/>
      <c r="BZ194" s="154"/>
      <c r="CA194" s="154"/>
      <c r="CB194" s="154"/>
      <c r="CC194" s="154"/>
      <c r="CD194" s="154"/>
      <c r="CE194" s="154"/>
      <c r="CF194" s="154"/>
      <c r="CG194" s="154"/>
      <c r="CH194" s="154"/>
      <c r="CI194" s="154"/>
      <c r="CJ194" s="154"/>
      <c r="CK194" s="154"/>
      <c r="CL194" s="154"/>
      <c r="CM194" s="154"/>
      <c r="CN194" s="154"/>
      <c r="CO194" s="154"/>
      <c r="CP194" s="154"/>
      <c r="CQ194" s="154"/>
      <c r="CR194" s="154"/>
      <c r="CS194" s="154"/>
      <c r="CT194" s="154"/>
      <c r="CU194" s="154"/>
      <c r="CV194" s="154"/>
      <c r="CW194" s="154"/>
      <c r="CX194" s="154"/>
      <c r="CY194" s="154"/>
      <c r="CZ194" s="154"/>
      <c r="DA194" s="154"/>
      <c r="DB194" s="154"/>
      <c r="DC194" s="154"/>
      <c r="DD194" s="154"/>
      <c r="DE194" s="154"/>
      <c r="DF194" s="154"/>
      <c r="DG194" s="154"/>
      <c r="DH194" s="154"/>
      <c r="DI194" s="154"/>
      <c r="DJ194" s="154"/>
      <c r="DK194" s="154"/>
      <c r="DL194" s="154"/>
      <c r="DM194" s="154"/>
      <c r="DN194" s="154"/>
      <c r="DO194" s="154"/>
      <c r="DP194" s="154"/>
      <c r="DQ194" s="154"/>
      <c r="DR194" s="154"/>
      <c r="DS194" s="154"/>
      <c r="DT194" s="154"/>
      <c r="DU194" s="154"/>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row>
    <row r="195" spans="2:153" ht="12.95" customHeight="1">
      <c r="B195" s="154"/>
      <c r="C195" s="380"/>
      <c r="D195" s="380"/>
      <c r="E195" s="154"/>
      <c r="F195" s="154"/>
      <c r="G195" s="154"/>
      <c r="H195" s="154"/>
      <c r="I195" s="154"/>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367"/>
      <c r="AG195" s="368"/>
      <c r="AH195" s="368"/>
      <c r="AI195" s="368"/>
      <c r="AJ195" s="154"/>
      <c r="AK195" s="154"/>
      <c r="AL195" s="154"/>
      <c r="AM195" s="154"/>
      <c r="AN195" s="154"/>
      <c r="AO195" s="154"/>
      <c r="AP195" s="154"/>
      <c r="AQ195" s="154"/>
      <c r="AR195" s="154"/>
      <c r="AS195" s="154"/>
      <c r="AT195" s="154"/>
      <c r="AU195" s="154"/>
      <c r="AV195" s="154"/>
      <c r="AW195" s="154"/>
      <c r="AX195" s="154"/>
      <c r="AY195" s="154"/>
      <c r="AZ195" s="154"/>
      <c r="BA195" s="154"/>
      <c r="BB195" s="154"/>
      <c r="BC195" s="154"/>
      <c r="BD195" s="154"/>
      <c r="BE195" s="154"/>
      <c r="BF195" s="154"/>
      <c r="BG195" s="154"/>
      <c r="BH195" s="154"/>
      <c r="BI195" s="154"/>
      <c r="BJ195" s="154"/>
      <c r="BK195" s="154"/>
      <c r="BL195" s="154"/>
      <c r="BM195" s="154"/>
      <c r="BN195" s="154"/>
      <c r="BO195" s="154"/>
      <c r="BP195" s="154"/>
      <c r="BQ195" s="154"/>
      <c r="BR195" s="154"/>
      <c r="BS195" s="154"/>
      <c r="BT195" s="154"/>
      <c r="BU195" s="154"/>
      <c r="BV195" s="154"/>
      <c r="BW195" s="154"/>
      <c r="BX195" s="154"/>
      <c r="BY195" s="154"/>
      <c r="BZ195" s="154"/>
      <c r="CA195" s="154"/>
      <c r="CB195" s="154"/>
      <c r="CC195" s="154"/>
      <c r="CD195" s="154"/>
      <c r="CE195" s="154"/>
      <c r="CF195" s="154"/>
      <c r="CG195" s="154"/>
      <c r="CH195" s="154"/>
      <c r="CI195" s="154"/>
      <c r="CJ195" s="154"/>
      <c r="CK195" s="154"/>
      <c r="CL195" s="154"/>
      <c r="CM195" s="154"/>
      <c r="CN195" s="154"/>
      <c r="CO195" s="154"/>
      <c r="CP195" s="154"/>
      <c r="CQ195" s="154"/>
      <c r="CR195" s="154"/>
      <c r="CS195" s="154"/>
      <c r="CT195" s="154"/>
      <c r="CU195" s="154"/>
      <c r="CV195" s="154"/>
      <c r="CW195" s="154"/>
      <c r="CX195" s="154"/>
      <c r="CY195" s="154"/>
      <c r="CZ195" s="154"/>
      <c r="DA195" s="154"/>
      <c r="DB195" s="154"/>
      <c r="DC195" s="154"/>
      <c r="DD195" s="154"/>
      <c r="DE195" s="154"/>
      <c r="DF195" s="154"/>
      <c r="DG195" s="154"/>
      <c r="DH195" s="154"/>
      <c r="DI195" s="154"/>
      <c r="DJ195" s="154"/>
      <c r="DK195" s="154"/>
      <c r="DL195" s="154"/>
      <c r="DM195" s="154"/>
      <c r="DN195" s="154"/>
      <c r="DO195" s="154"/>
      <c r="DP195" s="154"/>
      <c r="DQ195" s="154"/>
      <c r="DR195" s="154"/>
      <c r="DS195" s="154"/>
      <c r="DT195" s="154"/>
      <c r="DU195" s="154"/>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row>
    <row r="196" spans="2:153" ht="12.95" customHeight="1">
      <c r="B196" s="154"/>
      <c r="C196" s="380"/>
      <c r="D196" s="380"/>
      <c r="E196" s="154"/>
      <c r="F196" s="154"/>
      <c r="G196" s="154"/>
      <c r="H196" s="154"/>
      <c r="I196" s="154"/>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367"/>
      <c r="AG196" s="368"/>
      <c r="AH196" s="368"/>
      <c r="AI196" s="368"/>
      <c r="AJ196" s="154"/>
      <c r="AK196" s="154"/>
      <c r="AL196" s="154"/>
      <c r="AM196" s="154"/>
      <c r="AN196" s="154"/>
      <c r="AO196" s="154"/>
      <c r="AP196" s="154"/>
      <c r="AQ196" s="154"/>
      <c r="AR196" s="154"/>
      <c r="AS196" s="154"/>
      <c r="AT196" s="154"/>
      <c r="AU196" s="154"/>
      <c r="AV196" s="154"/>
      <c r="AW196" s="154"/>
      <c r="AX196" s="154"/>
      <c r="AY196" s="154"/>
      <c r="AZ196" s="154"/>
      <c r="BA196" s="154"/>
      <c r="BB196" s="154"/>
      <c r="BC196" s="154"/>
      <c r="BD196" s="154"/>
      <c r="BE196" s="154"/>
      <c r="BF196" s="154"/>
      <c r="BG196" s="154"/>
      <c r="BH196" s="154"/>
      <c r="BI196" s="154"/>
      <c r="BJ196" s="154"/>
      <c r="BK196" s="154"/>
      <c r="BL196" s="154"/>
      <c r="BM196" s="154"/>
      <c r="BN196" s="154"/>
      <c r="BO196" s="154"/>
      <c r="BP196" s="154"/>
      <c r="BQ196" s="154"/>
      <c r="BR196" s="154"/>
      <c r="BS196" s="154"/>
      <c r="BT196" s="154"/>
      <c r="BU196" s="154"/>
      <c r="BV196" s="154"/>
      <c r="BW196" s="154"/>
      <c r="BX196" s="154"/>
      <c r="BY196" s="154"/>
      <c r="BZ196" s="154"/>
      <c r="CA196" s="154"/>
      <c r="CB196" s="154"/>
      <c r="CC196" s="154"/>
      <c r="CD196" s="154"/>
      <c r="CE196" s="154"/>
      <c r="CF196" s="154"/>
      <c r="CG196" s="154"/>
      <c r="CH196" s="154"/>
      <c r="CI196" s="154"/>
      <c r="CJ196" s="154"/>
      <c r="CK196" s="154"/>
      <c r="CL196" s="154"/>
      <c r="CM196" s="154"/>
      <c r="CN196" s="154"/>
      <c r="CO196" s="154"/>
      <c r="CP196" s="154"/>
      <c r="CQ196" s="154"/>
      <c r="CR196" s="154"/>
      <c r="CS196" s="154"/>
      <c r="CT196" s="154"/>
      <c r="CU196" s="154"/>
      <c r="CV196" s="154"/>
      <c r="CW196" s="154"/>
      <c r="CX196" s="154"/>
      <c r="CY196" s="154"/>
      <c r="CZ196" s="154"/>
      <c r="DA196" s="154"/>
      <c r="DB196" s="154"/>
      <c r="DC196" s="154"/>
      <c r="DD196" s="154"/>
      <c r="DE196" s="154"/>
      <c r="DF196" s="154"/>
      <c r="DG196" s="154"/>
      <c r="DH196" s="154"/>
      <c r="DI196" s="154"/>
      <c r="DJ196" s="154"/>
      <c r="DK196" s="154"/>
      <c r="DL196" s="154"/>
      <c r="DM196" s="154"/>
      <c r="DN196" s="154"/>
      <c r="DO196" s="154"/>
      <c r="DP196" s="154"/>
      <c r="DQ196" s="154"/>
      <c r="DR196" s="154"/>
      <c r="DS196" s="154"/>
      <c r="DT196" s="154"/>
      <c r="DU196" s="154"/>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row>
    <row r="197" spans="2:153" ht="12.95" customHeight="1">
      <c r="B197" s="154"/>
      <c r="C197" s="380"/>
      <c r="D197" s="380"/>
      <c r="E197" s="154"/>
      <c r="F197" s="154"/>
      <c r="G197" s="154"/>
      <c r="H197" s="154"/>
      <c r="I197" s="154"/>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367"/>
      <c r="AG197" s="368"/>
      <c r="AH197" s="368"/>
      <c r="AI197" s="368"/>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54"/>
      <c r="BH197" s="154"/>
      <c r="BI197" s="154"/>
      <c r="BJ197" s="154"/>
      <c r="BK197" s="154"/>
      <c r="BL197" s="154"/>
      <c r="BM197" s="154"/>
      <c r="BN197" s="154"/>
      <c r="BO197" s="154"/>
      <c r="BP197" s="154"/>
      <c r="BQ197" s="154"/>
      <c r="BR197" s="154"/>
      <c r="BS197" s="154"/>
      <c r="BT197" s="154"/>
      <c r="BU197" s="154"/>
      <c r="BV197" s="154"/>
      <c r="BW197" s="154"/>
      <c r="BX197" s="154"/>
      <c r="BY197" s="154"/>
      <c r="BZ197" s="154"/>
      <c r="CA197" s="154"/>
      <c r="CB197" s="154"/>
      <c r="CC197" s="154"/>
      <c r="CD197" s="154"/>
      <c r="CE197" s="154"/>
      <c r="CF197" s="154"/>
      <c r="CG197" s="154"/>
      <c r="CH197" s="154"/>
      <c r="CI197" s="154"/>
      <c r="CJ197" s="154"/>
      <c r="CK197" s="154"/>
      <c r="CL197" s="154"/>
      <c r="CM197" s="154"/>
      <c r="CN197" s="154"/>
      <c r="CO197" s="154"/>
      <c r="CP197" s="154"/>
      <c r="CQ197" s="154"/>
      <c r="CR197" s="154"/>
      <c r="CS197" s="154"/>
      <c r="CT197" s="154"/>
      <c r="CU197" s="154"/>
      <c r="CV197" s="154"/>
      <c r="CW197" s="154"/>
      <c r="CX197" s="154"/>
      <c r="CY197" s="154"/>
      <c r="CZ197" s="154"/>
      <c r="DA197" s="154"/>
      <c r="DB197" s="154"/>
      <c r="DC197" s="154"/>
      <c r="DD197" s="154"/>
      <c r="DE197" s="154"/>
      <c r="DF197" s="154"/>
      <c r="DG197" s="154"/>
      <c r="DH197" s="154"/>
      <c r="DI197" s="154"/>
      <c r="DJ197" s="154"/>
      <c r="DK197" s="154"/>
      <c r="DL197" s="154"/>
      <c r="DM197" s="154"/>
      <c r="DN197" s="154"/>
      <c r="DO197" s="154"/>
      <c r="DP197" s="154"/>
      <c r="DQ197" s="154"/>
      <c r="DR197" s="154"/>
      <c r="DS197" s="154"/>
      <c r="DT197" s="154"/>
      <c r="DU197" s="154"/>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row>
    <row r="198" spans="2:153" ht="12.95" customHeight="1">
      <c r="B198" s="154"/>
      <c r="C198" s="380"/>
      <c r="D198" s="380"/>
      <c r="E198" s="154"/>
      <c r="F198" s="154"/>
      <c r="G198" s="154"/>
      <c r="H198" s="154"/>
      <c r="I198" s="154"/>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367"/>
      <c r="AG198" s="368"/>
      <c r="AH198" s="368"/>
      <c r="AI198" s="368"/>
      <c r="AJ198" s="154"/>
      <c r="AK198" s="154"/>
      <c r="AL198" s="154"/>
      <c r="AM198" s="154"/>
      <c r="AN198" s="154"/>
      <c r="AO198" s="154"/>
      <c r="AP198" s="154"/>
      <c r="AQ198" s="154"/>
      <c r="AR198" s="154"/>
      <c r="AS198" s="154"/>
      <c r="AT198" s="154"/>
      <c r="AU198" s="154"/>
      <c r="AV198" s="154"/>
      <c r="AW198" s="154"/>
      <c r="AX198" s="154"/>
      <c r="AY198" s="154"/>
      <c r="AZ198" s="154"/>
      <c r="BA198" s="154"/>
      <c r="BB198" s="154"/>
      <c r="BC198" s="154"/>
      <c r="BD198" s="154"/>
      <c r="BE198" s="154"/>
      <c r="BF198" s="154"/>
      <c r="BG198" s="154"/>
      <c r="BH198" s="154"/>
      <c r="BI198" s="154"/>
      <c r="BJ198" s="154"/>
      <c r="BK198" s="154"/>
      <c r="BL198" s="154"/>
      <c r="BM198" s="154"/>
      <c r="BN198" s="154"/>
      <c r="BO198" s="154"/>
      <c r="BP198" s="154"/>
      <c r="BQ198" s="154"/>
      <c r="BR198" s="154"/>
      <c r="BS198" s="154"/>
      <c r="BT198" s="154"/>
      <c r="BU198" s="154"/>
      <c r="BV198" s="154"/>
      <c r="BW198" s="154"/>
      <c r="BX198" s="154"/>
      <c r="BY198" s="154"/>
      <c r="BZ198" s="154"/>
      <c r="CA198" s="154"/>
      <c r="CB198" s="154"/>
      <c r="CC198" s="154"/>
      <c r="CD198" s="154"/>
      <c r="CE198" s="154"/>
      <c r="CF198" s="154"/>
      <c r="CG198" s="154"/>
      <c r="CH198" s="154"/>
      <c r="CI198" s="154"/>
      <c r="CJ198" s="154"/>
      <c r="CK198" s="154"/>
      <c r="CL198" s="154"/>
      <c r="CM198" s="154"/>
      <c r="CN198" s="154"/>
      <c r="CO198" s="154"/>
      <c r="CP198" s="154"/>
      <c r="CQ198" s="154"/>
      <c r="CR198" s="154"/>
      <c r="CS198" s="154"/>
      <c r="CT198" s="154"/>
      <c r="CU198" s="154"/>
      <c r="CV198" s="154"/>
      <c r="CW198" s="154"/>
      <c r="CX198" s="154"/>
      <c r="CY198" s="154"/>
      <c r="CZ198" s="154"/>
      <c r="DA198" s="154"/>
      <c r="DB198" s="154"/>
      <c r="DC198" s="154"/>
      <c r="DD198" s="154"/>
      <c r="DE198" s="154"/>
      <c r="DF198" s="154"/>
      <c r="DG198" s="154"/>
      <c r="DH198" s="154"/>
      <c r="DI198" s="154"/>
      <c r="DJ198" s="154"/>
      <c r="DK198" s="154"/>
      <c r="DL198" s="154"/>
      <c r="DM198" s="154"/>
      <c r="DN198" s="154"/>
      <c r="DO198" s="154"/>
      <c r="DP198" s="154"/>
      <c r="DQ198" s="154"/>
      <c r="DR198" s="154"/>
      <c r="DS198" s="154"/>
      <c r="DT198" s="154"/>
      <c r="DU198" s="154"/>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row>
    <row r="199" spans="2:153" ht="12.95" customHeight="1">
      <c r="B199" s="154"/>
      <c r="C199" s="380"/>
      <c r="D199" s="380"/>
      <c r="E199" s="154"/>
      <c r="F199" s="154"/>
      <c r="G199" s="154"/>
      <c r="H199" s="154"/>
      <c r="I199" s="154"/>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367"/>
      <c r="AG199" s="368"/>
      <c r="AH199" s="368"/>
      <c r="AI199" s="368"/>
      <c r="AJ199" s="154"/>
      <c r="AK199" s="154"/>
      <c r="AL199" s="154"/>
      <c r="AM199" s="154"/>
      <c r="AN199" s="154"/>
      <c r="AO199" s="154"/>
      <c r="AP199" s="154"/>
      <c r="AQ199" s="154"/>
      <c r="AR199" s="154"/>
      <c r="AS199" s="154"/>
      <c r="AT199" s="154"/>
      <c r="AU199" s="154"/>
      <c r="AV199" s="154"/>
      <c r="AW199" s="154"/>
      <c r="AX199" s="154"/>
      <c r="AY199" s="154"/>
      <c r="AZ199" s="154"/>
      <c r="BA199" s="154"/>
      <c r="BB199" s="154"/>
      <c r="BC199" s="154"/>
      <c r="BD199" s="154"/>
      <c r="BE199" s="154"/>
      <c r="BF199" s="154"/>
      <c r="BG199" s="154"/>
      <c r="BH199" s="154"/>
      <c r="BI199" s="154"/>
      <c r="BJ199" s="154"/>
      <c r="BK199" s="154"/>
      <c r="BL199" s="154"/>
      <c r="BM199" s="154"/>
      <c r="BN199" s="154"/>
      <c r="BO199" s="154"/>
      <c r="BP199" s="154"/>
      <c r="BQ199" s="154"/>
      <c r="BR199" s="154"/>
      <c r="BS199" s="154"/>
      <c r="BT199" s="154"/>
      <c r="BU199" s="154"/>
      <c r="BV199" s="154"/>
      <c r="BW199" s="154"/>
      <c r="BX199" s="154"/>
      <c r="BY199" s="154"/>
      <c r="BZ199" s="154"/>
      <c r="CA199" s="154"/>
      <c r="CB199" s="154"/>
      <c r="CC199" s="154"/>
      <c r="CD199" s="154"/>
      <c r="CE199" s="154"/>
      <c r="CF199" s="154"/>
      <c r="CG199" s="154"/>
      <c r="CH199" s="154"/>
      <c r="CI199" s="154"/>
      <c r="CJ199" s="154"/>
      <c r="CK199" s="154"/>
      <c r="CL199" s="154"/>
      <c r="CM199" s="154"/>
      <c r="CN199" s="154"/>
      <c r="CO199" s="154"/>
      <c r="CP199" s="154"/>
      <c r="CQ199" s="154"/>
      <c r="CR199" s="154"/>
      <c r="CS199" s="154"/>
      <c r="CT199" s="154"/>
      <c r="CU199" s="154"/>
      <c r="CV199" s="154"/>
      <c r="CW199" s="154"/>
      <c r="CX199" s="154"/>
      <c r="CY199" s="154"/>
      <c r="CZ199" s="154"/>
      <c r="DA199" s="154"/>
      <c r="DB199" s="154"/>
      <c r="DC199" s="154"/>
      <c r="DD199" s="154"/>
      <c r="DE199" s="154"/>
      <c r="DF199" s="154"/>
      <c r="DG199" s="154"/>
      <c r="DH199" s="154"/>
      <c r="DI199" s="154"/>
      <c r="DJ199" s="154"/>
      <c r="DK199" s="154"/>
      <c r="DL199" s="154"/>
      <c r="DM199" s="154"/>
      <c r="DN199" s="154"/>
      <c r="DO199" s="154"/>
      <c r="DP199" s="154"/>
      <c r="DQ199" s="154"/>
      <c r="DR199" s="154"/>
      <c r="DS199" s="154"/>
      <c r="DT199" s="154"/>
      <c r="DU199" s="154"/>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row>
    <row r="200" spans="2:153" ht="12.95" customHeight="1">
      <c r="B200" s="154"/>
      <c r="C200" s="380"/>
      <c r="D200" s="380"/>
      <c r="E200" s="154"/>
      <c r="F200" s="154"/>
      <c r="G200" s="154"/>
      <c r="H200" s="154"/>
      <c r="I200" s="154"/>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367"/>
      <c r="AG200" s="368"/>
      <c r="AH200" s="368"/>
      <c r="AI200" s="368"/>
      <c r="AJ200" s="154"/>
      <c r="AK200" s="154"/>
      <c r="AL200" s="154"/>
      <c r="AM200" s="154"/>
      <c r="AN200" s="154"/>
      <c r="AO200" s="154"/>
      <c r="AP200" s="154"/>
      <c r="AQ200" s="154"/>
      <c r="AR200" s="154"/>
      <c r="AS200" s="154"/>
      <c r="AT200" s="154"/>
      <c r="AU200" s="154"/>
      <c r="AV200" s="154"/>
      <c r="AW200" s="154"/>
      <c r="AX200" s="154"/>
      <c r="AY200" s="154"/>
      <c r="AZ200" s="154"/>
      <c r="BA200" s="154"/>
      <c r="BB200" s="154"/>
      <c r="BC200" s="154"/>
      <c r="BD200" s="154"/>
      <c r="BE200" s="154"/>
      <c r="BF200" s="154"/>
      <c r="BG200" s="154"/>
      <c r="BH200" s="154"/>
      <c r="BI200" s="154"/>
      <c r="BJ200" s="154"/>
      <c r="BK200" s="154"/>
      <c r="BL200" s="154"/>
      <c r="BM200" s="154"/>
      <c r="BN200" s="154"/>
      <c r="BO200" s="154"/>
      <c r="BP200" s="154"/>
      <c r="BQ200" s="154"/>
      <c r="BR200" s="154"/>
      <c r="BS200" s="154"/>
      <c r="BT200" s="154"/>
      <c r="BU200" s="154"/>
      <c r="BV200" s="154"/>
      <c r="BW200" s="154"/>
      <c r="BX200" s="154"/>
      <c r="BY200" s="154"/>
      <c r="BZ200" s="154"/>
      <c r="CA200" s="154"/>
      <c r="CB200" s="154"/>
      <c r="CC200" s="154"/>
      <c r="CD200" s="154"/>
      <c r="CE200" s="154"/>
      <c r="CF200" s="154"/>
      <c r="CG200" s="154"/>
      <c r="CH200" s="154"/>
      <c r="CI200" s="154"/>
      <c r="CJ200" s="154"/>
      <c r="CK200" s="154"/>
      <c r="CL200" s="154"/>
      <c r="CM200" s="154"/>
      <c r="CN200" s="154"/>
      <c r="CO200" s="154"/>
      <c r="CP200" s="154"/>
      <c r="CQ200" s="154"/>
      <c r="CR200" s="154"/>
      <c r="CS200" s="154"/>
      <c r="CT200" s="154"/>
      <c r="CU200" s="154"/>
      <c r="CV200" s="154"/>
      <c r="CW200" s="154"/>
      <c r="CX200" s="154"/>
      <c r="CY200" s="154"/>
      <c r="CZ200" s="154"/>
      <c r="DA200" s="154"/>
      <c r="DB200" s="154"/>
      <c r="DC200" s="154"/>
      <c r="DD200" s="154"/>
      <c r="DE200" s="154"/>
      <c r="DF200" s="154"/>
      <c r="DG200" s="154"/>
      <c r="DH200" s="154"/>
      <c r="DI200" s="154"/>
      <c r="DJ200" s="154"/>
      <c r="DK200" s="154"/>
      <c r="DL200" s="154"/>
      <c r="DM200" s="154"/>
      <c r="DN200" s="154"/>
      <c r="DO200" s="154"/>
      <c r="DP200" s="154"/>
      <c r="DQ200" s="154"/>
      <c r="DR200" s="154"/>
      <c r="DS200" s="154"/>
      <c r="DT200" s="154"/>
      <c r="DU200" s="154"/>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row>
    <row r="201" spans="2:153" ht="12.95" customHeight="1">
      <c r="B201" s="154"/>
      <c r="C201" s="380"/>
      <c r="D201" s="380"/>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367"/>
      <c r="AG201" s="368"/>
      <c r="AH201" s="368"/>
      <c r="AI201" s="368"/>
      <c r="AJ201" s="154"/>
      <c r="AK201" s="154"/>
      <c r="AL201" s="154"/>
      <c r="AM201" s="154"/>
      <c r="AN201" s="154"/>
      <c r="AO201" s="154"/>
      <c r="AP201" s="154"/>
      <c r="AQ201" s="154"/>
      <c r="AR201" s="154"/>
      <c r="AS201" s="154"/>
      <c r="AT201" s="154"/>
      <c r="AU201" s="154"/>
      <c r="AV201" s="154"/>
      <c r="AW201" s="154"/>
      <c r="AX201" s="154"/>
      <c r="AY201" s="154"/>
      <c r="AZ201" s="154"/>
      <c r="BA201" s="154"/>
      <c r="BB201" s="154"/>
      <c r="BC201" s="154"/>
      <c r="BD201" s="154"/>
      <c r="BE201" s="154"/>
      <c r="BF201" s="154"/>
      <c r="BG201" s="154"/>
      <c r="BH201" s="154"/>
      <c r="BI201" s="154"/>
      <c r="BJ201" s="154"/>
      <c r="BK201" s="154"/>
      <c r="BL201" s="154"/>
      <c r="BM201" s="154"/>
      <c r="BN201" s="154"/>
      <c r="BO201" s="154"/>
      <c r="BP201" s="154"/>
      <c r="BQ201" s="154"/>
      <c r="BR201" s="154"/>
      <c r="BS201" s="154"/>
      <c r="BT201" s="154"/>
      <c r="BU201" s="154"/>
      <c r="BV201" s="154"/>
      <c r="BW201" s="154"/>
      <c r="BX201" s="154"/>
      <c r="BY201" s="154"/>
      <c r="BZ201" s="154"/>
      <c r="CA201" s="154"/>
      <c r="CB201" s="154"/>
      <c r="CC201" s="154"/>
      <c r="CD201" s="154"/>
      <c r="CE201" s="154"/>
      <c r="CF201" s="154"/>
      <c r="CG201" s="154"/>
      <c r="CH201" s="154"/>
      <c r="CI201" s="154"/>
      <c r="CJ201" s="154"/>
      <c r="CK201" s="154"/>
      <c r="CL201" s="154"/>
      <c r="CM201" s="154"/>
      <c r="CN201" s="154"/>
      <c r="CO201" s="154"/>
      <c r="CP201" s="154"/>
      <c r="CQ201" s="154"/>
      <c r="CR201" s="154"/>
      <c r="CS201" s="154"/>
      <c r="CT201" s="154"/>
      <c r="CU201" s="154"/>
      <c r="CV201" s="154"/>
      <c r="CW201" s="154"/>
      <c r="CX201" s="154"/>
      <c r="CY201" s="154"/>
      <c r="CZ201" s="154"/>
      <c r="DA201" s="154"/>
      <c r="DB201" s="154"/>
      <c r="DC201" s="154"/>
      <c r="DD201" s="154"/>
      <c r="DE201" s="154"/>
      <c r="DF201" s="154"/>
      <c r="DG201" s="154"/>
      <c r="DH201" s="154"/>
      <c r="DI201" s="154"/>
      <c r="DJ201" s="154"/>
      <c r="DK201" s="154"/>
      <c r="DL201" s="154"/>
      <c r="DM201" s="154"/>
      <c r="DN201" s="154"/>
      <c r="DO201" s="154"/>
      <c r="DP201" s="154"/>
      <c r="DQ201" s="154"/>
      <c r="DR201" s="154"/>
      <c r="DS201" s="154"/>
      <c r="DT201" s="154"/>
      <c r="DU201" s="154"/>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row>
    <row r="202" spans="2:153" ht="12.95" customHeight="1">
      <c r="B202" s="154"/>
      <c r="C202" s="380"/>
      <c r="D202" s="380"/>
      <c r="E202" s="154"/>
      <c r="F202" s="154"/>
      <c r="G202" s="154"/>
      <c r="H202" s="154"/>
      <c r="I202" s="154"/>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367"/>
      <c r="AG202" s="368"/>
      <c r="AH202" s="368"/>
      <c r="AI202" s="368"/>
      <c r="AJ202" s="154"/>
      <c r="AK202" s="154"/>
      <c r="AL202" s="154"/>
      <c r="AM202" s="154"/>
      <c r="AN202" s="154"/>
      <c r="AO202" s="154"/>
      <c r="AP202" s="154"/>
      <c r="AQ202" s="154"/>
      <c r="AR202" s="154"/>
      <c r="AS202" s="154"/>
      <c r="AT202" s="154"/>
      <c r="AU202" s="154"/>
      <c r="AV202" s="154"/>
      <c r="AW202" s="154"/>
      <c r="AX202" s="154"/>
      <c r="AY202" s="154"/>
      <c r="AZ202" s="154"/>
      <c r="BA202" s="154"/>
      <c r="BB202" s="154"/>
      <c r="BC202" s="154"/>
      <c r="BD202" s="154"/>
      <c r="BE202" s="154"/>
      <c r="BF202" s="154"/>
      <c r="BG202" s="154"/>
      <c r="BH202" s="154"/>
      <c r="BI202" s="154"/>
      <c r="BJ202" s="154"/>
      <c r="BK202" s="154"/>
      <c r="BL202" s="154"/>
      <c r="BM202" s="154"/>
      <c r="BN202" s="154"/>
      <c r="BO202" s="154"/>
      <c r="BP202" s="154"/>
      <c r="BQ202" s="154"/>
      <c r="BR202" s="154"/>
      <c r="BS202" s="154"/>
      <c r="BT202" s="154"/>
      <c r="BU202" s="154"/>
      <c r="BV202" s="154"/>
      <c r="BW202" s="154"/>
      <c r="BX202" s="154"/>
      <c r="BY202" s="154"/>
      <c r="BZ202" s="154"/>
      <c r="CA202" s="154"/>
      <c r="CB202" s="154"/>
      <c r="CC202" s="154"/>
      <c r="CD202" s="154"/>
      <c r="CE202" s="154"/>
      <c r="CF202" s="154"/>
      <c r="CG202" s="154"/>
      <c r="CH202" s="154"/>
      <c r="CI202" s="154"/>
      <c r="CJ202" s="154"/>
      <c r="CK202" s="154"/>
      <c r="CL202" s="154"/>
      <c r="CM202" s="154"/>
      <c r="CN202" s="154"/>
      <c r="CO202" s="154"/>
      <c r="CP202" s="154"/>
      <c r="CQ202" s="154"/>
      <c r="CR202" s="154"/>
      <c r="CS202" s="154"/>
      <c r="CT202" s="154"/>
      <c r="CU202" s="154"/>
      <c r="CV202" s="154"/>
      <c r="CW202" s="154"/>
      <c r="CX202" s="154"/>
      <c r="CY202" s="154"/>
      <c r="CZ202" s="154"/>
      <c r="DA202" s="154"/>
      <c r="DB202" s="154"/>
      <c r="DC202" s="154"/>
      <c r="DD202" s="154"/>
      <c r="DE202" s="154"/>
      <c r="DF202" s="154"/>
      <c r="DG202" s="154"/>
      <c r="DH202" s="154"/>
      <c r="DI202" s="154"/>
      <c r="DJ202" s="154"/>
      <c r="DK202" s="154"/>
      <c r="DL202" s="154"/>
      <c r="DM202" s="154"/>
      <c r="DN202" s="154"/>
      <c r="DO202" s="154"/>
      <c r="DP202" s="154"/>
      <c r="DQ202" s="154"/>
      <c r="DR202" s="154"/>
      <c r="DS202" s="154"/>
      <c r="DT202" s="154"/>
      <c r="DU202" s="154"/>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row>
    <row r="203" spans="2:153" ht="12.95" customHeight="1">
      <c r="B203" s="154"/>
      <c r="C203" s="380"/>
      <c r="D203" s="380"/>
      <c r="E203" s="154"/>
      <c r="F203" s="154"/>
      <c r="G203" s="154"/>
      <c r="H203" s="154"/>
      <c r="I203" s="154"/>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367"/>
      <c r="AG203" s="368"/>
      <c r="AH203" s="368"/>
      <c r="AI203" s="368"/>
      <c r="AJ203" s="154"/>
      <c r="AK203" s="154"/>
      <c r="AL203" s="154"/>
      <c r="AM203" s="154"/>
      <c r="AN203" s="154"/>
      <c r="AO203" s="154"/>
      <c r="AP203" s="154"/>
      <c r="AQ203" s="154"/>
      <c r="AR203" s="154"/>
      <c r="AS203" s="154"/>
      <c r="AT203" s="154"/>
      <c r="AU203" s="154"/>
      <c r="AV203" s="154"/>
      <c r="AW203" s="154"/>
      <c r="AX203" s="154"/>
      <c r="AY203" s="154"/>
      <c r="AZ203" s="154"/>
      <c r="BA203" s="154"/>
      <c r="BB203" s="154"/>
      <c r="BC203" s="154"/>
      <c r="BD203" s="154"/>
      <c r="BE203" s="154"/>
      <c r="BF203" s="154"/>
      <c r="BG203" s="154"/>
      <c r="BH203" s="154"/>
      <c r="BI203" s="154"/>
      <c r="BJ203" s="154"/>
      <c r="BK203" s="154"/>
      <c r="BL203" s="154"/>
      <c r="BM203" s="154"/>
      <c r="BN203" s="154"/>
      <c r="BO203" s="154"/>
      <c r="BP203" s="154"/>
      <c r="BQ203" s="154"/>
      <c r="BR203" s="154"/>
      <c r="BS203" s="154"/>
      <c r="BT203" s="154"/>
      <c r="BU203" s="154"/>
      <c r="BV203" s="154"/>
      <c r="BW203" s="154"/>
      <c r="BX203" s="154"/>
      <c r="BY203" s="154"/>
      <c r="BZ203" s="154"/>
      <c r="CA203" s="154"/>
      <c r="CB203" s="154"/>
      <c r="CC203" s="154"/>
      <c r="CD203" s="154"/>
      <c r="CE203" s="154"/>
      <c r="CF203" s="154"/>
      <c r="CG203" s="154"/>
      <c r="CH203" s="154"/>
      <c r="CI203" s="154"/>
      <c r="CJ203" s="154"/>
      <c r="CK203" s="154"/>
      <c r="CL203" s="154"/>
      <c r="CM203" s="154"/>
      <c r="CN203" s="154"/>
      <c r="CO203" s="154"/>
      <c r="CP203" s="154"/>
      <c r="CQ203" s="154"/>
      <c r="CR203" s="154"/>
      <c r="CS203" s="154"/>
      <c r="CT203" s="154"/>
      <c r="CU203" s="154"/>
      <c r="CV203" s="154"/>
      <c r="CW203" s="154"/>
      <c r="CX203" s="154"/>
      <c r="CY203" s="154"/>
      <c r="CZ203" s="154"/>
      <c r="DA203" s="154"/>
      <c r="DB203" s="154"/>
      <c r="DC203" s="154"/>
      <c r="DD203" s="154"/>
      <c r="DE203" s="154"/>
      <c r="DF203" s="154"/>
      <c r="DG203" s="154"/>
      <c r="DH203" s="154"/>
      <c r="DI203" s="154"/>
      <c r="DJ203" s="154"/>
      <c r="DK203" s="154"/>
      <c r="DL203" s="154"/>
      <c r="DM203" s="154"/>
      <c r="DN203" s="154"/>
      <c r="DO203" s="154"/>
      <c r="DP203" s="154"/>
      <c r="DQ203" s="154"/>
      <c r="DR203" s="154"/>
      <c r="DS203" s="154"/>
      <c r="DT203" s="154"/>
      <c r="DU203" s="154"/>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row>
    <row r="204" spans="2:153" ht="12.95" customHeight="1">
      <c r="B204" s="154"/>
      <c r="C204" s="380"/>
      <c r="D204" s="380"/>
      <c r="E204" s="154"/>
      <c r="F204" s="154"/>
      <c r="G204" s="154"/>
      <c r="H204" s="154"/>
      <c r="I204" s="154"/>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367"/>
      <c r="AG204" s="368"/>
      <c r="AH204" s="368"/>
      <c r="AI204" s="368"/>
      <c r="AJ204" s="154"/>
      <c r="AK204" s="154"/>
      <c r="AL204" s="154"/>
      <c r="AM204" s="154"/>
      <c r="AN204" s="154"/>
      <c r="AO204" s="154"/>
      <c r="AP204" s="154"/>
      <c r="AQ204" s="154"/>
      <c r="AR204" s="154"/>
      <c r="AS204" s="154"/>
      <c r="AT204" s="154"/>
      <c r="AU204" s="154"/>
      <c r="AV204" s="154"/>
      <c r="AW204" s="154"/>
      <c r="AX204" s="154"/>
      <c r="AY204" s="154"/>
      <c r="AZ204" s="154"/>
      <c r="BA204" s="154"/>
      <c r="BB204" s="154"/>
      <c r="BC204" s="154"/>
      <c r="BD204" s="154"/>
      <c r="BE204" s="154"/>
      <c r="BF204" s="154"/>
      <c r="BG204" s="154"/>
      <c r="BH204" s="154"/>
      <c r="BI204" s="154"/>
      <c r="BJ204" s="154"/>
      <c r="BK204" s="154"/>
      <c r="BL204" s="154"/>
      <c r="BM204" s="154"/>
      <c r="BN204" s="154"/>
      <c r="BO204" s="154"/>
      <c r="BP204" s="154"/>
      <c r="BQ204" s="154"/>
      <c r="BR204" s="154"/>
      <c r="BS204" s="154"/>
      <c r="BT204" s="154"/>
      <c r="BU204" s="154"/>
      <c r="BV204" s="154"/>
      <c r="BW204" s="154"/>
      <c r="BX204" s="154"/>
      <c r="BY204" s="154"/>
      <c r="BZ204" s="154"/>
      <c r="CA204" s="154"/>
      <c r="CB204" s="154"/>
      <c r="CC204" s="154"/>
      <c r="CD204" s="154"/>
      <c r="CE204" s="154"/>
      <c r="CF204" s="154"/>
      <c r="CG204" s="154"/>
      <c r="CH204" s="154"/>
      <c r="CI204" s="154"/>
      <c r="CJ204" s="154"/>
      <c r="CK204" s="154"/>
      <c r="CL204" s="154"/>
      <c r="CM204" s="154"/>
      <c r="CN204" s="154"/>
      <c r="CO204" s="154"/>
      <c r="CP204" s="154"/>
      <c r="CQ204" s="154"/>
      <c r="CR204" s="154"/>
      <c r="CS204" s="154"/>
      <c r="CT204" s="154"/>
      <c r="CU204" s="154"/>
      <c r="CV204" s="154"/>
      <c r="CW204" s="154"/>
      <c r="CX204" s="154"/>
      <c r="CY204" s="154"/>
      <c r="CZ204" s="154"/>
      <c r="DA204" s="154"/>
      <c r="DB204" s="154"/>
      <c r="DC204" s="154"/>
      <c r="DD204" s="154"/>
      <c r="DE204" s="154"/>
      <c r="DF204" s="154"/>
      <c r="DG204" s="154"/>
      <c r="DH204" s="154"/>
      <c r="DI204" s="154"/>
      <c r="DJ204" s="154"/>
      <c r="DK204" s="154"/>
      <c r="DL204" s="154"/>
      <c r="DM204" s="154"/>
      <c r="DN204" s="154"/>
      <c r="DO204" s="154"/>
      <c r="DP204" s="154"/>
      <c r="DQ204" s="154"/>
      <c r="DR204" s="154"/>
      <c r="DS204" s="154"/>
      <c r="DT204" s="154"/>
      <c r="DU204" s="154"/>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row>
    <row r="205" spans="2:153" ht="12.95" customHeight="1">
      <c r="B205" s="154"/>
      <c r="C205" s="380"/>
      <c r="D205" s="380"/>
      <c r="E205" s="154"/>
      <c r="F205" s="154"/>
      <c r="G205" s="154"/>
      <c r="H205" s="154"/>
      <c r="I205" s="154"/>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367"/>
      <c r="AG205" s="368"/>
      <c r="AH205" s="368"/>
      <c r="AI205" s="368"/>
      <c r="AJ205" s="154"/>
      <c r="AK205" s="154"/>
      <c r="AL205" s="154"/>
      <c r="AM205" s="154"/>
      <c r="AN205" s="154"/>
      <c r="AO205" s="154"/>
      <c r="AP205" s="154"/>
      <c r="AQ205" s="154"/>
      <c r="AR205" s="154"/>
      <c r="AS205" s="154"/>
      <c r="AT205" s="154"/>
      <c r="AU205" s="154"/>
      <c r="AV205" s="154"/>
      <c r="AW205" s="154"/>
      <c r="AX205" s="154"/>
      <c r="AY205" s="154"/>
      <c r="AZ205" s="154"/>
      <c r="BA205" s="154"/>
      <c r="BB205" s="154"/>
      <c r="BC205" s="154"/>
      <c r="BD205" s="154"/>
      <c r="BE205" s="154"/>
      <c r="BF205" s="154"/>
      <c r="BG205" s="154"/>
      <c r="BH205" s="154"/>
      <c r="BI205" s="154"/>
      <c r="BJ205" s="154"/>
      <c r="BK205" s="154"/>
      <c r="BL205" s="154"/>
      <c r="BM205" s="154"/>
      <c r="BN205" s="154"/>
      <c r="BO205" s="154"/>
      <c r="BP205" s="154"/>
      <c r="BQ205" s="154"/>
      <c r="BR205" s="154"/>
      <c r="BS205" s="154"/>
      <c r="BT205" s="154"/>
      <c r="BU205" s="154"/>
      <c r="BV205" s="154"/>
      <c r="BW205" s="154"/>
      <c r="BX205" s="154"/>
      <c r="BY205" s="154"/>
      <c r="BZ205" s="154"/>
      <c r="CA205" s="154"/>
      <c r="CB205" s="154"/>
      <c r="CC205" s="154"/>
      <c r="CD205" s="154"/>
      <c r="CE205" s="154"/>
      <c r="CF205" s="154"/>
      <c r="CG205" s="154"/>
      <c r="CH205" s="154"/>
      <c r="CI205" s="154"/>
      <c r="CJ205" s="154"/>
      <c r="CK205" s="154"/>
      <c r="CL205" s="154"/>
      <c r="CM205" s="154"/>
      <c r="CN205" s="154"/>
      <c r="CO205" s="154"/>
      <c r="CP205" s="154"/>
      <c r="CQ205" s="154"/>
      <c r="CR205" s="154"/>
      <c r="CS205" s="154"/>
      <c r="CT205" s="154"/>
      <c r="CU205" s="154"/>
      <c r="CV205" s="154"/>
      <c r="CW205" s="154"/>
      <c r="CX205" s="154"/>
      <c r="CY205" s="154"/>
      <c r="CZ205" s="154"/>
      <c r="DA205" s="154"/>
      <c r="DB205" s="154"/>
      <c r="DC205" s="154"/>
      <c r="DD205" s="154"/>
      <c r="DE205" s="154"/>
      <c r="DF205" s="154"/>
      <c r="DG205" s="154"/>
      <c r="DH205" s="154"/>
      <c r="DI205" s="154"/>
      <c r="DJ205" s="154"/>
      <c r="DK205" s="154"/>
      <c r="DL205" s="154"/>
      <c r="DM205" s="154"/>
      <c r="DN205" s="154"/>
      <c r="DO205" s="154"/>
      <c r="DP205" s="154"/>
      <c r="DQ205" s="154"/>
      <c r="DR205" s="154"/>
      <c r="DS205" s="154"/>
      <c r="DT205" s="154"/>
      <c r="DU205" s="154"/>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row>
    <row r="206" spans="2:153" ht="12.95" customHeight="1">
      <c r="B206" s="154"/>
      <c r="C206" s="380"/>
      <c r="D206" s="380"/>
      <c r="E206" s="154"/>
      <c r="F206" s="154"/>
      <c r="G206" s="154"/>
      <c r="H206" s="154"/>
      <c r="I206" s="154"/>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367"/>
      <c r="AG206" s="368"/>
      <c r="AH206" s="368"/>
      <c r="AI206" s="368"/>
      <c r="AJ206" s="154"/>
      <c r="AK206" s="154"/>
      <c r="AL206" s="154"/>
      <c r="AM206" s="154"/>
      <c r="AN206" s="154"/>
      <c r="AO206" s="154"/>
      <c r="AP206" s="154"/>
      <c r="AQ206" s="154"/>
      <c r="AR206" s="154"/>
      <c r="AS206" s="154"/>
      <c r="AT206" s="154"/>
      <c r="AU206" s="154"/>
      <c r="AV206" s="154"/>
      <c r="AW206" s="154"/>
      <c r="AX206" s="154"/>
      <c r="AY206" s="154"/>
      <c r="AZ206" s="154"/>
      <c r="BA206" s="154"/>
      <c r="BB206" s="154"/>
      <c r="BC206" s="154"/>
      <c r="BD206" s="154"/>
      <c r="BE206" s="154"/>
      <c r="BF206" s="154"/>
      <c r="BG206" s="154"/>
      <c r="BH206" s="154"/>
      <c r="BI206" s="154"/>
      <c r="BJ206" s="154"/>
      <c r="BK206" s="154"/>
      <c r="BL206" s="154"/>
      <c r="BM206" s="154"/>
      <c r="BN206" s="154"/>
      <c r="BO206" s="154"/>
      <c r="BP206" s="154"/>
      <c r="BQ206" s="154"/>
      <c r="BR206" s="154"/>
      <c r="BS206" s="154"/>
      <c r="BT206" s="154"/>
      <c r="BU206" s="154"/>
      <c r="BV206" s="154"/>
      <c r="BW206" s="154"/>
      <c r="BX206" s="154"/>
      <c r="BY206" s="154"/>
      <c r="BZ206" s="154"/>
      <c r="CA206" s="154"/>
      <c r="CB206" s="154"/>
      <c r="CC206" s="154"/>
      <c r="CD206" s="154"/>
      <c r="CE206" s="154"/>
      <c r="CF206" s="154"/>
      <c r="CG206" s="154"/>
      <c r="CH206" s="154"/>
      <c r="CI206" s="154"/>
      <c r="CJ206" s="154"/>
      <c r="CK206" s="154"/>
      <c r="CL206" s="154"/>
      <c r="CM206" s="154"/>
      <c r="CN206" s="154"/>
      <c r="CO206" s="154"/>
      <c r="CP206" s="154"/>
      <c r="CQ206" s="154"/>
      <c r="CR206" s="154"/>
      <c r="CS206" s="154"/>
      <c r="CT206" s="154"/>
      <c r="CU206" s="154"/>
      <c r="CV206" s="154"/>
      <c r="CW206" s="154"/>
      <c r="CX206" s="154"/>
      <c r="CY206" s="154"/>
      <c r="CZ206" s="154"/>
      <c r="DA206" s="154"/>
      <c r="DB206" s="154"/>
      <c r="DC206" s="154"/>
      <c r="DD206" s="154"/>
      <c r="DE206" s="154"/>
      <c r="DF206" s="154"/>
      <c r="DG206" s="154"/>
      <c r="DH206" s="154"/>
      <c r="DI206" s="154"/>
      <c r="DJ206" s="154"/>
      <c r="DK206" s="154"/>
      <c r="DL206" s="154"/>
      <c r="DM206" s="154"/>
      <c r="DN206" s="154"/>
      <c r="DO206" s="154"/>
      <c r="DP206" s="154"/>
      <c r="DQ206" s="154"/>
      <c r="DR206" s="154"/>
      <c r="DS206" s="154"/>
      <c r="DT206" s="154"/>
      <c r="DU206" s="154"/>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row>
    <row r="207" spans="2:153" ht="12.95" customHeight="1">
      <c r="B207" s="154"/>
      <c r="C207" s="380"/>
      <c r="D207" s="380"/>
      <c r="E207" s="154"/>
      <c r="F207" s="154"/>
      <c r="G207" s="154"/>
      <c r="H207" s="154"/>
      <c r="I207" s="154"/>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367"/>
      <c r="AG207" s="368"/>
      <c r="AH207" s="368"/>
      <c r="AI207" s="368"/>
      <c r="AJ207" s="154"/>
      <c r="AK207" s="154"/>
      <c r="AL207" s="154"/>
      <c r="AM207" s="154"/>
      <c r="AN207" s="154"/>
      <c r="AO207" s="154"/>
      <c r="AP207" s="154"/>
      <c r="AQ207" s="154"/>
      <c r="AR207" s="154"/>
      <c r="AS207" s="154"/>
      <c r="AT207" s="154"/>
      <c r="AU207" s="154"/>
      <c r="AV207" s="154"/>
      <c r="AW207" s="154"/>
      <c r="AX207" s="154"/>
      <c r="AY207" s="154"/>
      <c r="AZ207" s="154"/>
      <c r="BA207" s="154"/>
      <c r="BB207" s="154"/>
      <c r="BC207" s="154"/>
      <c r="BD207" s="154"/>
      <c r="BE207" s="154"/>
      <c r="BF207" s="154"/>
      <c r="BG207" s="154"/>
      <c r="BH207" s="154"/>
      <c r="BI207" s="154"/>
      <c r="BJ207" s="154"/>
      <c r="BK207" s="154"/>
      <c r="BL207" s="154"/>
      <c r="BM207" s="154"/>
      <c r="BN207" s="154"/>
      <c r="BO207" s="154"/>
      <c r="BP207" s="154"/>
      <c r="BQ207" s="154"/>
      <c r="BR207" s="154"/>
      <c r="BS207" s="154"/>
      <c r="BT207" s="154"/>
      <c r="BU207" s="154"/>
      <c r="BV207" s="154"/>
      <c r="BW207" s="154"/>
      <c r="BX207" s="154"/>
      <c r="BY207" s="154"/>
      <c r="BZ207" s="154"/>
      <c r="CA207" s="154"/>
      <c r="CB207" s="154"/>
      <c r="CC207" s="154"/>
      <c r="CD207" s="154"/>
      <c r="CE207" s="154"/>
      <c r="CF207" s="154"/>
      <c r="CG207" s="154"/>
      <c r="CH207" s="154"/>
      <c r="CI207" s="154"/>
      <c r="CJ207" s="154"/>
      <c r="CK207" s="154"/>
      <c r="CL207" s="154"/>
      <c r="CM207" s="154"/>
      <c r="CN207" s="154"/>
      <c r="CO207" s="154"/>
      <c r="CP207" s="154"/>
      <c r="CQ207" s="154"/>
      <c r="CR207" s="154"/>
      <c r="CS207" s="154"/>
      <c r="CT207" s="154"/>
      <c r="CU207" s="154"/>
      <c r="CV207" s="154"/>
      <c r="CW207" s="154"/>
      <c r="CX207" s="154"/>
      <c r="CY207" s="154"/>
      <c r="CZ207" s="154"/>
      <c r="DA207" s="154"/>
      <c r="DB207" s="154"/>
      <c r="DC207" s="154"/>
      <c r="DD207" s="154"/>
      <c r="DE207" s="154"/>
      <c r="DF207" s="154"/>
      <c r="DG207" s="154"/>
      <c r="DH207" s="154"/>
      <c r="DI207" s="154"/>
      <c r="DJ207" s="154"/>
      <c r="DK207" s="154"/>
      <c r="DL207" s="154"/>
      <c r="DM207" s="154"/>
      <c r="DN207" s="154"/>
      <c r="DO207" s="154"/>
      <c r="DP207" s="154"/>
      <c r="DQ207" s="154"/>
      <c r="DR207" s="154"/>
      <c r="DS207" s="154"/>
      <c r="DT207" s="154"/>
      <c r="DU207" s="154"/>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row>
    <row r="208" spans="2:153" ht="12.95" customHeight="1">
      <c r="B208" s="154"/>
      <c r="C208" s="380"/>
      <c r="D208" s="380"/>
      <c r="E208" s="154"/>
      <c r="F208" s="154"/>
      <c r="G208" s="154"/>
      <c r="H208" s="154"/>
      <c r="I208" s="154"/>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367"/>
      <c r="AG208" s="368"/>
      <c r="AH208" s="368"/>
      <c r="AI208" s="368"/>
      <c r="AJ208" s="154"/>
      <c r="AK208" s="154"/>
      <c r="AL208" s="154"/>
      <c r="AM208" s="154"/>
      <c r="AN208" s="154"/>
      <c r="AO208" s="154"/>
      <c r="AP208" s="154"/>
      <c r="AQ208" s="154"/>
      <c r="AR208" s="154"/>
      <c r="AS208" s="154"/>
      <c r="AT208" s="154"/>
      <c r="AU208" s="154"/>
      <c r="AV208" s="154"/>
      <c r="AW208" s="154"/>
      <c r="AX208" s="154"/>
      <c r="AY208" s="154"/>
      <c r="AZ208" s="154"/>
      <c r="BA208" s="154"/>
      <c r="BB208" s="154"/>
      <c r="BC208" s="154"/>
      <c r="BD208" s="154"/>
      <c r="BE208" s="154"/>
      <c r="BF208" s="154"/>
      <c r="BG208" s="154"/>
      <c r="BH208" s="154"/>
      <c r="BI208" s="154"/>
      <c r="BJ208" s="154"/>
      <c r="BK208" s="154"/>
      <c r="BL208" s="154"/>
      <c r="BM208" s="154"/>
      <c r="BN208" s="154"/>
      <c r="BO208" s="154"/>
      <c r="BP208" s="154"/>
      <c r="BQ208" s="154"/>
      <c r="BR208" s="154"/>
      <c r="BS208" s="154"/>
      <c r="BT208" s="154"/>
      <c r="BU208" s="154"/>
      <c r="BV208" s="154"/>
      <c r="BW208" s="154"/>
      <c r="BX208" s="154"/>
      <c r="BY208" s="154"/>
      <c r="BZ208" s="154"/>
      <c r="CA208" s="154"/>
      <c r="CB208" s="154"/>
      <c r="CC208" s="154"/>
      <c r="CD208" s="154"/>
      <c r="CE208" s="154"/>
      <c r="CF208" s="154"/>
      <c r="CG208" s="154"/>
      <c r="CH208" s="154"/>
      <c r="CI208" s="154"/>
      <c r="CJ208" s="154"/>
      <c r="CK208" s="154"/>
      <c r="CL208" s="154"/>
      <c r="CM208" s="154"/>
      <c r="CN208" s="154"/>
      <c r="CO208" s="154"/>
      <c r="CP208" s="154"/>
      <c r="CQ208" s="154"/>
      <c r="CR208" s="154"/>
      <c r="CS208" s="154"/>
      <c r="CT208" s="154"/>
      <c r="CU208" s="154"/>
      <c r="CV208" s="154"/>
      <c r="CW208" s="154"/>
      <c r="CX208" s="154"/>
      <c r="CY208" s="154"/>
      <c r="CZ208" s="154"/>
      <c r="DA208" s="154"/>
      <c r="DB208" s="154"/>
      <c r="DC208" s="154"/>
      <c r="DD208" s="154"/>
      <c r="DE208" s="154"/>
      <c r="DF208" s="154"/>
      <c r="DG208" s="154"/>
      <c r="DH208" s="154"/>
      <c r="DI208" s="154"/>
      <c r="DJ208" s="154"/>
      <c r="DK208" s="154"/>
      <c r="DL208" s="154"/>
      <c r="DM208" s="154"/>
      <c r="DN208" s="154"/>
      <c r="DO208" s="154"/>
      <c r="DP208" s="154"/>
      <c r="DQ208" s="154"/>
      <c r="DR208" s="154"/>
      <c r="DS208" s="154"/>
      <c r="DT208" s="154"/>
      <c r="DU208" s="154"/>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row>
    <row r="209" spans="2:153" ht="12.95" customHeight="1">
      <c r="B209" s="154"/>
      <c r="C209" s="380"/>
      <c r="D209" s="380"/>
      <c r="E209" s="154"/>
      <c r="F209" s="154"/>
      <c r="G209" s="154"/>
      <c r="H209" s="154"/>
      <c r="I209" s="154"/>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367"/>
      <c r="AG209" s="368"/>
      <c r="AH209" s="368"/>
      <c r="AI209" s="368"/>
      <c r="AJ209" s="154"/>
      <c r="AK209" s="154"/>
      <c r="AL209" s="154"/>
      <c r="AM209" s="154"/>
      <c r="AN209" s="154"/>
      <c r="AO209" s="154"/>
      <c r="AP209" s="154"/>
      <c r="AQ209" s="154"/>
      <c r="AR209" s="154"/>
      <c r="AS209" s="154"/>
      <c r="AT209" s="154"/>
      <c r="AU209" s="154"/>
      <c r="AV209" s="154"/>
      <c r="AW209" s="154"/>
      <c r="AX209" s="154"/>
      <c r="AY209" s="154"/>
      <c r="AZ209" s="154"/>
      <c r="BA209" s="154"/>
      <c r="BB209" s="154"/>
      <c r="BC209" s="154"/>
      <c r="BD209" s="154"/>
      <c r="BE209" s="154"/>
      <c r="BF209" s="154"/>
      <c r="BG209" s="154"/>
      <c r="BH209" s="154"/>
      <c r="BI209" s="154"/>
      <c r="BJ209" s="154"/>
      <c r="BK209" s="154"/>
      <c r="BL209" s="154"/>
      <c r="BM209" s="154"/>
      <c r="BN209" s="154"/>
      <c r="BO209" s="154"/>
      <c r="BP209" s="154"/>
      <c r="BQ209" s="154"/>
      <c r="BR209" s="154"/>
      <c r="BS209" s="154"/>
      <c r="BT209" s="154"/>
      <c r="BU209" s="154"/>
      <c r="BV209" s="154"/>
      <c r="BW209" s="154"/>
      <c r="BX209" s="154"/>
      <c r="BY209" s="154"/>
      <c r="BZ209" s="154"/>
      <c r="CA209" s="154"/>
      <c r="CB209" s="154"/>
      <c r="CC209" s="154"/>
      <c r="CD209" s="154"/>
      <c r="CE209" s="154"/>
      <c r="CF209" s="154"/>
      <c r="CG209" s="154"/>
      <c r="CH209" s="154"/>
      <c r="CI209" s="154"/>
      <c r="CJ209" s="154"/>
      <c r="CK209" s="154"/>
      <c r="CL209" s="154"/>
      <c r="CM209" s="154"/>
      <c r="CN209" s="154"/>
      <c r="CO209" s="154"/>
      <c r="CP209" s="154"/>
      <c r="CQ209" s="154"/>
      <c r="CR209" s="154"/>
      <c r="CS209" s="154"/>
      <c r="CT209" s="154"/>
      <c r="CU209" s="154"/>
      <c r="CV209" s="154"/>
      <c r="CW209" s="154"/>
      <c r="CX209" s="154"/>
      <c r="CY209" s="154"/>
      <c r="CZ209" s="154"/>
      <c r="DA209" s="154"/>
      <c r="DB209" s="154"/>
      <c r="DC209" s="154"/>
      <c r="DD209" s="154"/>
      <c r="DE209" s="154"/>
      <c r="DF209" s="154"/>
      <c r="DG209" s="154"/>
      <c r="DH209" s="154"/>
      <c r="DI209" s="154"/>
      <c r="DJ209" s="154"/>
      <c r="DK209" s="154"/>
      <c r="DL209" s="154"/>
      <c r="DM209" s="154"/>
      <c r="DN209" s="154"/>
      <c r="DO209" s="154"/>
      <c r="DP209" s="154"/>
      <c r="DQ209" s="154"/>
      <c r="DR209" s="154"/>
      <c r="DS209" s="154"/>
      <c r="DT209" s="154"/>
      <c r="DU209" s="154"/>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row>
    <row r="210" spans="2:153" ht="12.95" customHeight="1">
      <c r="B210" s="154"/>
      <c r="C210" s="380"/>
      <c r="D210" s="380"/>
      <c r="E210" s="154"/>
      <c r="F210" s="154"/>
      <c r="G210" s="154"/>
      <c r="H210" s="154"/>
      <c r="I210" s="154"/>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367"/>
      <c r="AG210" s="368"/>
      <c r="AH210" s="368"/>
      <c r="AI210" s="368"/>
      <c r="AJ210" s="154"/>
      <c r="AK210" s="154"/>
      <c r="AL210" s="154"/>
      <c r="AM210" s="154"/>
      <c r="AN210" s="154"/>
      <c r="AO210" s="154"/>
      <c r="AP210" s="154"/>
      <c r="AQ210" s="154"/>
      <c r="AR210" s="154"/>
      <c r="AS210" s="154"/>
      <c r="AT210" s="154"/>
      <c r="AU210" s="154"/>
      <c r="AV210" s="154"/>
      <c r="AW210" s="154"/>
      <c r="AX210" s="154"/>
      <c r="AY210" s="154"/>
      <c r="AZ210" s="154"/>
      <c r="BA210" s="154"/>
      <c r="BB210" s="154"/>
      <c r="BC210" s="154"/>
      <c r="BD210" s="154"/>
      <c r="BE210" s="154"/>
      <c r="BF210" s="154"/>
      <c r="BG210" s="154"/>
      <c r="BH210" s="154"/>
      <c r="BI210" s="154"/>
      <c r="BJ210" s="154"/>
      <c r="BK210" s="154"/>
      <c r="BL210" s="154"/>
      <c r="BM210" s="154"/>
      <c r="BN210" s="154"/>
      <c r="BO210" s="154"/>
      <c r="BP210" s="154"/>
      <c r="BQ210" s="154"/>
      <c r="BR210" s="154"/>
      <c r="BS210" s="154"/>
      <c r="BT210" s="154"/>
      <c r="BU210" s="154"/>
      <c r="BV210" s="154"/>
      <c r="BW210" s="154"/>
      <c r="BX210" s="154"/>
      <c r="BY210" s="154"/>
      <c r="BZ210" s="154"/>
      <c r="CA210" s="154"/>
      <c r="CB210" s="154"/>
      <c r="CC210" s="154"/>
      <c r="CD210" s="154"/>
      <c r="CE210" s="154"/>
      <c r="CF210" s="154"/>
      <c r="CG210" s="154"/>
      <c r="CH210" s="154"/>
      <c r="CI210" s="154"/>
      <c r="CJ210" s="154"/>
      <c r="CK210" s="154"/>
      <c r="CL210" s="154"/>
      <c r="CM210" s="154"/>
      <c r="CN210" s="154"/>
      <c r="CO210" s="154"/>
      <c r="CP210" s="154"/>
      <c r="CQ210" s="154"/>
      <c r="CR210" s="154"/>
      <c r="CS210" s="154"/>
      <c r="CT210" s="154"/>
      <c r="CU210" s="154"/>
      <c r="CV210" s="154"/>
      <c r="CW210" s="154"/>
      <c r="CX210" s="154"/>
      <c r="CY210" s="154"/>
      <c r="CZ210" s="154"/>
      <c r="DA210" s="154"/>
      <c r="DB210" s="154"/>
      <c r="DC210" s="154"/>
      <c r="DD210" s="154"/>
      <c r="DE210" s="154"/>
      <c r="DF210" s="154"/>
      <c r="DG210" s="154"/>
      <c r="DH210" s="154"/>
      <c r="DI210" s="154"/>
      <c r="DJ210" s="154"/>
      <c r="DK210" s="154"/>
      <c r="DL210" s="154"/>
      <c r="DM210" s="154"/>
      <c r="DN210" s="154"/>
      <c r="DO210" s="154"/>
      <c r="DP210" s="154"/>
      <c r="DQ210" s="154"/>
      <c r="DR210" s="154"/>
      <c r="DS210" s="154"/>
      <c r="DT210" s="154"/>
      <c r="DU210" s="154"/>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row>
    <row r="211" spans="2:153" ht="12.95" customHeight="1">
      <c r="B211" s="154"/>
      <c r="C211" s="380"/>
      <c r="D211" s="380"/>
      <c r="E211" s="154"/>
      <c r="F211" s="154"/>
      <c r="G211" s="154"/>
      <c r="H211" s="154"/>
      <c r="I211" s="154"/>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367"/>
      <c r="AG211" s="368"/>
      <c r="AH211" s="368"/>
      <c r="AI211" s="368"/>
      <c r="AJ211" s="154"/>
      <c r="AK211" s="154"/>
      <c r="AL211" s="154"/>
      <c r="AM211" s="154"/>
      <c r="AN211" s="154"/>
      <c r="AO211" s="154"/>
      <c r="AP211" s="154"/>
      <c r="AQ211" s="154"/>
      <c r="AR211" s="154"/>
      <c r="AS211" s="154"/>
      <c r="AT211" s="154"/>
      <c r="AU211" s="154"/>
      <c r="AV211" s="154"/>
      <c r="AW211" s="154"/>
      <c r="AX211" s="154"/>
      <c r="AY211" s="154"/>
      <c r="AZ211" s="154"/>
      <c r="BA211" s="154"/>
      <c r="BB211" s="154"/>
      <c r="BC211" s="154"/>
      <c r="BD211" s="154"/>
      <c r="BE211" s="154"/>
      <c r="BF211" s="154"/>
      <c r="BG211" s="154"/>
      <c r="BH211" s="154"/>
      <c r="BI211" s="154"/>
      <c r="BJ211" s="154"/>
      <c r="BK211" s="154"/>
      <c r="BL211" s="154"/>
      <c r="BM211" s="154"/>
      <c r="BN211" s="154"/>
      <c r="BO211" s="154"/>
      <c r="BP211" s="154"/>
      <c r="BQ211" s="154"/>
      <c r="BR211" s="154"/>
      <c r="BS211" s="154"/>
      <c r="BT211" s="154"/>
      <c r="BU211" s="154"/>
      <c r="BV211" s="154"/>
      <c r="BW211" s="154"/>
      <c r="BX211" s="154"/>
      <c r="BY211" s="154"/>
      <c r="BZ211" s="154"/>
      <c r="CA211" s="154"/>
      <c r="CB211" s="154"/>
      <c r="CC211" s="154"/>
      <c r="CD211" s="154"/>
      <c r="CE211" s="154"/>
      <c r="CF211" s="154"/>
      <c r="CG211" s="154"/>
      <c r="CH211" s="154"/>
      <c r="CI211" s="154"/>
      <c r="CJ211" s="154"/>
      <c r="CK211" s="154"/>
      <c r="CL211" s="154"/>
      <c r="CM211" s="154"/>
      <c r="CN211" s="154"/>
      <c r="CO211" s="154"/>
      <c r="CP211" s="154"/>
      <c r="CQ211" s="154"/>
      <c r="CR211" s="154"/>
      <c r="CS211" s="154"/>
      <c r="CT211" s="154"/>
      <c r="CU211" s="154"/>
      <c r="CV211" s="154"/>
      <c r="CW211" s="154"/>
      <c r="CX211" s="154"/>
      <c r="CY211" s="154"/>
      <c r="CZ211" s="154"/>
      <c r="DA211" s="154"/>
      <c r="DB211" s="154"/>
      <c r="DC211" s="154"/>
      <c r="DD211" s="154"/>
      <c r="DE211" s="154"/>
      <c r="DF211" s="154"/>
      <c r="DG211" s="154"/>
      <c r="DH211" s="154"/>
      <c r="DI211" s="154"/>
      <c r="DJ211" s="154"/>
      <c r="DK211" s="154"/>
      <c r="DL211" s="154"/>
      <c r="DM211" s="154"/>
      <c r="DN211" s="154"/>
      <c r="DO211" s="154"/>
      <c r="DP211" s="154"/>
      <c r="DQ211" s="154"/>
      <c r="DR211" s="154"/>
      <c r="DS211" s="154"/>
      <c r="DT211" s="154"/>
      <c r="DU211" s="154"/>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row>
    <row r="212" spans="2:153" ht="12.95" customHeight="1">
      <c r="B212" s="154"/>
      <c r="C212" s="380"/>
      <c r="D212" s="380"/>
      <c r="E212" s="154"/>
      <c r="F212" s="154"/>
      <c r="G212" s="154"/>
      <c r="H212" s="154"/>
      <c r="I212" s="154"/>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367"/>
      <c r="AG212" s="368"/>
      <c r="AH212" s="368"/>
      <c r="AI212" s="368"/>
      <c r="AJ212" s="154"/>
      <c r="AK212" s="154"/>
      <c r="AL212" s="154"/>
      <c r="AM212" s="154"/>
      <c r="AN212" s="154"/>
      <c r="AO212" s="154"/>
      <c r="AP212" s="154"/>
      <c r="AQ212" s="154"/>
      <c r="AR212" s="154"/>
      <c r="AS212" s="154"/>
      <c r="AT212" s="154"/>
      <c r="AU212" s="154"/>
      <c r="AV212" s="154"/>
      <c r="AW212" s="154"/>
      <c r="AX212" s="154"/>
      <c r="AY212" s="154"/>
      <c r="AZ212" s="154"/>
      <c r="BA212" s="154"/>
      <c r="BB212" s="154"/>
      <c r="BC212" s="154"/>
      <c r="BD212" s="154"/>
      <c r="BE212" s="154"/>
      <c r="BF212" s="154"/>
      <c r="BG212" s="154"/>
      <c r="BH212" s="154"/>
      <c r="BI212" s="154"/>
      <c r="BJ212" s="154"/>
      <c r="BK212" s="154"/>
      <c r="BL212" s="154"/>
      <c r="BM212" s="154"/>
      <c r="BN212" s="154"/>
      <c r="BO212" s="154"/>
      <c r="BP212" s="154"/>
      <c r="BQ212" s="154"/>
      <c r="BR212" s="154"/>
      <c r="BS212" s="154"/>
      <c r="BT212" s="154"/>
      <c r="BU212" s="154"/>
      <c r="BV212" s="154"/>
      <c r="BW212" s="154"/>
      <c r="BX212" s="154"/>
      <c r="BY212" s="154"/>
      <c r="BZ212" s="154"/>
      <c r="CA212" s="154"/>
      <c r="CB212" s="154"/>
      <c r="CC212" s="154"/>
      <c r="CD212" s="154"/>
      <c r="CE212" s="154"/>
      <c r="CF212" s="154"/>
      <c r="CG212" s="154"/>
      <c r="CH212" s="154"/>
      <c r="CI212" s="154"/>
      <c r="CJ212" s="154"/>
      <c r="CK212" s="154"/>
      <c r="CL212" s="154"/>
      <c r="CM212" s="154"/>
      <c r="CN212" s="154"/>
      <c r="CO212" s="154"/>
      <c r="CP212" s="154"/>
      <c r="CQ212" s="154"/>
      <c r="CR212" s="154"/>
      <c r="CS212" s="154"/>
      <c r="CT212" s="154"/>
      <c r="CU212" s="154"/>
      <c r="CV212" s="154"/>
      <c r="CW212" s="154"/>
      <c r="CX212" s="154"/>
      <c r="CY212" s="154"/>
      <c r="CZ212" s="154"/>
      <c r="DA212" s="154"/>
      <c r="DB212" s="154"/>
      <c r="DC212" s="154"/>
      <c r="DD212" s="154"/>
      <c r="DE212" s="154"/>
      <c r="DF212" s="154"/>
      <c r="DG212" s="154"/>
      <c r="DH212" s="154"/>
      <c r="DI212" s="154"/>
      <c r="DJ212" s="154"/>
      <c r="DK212" s="154"/>
      <c r="DL212" s="154"/>
      <c r="DM212" s="154"/>
      <c r="DN212" s="154"/>
      <c r="DO212" s="154"/>
      <c r="DP212" s="154"/>
      <c r="DQ212" s="154"/>
      <c r="DR212" s="154"/>
      <c r="DS212" s="154"/>
      <c r="DT212" s="154"/>
      <c r="DU212" s="154"/>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row>
    <row r="213" spans="2:153" ht="12.95" customHeight="1">
      <c r="B213" s="154"/>
      <c r="C213" s="380"/>
      <c r="D213" s="380"/>
      <c r="E213" s="154"/>
      <c r="F213" s="154"/>
      <c r="G213" s="154"/>
      <c r="H213" s="154"/>
      <c r="I213" s="154"/>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367"/>
      <c r="AG213" s="368"/>
      <c r="AH213" s="368"/>
      <c r="AI213" s="368"/>
      <c r="AJ213" s="154"/>
      <c r="AK213" s="154"/>
      <c r="AL213" s="154"/>
      <c r="AM213" s="154"/>
      <c r="AN213" s="154"/>
      <c r="AO213" s="154"/>
      <c r="AP213" s="154"/>
      <c r="AQ213" s="154"/>
      <c r="AR213" s="154"/>
      <c r="AS213" s="154"/>
      <c r="AT213" s="154"/>
      <c r="AU213" s="154"/>
      <c r="AV213" s="154"/>
      <c r="AW213" s="154"/>
      <c r="AX213" s="154"/>
      <c r="AY213" s="154"/>
      <c r="AZ213" s="154"/>
      <c r="BA213" s="154"/>
      <c r="BB213" s="154"/>
      <c r="BC213" s="154"/>
      <c r="BD213" s="154"/>
      <c r="BE213" s="154"/>
      <c r="BF213" s="154"/>
      <c r="BG213" s="154"/>
      <c r="BH213" s="154"/>
      <c r="BI213" s="154"/>
      <c r="BJ213" s="154"/>
      <c r="BK213" s="154"/>
      <c r="BL213" s="154"/>
      <c r="BM213" s="154"/>
      <c r="BN213" s="154"/>
      <c r="BO213" s="154"/>
      <c r="BP213" s="154"/>
      <c r="BQ213" s="154"/>
      <c r="BR213" s="154"/>
      <c r="BS213" s="154"/>
      <c r="BT213" s="154"/>
      <c r="BU213" s="154"/>
      <c r="BV213" s="154"/>
      <c r="BW213" s="154"/>
      <c r="BX213" s="154"/>
      <c r="BY213" s="154"/>
      <c r="BZ213" s="154"/>
      <c r="CA213" s="154"/>
      <c r="CB213" s="154"/>
      <c r="CC213" s="154"/>
      <c r="CD213" s="154"/>
      <c r="CE213" s="154"/>
      <c r="CF213" s="154"/>
      <c r="CG213" s="154"/>
      <c r="CH213" s="154"/>
      <c r="CI213" s="154"/>
      <c r="CJ213" s="154"/>
      <c r="CK213" s="154"/>
      <c r="CL213" s="154"/>
      <c r="CM213" s="154"/>
      <c r="CN213" s="154"/>
      <c r="CO213" s="154"/>
      <c r="CP213" s="154"/>
      <c r="CQ213" s="154"/>
      <c r="CR213" s="154"/>
      <c r="CS213" s="154"/>
      <c r="CT213" s="154"/>
      <c r="CU213" s="154"/>
      <c r="CV213" s="154"/>
      <c r="CW213" s="154"/>
      <c r="CX213" s="154"/>
      <c r="CY213" s="154"/>
      <c r="CZ213" s="154"/>
      <c r="DA213" s="154"/>
      <c r="DB213" s="154"/>
      <c r="DC213" s="154"/>
      <c r="DD213" s="154"/>
      <c r="DE213" s="154"/>
      <c r="DF213" s="154"/>
      <c r="DG213" s="154"/>
      <c r="DH213" s="154"/>
      <c r="DI213" s="154"/>
      <c r="DJ213" s="154"/>
      <c r="DK213" s="154"/>
      <c r="DL213" s="154"/>
      <c r="DM213" s="154"/>
      <c r="DN213" s="154"/>
      <c r="DO213" s="154"/>
      <c r="DP213" s="154"/>
      <c r="DQ213" s="154"/>
      <c r="DR213" s="154"/>
      <c r="DS213" s="154"/>
      <c r="DT213" s="154"/>
      <c r="DU213" s="154"/>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row>
    <row r="214" spans="2:153" ht="12.95" customHeight="1">
      <c r="B214" s="154"/>
      <c r="C214" s="380"/>
      <c r="D214" s="380"/>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367"/>
      <c r="AG214" s="368"/>
      <c r="AH214" s="368"/>
      <c r="AI214" s="368"/>
      <c r="AJ214" s="154"/>
      <c r="AK214" s="154"/>
      <c r="AL214" s="154"/>
      <c r="AM214" s="154"/>
      <c r="AN214" s="154"/>
      <c r="AO214" s="154"/>
      <c r="AP214" s="154"/>
      <c r="AQ214" s="154"/>
      <c r="AR214" s="154"/>
      <c r="AS214" s="154"/>
      <c r="AT214" s="154"/>
      <c r="AU214" s="154"/>
      <c r="AV214" s="154"/>
      <c r="AW214" s="154"/>
      <c r="AX214" s="154"/>
      <c r="AY214" s="154"/>
      <c r="AZ214" s="154"/>
      <c r="BA214" s="154"/>
      <c r="BB214" s="154"/>
      <c r="BC214" s="154"/>
      <c r="BD214" s="154"/>
      <c r="BE214" s="154"/>
      <c r="BF214" s="154"/>
      <c r="BG214" s="154"/>
      <c r="BH214" s="154"/>
      <c r="BI214" s="154"/>
      <c r="BJ214" s="154"/>
      <c r="BK214" s="154"/>
      <c r="BL214" s="154"/>
      <c r="BM214" s="154"/>
      <c r="BN214" s="154"/>
      <c r="BO214" s="154"/>
      <c r="BP214" s="154"/>
      <c r="BQ214" s="154"/>
      <c r="BR214" s="154"/>
      <c r="BS214" s="154"/>
      <c r="BT214" s="154"/>
      <c r="BU214" s="154"/>
      <c r="BV214" s="154"/>
      <c r="BW214" s="154"/>
      <c r="BX214" s="154"/>
      <c r="BY214" s="154"/>
      <c r="BZ214" s="154"/>
      <c r="CA214" s="154"/>
      <c r="CB214" s="154"/>
      <c r="CC214" s="154"/>
      <c r="CD214" s="154"/>
      <c r="CE214" s="154"/>
      <c r="CF214" s="154"/>
      <c r="CG214" s="154"/>
      <c r="CH214" s="154"/>
      <c r="CI214" s="154"/>
      <c r="CJ214" s="154"/>
      <c r="CK214" s="154"/>
      <c r="CL214" s="154"/>
      <c r="CM214" s="154"/>
      <c r="CN214" s="154"/>
      <c r="CO214" s="154"/>
      <c r="CP214" s="154"/>
      <c r="CQ214" s="154"/>
      <c r="CR214" s="154"/>
      <c r="CS214" s="154"/>
      <c r="CT214" s="154"/>
      <c r="CU214" s="154"/>
      <c r="CV214" s="154"/>
      <c r="CW214" s="154"/>
      <c r="CX214" s="154"/>
      <c r="CY214" s="154"/>
      <c r="CZ214" s="154"/>
      <c r="DA214" s="154"/>
      <c r="DB214" s="154"/>
      <c r="DC214" s="154"/>
      <c r="DD214" s="154"/>
      <c r="DE214" s="154"/>
      <c r="DF214" s="154"/>
      <c r="DG214" s="154"/>
      <c r="DH214" s="154"/>
      <c r="DI214" s="154"/>
      <c r="DJ214" s="154"/>
      <c r="DK214" s="154"/>
      <c r="DL214" s="154"/>
      <c r="DM214" s="154"/>
      <c r="DN214" s="154"/>
      <c r="DO214" s="154"/>
      <c r="DP214" s="154"/>
      <c r="DQ214" s="154"/>
      <c r="DR214" s="154"/>
      <c r="DS214" s="154"/>
      <c r="DT214" s="154"/>
      <c r="DU214" s="154"/>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row>
    <row r="215" spans="2:153" ht="12.95" customHeight="1">
      <c r="B215" s="154"/>
      <c r="C215" s="380"/>
      <c r="D215" s="380"/>
      <c r="E215" s="154"/>
      <c r="F215" s="154"/>
      <c r="G215" s="154"/>
      <c r="H215" s="154"/>
      <c r="I215" s="154"/>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367"/>
      <c r="AG215" s="368"/>
      <c r="AH215" s="368"/>
      <c r="AI215" s="368"/>
      <c r="AJ215" s="154"/>
      <c r="AK215" s="154"/>
      <c r="AL215" s="154"/>
      <c r="AM215" s="154"/>
      <c r="AN215" s="154"/>
      <c r="AO215" s="154"/>
      <c r="AP215" s="154"/>
      <c r="AQ215" s="154"/>
      <c r="AR215" s="154"/>
      <c r="AS215" s="154"/>
      <c r="AT215" s="154"/>
      <c r="AU215" s="154"/>
      <c r="AV215" s="154"/>
      <c r="AW215" s="154"/>
      <c r="AX215" s="154"/>
      <c r="AY215" s="154"/>
      <c r="AZ215" s="154"/>
      <c r="BA215" s="154"/>
      <c r="BB215" s="154"/>
      <c r="BC215" s="154"/>
      <c r="BD215" s="154"/>
      <c r="BE215" s="154"/>
      <c r="BF215" s="154"/>
      <c r="BG215" s="154"/>
      <c r="BH215" s="154"/>
      <c r="BI215" s="154"/>
      <c r="BJ215" s="154"/>
      <c r="BK215" s="154"/>
      <c r="BL215" s="154"/>
      <c r="BM215" s="154"/>
      <c r="BN215" s="154"/>
      <c r="BO215" s="154"/>
      <c r="BP215" s="154"/>
      <c r="BQ215" s="154"/>
      <c r="BR215" s="154"/>
      <c r="BS215" s="154"/>
      <c r="BT215" s="154"/>
      <c r="BU215" s="154"/>
      <c r="BV215" s="154"/>
      <c r="BW215" s="154"/>
      <c r="BX215" s="154"/>
      <c r="BY215" s="154"/>
      <c r="BZ215" s="154"/>
      <c r="CA215" s="154"/>
      <c r="CB215" s="154"/>
      <c r="CC215" s="154"/>
      <c r="CD215" s="154"/>
      <c r="CE215" s="154"/>
      <c r="CF215" s="154"/>
      <c r="CG215" s="154"/>
      <c r="CH215" s="154"/>
      <c r="CI215" s="154"/>
      <c r="CJ215" s="154"/>
      <c r="CK215" s="154"/>
      <c r="CL215" s="154"/>
      <c r="CM215" s="154"/>
      <c r="CN215" s="154"/>
      <c r="CO215" s="154"/>
      <c r="CP215" s="154"/>
      <c r="CQ215" s="154"/>
      <c r="CR215" s="154"/>
      <c r="CS215" s="154"/>
      <c r="CT215" s="154"/>
      <c r="CU215" s="154"/>
      <c r="CV215" s="154"/>
      <c r="CW215" s="154"/>
      <c r="CX215" s="154"/>
      <c r="CY215" s="154"/>
      <c r="CZ215" s="154"/>
      <c r="DA215" s="154"/>
      <c r="DB215" s="154"/>
      <c r="DC215" s="154"/>
      <c r="DD215" s="154"/>
      <c r="DE215" s="154"/>
      <c r="DF215" s="154"/>
      <c r="DG215" s="154"/>
      <c r="DH215" s="154"/>
      <c r="DI215" s="154"/>
      <c r="DJ215" s="154"/>
      <c r="DK215" s="154"/>
      <c r="DL215" s="154"/>
      <c r="DM215" s="154"/>
      <c r="DN215" s="154"/>
      <c r="DO215" s="154"/>
      <c r="DP215" s="154"/>
      <c r="DQ215" s="154"/>
      <c r="DR215" s="154"/>
      <c r="DS215" s="154"/>
      <c r="DT215" s="154"/>
      <c r="DU215" s="154"/>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row>
    <row r="216" spans="2:153" ht="12.95" customHeight="1">
      <c r="B216" s="154"/>
      <c r="C216" s="380"/>
      <c r="D216" s="380"/>
      <c r="E216" s="154"/>
      <c r="F216" s="154"/>
      <c r="G216" s="154"/>
      <c r="H216" s="154"/>
      <c r="I216" s="154"/>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367"/>
      <c r="AG216" s="368"/>
      <c r="AH216" s="368"/>
      <c r="AI216" s="368"/>
      <c r="AJ216" s="154"/>
      <c r="AK216" s="154"/>
      <c r="AL216" s="154"/>
      <c r="AM216" s="154"/>
      <c r="AN216" s="154"/>
      <c r="AO216" s="154"/>
      <c r="AP216" s="154"/>
      <c r="AQ216" s="154"/>
      <c r="AR216" s="154"/>
      <c r="AS216" s="154"/>
      <c r="AT216" s="154"/>
      <c r="AU216" s="154"/>
      <c r="AV216" s="154"/>
      <c r="AW216" s="154"/>
      <c r="AX216" s="154"/>
      <c r="AY216" s="154"/>
      <c r="AZ216" s="154"/>
      <c r="BA216" s="154"/>
      <c r="BB216" s="154"/>
      <c r="BC216" s="154"/>
      <c r="BD216" s="154"/>
      <c r="BE216" s="154"/>
      <c r="BF216" s="154"/>
      <c r="BG216" s="154"/>
      <c r="BH216" s="154"/>
      <c r="BI216" s="154"/>
      <c r="BJ216" s="154"/>
      <c r="BK216" s="154"/>
      <c r="BL216" s="154"/>
      <c r="BM216" s="154"/>
      <c r="BN216" s="154"/>
      <c r="BO216" s="154"/>
      <c r="BP216" s="154"/>
      <c r="BQ216" s="154"/>
      <c r="BR216" s="154"/>
      <c r="BS216" s="154"/>
      <c r="BT216" s="154"/>
      <c r="BU216" s="154"/>
      <c r="BV216" s="154"/>
      <c r="BW216" s="154"/>
      <c r="BX216" s="154"/>
      <c r="BY216" s="154"/>
      <c r="BZ216" s="154"/>
      <c r="CA216" s="154"/>
      <c r="CB216" s="154"/>
      <c r="CC216" s="154"/>
      <c r="CD216" s="154"/>
      <c r="CE216" s="154"/>
      <c r="CF216" s="154"/>
      <c r="CG216" s="154"/>
      <c r="CH216" s="154"/>
      <c r="CI216" s="154"/>
      <c r="CJ216" s="154"/>
      <c r="CK216" s="154"/>
      <c r="CL216" s="154"/>
      <c r="CM216" s="154"/>
      <c r="CN216" s="154"/>
      <c r="CO216" s="154"/>
      <c r="CP216" s="154"/>
      <c r="CQ216" s="154"/>
      <c r="CR216" s="154"/>
      <c r="CS216" s="154"/>
      <c r="CT216" s="154"/>
      <c r="CU216" s="154"/>
      <c r="CV216" s="154"/>
      <c r="CW216" s="154"/>
      <c r="CX216" s="154"/>
      <c r="CY216" s="154"/>
      <c r="CZ216" s="154"/>
      <c r="DA216" s="154"/>
      <c r="DB216" s="154"/>
      <c r="DC216" s="154"/>
      <c r="DD216" s="154"/>
      <c r="DE216" s="154"/>
      <c r="DF216" s="154"/>
      <c r="DG216" s="154"/>
      <c r="DH216" s="154"/>
      <c r="DI216" s="154"/>
      <c r="DJ216" s="154"/>
      <c r="DK216" s="154"/>
      <c r="DL216" s="154"/>
      <c r="DM216" s="154"/>
      <c r="DN216" s="154"/>
      <c r="DO216" s="154"/>
      <c r="DP216" s="154"/>
      <c r="DQ216" s="154"/>
      <c r="DR216" s="154"/>
      <c r="DS216" s="154"/>
      <c r="DT216" s="154"/>
      <c r="DU216" s="154"/>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row>
    <row r="217" spans="2:153" ht="12.95" customHeight="1">
      <c r="B217" s="154"/>
      <c r="C217" s="380"/>
      <c r="D217" s="380"/>
      <c r="E217" s="154"/>
      <c r="F217" s="154"/>
      <c r="G217" s="154"/>
      <c r="H217" s="154"/>
      <c r="I217" s="154"/>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367"/>
      <c r="AG217" s="368"/>
      <c r="AH217" s="368"/>
      <c r="AI217" s="368"/>
      <c r="AJ217" s="154"/>
      <c r="AK217" s="154"/>
      <c r="AL217" s="154"/>
      <c r="AM217" s="154"/>
      <c r="AN217" s="154"/>
      <c r="AO217" s="154"/>
      <c r="AP217" s="154"/>
      <c r="AQ217" s="154"/>
      <c r="AR217" s="154"/>
      <c r="AS217" s="154"/>
      <c r="AT217" s="154"/>
      <c r="AU217" s="154"/>
      <c r="AV217" s="154"/>
      <c r="AW217" s="154"/>
      <c r="AX217" s="154"/>
      <c r="AY217" s="154"/>
      <c r="AZ217" s="154"/>
      <c r="BA217" s="154"/>
      <c r="BB217" s="154"/>
      <c r="BC217" s="154"/>
      <c r="BD217" s="154"/>
      <c r="BE217" s="154"/>
      <c r="BF217" s="154"/>
      <c r="BG217" s="154"/>
      <c r="BH217" s="154"/>
      <c r="BI217" s="154"/>
      <c r="BJ217" s="154"/>
      <c r="BK217" s="154"/>
      <c r="BL217" s="154"/>
      <c r="BM217" s="154"/>
      <c r="BN217" s="154"/>
      <c r="BO217" s="154"/>
      <c r="BP217" s="154"/>
      <c r="BQ217" s="154"/>
      <c r="BR217" s="154"/>
      <c r="BS217" s="154"/>
      <c r="BT217" s="154"/>
      <c r="BU217" s="154"/>
      <c r="BV217" s="154"/>
      <c r="BW217" s="154"/>
      <c r="BX217" s="154"/>
      <c r="BY217" s="154"/>
      <c r="BZ217" s="154"/>
      <c r="CA217" s="154"/>
      <c r="CB217" s="154"/>
      <c r="CC217" s="154"/>
      <c r="CD217" s="154"/>
      <c r="CE217" s="154"/>
      <c r="CF217" s="154"/>
      <c r="CG217" s="154"/>
      <c r="CH217" s="154"/>
      <c r="CI217" s="154"/>
      <c r="CJ217" s="154"/>
      <c r="CK217" s="154"/>
      <c r="CL217" s="154"/>
      <c r="CM217" s="154"/>
      <c r="CN217" s="154"/>
      <c r="CO217" s="154"/>
      <c r="CP217" s="154"/>
      <c r="CQ217" s="154"/>
      <c r="CR217" s="154"/>
      <c r="CS217" s="154"/>
      <c r="CT217" s="154"/>
      <c r="CU217" s="154"/>
      <c r="CV217" s="154"/>
      <c r="CW217" s="154"/>
      <c r="CX217" s="154"/>
      <c r="CY217" s="154"/>
      <c r="CZ217" s="154"/>
      <c r="DA217" s="154"/>
      <c r="DB217" s="154"/>
      <c r="DC217" s="154"/>
      <c r="DD217" s="154"/>
      <c r="DE217" s="154"/>
      <c r="DF217" s="154"/>
      <c r="DG217" s="154"/>
      <c r="DH217" s="154"/>
      <c r="DI217" s="154"/>
      <c r="DJ217" s="154"/>
      <c r="DK217" s="154"/>
      <c r="DL217" s="154"/>
      <c r="DM217" s="154"/>
      <c r="DN217" s="154"/>
      <c r="DO217" s="154"/>
      <c r="DP217" s="154"/>
      <c r="DQ217" s="154"/>
      <c r="DR217" s="154"/>
      <c r="DS217" s="154"/>
      <c r="DT217" s="154"/>
      <c r="DU217" s="154"/>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row>
    <row r="218" spans="2:153" ht="12.95" customHeight="1">
      <c r="B218" s="154"/>
      <c r="C218" s="380"/>
      <c r="D218" s="380"/>
      <c r="E218" s="154"/>
      <c r="F218" s="154"/>
      <c r="G218" s="154"/>
      <c r="H218" s="154"/>
      <c r="I218" s="154"/>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367"/>
      <c r="AG218" s="368"/>
      <c r="AH218" s="368"/>
      <c r="AI218" s="368"/>
      <c r="AJ218" s="154"/>
      <c r="AK218" s="154"/>
      <c r="AL218" s="154"/>
      <c r="AM218" s="154"/>
      <c r="AN218" s="154"/>
      <c r="AO218" s="154"/>
      <c r="AP218" s="154"/>
      <c r="AQ218" s="154"/>
      <c r="AR218" s="154"/>
      <c r="AS218" s="154"/>
      <c r="AT218" s="154"/>
      <c r="AU218" s="154"/>
      <c r="AV218" s="154"/>
      <c r="AW218" s="154"/>
      <c r="AX218" s="154"/>
      <c r="AY218" s="154"/>
      <c r="AZ218" s="154"/>
      <c r="BA218" s="154"/>
      <c r="BB218" s="154"/>
      <c r="BC218" s="154"/>
      <c r="BD218" s="154"/>
      <c r="BE218" s="154"/>
      <c r="BF218" s="154"/>
      <c r="BG218" s="154"/>
      <c r="BH218" s="154"/>
      <c r="BI218" s="154"/>
      <c r="BJ218" s="154"/>
      <c r="BK218" s="154"/>
      <c r="BL218" s="154"/>
      <c r="BM218" s="154"/>
      <c r="BN218" s="154"/>
      <c r="BO218" s="154"/>
      <c r="BP218" s="154"/>
      <c r="BQ218" s="154"/>
      <c r="BR218" s="154"/>
      <c r="BS218" s="154"/>
      <c r="BT218" s="154"/>
      <c r="BU218" s="154"/>
      <c r="BV218" s="154"/>
      <c r="BW218" s="154"/>
      <c r="BX218" s="154"/>
      <c r="BY218" s="154"/>
      <c r="BZ218" s="154"/>
      <c r="CA218" s="154"/>
      <c r="CB218" s="154"/>
      <c r="CC218" s="154"/>
      <c r="CD218" s="154"/>
      <c r="CE218" s="154"/>
      <c r="CF218" s="154"/>
      <c r="CG218" s="154"/>
      <c r="CH218" s="154"/>
      <c r="CI218" s="154"/>
      <c r="CJ218" s="154"/>
      <c r="CK218" s="154"/>
      <c r="CL218" s="154"/>
      <c r="CM218" s="154"/>
      <c r="CN218" s="154"/>
      <c r="CO218" s="154"/>
      <c r="CP218" s="154"/>
      <c r="CQ218" s="154"/>
      <c r="CR218" s="154"/>
      <c r="CS218" s="154"/>
      <c r="CT218" s="154"/>
      <c r="CU218" s="154"/>
      <c r="CV218" s="154"/>
      <c r="CW218" s="154"/>
      <c r="CX218" s="154"/>
      <c r="CY218" s="154"/>
      <c r="CZ218" s="154"/>
      <c r="DA218" s="154"/>
      <c r="DB218" s="154"/>
      <c r="DC218" s="154"/>
      <c r="DD218" s="154"/>
      <c r="DE218" s="154"/>
      <c r="DF218" s="154"/>
      <c r="DG218" s="154"/>
      <c r="DH218" s="154"/>
      <c r="DI218" s="154"/>
      <c r="DJ218" s="154"/>
      <c r="DK218" s="154"/>
      <c r="DL218" s="154"/>
      <c r="DM218" s="154"/>
      <c r="DN218" s="154"/>
      <c r="DO218" s="154"/>
      <c r="DP218" s="154"/>
      <c r="DQ218" s="154"/>
      <c r="DR218" s="154"/>
      <c r="DS218" s="154"/>
      <c r="DT218" s="154"/>
      <c r="DU218" s="154"/>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row>
    <row r="219" spans="2:153" ht="12.95" customHeight="1">
      <c r="B219" s="154"/>
      <c r="C219" s="380"/>
      <c r="D219" s="380"/>
      <c r="E219" s="154"/>
      <c r="F219" s="154"/>
      <c r="G219" s="154"/>
      <c r="H219" s="154"/>
      <c r="I219" s="154"/>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367"/>
      <c r="AG219" s="368"/>
      <c r="AH219" s="368"/>
      <c r="AI219" s="368"/>
      <c r="AJ219" s="154"/>
      <c r="AK219" s="154"/>
      <c r="AL219" s="154"/>
      <c r="AM219" s="154"/>
      <c r="AN219" s="154"/>
      <c r="AO219" s="154"/>
      <c r="AP219" s="154"/>
      <c r="AQ219" s="154"/>
      <c r="AR219" s="154"/>
      <c r="AS219" s="154"/>
      <c r="AT219" s="154"/>
      <c r="AU219" s="154"/>
      <c r="AV219" s="154"/>
      <c r="AW219" s="154"/>
      <c r="AX219" s="154"/>
      <c r="AY219" s="154"/>
      <c r="AZ219" s="154"/>
      <c r="BA219" s="154"/>
      <c r="BB219" s="154"/>
      <c r="BC219" s="154"/>
      <c r="BD219" s="154"/>
      <c r="BE219" s="154"/>
      <c r="BF219" s="154"/>
      <c r="BG219" s="154"/>
      <c r="BH219" s="154"/>
      <c r="BI219" s="154"/>
      <c r="BJ219" s="154"/>
      <c r="BK219" s="154"/>
      <c r="BL219" s="154"/>
      <c r="BM219" s="154"/>
      <c r="BN219" s="154"/>
      <c r="BO219" s="154"/>
      <c r="BP219" s="154"/>
      <c r="BQ219" s="154"/>
      <c r="BR219" s="154"/>
      <c r="BS219" s="154"/>
      <c r="BT219" s="154"/>
      <c r="BU219" s="154"/>
      <c r="BV219" s="154"/>
      <c r="BW219" s="154"/>
      <c r="BX219" s="154"/>
      <c r="BY219" s="154"/>
      <c r="BZ219" s="154"/>
      <c r="CA219" s="154"/>
      <c r="CB219" s="154"/>
      <c r="CC219" s="154"/>
      <c r="CD219" s="154"/>
      <c r="CE219" s="154"/>
      <c r="CF219" s="154"/>
      <c r="CG219" s="154"/>
      <c r="CH219" s="154"/>
      <c r="CI219" s="154"/>
      <c r="CJ219" s="154"/>
      <c r="CK219" s="154"/>
      <c r="CL219" s="154"/>
      <c r="CM219" s="154"/>
      <c r="CN219" s="154"/>
      <c r="CO219" s="154"/>
      <c r="CP219" s="154"/>
      <c r="CQ219" s="154"/>
      <c r="CR219" s="154"/>
      <c r="CS219" s="154"/>
      <c r="CT219" s="154"/>
      <c r="CU219" s="154"/>
      <c r="CV219" s="154"/>
      <c r="CW219" s="154"/>
      <c r="CX219" s="154"/>
      <c r="CY219" s="154"/>
      <c r="CZ219" s="154"/>
      <c r="DA219" s="154"/>
      <c r="DB219" s="154"/>
      <c r="DC219" s="154"/>
      <c r="DD219" s="154"/>
      <c r="DE219" s="154"/>
      <c r="DF219" s="154"/>
      <c r="DG219" s="154"/>
      <c r="DH219" s="154"/>
      <c r="DI219" s="154"/>
      <c r="DJ219" s="154"/>
      <c r="DK219" s="154"/>
      <c r="DL219" s="154"/>
      <c r="DM219" s="154"/>
      <c r="DN219" s="154"/>
      <c r="DO219" s="154"/>
      <c r="DP219" s="154"/>
      <c r="DQ219" s="154"/>
      <c r="DR219" s="154"/>
      <c r="DS219" s="154"/>
      <c r="DT219" s="154"/>
      <c r="DU219" s="154"/>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row>
    <row r="220" spans="2:153" ht="12.95" customHeight="1">
      <c r="B220" s="154"/>
      <c r="C220" s="380"/>
      <c r="D220" s="380"/>
      <c r="E220" s="154"/>
      <c r="F220" s="154"/>
      <c r="G220" s="154"/>
      <c r="H220" s="154"/>
      <c r="I220" s="154"/>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367"/>
      <c r="AG220" s="368"/>
      <c r="AH220" s="368"/>
      <c r="AI220" s="368"/>
      <c r="AJ220" s="154"/>
      <c r="AK220" s="154"/>
      <c r="AL220" s="154"/>
      <c r="AM220" s="154"/>
      <c r="AN220" s="154"/>
      <c r="AO220" s="154"/>
      <c r="AP220" s="154"/>
      <c r="AQ220" s="154"/>
      <c r="AR220" s="154"/>
      <c r="AS220" s="154"/>
      <c r="AT220" s="154"/>
      <c r="AU220" s="154"/>
      <c r="AV220" s="154"/>
      <c r="AW220" s="154"/>
      <c r="AX220" s="154"/>
      <c r="AY220" s="154"/>
      <c r="AZ220" s="154"/>
      <c r="BA220" s="154"/>
      <c r="BB220" s="154"/>
      <c r="BC220" s="154"/>
      <c r="BD220" s="154"/>
      <c r="BE220" s="154"/>
      <c r="BF220" s="154"/>
      <c r="BG220" s="154"/>
      <c r="BH220" s="154"/>
      <c r="BI220" s="154"/>
      <c r="BJ220" s="154"/>
      <c r="BK220" s="154"/>
      <c r="BL220" s="154"/>
      <c r="BM220" s="154"/>
      <c r="BN220" s="154"/>
      <c r="BO220" s="154"/>
      <c r="BP220" s="154"/>
      <c r="BQ220" s="154"/>
      <c r="BR220" s="154"/>
      <c r="BS220" s="154"/>
      <c r="BT220" s="154"/>
      <c r="BU220" s="154"/>
      <c r="BV220" s="154"/>
      <c r="BW220" s="154"/>
      <c r="BX220" s="154"/>
      <c r="BY220" s="154"/>
      <c r="BZ220" s="154"/>
      <c r="CA220" s="154"/>
      <c r="CB220" s="154"/>
      <c r="CC220" s="154"/>
      <c r="CD220" s="154"/>
      <c r="CE220" s="154"/>
      <c r="CF220" s="154"/>
      <c r="CG220" s="154"/>
      <c r="CH220" s="154"/>
      <c r="CI220" s="154"/>
      <c r="CJ220" s="154"/>
      <c r="CK220" s="154"/>
      <c r="CL220" s="154"/>
      <c r="CM220" s="154"/>
      <c r="CN220" s="154"/>
      <c r="CO220" s="154"/>
      <c r="CP220" s="154"/>
      <c r="CQ220" s="154"/>
      <c r="CR220" s="154"/>
      <c r="CS220" s="154"/>
      <c r="CT220" s="154"/>
      <c r="CU220" s="154"/>
      <c r="CV220" s="154"/>
      <c r="CW220" s="154"/>
      <c r="CX220" s="154"/>
      <c r="CY220" s="154"/>
      <c r="CZ220" s="154"/>
      <c r="DA220" s="154"/>
      <c r="DB220" s="154"/>
      <c r="DC220" s="154"/>
      <c r="DD220" s="154"/>
      <c r="DE220" s="154"/>
      <c r="DF220" s="154"/>
      <c r="DG220" s="154"/>
      <c r="DH220" s="154"/>
      <c r="DI220" s="154"/>
      <c r="DJ220" s="154"/>
      <c r="DK220" s="154"/>
      <c r="DL220" s="154"/>
      <c r="DM220" s="154"/>
      <c r="DN220" s="154"/>
      <c r="DO220" s="154"/>
      <c r="DP220" s="154"/>
      <c r="DQ220" s="154"/>
      <c r="DR220" s="154"/>
      <c r="DS220" s="154"/>
      <c r="DT220" s="154"/>
      <c r="DU220" s="154"/>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row>
    <row r="221" spans="2:153" ht="12.95" customHeight="1">
      <c r="B221" s="154"/>
      <c r="C221" s="380"/>
      <c r="D221" s="380"/>
      <c r="E221" s="154"/>
      <c r="F221" s="154"/>
      <c r="G221" s="154"/>
      <c r="H221" s="154"/>
      <c r="I221" s="154"/>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367"/>
      <c r="AG221" s="368"/>
      <c r="AH221" s="368"/>
      <c r="AI221" s="368"/>
      <c r="AJ221" s="154"/>
      <c r="AK221" s="154"/>
      <c r="AL221" s="154"/>
      <c r="AM221" s="154"/>
      <c r="AN221" s="154"/>
      <c r="AO221" s="154"/>
      <c r="AP221" s="154"/>
      <c r="AQ221" s="154"/>
      <c r="AR221" s="154"/>
      <c r="AS221" s="154"/>
      <c r="AT221" s="154"/>
      <c r="AU221" s="154"/>
      <c r="AV221" s="154"/>
      <c r="AW221" s="154"/>
      <c r="AX221" s="154"/>
      <c r="AY221" s="154"/>
      <c r="AZ221" s="154"/>
      <c r="BA221" s="154"/>
      <c r="BB221" s="154"/>
      <c r="BC221" s="154"/>
      <c r="BD221" s="154"/>
      <c r="BE221" s="154"/>
      <c r="BF221" s="154"/>
      <c r="BG221" s="154"/>
      <c r="BH221" s="154"/>
      <c r="BI221" s="154"/>
      <c r="BJ221" s="154"/>
      <c r="BK221" s="154"/>
      <c r="BL221" s="154"/>
      <c r="BM221" s="154"/>
      <c r="BN221" s="154"/>
      <c r="BO221" s="154"/>
      <c r="BP221" s="154"/>
      <c r="BQ221" s="154"/>
      <c r="BR221" s="154"/>
      <c r="BS221" s="154"/>
      <c r="BT221" s="154"/>
      <c r="BU221" s="154"/>
      <c r="BV221" s="154"/>
      <c r="BW221" s="154"/>
      <c r="BX221" s="154"/>
      <c r="BY221" s="154"/>
      <c r="BZ221" s="154"/>
      <c r="CA221" s="154"/>
      <c r="CB221" s="154"/>
      <c r="CC221" s="154"/>
      <c r="CD221" s="154"/>
      <c r="CE221" s="154"/>
      <c r="CF221" s="154"/>
      <c r="CG221" s="154"/>
      <c r="CH221" s="154"/>
      <c r="CI221" s="154"/>
      <c r="CJ221" s="154"/>
      <c r="CK221" s="154"/>
      <c r="CL221" s="154"/>
      <c r="CM221" s="154"/>
      <c r="CN221" s="154"/>
      <c r="CO221" s="154"/>
      <c r="CP221" s="154"/>
      <c r="CQ221" s="154"/>
      <c r="CR221" s="154"/>
      <c r="CS221" s="154"/>
      <c r="CT221" s="154"/>
      <c r="CU221" s="154"/>
      <c r="CV221" s="154"/>
      <c r="CW221" s="154"/>
      <c r="CX221" s="154"/>
      <c r="CY221" s="154"/>
      <c r="CZ221" s="154"/>
      <c r="DA221" s="154"/>
      <c r="DB221" s="154"/>
      <c r="DC221" s="154"/>
      <c r="DD221" s="154"/>
      <c r="DE221" s="154"/>
      <c r="DF221" s="154"/>
      <c r="DG221" s="154"/>
      <c r="DH221" s="154"/>
      <c r="DI221" s="154"/>
      <c r="DJ221" s="154"/>
      <c r="DK221" s="154"/>
      <c r="DL221" s="154"/>
      <c r="DM221" s="154"/>
      <c r="DN221" s="154"/>
      <c r="DO221" s="154"/>
      <c r="DP221" s="154"/>
      <c r="DQ221" s="154"/>
      <c r="DR221" s="154"/>
      <c r="DS221" s="154"/>
      <c r="DT221" s="154"/>
      <c r="DU221" s="154"/>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row>
    <row r="222" spans="2:153" ht="12.95" customHeight="1">
      <c r="B222" s="154"/>
      <c r="C222" s="380"/>
      <c r="D222" s="380"/>
      <c r="E222" s="154"/>
      <c r="F222" s="154"/>
      <c r="G222" s="154"/>
      <c r="H222" s="154"/>
      <c r="I222" s="154"/>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367"/>
      <c r="AG222" s="368"/>
      <c r="AH222" s="368"/>
      <c r="AI222" s="368"/>
      <c r="AJ222" s="154"/>
      <c r="AK222" s="154"/>
      <c r="AL222" s="154"/>
      <c r="AM222" s="154"/>
      <c r="AN222" s="154"/>
      <c r="AO222" s="154"/>
      <c r="AP222" s="154"/>
      <c r="AQ222" s="154"/>
      <c r="AR222" s="154"/>
      <c r="AS222" s="154"/>
      <c r="AT222" s="154"/>
      <c r="AU222" s="154"/>
      <c r="AV222" s="154"/>
      <c r="AW222" s="154"/>
      <c r="AX222" s="154"/>
      <c r="AY222" s="154"/>
      <c r="AZ222" s="154"/>
      <c r="BA222" s="154"/>
      <c r="BB222" s="154"/>
      <c r="BC222" s="154"/>
      <c r="BD222" s="154"/>
      <c r="BE222" s="154"/>
      <c r="BF222" s="154"/>
      <c r="BG222" s="154"/>
      <c r="BH222" s="154"/>
      <c r="BI222" s="154"/>
      <c r="BJ222" s="154"/>
      <c r="BK222" s="154"/>
      <c r="BL222" s="154"/>
      <c r="BM222" s="154"/>
      <c r="BN222" s="154"/>
      <c r="BO222" s="154"/>
      <c r="BP222" s="154"/>
      <c r="BQ222" s="154"/>
      <c r="BR222" s="154"/>
      <c r="BS222" s="154"/>
      <c r="BT222" s="154"/>
      <c r="BU222" s="154"/>
      <c r="BV222" s="154"/>
      <c r="BW222" s="154"/>
      <c r="BX222" s="154"/>
      <c r="BY222" s="154"/>
      <c r="BZ222" s="154"/>
      <c r="CA222" s="154"/>
      <c r="CB222" s="154"/>
      <c r="CC222" s="154"/>
      <c r="CD222" s="154"/>
      <c r="CE222" s="154"/>
      <c r="CF222" s="154"/>
      <c r="CG222" s="154"/>
      <c r="CH222" s="154"/>
      <c r="CI222" s="154"/>
      <c r="CJ222" s="154"/>
      <c r="CK222" s="154"/>
      <c r="CL222" s="154"/>
      <c r="CM222" s="154"/>
      <c r="CN222" s="154"/>
      <c r="CO222" s="154"/>
      <c r="CP222" s="154"/>
      <c r="CQ222" s="154"/>
      <c r="CR222" s="154"/>
      <c r="CS222" s="154"/>
      <c r="CT222" s="154"/>
      <c r="CU222" s="154"/>
      <c r="CV222" s="154"/>
      <c r="CW222" s="154"/>
      <c r="CX222" s="154"/>
      <c r="CY222" s="154"/>
      <c r="CZ222" s="154"/>
      <c r="DA222" s="154"/>
      <c r="DB222" s="154"/>
      <c r="DC222" s="154"/>
      <c r="DD222" s="154"/>
      <c r="DE222" s="154"/>
      <c r="DF222" s="154"/>
      <c r="DG222" s="154"/>
      <c r="DH222" s="154"/>
      <c r="DI222" s="154"/>
      <c r="DJ222" s="154"/>
      <c r="DK222" s="154"/>
      <c r="DL222" s="154"/>
      <c r="DM222" s="154"/>
      <c r="DN222" s="154"/>
      <c r="DO222" s="154"/>
      <c r="DP222" s="154"/>
      <c r="DQ222" s="154"/>
      <c r="DR222" s="154"/>
      <c r="DS222" s="154"/>
      <c r="DT222" s="154"/>
      <c r="DU222" s="154"/>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row>
    <row r="223" spans="2:153" ht="12.95" customHeight="1">
      <c r="B223" s="154"/>
      <c r="C223" s="380"/>
      <c r="D223" s="380"/>
      <c r="E223" s="154"/>
      <c r="F223" s="154"/>
      <c r="G223" s="154"/>
      <c r="H223" s="154"/>
      <c r="I223" s="154"/>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367"/>
      <c r="AG223" s="368"/>
      <c r="AH223" s="368"/>
      <c r="AI223" s="368"/>
      <c r="AJ223" s="154"/>
      <c r="AK223" s="154"/>
      <c r="AL223" s="154"/>
      <c r="AM223" s="154"/>
      <c r="AN223" s="154"/>
      <c r="AO223" s="154"/>
      <c r="AP223" s="154"/>
      <c r="AQ223" s="154"/>
      <c r="AR223" s="154"/>
      <c r="AS223" s="154"/>
      <c r="AT223" s="154"/>
      <c r="AU223" s="154"/>
      <c r="AV223" s="154"/>
      <c r="AW223" s="154"/>
      <c r="AX223" s="154"/>
      <c r="AY223" s="154"/>
      <c r="AZ223" s="154"/>
      <c r="BA223" s="154"/>
      <c r="BB223" s="154"/>
      <c r="BC223" s="154"/>
      <c r="BD223" s="154"/>
      <c r="BE223" s="154"/>
      <c r="BF223" s="154"/>
      <c r="BG223" s="154"/>
      <c r="BH223" s="154"/>
      <c r="BI223" s="154"/>
      <c r="BJ223" s="154"/>
      <c r="BK223" s="154"/>
      <c r="BL223" s="154"/>
      <c r="BM223" s="154"/>
      <c r="BN223" s="154"/>
      <c r="BO223" s="154"/>
      <c r="BP223" s="154"/>
      <c r="BQ223" s="154"/>
      <c r="BR223" s="154"/>
      <c r="BS223" s="154"/>
      <c r="BT223" s="154"/>
      <c r="BU223" s="154"/>
      <c r="BV223" s="154"/>
      <c r="BW223" s="154"/>
      <c r="BX223" s="154"/>
      <c r="BY223" s="154"/>
      <c r="BZ223" s="154"/>
      <c r="CA223" s="154"/>
      <c r="CB223" s="154"/>
      <c r="CC223" s="154"/>
      <c r="CD223" s="154"/>
      <c r="CE223" s="154"/>
      <c r="CF223" s="154"/>
      <c r="CG223" s="154"/>
      <c r="CH223" s="154"/>
      <c r="CI223" s="154"/>
      <c r="CJ223" s="154"/>
      <c r="CK223" s="154"/>
      <c r="CL223" s="154"/>
      <c r="CM223" s="154"/>
      <c r="CN223" s="154"/>
      <c r="CO223" s="154"/>
      <c r="CP223" s="154"/>
      <c r="CQ223" s="154"/>
      <c r="CR223" s="154"/>
      <c r="CS223" s="154"/>
      <c r="CT223" s="154"/>
      <c r="CU223" s="154"/>
      <c r="CV223" s="154"/>
      <c r="CW223" s="154"/>
      <c r="CX223" s="154"/>
      <c r="CY223" s="154"/>
      <c r="CZ223" s="154"/>
      <c r="DA223" s="154"/>
      <c r="DB223" s="154"/>
      <c r="DC223" s="154"/>
      <c r="DD223" s="154"/>
      <c r="DE223" s="154"/>
      <c r="DF223" s="154"/>
      <c r="DG223" s="154"/>
      <c r="DH223" s="154"/>
      <c r="DI223" s="154"/>
      <c r="DJ223" s="154"/>
      <c r="DK223" s="154"/>
      <c r="DL223" s="154"/>
      <c r="DM223" s="154"/>
      <c r="DN223" s="154"/>
      <c r="DO223" s="154"/>
      <c r="DP223" s="154"/>
      <c r="DQ223" s="154"/>
      <c r="DR223" s="154"/>
      <c r="DS223" s="154"/>
      <c r="DT223" s="154"/>
      <c r="DU223" s="154"/>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row>
    <row r="224" spans="2:153" ht="12.95" customHeight="1">
      <c r="B224" s="154"/>
      <c r="C224" s="380"/>
      <c r="D224" s="380"/>
      <c r="E224" s="154"/>
      <c r="F224" s="154"/>
      <c r="G224" s="154"/>
      <c r="H224" s="154"/>
      <c r="I224" s="154"/>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367"/>
      <c r="AG224" s="368"/>
      <c r="AH224" s="368"/>
      <c r="AI224" s="368"/>
      <c r="AJ224" s="154"/>
      <c r="AK224" s="154"/>
      <c r="AL224" s="154"/>
      <c r="AM224" s="154"/>
      <c r="AN224" s="154"/>
      <c r="AO224" s="154"/>
      <c r="AP224" s="154"/>
      <c r="AQ224" s="154"/>
      <c r="AR224" s="154"/>
      <c r="AS224" s="154"/>
      <c r="AT224" s="154"/>
      <c r="AU224" s="154"/>
      <c r="AV224" s="154"/>
      <c r="AW224" s="154"/>
      <c r="AX224" s="154"/>
      <c r="AY224" s="154"/>
      <c r="AZ224" s="154"/>
      <c r="BA224" s="154"/>
      <c r="BB224" s="154"/>
      <c r="BC224" s="154"/>
      <c r="BD224" s="154"/>
      <c r="BE224" s="154"/>
      <c r="BF224" s="154"/>
      <c r="BG224" s="154"/>
      <c r="BH224" s="154"/>
      <c r="BI224" s="154"/>
      <c r="BJ224" s="154"/>
      <c r="BK224" s="154"/>
      <c r="BL224" s="154"/>
      <c r="BM224" s="154"/>
      <c r="BN224" s="154"/>
      <c r="BO224" s="154"/>
      <c r="BP224" s="154"/>
      <c r="BQ224" s="154"/>
      <c r="BR224" s="154"/>
      <c r="BS224" s="154"/>
      <c r="BT224" s="154"/>
      <c r="BU224" s="154"/>
      <c r="BV224" s="154"/>
      <c r="BW224" s="154"/>
      <c r="BX224" s="154"/>
      <c r="BY224" s="154"/>
      <c r="BZ224" s="154"/>
      <c r="CA224" s="154"/>
      <c r="CB224" s="154"/>
      <c r="CC224" s="154"/>
      <c r="CD224" s="154"/>
      <c r="CE224" s="154"/>
      <c r="CF224" s="154"/>
      <c r="CG224" s="154"/>
      <c r="CH224" s="154"/>
      <c r="CI224" s="154"/>
      <c r="CJ224" s="154"/>
      <c r="CK224" s="154"/>
      <c r="CL224" s="154"/>
      <c r="CM224" s="154"/>
      <c r="CN224" s="154"/>
      <c r="CO224" s="154"/>
      <c r="CP224" s="154"/>
      <c r="CQ224" s="154"/>
      <c r="CR224" s="154"/>
      <c r="CS224" s="154"/>
      <c r="CT224" s="154"/>
      <c r="CU224" s="154"/>
      <c r="CV224" s="154"/>
      <c r="CW224" s="154"/>
      <c r="CX224" s="154"/>
      <c r="CY224" s="154"/>
      <c r="CZ224" s="154"/>
      <c r="DA224" s="154"/>
      <c r="DB224" s="154"/>
      <c r="DC224" s="154"/>
      <c r="DD224" s="154"/>
      <c r="DE224" s="154"/>
      <c r="DF224" s="154"/>
      <c r="DG224" s="154"/>
      <c r="DH224" s="154"/>
      <c r="DI224" s="154"/>
      <c r="DJ224" s="154"/>
      <c r="DK224" s="154"/>
      <c r="DL224" s="154"/>
      <c r="DM224" s="154"/>
      <c r="DN224" s="154"/>
      <c r="DO224" s="154"/>
      <c r="DP224" s="154"/>
      <c r="DQ224" s="154"/>
      <c r="DR224" s="154"/>
      <c r="DS224" s="154"/>
      <c r="DT224" s="154"/>
      <c r="DU224" s="154"/>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row>
    <row r="225" spans="2:153" ht="12.95" customHeight="1">
      <c r="B225" s="154"/>
      <c r="C225" s="380"/>
      <c r="D225" s="380"/>
      <c r="E225" s="154"/>
      <c r="F225" s="154"/>
      <c r="G225" s="154"/>
      <c r="H225" s="154"/>
      <c r="I225" s="154"/>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367"/>
      <c r="AG225" s="368"/>
      <c r="AH225" s="368"/>
      <c r="AI225" s="368"/>
      <c r="AJ225" s="154"/>
      <c r="AK225" s="154"/>
      <c r="AL225" s="154"/>
      <c r="AM225" s="154"/>
      <c r="AN225" s="154"/>
      <c r="AO225" s="154"/>
      <c r="AP225" s="154"/>
      <c r="AQ225" s="154"/>
      <c r="AR225" s="154"/>
      <c r="AS225" s="154"/>
      <c r="AT225" s="154"/>
      <c r="AU225" s="154"/>
      <c r="AV225" s="154"/>
      <c r="AW225" s="154"/>
      <c r="AX225" s="154"/>
      <c r="AY225" s="154"/>
      <c r="AZ225" s="154"/>
      <c r="BA225" s="154"/>
      <c r="BB225" s="154"/>
      <c r="BC225" s="154"/>
      <c r="BD225" s="154"/>
      <c r="BE225" s="154"/>
      <c r="BF225" s="154"/>
      <c r="BG225" s="154"/>
      <c r="BH225" s="154"/>
      <c r="BI225" s="154"/>
      <c r="BJ225" s="154"/>
      <c r="BK225" s="154"/>
      <c r="BL225" s="154"/>
      <c r="BM225" s="154"/>
      <c r="BN225" s="154"/>
      <c r="BO225" s="154"/>
      <c r="BP225" s="154"/>
      <c r="BQ225" s="154"/>
      <c r="BR225" s="154"/>
      <c r="BS225" s="154"/>
      <c r="BT225" s="154"/>
      <c r="BU225" s="154"/>
      <c r="BV225" s="154"/>
      <c r="BW225" s="154"/>
      <c r="BX225" s="154"/>
      <c r="BY225" s="154"/>
      <c r="BZ225" s="154"/>
      <c r="CA225" s="154"/>
      <c r="CB225" s="154"/>
      <c r="CC225" s="154"/>
      <c r="CD225" s="154"/>
      <c r="CE225" s="154"/>
      <c r="CF225" s="154"/>
      <c r="CG225" s="154"/>
      <c r="CH225" s="154"/>
      <c r="CI225" s="154"/>
      <c r="CJ225" s="154"/>
      <c r="CK225" s="154"/>
      <c r="CL225" s="154"/>
      <c r="CM225" s="154"/>
      <c r="CN225" s="154"/>
      <c r="CO225" s="154"/>
      <c r="CP225" s="154"/>
      <c r="CQ225" s="154"/>
      <c r="CR225" s="154"/>
      <c r="CS225" s="154"/>
      <c r="CT225" s="154"/>
      <c r="CU225" s="154"/>
      <c r="CV225" s="154"/>
      <c r="CW225" s="154"/>
      <c r="CX225" s="154"/>
      <c r="CY225" s="154"/>
      <c r="CZ225" s="154"/>
      <c r="DA225" s="154"/>
      <c r="DB225" s="154"/>
      <c r="DC225" s="154"/>
      <c r="DD225" s="154"/>
      <c r="DE225" s="154"/>
      <c r="DF225" s="154"/>
      <c r="DG225" s="154"/>
      <c r="DH225" s="154"/>
      <c r="DI225" s="154"/>
      <c r="DJ225" s="154"/>
      <c r="DK225" s="154"/>
      <c r="DL225" s="154"/>
      <c r="DM225" s="154"/>
      <c r="DN225" s="154"/>
      <c r="DO225" s="154"/>
      <c r="DP225" s="154"/>
      <c r="DQ225" s="154"/>
      <c r="DR225" s="154"/>
      <c r="DS225" s="154"/>
      <c r="DT225" s="154"/>
      <c r="DU225" s="154"/>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row>
    <row r="226" spans="2:153" ht="12.95" customHeight="1">
      <c r="B226" s="154"/>
      <c r="C226" s="380"/>
      <c r="D226" s="380"/>
      <c r="E226" s="154"/>
      <c r="F226" s="154"/>
      <c r="G226" s="154"/>
      <c r="H226" s="154"/>
      <c r="I226" s="154"/>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367"/>
      <c r="AG226" s="368"/>
      <c r="AH226" s="368"/>
      <c r="AI226" s="368"/>
      <c r="AJ226" s="154"/>
      <c r="AK226" s="154"/>
      <c r="AL226" s="154"/>
      <c r="AM226" s="154"/>
      <c r="AN226" s="154"/>
      <c r="AO226" s="154"/>
      <c r="AP226" s="154"/>
      <c r="AQ226" s="154"/>
      <c r="AR226" s="154"/>
      <c r="AS226" s="154"/>
      <c r="AT226" s="154"/>
      <c r="AU226" s="154"/>
      <c r="AV226" s="154"/>
      <c r="AW226" s="154"/>
      <c r="AX226" s="154"/>
      <c r="AY226" s="154"/>
      <c r="AZ226" s="154"/>
      <c r="BA226" s="154"/>
      <c r="BB226" s="154"/>
      <c r="BC226" s="154"/>
      <c r="BD226" s="154"/>
      <c r="BE226" s="154"/>
      <c r="BF226" s="154"/>
      <c r="BG226" s="154"/>
      <c r="BH226" s="154"/>
      <c r="BI226" s="154"/>
      <c r="BJ226" s="154"/>
      <c r="BK226" s="154"/>
      <c r="BL226" s="154"/>
      <c r="BM226" s="154"/>
      <c r="BN226" s="154"/>
      <c r="BO226" s="154"/>
      <c r="BP226" s="154"/>
      <c r="BQ226" s="154"/>
      <c r="BR226" s="154"/>
      <c r="BS226" s="154"/>
      <c r="BT226" s="154"/>
      <c r="BU226" s="154"/>
      <c r="BV226" s="154"/>
      <c r="BW226" s="154"/>
      <c r="BX226" s="154"/>
      <c r="BY226" s="154"/>
      <c r="BZ226" s="154"/>
      <c r="CA226" s="154"/>
      <c r="CB226" s="154"/>
      <c r="CC226" s="154"/>
      <c r="CD226" s="154"/>
      <c r="CE226" s="154"/>
      <c r="CF226" s="154"/>
      <c r="CG226" s="154"/>
      <c r="CH226" s="154"/>
      <c r="CI226" s="154"/>
      <c r="CJ226" s="154"/>
      <c r="CK226" s="154"/>
      <c r="CL226" s="154"/>
      <c r="CM226" s="154"/>
      <c r="CN226" s="154"/>
      <c r="CO226" s="154"/>
      <c r="CP226" s="154"/>
      <c r="CQ226" s="154"/>
      <c r="CR226" s="154"/>
      <c r="CS226" s="154"/>
      <c r="CT226" s="154"/>
      <c r="CU226" s="154"/>
      <c r="CV226" s="154"/>
      <c r="CW226" s="154"/>
      <c r="CX226" s="154"/>
      <c r="CY226" s="154"/>
      <c r="CZ226" s="154"/>
      <c r="DA226" s="154"/>
      <c r="DB226" s="154"/>
      <c r="DC226" s="154"/>
      <c r="DD226" s="154"/>
      <c r="DE226" s="154"/>
      <c r="DF226" s="154"/>
      <c r="DG226" s="154"/>
      <c r="DH226" s="154"/>
      <c r="DI226" s="154"/>
      <c r="DJ226" s="154"/>
      <c r="DK226" s="154"/>
      <c r="DL226" s="154"/>
      <c r="DM226" s="154"/>
      <c r="DN226" s="154"/>
      <c r="DO226" s="154"/>
      <c r="DP226" s="154"/>
      <c r="DQ226" s="154"/>
      <c r="DR226" s="154"/>
      <c r="DS226" s="154"/>
      <c r="DT226" s="154"/>
      <c r="DU226" s="154"/>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row>
    <row r="227" spans="2:153" ht="12.95" customHeight="1">
      <c r="B227" s="154"/>
      <c r="C227" s="380"/>
      <c r="D227" s="380"/>
      <c r="E227" s="154"/>
      <c r="F227" s="154"/>
      <c r="G227" s="154"/>
      <c r="H227" s="154"/>
      <c r="I227" s="154"/>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367"/>
      <c r="AG227" s="368"/>
      <c r="AH227" s="368"/>
      <c r="AI227" s="368"/>
      <c r="AJ227" s="154"/>
      <c r="AK227" s="154"/>
      <c r="AL227" s="154"/>
      <c r="AM227" s="154"/>
      <c r="AN227" s="154"/>
      <c r="AO227" s="154"/>
      <c r="AP227" s="154"/>
      <c r="AQ227" s="154"/>
      <c r="AR227" s="154"/>
      <c r="AS227" s="154"/>
      <c r="AT227" s="154"/>
      <c r="AU227" s="154"/>
      <c r="AV227" s="154"/>
      <c r="AW227" s="154"/>
      <c r="AX227" s="154"/>
      <c r="AY227" s="154"/>
      <c r="AZ227" s="154"/>
      <c r="BA227" s="154"/>
      <c r="BB227" s="154"/>
      <c r="BC227" s="154"/>
      <c r="BD227" s="154"/>
      <c r="BE227" s="154"/>
      <c r="BF227" s="154"/>
      <c r="BG227" s="154"/>
      <c r="BH227" s="154"/>
      <c r="BI227" s="154"/>
      <c r="BJ227" s="154"/>
      <c r="BK227" s="154"/>
      <c r="BL227" s="154"/>
      <c r="BM227" s="154"/>
      <c r="BN227" s="154"/>
      <c r="BO227" s="154"/>
      <c r="BP227" s="154"/>
      <c r="BQ227" s="154"/>
      <c r="BR227" s="154"/>
      <c r="BS227" s="154"/>
      <c r="BT227" s="154"/>
      <c r="BU227" s="154"/>
      <c r="BV227" s="154"/>
      <c r="BW227" s="154"/>
      <c r="BX227" s="154"/>
      <c r="BY227" s="154"/>
      <c r="BZ227" s="154"/>
      <c r="CA227" s="154"/>
      <c r="CB227" s="154"/>
      <c r="CC227" s="154"/>
      <c r="CD227" s="154"/>
      <c r="CE227" s="154"/>
      <c r="CF227" s="154"/>
      <c r="CG227" s="154"/>
      <c r="CH227" s="154"/>
      <c r="CI227" s="154"/>
      <c r="CJ227" s="154"/>
      <c r="CK227" s="154"/>
      <c r="CL227" s="154"/>
      <c r="CM227" s="154"/>
      <c r="CN227" s="154"/>
      <c r="CO227" s="154"/>
      <c r="CP227" s="154"/>
      <c r="CQ227" s="154"/>
      <c r="CR227" s="154"/>
      <c r="CS227" s="154"/>
      <c r="CT227" s="154"/>
      <c r="CU227" s="154"/>
      <c r="CV227" s="154"/>
      <c r="CW227" s="154"/>
      <c r="CX227" s="154"/>
      <c r="CY227" s="154"/>
      <c r="CZ227" s="154"/>
      <c r="DA227" s="154"/>
      <c r="DB227" s="154"/>
      <c r="DC227" s="154"/>
      <c r="DD227" s="154"/>
      <c r="DE227" s="154"/>
      <c r="DF227" s="154"/>
      <c r="DG227" s="154"/>
      <c r="DH227" s="154"/>
      <c r="DI227" s="154"/>
      <c r="DJ227" s="154"/>
      <c r="DK227" s="154"/>
      <c r="DL227" s="154"/>
      <c r="DM227" s="154"/>
      <c r="DN227" s="154"/>
      <c r="DO227" s="154"/>
      <c r="DP227" s="154"/>
      <c r="DQ227" s="154"/>
      <c r="DR227" s="154"/>
      <c r="DS227" s="154"/>
      <c r="DT227" s="154"/>
      <c r="DU227" s="154"/>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row>
    <row r="228" spans="2:153" ht="12.95" customHeight="1">
      <c r="B228" s="154"/>
      <c r="C228" s="380"/>
      <c r="D228" s="380"/>
      <c r="E228" s="154"/>
      <c r="F228" s="154"/>
      <c r="G228" s="154"/>
      <c r="H228" s="154"/>
      <c r="I228" s="154"/>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367"/>
      <c r="AG228" s="368"/>
      <c r="AH228" s="368"/>
      <c r="AI228" s="368"/>
      <c r="AJ228" s="154"/>
      <c r="AK228" s="154"/>
      <c r="AL228" s="154"/>
      <c r="AM228" s="154"/>
      <c r="AN228" s="154"/>
      <c r="AO228" s="154"/>
      <c r="AP228" s="154"/>
      <c r="AQ228" s="154"/>
      <c r="AR228" s="154"/>
      <c r="AS228" s="154"/>
      <c r="AT228" s="154"/>
      <c r="AU228" s="154"/>
      <c r="AV228" s="154"/>
      <c r="AW228" s="154"/>
      <c r="AX228" s="154"/>
      <c r="AY228" s="154"/>
      <c r="AZ228" s="154"/>
      <c r="BA228" s="154"/>
      <c r="BB228" s="154"/>
      <c r="BC228" s="154"/>
      <c r="BD228" s="154"/>
      <c r="BE228" s="154"/>
      <c r="BF228" s="154"/>
      <c r="BG228" s="154"/>
      <c r="BH228" s="154"/>
      <c r="BI228" s="154"/>
      <c r="BJ228" s="154"/>
      <c r="BK228" s="154"/>
      <c r="BL228" s="154"/>
      <c r="BM228" s="154"/>
      <c r="BN228" s="154"/>
      <c r="BO228" s="154"/>
      <c r="BP228" s="154"/>
      <c r="BQ228" s="154"/>
      <c r="BR228" s="154"/>
      <c r="BS228" s="154"/>
      <c r="BT228" s="154"/>
      <c r="BU228" s="154"/>
      <c r="BV228" s="154"/>
      <c r="BW228" s="154"/>
      <c r="BX228" s="154"/>
      <c r="BY228" s="154"/>
      <c r="BZ228" s="154"/>
      <c r="CA228" s="154"/>
      <c r="CB228" s="154"/>
      <c r="CC228" s="154"/>
      <c r="CD228" s="154"/>
      <c r="CE228" s="154"/>
      <c r="CF228" s="154"/>
      <c r="CG228" s="154"/>
      <c r="CH228" s="154"/>
      <c r="CI228" s="154"/>
      <c r="CJ228" s="154"/>
      <c r="CK228" s="154"/>
      <c r="CL228" s="154"/>
      <c r="CM228" s="154"/>
      <c r="CN228" s="154"/>
      <c r="CO228" s="154"/>
      <c r="CP228" s="154"/>
      <c r="CQ228" s="154"/>
      <c r="CR228" s="154"/>
      <c r="CS228" s="154"/>
      <c r="CT228" s="154"/>
      <c r="CU228" s="154"/>
      <c r="CV228" s="154"/>
      <c r="CW228" s="154"/>
      <c r="CX228" s="154"/>
      <c r="CY228" s="154"/>
      <c r="CZ228" s="154"/>
      <c r="DA228" s="154"/>
      <c r="DB228" s="154"/>
      <c r="DC228" s="154"/>
      <c r="DD228" s="154"/>
      <c r="DE228" s="154"/>
      <c r="DF228" s="154"/>
      <c r="DG228" s="154"/>
      <c r="DH228" s="154"/>
      <c r="DI228" s="154"/>
      <c r="DJ228" s="154"/>
      <c r="DK228" s="154"/>
      <c r="DL228" s="154"/>
      <c r="DM228" s="154"/>
      <c r="DN228" s="154"/>
      <c r="DO228" s="154"/>
      <c r="DP228" s="154"/>
      <c r="DQ228" s="154"/>
      <c r="DR228" s="154"/>
      <c r="DS228" s="154"/>
      <c r="DT228" s="154"/>
      <c r="DU228" s="154"/>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row>
    <row r="229" spans="2:153" ht="12.95" customHeight="1">
      <c r="B229" s="154"/>
      <c r="C229" s="380"/>
      <c r="D229" s="380"/>
      <c r="E229" s="154"/>
      <c r="F229" s="154"/>
      <c r="G229" s="154"/>
      <c r="H229" s="154"/>
      <c r="I229" s="154"/>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367"/>
      <c r="AG229" s="368"/>
      <c r="AH229" s="368"/>
      <c r="AI229" s="368"/>
      <c r="AJ229" s="154"/>
      <c r="AK229" s="154"/>
      <c r="AL229" s="154"/>
      <c r="AM229" s="154"/>
      <c r="AN229" s="154"/>
      <c r="AO229" s="154"/>
      <c r="AP229" s="154"/>
      <c r="AQ229" s="154"/>
      <c r="AR229" s="154"/>
      <c r="AS229" s="154"/>
      <c r="AT229" s="154"/>
      <c r="AU229" s="154"/>
      <c r="AV229" s="154"/>
      <c r="AW229" s="154"/>
      <c r="AX229" s="154"/>
      <c r="AY229" s="154"/>
      <c r="AZ229" s="154"/>
      <c r="BA229" s="154"/>
      <c r="BB229" s="154"/>
      <c r="BC229" s="154"/>
      <c r="BD229" s="154"/>
      <c r="BE229" s="154"/>
      <c r="BF229" s="154"/>
      <c r="BG229" s="154"/>
      <c r="BH229" s="154"/>
      <c r="BI229" s="154"/>
      <c r="BJ229" s="154"/>
      <c r="BK229" s="154"/>
      <c r="BL229" s="154"/>
      <c r="BM229" s="154"/>
      <c r="BN229" s="154"/>
      <c r="BO229" s="154"/>
      <c r="BP229" s="154"/>
      <c r="BQ229" s="154"/>
      <c r="BR229" s="154"/>
      <c r="BS229" s="154"/>
      <c r="BT229" s="154"/>
      <c r="BU229" s="154"/>
      <c r="BV229" s="154"/>
      <c r="BW229" s="154"/>
      <c r="BX229" s="154"/>
      <c r="BY229" s="154"/>
      <c r="BZ229" s="154"/>
      <c r="CA229" s="154"/>
      <c r="CB229" s="154"/>
      <c r="CC229" s="154"/>
      <c r="CD229" s="154"/>
      <c r="CE229" s="154"/>
      <c r="CF229" s="154"/>
      <c r="CG229" s="154"/>
      <c r="CH229" s="154"/>
      <c r="CI229" s="154"/>
      <c r="CJ229" s="154"/>
      <c r="CK229" s="154"/>
      <c r="CL229" s="154"/>
      <c r="CM229" s="154"/>
      <c r="CN229" s="154"/>
      <c r="CO229" s="154"/>
      <c r="CP229" s="154"/>
      <c r="CQ229" s="154"/>
      <c r="CR229" s="154"/>
      <c r="CS229" s="154"/>
      <c r="CT229" s="154"/>
      <c r="CU229" s="154"/>
      <c r="CV229" s="154"/>
      <c r="CW229" s="154"/>
      <c r="CX229" s="154"/>
      <c r="CY229" s="154"/>
      <c r="CZ229" s="154"/>
      <c r="DA229" s="154"/>
      <c r="DB229" s="154"/>
      <c r="DC229" s="154"/>
      <c r="DD229" s="154"/>
      <c r="DE229" s="154"/>
      <c r="DF229" s="154"/>
      <c r="DG229" s="154"/>
      <c r="DH229" s="154"/>
      <c r="DI229" s="154"/>
      <c r="DJ229" s="154"/>
      <c r="DK229" s="154"/>
      <c r="DL229" s="154"/>
      <c r="DM229" s="154"/>
      <c r="DN229" s="154"/>
      <c r="DO229" s="154"/>
      <c r="DP229" s="154"/>
      <c r="DQ229" s="154"/>
      <c r="DR229" s="154"/>
      <c r="DS229" s="154"/>
      <c r="DT229" s="154"/>
      <c r="DU229" s="154"/>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row>
    <row r="230" spans="2:153" ht="12.95" customHeight="1">
      <c r="B230" s="154"/>
      <c r="C230" s="380"/>
      <c r="D230" s="380"/>
      <c r="E230" s="154"/>
      <c r="F230" s="154"/>
      <c r="G230" s="154"/>
      <c r="H230" s="154"/>
      <c r="I230" s="154"/>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367"/>
      <c r="AG230" s="368"/>
      <c r="AH230" s="368"/>
      <c r="AI230" s="368"/>
      <c r="AJ230" s="154"/>
      <c r="AK230" s="154"/>
      <c r="AL230" s="154"/>
      <c r="AM230" s="154"/>
      <c r="AN230" s="154"/>
      <c r="AO230" s="154"/>
      <c r="AP230" s="154"/>
      <c r="AQ230" s="154"/>
      <c r="AR230" s="154"/>
      <c r="AS230" s="154"/>
      <c r="AT230" s="154"/>
      <c r="AU230" s="154"/>
      <c r="AV230" s="154"/>
      <c r="AW230" s="154"/>
      <c r="AX230" s="154"/>
      <c r="AY230" s="154"/>
      <c r="AZ230" s="154"/>
      <c r="BA230" s="154"/>
      <c r="BB230" s="154"/>
      <c r="BC230" s="154"/>
      <c r="BD230" s="154"/>
      <c r="BE230" s="154"/>
      <c r="BF230" s="154"/>
      <c r="BG230" s="154"/>
      <c r="BH230" s="154"/>
      <c r="BI230" s="154"/>
      <c r="BJ230" s="154"/>
      <c r="BK230" s="154"/>
      <c r="BL230" s="154"/>
      <c r="BM230" s="154"/>
      <c r="BN230" s="154"/>
      <c r="BO230" s="154"/>
      <c r="BP230" s="154"/>
      <c r="BQ230" s="154"/>
      <c r="BR230" s="154"/>
      <c r="BS230" s="154"/>
      <c r="BT230" s="154"/>
      <c r="BU230" s="154"/>
      <c r="BV230" s="154"/>
      <c r="BW230" s="154"/>
      <c r="BX230" s="154"/>
      <c r="BY230" s="154"/>
      <c r="BZ230" s="154"/>
      <c r="CA230" s="154"/>
      <c r="CB230" s="154"/>
      <c r="CC230" s="154"/>
      <c r="CD230" s="154"/>
      <c r="CE230" s="154"/>
      <c r="CF230" s="154"/>
      <c r="CG230" s="154"/>
      <c r="CH230" s="154"/>
      <c r="CI230" s="154"/>
      <c r="CJ230" s="154"/>
      <c r="CK230" s="154"/>
      <c r="CL230" s="154"/>
      <c r="CM230" s="154"/>
      <c r="CN230" s="154"/>
      <c r="CO230" s="154"/>
      <c r="CP230" s="154"/>
      <c r="CQ230" s="154"/>
      <c r="CR230" s="154"/>
      <c r="CS230" s="154"/>
      <c r="CT230" s="154"/>
      <c r="CU230" s="154"/>
      <c r="CV230" s="154"/>
      <c r="CW230" s="154"/>
      <c r="CX230" s="154"/>
      <c r="CY230" s="154"/>
      <c r="CZ230" s="154"/>
      <c r="DA230" s="154"/>
      <c r="DB230" s="154"/>
      <c r="DC230" s="154"/>
      <c r="DD230" s="154"/>
      <c r="DE230" s="154"/>
      <c r="DF230" s="154"/>
      <c r="DG230" s="154"/>
      <c r="DH230" s="154"/>
      <c r="DI230" s="154"/>
      <c r="DJ230" s="154"/>
      <c r="DK230" s="154"/>
      <c r="DL230" s="154"/>
      <c r="DM230" s="154"/>
      <c r="DN230" s="154"/>
      <c r="DO230" s="154"/>
      <c r="DP230" s="154"/>
      <c r="DQ230" s="154"/>
      <c r="DR230" s="154"/>
      <c r="DS230" s="154"/>
      <c r="DT230" s="154"/>
      <c r="DU230" s="154"/>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row>
    <row r="231" spans="2:153" ht="12.95" customHeight="1">
      <c r="B231" s="154"/>
      <c r="C231" s="380"/>
      <c r="D231" s="380"/>
      <c r="E231" s="154"/>
      <c r="F231" s="154"/>
      <c r="G231" s="154"/>
      <c r="H231" s="154"/>
      <c r="I231" s="154"/>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367"/>
      <c r="AG231" s="368"/>
      <c r="AH231" s="368"/>
      <c r="AI231" s="368"/>
      <c r="AJ231" s="154"/>
      <c r="AK231" s="154"/>
      <c r="AL231" s="154"/>
      <c r="AM231" s="154"/>
      <c r="AN231" s="154"/>
      <c r="AO231" s="154"/>
      <c r="AP231" s="154"/>
      <c r="AQ231" s="154"/>
      <c r="AR231" s="154"/>
      <c r="AS231" s="154"/>
      <c r="AT231" s="154"/>
      <c r="AU231" s="154"/>
      <c r="AV231" s="154"/>
      <c r="AW231" s="154"/>
      <c r="AX231" s="154"/>
      <c r="AY231" s="154"/>
      <c r="AZ231" s="154"/>
      <c r="BA231" s="154"/>
      <c r="BB231" s="154"/>
      <c r="BC231" s="154"/>
      <c r="BD231" s="154"/>
      <c r="BE231" s="154"/>
      <c r="BF231" s="154"/>
      <c r="BG231" s="154"/>
      <c r="BH231" s="154"/>
      <c r="BI231" s="154"/>
      <c r="BJ231" s="154"/>
      <c r="BK231" s="154"/>
      <c r="BL231" s="154"/>
      <c r="BM231" s="154"/>
      <c r="BN231" s="154"/>
      <c r="BO231" s="154"/>
      <c r="BP231" s="154"/>
      <c r="BQ231" s="154"/>
      <c r="BR231" s="154"/>
      <c r="BS231" s="154"/>
      <c r="BT231" s="154"/>
      <c r="BU231" s="154"/>
      <c r="BV231" s="154"/>
      <c r="BW231" s="154"/>
      <c r="BX231" s="154"/>
      <c r="BY231" s="154"/>
      <c r="BZ231" s="154"/>
      <c r="CA231" s="154"/>
      <c r="CB231" s="154"/>
      <c r="CC231" s="154"/>
      <c r="CD231" s="154"/>
      <c r="CE231" s="154"/>
      <c r="CF231" s="154"/>
      <c r="CG231" s="154"/>
      <c r="CH231" s="154"/>
      <c r="CI231" s="154"/>
      <c r="CJ231" s="154"/>
      <c r="CK231" s="154"/>
      <c r="CL231" s="154"/>
      <c r="CM231" s="154"/>
      <c r="CN231" s="154"/>
      <c r="CO231" s="154"/>
      <c r="CP231" s="154"/>
      <c r="CQ231" s="154"/>
      <c r="CR231" s="154"/>
      <c r="CS231" s="154"/>
      <c r="CT231" s="154"/>
      <c r="CU231" s="154"/>
      <c r="CV231" s="154"/>
      <c r="CW231" s="154"/>
      <c r="CX231" s="154"/>
      <c r="CY231" s="154"/>
      <c r="CZ231" s="154"/>
      <c r="DA231" s="154"/>
      <c r="DB231" s="154"/>
      <c r="DC231" s="154"/>
      <c r="DD231" s="154"/>
      <c r="DE231" s="154"/>
      <c r="DF231" s="154"/>
      <c r="DG231" s="154"/>
      <c r="DH231" s="154"/>
      <c r="DI231" s="154"/>
      <c r="DJ231" s="154"/>
      <c r="DK231" s="154"/>
      <c r="DL231" s="154"/>
      <c r="DM231" s="154"/>
      <c r="DN231" s="154"/>
      <c r="DO231" s="154"/>
      <c r="DP231" s="154"/>
      <c r="DQ231" s="154"/>
      <c r="DR231" s="154"/>
      <c r="DS231" s="154"/>
      <c r="DT231" s="154"/>
      <c r="DU231" s="154"/>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row>
    <row r="232" spans="2:153" ht="12.95" customHeight="1">
      <c r="B232" s="154"/>
      <c r="C232" s="380"/>
      <c r="D232" s="380"/>
      <c r="E232" s="154"/>
      <c r="F232" s="154"/>
      <c r="G232" s="154"/>
      <c r="H232" s="154"/>
      <c r="I232" s="154"/>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367"/>
      <c r="AG232" s="368"/>
      <c r="AH232" s="368"/>
      <c r="AI232" s="368"/>
      <c r="AJ232" s="154"/>
      <c r="AK232" s="154"/>
      <c r="AL232" s="154"/>
      <c r="AM232" s="154"/>
      <c r="AN232" s="154"/>
      <c r="AO232" s="154"/>
      <c r="AP232" s="154"/>
      <c r="AQ232" s="154"/>
      <c r="AR232" s="154"/>
      <c r="AS232" s="154"/>
      <c r="AT232" s="154"/>
      <c r="AU232" s="154"/>
      <c r="AV232" s="154"/>
      <c r="AW232" s="154"/>
      <c r="AX232" s="154"/>
      <c r="AY232" s="154"/>
      <c r="AZ232" s="154"/>
      <c r="BA232" s="154"/>
      <c r="BB232" s="154"/>
      <c r="BC232" s="154"/>
      <c r="BD232" s="154"/>
      <c r="BE232" s="154"/>
      <c r="BF232" s="154"/>
      <c r="BG232" s="154"/>
      <c r="BH232" s="154"/>
      <c r="BI232" s="154"/>
      <c r="BJ232" s="154"/>
      <c r="BK232" s="154"/>
      <c r="BL232" s="154"/>
      <c r="BM232" s="154"/>
      <c r="BN232" s="154"/>
      <c r="BO232" s="154"/>
      <c r="BP232" s="154"/>
      <c r="BQ232" s="154"/>
      <c r="BR232" s="154"/>
      <c r="BS232" s="154"/>
      <c r="BT232" s="154"/>
      <c r="BU232" s="154"/>
      <c r="BV232" s="154"/>
      <c r="BW232" s="154"/>
      <c r="BX232" s="154"/>
      <c r="BY232" s="154"/>
      <c r="BZ232" s="154"/>
      <c r="CA232" s="154"/>
      <c r="CB232" s="154"/>
      <c r="CC232" s="154"/>
      <c r="CD232" s="154"/>
      <c r="CE232" s="154"/>
      <c r="CF232" s="154"/>
      <c r="CG232" s="154"/>
      <c r="CH232" s="154"/>
      <c r="CI232" s="154"/>
      <c r="CJ232" s="154"/>
      <c r="CK232" s="154"/>
      <c r="CL232" s="154"/>
      <c r="CM232" s="154"/>
      <c r="CN232" s="154"/>
      <c r="CO232" s="154"/>
      <c r="CP232" s="154"/>
      <c r="CQ232" s="154"/>
      <c r="CR232" s="154"/>
      <c r="CS232" s="154"/>
      <c r="CT232" s="154"/>
      <c r="CU232" s="154"/>
      <c r="CV232" s="154"/>
      <c r="CW232" s="154"/>
      <c r="CX232" s="154"/>
      <c r="CY232" s="154"/>
      <c r="CZ232" s="154"/>
      <c r="DA232" s="154"/>
      <c r="DB232" s="154"/>
      <c r="DC232" s="154"/>
      <c r="DD232" s="154"/>
      <c r="DE232" s="154"/>
      <c r="DF232" s="154"/>
      <c r="DG232" s="154"/>
      <c r="DH232" s="154"/>
      <c r="DI232" s="154"/>
      <c r="DJ232" s="154"/>
      <c r="DK232" s="154"/>
      <c r="DL232" s="154"/>
      <c r="DM232" s="154"/>
      <c r="DN232" s="154"/>
      <c r="DO232" s="154"/>
      <c r="DP232" s="154"/>
      <c r="DQ232" s="154"/>
      <c r="DR232" s="154"/>
      <c r="DS232" s="154"/>
      <c r="DT232" s="154"/>
      <c r="DU232" s="154"/>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row>
    <row r="233" spans="2:153" ht="12.95" customHeight="1">
      <c r="B233" s="154"/>
      <c r="C233" s="380"/>
      <c r="D233" s="380"/>
      <c r="E233" s="154"/>
      <c r="F233" s="154"/>
      <c r="G233" s="154"/>
      <c r="H233" s="154"/>
      <c r="I233" s="154"/>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367"/>
      <c r="AG233" s="368"/>
      <c r="AH233" s="368"/>
      <c r="AI233" s="368"/>
      <c r="AJ233" s="154"/>
      <c r="AK233" s="154"/>
      <c r="AL233" s="154"/>
      <c r="AM233" s="154"/>
      <c r="AN233" s="154"/>
      <c r="AO233" s="154"/>
      <c r="AP233" s="154"/>
      <c r="AQ233" s="154"/>
      <c r="AR233" s="154"/>
      <c r="AS233" s="154"/>
      <c r="AT233" s="154"/>
      <c r="AU233" s="154"/>
      <c r="AV233" s="154"/>
      <c r="AW233" s="154"/>
      <c r="AX233" s="154"/>
      <c r="AY233" s="154"/>
      <c r="AZ233" s="154"/>
      <c r="BA233" s="154"/>
      <c r="BB233" s="154"/>
      <c r="BC233" s="154"/>
      <c r="BD233" s="154"/>
      <c r="BE233" s="154"/>
      <c r="BF233" s="154"/>
      <c r="BG233" s="154"/>
      <c r="BH233" s="154"/>
      <c r="BI233" s="154"/>
      <c r="BJ233" s="154"/>
      <c r="BK233" s="154"/>
      <c r="BL233" s="154"/>
      <c r="BM233" s="154"/>
      <c r="BN233" s="154"/>
      <c r="BO233" s="154"/>
      <c r="BP233" s="154"/>
      <c r="BQ233" s="154"/>
      <c r="BR233" s="154"/>
      <c r="BS233" s="154"/>
      <c r="BT233" s="154"/>
      <c r="BU233" s="154"/>
      <c r="BV233" s="154"/>
      <c r="BW233" s="154"/>
      <c r="BX233" s="154"/>
      <c r="BY233" s="154"/>
      <c r="BZ233" s="154"/>
      <c r="CA233" s="154"/>
      <c r="CB233" s="154"/>
      <c r="CC233" s="154"/>
      <c r="CD233" s="154"/>
      <c r="CE233" s="154"/>
      <c r="CF233" s="154"/>
      <c r="CG233" s="154"/>
      <c r="CH233" s="154"/>
      <c r="CI233" s="154"/>
      <c r="CJ233" s="154"/>
      <c r="CK233" s="154"/>
      <c r="CL233" s="154"/>
      <c r="CM233" s="154"/>
      <c r="CN233" s="154"/>
      <c r="CO233" s="154"/>
      <c r="CP233" s="154"/>
      <c r="CQ233" s="154"/>
      <c r="CR233" s="154"/>
      <c r="CS233" s="154"/>
      <c r="CT233" s="154"/>
      <c r="CU233" s="154"/>
      <c r="CV233" s="154"/>
      <c r="CW233" s="154"/>
      <c r="CX233" s="154"/>
      <c r="CY233" s="154"/>
      <c r="CZ233" s="154"/>
      <c r="DA233" s="154"/>
      <c r="DB233" s="154"/>
      <c r="DC233" s="154"/>
      <c r="DD233" s="154"/>
      <c r="DE233" s="154"/>
      <c r="DF233" s="154"/>
      <c r="DG233" s="154"/>
      <c r="DH233" s="154"/>
      <c r="DI233" s="154"/>
      <c r="DJ233" s="154"/>
      <c r="DK233" s="154"/>
      <c r="DL233" s="154"/>
      <c r="DM233" s="154"/>
      <c r="DN233" s="154"/>
      <c r="DO233" s="154"/>
      <c r="DP233" s="154"/>
      <c r="DQ233" s="154"/>
      <c r="DR233" s="154"/>
      <c r="DS233" s="154"/>
      <c r="DT233" s="154"/>
      <c r="DU233" s="154"/>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row>
    <row r="234" spans="2:153" ht="12.95" customHeight="1">
      <c r="B234" s="154"/>
      <c r="C234" s="380"/>
      <c r="D234" s="380"/>
      <c r="E234" s="154"/>
      <c r="F234" s="154"/>
      <c r="G234" s="154"/>
      <c r="H234" s="154"/>
      <c r="I234" s="154"/>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367"/>
      <c r="AG234" s="368"/>
      <c r="AH234" s="368"/>
      <c r="AI234" s="368"/>
      <c r="AJ234" s="154"/>
      <c r="AK234" s="154"/>
      <c r="AL234" s="154"/>
      <c r="AM234" s="154"/>
      <c r="AN234" s="154"/>
      <c r="AO234" s="154"/>
      <c r="AP234" s="154"/>
      <c r="AQ234" s="154"/>
      <c r="AR234" s="154"/>
      <c r="AS234" s="154"/>
      <c r="AT234" s="154"/>
      <c r="AU234" s="154"/>
      <c r="AV234" s="154"/>
      <c r="AW234" s="154"/>
      <c r="AX234" s="154"/>
      <c r="AY234" s="154"/>
      <c r="AZ234" s="154"/>
      <c r="BA234" s="154"/>
      <c r="BB234" s="154"/>
      <c r="BC234" s="154"/>
      <c r="BD234" s="154"/>
      <c r="BE234" s="154"/>
      <c r="BF234" s="154"/>
      <c r="BG234" s="154"/>
      <c r="BH234" s="154"/>
      <c r="BI234" s="154"/>
      <c r="BJ234" s="154"/>
      <c r="BK234" s="154"/>
      <c r="BL234" s="154"/>
      <c r="BM234" s="154"/>
      <c r="BN234" s="154"/>
      <c r="BO234" s="154"/>
      <c r="BP234" s="154"/>
      <c r="BQ234" s="154"/>
      <c r="BR234" s="154"/>
      <c r="BS234" s="154"/>
      <c r="BT234" s="154"/>
      <c r="BU234" s="154"/>
      <c r="BV234" s="154"/>
      <c r="BW234" s="154"/>
      <c r="BX234" s="154"/>
      <c r="BY234" s="154"/>
      <c r="BZ234" s="154"/>
      <c r="CA234" s="154"/>
      <c r="CB234" s="154"/>
      <c r="CC234" s="154"/>
      <c r="CD234" s="154"/>
      <c r="CE234" s="154"/>
      <c r="CF234" s="154"/>
      <c r="CG234" s="154"/>
      <c r="CH234" s="154"/>
      <c r="CI234" s="154"/>
      <c r="CJ234" s="154"/>
      <c r="CK234" s="154"/>
      <c r="CL234" s="154"/>
      <c r="CM234" s="154"/>
      <c r="CN234" s="154"/>
      <c r="CO234" s="154"/>
      <c r="CP234" s="154"/>
      <c r="CQ234" s="154"/>
      <c r="CR234" s="154"/>
      <c r="CS234" s="154"/>
      <c r="CT234" s="154"/>
      <c r="CU234" s="154"/>
      <c r="CV234" s="154"/>
      <c r="CW234" s="154"/>
      <c r="CX234" s="154"/>
      <c r="CY234" s="154"/>
      <c r="CZ234" s="154"/>
      <c r="DA234" s="154"/>
      <c r="DB234" s="154"/>
      <c r="DC234" s="154"/>
      <c r="DD234" s="154"/>
      <c r="DE234" s="154"/>
      <c r="DF234" s="154"/>
      <c r="DG234" s="154"/>
      <c r="DH234" s="154"/>
      <c r="DI234" s="154"/>
      <c r="DJ234" s="154"/>
      <c r="DK234" s="154"/>
      <c r="DL234" s="154"/>
      <c r="DM234" s="154"/>
      <c r="DN234" s="154"/>
      <c r="DO234" s="154"/>
      <c r="DP234" s="154"/>
      <c r="DQ234" s="154"/>
      <c r="DR234" s="154"/>
      <c r="DS234" s="154"/>
      <c r="DT234" s="154"/>
      <c r="DU234" s="154"/>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row>
    <row r="235" spans="2:153" ht="12.95" customHeight="1">
      <c r="B235" s="154"/>
      <c r="C235" s="380"/>
      <c r="D235" s="380"/>
      <c r="E235" s="154"/>
      <c r="F235" s="154"/>
      <c r="G235" s="154"/>
      <c r="H235" s="154"/>
      <c r="I235" s="154"/>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367"/>
      <c r="AG235" s="368"/>
      <c r="AH235" s="368"/>
      <c r="AI235" s="368"/>
      <c r="AJ235" s="154"/>
      <c r="AK235" s="154"/>
      <c r="AL235" s="154"/>
      <c r="AM235" s="154"/>
      <c r="AN235" s="154"/>
      <c r="AO235" s="154"/>
      <c r="AP235" s="154"/>
      <c r="AQ235" s="154"/>
      <c r="AR235" s="154"/>
      <c r="AS235" s="154"/>
      <c r="AT235" s="154"/>
      <c r="AU235" s="154"/>
      <c r="AV235" s="154"/>
      <c r="AW235" s="154"/>
      <c r="AX235" s="154"/>
      <c r="AY235" s="154"/>
      <c r="AZ235" s="154"/>
      <c r="BA235" s="154"/>
      <c r="BB235" s="154"/>
      <c r="BC235" s="154"/>
      <c r="BD235" s="154"/>
      <c r="BE235" s="154"/>
      <c r="BF235" s="154"/>
      <c r="BG235" s="154"/>
      <c r="BH235" s="154"/>
      <c r="BI235" s="154"/>
      <c r="BJ235" s="154"/>
      <c r="BK235" s="154"/>
      <c r="BL235" s="154"/>
      <c r="BM235" s="154"/>
      <c r="BN235" s="154"/>
      <c r="BO235" s="154"/>
      <c r="BP235" s="154"/>
      <c r="BQ235" s="154"/>
      <c r="BR235" s="154"/>
      <c r="BS235" s="154"/>
      <c r="BT235" s="154"/>
      <c r="BU235" s="154"/>
      <c r="BV235" s="154"/>
      <c r="BW235" s="154"/>
      <c r="BX235" s="154"/>
      <c r="BY235" s="154"/>
      <c r="BZ235" s="154"/>
      <c r="CA235" s="154"/>
      <c r="CB235" s="154"/>
      <c r="CC235" s="154"/>
      <c r="CD235" s="154"/>
      <c r="CE235" s="154"/>
      <c r="CF235" s="154"/>
      <c r="CG235" s="154"/>
      <c r="CH235" s="154"/>
      <c r="CI235" s="154"/>
      <c r="CJ235" s="154"/>
      <c r="CK235" s="154"/>
      <c r="CL235" s="154"/>
      <c r="CM235" s="154"/>
      <c r="CN235" s="154"/>
      <c r="CO235" s="154"/>
      <c r="CP235" s="154"/>
      <c r="CQ235" s="154"/>
      <c r="CR235" s="154"/>
      <c r="CS235" s="154"/>
      <c r="CT235" s="154"/>
      <c r="CU235" s="154"/>
      <c r="CV235" s="154"/>
      <c r="CW235" s="154"/>
      <c r="CX235" s="154"/>
      <c r="CY235" s="154"/>
      <c r="CZ235" s="154"/>
      <c r="DA235" s="154"/>
      <c r="DB235" s="154"/>
      <c r="DC235" s="154"/>
      <c r="DD235" s="154"/>
      <c r="DE235" s="154"/>
      <c r="DF235" s="154"/>
      <c r="DG235" s="154"/>
      <c r="DH235" s="154"/>
      <c r="DI235" s="154"/>
      <c r="DJ235" s="154"/>
      <c r="DK235" s="154"/>
      <c r="DL235" s="154"/>
      <c r="DM235" s="154"/>
      <c r="DN235" s="154"/>
      <c r="DO235" s="154"/>
      <c r="DP235" s="154"/>
      <c r="DQ235" s="154"/>
      <c r="DR235" s="154"/>
      <c r="DS235" s="154"/>
      <c r="DT235" s="154"/>
      <c r="DU235" s="154"/>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row>
    <row r="236" spans="2:153" ht="12.95" customHeight="1">
      <c r="B236" s="154"/>
      <c r="C236" s="380"/>
      <c r="D236" s="380"/>
      <c r="E236" s="154"/>
      <c r="F236" s="154"/>
      <c r="G236" s="154"/>
      <c r="H236" s="154"/>
      <c r="I236" s="154"/>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367"/>
      <c r="AG236" s="368"/>
      <c r="AH236" s="368"/>
      <c r="AI236" s="368"/>
      <c r="AJ236" s="154"/>
      <c r="AK236" s="154"/>
      <c r="AL236" s="154"/>
      <c r="AM236" s="154"/>
      <c r="AN236" s="154"/>
      <c r="AO236" s="154"/>
      <c r="AP236" s="154"/>
      <c r="AQ236" s="154"/>
      <c r="AR236" s="154"/>
      <c r="AS236" s="154"/>
      <c r="AT236" s="154"/>
      <c r="AU236" s="154"/>
      <c r="AV236" s="154"/>
      <c r="AW236" s="154"/>
      <c r="AX236" s="154"/>
      <c r="AY236" s="154"/>
      <c r="AZ236" s="154"/>
      <c r="BA236" s="154"/>
      <c r="BB236" s="154"/>
      <c r="BC236" s="154"/>
      <c r="BD236" s="154"/>
      <c r="BE236" s="154"/>
      <c r="BF236" s="154"/>
      <c r="BG236" s="154"/>
      <c r="BH236" s="154"/>
      <c r="BI236" s="154"/>
      <c r="BJ236" s="154"/>
      <c r="BK236" s="154"/>
      <c r="BL236" s="154"/>
      <c r="BM236" s="154"/>
      <c r="BN236" s="154"/>
      <c r="BO236" s="154"/>
      <c r="BP236" s="154"/>
      <c r="BQ236" s="154"/>
      <c r="BR236" s="154"/>
      <c r="BS236" s="154"/>
      <c r="BT236" s="154"/>
      <c r="BU236" s="154"/>
      <c r="BV236" s="154"/>
      <c r="BW236" s="154"/>
      <c r="BX236" s="154"/>
      <c r="BY236" s="154"/>
      <c r="BZ236" s="154"/>
      <c r="CA236" s="154"/>
      <c r="CB236" s="154"/>
      <c r="CC236" s="154"/>
      <c r="CD236" s="154"/>
      <c r="CE236" s="154"/>
      <c r="CF236" s="154"/>
      <c r="CG236" s="154"/>
      <c r="CH236" s="154"/>
      <c r="CI236" s="154"/>
      <c r="CJ236" s="154"/>
      <c r="CK236" s="154"/>
      <c r="CL236" s="154"/>
      <c r="CM236" s="154"/>
      <c r="CN236" s="154"/>
      <c r="CO236" s="154"/>
      <c r="CP236" s="154"/>
      <c r="CQ236" s="154"/>
      <c r="CR236" s="154"/>
      <c r="CS236" s="154"/>
      <c r="CT236" s="154"/>
      <c r="CU236" s="154"/>
      <c r="CV236" s="154"/>
      <c r="CW236" s="154"/>
      <c r="CX236" s="154"/>
      <c r="CY236" s="154"/>
      <c r="CZ236" s="154"/>
      <c r="DA236" s="154"/>
      <c r="DB236" s="154"/>
      <c r="DC236" s="154"/>
      <c r="DD236" s="154"/>
      <c r="DE236" s="154"/>
      <c r="DF236" s="154"/>
      <c r="DG236" s="154"/>
      <c r="DH236" s="154"/>
      <c r="DI236" s="154"/>
      <c r="DJ236" s="154"/>
      <c r="DK236" s="154"/>
      <c r="DL236" s="154"/>
      <c r="DM236" s="154"/>
      <c r="DN236" s="154"/>
      <c r="DO236" s="154"/>
      <c r="DP236" s="154"/>
      <c r="DQ236" s="154"/>
      <c r="DR236" s="154"/>
      <c r="DS236" s="154"/>
      <c r="DT236" s="154"/>
      <c r="DU236" s="154"/>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row>
    <row r="237" spans="2:153" ht="12.95" customHeight="1">
      <c r="B237" s="154"/>
      <c r="C237" s="380"/>
      <c r="D237" s="380"/>
      <c r="E237" s="154"/>
      <c r="F237" s="154"/>
      <c r="G237" s="154"/>
      <c r="H237" s="154"/>
      <c r="I237" s="154"/>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367"/>
      <c r="AG237" s="368"/>
      <c r="AH237" s="368"/>
      <c r="AI237" s="368"/>
      <c r="AJ237" s="154"/>
      <c r="AK237" s="154"/>
      <c r="AL237" s="154"/>
      <c r="AM237" s="154"/>
      <c r="AN237" s="154"/>
      <c r="AO237" s="154"/>
      <c r="AP237" s="154"/>
      <c r="AQ237" s="154"/>
      <c r="AR237" s="154"/>
      <c r="AS237" s="154"/>
      <c r="AT237" s="154"/>
      <c r="AU237" s="154"/>
      <c r="AV237" s="154"/>
      <c r="AW237" s="154"/>
      <c r="AX237" s="154"/>
      <c r="AY237" s="154"/>
      <c r="AZ237" s="154"/>
      <c r="BA237" s="154"/>
      <c r="BB237" s="154"/>
      <c r="BC237" s="154"/>
      <c r="BD237" s="154"/>
      <c r="BE237" s="154"/>
      <c r="BF237" s="154"/>
      <c r="BG237" s="154"/>
      <c r="BH237" s="154"/>
      <c r="BI237" s="154"/>
      <c r="BJ237" s="154"/>
      <c r="BK237" s="154"/>
      <c r="BL237" s="154"/>
      <c r="BM237" s="154"/>
      <c r="BN237" s="154"/>
      <c r="BO237" s="154"/>
      <c r="BP237" s="154"/>
      <c r="BQ237" s="154"/>
      <c r="BR237" s="154"/>
      <c r="BS237" s="154"/>
      <c r="BT237" s="154"/>
      <c r="BU237" s="154"/>
      <c r="BV237" s="154"/>
      <c r="BW237" s="154"/>
      <c r="BX237" s="154"/>
      <c r="BY237" s="154"/>
      <c r="BZ237" s="154"/>
      <c r="CA237" s="154"/>
      <c r="CB237" s="154"/>
      <c r="CC237" s="154"/>
      <c r="CD237" s="154"/>
      <c r="CE237" s="154"/>
      <c r="CF237" s="154"/>
      <c r="CG237" s="154"/>
      <c r="CH237" s="154"/>
      <c r="CI237" s="154"/>
      <c r="CJ237" s="154"/>
      <c r="CK237" s="154"/>
      <c r="CL237" s="154"/>
      <c r="CM237" s="154"/>
      <c r="CN237" s="154"/>
      <c r="CO237" s="154"/>
      <c r="CP237" s="154"/>
      <c r="CQ237" s="154"/>
      <c r="CR237" s="154"/>
      <c r="CS237" s="154"/>
      <c r="CT237" s="154"/>
      <c r="CU237" s="154"/>
      <c r="CV237" s="154"/>
      <c r="CW237" s="154"/>
      <c r="CX237" s="154"/>
      <c r="CY237" s="154"/>
      <c r="CZ237" s="154"/>
      <c r="DA237" s="154"/>
      <c r="DB237" s="154"/>
      <c r="DC237" s="154"/>
      <c r="DD237" s="154"/>
      <c r="DE237" s="154"/>
      <c r="DF237" s="154"/>
      <c r="DG237" s="154"/>
      <c r="DH237" s="154"/>
      <c r="DI237" s="154"/>
      <c r="DJ237" s="154"/>
      <c r="DK237" s="154"/>
      <c r="DL237" s="154"/>
      <c r="DM237" s="154"/>
      <c r="DN237" s="154"/>
      <c r="DO237" s="154"/>
      <c r="DP237" s="154"/>
      <c r="DQ237" s="154"/>
      <c r="DR237" s="154"/>
      <c r="DS237" s="154"/>
      <c r="DT237" s="154"/>
      <c r="DU237" s="154"/>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row>
    <row r="238" spans="2:153" ht="12.95" customHeight="1">
      <c r="B238" s="154"/>
      <c r="C238" s="380"/>
      <c r="D238" s="380"/>
      <c r="E238" s="154"/>
      <c r="F238" s="154"/>
      <c r="G238" s="154"/>
      <c r="H238" s="154"/>
      <c r="I238" s="154"/>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367"/>
      <c r="AG238" s="368"/>
      <c r="AH238" s="368"/>
      <c r="AI238" s="368"/>
      <c r="AJ238" s="154"/>
      <c r="AK238" s="154"/>
      <c r="AL238" s="154"/>
      <c r="AM238" s="154"/>
      <c r="AN238" s="154"/>
      <c r="AO238" s="154"/>
      <c r="AP238" s="154"/>
      <c r="AQ238" s="154"/>
      <c r="AR238" s="154"/>
      <c r="AS238" s="154"/>
      <c r="AT238" s="154"/>
      <c r="AU238" s="154"/>
      <c r="AV238" s="154"/>
      <c r="AW238" s="154"/>
      <c r="AX238" s="154"/>
      <c r="AY238" s="154"/>
      <c r="AZ238" s="154"/>
      <c r="BA238" s="154"/>
      <c r="BB238" s="154"/>
      <c r="BC238" s="154"/>
      <c r="BD238" s="154"/>
      <c r="BE238" s="154"/>
      <c r="BF238" s="154"/>
      <c r="BG238" s="154"/>
      <c r="BH238" s="154"/>
      <c r="BI238" s="154"/>
      <c r="BJ238" s="154"/>
      <c r="BK238" s="154"/>
      <c r="BL238" s="154"/>
      <c r="BM238" s="154"/>
      <c r="BN238" s="154"/>
      <c r="BO238" s="154"/>
      <c r="BP238" s="154"/>
      <c r="BQ238" s="154"/>
      <c r="BR238" s="154"/>
      <c r="BS238" s="154"/>
      <c r="BT238" s="154"/>
      <c r="BU238" s="154"/>
      <c r="BV238" s="154"/>
      <c r="BW238" s="154"/>
      <c r="BX238" s="154"/>
      <c r="BY238" s="154"/>
      <c r="BZ238" s="154"/>
      <c r="CA238" s="154"/>
      <c r="CB238" s="154"/>
      <c r="CC238" s="154"/>
      <c r="CD238" s="154"/>
      <c r="CE238" s="154"/>
      <c r="CF238" s="154"/>
      <c r="CG238" s="154"/>
      <c r="CH238" s="154"/>
      <c r="CI238" s="154"/>
      <c r="CJ238" s="154"/>
      <c r="CK238" s="154"/>
      <c r="CL238" s="154"/>
      <c r="CM238" s="154"/>
      <c r="CN238" s="154"/>
      <c r="CO238" s="154"/>
      <c r="CP238" s="154"/>
      <c r="CQ238" s="154"/>
      <c r="CR238" s="154"/>
      <c r="CS238" s="154"/>
      <c r="CT238" s="154"/>
      <c r="CU238" s="154"/>
      <c r="CV238" s="154"/>
      <c r="CW238" s="154"/>
      <c r="CX238" s="154"/>
      <c r="CY238" s="154"/>
      <c r="CZ238" s="154"/>
      <c r="DA238" s="154"/>
      <c r="DB238" s="154"/>
      <c r="DC238" s="154"/>
      <c r="DD238" s="154"/>
      <c r="DE238" s="154"/>
      <c r="DF238" s="154"/>
      <c r="DG238" s="154"/>
      <c r="DH238" s="154"/>
      <c r="DI238" s="154"/>
      <c r="DJ238" s="154"/>
      <c r="DK238" s="154"/>
      <c r="DL238" s="154"/>
      <c r="DM238" s="154"/>
      <c r="DN238" s="154"/>
      <c r="DO238" s="154"/>
      <c r="DP238" s="154"/>
      <c r="DQ238" s="154"/>
      <c r="DR238" s="154"/>
      <c r="DS238" s="154"/>
      <c r="DT238" s="154"/>
      <c r="DU238" s="154"/>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row>
    <row r="239" spans="2:153" ht="12.95" customHeight="1">
      <c r="B239" s="154"/>
      <c r="C239" s="380"/>
      <c r="D239" s="380"/>
      <c r="E239" s="154"/>
      <c r="F239" s="154"/>
      <c r="G239" s="154"/>
      <c r="H239" s="154"/>
      <c r="I239" s="154"/>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367"/>
      <c r="AG239" s="368"/>
      <c r="AH239" s="368"/>
      <c r="AI239" s="368"/>
      <c r="AJ239" s="154"/>
      <c r="AK239" s="154"/>
      <c r="AL239" s="154"/>
      <c r="AM239" s="154"/>
      <c r="AN239" s="154"/>
      <c r="AO239" s="154"/>
      <c r="AP239" s="154"/>
      <c r="AQ239" s="154"/>
      <c r="AR239" s="154"/>
      <c r="AS239" s="154"/>
      <c r="AT239" s="154"/>
      <c r="AU239" s="154"/>
      <c r="AV239" s="154"/>
      <c r="AW239" s="154"/>
      <c r="AX239" s="154"/>
      <c r="AY239" s="154"/>
      <c r="AZ239" s="154"/>
      <c r="BA239" s="154"/>
      <c r="BB239" s="154"/>
      <c r="BC239" s="154"/>
      <c r="BD239" s="154"/>
      <c r="BE239" s="154"/>
      <c r="BF239" s="154"/>
      <c r="BG239" s="154"/>
      <c r="BH239" s="154"/>
      <c r="BI239" s="154"/>
      <c r="BJ239" s="154"/>
      <c r="BK239" s="154"/>
      <c r="BL239" s="154"/>
      <c r="BM239" s="154"/>
      <c r="BN239" s="154"/>
      <c r="BO239" s="154"/>
      <c r="BP239" s="154"/>
      <c r="BQ239" s="154"/>
      <c r="BR239" s="154"/>
      <c r="BS239" s="154"/>
      <c r="BT239" s="154"/>
      <c r="BU239" s="154"/>
      <c r="BV239" s="154"/>
      <c r="BW239" s="154"/>
      <c r="BX239" s="154"/>
      <c r="BY239" s="154"/>
      <c r="BZ239" s="154"/>
      <c r="CA239" s="154"/>
      <c r="CB239" s="154"/>
      <c r="CC239" s="154"/>
      <c r="CD239" s="154"/>
      <c r="CE239" s="154"/>
      <c r="CF239" s="154"/>
      <c r="CG239" s="154"/>
      <c r="CH239" s="154"/>
      <c r="CI239" s="154"/>
      <c r="CJ239" s="154"/>
      <c r="CK239" s="154"/>
      <c r="CL239" s="154"/>
      <c r="CM239" s="154"/>
      <c r="CN239" s="154"/>
      <c r="CO239" s="154"/>
      <c r="CP239" s="154"/>
      <c r="CQ239" s="154"/>
      <c r="CR239" s="154"/>
      <c r="CS239" s="154"/>
      <c r="CT239" s="154"/>
      <c r="CU239" s="154"/>
      <c r="CV239" s="154"/>
      <c r="CW239" s="154"/>
      <c r="CX239" s="154"/>
      <c r="CY239" s="154"/>
      <c r="CZ239" s="154"/>
      <c r="DA239" s="154"/>
      <c r="DB239" s="154"/>
      <c r="DC239" s="154"/>
      <c r="DD239" s="154"/>
      <c r="DE239" s="154"/>
      <c r="DF239" s="154"/>
      <c r="DG239" s="154"/>
      <c r="DH239" s="154"/>
      <c r="DI239" s="154"/>
      <c r="DJ239" s="154"/>
      <c r="DK239" s="154"/>
      <c r="DL239" s="154"/>
      <c r="DM239" s="154"/>
      <c r="DN239" s="154"/>
      <c r="DO239" s="154"/>
      <c r="DP239" s="154"/>
      <c r="DQ239" s="154"/>
      <c r="DR239" s="154"/>
      <c r="DS239" s="154"/>
      <c r="DT239" s="154"/>
      <c r="DU239" s="154"/>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row>
    <row r="240" spans="2:153" ht="12.95" customHeight="1">
      <c r="B240" s="154"/>
      <c r="C240" s="380"/>
      <c r="D240" s="380"/>
      <c r="E240" s="154"/>
      <c r="F240" s="154"/>
      <c r="G240" s="154"/>
      <c r="H240" s="154"/>
      <c r="I240" s="154"/>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367"/>
      <c r="AG240" s="368"/>
      <c r="AH240" s="368"/>
      <c r="AI240" s="368"/>
      <c r="AJ240" s="154"/>
      <c r="AK240" s="154"/>
      <c r="AL240" s="154"/>
      <c r="AM240" s="154"/>
      <c r="AN240" s="154"/>
      <c r="AO240" s="154"/>
      <c r="AP240" s="154"/>
      <c r="AQ240" s="154"/>
      <c r="AR240" s="154"/>
      <c r="AS240" s="154"/>
      <c r="AT240" s="154"/>
      <c r="AU240" s="154"/>
      <c r="AV240" s="154"/>
      <c r="AW240" s="154"/>
      <c r="AX240" s="154"/>
      <c r="AY240" s="154"/>
      <c r="AZ240" s="154"/>
      <c r="BA240" s="154"/>
      <c r="BB240" s="154"/>
      <c r="BC240" s="154"/>
      <c r="BD240" s="154"/>
      <c r="BE240" s="154"/>
      <c r="BF240" s="154"/>
      <c r="BG240" s="154"/>
      <c r="BH240" s="154"/>
      <c r="BI240" s="154"/>
      <c r="BJ240" s="154"/>
      <c r="BK240" s="154"/>
      <c r="BL240" s="154"/>
      <c r="BM240" s="154"/>
      <c r="BN240" s="154"/>
      <c r="BO240" s="154"/>
      <c r="BP240" s="154"/>
      <c r="BQ240" s="154"/>
      <c r="BR240" s="154"/>
      <c r="BS240" s="154"/>
      <c r="BT240" s="154"/>
      <c r="BU240" s="154"/>
      <c r="BV240" s="154"/>
      <c r="BW240" s="154"/>
      <c r="BX240" s="154"/>
      <c r="BY240" s="154"/>
      <c r="BZ240" s="154"/>
      <c r="CA240" s="154"/>
      <c r="CB240" s="154"/>
      <c r="CC240" s="154"/>
      <c r="CD240" s="154"/>
      <c r="CE240" s="154"/>
      <c r="CF240" s="154"/>
      <c r="CG240" s="154"/>
      <c r="CH240" s="154"/>
      <c r="CI240" s="154"/>
      <c r="CJ240" s="154"/>
      <c r="CK240" s="154"/>
      <c r="CL240" s="154"/>
      <c r="CM240" s="154"/>
      <c r="CN240" s="154"/>
      <c r="CO240" s="154"/>
      <c r="CP240" s="154"/>
      <c r="CQ240" s="154"/>
      <c r="CR240" s="154"/>
      <c r="CS240" s="154"/>
      <c r="CT240" s="154"/>
      <c r="CU240" s="154"/>
      <c r="CV240" s="154"/>
      <c r="CW240" s="154"/>
      <c r="CX240" s="154"/>
      <c r="CY240" s="154"/>
      <c r="CZ240" s="154"/>
      <c r="DA240" s="154"/>
      <c r="DB240" s="154"/>
      <c r="DC240" s="154"/>
      <c r="DD240" s="154"/>
      <c r="DE240" s="154"/>
      <c r="DF240" s="154"/>
      <c r="DG240" s="154"/>
      <c r="DH240" s="154"/>
      <c r="DI240" s="154"/>
      <c r="DJ240" s="154"/>
      <c r="DK240" s="154"/>
      <c r="DL240" s="154"/>
      <c r="DM240" s="154"/>
      <c r="DN240" s="154"/>
      <c r="DO240" s="154"/>
      <c r="DP240" s="154"/>
      <c r="DQ240" s="154"/>
      <c r="DR240" s="154"/>
      <c r="DS240" s="154"/>
      <c r="DT240" s="154"/>
      <c r="DU240" s="154"/>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row>
    <row r="241" spans="2:153" ht="12.95" customHeight="1">
      <c r="B241" s="154"/>
      <c r="C241" s="380"/>
      <c r="D241" s="380"/>
      <c r="E241" s="154"/>
      <c r="F241" s="154"/>
      <c r="G241" s="154"/>
      <c r="H241" s="154"/>
      <c r="I241" s="154"/>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367"/>
      <c r="AG241" s="368"/>
      <c r="AH241" s="368"/>
      <c r="AI241" s="368"/>
      <c r="AJ241" s="154"/>
      <c r="AK241" s="154"/>
      <c r="AL241" s="154"/>
      <c r="AM241" s="154"/>
      <c r="AN241" s="154"/>
      <c r="AO241" s="154"/>
      <c r="AP241" s="154"/>
      <c r="AQ241" s="154"/>
      <c r="AR241" s="154"/>
      <c r="AS241" s="154"/>
      <c r="AT241" s="154"/>
      <c r="AU241" s="154"/>
      <c r="AV241" s="154"/>
      <c r="AW241" s="154"/>
      <c r="AX241" s="154"/>
      <c r="AY241" s="154"/>
      <c r="AZ241" s="154"/>
      <c r="BA241" s="154"/>
      <c r="BB241" s="154"/>
      <c r="BC241" s="154"/>
      <c r="BD241" s="154"/>
      <c r="BE241" s="154"/>
      <c r="BF241" s="154"/>
      <c r="BG241" s="154"/>
      <c r="BH241" s="154"/>
      <c r="BI241" s="154"/>
      <c r="BJ241" s="154"/>
      <c r="BK241" s="154"/>
      <c r="BL241" s="154"/>
      <c r="BM241" s="154"/>
      <c r="BN241" s="154"/>
      <c r="BO241" s="154"/>
      <c r="BP241" s="154"/>
      <c r="BQ241" s="154"/>
      <c r="BR241" s="154"/>
      <c r="BS241" s="154"/>
      <c r="BT241" s="154"/>
      <c r="BU241" s="154"/>
      <c r="BV241" s="154"/>
      <c r="BW241" s="154"/>
      <c r="BX241" s="154"/>
      <c r="BY241" s="154"/>
      <c r="BZ241" s="154"/>
      <c r="CA241" s="154"/>
      <c r="CB241" s="154"/>
      <c r="CC241" s="154"/>
      <c r="CD241" s="154"/>
      <c r="CE241" s="154"/>
      <c r="CF241" s="154"/>
      <c r="CG241" s="154"/>
      <c r="CH241" s="154"/>
      <c r="CI241" s="154"/>
      <c r="CJ241" s="154"/>
      <c r="CK241" s="154"/>
      <c r="CL241" s="154"/>
      <c r="CM241" s="154"/>
      <c r="CN241" s="154"/>
      <c r="CO241" s="154"/>
      <c r="CP241" s="154"/>
      <c r="CQ241" s="154"/>
      <c r="CR241" s="154"/>
      <c r="CS241" s="154"/>
      <c r="CT241" s="154"/>
      <c r="CU241" s="154"/>
      <c r="CV241" s="154"/>
      <c r="CW241" s="154"/>
      <c r="CX241" s="154"/>
      <c r="CY241" s="154"/>
      <c r="CZ241" s="154"/>
      <c r="DA241" s="154"/>
      <c r="DB241" s="154"/>
      <c r="DC241" s="154"/>
      <c r="DD241" s="154"/>
      <c r="DE241" s="154"/>
      <c r="DF241" s="154"/>
      <c r="DG241" s="154"/>
      <c r="DH241" s="154"/>
      <c r="DI241" s="154"/>
      <c r="DJ241" s="154"/>
      <c r="DK241" s="154"/>
      <c r="DL241" s="154"/>
      <c r="DM241" s="154"/>
      <c r="DN241" s="154"/>
      <c r="DO241" s="154"/>
      <c r="DP241" s="154"/>
      <c r="DQ241" s="154"/>
      <c r="DR241" s="154"/>
      <c r="DS241" s="154"/>
      <c r="DT241" s="154"/>
      <c r="DU241" s="154"/>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row>
    <row r="242" spans="2:153" ht="12.95" customHeight="1">
      <c r="B242" s="154"/>
      <c r="C242" s="380"/>
      <c r="D242" s="380"/>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367"/>
      <c r="AG242" s="368"/>
      <c r="AH242" s="368"/>
      <c r="AI242" s="368"/>
      <c r="AJ242" s="154"/>
      <c r="AK242" s="154"/>
      <c r="AL242" s="154"/>
      <c r="AM242" s="154"/>
      <c r="AN242" s="154"/>
      <c r="AO242" s="154"/>
      <c r="AP242" s="154"/>
      <c r="AQ242" s="154"/>
      <c r="AR242" s="154"/>
      <c r="AS242" s="154"/>
      <c r="AT242" s="154"/>
      <c r="AU242" s="154"/>
      <c r="AV242" s="154"/>
      <c r="AW242" s="154"/>
      <c r="AX242" s="154"/>
      <c r="AY242" s="154"/>
      <c r="AZ242" s="154"/>
      <c r="BA242" s="154"/>
      <c r="BB242" s="154"/>
      <c r="BC242" s="154"/>
      <c r="BD242" s="154"/>
      <c r="BE242" s="154"/>
      <c r="BF242" s="154"/>
      <c r="BG242" s="154"/>
      <c r="BH242" s="154"/>
      <c r="BI242" s="154"/>
      <c r="BJ242" s="154"/>
      <c r="BK242" s="154"/>
      <c r="BL242" s="154"/>
      <c r="BM242" s="154"/>
      <c r="BN242" s="154"/>
      <c r="BO242" s="154"/>
      <c r="BP242" s="154"/>
      <c r="BQ242" s="154"/>
      <c r="BR242" s="154"/>
      <c r="BS242" s="154"/>
      <c r="BT242" s="154"/>
      <c r="BU242" s="154"/>
      <c r="BV242" s="154"/>
      <c r="BW242" s="154"/>
      <c r="BX242" s="154"/>
      <c r="BY242" s="154"/>
      <c r="BZ242" s="154"/>
      <c r="CA242" s="154"/>
      <c r="CB242" s="154"/>
      <c r="CC242" s="154"/>
      <c r="CD242" s="154"/>
      <c r="CE242" s="154"/>
      <c r="CF242" s="154"/>
      <c r="CG242" s="154"/>
      <c r="CH242" s="154"/>
      <c r="CI242" s="154"/>
      <c r="CJ242" s="154"/>
      <c r="CK242" s="154"/>
      <c r="CL242" s="154"/>
      <c r="CM242" s="154"/>
      <c r="CN242" s="154"/>
      <c r="CO242" s="154"/>
      <c r="CP242" s="154"/>
      <c r="CQ242" s="154"/>
      <c r="CR242" s="154"/>
      <c r="CS242" s="154"/>
      <c r="CT242" s="154"/>
      <c r="CU242" s="154"/>
      <c r="CV242" s="154"/>
      <c r="CW242" s="154"/>
      <c r="CX242" s="154"/>
      <c r="CY242" s="154"/>
      <c r="CZ242" s="154"/>
      <c r="DA242" s="154"/>
      <c r="DB242" s="154"/>
      <c r="DC242" s="154"/>
      <c r="DD242" s="154"/>
      <c r="DE242" s="154"/>
      <c r="DF242" s="154"/>
      <c r="DG242" s="154"/>
      <c r="DH242" s="154"/>
      <c r="DI242" s="154"/>
      <c r="DJ242" s="154"/>
      <c r="DK242" s="154"/>
      <c r="DL242" s="154"/>
      <c r="DM242" s="154"/>
      <c r="DN242" s="154"/>
      <c r="DO242" s="154"/>
      <c r="DP242" s="154"/>
      <c r="DQ242" s="154"/>
      <c r="DR242" s="154"/>
      <c r="DS242" s="154"/>
      <c r="DT242" s="154"/>
      <c r="DU242" s="154"/>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row>
    <row r="243" spans="2:153" ht="12.95" customHeight="1">
      <c r="B243" s="154"/>
      <c r="C243" s="380"/>
      <c r="D243" s="380"/>
      <c r="E243" s="154"/>
      <c r="F243" s="154"/>
      <c r="G243" s="154"/>
      <c r="H243" s="154"/>
      <c r="I243" s="154"/>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367"/>
      <c r="AG243" s="368"/>
      <c r="AH243" s="368"/>
      <c r="AI243" s="368"/>
      <c r="AJ243" s="154"/>
      <c r="AK243" s="154"/>
      <c r="AL243" s="154"/>
      <c r="AM243" s="154"/>
      <c r="AN243" s="154"/>
      <c r="AO243" s="154"/>
      <c r="AP243" s="154"/>
      <c r="AQ243" s="154"/>
      <c r="AR243" s="154"/>
      <c r="AS243" s="154"/>
      <c r="AT243" s="154"/>
      <c r="AU243" s="154"/>
      <c r="AV243" s="154"/>
      <c r="AW243" s="154"/>
      <c r="AX243" s="154"/>
      <c r="AY243" s="154"/>
      <c r="AZ243" s="154"/>
      <c r="BA243" s="154"/>
      <c r="BB243" s="154"/>
      <c r="BC243" s="154"/>
      <c r="BD243" s="154"/>
      <c r="BE243" s="154"/>
      <c r="BF243" s="154"/>
      <c r="BG243" s="154"/>
      <c r="BH243" s="154"/>
      <c r="BI243" s="154"/>
      <c r="BJ243" s="154"/>
      <c r="BK243" s="154"/>
      <c r="BL243" s="154"/>
      <c r="BM243" s="154"/>
      <c r="BN243" s="154"/>
      <c r="BO243" s="154"/>
      <c r="BP243" s="154"/>
      <c r="BQ243" s="154"/>
      <c r="BR243" s="154"/>
      <c r="BS243" s="154"/>
      <c r="BT243" s="154"/>
      <c r="BU243" s="154"/>
      <c r="BV243" s="154"/>
      <c r="BW243" s="154"/>
      <c r="BX243" s="154"/>
      <c r="BY243" s="154"/>
      <c r="BZ243" s="154"/>
      <c r="CA243" s="154"/>
      <c r="CB243" s="154"/>
      <c r="CC243" s="154"/>
      <c r="CD243" s="154"/>
      <c r="CE243" s="154"/>
      <c r="CF243" s="154"/>
      <c r="CG243" s="154"/>
      <c r="CH243" s="154"/>
      <c r="CI243" s="154"/>
      <c r="CJ243" s="154"/>
      <c r="CK243" s="154"/>
      <c r="CL243" s="154"/>
      <c r="CM243" s="154"/>
      <c r="CN243" s="154"/>
      <c r="CO243" s="154"/>
      <c r="CP243" s="154"/>
      <c r="CQ243" s="154"/>
      <c r="CR243" s="154"/>
      <c r="CS243" s="154"/>
      <c r="CT243" s="154"/>
      <c r="CU243" s="154"/>
      <c r="CV243" s="154"/>
      <c r="CW243" s="154"/>
      <c r="CX243" s="154"/>
      <c r="CY243" s="154"/>
      <c r="CZ243" s="154"/>
      <c r="DA243" s="154"/>
      <c r="DB243" s="154"/>
      <c r="DC243" s="154"/>
      <c r="DD243" s="154"/>
      <c r="DE243" s="154"/>
      <c r="DF243" s="154"/>
      <c r="DG243" s="154"/>
      <c r="DH243" s="154"/>
      <c r="DI243" s="154"/>
      <c r="DJ243" s="154"/>
      <c r="DK243" s="154"/>
      <c r="DL243" s="154"/>
      <c r="DM243" s="154"/>
      <c r="DN243" s="154"/>
      <c r="DO243" s="154"/>
      <c r="DP243" s="154"/>
      <c r="DQ243" s="154"/>
      <c r="DR243" s="154"/>
      <c r="DS243" s="154"/>
      <c r="DT243" s="154"/>
      <c r="DU243" s="154"/>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row>
    <row r="244" spans="2:153" ht="12.95" customHeight="1">
      <c r="B244" s="154"/>
      <c r="C244" s="380"/>
      <c r="D244" s="380"/>
      <c r="E244" s="154"/>
      <c r="F244" s="154"/>
      <c r="G244" s="154"/>
      <c r="H244" s="154"/>
      <c r="I244" s="154"/>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367"/>
      <c r="AG244" s="368"/>
      <c r="AH244" s="368"/>
      <c r="AI244" s="368"/>
      <c r="AJ244" s="154"/>
      <c r="AK244" s="154"/>
      <c r="AL244" s="154"/>
      <c r="AM244" s="154"/>
      <c r="AN244" s="154"/>
      <c r="AO244" s="154"/>
      <c r="AP244" s="154"/>
      <c r="AQ244" s="154"/>
      <c r="AR244" s="154"/>
      <c r="AS244" s="154"/>
      <c r="AT244" s="154"/>
      <c r="AU244" s="154"/>
      <c r="AV244" s="154"/>
      <c r="AW244" s="154"/>
      <c r="AX244" s="154"/>
      <c r="AY244" s="154"/>
      <c r="AZ244" s="154"/>
      <c r="BA244" s="154"/>
      <c r="BB244" s="154"/>
      <c r="BC244" s="154"/>
      <c r="BD244" s="154"/>
      <c r="BE244" s="154"/>
      <c r="BF244" s="154"/>
      <c r="BG244" s="154"/>
      <c r="BH244" s="154"/>
      <c r="BI244" s="154"/>
      <c r="BJ244" s="154"/>
      <c r="BK244" s="154"/>
      <c r="BL244" s="154"/>
      <c r="BM244" s="154"/>
      <c r="BN244" s="154"/>
      <c r="BO244" s="154"/>
      <c r="BP244" s="154"/>
      <c r="BQ244" s="154"/>
      <c r="BR244" s="154"/>
      <c r="BS244" s="154"/>
      <c r="BT244" s="154"/>
      <c r="BU244" s="154"/>
      <c r="BV244" s="154"/>
      <c r="BW244" s="154"/>
      <c r="BX244" s="154"/>
      <c r="BY244" s="154"/>
      <c r="BZ244" s="154"/>
      <c r="CA244" s="154"/>
      <c r="CB244" s="154"/>
      <c r="CC244" s="154"/>
      <c r="CD244" s="154"/>
      <c r="CE244" s="154"/>
      <c r="CF244" s="154"/>
      <c r="CG244" s="154"/>
      <c r="CH244" s="154"/>
      <c r="CI244" s="154"/>
      <c r="CJ244" s="154"/>
      <c r="CK244" s="154"/>
      <c r="CL244" s="154"/>
      <c r="CM244" s="154"/>
      <c r="CN244" s="154"/>
      <c r="CO244" s="154"/>
      <c r="CP244" s="154"/>
      <c r="CQ244" s="154"/>
      <c r="CR244" s="154"/>
      <c r="CS244" s="154"/>
      <c r="CT244" s="154"/>
      <c r="CU244" s="154"/>
      <c r="CV244" s="154"/>
      <c r="CW244" s="154"/>
      <c r="CX244" s="154"/>
      <c r="CY244" s="154"/>
      <c r="CZ244" s="154"/>
      <c r="DA244" s="154"/>
      <c r="DB244" s="154"/>
      <c r="DC244" s="154"/>
      <c r="DD244" s="154"/>
      <c r="DE244" s="154"/>
      <c r="DF244" s="154"/>
      <c r="DG244" s="154"/>
      <c r="DH244" s="154"/>
      <c r="DI244" s="154"/>
      <c r="DJ244" s="154"/>
      <c r="DK244" s="154"/>
      <c r="DL244" s="154"/>
      <c r="DM244" s="154"/>
      <c r="DN244" s="154"/>
      <c r="DO244" s="154"/>
      <c r="DP244" s="154"/>
      <c r="DQ244" s="154"/>
      <c r="DR244" s="154"/>
      <c r="DS244" s="154"/>
      <c r="DT244" s="154"/>
      <c r="DU244" s="154"/>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row>
    <row r="245" spans="2:153" ht="12.95" customHeight="1">
      <c r="B245" s="154"/>
      <c r="C245" s="380"/>
      <c r="D245" s="380"/>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367"/>
      <c r="AG245" s="368"/>
      <c r="AH245" s="368"/>
      <c r="AI245" s="368"/>
      <c r="AJ245" s="154"/>
      <c r="AK245" s="154"/>
      <c r="AL245" s="154"/>
      <c r="AM245" s="154"/>
      <c r="AN245" s="154"/>
      <c r="AO245" s="154"/>
      <c r="AP245" s="154"/>
      <c r="AQ245" s="154"/>
      <c r="AR245" s="154"/>
      <c r="AS245" s="154"/>
      <c r="AT245" s="154"/>
      <c r="AU245" s="154"/>
      <c r="AV245" s="154"/>
      <c r="AW245" s="154"/>
      <c r="AX245" s="154"/>
      <c r="AY245" s="154"/>
      <c r="AZ245" s="154"/>
      <c r="BA245" s="154"/>
      <c r="BB245" s="154"/>
      <c r="BC245" s="154"/>
      <c r="BD245" s="154"/>
      <c r="BE245" s="154"/>
      <c r="BF245" s="154"/>
      <c r="BG245" s="154"/>
      <c r="BH245" s="154"/>
      <c r="BI245" s="154"/>
      <c r="BJ245" s="154"/>
      <c r="BK245" s="154"/>
      <c r="BL245" s="154"/>
      <c r="BM245" s="154"/>
      <c r="BN245" s="154"/>
      <c r="BO245" s="154"/>
      <c r="BP245" s="154"/>
      <c r="BQ245" s="154"/>
      <c r="BR245" s="154"/>
      <c r="BS245" s="154"/>
      <c r="BT245" s="154"/>
      <c r="BU245" s="154"/>
      <c r="BV245" s="154"/>
      <c r="BW245" s="154"/>
      <c r="BX245" s="154"/>
      <c r="BY245" s="154"/>
      <c r="BZ245" s="154"/>
      <c r="CA245" s="154"/>
      <c r="CB245" s="154"/>
      <c r="CC245" s="154"/>
      <c r="CD245" s="154"/>
      <c r="CE245" s="154"/>
      <c r="CF245" s="154"/>
      <c r="CG245" s="154"/>
      <c r="CH245" s="154"/>
      <c r="CI245" s="154"/>
      <c r="CJ245" s="154"/>
      <c r="CK245" s="154"/>
      <c r="CL245" s="154"/>
      <c r="CM245" s="154"/>
      <c r="CN245" s="154"/>
      <c r="CO245" s="154"/>
      <c r="CP245" s="154"/>
      <c r="CQ245" s="154"/>
      <c r="CR245" s="154"/>
      <c r="CS245" s="154"/>
      <c r="CT245" s="154"/>
      <c r="CU245" s="154"/>
      <c r="CV245" s="154"/>
      <c r="CW245" s="154"/>
      <c r="CX245" s="154"/>
      <c r="CY245" s="154"/>
      <c r="CZ245" s="154"/>
      <c r="DA245" s="154"/>
      <c r="DB245" s="154"/>
      <c r="DC245" s="154"/>
      <c r="DD245" s="154"/>
      <c r="DE245" s="154"/>
      <c r="DF245" s="154"/>
      <c r="DG245" s="154"/>
      <c r="DH245" s="154"/>
      <c r="DI245" s="154"/>
      <c r="DJ245" s="154"/>
      <c r="DK245" s="154"/>
      <c r="DL245" s="154"/>
      <c r="DM245" s="154"/>
      <c r="DN245" s="154"/>
      <c r="DO245" s="154"/>
      <c r="DP245" s="154"/>
      <c r="DQ245" s="154"/>
      <c r="DR245" s="154"/>
      <c r="DS245" s="154"/>
      <c r="DT245" s="154"/>
      <c r="DU245" s="154"/>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row>
    <row r="246" spans="2:153" ht="12.95" customHeight="1">
      <c r="B246" s="154"/>
      <c r="C246" s="380"/>
      <c r="D246" s="380"/>
      <c r="E246" s="154"/>
      <c r="F246" s="154"/>
      <c r="G246" s="154"/>
      <c r="H246" s="154"/>
      <c r="I246" s="154"/>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367"/>
      <c r="AG246" s="368"/>
      <c r="AH246" s="368"/>
      <c r="AI246" s="368"/>
      <c r="AJ246" s="154"/>
      <c r="AK246" s="154"/>
      <c r="AL246" s="154"/>
      <c r="AM246" s="154"/>
      <c r="AN246" s="154"/>
      <c r="AO246" s="154"/>
      <c r="AP246" s="154"/>
      <c r="AQ246" s="154"/>
      <c r="AR246" s="154"/>
      <c r="AS246" s="154"/>
      <c r="AT246" s="154"/>
      <c r="AU246" s="154"/>
      <c r="AV246" s="154"/>
      <c r="AW246" s="154"/>
      <c r="AX246" s="154"/>
      <c r="AY246" s="154"/>
      <c r="AZ246" s="154"/>
      <c r="BA246" s="154"/>
      <c r="BB246" s="154"/>
      <c r="BC246" s="154"/>
      <c r="BD246" s="154"/>
      <c r="BE246" s="154"/>
      <c r="BF246" s="154"/>
      <c r="BG246" s="154"/>
      <c r="BH246" s="154"/>
      <c r="BI246" s="154"/>
      <c r="BJ246" s="154"/>
      <c r="BK246" s="154"/>
      <c r="BL246" s="154"/>
      <c r="BM246" s="154"/>
      <c r="BN246" s="154"/>
      <c r="BO246" s="154"/>
      <c r="BP246" s="154"/>
      <c r="BQ246" s="154"/>
      <c r="BR246" s="154"/>
      <c r="BS246" s="154"/>
      <c r="BT246" s="154"/>
      <c r="BU246" s="154"/>
      <c r="BV246" s="154"/>
      <c r="BW246" s="154"/>
      <c r="BX246" s="154"/>
      <c r="BY246" s="154"/>
      <c r="BZ246" s="154"/>
      <c r="CA246" s="154"/>
      <c r="CB246" s="154"/>
      <c r="CC246" s="154"/>
      <c r="CD246" s="154"/>
      <c r="CE246" s="154"/>
      <c r="CF246" s="154"/>
      <c r="CG246" s="154"/>
      <c r="CH246" s="154"/>
      <c r="CI246" s="154"/>
      <c r="CJ246" s="154"/>
      <c r="CK246" s="154"/>
      <c r="CL246" s="154"/>
      <c r="CM246" s="154"/>
      <c r="CN246" s="154"/>
      <c r="CO246" s="154"/>
      <c r="CP246" s="154"/>
      <c r="CQ246" s="154"/>
      <c r="CR246" s="154"/>
      <c r="CS246" s="154"/>
      <c r="CT246" s="154"/>
      <c r="CU246" s="154"/>
      <c r="CV246" s="154"/>
      <c r="CW246" s="154"/>
      <c r="CX246" s="154"/>
      <c r="CY246" s="154"/>
      <c r="CZ246" s="154"/>
      <c r="DA246" s="154"/>
      <c r="DB246" s="154"/>
      <c r="DC246" s="154"/>
      <c r="DD246" s="154"/>
      <c r="DE246" s="154"/>
      <c r="DF246" s="154"/>
      <c r="DG246" s="154"/>
      <c r="DH246" s="154"/>
      <c r="DI246" s="154"/>
      <c r="DJ246" s="154"/>
      <c r="DK246" s="154"/>
      <c r="DL246" s="154"/>
      <c r="DM246" s="154"/>
      <c r="DN246" s="154"/>
      <c r="DO246" s="154"/>
      <c r="DP246" s="154"/>
      <c r="DQ246" s="154"/>
      <c r="DR246" s="154"/>
      <c r="DS246" s="154"/>
      <c r="DT246" s="154"/>
      <c r="DU246" s="154"/>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row>
    <row r="247" spans="2:153" ht="12.95" customHeight="1">
      <c r="B247" s="154"/>
      <c r="C247" s="380"/>
      <c r="D247" s="380"/>
      <c r="E247" s="154"/>
      <c r="F247" s="154"/>
      <c r="G247" s="154"/>
      <c r="H247" s="154"/>
      <c r="I247" s="154"/>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367"/>
      <c r="AG247" s="368"/>
      <c r="AH247" s="368"/>
      <c r="AI247" s="368"/>
      <c r="AJ247" s="154"/>
      <c r="AK247" s="154"/>
      <c r="AL247" s="154"/>
      <c r="AM247" s="154"/>
      <c r="AN247" s="154"/>
      <c r="AO247" s="154"/>
      <c r="AP247" s="154"/>
      <c r="AQ247" s="154"/>
      <c r="AR247" s="154"/>
      <c r="AS247" s="154"/>
      <c r="AT247" s="154"/>
      <c r="AU247" s="154"/>
      <c r="AV247" s="154"/>
      <c r="AW247" s="154"/>
      <c r="AX247" s="154"/>
      <c r="AY247" s="154"/>
      <c r="AZ247" s="154"/>
      <c r="BA247" s="154"/>
      <c r="BB247" s="154"/>
      <c r="BC247" s="154"/>
      <c r="BD247" s="154"/>
      <c r="BE247" s="154"/>
      <c r="BF247" s="154"/>
      <c r="BG247" s="154"/>
      <c r="BH247" s="154"/>
      <c r="BI247" s="154"/>
      <c r="BJ247" s="154"/>
      <c r="BK247" s="154"/>
      <c r="BL247" s="154"/>
      <c r="BM247" s="154"/>
      <c r="BN247" s="154"/>
      <c r="BO247" s="154"/>
      <c r="BP247" s="154"/>
      <c r="BQ247" s="154"/>
      <c r="BR247" s="154"/>
      <c r="BS247" s="154"/>
      <c r="BT247" s="154"/>
      <c r="BU247" s="154"/>
      <c r="BV247" s="154"/>
      <c r="BW247" s="154"/>
      <c r="BX247" s="154"/>
      <c r="BY247" s="154"/>
      <c r="BZ247" s="154"/>
      <c r="CA247" s="154"/>
      <c r="CB247" s="154"/>
      <c r="CC247" s="154"/>
      <c r="CD247" s="154"/>
      <c r="CE247" s="154"/>
      <c r="CF247" s="154"/>
      <c r="CG247" s="154"/>
      <c r="CH247" s="154"/>
      <c r="CI247" s="154"/>
      <c r="CJ247" s="154"/>
      <c r="CK247" s="154"/>
      <c r="CL247" s="154"/>
      <c r="CM247" s="154"/>
      <c r="CN247" s="154"/>
      <c r="CO247" s="154"/>
      <c r="CP247" s="154"/>
      <c r="CQ247" s="154"/>
      <c r="CR247" s="154"/>
      <c r="CS247" s="154"/>
      <c r="CT247" s="154"/>
      <c r="CU247" s="154"/>
      <c r="CV247" s="154"/>
      <c r="CW247" s="154"/>
      <c r="CX247" s="154"/>
      <c r="CY247" s="154"/>
      <c r="CZ247" s="154"/>
      <c r="DA247" s="154"/>
      <c r="DB247" s="154"/>
      <c r="DC247" s="154"/>
      <c r="DD247" s="154"/>
      <c r="DE247" s="154"/>
      <c r="DF247" s="154"/>
      <c r="DG247" s="154"/>
      <c r="DH247" s="154"/>
      <c r="DI247" s="154"/>
      <c r="DJ247" s="154"/>
      <c r="DK247" s="154"/>
      <c r="DL247" s="154"/>
      <c r="DM247" s="154"/>
      <c r="DN247" s="154"/>
      <c r="DO247" s="154"/>
      <c r="DP247" s="154"/>
      <c r="DQ247" s="154"/>
      <c r="DR247" s="154"/>
      <c r="DS247" s="154"/>
      <c r="DT247" s="154"/>
      <c r="DU247" s="154"/>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row>
    <row r="248" spans="2:153" ht="12.95" customHeight="1">
      <c r="B248" s="154"/>
      <c r="C248" s="380"/>
      <c r="D248" s="380"/>
      <c r="E248" s="154"/>
      <c r="F248" s="154"/>
      <c r="G248" s="154"/>
      <c r="H248" s="154"/>
      <c r="I248" s="154"/>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367"/>
      <c r="AG248" s="368"/>
      <c r="AH248" s="368"/>
      <c r="AI248" s="368"/>
      <c r="AJ248" s="154"/>
      <c r="AK248" s="154"/>
      <c r="AL248" s="154"/>
      <c r="AM248" s="154"/>
      <c r="AN248" s="154"/>
      <c r="AO248" s="154"/>
      <c r="AP248" s="154"/>
      <c r="AQ248" s="154"/>
      <c r="AR248" s="154"/>
      <c r="AS248" s="154"/>
      <c r="AT248" s="154"/>
      <c r="AU248" s="154"/>
      <c r="AV248" s="154"/>
      <c r="AW248" s="154"/>
      <c r="AX248" s="154"/>
      <c r="AY248" s="154"/>
      <c r="AZ248" s="154"/>
      <c r="BA248" s="154"/>
      <c r="BB248" s="154"/>
      <c r="BC248" s="154"/>
      <c r="BD248" s="154"/>
      <c r="BE248" s="154"/>
      <c r="BF248" s="154"/>
      <c r="BG248" s="154"/>
      <c r="BH248" s="154"/>
      <c r="BI248" s="154"/>
      <c r="BJ248" s="154"/>
      <c r="BK248" s="154"/>
      <c r="BL248" s="154"/>
      <c r="BM248" s="154"/>
      <c r="BN248" s="154"/>
      <c r="BO248" s="154"/>
      <c r="BP248" s="154"/>
      <c r="BQ248" s="154"/>
      <c r="BR248" s="154"/>
      <c r="BS248" s="154"/>
      <c r="BT248" s="154"/>
      <c r="BU248" s="154"/>
      <c r="BV248" s="154"/>
      <c r="BW248" s="154"/>
      <c r="BX248" s="154"/>
      <c r="BY248" s="154"/>
      <c r="BZ248" s="154"/>
      <c r="CA248" s="154"/>
      <c r="CB248" s="154"/>
      <c r="CC248" s="154"/>
      <c r="CD248" s="154"/>
      <c r="CE248" s="154"/>
      <c r="CF248" s="154"/>
      <c r="CG248" s="154"/>
      <c r="CH248" s="154"/>
      <c r="CI248" s="154"/>
      <c r="CJ248" s="154"/>
      <c r="CK248" s="154"/>
      <c r="CL248" s="154"/>
      <c r="CM248" s="154"/>
      <c r="CN248" s="154"/>
      <c r="CO248" s="154"/>
      <c r="CP248" s="154"/>
      <c r="CQ248" s="154"/>
      <c r="CR248" s="154"/>
      <c r="CS248" s="154"/>
      <c r="CT248" s="154"/>
      <c r="CU248" s="154"/>
      <c r="CV248" s="154"/>
      <c r="CW248" s="154"/>
      <c r="CX248" s="154"/>
      <c r="CY248" s="154"/>
      <c r="CZ248" s="154"/>
      <c r="DA248" s="154"/>
      <c r="DB248" s="154"/>
      <c r="DC248" s="154"/>
      <c r="DD248" s="154"/>
      <c r="DE248" s="154"/>
      <c r="DF248" s="154"/>
      <c r="DG248" s="154"/>
      <c r="DH248" s="154"/>
      <c r="DI248" s="154"/>
      <c r="DJ248" s="154"/>
      <c r="DK248" s="154"/>
      <c r="DL248" s="154"/>
      <c r="DM248" s="154"/>
      <c r="DN248" s="154"/>
      <c r="DO248" s="154"/>
      <c r="DP248" s="154"/>
      <c r="DQ248" s="154"/>
      <c r="DR248" s="154"/>
      <c r="DS248" s="154"/>
      <c r="DT248" s="154"/>
      <c r="DU248" s="154"/>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row>
    <row r="249" spans="2:153" ht="12.95" customHeight="1">
      <c r="B249" s="154"/>
      <c r="C249" s="380"/>
      <c r="D249" s="380"/>
      <c r="E249" s="154"/>
      <c r="F249" s="154"/>
      <c r="G249" s="154"/>
      <c r="H249" s="154"/>
      <c r="I249" s="154"/>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367"/>
      <c r="AG249" s="368"/>
      <c r="AH249" s="368"/>
      <c r="AI249" s="368"/>
      <c r="AJ249" s="154"/>
      <c r="AK249" s="154"/>
      <c r="AL249" s="154"/>
      <c r="AM249" s="154"/>
      <c r="AN249" s="154"/>
      <c r="AO249" s="154"/>
      <c r="AP249" s="154"/>
      <c r="AQ249" s="154"/>
      <c r="AR249" s="154"/>
      <c r="AS249" s="154"/>
      <c r="AT249" s="154"/>
      <c r="AU249" s="154"/>
      <c r="AV249" s="154"/>
      <c r="AW249" s="154"/>
      <c r="AX249" s="154"/>
      <c r="AY249" s="154"/>
      <c r="AZ249" s="154"/>
      <c r="BA249" s="154"/>
      <c r="BB249" s="154"/>
      <c r="BC249" s="154"/>
      <c r="BD249" s="154"/>
      <c r="BE249" s="154"/>
      <c r="BF249" s="154"/>
      <c r="BG249" s="154"/>
      <c r="BH249" s="154"/>
      <c r="BI249" s="154"/>
      <c r="BJ249" s="154"/>
      <c r="BK249" s="154"/>
      <c r="BL249" s="154"/>
      <c r="BM249" s="154"/>
      <c r="BN249" s="154"/>
      <c r="BO249" s="154"/>
      <c r="BP249" s="154"/>
      <c r="BQ249" s="154"/>
      <c r="BR249" s="154"/>
      <c r="BS249" s="154"/>
      <c r="BT249" s="154"/>
      <c r="BU249" s="154"/>
      <c r="BV249" s="154"/>
      <c r="BW249" s="154"/>
      <c r="BX249" s="154"/>
      <c r="BY249" s="154"/>
      <c r="BZ249" s="154"/>
      <c r="CA249" s="154"/>
      <c r="CB249" s="154"/>
      <c r="CC249" s="154"/>
      <c r="CD249" s="154"/>
      <c r="CE249" s="154"/>
      <c r="CF249" s="154"/>
      <c r="CG249" s="154"/>
      <c r="CH249" s="154"/>
      <c r="CI249" s="154"/>
      <c r="CJ249" s="154"/>
      <c r="CK249" s="154"/>
      <c r="CL249" s="154"/>
      <c r="CM249" s="154"/>
      <c r="CN249" s="154"/>
      <c r="CO249" s="154"/>
      <c r="CP249" s="154"/>
      <c r="CQ249" s="154"/>
      <c r="CR249" s="154"/>
      <c r="CS249" s="154"/>
      <c r="CT249" s="154"/>
      <c r="CU249" s="154"/>
      <c r="CV249" s="154"/>
      <c r="CW249" s="154"/>
      <c r="CX249" s="154"/>
      <c r="CY249" s="154"/>
      <c r="CZ249" s="154"/>
      <c r="DA249" s="154"/>
      <c r="DB249" s="154"/>
      <c r="DC249" s="154"/>
      <c r="DD249" s="154"/>
      <c r="DE249" s="154"/>
      <c r="DF249" s="154"/>
      <c r="DG249" s="154"/>
      <c r="DH249" s="154"/>
      <c r="DI249" s="154"/>
      <c r="DJ249" s="154"/>
      <c r="DK249" s="154"/>
      <c r="DL249" s="154"/>
      <c r="DM249" s="154"/>
      <c r="DN249" s="154"/>
      <c r="DO249" s="154"/>
      <c r="DP249" s="154"/>
      <c r="DQ249" s="154"/>
      <c r="DR249" s="154"/>
      <c r="DS249" s="154"/>
      <c r="DT249" s="154"/>
      <c r="DU249" s="154"/>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row>
    <row r="250" spans="2:153" ht="12.95" customHeight="1">
      <c r="B250" s="154"/>
      <c r="C250" s="380"/>
      <c r="D250" s="380"/>
      <c r="E250" s="154"/>
      <c r="F250" s="154"/>
      <c r="G250" s="154"/>
      <c r="H250" s="154"/>
      <c r="I250" s="154"/>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367"/>
      <c r="AG250" s="368"/>
      <c r="AH250" s="368"/>
      <c r="AI250" s="368"/>
      <c r="AJ250" s="154"/>
      <c r="AK250" s="154"/>
      <c r="AL250" s="154"/>
      <c r="AM250" s="154"/>
      <c r="AN250" s="154"/>
      <c r="AO250" s="154"/>
      <c r="AP250" s="154"/>
      <c r="AQ250" s="154"/>
      <c r="AR250" s="154"/>
      <c r="AS250" s="154"/>
      <c r="AT250" s="154"/>
      <c r="AU250" s="154"/>
      <c r="AV250" s="154"/>
      <c r="AW250" s="154"/>
      <c r="AX250" s="154"/>
      <c r="AY250" s="154"/>
      <c r="AZ250" s="154"/>
      <c r="BA250" s="154"/>
      <c r="BB250" s="154"/>
      <c r="BC250" s="154"/>
      <c r="BD250" s="154"/>
      <c r="BE250" s="154"/>
      <c r="BF250" s="154"/>
      <c r="BG250" s="154"/>
      <c r="BH250" s="154"/>
      <c r="BI250" s="154"/>
      <c r="BJ250" s="154"/>
      <c r="BK250" s="154"/>
      <c r="BL250" s="154"/>
      <c r="BM250" s="154"/>
      <c r="BN250" s="154"/>
      <c r="BO250" s="154"/>
      <c r="BP250" s="154"/>
      <c r="BQ250" s="154"/>
      <c r="BR250" s="154"/>
      <c r="BS250" s="154"/>
      <c r="BT250" s="154"/>
      <c r="BU250" s="154"/>
      <c r="BV250" s="154"/>
      <c r="BW250" s="154"/>
      <c r="BX250" s="154"/>
      <c r="BY250" s="154"/>
      <c r="BZ250" s="154"/>
      <c r="CA250" s="154"/>
      <c r="CB250" s="154"/>
      <c r="CC250" s="154"/>
      <c r="CD250" s="154"/>
      <c r="CE250" s="154"/>
      <c r="CF250" s="154"/>
      <c r="CG250" s="154"/>
      <c r="CH250" s="154"/>
      <c r="CI250" s="154"/>
      <c r="CJ250" s="154"/>
      <c r="CK250" s="154"/>
      <c r="CL250" s="154"/>
      <c r="CM250" s="154"/>
      <c r="CN250" s="154"/>
      <c r="CO250" s="154"/>
      <c r="CP250" s="154"/>
      <c r="CQ250" s="154"/>
      <c r="CR250" s="154"/>
      <c r="CS250" s="154"/>
      <c r="CT250" s="154"/>
      <c r="CU250" s="154"/>
      <c r="CV250" s="154"/>
      <c r="CW250" s="154"/>
      <c r="CX250" s="154"/>
      <c r="CY250" s="154"/>
      <c r="CZ250" s="154"/>
      <c r="DA250" s="154"/>
      <c r="DB250" s="154"/>
      <c r="DC250" s="154"/>
      <c r="DD250" s="154"/>
      <c r="DE250" s="154"/>
      <c r="DF250" s="154"/>
      <c r="DG250" s="154"/>
      <c r="DH250" s="154"/>
      <c r="DI250" s="154"/>
      <c r="DJ250" s="154"/>
      <c r="DK250" s="154"/>
      <c r="DL250" s="154"/>
      <c r="DM250" s="154"/>
      <c r="DN250" s="154"/>
      <c r="DO250" s="154"/>
      <c r="DP250" s="154"/>
      <c r="DQ250" s="154"/>
      <c r="DR250" s="154"/>
      <c r="DS250" s="154"/>
      <c r="DT250" s="154"/>
      <c r="DU250" s="154"/>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row>
    <row r="251" spans="2:153" ht="12.95" customHeight="1">
      <c r="B251" s="154"/>
      <c r="C251" s="380"/>
      <c r="D251" s="380"/>
      <c r="E251" s="154"/>
      <c r="F251" s="154"/>
      <c r="G251" s="154"/>
      <c r="H251" s="154"/>
      <c r="I251" s="154"/>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367"/>
      <c r="AG251" s="368"/>
      <c r="AH251" s="368"/>
      <c r="AI251" s="368"/>
      <c r="AJ251" s="154"/>
      <c r="AK251" s="154"/>
      <c r="AL251" s="154"/>
      <c r="AM251" s="154"/>
      <c r="AN251" s="154"/>
      <c r="AO251" s="154"/>
      <c r="AP251" s="154"/>
      <c r="AQ251" s="154"/>
      <c r="AR251" s="154"/>
      <c r="AS251" s="154"/>
      <c r="AT251" s="154"/>
      <c r="AU251" s="154"/>
      <c r="AV251" s="154"/>
      <c r="AW251" s="154"/>
      <c r="AX251" s="154"/>
      <c r="AY251" s="154"/>
      <c r="AZ251" s="154"/>
      <c r="BA251" s="154"/>
      <c r="BB251" s="154"/>
      <c r="BC251" s="154"/>
      <c r="BD251" s="154"/>
      <c r="BE251" s="154"/>
      <c r="BF251" s="154"/>
      <c r="BG251" s="154"/>
      <c r="BH251" s="154"/>
      <c r="BI251" s="154"/>
      <c r="BJ251" s="154"/>
      <c r="BK251" s="154"/>
      <c r="BL251" s="154"/>
      <c r="BM251" s="154"/>
      <c r="BN251" s="154"/>
      <c r="BO251" s="154"/>
      <c r="BP251" s="154"/>
      <c r="BQ251" s="154"/>
      <c r="BR251" s="154"/>
      <c r="BS251" s="154"/>
      <c r="BT251" s="154"/>
      <c r="BU251" s="154"/>
      <c r="BV251" s="154"/>
      <c r="BW251" s="154"/>
      <c r="BX251" s="154"/>
      <c r="BY251" s="154"/>
      <c r="BZ251" s="154"/>
      <c r="CA251" s="154"/>
      <c r="CB251" s="154"/>
      <c r="CC251" s="154"/>
      <c r="CD251" s="154"/>
      <c r="CE251" s="154"/>
      <c r="CF251" s="154"/>
      <c r="CG251" s="154"/>
      <c r="CH251" s="154"/>
      <c r="CI251" s="154"/>
      <c r="CJ251" s="154"/>
      <c r="CK251" s="154"/>
      <c r="CL251" s="154"/>
      <c r="CM251" s="154"/>
      <c r="CN251" s="154"/>
      <c r="CO251" s="154"/>
      <c r="CP251" s="154"/>
      <c r="CQ251" s="154"/>
      <c r="CR251" s="154"/>
      <c r="CS251" s="154"/>
      <c r="CT251" s="154"/>
      <c r="CU251" s="154"/>
      <c r="CV251" s="154"/>
      <c r="CW251" s="154"/>
      <c r="CX251" s="154"/>
      <c r="CY251" s="154"/>
      <c r="CZ251" s="154"/>
      <c r="DA251" s="154"/>
      <c r="DB251" s="154"/>
      <c r="DC251" s="154"/>
      <c r="DD251" s="154"/>
      <c r="DE251" s="154"/>
      <c r="DF251" s="154"/>
      <c r="DG251" s="154"/>
      <c r="DH251" s="154"/>
      <c r="DI251" s="154"/>
      <c r="DJ251" s="154"/>
      <c r="DK251" s="154"/>
      <c r="DL251" s="154"/>
      <c r="DM251" s="154"/>
      <c r="DN251" s="154"/>
      <c r="DO251" s="154"/>
      <c r="DP251" s="154"/>
      <c r="DQ251" s="154"/>
      <c r="DR251" s="154"/>
      <c r="DS251" s="154"/>
      <c r="DT251" s="154"/>
      <c r="DU251" s="154"/>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row>
    <row r="252" spans="2:153" ht="12.95" customHeight="1">
      <c r="B252" s="154"/>
      <c r="C252" s="380"/>
      <c r="D252" s="380"/>
      <c r="E252" s="154"/>
      <c r="F252" s="154"/>
      <c r="G252" s="154"/>
      <c r="H252" s="154"/>
      <c r="I252" s="154"/>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367"/>
      <c r="AG252" s="368"/>
      <c r="AH252" s="368"/>
      <c r="AI252" s="368"/>
      <c r="AJ252" s="154"/>
      <c r="AK252" s="154"/>
      <c r="AL252" s="154"/>
      <c r="AM252" s="154"/>
      <c r="AN252" s="154"/>
      <c r="AO252" s="154"/>
      <c r="AP252" s="154"/>
      <c r="AQ252" s="154"/>
      <c r="AR252" s="154"/>
      <c r="AS252" s="154"/>
      <c r="AT252" s="154"/>
      <c r="AU252" s="154"/>
      <c r="AV252" s="154"/>
      <c r="AW252" s="154"/>
      <c r="AX252" s="154"/>
      <c r="AY252" s="154"/>
      <c r="AZ252" s="154"/>
      <c r="BA252" s="154"/>
      <c r="BB252" s="154"/>
      <c r="BC252" s="154"/>
      <c r="BD252" s="154"/>
      <c r="BE252" s="154"/>
      <c r="BF252" s="154"/>
      <c r="BG252" s="154"/>
      <c r="BH252" s="154"/>
      <c r="BI252" s="154"/>
      <c r="BJ252" s="154"/>
      <c r="BK252" s="154"/>
      <c r="BL252" s="154"/>
      <c r="BM252" s="154"/>
      <c r="BN252" s="154"/>
      <c r="BO252" s="154"/>
      <c r="BP252" s="154"/>
      <c r="BQ252" s="154"/>
      <c r="BR252" s="154"/>
      <c r="BS252" s="154"/>
      <c r="BT252" s="154"/>
      <c r="BU252" s="154"/>
      <c r="BV252" s="154"/>
      <c r="BW252" s="154"/>
      <c r="BX252" s="154"/>
      <c r="BY252" s="154"/>
      <c r="BZ252" s="154"/>
      <c r="CA252" s="154"/>
      <c r="CB252" s="154"/>
      <c r="CC252" s="154"/>
      <c r="CD252" s="154"/>
      <c r="CE252" s="154"/>
      <c r="CF252" s="154"/>
      <c r="CG252" s="154"/>
      <c r="CH252" s="154"/>
      <c r="CI252" s="154"/>
      <c r="CJ252" s="154"/>
      <c r="CK252" s="154"/>
      <c r="CL252" s="154"/>
      <c r="CM252" s="154"/>
      <c r="CN252" s="154"/>
      <c r="CO252" s="154"/>
      <c r="CP252" s="154"/>
      <c r="CQ252" s="154"/>
      <c r="CR252" s="154"/>
      <c r="CS252" s="154"/>
      <c r="CT252" s="154"/>
      <c r="CU252" s="154"/>
      <c r="CV252" s="154"/>
      <c r="CW252" s="154"/>
      <c r="CX252" s="154"/>
      <c r="CY252" s="154"/>
      <c r="CZ252" s="154"/>
      <c r="DA252" s="154"/>
      <c r="DB252" s="154"/>
      <c r="DC252" s="154"/>
      <c r="DD252" s="154"/>
      <c r="DE252" s="154"/>
      <c r="DF252" s="154"/>
      <c r="DG252" s="154"/>
      <c r="DH252" s="154"/>
      <c r="DI252" s="154"/>
      <c r="DJ252" s="154"/>
      <c r="DK252" s="154"/>
      <c r="DL252" s="154"/>
      <c r="DM252" s="154"/>
      <c r="DN252" s="154"/>
      <c r="DO252" s="154"/>
      <c r="DP252" s="154"/>
      <c r="DQ252" s="154"/>
      <c r="DR252" s="154"/>
      <c r="DS252" s="154"/>
      <c r="DT252" s="154"/>
      <c r="DU252" s="154"/>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row>
    <row r="253" spans="2:153" ht="12.95" customHeight="1">
      <c r="B253" s="154"/>
      <c r="C253" s="380"/>
      <c r="D253" s="380"/>
      <c r="E253" s="154"/>
      <c r="F253" s="154"/>
      <c r="G253" s="154"/>
      <c r="H253" s="154"/>
      <c r="I253" s="154"/>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367"/>
      <c r="AG253" s="368"/>
      <c r="AH253" s="368"/>
      <c r="AI253" s="368"/>
      <c r="AJ253" s="154"/>
      <c r="AK253" s="154"/>
      <c r="AL253" s="154"/>
      <c r="AM253" s="154"/>
      <c r="AN253" s="154"/>
      <c r="AO253" s="154"/>
      <c r="AP253" s="154"/>
      <c r="AQ253" s="154"/>
      <c r="AR253" s="154"/>
      <c r="AS253" s="154"/>
      <c r="AT253" s="154"/>
      <c r="AU253" s="154"/>
      <c r="AV253" s="154"/>
      <c r="AW253" s="154"/>
      <c r="AX253" s="154"/>
      <c r="AY253" s="154"/>
      <c r="AZ253" s="154"/>
      <c r="BA253" s="154"/>
      <c r="BB253" s="154"/>
      <c r="BC253" s="154"/>
      <c r="BD253" s="154"/>
      <c r="BE253" s="154"/>
      <c r="BF253" s="154"/>
      <c r="BG253" s="154"/>
      <c r="BH253" s="154"/>
      <c r="BI253" s="154"/>
      <c r="BJ253" s="154"/>
      <c r="BK253" s="154"/>
      <c r="BL253" s="154"/>
      <c r="BM253" s="154"/>
      <c r="BN253" s="154"/>
      <c r="BO253" s="154"/>
      <c r="BP253" s="154"/>
      <c r="BQ253" s="154"/>
      <c r="BR253" s="154"/>
      <c r="BS253" s="154"/>
      <c r="BT253" s="154"/>
      <c r="BU253" s="154"/>
      <c r="BV253" s="154"/>
      <c r="BW253" s="154"/>
      <c r="BX253" s="154"/>
      <c r="BY253" s="154"/>
      <c r="BZ253" s="154"/>
      <c r="CA253" s="154"/>
      <c r="CB253" s="154"/>
      <c r="CC253" s="154"/>
      <c r="CD253" s="154"/>
      <c r="CE253" s="154"/>
      <c r="CF253" s="154"/>
      <c r="CG253" s="154"/>
      <c r="CH253" s="154"/>
      <c r="CI253" s="154"/>
      <c r="CJ253" s="154"/>
      <c r="CK253" s="154"/>
      <c r="CL253" s="154"/>
      <c r="CM253" s="154"/>
      <c r="CN253" s="154"/>
      <c r="CO253" s="154"/>
      <c r="CP253" s="154"/>
      <c r="CQ253" s="154"/>
      <c r="CR253" s="154"/>
      <c r="CS253" s="154"/>
      <c r="CT253" s="154"/>
      <c r="CU253" s="154"/>
      <c r="CV253" s="154"/>
      <c r="CW253" s="154"/>
      <c r="CX253" s="154"/>
      <c r="CY253" s="154"/>
      <c r="CZ253" s="154"/>
      <c r="DA253" s="154"/>
      <c r="DB253" s="154"/>
      <c r="DC253" s="154"/>
      <c r="DD253" s="154"/>
      <c r="DE253" s="154"/>
      <c r="DF253" s="154"/>
      <c r="DG253" s="154"/>
      <c r="DH253" s="154"/>
      <c r="DI253" s="154"/>
      <c r="DJ253" s="154"/>
      <c r="DK253" s="154"/>
      <c r="DL253" s="154"/>
      <c r="DM253" s="154"/>
      <c r="DN253" s="154"/>
      <c r="DO253" s="154"/>
      <c r="DP253" s="154"/>
      <c r="DQ253" s="154"/>
      <c r="DR253" s="154"/>
      <c r="DS253" s="154"/>
      <c r="DT253" s="154"/>
      <c r="DU253" s="154"/>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row>
    <row r="254" spans="2:153" ht="12.95" customHeight="1">
      <c r="B254" s="154"/>
      <c r="C254" s="380"/>
      <c r="D254" s="380"/>
      <c r="E254" s="154"/>
      <c r="F254" s="154"/>
      <c r="G254" s="154"/>
      <c r="H254" s="154"/>
      <c r="I254" s="154"/>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367"/>
      <c r="AG254" s="368"/>
      <c r="AH254" s="368"/>
      <c r="AI254" s="368"/>
      <c r="AJ254" s="154"/>
      <c r="AK254" s="154"/>
      <c r="AL254" s="154"/>
      <c r="AM254" s="154"/>
      <c r="AN254" s="154"/>
      <c r="AO254" s="154"/>
      <c r="AP254" s="154"/>
      <c r="AQ254" s="154"/>
      <c r="AR254" s="154"/>
      <c r="AS254" s="154"/>
      <c r="AT254" s="154"/>
      <c r="AU254" s="154"/>
      <c r="AV254" s="154"/>
      <c r="AW254" s="154"/>
      <c r="AX254" s="154"/>
      <c r="AY254" s="154"/>
      <c r="AZ254" s="154"/>
      <c r="BA254" s="154"/>
      <c r="BB254" s="154"/>
      <c r="BC254" s="154"/>
      <c r="BD254" s="154"/>
      <c r="BE254" s="154"/>
      <c r="BF254" s="154"/>
      <c r="BG254" s="154"/>
      <c r="BH254" s="154"/>
      <c r="BI254" s="154"/>
      <c r="BJ254" s="154"/>
      <c r="BK254" s="154"/>
      <c r="BL254" s="154"/>
      <c r="BM254" s="154"/>
      <c r="BN254" s="154"/>
      <c r="BO254" s="154"/>
      <c r="BP254" s="154"/>
      <c r="BQ254" s="154"/>
      <c r="BR254" s="154"/>
      <c r="BS254" s="154"/>
      <c r="BT254" s="154"/>
      <c r="BU254" s="154"/>
      <c r="BV254" s="154"/>
      <c r="BW254" s="154"/>
      <c r="BX254" s="154"/>
      <c r="BY254" s="154"/>
      <c r="BZ254" s="154"/>
      <c r="CA254" s="154"/>
      <c r="CB254" s="154"/>
      <c r="CC254" s="154"/>
      <c r="CD254" s="154"/>
      <c r="CE254" s="154"/>
      <c r="CF254" s="154"/>
      <c r="CG254" s="154"/>
      <c r="CH254" s="154"/>
      <c r="CI254" s="154"/>
      <c r="CJ254" s="154"/>
      <c r="CK254" s="154"/>
      <c r="CL254" s="154"/>
      <c r="CM254" s="154"/>
      <c r="CN254" s="154"/>
      <c r="CO254" s="154"/>
      <c r="CP254" s="154"/>
      <c r="CQ254" s="154"/>
      <c r="CR254" s="154"/>
      <c r="CS254" s="154"/>
      <c r="CT254" s="154"/>
      <c r="CU254" s="154"/>
      <c r="CV254" s="154"/>
      <c r="CW254" s="154"/>
      <c r="CX254" s="154"/>
      <c r="CY254" s="154"/>
      <c r="CZ254" s="154"/>
      <c r="DA254" s="154"/>
      <c r="DB254" s="154"/>
      <c r="DC254" s="154"/>
      <c r="DD254" s="154"/>
      <c r="DE254" s="154"/>
      <c r="DF254" s="154"/>
      <c r="DG254" s="154"/>
      <c r="DH254" s="154"/>
      <c r="DI254" s="154"/>
      <c r="DJ254" s="154"/>
      <c r="DK254" s="154"/>
      <c r="DL254" s="154"/>
      <c r="DM254" s="154"/>
      <c r="DN254" s="154"/>
      <c r="DO254" s="154"/>
      <c r="DP254" s="154"/>
      <c r="DQ254" s="154"/>
      <c r="DR254" s="154"/>
      <c r="DS254" s="154"/>
      <c r="DT254" s="154"/>
      <c r="DU254" s="154"/>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row>
    <row r="255" spans="2:153" ht="12.95" customHeight="1">
      <c r="B255" s="154"/>
      <c r="C255" s="380"/>
      <c r="D255" s="380"/>
      <c r="E255" s="154"/>
      <c r="F255" s="154"/>
      <c r="G255" s="154"/>
      <c r="H255" s="154"/>
      <c r="I255" s="154"/>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367"/>
      <c r="AG255" s="368"/>
      <c r="AH255" s="368"/>
      <c r="AI255" s="368"/>
      <c r="AJ255" s="154"/>
      <c r="AK255" s="154"/>
      <c r="AL255" s="154"/>
      <c r="AM255" s="154"/>
      <c r="AN255" s="154"/>
      <c r="AO255" s="154"/>
      <c r="AP255" s="154"/>
      <c r="AQ255" s="154"/>
      <c r="AR255" s="154"/>
      <c r="AS255" s="154"/>
      <c r="AT255" s="154"/>
      <c r="AU255" s="154"/>
      <c r="AV255" s="154"/>
      <c r="AW255" s="154"/>
      <c r="AX255" s="154"/>
      <c r="AY255" s="154"/>
      <c r="AZ255" s="154"/>
      <c r="BA255" s="154"/>
      <c r="BB255" s="154"/>
      <c r="BC255" s="154"/>
      <c r="BD255" s="154"/>
      <c r="BE255" s="154"/>
      <c r="BF255" s="154"/>
      <c r="BG255" s="154"/>
      <c r="BH255" s="154"/>
      <c r="BI255" s="154"/>
      <c r="BJ255" s="154"/>
      <c r="BK255" s="154"/>
      <c r="BL255" s="154"/>
      <c r="BM255" s="154"/>
      <c r="BN255" s="154"/>
      <c r="BO255" s="154"/>
      <c r="BP255" s="154"/>
      <c r="BQ255" s="154"/>
      <c r="BR255" s="154"/>
      <c r="BS255" s="154"/>
      <c r="BT255" s="154"/>
      <c r="BU255" s="154"/>
      <c r="BV255" s="154"/>
      <c r="BW255" s="154"/>
      <c r="BX255" s="154"/>
      <c r="BY255" s="154"/>
      <c r="BZ255" s="154"/>
      <c r="CA255" s="154"/>
      <c r="CB255" s="154"/>
      <c r="CC255" s="154"/>
      <c r="CD255" s="154"/>
      <c r="CE255" s="154"/>
      <c r="CF255" s="154"/>
      <c r="CG255" s="154"/>
      <c r="CH255" s="154"/>
      <c r="CI255" s="154"/>
      <c r="CJ255" s="154"/>
      <c r="CK255" s="154"/>
      <c r="CL255" s="154"/>
      <c r="CM255" s="154"/>
      <c r="CN255" s="154"/>
      <c r="CO255" s="154"/>
      <c r="CP255" s="154"/>
      <c r="CQ255" s="154"/>
      <c r="CR255" s="154"/>
      <c r="CS255" s="154"/>
      <c r="CT255" s="154"/>
      <c r="CU255" s="154"/>
      <c r="CV255" s="154"/>
      <c r="CW255" s="154"/>
      <c r="CX255" s="154"/>
      <c r="CY255" s="154"/>
      <c r="CZ255" s="154"/>
      <c r="DA255" s="154"/>
      <c r="DB255" s="154"/>
      <c r="DC255" s="154"/>
      <c r="DD255" s="154"/>
      <c r="DE255" s="154"/>
      <c r="DF255" s="154"/>
      <c r="DG255" s="154"/>
      <c r="DH255" s="154"/>
      <c r="DI255" s="154"/>
      <c r="DJ255" s="154"/>
      <c r="DK255" s="154"/>
      <c r="DL255" s="154"/>
      <c r="DM255" s="154"/>
      <c r="DN255" s="154"/>
      <c r="DO255" s="154"/>
      <c r="DP255" s="154"/>
      <c r="DQ255" s="154"/>
      <c r="DR255" s="154"/>
      <c r="DS255" s="154"/>
      <c r="DT255" s="154"/>
      <c r="DU255" s="154"/>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row>
    <row r="256" spans="2:153" ht="12.95" customHeight="1">
      <c r="B256" s="154"/>
      <c r="C256" s="380"/>
      <c r="D256" s="380"/>
      <c r="E256" s="154"/>
      <c r="F256" s="154"/>
      <c r="G256" s="154"/>
      <c r="H256" s="154"/>
      <c r="I256" s="154"/>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367"/>
      <c r="AG256" s="368"/>
      <c r="AH256" s="368"/>
      <c r="AI256" s="368"/>
      <c r="AJ256" s="154"/>
      <c r="AK256" s="154"/>
      <c r="AL256" s="154"/>
      <c r="AM256" s="154"/>
      <c r="AN256" s="154"/>
      <c r="AO256" s="154"/>
      <c r="AP256" s="154"/>
      <c r="AQ256" s="154"/>
      <c r="AR256" s="154"/>
      <c r="AS256" s="154"/>
      <c r="AT256" s="154"/>
      <c r="AU256" s="154"/>
      <c r="AV256" s="154"/>
      <c r="AW256" s="154"/>
      <c r="AX256" s="154"/>
      <c r="AY256" s="154"/>
      <c r="AZ256" s="154"/>
      <c r="BA256" s="154"/>
      <c r="BB256" s="154"/>
      <c r="BC256" s="154"/>
      <c r="BD256" s="154"/>
      <c r="BE256" s="154"/>
      <c r="BF256" s="154"/>
      <c r="BG256" s="154"/>
      <c r="BH256" s="154"/>
      <c r="BI256" s="154"/>
      <c r="BJ256" s="154"/>
      <c r="BK256" s="154"/>
      <c r="BL256" s="154"/>
      <c r="BM256" s="154"/>
      <c r="BN256" s="154"/>
      <c r="BO256" s="154"/>
      <c r="BP256" s="154"/>
      <c r="BQ256" s="154"/>
      <c r="BR256" s="154"/>
      <c r="BS256" s="154"/>
      <c r="BT256" s="154"/>
      <c r="BU256" s="154"/>
      <c r="BV256" s="154"/>
      <c r="BW256" s="154"/>
      <c r="BX256" s="154"/>
      <c r="BY256" s="154"/>
      <c r="BZ256" s="154"/>
      <c r="CA256" s="154"/>
      <c r="CB256" s="154"/>
      <c r="CC256" s="154"/>
      <c r="CD256" s="154"/>
      <c r="CE256" s="154"/>
      <c r="CF256" s="154"/>
      <c r="CG256" s="154"/>
      <c r="CH256" s="154"/>
      <c r="CI256" s="154"/>
      <c r="CJ256" s="154"/>
      <c r="CK256" s="154"/>
      <c r="CL256" s="154"/>
      <c r="CM256" s="154"/>
      <c r="CN256" s="154"/>
      <c r="CO256" s="154"/>
      <c r="CP256" s="154"/>
      <c r="CQ256" s="154"/>
      <c r="CR256" s="154"/>
      <c r="CS256" s="154"/>
      <c r="CT256" s="154"/>
      <c r="CU256" s="154"/>
      <c r="CV256" s="154"/>
      <c r="CW256" s="154"/>
      <c r="CX256" s="154"/>
      <c r="CY256" s="154"/>
      <c r="CZ256" s="154"/>
      <c r="DA256" s="154"/>
      <c r="DB256" s="154"/>
      <c r="DC256" s="154"/>
      <c r="DD256" s="154"/>
      <c r="DE256" s="154"/>
      <c r="DF256" s="154"/>
      <c r="DG256" s="154"/>
      <c r="DH256" s="154"/>
      <c r="DI256" s="154"/>
      <c r="DJ256" s="154"/>
      <c r="DK256" s="154"/>
      <c r="DL256" s="154"/>
      <c r="DM256" s="154"/>
      <c r="DN256" s="154"/>
      <c r="DO256" s="154"/>
      <c r="DP256" s="154"/>
      <c r="DQ256" s="154"/>
      <c r="DR256" s="154"/>
      <c r="DS256" s="154"/>
      <c r="DT256" s="154"/>
      <c r="DU256" s="154"/>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row>
    <row r="257" spans="2:153" ht="12.95" customHeight="1">
      <c r="B257" s="154"/>
      <c r="C257" s="380"/>
      <c r="D257" s="380"/>
      <c r="E257" s="154"/>
      <c r="F257" s="154"/>
      <c r="G257" s="154"/>
      <c r="H257" s="154"/>
      <c r="I257" s="154"/>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367"/>
      <c r="AG257" s="368"/>
      <c r="AH257" s="368"/>
      <c r="AI257" s="368"/>
      <c r="AJ257" s="154"/>
      <c r="AK257" s="154"/>
      <c r="AL257" s="154"/>
      <c r="AM257" s="154"/>
      <c r="AN257" s="154"/>
      <c r="AO257" s="154"/>
      <c r="AP257" s="154"/>
      <c r="AQ257" s="154"/>
      <c r="AR257" s="154"/>
      <c r="AS257" s="154"/>
      <c r="AT257" s="154"/>
      <c r="AU257" s="154"/>
      <c r="AV257" s="154"/>
      <c r="AW257" s="154"/>
      <c r="AX257" s="154"/>
      <c r="AY257" s="154"/>
      <c r="AZ257" s="154"/>
      <c r="BA257" s="154"/>
      <c r="BB257" s="154"/>
      <c r="BC257" s="154"/>
      <c r="BD257" s="154"/>
      <c r="BE257" s="154"/>
      <c r="BF257" s="154"/>
      <c r="BG257" s="154"/>
      <c r="BH257" s="154"/>
      <c r="BI257" s="154"/>
      <c r="BJ257" s="154"/>
      <c r="BK257" s="154"/>
      <c r="BL257" s="154"/>
      <c r="BM257" s="154"/>
      <c r="BN257" s="154"/>
      <c r="BO257" s="154"/>
      <c r="BP257" s="154"/>
      <c r="BQ257" s="154"/>
      <c r="BR257" s="154"/>
      <c r="BS257" s="154"/>
      <c r="BT257" s="154"/>
      <c r="BU257" s="154"/>
      <c r="BV257" s="154"/>
      <c r="BW257" s="154"/>
      <c r="BX257" s="154"/>
      <c r="BY257" s="154"/>
      <c r="BZ257" s="154"/>
      <c r="CA257" s="154"/>
      <c r="CB257" s="154"/>
      <c r="CC257" s="154"/>
      <c r="CD257" s="154"/>
      <c r="CE257" s="154"/>
      <c r="CF257" s="154"/>
      <c r="CG257" s="154"/>
      <c r="CH257" s="154"/>
      <c r="CI257" s="154"/>
      <c r="CJ257" s="154"/>
      <c r="CK257" s="154"/>
      <c r="CL257" s="154"/>
      <c r="CM257" s="154"/>
      <c r="CN257" s="154"/>
      <c r="CO257" s="154"/>
      <c r="CP257" s="154"/>
      <c r="CQ257" s="154"/>
      <c r="CR257" s="154"/>
      <c r="CS257" s="154"/>
      <c r="CT257" s="154"/>
      <c r="CU257" s="154"/>
      <c r="CV257" s="154"/>
      <c r="CW257" s="154"/>
      <c r="CX257" s="154"/>
      <c r="CY257" s="154"/>
      <c r="CZ257" s="154"/>
      <c r="DA257" s="154"/>
      <c r="DB257" s="154"/>
      <c r="DC257" s="154"/>
      <c r="DD257" s="154"/>
      <c r="DE257" s="154"/>
      <c r="DF257" s="154"/>
      <c r="DG257" s="154"/>
      <c r="DH257" s="154"/>
      <c r="DI257" s="154"/>
      <c r="DJ257" s="154"/>
      <c r="DK257" s="154"/>
      <c r="DL257" s="154"/>
      <c r="DM257" s="154"/>
      <c r="DN257" s="154"/>
      <c r="DO257" s="154"/>
      <c r="DP257" s="154"/>
      <c r="DQ257" s="154"/>
      <c r="DR257" s="154"/>
      <c r="DS257" s="154"/>
      <c r="DT257" s="154"/>
      <c r="DU257" s="154"/>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row>
    <row r="258" spans="2:153" ht="12.95" customHeight="1">
      <c r="B258" s="154"/>
      <c r="C258" s="380"/>
      <c r="D258" s="380"/>
      <c r="E258" s="154"/>
      <c r="F258" s="154"/>
      <c r="G258" s="154"/>
      <c r="H258" s="154"/>
      <c r="I258" s="154"/>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367"/>
      <c r="AG258" s="368"/>
      <c r="AH258" s="368"/>
      <c r="AI258" s="368"/>
      <c r="AJ258" s="154"/>
      <c r="AK258" s="154"/>
      <c r="AL258" s="154"/>
      <c r="AM258" s="154"/>
      <c r="AN258" s="154"/>
      <c r="AO258" s="154"/>
      <c r="AP258" s="154"/>
      <c r="AQ258" s="154"/>
      <c r="AR258" s="154"/>
      <c r="AS258" s="154"/>
      <c r="AT258" s="154"/>
      <c r="AU258" s="154"/>
      <c r="AV258" s="154"/>
      <c r="AW258" s="154"/>
      <c r="AX258" s="154"/>
      <c r="AY258" s="154"/>
      <c r="AZ258" s="154"/>
      <c r="BA258" s="154"/>
      <c r="BB258" s="154"/>
      <c r="BC258" s="154"/>
      <c r="BD258" s="154"/>
      <c r="BE258" s="154"/>
      <c r="BF258" s="154"/>
      <c r="BG258" s="154"/>
      <c r="BH258" s="154"/>
      <c r="BI258" s="154"/>
      <c r="BJ258" s="154"/>
      <c r="BK258" s="154"/>
      <c r="BL258" s="154"/>
      <c r="BM258" s="154"/>
      <c r="BN258" s="154"/>
      <c r="BO258" s="154"/>
      <c r="BP258" s="154"/>
      <c r="BQ258" s="154"/>
      <c r="BR258" s="154"/>
      <c r="BS258" s="154"/>
      <c r="BT258" s="154"/>
      <c r="BU258" s="154"/>
      <c r="BV258" s="154"/>
      <c r="BW258" s="154"/>
      <c r="BX258" s="154"/>
      <c r="BY258" s="154"/>
      <c r="BZ258" s="154"/>
      <c r="CA258" s="154"/>
      <c r="CB258" s="154"/>
      <c r="CC258" s="154"/>
      <c r="CD258" s="154"/>
      <c r="CE258" s="154"/>
      <c r="CF258" s="154"/>
      <c r="CG258" s="154"/>
      <c r="CH258" s="154"/>
      <c r="CI258" s="154"/>
      <c r="CJ258" s="154"/>
      <c r="CK258" s="154"/>
      <c r="CL258" s="154"/>
      <c r="CM258" s="154"/>
      <c r="CN258" s="154"/>
      <c r="CO258" s="154"/>
      <c r="CP258" s="154"/>
      <c r="CQ258" s="154"/>
      <c r="CR258" s="154"/>
      <c r="CS258" s="154"/>
      <c r="CT258" s="154"/>
      <c r="CU258" s="154"/>
      <c r="CV258" s="154"/>
      <c r="CW258" s="154"/>
      <c r="CX258" s="154"/>
      <c r="CY258" s="154"/>
      <c r="CZ258" s="154"/>
      <c r="DA258" s="154"/>
      <c r="DB258" s="154"/>
      <c r="DC258" s="154"/>
      <c r="DD258" s="154"/>
      <c r="DE258" s="154"/>
      <c r="DF258" s="154"/>
      <c r="DG258" s="154"/>
      <c r="DH258" s="154"/>
      <c r="DI258" s="154"/>
      <c r="DJ258" s="154"/>
      <c r="DK258" s="154"/>
      <c r="DL258" s="154"/>
      <c r="DM258" s="154"/>
      <c r="DN258" s="154"/>
      <c r="DO258" s="154"/>
      <c r="DP258" s="154"/>
      <c r="DQ258" s="154"/>
      <c r="DR258" s="154"/>
      <c r="DS258" s="154"/>
      <c r="DT258" s="154"/>
      <c r="DU258" s="154"/>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row>
    <row r="259" spans="2:153" ht="12.95" customHeight="1">
      <c r="B259" s="154"/>
      <c r="C259" s="380"/>
      <c r="D259" s="380"/>
      <c r="E259" s="154"/>
      <c r="F259" s="154"/>
      <c r="G259" s="154"/>
      <c r="H259" s="154"/>
      <c r="I259" s="154"/>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367"/>
      <c r="AG259" s="368"/>
      <c r="AH259" s="368"/>
      <c r="AI259" s="368"/>
      <c r="AJ259" s="154"/>
      <c r="AK259" s="154"/>
      <c r="AL259" s="154"/>
      <c r="AM259" s="154"/>
      <c r="AN259" s="154"/>
      <c r="AO259" s="154"/>
      <c r="AP259" s="154"/>
      <c r="AQ259" s="154"/>
      <c r="AR259" s="154"/>
      <c r="AS259" s="154"/>
      <c r="AT259" s="154"/>
      <c r="AU259" s="154"/>
      <c r="AV259" s="154"/>
      <c r="AW259" s="154"/>
      <c r="AX259" s="154"/>
      <c r="AY259" s="154"/>
      <c r="AZ259" s="154"/>
      <c r="BA259" s="154"/>
      <c r="BB259" s="154"/>
      <c r="BC259" s="154"/>
      <c r="BD259" s="154"/>
      <c r="BE259" s="154"/>
      <c r="BF259" s="154"/>
      <c r="BG259" s="154"/>
      <c r="BH259" s="154"/>
      <c r="BI259" s="154"/>
      <c r="BJ259" s="154"/>
      <c r="BK259" s="154"/>
      <c r="BL259" s="154"/>
      <c r="BM259" s="154"/>
      <c r="BN259" s="154"/>
      <c r="BO259" s="154"/>
      <c r="BP259" s="154"/>
      <c r="BQ259" s="154"/>
      <c r="BR259" s="154"/>
      <c r="BS259" s="154"/>
      <c r="BT259" s="154"/>
      <c r="BU259" s="154"/>
      <c r="BV259" s="154"/>
      <c r="BW259" s="154"/>
      <c r="BX259" s="154"/>
      <c r="BY259" s="154"/>
      <c r="BZ259" s="154"/>
      <c r="CA259" s="154"/>
      <c r="CB259" s="154"/>
      <c r="CC259" s="154"/>
      <c r="CD259" s="154"/>
      <c r="CE259" s="154"/>
      <c r="CF259" s="154"/>
      <c r="CG259" s="154"/>
      <c r="CH259" s="154"/>
      <c r="CI259" s="154"/>
      <c r="CJ259" s="154"/>
      <c r="CK259" s="154"/>
      <c r="CL259" s="154"/>
      <c r="CM259" s="154"/>
      <c r="CN259" s="154"/>
      <c r="CO259" s="154"/>
      <c r="CP259" s="154"/>
      <c r="CQ259" s="154"/>
      <c r="CR259" s="154"/>
      <c r="CS259" s="154"/>
      <c r="CT259" s="154"/>
      <c r="CU259" s="154"/>
      <c r="CV259" s="154"/>
      <c r="CW259" s="154"/>
      <c r="CX259" s="154"/>
      <c r="CY259" s="154"/>
      <c r="CZ259" s="154"/>
      <c r="DA259" s="154"/>
      <c r="DB259" s="154"/>
      <c r="DC259" s="154"/>
      <c r="DD259" s="154"/>
      <c r="DE259" s="154"/>
      <c r="DF259" s="154"/>
      <c r="DG259" s="154"/>
      <c r="DH259" s="154"/>
      <c r="DI259" s="154"/>
      <c r="DJ259" s="154"/>
      <c r="DK259" s="154"/>
      <c r="DL259" s="154"/>
      <c r="DM259" s="154"/>
      <c r="DN259" s="154"/>
      <c r="DO259" s="154"/>
      <c r="DP259" s="154"/>
      <c r="DQ259" s="154"/>
      <c r="DR259" s="154"/>
      <c r="DS259" s="154"/>
      <c r="DT259" s="154"/>
      <c r="DU259" s="154"/>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row>
    <row r="260" spans="2:153" ht="12.95" customHeight="1">
      <c r="B260" s="154"/>
      <c r="C260" s="380"/>
      <c r="D260" s="380"/>
      <c r="E260" s="154"/>
      <c r="F260" s="154"/>
      <c r="G260" s="154"/>
      <c r="H260" s="154"/>
      <c r="I260" s="154"/>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367"/>
      <c r="AG260" s="368"/>
      <c r="AH260" s="368"/>
      <c r="AI260" s="368"/>
      <c r="AJ260" s="154"/>
      <c r="AK260" s="154"/>
      <c r="AL260" s="154"/>
      <c r="AM260" s="154"/>
      <c r="AN260" s="154"/>
      <c r="AO260" s="154"/>
      <c r="AP260" s="154"/>
      <c r="AQ260" s="154"/>
      <c r="AR260" s="154"/>
      <c r="AS260" s="154"/>
      <c r="AT260" s="154"/>
      <c r="AU260" s="154"/>
      <c r="AV260" s="154"/>
      <c r="AW260" s="154"/>
      <c r="AX260" s="154"/>
      <c r="AY260" s="154"/>
      <c r="AZ260" s="154"/>
      <c r="BA260" s="154"/>
      <c r="BB260" s="154"/>
      <c r="BC260" s="154"/>
      <c r="BD260" s="154"/>
      <c r="BE260" s="154"/>
      <c r="BF260" s="154"/>
      <c r="BG260" s="154"/>
      <c r="BH260" s="154"/>
      <c r="BI260" s="154"/>
      <c r="BJ260" s="154"/>
      <c r="BK260" s="154"/>
      <c r="BL260" s="154"/>
      <c r="BM260" s="154"/>
      <c r="BN260" s="154"/>
      <c r="BO260" s="154"/>
      <c r="BP260" s="154"/>
      <c r="BQ260" s="154"/>
      <c r="BR260" s="154"/>
      <c r="BS260" s="154"/>
      <c r="BT260" s="154"/>
      <c r="BU260" s="154"/>
      <c r="BV260" s="154"/>
      <c r="BW260" s="154"/>
      <c r="BX260" s="154"/>
      <c r="BY260" s="154"/>
      <c r="BZ260" s="154"/>
      <c r="CA260" s="154"/>
      <c r="CB260" s="154"/>
      <c r="CC260" s="154"/>
      <c r="CD260" s="154"/>
      <c r="CE260" s="154"/>
      <c r="CF260" s="154"/>
      <c r="CG260" s="154"/>
      <c r="CH260" s="154"/>
      <c r="CI260" s="154"/>
      <c r="CJ260" s="154"/>
      <c r="CK260" s="154"/>
      <c r="CL260" s="154"/>
      <c r="CM260" s="154"/>
      <c r="CN260" s="154"/>
      <c r="CO260" s="154"/>
      <c r="CP260" s="154"/>
      <c r="CQ260" s="154"/>
      <c r="CR260" s="154"/>
      <c r="CS260" s="154"/>
      <c r="CT260" s="154"/>
      <c r="CU260" s="154"/>
      <c r="CV260" s="154"/>
      <c r="CW260" s="154"/>
      <c r="CX260" s="154"/>
      <c r="CY260" s="154"/>
      <c r="CZ260" s="154"/>
      <c r="DA260" s="154"/>
      <c r="DB260" s="154"/>
      <c r="DC260" s="154"/>
      <c r="DD260" s="154"/>
      <c r="DE260" s="154"/>
      <c r="DF260" s="154"/>
      <c r="DG260" s="154"/>
      <c r="DH260" s="154"/>
      <c r="DI260" s="154"/>
      <c r="DJ260" s="154"/>
      <c r="DK260" s="154"/>
      <c r="DL260" s="154"/>
      <c r="DM260" s="154"/>
      <c r="DN260" s="154"/>
      <c r="DO260" s="154"/>
      <c r="DP260" s="154"/>
      <c r="DQ260" s="154"/>
      <c r="DR260" s="154"/>
      <c r="DS260" s="154"/>
      <c r="DT260" s="154"/>
      <c r="DU260" s="154"/>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row>
    <row r="261" spans="2:153" ht="12.95" customHeight="1">
      <c r="B261" s="154"/>
      <c r="C261" s="380"/>
      <c r="D261" s="380"/>
      <c r="E261" s="154"/>
      <c r="F261" s="154"/>
      <c r="G261" s="154"/>
      <c r="H261" s="154"/>
      <c r="I261" s="154"/>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367"/>
      <c r="AG261" s="368"/>
      <c r="AH261" s="368"/>
      <c r="AI261" s="368"/>
      <c r="AJ261" s="154"/>
      <c r="AK261" s="154"/>
      <c r="AL261" s="154"/>
      <c r="AM261" s="154"/>
      <c r="AN261" s="154"/>
      <c r="AO261" s="154"/>
      <c r="AP261" s="154"/>
      <c r="AQ261" s="154"/>
      <c r="AR261" s="154"/>
      <c r="AS261" s="154"/>
      <c r="AT261" s="154"/>
      <c r="AU261" s="154"/>
      <c r="AV261" s="154"/>
      <c r="AW261" s="154"/>
      <c r="AX261" s="154"/>
      <c r="AY261" s="154"/>
      <c r="AZ261" s="154"/>
      <c r="BA261" s="154"/>
      <c r="BB261" s="154"/>
      <c r="BC261" s="154"/>
      <c r="BD261" s="154"/>
      <c r="BE261" s="154"/>
      <c r="BF261" s="154"/>
      <c r="BG261" s="154"/>
      <c r="BH261" s="154"/>
      <c r="BI261" s="154"/>
      <c r="BJ261" s="154"/>
      <c r="BK261" s="154"/>
      <c r="BL261" s="154"/>
      <c r="BM261" s="154"/>
      <c r="BN261" s="154"/>
      <c r="BO261" s="154"/>
      <c r="BP261" s="154"/>
      <c r="BQ261" s="154"/>
      <c r="BR261" s="154"/>
      <c r="BS261" s="154"/>
      <c r="BT261" s="154"/>
      <c r="BU261" s="154"/>
      <c r="BV261" s="154"/>
      <c r="BW261" s="154"/>
      <c r="BX261" s="154"/>
      <c r="BY261" s="154"/>
      <c r="BZ261" s="154"/>
      <c r="CA261" s="154"/>
      <c r="CB261" s="154"/>
      <c r="CC261" s="154"/>
      <c r="CD261" s="154"/>
      <c r="CE261" s="154"/>
      <c r="CF261" s="154"/>
      <c r="CG261" s="154"/>
      <c r="CH261" s="154"/>
      <c r="CI261" s="154"/>
      <c r="CJ261" s="154"/>
      <c r="CK261" s="154"/>
      <c r="CL261" s="154"/>
      <c r="CM261" s="154"/>
      <c r="CN261" s="154"/>
      <c r="CO261" s="154"/>
      <c r="CP261" s="154"/>
      <c r="CQ261" s="154"/>
      <c r="CR261" s="154"/>
      <c r="CS261" s="154"/>
      <c r="CT261" s="154"/>
      <c r="CU261" s="154"/>
      <c r="CV261" s="154"/>
      <c r="CW261" s="154"/>
      <c r="CX261" s="154"/>
      <c r="CY261" s="154"/>
      <c r="CZ261" s="154"/>
      <c r="DA261" s="154"/>
      <c r="DB261" s="154"/>
      <c r="DC261" s="154"/>
      <c r="DD261" s="154"/>
      <c r="DE261" s="154"/>
      <c r="DF261" s="154"/>
      <c r="DG261" s="154"/>
      <c r="DH261" s="154"/>
      <c r="DI261" s="154"/>
      <c r="DJ261" s="154"/>
      <c r="DK261" s="154"/>
      <c r="DL261" s="154"/>
      <c r="DM261" s="154"/>
      <c r="DN261" s="154"/>
      <c r="DO261" s="154"/>
      <c r="DP261" s="154"/>
      <c r="DQ261" s="154"/>
      <c r="DR261" s="154"/>
      <c r="DS261" s="154"/>
      <c r="DT261" s="154"/>
      <c r="DU261" s="154"/>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row>
    <row r="262" spans="2:153" ht="12.95" customHeight="1">
      <c r="B262" s="154"/>
      <c r="C262" s="380"/>
      <c r="D262" s="380"/>
      <c r="E262" s="154"/>
      <c r="F262" s="154"/>
      <c r="G262" s="154"/>
      <c r="H262" s="154"/>
      <c r="I262" s="154"/>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367"/>
      <c r="AG262" s="368"/>
      <c r="AH262" s="368"/>
      <c r="AI262" s="368"/>
      <c r="AJ262" s="154"/>
      <c r="AK262" s="154"/>
      <c r="AL262" s="154"/>
      <c r="AM262" s="154"/>
      <c r="AN262" s="154"/>
      <c r="AO262" s="154"/>
      <c r="AP262" s="154"/>
      <c r="AQ262" s="154"/>
      <c r="AR262" s="154"/>
      <c r="AS262" s="154"/>
      <c r="AT262" s="154"/>
      <c r="AU262" s="154"/>
      <c r="AV262" s="154"/>
      <c r="AW262" s="154"/>
      <c r="AX262" s="154"/>
      <c r="AY262" s="154"/>
      <c r="AZ262" s="154"/>
      <c r="BA262" s="154"/>
      <c r="BB262" s="154"/>
      <c r="BC262" s="154"/>
      <c r="BD262" s="154"/>
      <c r="BE262" s="154"/>
      <c r="BF262" s="154"/>
      <c r="BG262" s="154"/>
      <c r="BH262" s="154"/>
      <c r="BI262" s="154"/>
      <c r="BJ262" s="154"/>
      <c r="BK262" s="154"/>
      <c r="BL262" s="154"/>
      <c r="BM262" s="154"/>
      <c r="BN262" s="154"/>
      <c r="BO262" s="154"/>
      <c r="BP262" s="154"/>
      <c r="BQ262" s="154"/>
      <c r="BR262" s="154"/>
      <c r="BS262" s="154"/>
      <c r="BT262" s="154"/>
      <c r="BU262" s="154"/>
      <c r="BV262" s="154"/>
      <c r="BW262" s="154"/>
      <c r="BX262" s="154"/>
      <c r="BY262" s="154"/>
      <c r="BZ262" s="154"/>
      <c r="CA262" s="154"/>
      <c r="CB262" s="154"/>
      <c r="CC262" s="154"/>
      <c r="CD262" s="154"/>
      <c r="CE262" s="154"/>
      <c r="CF262" s="154"/>
      <c r="CG262" s="154"/>
      <c r="CH262" s="154"/>
      <c r="CI262" s="154"/>
      <c r="CJ262" s="154"/>
      <c r="CK262" s="154"/>
      <c r="CL262" s="154"/>
      <c r="CM262" s="154"/>
      <c r="CN262" s="154"/>
      <c r="CO262" s="154"/>
      <c r="CP262" s="154"/>
      <c r="CQ262" s="154"/>
      <c r="CR262" s="154"/>
      <c r="CS262" s="154"/>
      <c r="CT262" s="154"/>
      <c r="CU262" s="154"/>
      <c r="CV262" s="154"/>
      <c r="CW262" s="154"/>
      <c r="CX262" s="154"/>
      <c r="CY262" s="154"/>
      <c r="CZ262" s="154"/>
      <c r="DA262" s="154"/>
      <c r="DB262" s="154"/>
      <c r="DC262" s="154"/>
      <c r="DD262" s="154"/>
      <c r="DE262" s="154"/>
      <c r="DF262" s="154"/>
      <c r="DG262" s="154"/>
      <c r="DH262" s="154"/>
      <c r="DI262" s="154"/>
      <c r="DJ262" s="154"/>
      <c r="DK262" s="154"/>
      <c r="DL262" s="154"/>
      <c r="DM262" s="154"/>
      <c r="DN262" s="154"/>
      <c r="DO262" s="154"/>
      <c r="DP262" s="154"/>
      <c r="DQ262" s="154"/>
      <c r="DR262" s="154"/>
      <c r="DS262" s="154"/>
      <c r="DT262" s="154"/>
      <c r="DU262" s="154"/>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row>
    <row r="263" spans="2:153" ht="12.95" customHeight="1">
      <c r="B263" s="154"/>
      <c r="C263" s="380"/>
      <c r="D263" s="380"/>
      <c r="E263" s="154"/>
      <c r="F263" s="154"/>
      <c r="G263" s="154"/>
      <c r="H263" s="154"/>
      <c r="I263" s="154"/>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367"/>
      <c r="AG263" s="368"/>
      <c r="AH263" s="368"/>
      <c r="AI263" s="368"/>
      <c r="AJ263" s="154"/>
      <c r="AK263" s="154"/>
      <c r="AL263" s="154"/>
      <c r="AM263" s="154"/>
      <c r="AN263" s="154"/>
      <c r="AO263" s="154"/>
      <c r="AP263" s="154"/>
      <c r="AQ263" s="154"/>
      <c r="AR263" s="154"/>
      <c r="AS263" s="154"/>
      <c r="AT263" s="154"/>
      <c r="AU263" s="154"/>
      <c r="AV263" s="154"/>
      <c r="AW263" s="154"/>
      <c r="AX263" s="154"/>
      <c r="AY263" s="154"/>
      <c r="AZ263" s="154"/>
      <c r="BA263" s="154"/>
      <c r="BB263" s="154"/>
      <c r="BC263" s="154"/>
      <c r="BD263" s="154"/>
      <c r="BE263" s="154"/>
      <c r="BF263" s="154"/>
      <c r="BG263" s="154"/>
      <c r="BH263" s="154"/>
      <c r="BI263" s="154"/>
      <c r="BJ263" s="154"/>
      <c r="BK263" s="154"/>
      <c r="BL263" s="154"/>
      <c r="BM263" s="154"/>
      <c r="BN263" s="154"/>
      <c r="BO263" s="154"/>
      <c r="BP263" s="154"/>
      <c r="BQ263" s="154"/>
      <c r="BR263" s="154"/>
      <c r="BS263" s="154"/>
      <c r="BT263" s="154"/>
      <c r="BU263" s="154"/>
      <c r="BV263" s="154"/>
      <c r="BW263" s="154"/>
      <c r="BX263" s="154"/>
      <c r="BY263" s="154"/>
      <c r="BZ263" s="154"/>
      <c r="CA263" s="154"/>
      <c r="CB263" s="154"/>
      <c r="CC263" s="154"/>
      <c r="CD263" s="154"/>
      <c r="CE263" s="154"/>
      <c r="CF263" s="154"/>
      <c r="CG263" s="154"/>
      <c r="CH263" s="154"/>
      <c r="CI263" s="154"/>
      <c r="CJ263" s="154"/>
      <c r="CK263" s="154"/>
      <c r="CL263" s="154"/>
      <c r="CM263" s="154"/>
      <c r="CN263" s="154"/>
      <c r="CO263" s="154"/>
      <c r="CP263" s="154"/>
      <c r="CQ263" s="154"/>
      <c r="CR263" s="154"/>
      <c r="CS263" s="154"/>
      <c r="CT263" s="154"/>
      <c r="CU263" s="154"/>
      <c r="CV263" s="154"/>
      <c r="CW263" s="154"/>
      <c r="CX263" s="154"/>
      <c r="CY263" s="154"/>
      <c r="CZ263" s="154"/>
      <c r="DA263" s="154"/>
      <c r="DB263" s="154"/>
      <c r="DC263" s="154"/>
      <c r="DD263" s="154"/>
      <c r="DE263" s="154"/>
      <c r="DF263" s="154"/>
      <c r="DG263" s="154"/>
      <c r="DH263" s="154"/>
      <c r="DI263" s="154"/>
      <c r="DJ263" s="154"/>
      <c r="DK263" s="154"/>
      <c r="DL263" s="154"/>
      <c r="DM263" s="154"/>
      <c r="DN263" s="154"/>
      <c r="DO263" s="154"/>
      <c r="DP263" s="154"/>
      <c r="DQ263" s="154"/>
      <c r="DR263" s="154"/>
      <c r="DS263" s="154"/>
      <c r="DT263" s="154"/>
      <c r="DU263" s="154"/>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row>
    <row r="264" spans="2:153" ht="12.95" customHeight="1">
      <c r="B264" s="154"/>
      <c r="C264" s="380"/>
      <c r="D264" s="380"/>
      <c r="E264" s="154"/>
      <c r="F264" s="154"/>
      <c r="G264" s="154"/>
      <c r="H264" s="154"/>
      <c r="I264" s="154"/>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367"/>
      <c r="AG264" s="368"/>
      <c r="AH264" s="368"/>
      <c r="AI264" s="368"/>
      <c r="AJ264" s="154"/>
      <c r="AK264" s="154"/>
      <c r="AL264" s="154"/>
      <c r="AM264" s="154"/>
      <c r="AN264" s="154"/>
      <c r="AO264" s="154"/>
      <c r="AP264" s="154"/>
      <c r="AQ264" s="154"/>
      <c r="AR264" s="154"/>
      <c r="AS264" s="154"/>
      <c r="AT264" s="154"/>
      <c r="AU264" s="154"/>
      <c r="AV264" s="154"/>
      <c r="AW264" s="154"/>
      <c r="AX264" s="154"/>
      <c r="AY264" s="154"/>
      <c r="AZ264" s="154"/>
      <c r="BA264" s="154"/>
      <c r="BB264" s="154"/>
      <c r="BC264" s="154"/>
      <c r="BD264" s="154"/>
      <c r="BE264" s="154"/>
      <c r="BF264" s="154"/>
      <c r="BG264" s="154"/>
      <c r="BH264" s="154"/>
      <c r="BI264" s="154"/>
      <c r="BJ264" s="154"/>
      <c r="BK264" s="154"/>
      <c r="BL264" s="154"/>
      <c r="BM264" s="154"/>
      <c r="BN264" s="154"/>
      <c r="BO264" s="154"/>
      <c r="BP264" s="154"/>
      <c r="BQ264" s="154"/>
      <c r="BR264" s="154"/>
      <c r="BS264" s="154"/>
      <c r="BT264" s="154"/>
      <c r="BU264" s="154"/>
      <c r="BV264" s="154"/>
      <c r="BW264" s="154"/>
      <c r="BX264" s="154"/>
      <c r="BY264" s="154"/>
      <c r="BZ264" s="154"/>
      <c r="CA264" s="154"/>
      <c r="CB264" s="154"/>
      <c r="CC264" s="154"/>
      <c r="CD264" s="154"/>
      <c r="CE264" s="154"/>
      <c r="CF264" s="154"/>
      <c r="CG264" s="154"/>
      <c r="CH264" s="154"/>
      <c r="CI264" s="154"/>
      <c r="CJ264" s="154"/>
      <c r="CK264" s="154"/>
      <c r="CL264" s="154"/>
      <c r="CM264" s="154"/>
      <c r="CN264" s="154"/>
      <c r="CO264" s="154"/>
      <c r="CP264" s="154"/>
      <c r="CQ264" s="154"/>
      <c r="CR264" s="154"/>
      <c r="CS264" s="154"/>
      <c r="CT264" s="154"/>
      <c r="CU264" s="154"/>
      <c r="CV264" s="154"/>
      <c r="CW264" s="154"/>
      <c r="CX264" s="154"/>
      <c r="CY264" s="154"/>
      <c r="CZ264" s="154"/>
      <c r="DA264" s="154"/>
      <c r="DB264" s="154"/>
      <c r="DC264" s="154"/>
      <c r="DD264" s="154"/>
      <c r="DE264" s="154"/>
      <c r="DF264" s="154"/>
      <c r="DG264" s="154"/>
      <c r="DH264" s="154"/>
      <c r="DI264" s="154"/>
      <c r="DJ264" s="154"/>
      <c r="DK264" s="154"/>
      <c r="DL264" s="154"/>
      <c r="DM264" s="154"/>
      <c r="DN264" s="154"/>
      <c r="DO264" s="154"/>
      <c r="DP264" s="154"/>
      <c r="DQ264" s="154"/>
      <c r="DR264" s="154"/>
      <c r="DS264" s="154"/>
      <c r="DT264" s="154"/>
      <c r="DU264" s="154"/>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row>
    <row r="265" spans="2:153" ht="12.95" customHeight="1">
      <c r="B265" s="154"/>
      <c r="C265" s="380"/>
      <c r="D265" s="380"/>
      <c r="E265" s="154"/>
      <c r="F265" s="154"/>
      <c r="G265" s="154"/>
      <c r="H265" s="154"/>
      <c r="I265" s="154"/>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367"/>
      <c r="AG265" s="368"/>
      <c r="AH265" s="368"/>
      <c r="AI265" s="368"/>
      <c r="AJ265" s="154"/>
      <c r="AK265" s="154"/>
      <c r="AL265" s="154"/>
      <c r="AM265" s="154"/>
      <c r="AN265" s="154"/>
      <c r="AO265" s="154"/>
      <c r="AP265" s="154"/>
      <c r="AQ265" s="154"/>
      <c r="AR265" s="154"/>
      <c r="AS265" s="154"/>
      <c r="AT265" s="154"/>
      <c r="AU265" s="154"/>
      <c r="AV265" s="154"/>
      <c r="AW265" s="154"/>
      <c r="AX265" s="154"/>
      <c r="AY265" s="154"/>
      <c r="AZ265" s="154"/>
      <c r="BA265" s="154"/>
      <c r="BB265" s="154"/>
      <c r="BC265" s="154"/>
      <c r="BD265" s="154"/>
      <c r="BE265" s="154"/>
      <c r="BF265" s="154"/>
      <c r="BG265" s="154"/>
      <c r="BH265" s="154"/>
      <c r="BI265" s="154"/>
      <c r="BJ265" s="154"/>
      <c r="BK265" s="154"/>
      <c r="BL265" s="154"/>
      <c r="BM265" s="154"/>
      <c r="BN265" s="154"/>
      <c r="BO265" s="154"/>
      <c r="BP265" s="154"/>
      <c r="BQ265" s="154"/>
      <c r="BR265" s="154"/>
      <c r="BS265" s="154"/>
      <c r="BT265" s="154"/>
      <c r="BU265" s="154"/>
      <c r="BV265" s="154"/>
      <c r="BW265" s="154"/>
      <c r="BX265" s="154"/>
      <c r="BY265" s="154"/>
      <c r="BZ265" s="154"/>
      <c r="CA265" s="154"/>
      <c r="CB265" s="154"/>
      <c r="CC265" s="154"/>
      <c r="CD265" s="154"/>
      <c r="CE265" s="154"/>
      <c r="CF265" s="154"/>
      <c r="CG265" s="154"/>
      <c r="CH265" s="154"/>
      <c r="CI265" s="154"/>
      <c r="CJ265" s="154"/>
      <c r="CK265" s="154"/>
      <c r="CL265" s="154"/>
      <c r="CM265" s="154"/>
      <c r="CN265" s="154"/>
      <c r="CO265" s="154"/>
      <c r="CP265" s="154"/>
      <c r="CQ265" s="154"/>
      <c r="CR265" s="154"/>
      <c r="CS265" s="154"/>
      <c r="CT265" s="154"/>
      <c r="CU265" s="154"/>
      <c r="CV265" s="154"/>
      <c r="CW265" s="154"/>
      <c r="CX265" s="154"/>
      <c r="CY265" s="154"/>
      <c r="CZ265" s="154"/>
      <c r="DA265" s="154"/>
      <c r="DB265" s="154"/>
      <c r="DC265" s="154"/>
      <c r="DD265" s="154"/>
      <c r="DE265" s="154"/>
      <c r="DF265" s="154"/>
      <c r="DG265" s="154"/>
      <c r="DH265" s="154"/>
      <c r="DI265" s="154"/>
      <c r="DJ265" s="154"/>
      <c r="DK265" s="154"/>
      <c r="DL265" s="154"/>
      <c r="DM265" s="154"/>
      <c r="DN265" s="154"/>
      <c r="DO265" s="154"/>
      <c r="DP265" s="154"/>
      <c r="DQ265" s="154"/>
      <c r="DR265" s="154"/>
      <c r="DS265" s="154"/>
      <c r="DT265" s="154"/>
      <c r="DU265" s="154"/>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row>
    <row r="266" spans="2:153" ht="12.95" customHeight="1">
      <c r="B266" s="154"/>
      <c r="C266" s="380"/>
      <c r="D266" s="380"/>
      <c r="E266" s="154"/>
      <c r="F266" s="154"/>
      <c r="G266" s="154"/>
      <c r="H266" s="154"/>
      <c r="I266" s="154"/>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367"/>
      <c r="AG266" s="368"/>
      <c r="AH266" s="368"/>
      <c r="AI266" s="368"/>
      <c r="AJ266" s="154"/>
      <c r="AK266" s="154"/>
      <c r="AL266" s="154"/>
      <c r="AM266" s="154"/>
      <c r="AN266" s="154"/>
      <c r="AO266" s="154"/>
      <c r="AP266" s="154"/>
      <c r="AQ266" s="154"/>
      <c r="AR266" s="154"/>
      <c r="AS266" s="154"/>
      <c r="AT266" s="154"/>
      <c r="AU266" s="154"/>
      <c r="AV266" s="154"/>
      <c r="AW266" s="154"/>
      <c r="AX266" s="154"/>
      <c r="AY266" s="154"/>
      <c r="AZ266" s="154"/>
      <c r="BA266" s="154"/>
      <c r="BB266" s="154"/>
      <c r="BC266" s="154"/>
      <c r="BD266" s="154"/>
      <c r="BE266" s="154"/>
      <c r="BF266" s="154"/>
      <c r="BG266" s="154"/>
      <c r="BH266" s="154"/>
      <c r="BI266" s="154"/>
      <c r="BJ266" s="154"/>
      <c r="BK266" s="154"/>
      <c r="BL266" s="154"/>
      <c r="BM266" s="154"/>
      <c r="BN266" s="154"/>
      <c r="BO266" s="154"/>
      <c r="BP266" s="154"/>
      <c r="BQ266" s="154"/>
      <c r="BR266" s="154"/>
      <c r="BS266" s="154"/>
      <c r="BT266" s="154"/>
      <c r="BU266" s="154"/>
      <c r="BV266" s="154"/>
      <c r="BW266" s="154"/>
      <c r="BX266" s="154"/>
      <c r="BY266" s="154"/>
      <c r="BZ266" s="154"/>
      <c r="CA266" s="154"/>
      <c r="CB266" s="154"/>
      <c r="CC266" s="154"/>
      <c r="CD266" s="154"/>
      <c r="CE266" s="154"/>
      <c r="CF266" s="154"/>
      <c r="CG266" s="154"/>
      <c r="CH266" s="154"/>
      <c r="CI266" s="154"/>
      <c r="CJ266" s="154"/>
      <c r="CK266" s="154"/>
      <c r="CL266" s="154"/>
      <c r="CM266" s="154"/>
      <c r="CN266" s="154"/>
      <c r="CO266" s="154"/>
      <c r="CP266" s="154"/>
      <c r="CQ266" s="154"/>
      <c r="CR266" s="154"/>
      <c r="CS266" s="154"/>
      <c r="CT266" s="154"/>
      <c r="CU266" s="154"/>
      <c r="CV266" s="154"/>
      <c r="CW266" s="154"/>
      <c r="CX266" s="154"/>
      <c r="CY266" s="154"/>
      <c r="CZ266" s="154"/>
      <c r="DA266" s="154"/>
      <c r="DB266" s="154"/>
      <c r="DC266" s="154"/>
      <c r="DD266" s="154"/>
      <c r="DE266" s="154"/>
      <c r="DF266" s="154"/>
      <c r="DG266" s="154"/>
      <c r="DH266" s="154"/>
      <c r="DI266" s="154"/>
      <c r="DJ266" s="154"/>
      <c r="DK266" s="154"/>
      <c r="DL266" s="154"/>
      <c r="DM266" s="154"/>
      <c r="DN266" s="154"/>
      <c r="DO266" s="154"/>
      <c r="DP266" s="154"/>
      <c r="DQ266" s="154"/>
      <c r="DR266" s="154"/>
      <c r="DS266" s="154"/>
      <c r="DT266" s="154"/>
      <c r="DU266" s="154"/>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row>
    <row r="267" spans="2:153" ht="12.95" customHeight="1">
      <c r="B267" s="154"/>
      <c r="C267" s="380"/>
      <c r="D267" s="380"/>
      <c r="E267" s="154"/>
      <c r="F267" s="154"/>
      <c r="G267" s="154"/>
      <c r="H267" s="154"/>
      <c r="I267" s="154"/>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367"/>
      <c r="AG267" s="368"/>
      <c r="AH267" s="368"/>
      <c r="AI267" s="368"/>
      <c r="AJ267" s="154"/>
      <c r="AK267" s="154"/>
      <c r="AL267" s="154"/>
      <c r="AM267" s="154"/>
      <c r="AN267" s="154"/>
      <c r="AO267" s="154"/>
      <c r="AP267" s="154"/>
      <c r="AQ267" s="154"/>
      <c r="AR267" s="154"/>
      <c r="AS267" s="154"/>
      <c r="AT267" s="154"/>
      <c r="AU267" s="154"/>
      <c r="AV267" s="154"/>
      <c r="AW267" s="154"/>
      <c r="AX267" s="154"/>
      <c r="AY267" s="154"/>
      <c r="AZ267" s="154"/>
      <c r="BA267" s="154"/>
      <c r="BB267" s="154"/>
      <c r="BC267" s="154"/>
      <c r="BD267" s="154"/>
      <c r="BE267" s="154"/>
      <c r="BF267" s="154"/>
      <c r="BG267" s="154"/>
      <c r="BH267" s="154"/>
      <c r="BI267" s="154"/>
      <c r="BJ267" s="154"/>
      <c r="BK267" s="154"/>
      <c r="BL267" s="154"/>
      <c r="BM267" s="154"/>
      <c r="BN267" s="154"/>
      <c r="BO267" s="154"/>
      <c r="BP267" s="154"/>
      <c r="BQ267" s="154"/>
      <c r="BR267" s="154"/>
      <c r="BS267" s="154"/>
      <c r="BT267" s="154"/>
      <c r="BU267" s="154"/>
      <c r="BV267" s="154"/>
      <c r="BW267" s="154"/>
      <c r="BX267" s="154"/>
      <c r="BY267" s="154"/>
      <c r="BZ267" s="154"/>
      <c r="CA267" s="154"/>
      <c r="CB267" s="154"/>
      <c r="CC267" s="154"/>
      <c r="CD267" s="154"/>
      <c r="CE267" s="154"/>
      <c r="CF267" s="154"/>
      <c r="CG267" s="154"/>
      <c r="CH267" s="154"/>
      <c r="CI267" s="154"/>
      <c r="CJ267" s="154"/>
      <c r="CK267" s="154"/>
      <c r="CL267" s="154"/>
      <c r="CM267" s="154"/>
      <c r="CN267" s="154"/>
      <c r="CO267" s="154"/>
      <c r="CP267" s="154"/>
      <c r="CQ267" s="154"/>
      <c r="CR267" s="154"/>
      <c r="CS267" s="154"/>
      <c r="CT267" s="154"/>
      <c r="CU267" s="154"/>
      <c r="CV267" s="154"/>
      <c r="CW267" s="154"/>
      <c r="CX267" s="154"/>
      <c r="CY267" s="154"/>
      <c r="CZ267" s="154"/>
      <c r="DA267" s="154"/>
      <c r="DB267" s="154"/>
      <c r="DC267" s="154"/>
      <c r="DD267" s="154"/>
      <c r="DE267" s="154"/>
      <c r="DF267" s="154"/>
      <c r="DG267" s="154"/>
      <c r="DH267" s="154"/>
      <c r="DI267" s="154"/>
      <c r="DJ267" s="154"/>
      <c r="DK267" s="154"/>
      <c r="DL267" s="154"/>
      <c r="DM267" s="154"/>
      <c r="DN267" s="154"/>
      <c r="DO267" s="154"/>
      <c r="DP267" s="154"/>
      <c r="DQ267" s="154"/>
      <c r="DR267" s="154"/>
      <c r="DS267" s="154"/>
      <c r="DT267" s="154"/>
      <c r="DU267" s="154"/>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row>
    <row r="268" spans="2:153" ht="12.95" customHeight="1">
      <c r="B268" s="154"/>
      <c r="C268" s="380"/>
      <c r="D268" s="380"/>
      <c r="E268" s="154"/>
      <c r="F268" s="154"/>
      <c r="G268" s="154"/>
      <c r="H268" s="154"/>
      <c r="I268" s="154"/>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367"/>
      <c r="AG268" s="368"/>
      <c r="AH268" s="368"/>
      <c r="AI268" s="368"/>
      <c r="AJ268" s="154"/>
      <c r="AK268" s="154"/>
      <c r="AL268" s="154"/>
      <c r="AM268" s="154"/>
      <c r="AN268" s="154"/>
      <c r="AO268" s="154"/>
      <c r="AP268" s="154"/>
      <c r="AQ268" s="154"/>
      <c r="AR268" s="154"/>
      <c r="AS268" s="154"/>
      <c r="AT268" s="154"/>
      <c r="AU268" s="154"/>
      <c r="AV268" s="154"/>
      <c r="AW268" s="154"/>
      <c r="AX268" s="154"/>
      <c r="AY268" s="154"/>
      <c r="AZ268" s="154"/>
      <c r="BA268" s="154"/>
      <c r="BB268" s="154"/>
      <c r="BC268" s="154"/>
      <c r="BD268" s="154"/>
      <c r="BE268" s="154"/>
      <c r="BF268" s="154"/>
      <c r="BG268" s="154"/>
      <c r="BH268" s="154"/>
      <c r="BI268" s="154"/>
      <c r="BJ268" s="154"/>
      <c r="BK268" s="154"/>
      <c r="BL268" s="154"/>
      <c r="BM268" s="154"/>
      <c r="BN268" s="154"/>
      <c r="BO268" s="154"/>
      <c r="BP268" s="154"/>
      <c r="BQ268" s="154"/>
      <c r="BR268" s="154"/>
      <c r="BS268" s="154"/>
      <c r="BT268" s="154"/>
      <c r="BU268" s="154"/>
      <c r="BV268" s="154"/>
      <c r="BW268" s="154"/>
      <c r="BX268" s="154"/>
      <c r="BY268" s="154"/>
      <c r="BZ268" s="154"/>
      <c r="CA268" s="154"/>
      <c r="CB268" s="154"/>
      <c r="CC268" s="154"/>
      <c r="CD268" s="154"/>
      <c r="CE268" s="154"/>
      <c r="CF268" s="154"/>
      <c r="CG268" s="154"/>
      <c r="CH268" s="154"/>
      <c r="CI268" s="154"/>
      <c r="CJ268" s="154"/>
      <c r="CK268" s="154"/>
      <c r="CL268" s="154"/>
      <c r="CM268" s="154"/>
      <c r="CN268" s="154"/>
      <c r="CO268" s="154"/>
      <c r="CP268" s="154"/>
      <c r="CQ268" s="154"/>
      <c r="CR268" s="154"/>
      <c r="CS268" s="154"/>
      <c r="CT268" s="154"/>
      <c r="CU268" s="154"/>
      <c r="CV268" s="154"/>
      <c r="CW268" s="154"/>
      <c r="CX268" s="154"/>
      <c r="CY268" s="154"/>
      <c r="CZ268" s="154"/>
      <c r="DA268" s="154"/>
      <c r="DB268" s="154"/>
      <c r="DC268" s="154"/>
      <c r="DD268" s="154"/>
      <c r="DE268" s="154"/>
      <c r="DF268" s="154"/>
      <c r="DG268" s="154"/>
      <c r="DH268" s="154"/>
      <c r="DI268" s="154"/>
      <c r="DJ268" s="154"/>
      <c r="DK268" s="154"/>
      <c r="DL268" s="154"/>
      <c r="DM268" s="154"/>
      <c r="DN268" s="154"/>
      <c r="DO268" s="154"/>
      <c r="DP268" s="154"/>
      <c r="DQ268" s="154"/>
      <c r="DR268" s="154"/>
      <c r="DS268" s="154"/>
      <c r="DT268" s="154"/>
      <c r="DU268" s="154"/>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row>
    <row r="269" spans="2:153" ht="12.95" customHeight="1">
      <c r="B269" s="154"/>
      <c r="C269" s="380"/>
      <c r="D269" s="380"/>
      <c r="E269" s="154"/>
      <c r="F269" s="154"/>
      <c r="G269" s="154"/>
      <c r="H269" s="154"/>
      <c r="I269" s="154"/>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367"/>
      <c r="AG269" s="368"/>
      <c r="AH269" s="368"/>
      <c r="AI269" s="368"/>
      <c r="AJ269" s="154"/>
      <c r="AK269" s="154"/>
      <c r="AL269" s="154"/>
      <c r="AM269" s="154"/>
      <c r="AN269" s="154"/>
      <c r="AO269" s="154"/>
      <c r="AP269" s="154"/>
      <c r="AQ269" s="154"/>
      <c r="AR269" s="154"/>
      <c r="AS269" s="154"/>
      <c r="AT269" s="154"/>
      <c r="AU269" s="154"/>
      <c r="AV269" s="154"/>
      <c r="AW269" s="154"/>
      <c r="AX269" s="154"/>
      <c r="AY269" s="154"/>
      <c r="AZ269" s="154"/>
      <c r="BA269" s="154"/>
      <c r="BB269" s="154"/>
      <c r="BC269" s="154"/>
      <c r="BD269" s="154"/>
      <c r="BE269" s="154"/>
      <c r="BF269" s="154"/>
      <c r="BG269" s="154"/>
      <c r="BH269" s="154"/>
      <c r="BI269" s="154"/>
      <c r="BJ269" s="154"/>
      <c r="BK269" s="154"/>
      <c r="BL269" s="154"/>
      <c r="BM269" s="154"/>
      <c r="BN269" s="154"/>
      <c r="BO269" s="154"/>
      <c r="BP269" s="154"/>
      <c r="BQ269" s="154"/>
      <c r="BR269" s="154"/>
      <c r="BS269" s="154"/>
      <c r="BT269" s="154"/>
      <c r="BU269" s="154"/>
      <c r="BV269" s="154"/>
      <c r="BW269" s="154"/>
      <c r="BX269" s="154"/>
      <c r="BY269" s="154"/>
      <c r="BZ269" s="154"/>
      <c r="CA269" s="154"/>
      <c r="CB269" s="154"/>
      <c r="CC269" s="154"/>
      <c r="CD269" s="154"/>
      <c r="CE269" s="154"/>
      <c r="CF269" s="154"/>
      <c r="CG269" s="154"/>
      <c r="CH269" s="154"/>
      <c r="CI269" s="154"/>
      <c r="CJ269" s="154"/>
      <c r="CK269" s="154"/>
      <c r="CL269" s="154"/>
      <c r="CM269" s="154"/>
      <c r="CN269" s="154"/>
      <c r="CO269" s="154"/>
      <c r="CP269" s="154"/>
      <c r="CQ269" s="154"/>
      <c r="CR269" s="154"/>
      <c r="CS269" s="154"/>
      <c r="CT269" s="154"/>
      <c r="CU269" s="154"/>
      <c r="CV269" s="154"/>
      <c r="CW269" s="154"/>
      <c r="CX269" s="154"/>
      <c r="CY269" s="154"/>
      <c r="CZ269" s="154"/>
      <c r="DA269" s="154"/>
      <c r="DB269" s="154"/>
      <c r="DC269" s="154"/>
      <c r="DD269" s="154"/>
      <c r="DE269" s="154"/>
      <c r="DF269" s="154"/>
      <c r="DG269" s="154"/>
      <c r="DH269" s="154"/>
      <c r="DI269" s="154"/>
      <c r="DJ269" s="154"/>
      <c r="DK269" s="154"/>
      <c r="DL269" s="154"/>
      <c r="DM269" s="154"/>
      <c r="DN269" s="154"/>
      <c r="DO269" s="154"/>
      <c r="DP269" s="154"/>
      <c r="DQ269" s="154"/>
      <c r="DR269" s="154"/>
      <c r="DS269" s="154"/>
      <c r="DT269" s="154"/>
      <c r="DU269" s="154"/>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row>
    <row r="270" spans="2:153" ht="12.95" customHeight="1">
      <c r="B270" s="154"/>
      <c r="C270" s="380"/>
      <c r="D270" s="380"/>
      <c r="E270" s="154"/>
      <c r="F270" s="154"/>
      <c r="G270" s="154"/>
      <c r="H270" s="154"/>
      <c r="I270" s="154"/>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367"/>
      <c r="AG270" s="368"/>
      <c r="AH270" s="368"/>
      <c r="AI270" s="368"/>
      <c r="AJ270" s="154"/>
      <c r="AK270" s="154"/>
      <c r="AL270" s="154"/>
      <c r="AM270" s="154"/>
      <c r="AN270" s="154"/>
      <c r="AO270" s="154"/>
      <c r="AP270" s="154"/>
      <c r="AQ270" s="154"/>
      <c r="AR270" s="154"/>
      <c r="AS270" s="154"/>
      <c r="AT270" s="154"/>
      <c r="AU270" s="154"/>
      <c r="AV270" s="154"/>
      <c r="AW270" s="154"/>
      <c r="AX270" s="154"/>
      <c r="AY270" s="154"/>
      <c r="AZ270" s="154"/>
      <c r="BA270" s="154"/>
      <c r="BB270" s="154"/>
      <c r="BC270" s="154"/>
      <c r="BD270" s="154"/>
      <c r="BE270" s="154"/>
      <c r="BF270" s="154"/>
      <c r="BG270" s="154"/>
      <c r="BH270" s="154"/>
      <c r="BI270" s="154"/>
      <c r="BJ270" s="154"/>
      <c r="BK270" s="154"/>
      <c r="BL270" s="154"/>
      <c r="BM270" s="154"/>
      <c r="BN270" s="154"/>
      <c r="BO270" s="154"/>
      <c r="BP270" s="154"/>
      <c r="BQ270" s="154"/>
      <c r="BR270" s="154"/>
      <c r="BS270" s="154"/>
      <c r="BT270" s="154"/>
      <c r="BU270" s="154"/>
      <c r="BV270" s="154"/>
      <c r="BW270" s="154"/>
      <c r="BX270" s="154"/>
      <c r="BY270" s="154"/>
      <c r="BZ270" s="154"/>
      <c r="CA270" s="154"/>
      <c r="CB270" s="154"/>
      <c r="CC270" s="154"/>
      <c r="CD270" s="154"/>
      <c r="CE270" s="154"/>
      <c r="CF270" s="154"/>
      <c r="CG270" s="154"/>
      <c r="CH270" s="154"/>
      <c r="CI270" s="154"/>
      <c r="CJ270" s="154"/>
      <c r="CK270" s="154"/>
      <c r="CL270" s="154"/>
      <c r="CM270" s="154"/>
      <c r="CN270" s="154"/>
      <c r="CO270" s="154"/>
      <c r="CP270" s="154"/>
      <c r="CQ270" s="154"/>
      <c r="CR270" s="154"/>
      <c r="CS270" s="154"/>
      <c r="CT270" s="154"/>
      <c r="CU270" s="154"/>
      <c r="CV270" s="154"/>
      <c r="CW270" s="154"/>
      <c r="CX270" s="154"/>
      <c r="CY270" s="154"/>
      <c r="CZ270" s="154"/>
      <c r="DA270" s="154"/>
      <c r="DB270" s="154"/>
      <c r="DC270" s="154"/>
      <c r="DD270" s="154"/>
      <c r="DE270" s="154"/>
      <c r="DF270" s="154"/>
      <c r="DG270" s="154"/>
      <c r="DH270" s="154"/>
      <c r="DI270" s="154"/>
      <c r="DJ270" s="154"/>
      <c r="DK270" s="154"/>
      <c r="DL270" s="154"/>
      <c r="DM270" s="154"/>
      <c r="DN270" s="154"/>
      <c r="DO270" s="154"/>
      <c r="DP270" s="154"/>
      <c r="DQ270" s="154"/>
      <c r="DR270" s="154"/>
      <c r="DS270" s="154"/>
      <c r="DT270" s="154"/>
      <c r="DU270" s="154"/>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row>
    <row r="271" spans="2:153" ht="12.95" customHeight="1">
      <c r="B271" s="154"/>
      <c r="C271" s="380"/>
      <c r="D271" s="380"/>
      <c r="E271" s="154"/>
      <c r="F271" s="154"/>
      <c r="G271" s="154"/>
      <c r="H271" s="154"/>
      <c r="I271" s="154"/>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367"/>
      <c r="AG271" s="368"/>
      <c r="AH271" s="368"/>
      <c r="AI271" s="368"/>
      <c r="AJ271" s="154"/>
      <c r="AK271" s="154"/>
      <c r="AL271" s="154"/>
      <c r="AM271" s="154"/>
      <c r="AN271" s="154"/>
      <c r="AO271" s="154"/>
      <c r="AP271" s="154"/>
      <c r="AQ271" s="154"/>
      <c r="AR271" s="154"/>
      <c r="AS271" s="154"/>
      <c r="AT271" s="154"/>
      <c r="AU271" s="154"/>
      <c r="AV271" s="154"/>
      <c r="AW271" s="154"/>
      <c r="AX271" s="154"/>
      <c r="AY271" s="154"/>
      <c r="AZ271" s="154"/>
      <c r="BA271" s="154"/>
      <c r="BB271" s="154"/>
      <c r="BC271" s="154"/>
      <c r="BD271" s="154"/>
      <c r="BE271" s="154"/>
      <c r="BF271" s="154"/>
      <c r="BG271" s="154"/>
      <c r="BH271" s="154"/>
      <c r="BI271" s="154"/>
      <c r="BJ271" s="154"/>
      <c r="BK271" s="154"/>
      <c r="BL271" s="154"/>
      <c r="BM271" s="154"/>
      <c r="BN271" s="154"/>
      <c r="BO271" s="154"/>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4"/>
      <c r="CK271" s="154"/>
      <c r="CL271" s="154"/>
      <c r="CM271" s="154"/>
      <c r="CN271" s="154"/>
      <c r="CO271" s="154"/>
      <c r="CP271" s="154"/>
      <c r="CQ271" s="154"/>
      <c r="CR271" s="154"/>
      <c r="CS271" s="154"/>
      <c r="CT271" s="154"/>
      <c r="CU271" s="154"/>
      <c r="CV271" s="154"/>
      <c r="CW271" s="154"/>
      <c r="CX271" s="154"/>
      <c r="CY271" s="154"/>
      <c r="CZ271" s="154"/>
      <c r="DA271" s="154"/>
      <c r="DB271" s="154"/>
      <c r="DC271" s="154"/>
      <c r="DD271" s="154"/>
      <c r="DE271" s="154"/>
      <c r="DF271" s="154"/>
      <c r="DG271" s="154"/>
      <c r="DH271" s="154"/>
      <c r="DI271" s="154"/>
      <c r="DJ271" s="154"/>
      <c r="DK271" s="154"/>
      <c r="DL271" s="154"/>
      <c r="DM271" s="154"/>
      <c r="DN271" s="154"/>
      <c r="DO271" s="154"/>
      <c r="DP271" s="154"/>
      <c r="DQ271" s="154"/>
      <c r="DR271" s="154"/>
      <c r="DS271" s="154"/>
      <c r="DT271" s="154"/>
      <c r="DU271" s="154"/>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row>
    <row r="272" spans="2:153" ht="12.95" customHeight="1">
      <c r="B272" s="154"/>
      <c r="C272" s="380"/>
      <c r="D272" s="380"/>
      <c r="E272" s="154"/>
      <c r="F272" s="154"/>
      <c r="G272" s="154"/>
      <c r="H272" s="154"/>
      <c r="I272" s="154"/>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367"/>
      <c r="AG272" s="368"/>
      <c r="AH272" s="368"/>
      <c r="AI272" s="368"/>
      <c r="AJ272" s="154"/>
      <c r="AK272" s="154"/>
      <c r="AL272" s="154"/>
      <c r="AM272" s="154"/>
      <c r="AN272" s="154"/>
      <c r="AO272" s="154"/>
      <c r="AP272" s="154"/>
      <c r="AQ272" s="154"/>
      <c r="AR272" s="154"/>
      <c r="AS272" s="154"/>
      <c r="AT272" s="154"/>
      <c r="AU272" s="154"/>
      <c r="AV272" s="154"/>
      <c r="AW272" s="154"/>
      <c r="AX272" s="154"/>
      <c r="AY272" s="154"/>
      <c r="AZ272" s="154"/>
      <c r="BA272" s="154"/>
      <c r="BB272" s="154"/>
      <c r="BC272" s="154"/>
      <c r="BD272" s="154"/>
      <c r="BE272" s="154"/>
      <c r="BF272" s="154"/>
      <c r="BG272" s="154"/>
      <c r="BH272" s="154"/>
      <c r="BI272" s="154"/>
      <c r="BJ272" s="154"/>
      <c r="BK272" s="154"/>
      <c r="BL272" s="154"/>
      <c r="BM272" s="154"/>
      <c r="BN272" s="154"/>
      <c r="BO272" s="154"/>
      <c r="BP272" s="154"/>
      <c r="BQ272" s="154"/>
      <c r="BR272" s="154"/>
      <c r="BS272" s="154"/>
      <c r="BT272" s="154"/>
      <c r="BU272" s="154"/>
      <c r="BV272" s="154"/>
      <c r="BW272" s="154"/>
      <c r="BX272" s="154"/>
      <c r="BY272" s="154"/>
      <c r="BZ272" s="154"/>
      <c r="CA272" s="154"/>
      <c r="CB272" s="154"/>
      <c r="CC272" s="154"/>
      <c r="CD272" s="154"/>
      <c r="CE272" s="154"/>
      <c r="CF272" s="154"/>
      <c r="CG272" s="154"/>
      <c r="CH272" s="154"/>
      <c r="CI272" s="154"/>
      <c r="CJ272" s="154"/>
      <c r="CK272" s="154"/>
      <c r="CL272" s="154"/>
      <c r="CM272" s="154"/>
      <c r="CN272" s="154"/>
      <c r="CO272" s="154"/>
      <c r="CP272" s="154"/>
      <c r="CQ272" s="154"/>
      <c r="CR272" s="154"/>
      <c r="CS272" s="154"/>
      <c r="CT272" s="154"/>
      <c r="CU272" s="154"/>
      <c r="CV272" s="154"/>
      <c r="CW272" s="154"/>
      <c r="CX272" s="154"/>
      <c r="CY272" s="154"/>
      <c r="CZ272" s="154"/>
      <c r="DA272" s="154"/>
      <c r="DB272" s="154"/>
      <c r="DC272" s="154"/>
      <c r="DD272" s="154"/>
      <c r="DE272" s="154"/>
      <c r="DF272" s="154"/>
      <c r="DG272" s="154"/>
      <c r="DH272" s="154"/>
      <c r="DI272" s="154"/>
      <c r="DJ272" s="154"/>
      <c r="DK272" s="154"/>
      <c r="DL272" s="154"/>
      <c r="DM272" s="154"/>
      <c r="DN272" s="154"/>
      <c r="DO272" s="154"/>
      <c r="DP272" s="154"/>
      <c r="DQ272" s="154"/>
      <c r="DR272" s="154"/>
      <c r="DS272" s="154"/>
      <c r="DT272" s="154"/>
      <c r="DU272" s="154"/>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row>
    <row r="273" spans="2:153" ht="12.95" customHeight="1">
      <c r="B273" s="154"/>
      <c r="C273" s="380"/>
      <c r="D273" s="380"/>
      <c r="E273" s="154"/>
      <c r="F273" s="154"/>
      <c r="G273" s="154"/>
      <c r="H273" s="154"/>
      <c r="I273" s="154"/>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367"/>
      <c r="AG273" s="368"/>
      <c r="AH273" s="368"/>
      <c r="AI273" s="368"/>
      <c r="AJ273" s="154"/>
      <c r="AK273" s="154"/>
      <c r="AL273" s="154"/>
      <c r="AM273" s="154"/>
      <c r="AN273" s="154"/>
      <c r="AO273" s="154"/>
      <c r="AP273" s="154"/>
      <c r="AQ273" s="154"/>
      <c r="AR273" s="154"/>
      <c r="AS273" s="154"/>
      <c r="AT273" s="154"/>
      <c r="AU273" s="154"/>
      <c r="AV273" s="154"/>
      <c r="AW273" s="154"/>
      <c r="AX273" s="154"/>
      <c r="AY273" s="154"/>
      <c r="AZ273" s="154"/>
      <c r="BA273" s="154"/>
      <c r="BB273" s="154"/>
      <c r="BC273" s="154"/>
      <c r="BD273" s="154"/>
      <c r="BE273" s="154"/>
      <c r="BF273" s="154"/>
      <c r="BG273" s="154"/>
      <c r="BH273" s="154"/>
      <c r="BI273" s="154"/>
      <c r="BJ273" s="154"/>
      <c r="BK273" s="154"/>
      <c r="BL273" s="154"/>
      <c r="BM273" s="154"/>
      <c r="BN273" s="154"/>
      <c r="BO273" s="154"/>
      <c r="BP273" s="154"/>
      <c r="BQ273" s="154"/>
      <c r="BR273" s="154"/>
      <c r="BS273" s="154"/>
      <c r="BT273" s="154"/>
      <c r="BU273" s="154"/>
      <c r="BV273" s="154"/>
      <c r="BW273" s="154"/>
      <c r="BX273" s="154"/>
      <c r="BY273" s="154"/>
      <c r="BZ273" s="154"/>
      <c r="CA273" s="154"/>
      <c r="CB273" s="154"/>
      <c r="CC273" s="154"/>
      <c r="CD273" s="154"/>
      <c r="CE273" s="154"/>
      <c r="CF273" s="154"/>
      <c r="CG273" s="154"/>
      <c r="CH273" s="154"/>
      <c r="CI273" s="154"/>
      <c r="CJ273" s="154"/>
      <c r="CK273" s="154"/>
      <c r="CL273" s="154"/>
      <c r="CM273" s="154"/>
      <c r="CN273" s="154"/>
      <c r="CO273" s="154"/>
      <c r="CP273" s="154"/>
      <c r="CQ273" s="154"/>
      <c r="CR273" s="154"/>
      <c r="CS273" s="154"/>
      <c r="CT273" s="154"/>
      <c r="CU273" s="154"/>
      <c r="CV273" s="154"/>
      <c r="CW273" s="154"/>
      <c r="CX273" s="154"/>
      <c r="CY273" s="154"/>
      <c r="CZ273" s="154"/>
      <c r="DA273" s="154"/>
      <c r="DB273" s="154"/>
      <c r="DC273" s="154"/>
      <c r="DD273" s="154"/>
      <c r="DE273" s="154"/>
      <c r="DF273" s="154"/>
      <c r="DG273" s="154"/>
      <c r="DH273" s="154"/>
      <c r="DI273" s="154"/>
      <c r="DJ273" s="154"/>
      <c r="DK273" s="154"/>
      <c r="DL273" s="154"/>
      <c r="DM273" s="154"/>
      <c r="DN273" s="154"/>
      <c r="DO273" s="154"/>
      <c r="DP273" s="154"/>
      <c r="DQ273" s="154"/>
      <c r="DR273" s="154"/>
      <c r="DS273" s="154"/>
      <c r="DT273" s="154"/>
      <c r="DU273" s="154"/>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row>
    <row r="274" spans="2:153" ht="12.95" customHeight="1">
      <c r="B274" s="154"/>
      <c r="C274" s="380"/>
      <c r="D274" s="380"/>
      <c r="E274" s="154"/>
      <c r="F274" s="154"/>
      <c r="G274" s="154"/>
      <c r="H274" s="154"/>
      <c r="I274" s="154"/>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367"/>
      <c r="AG274" s="368"/>
      <c r="AH274" s="368"/>
      <c r="AI274" s="368"/>
      <c r="AJ274" s="154"/>
      <c r="AK274" s="154"/>
      <c r="AL274" s="154"/>
      <c r="AM274" s="154"/>
      <c r="AN274" s="154"/>
      <c r="AO274" s="154"/>
      <c r="AP274" s="154"/>
      <c r="AQ274" s="154"/>
      <c r="AR274" s="154"/>
      <c r="AS274" s="154"/>
      <c r="AT274" s="154"/>
      <c r="AU274" s="154"/>
      <c r="AV274" s="154"/>
      <c r="AW274" s="154"/>
      <c r="AX274" s="154"/>
      <c r="AY274" s="154"/>
      <c r="AZ274" s="154"/>
      <c r="BA274" s="154"/>
      <c r="BB274" s="154"/>
      <c r="BC274" s="154"/>
      <c r="BD274" s="154"/>
      <c r="BE274" s="154"/>
      <c r="BF274" s="154"/>
      <c r="BG274" s="154"/>
      <c r="BH274" s="154"/>
      <c r="BI274" s="154"/>
      <c r="BJ274" s="154"/>
      <c r="BK274" s="154"/>
      <c r="BL274" s="154"/>
      <c r="BM274" s="154"/>
      <c r="BN274" s="154"/>
      <c r="BO274" s="154"/>
      <c r="BP274" s="154"/>
      <c r="BQ274" s="154"/>
      <c r="BR274" s="154"/>
      <c r="BS274" s="154"/>
      <c r="BT274" s="154"/>
      <c r="BU274" s="154"/>
      <c r="BV274" s="154"/>
      <c r="BW274" s="154"/>
      <c r="BX274" s="154"/>
      <c r="BY274" s="154"/>
      <c r="BZ274" s="154"/>
      <c r="CA274" s="154"/>
      <c r="CB274" s="154"/>
      <c r="CC274" s="154"/>
      <c r="CD274" s="154"/>
      <c r="CE274" s="154"/>
      <c r="CF274" s="154"/>
      <c r="CG274" s="154"/>
      <c r="CH274" s="154"/>
      <c r="CI274" s="154"/>
      <c r="CJ274" s="154"/>
      <c r="CK274" s="154"/>
      <c r="CL274" s="154"/>
      <c r="CM274" s="154"/>
      <c r="CN274" s="154"/>
      <c r="CO274" s="154"/>
      <c r="CP274" s="154"/>
      <c r="CQ274" s="154"/>
      <c r="CR274" s="154"/>
      <c r="CS274" s="154"/>
      <c r="CT274" s="154"/>
      <c r="CU274" s="154"/>
      <c r="CV274" s="154"/>
      <c r="CW274" s="154"/>
      <c r="CX274" s="154"/>
      <c r="CY274" s="154"/>
      <c r="CZ274" s="154"/>
      <c r="DA274" s="154"/>
      <c r="DB274" s="154"/>
      <c r="DC274" s="154"/>
      <c r="DD274" s="154"/>
      <c r="DE274" s="154"/>
      <c r="DF274" s="154"/>
      <c r="DG274" s="154"/>
      <c r="DH274" s="154"/>
      <c r="DI274" s="154"/>
      <c r="DJ274" s="154"/>
      <c r="DK274" s="154"/>
      <c r="DL274" s="154"/>
      <c r="DM274" s="154"/>
      <c r="DN274" s="154"/>
      <c r="DO274" s="154"/>
      <c r="DP274" s="154"/>
      <c r="DQ274" s="154"/>
      <c r="DR274" s="154"/>
      <c r="DS274" s="154"/>
      <c r="DT274" s="154"/>
      <c r="DU274" s="154"/>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row>
    <row r="275" spans="2:153" ht="12.95" customHeight="1">
      <c r="B275" s="154"/>
      <c r="C275" s="380"/>
      <c r="D275" s="380"/>
      <c r="E275" s="154"/>
      <c r="F275" s="154"/>
      <c r="G275" s="154"/>
      <c r="H275" s="154"/>
      <c r="I275" s="154"/>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367"/>
      <c r="AG275" s="368"/>
      <c r="AH275" s="368"/>
      <c r="AI275" s="368"/>
      <c r="AJ275" s="154"/>
      <c r="AK275" s="154"/>
      <c r="AL275" s="154"/>
      <c r="AM275" s="154"/>
      <c r="AN275" s="154"/>
      <c r="AO275" s="154"/>
      <c r="AP275" s="154"/>
      <c r="AQ275" s="154"/>
      <c r="AR275" s="154"/>
      <c r="AS275" s="154"/>
      <c r="AT275" s="154"/>
      <c r="AU275" s="154"/>
      <c r="AV275" s="154"/>
      <c r="AW275" s="154"/>
      <c r="AX275" s="154"/>
      <c r="AY275" s="154"/>
      <c r="AZ275" s="154"/>
      <c r="BA275" s="154"/>
      <c r="BB275" s="154"/>
      <c r="BC275" s="154"/>
      <c r="BD275" s="154"/>
      <c r="BE275" s="154"/>
      <c r="BF275" s="154"/>
      <c r="BG275" s="154"/>
      <c r="BH275" s="154"/>
      <c r="BI275" s="154"/>
      <c r="BJ275" s="154"/>
      <c r="BK275" s="154"/>
      <c r="BL275" s="154"/>
      <c r="BM275" s="154"/>
      <c r="BN275" s="154"/>
      <c r="BO275" s="154"/>
      <c r="BP275" s="154"/>
      <c r="BQ275" s="154"/>
      <c r="BR275" s="154"/>
      <c r="BS275" s="154"/>
      <c r="BT275" s="154"/>
      <c r="BU275" s="154"/>
      <c r="BV275" s="154"/>
      <c r="BW275" s="154"/>
      <c r="BX275" s="154"/>
      <c r="BY275" s="154"/>
      <c r="BZ275" s="154"/>
      <c r="CA275" s="154"/>
      <c r="CB275" s="154"/>
      <c r="CC275" s="154"/>
      <c r="CD275" s="154"/>
      <c r="CE275" s="154"/>
      <c r="CF275" s="154"/>
      <c r="CG275" s="154"/>
      <c r="CH275" s="154"/>
      <c r="CI275" s="154"/>
      <c r="CJ275" s="154"/>
      <c r="CK275" s="154"/>
      <c r="CL275" s="154"/>
      <c r="CM275" s="154"/>
      <c r="CN275" s="154"/>
      <c r="CO275" s="154"/>
      <c r="CP275" s="154"/>
      <c r="CQ275" s="154"/>
      <c r="CR275" s="154"/>
      <c r="CS275" s="154"/>
      <c r="CT275" s="154"/>
      <c r="CU275" s="154"/>
      <c r="CV275" s="154"/>
      <c r="CW275" s="154"/>
      <c r="CX275" s="154"/>
      <c r="CY275" s="154"/>
      <c r="CZ275" s="154"/>
      <c r="DA275" s="154"/>
      <c r="DB275" s="154"/>
      <c r="DC275" s="154"/>
      <c r="DD275" s="154"/>
      <c r="DE275" s="154"/>
      <c r="DF275" s="154"/>
      <c r="DG275" s="154"/>
      <c r="DH275" s="154"/>
      <c r="DI275" s="154"/>
      <c r="DJ275" s="154"/>
      <c r="DK275" s="154"/>
      <c r="DL275" s="154"/>
      <c r="DM275" s="154"/>
      <c r="DN275" s="154"/>
      <c r="DO275" s="154"/>
      <c r="DP275" s="154"/>
      <c r="DQ275" s="154"/>
      <c r="DR275" s="154"/>
      <c r="DS275" s="154"/>
      <c r="DT275" s="154"/>
      <c r="DU275" s="154"/>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row>
    <row r="276" spans="2:153" ht="12.95" customHeight="1">
      <c r="B276" s="154"/>
      <c r="C276" s="380"/>
      <c r="D276" s="380"/>
      <c r="E276" s="154"/>
      <c r="F276" s="154"/>
      <c r="G276" s="154"/>
      <c r="H276" s="154"/>
      <c r="I276" s="154"/>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367"/>
      <c r="AG276" s="368"/>
      <c r="AH276" s="368"/>
      <c r="AI276" s="368"/>
      <c r="AJ276" s="154"/>
      <c r="AK276" s="154"/>
      <c r="AL276" s="154"/>
      <c r="AM276" s="154"/>
      <c r="AN276" s="154"/>
      <c r="AO276" s="154"/>
      <c r="AP276" s="154"/>
      <c r="AQ276" s="154"/>
      <c r="AR276" s="154"/>
      <c r="AS276" s="154"/>
      <c r="AT276" s="154"/>
      <c r="AU276" s="154"/>
      <c r="AV276" s="154"/>
      <c r="AW276" s="154"/>
      <c r="AX276" s="154"/>
      <c r="AY276" s="154"/>
      <c r="AZ276" s="154"/>
      <c r="BA276" s="154"/>
      <c r="BB276" s="154"/>
      <c r="BC276" s="154"/>
      <c r="BD276" s="154"/>
      <c r="BE276" s="154"/>
      <c r="BF276" s="154"/>
      <c r="BG276" s="154"/>
      <c r="BH276" s="154"/>
      <c r="BI276" s="154"/>
      <c r="BJ276" s="154"/>
      <c r="BK276" s="154"/>
      <c r="BL276" s="154"/>
      <c r="BM276" s="154"/>
      <c r="BN276" s="154"/>
      <c r="BO276" s="154"/>
      <c r="BP276" s="154"/>
      <c r="BQ276" s="154"/>
      <c r="BR276" s="154"/>
      <c r="BS276" s="154"/>
      <c r="BT276" s="154"/>
      <c r="BU276" s="154"/>
      <c r="BV276" s="154"/>
      <c r="BW276" s="154"/>
      <c r="BX276" s="154"/>
      <c r="BY276" s="154"/>
      <c r="BZ276" s="154"/>
      <c r="CA276" s="154"/>
      <c r="CB276" s="154"/>
      <c r="CC276" s="154"/>
      <c r="CD276" s="154"/>
      <c r="CE276" s="154"/>
      <c r="CF276" s="154"/>
      <c r="CG276" s="154"/>
      <c r="CH276" s="154"/>
      <c r="CI276" s="154"/>
      <c r="CJ276" s="154"/>
      <c r="CK276" s="154"/>
      <c r="CL276" s="154"/>
      <c r="CM276" s="154"/>
      <c r="CN276" s="154"/>
      <c r="CO276" s="154"/>
      <c r="CP276" s="154"/>
      <c r="CQ276" s="154"/>
      <c r="CR276" s="154"/>
      <c r="CS276" s="154"/>
      <c r="CT276" s="154"/>
      <c r="CU276" s="154"/>
      <c r="CV276" s="154"/>
      <c r="CW276" s="154"/>
      <c r="CX276" s="154"/>
      <c r="CY276" s="154"/>
      <c r="CZ276" s="154"/>
      <c r="DA276" s="154"/>
      <c r="DB276" s="154"/>
      <c r="DC276" s="154"/>
      <c r="DD276" s="154"/>
      <c r="DE276" s="154"/>
      <c r="DF276" s="154"/>
      <c r="DG276" s="154"/>
      <c r="DH276" s="154"/>
      <c r="DI276" s="154"/>
      <c r="DJ276" s="154"/>
      <c r="DK276" s="154"/>
      <c r="DL276" s="154"/>
      <c r="DM276" s="154"/>
      <c r="DN276" s="154"/>
      <c r="DO276" s="154"/>
      <c r="DP276" s="154"/>
      <c r="DQ276" s="154"/>
      <c r="DR276" s="154"/>
      <c r="DS276" s="154"/>
      <c r="DT276" s="154"/>
      <c r="DU276" s="154"/>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row>
    <row r="277" spans="2:153" ht="12.95" customHeight="1">
      <c r="B277" s="154"/>
      <c r="C277" s="380"/>
      <c r="D277" s="380"/>
      <c r="E277" s="154"/>
      <c r="F277" s="154"/>
      <c r="G277" s="154"/>
      <c r="H277" s="154"/>
      <c r="I277" s="154"/>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367"/>
      <c r="AG277" s="368"/>
      <c r="AH277" s="368"/>
      <c r="AI277" s="368"/>
      <c r="AJ277" s="154"/>
      <c r="AK277" s="154"/>
      <c r="AL277" s="154"/>
      <c r="AM277" s="154"/>
      <c r="AN277" s="154"/>
      <c r="AO277" s="154"/>
      <c r="AP277" s="154"/>
      <c r="AQ277" s="154"/>
      <c r="AR277" s="154"/>
      <c r="AS277" s="154"/>
      <c r="AT277" s="154"/>
      <c r="AU277" s="154"/>
      <c r="AV277" s="154"/>
      <c r="AW277" s="154"/>
      <c r="AX277" s="154"/>
      <c r="AY277" s="154"/>
      <c r="AZ277" s="154"/>
      <c r="BA277" s="154"/>
      <c r="BB277" s="154"/>
      <c r="BC277" s="154"/>
      <c r="BD277" s="154"/>
      <c r="BE277" s="154"/>
      <c r="BF277" s="154"/>
      <c r="BG277" s="154"/>
      <c r="BH277" s="154"/>
      <c r="BI277" s="154"/>
      <c r="BJ277" s="154"/>
      <c r="BK277" s="154"/>
      <c r="BL277" s="154"/>
      <c r="BM277" s="154"/>
      <c r="BN277" s="154"/>
      <c r="BO277" s="154"/>
      <c r="BP277" s="154"/>
      <c r="BQ277" s="154"/>
      <c r="BR277" s="154"/>
      <c r="BS277" s="154"/>
      <c r="BT277" s="154"/>
      <c r="BU277" s="154"/>
      <c r="BV277" s="154"/>
      <c r="BW277" s="154"/>
      <c r="BX277" s="154"/>
      <c r="BY277" s="154"/>
      <c r="BZ277" s="154"/>
      <c r="CA277" s="154"/>
      <c r="CB277" s="154"/>
      <c r="CC277" s="154"/>
      <c r="CD277" s="154"/>
      <c r="CE277" s="154"/>
      <c r="CF277" s="154"/>
      <c r="CG277" s="154"/>
      <c r="CH277" s="154"/>
      <c r="CI277" s="154"/>
      <c r="CJ277" s="154"/>
      <c r="CK277" s="154"/>
      <c r="CL277" s="154"/>
      <c r="CM277" s="154"/>
      <c r="CN277" s="154"/>
      <c r="CO277" s="154"/>
      <c r="CP277" s="154"/>
      <c r="CQ277" s="154"/>
      <c r="CR277" s="154"/>
      <c r="CS277" s="154"/>
      <c r="CT277" s="154"/>
      <c r="CU277" s="154"/>
      <c r="CV277" s="154"/>
      <c r="CW277" s="154"/>
      <c r="CX277" s="154"/>
      <c r="CY277" s="154"/>
      <c r="CZ277" s="154"/>
      <c r="DA277" s="154"/>
      <c r="DB277" s="154"/>
      <c r="DC277" s="154"/>
      <c r="DD277" s="154"/>
      <c r="DE277" s="154"/>
      <c r="DF277" s="154"/>
      <c r="DG277" s="154"/>
      <c r="DH277" s="154"/>
      <c r="DI277" s="154"/>
      <c r="DJ277" s="154"/>
      <c r="DK277" s="154"/>
      <c r="DL277" s="154"/>
      <c r="DM277" s="154"/>
      <c r="DN277" s="154"/>
      <c r="DO277" s="154"/>
      <c r="DP277" s="154"/>
      <c r="DQ277" s="154"/>
      <c r="DR277" s="154"/>
      <c r="DS277" s="154"/>
      <c r="DT277" s="154"/>
      <c r="DU277" s="154"/>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row>
    <row r="278" spans="2:153" ht="12.95" customHeight="1">
      <c r="B278" s="154"/>
      <c r="C278" s="380"/>
      <c r="D278" s="380"/>
      <c r="E278" s="154"/>
      <c r="F278" s="154"/>
      <c r="G278" s="154"/>
      <c r="H278" s="154"/>
      <c r="I278" s="154"/>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367"/>
      <c r="AG278" s="368"/>
      <c r="AH278" s="368"/>
      <c r="AI278" s="368"/>
      <c r="AJ278" s="154"/>
      <c r="AK278" s="154"/>
      <c r="AL278" s="154"/>
      <c r="AM278" s="154"/>
      <c r="AN278" s="154"/>
      <c r="AO278" s="154"/>
      <c r="AP278" s="154"/>
      <c r="AQ278" s="154"/>
      <c r="AR278" s="154"/>
      <c r="AS278" s="154"/>
      <c r="AT278" s="154"/>
      <c r="AU278" s="154"/>
      <c r="AV278" s="154"/>
      <c r="AW278" s="154"/>
      <c r="AX278" s="154"/>
      <c r="AY278" s="154"/>
      <c r="AZ278" s="154"/>
      <c r="BA278" s="154"/>
      <c r="BB278" s="154"/>
      <c r="BC278" s="154"/>
      <c r="BD278" s="154"/>
      <c r="BE278" s="154"/>
      <c r="BF278" s="154"/>
      <c r="BG278" s="154"/>
      <c r="BH278" s="154"/>
      <c r="BI278" s="154"/>
      <c r="BJ278" s="154"/>
      <c r="BK278" s="154"/>
      <c r="BL278" s="154"/>
      <c r="BM278" s="154"/>
      <c r="BN278" s="154"/>
      <c r="BO278" s="154"/>
      <c r="BP278" s="154"/>
      <c r="BQ278" s="154"/>
      <c r="BR278" s="154"/>
      <c r="BS278" s="154"/>
      <c r="BT278" s="154"/>
      <c r="BU278" s="154"/>
      <c r="BV278" s="154"/>
      <c r="BW278" s="154"/>
      <c r="BX278" s="154"/>
      <c r="BY278" s="154"/>
      <c r="BZ278" s="154"/>
      <c r="CA278" s="154"/>
      <c r="CB278" s="154"/>
      <c r="CC278" s="154"/>
      <c r="CD278" s="154"/>
      <c r="CE278" s="154"/>
      <c r="CF278" s="154"/>
      <c r="CG278" s="154"/>
      <c r="CH278" s="154"/>
      <c r="CI278" s="154"/>
      <c r="CJ278" s="154"/>
      <c r="CK278" s="154"/>
      <c r="CL278" s="154"/>
      <c r="CM278" s="154"/>
      <c r="CN278" s="154"/>
      <c r="CO278" s="154"/>
      <c r="CP278" s="154"/>
      <c r="CQ278" s="154"/>
      <c r="CR278" s="154"/>
      <c r="CS278" s="154"/>
      <c r="CT278" s="154"/>
      <c r="CU278" s="154"/>
      <c r="CV278" s="154"/>
      <c r="CW278" s="154"/>
      <c r="CX278" s="154"/>
      <c r="CY278" s="154"/>
      <c r="CZ278" s="154"/>
      <c r="DA278" s="154"/>
      <c r="DB278" s="154"/>
      <c r="DC278" s="154"/>
      <c r="DD278" s="154"/>
      <c r="DE278" s="154"/>
      <c r="DF278" s="154"/>
      <c r="DG278" s="154"/>
      <c r="DH278" s="154"/>
      <c r="DI278" s="154"/>
      <c r="DJ278" s="154"/>
      <c r="DK278" s="154"/>
      <c r="DL278" s="154"/>
      <c r="DM278" s="154"/>
      <c r="DN278" s="154"/>
      <c r="DO278" s="154"/>
      <c r="DP278" s="154"/>
      <c r="DQ278" s="154"/>
      <c r="DR278" s="154"/>
      <c r="DS278" s="154"/>
      <c r="DT278" s="154"/>
      <c r="DU278" s="154"/>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row>
    <row r="279" spans="2:153" ht="12.95" customHeight="1">
      <c r="B279" s="154"/>
      <c r="C279" s="380"/>
      <c r="D279" s="380"/>
      <c r="E279" s="154"/>
      <c r="F279" s="15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367"/>
      <c r="AG279" s="368"/>
      <c r="AH279" s="368"/>
      <c r="AI279" s="368"/>
      <c r="AJ279" s="154"/>
      <c r="AK279" s="154"/>
      <c r="AL279" s="154"/>
      <c r="AM279" s="154"/>
      <c r="AN279" s="154"/>
      <c r="AO279" s="154"/>
      <c r="AP279" s="154"/>
      <c r="AQ279" s="154"/>
      <c r="AR279" s="154"/>
      <c r="AS279" s="154"/>
      <c r="AT279" s="154"/>
      <c r="AU279" s="154"/>
      <c r="AV279" s="154"/>
      <c r="AW279" s="154"/>
      <c r="AX279" s="154"/>
      <c r="AY279" s="154"/>
      <c r="AZ279" s="154"/>
      <c r="BA279" s="154"/>
      <c r="BB279" s="154"/>
      <c r="BC279" s="154"/>
      <c r="BD279" s="154"/>
      <c r="BE279" s="154"/>
      <c r="BF279" s="154"/>
      <c r="BG279" s="154"/>
      <c r="BH279" s="154"/>
      <c r="BI279" s="154"/>
      <c r="BJ279" s="154"/>
      <c r="BK279" s="154"/>
      <c r="BL279" s="154"/>
      <c r="BM279" s="154"/>
      <c r="BN279" s="154"/>
      <c r="BO279" s="154"/>
      <c r="BP279" s="154"/>
      <c r="BQ279" s="154"/>
      <c r="BR279" s="154"/>
      <c r="BS279" s="154"/>
      <c r="BT279" s="154"/>
      <c r="BU279" s="154"/>
      <c r="BV279" s="154"/>
      <c r="BW279" s="154"/>
      <c r="BX279" s="154"/>
      <c r="BY279" s="154"/>
      <c r="BZ279" s="154"/>
      <c r="CA279" s="154"/>
      <c r="CB279" s="154"/>
      <c r="CC279" s="154"/>
      <c r="CD279" s="154"/>
      <c r="CE279" s="154"/>
      <c r="CF279" s="154"/>
      <c r="CG279" s="154"/>
      <c r="CH279" s="154"/>
      <c r="CI279" s="154"/>
      <c r="CJ279" s="154"/>
      <c r="CK279" s="154"/>
      <c r="CL279" s="154"/>
      <c r="CM279" s="154"/>
      <c r="CN279" s="154"/>
      <c r="CO279" s="154"/>
      <c r="CP279" s="154"/>
      <c r="CQ279" s="154"/>
      <c r="CR279" s="154"/>
      <c r="CS279" s="154"/>
      <c r="CT279" s="154"/>
      <c r="CU279" s="154"/>
      <c r="CV279" s="154"/>
      <c r="CW279" s="154"/>
      <c r="CX279" s="154"/>
      <c r="CY279" s="154"/>
      <c r="CZ279" s="154"/>
      <c r="DA279" s="154"/>
      <c r="DB279" s="154"/>
      <c r="DC279" s="154"/>
      <c r="DD279" s="154"/>
      <c r="DE279" s="154"/>
      <c r="DF279" s="154"/>
      <c r="DG279" s="154"/>
      <c r="DH279" s="154"/>
      <c r="DI279" s="154"/>
      <c r="DJ279" s="154"/>
      <c r="DK279" s="154"/>
      <c r="DL279" s="154"/>
      <c r="DM279" s="154"/>
      <c r="DN279" s="154"/>
      <c r="DO279" s="154"/>
      <c r="DP279" s="154"/>
      <c r="DQ279" s="154"/>
      <c r="DR279" s="154"/>
      <c r="DS279" s="154"/>
      <c r="DT279" s="154"/>
      <c r="DU279" s="154"/>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row>
    <row r="280" spans="2:153" ht="12.95" customHeight="1">
      <c r="B280" s="154"/>
      <c r="C280" s="380"/>
      <c r="D280" s="380"/>
      <c r="E280" s="154"/>
      <c r="F280" s="154"/>
      <c r="G280" s="154"/>
      <c r="H280" s="154"/>
      <c r="I280" s="154"/>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367"/>
      <c r="AG280" s="368"/>
      <c r="AH280" s="368"/>
      <c r="AI280" s="368"/>
      <c r="AJ280" s="154"/>
      <c r="AK280" s="154"/>
      <c r="AL280" s="154"/>
      <c r="AM280" s="154"/>
      <c r="AN280" s="154"/>
      <c r="AO280" s="154"/>
      <c r="AP280" s="154"/>
      <c r="AQ280" s="154"/>
      <c r="AR280" s="154"/>
      <c r="AS280" s="154"/>
      <c r="AT280" s="154"/>
      <c r="AU280" s="154"/>
      <c r="AV280" s="154"/>
      <c r="AW280" s="154"/>
      <c r="AX280" s="154"/>
      <c r="AY280" s="154"/>
      <c r="AZ280" s="154"/>
      <c r="BA280" s="154"/>
      <c r="BB280" s="154"/>
      <c r="BC280" s="154"/>
      <c r="BD280" s="154"/>
      <c r="BE280" s="154"/>
      <c r="BF280" s="154"/>
      <c r="BG280" s="154"/>
      <c r="BH280" s="154"/>
      <c r="BI280" s="154"/>
      <c r="BJ280" s="154"/>
      <c r="BK280" s="154"/>
      <c r="BL280" s="154"/>
      <c r="BM280" s="154"/>
      <c r="BN280" s="154"/>
      <c r="BO280" s="154"/>
      <c r="BP280" s="154"/>
      <c r="BQ280" s="154"/>
      <c r="BR280" s="154"/>
      <c r="BS280" s="154"/>
      <c r="BT280" s="154"/>
      <c r="BU280" s="154"/>
      <c r="BV280" s="154"/>
      <c r="BW280" s="154"/>
      <c r="BX280" s="154"/>
      <c r="BY280" s="154"/>
      <c r="BZ280" s="154"/>
      <c r="CA280" s="154"/>
      <c r="CB280" s="154"/>
      <c r="CC280" s="154"/>
      <c r="CD280" s="154"/>
      <c r="CE280" s="154"/>
      <c r="CF280" s="154"/>
      <c r="CG280" s="154"/>
      <c r="CH280" s="154"/>
      <c r="CI280" s="154"/>
      <c r="CJ280" s="154"/>
      <c r="CK280" s="154"/>
      <c r="CL280" s="154"/>
      <c r="CM280" s="154"/>
      <c r="CN280" s="154"/>
      <c r="CO280" s="154"/>
      <c r="CP280" s="154"/>
      <c r="CQ280" s="154"/>
      <c r="CR280" s="154"/>
      <c r="CS280" s="154"/>
      <c r="CT280" s="154"/>
      <c r="CU280" s="154"/>
      <c r="CV280" s="154"/>
      <c r="CW280" s="154"/>
      <c r="CX280" s="154"/>
      <c r="CY280" s="154"/>
      <c r="CZ280" s="154"/>
      <c r="DA280" s="154"/>
      <c r="DB280" s="154"/>
      <c r="DC280" s="154"/>
      <c r="DD280" s="154"/>
      <c r="DE280" s="154"/>
      <c r="DF280" s="154"/>
      <c r="DG280" s="154"/>
      <c r="DH280" s="154"/>
      <c r="DI280" s="154"/>
      <c r="DJ280" s="154"/>
      <c r="DK280" s="154"/>
      <c r="DL280" s="154"/>
      <c r="DM280" s="154"/>
      <c r="DN280" s="154"/>
      <c r="DO280" s="154"/>
      <c r="DP280" s="154"/>
      <c r="DQ280" s="154"/>
      <c r="DR280" s="154"/>
      <c r="DS280" s="154"/>
      <c r="DT280" s="154"/>
      <c r="DU280" s="154"/>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row>
    <row r="281" spans="2:153" ht="12.95" customHeight="1">
      <c r="B281" s="154"/>
      <c r="C281" s="380"/>
      <c r="D281" s="380"/>
      <c r="E281" s="154"/>
      <c r="F281" s="154"/>
      <c r="G281" s="154"/>
      <c r="H281" s="154"/>
      <c r="I281" s="154"/>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367"/>
      <c r="AG281" s="368"/>
      <c r="AH281" s="368"/>
      <c r="AI281" s="368"/>
      <c r="AJ281" s="154"/>
      <c r="AK281" s="154"/>
      <c r="AL281" s="154"/>
      <c r="AM281" s="154"/>
      <c r="AN281" s="154"/>
      <c r="AO281" s="154"/>
      <c r="AP281" s="154"/>
      <c r="AQ281" s="154"/>
      <c r="AR281" s="154"/>
      <c r="AS281" s="154"/>
      <c r="AT281" s="154"/>
      <c r="AU281" s="154"/>
      <c r="AV281" s="154"/>
      <c r="AW281" s="154"/>
      <c r="AX281" s="154"/>
      <c r="AY281" s="154"/>
      <c r="AZ281" s="154"/>
      <c r="BA281" s="154"/>
      <c r="BB281" s="154"/>
      <c r="BC281" s="154"/>
      <c r="BD281" s="154"/>
      <c r="BE281" s="154"/>
      <c r="BF281" s="154"/>
      <c r="BG281" s="154"/>
      <c r="BH281" s="154"/>
      <c r="BI281" s="154"/>
      <c r="BJ281" s="154"/>
      <c r="BK281" s="154"/>
      <c r="BL281" s="154"/>
      <c r="BM281" s="154"/>
      <c r="BN281" s="154"/>
      <c r="BO281" s="154"/>
      <c r="BP281" s="154"/>
      <c r="BQ281" s="154"/>
      <c r="BR281" s="154"/>
      <c r="BS281" s="154"/>
      <c r="BT281" s="154"/>
      <c r="BU281" s="154"/>
      <c r="BV281" s="154"/>
      <c r="BW281" s="154"/>
      <c r="BX281" s="154"/>
      <c r="BY281" s="154"/>
      <c r="BZ281" s="154"/>
      <c r="CA281" s="154"/>
      <c r="CB281" s="154"/>
      <c r="CC281" s="154"/>
      <c r="CD281" s="154"/>
      <c r="CE281" s="154"/>
      <c r="CF281" s="154"/>
      <c r="CG281" s="154"/>
      <c r="CH281" s="154"/>
      <c r="CI281" s="154"/>
      <c r="CJ281" s="154"/>
      <c r="CK281" s="154"/>
      <c r="CL281" s="154"/>
      <c r="CM281" s="154"/>
      <c r="CN281" s="154"/>
      <c r="CO281" s="154"/>
      <c r="CP281" s="154"/>
      <c r="CQ281" s="154"/>
      <c r="CR281" s="154"/>
      <c r="CS281" s="154"/>
      <c r="CT281" s="154"/>
      <c r="CU281" s="154"/>
      <c r="CV281" s="154"/>
      <c r="CW281" s="154"/>
      <c r="CX281" s="154"/>
      <c r="CY281" s="154"/>
      <c r="CZ281" s="154"/>
      <c r="DA281" s="154"/>
      <c r="DB281" s="154"/>
      <c r="DC281" s="154"/>
      <c r="DD281" s="154"/>
      <c r="DE281" s="154"/>
      <c r="DF281" s="154"/>
      <c r="DG281" s="154"/>
      <c r="DH281" s="154"/>
      <c r="DI281" s="154"/>
      <c r="DJ281" s="154"/>
      <c r="DK281" s="154"/>
      <c r="DL281" s="154"/>
      <c r="DM281" s="154"/>
      <c r="DN281" s="154"/>
      <c r="DO281" s="154"/>
      <c r="DP281" s="154"/>
      <c r="DQ281" s="154"/>
      <c r="DR281" s="154"/>
      <c r="DS281" s="154"/>
      <c r="DT281" s="154"/>
      <c r="DU281" s="154"/>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row>
    <row r="282" spans="2:153" ht="12.95" customHeight="1">
      <c r="B282" s="154"/>
      <c r="C282" s="380"/>
      <c r="D282" s="380"/>
      <c r="E282" s="154"/>
      <c r="F282" s="154"/>
      <c r="G282" s="154"/>
      <c r="H282" s="154"/>
      <c r="I282" s="154"/>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367"/>
      <c r="AG282" s="368"/>
      <c r="AH282" s="368"/>
      <c r="AI282" s="368"/>
      <c r="AJ282" s="154"/>
      <c r="AK282" s="154"/>
      <c r="AL282" s="154"/>
      <c r="AM282" s="154"/>
      <c r="AN282" s="154"/>
      <c r="AO282" s="154"/>
      <c r="AP282" s="154"/>
      <c r="AQ282" s="154"/>
      <c r="AR282" s="154"/>
      <c r="AS282" s="154"/>
      <c r="AT282" s="154"/>
      <c r="AU282" s="154"/>
      <c r="AV282" s="154"/>
      <c r="AW282" s="154"/>
      <c r="AX282" s="154"/>
      <c r="AY282" s="154"/>
      <c r="AZ282" s="154"/>
      <c r="BA282" s="154"/>
      <c r="BB282" s="154"/>
      <c r="BC282" s="154"/>
      <c r="BD282" s="154"/>
      <c r="BE282" s="154"/>
      <c r="BF282" s="154"/>
      <c r="BG282" s="154"/>
      <c r="BH282" s="154"/>
      <c r="BI282" s="154"/>
      <c r="BJ282" s="154"/>
      <c r="BK282" s="154"/>
      <c r="BL282" s="154"/>
      <c r="BM282" s="154"/>
      <c r="BN282" s="154"/>
      <c r="BO282" s="154"/>
      <c r="BP282" s="154"/>
      <c r="BQ282" s="154"/>
      <c r="BR282" s="154"/>
      <c r="BS282" s="154"/>
      <c r="BT282" s="154"/>
      <c r="BU282" s="154"/>
      <c r="BV282" s="154"/>
      <c r="BW282" s="154"/>
      <c r="BX282" s="154"/>
      <c r="BY282" s="154"/>
      <c r="BZ282" s="154"/>
      <c r="CA282" s="154"/>
      <c r="CB282" s="154"/>
      <c r="CC282" s="154"/>
      <c r="CD282" s="154"/>
      <c r="CE282" s="154"/>
      <c r="CF282" s="154"/>
      <c r="CG282" s="154"/>
      <c r="CH282" s="154"/>
      <c r="CI282" s="154"/>
      <c r="CJ282" s="154"/>
      <c r="CK282" s="154"/>
      <c r="CL282" s="154"/>
      <c r="CM282" s="154"/>
      <c r="CN282" s="154"/>
      <c r="CO282" s="154"/>
      <c r="CP282" s="154"/>
      <c r="CQ282" s="154"/>
      <c r="CR282" s="154"/>
      <c r="CS282" s="154"/>
      <c r="CT282" s="154"/>
      <c r="CU282" s="154"/>
      <c r="CV282" s="154"/>
      <c r="CW282" s="154"/>
      <c r="CX282" s="154"/>
      <c r="CY282" s="154"/>
      <c r="CZ282" s="154"/>
      <c r="DA282" s="154"/>
      <c r="DB282" s="154"/>
      <c r="DC282" s="154"/>
      <c r="DD282" s="154"/>
      <c r="DE282" s="154"/>
      <c r="DF282" s="154"/>
      <c r="DG282" s="154"/>
      <c r="DH282" s="154"/>
      <c r="DI282" s="154"/>
      <c r="DJ282" s="154"/>
      <c r="DK282" s="154"/>
      <c r="DL282" s="154"/>
      <c r="DM282" s="154"/>
      <c r="DN282" s="154"/>
      <c r="DO282" s="154"/>
      <c r="DP282" s="154"/>
      <c r="DQ282" s="154"/>
      <c r="DR282" s="154"/>
      <c r="DS282" s="154"/>
      <c r="DT282" s="154"/>
      <c r="DU282" s="154"/>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row>
    <row r="283" spans="2:153" ht="12.95" customHeight="1">
      <c r="P283" s="154"/>
      <c r="Q283" s="154"/>
      <c r="R283" s="154"/>
      <c r="S283" s="154"/>
      <c r="T283" s="154"/>
      <c r="U283" s="154"/>
      <c r="V283" s="154"/>
      <c r="W283" s="154"/>
      <c r="X283" s="154"/>
      <c r="Y283" s="154"/>
      <c r="Z283" s="154"/>
      <c r="AA283" s="154"/>
      <c r="AB283" s="154"/>
      <c r="AC283" s="154"/>
      <c r="AD283" s="154"/>
      <c r="AE283" s="154"/>
      <c r="AF283" s="367"/>
      <c r="AG283" s="368"/>
      <c r="AH283" s="368"/>
      <c r="AI283" s="368"/>
      <c r="AJ283" s="154"/>
      <c r="AK283" s="154"/>
      <c r="AL283" s="154"/>
      <c r="AM283" s="154"/>
      <c r="AN283" s="154"/>
      <c r="AO283" s="154"/>
      <c r="AP283" s="154"/>
      <c r="AQ283" s="154"/>
      <c r="AR283" s="154"/>
      <c r="AS283" s="154"/>
      <c r="AT283" s="154"/>
      <c r="AU283" s="154"/>
      <c r="AV283" s="154"/>
      <c r="AW283" s="154"/>
      <c r="AX283" s="154"/>
      <c r="AY283" s="154"/>
      <c r="AZ283" s="154"/>
      <c r="BA283" s="154"/>
      <c r="BB283" s="154"/>
      <c r="BC283" s="154"/>
      <c r="BD283" s="154"/>
      <c r="BE283" s="154"/>
      <c r="BF283" s="154"/>
      <c r="BG283" s="154"/>
      <c r="BH283" s="154"/>
      <c r="BI283" s="154"/>
      <c r="BJ283" s="154"/>
      <c r="BK283" s="154"/>
      <c r="BL283" s="154"/>
      <c r="BM283" s="154"/>
      <c r="BN283" s="154"/>
      <c r="BO283" s="154"/>
      <c r="BP283" s="154"/>
      <c r="BQ283" s="154"/>
      <c r="BR283" s="154"/>
      <c r="BS283" s="154"/>
      <c r="BT283" s="154"/>
      <c r="BU283" s="154"/>
      <c r="BV283" s="154"/>
      <c r="BW283" s="154"/>
      <c r="BX283" s="154"/>
      <c r="BY283" s="154"/>
      <c r="BZ283" s="154"/>
      <c r="CA283" s="154"/>
      <c r="CB283" s="154"/>
      <c r="CC283" s="154"/>
      <c r="CD283" s="154"/>
      <c r="CE283" s="154"/>
      <c r="CF283" s="154"/>
      <c r="CG283" s="154"/>
      <c r="CH283" s="154"/>
      <c r="CI283" s="154"/>
      <c r="CJ283" s="154"/>
      <c r="CK283" s="154"/>
      <c r="CL283" s="154"/>
      <c r="CM283" s="154"/>
      <c r="CN283" s="154"/>
      <c r="CO283" s="154"/>
      <c r="CP283" s="154"/>
      <c r="CQ283" s="154"/>
      <c r="CR283" s="154"/>
      <c r="CS283" s="154"/>
      <c r="CT283" s="154"/>
      <c r="CU283" s="154"/>
      <c r="CV283" s="154"/>
      <c r="CW283" s="154"/>
      <c r="CX283" s="154"/>
      <c r="CY283" s="154"/>
      <c r="CZ283" s="154"/>
      <c r="DA283" s="154"/>
      <c r="DB283" s="154"/>
      <c r="DC283" s="154"/>
      <c r="DD283" s="154"/>
      <c r="DE283" s="154"/>
      <c r="DF283" s="154"/>
      <c r="DG283" s="154"/>
      <c r="DH283" s="154"/>
      <c r="DI283" s="154"/>
      <c r="DJ283" s="154"/>
      <c r="DK283" s="154"/>
      <c r="DL283" s="154"/>
      <c r="DM283" s="154"/>
      <c r="DN283" s="154"/>
      <c r="DO283" s="154"/>
      <c r="DP283" s="154"/>
      <c r="DQ283" s="154"/>
      <c r="DR283" s="154"/>
      <c r="DS283" s="154"/>
      <c r="DT283" s="154"/>
      <c r="DU283" s="154"/>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row>
    <row r="284" spans="2:153" ht="12.95" customHeight="1">
      <c r="P284" s="154"/>
      <c r="Q284" s="154"/>
      <c r="R284" s="154"/>
      <c r="S284" s="154"/>
      <c r="T284" s="154"/>
      <c r="U284" s="154"/>
      <c r="V284" s="154"/>
      <c r="W284" s="154"/>
      <c r="X284" s="154"/>
      <c r="Y284" s="154"/>
      <c r="Z284" s="154"/>
      <c r="AA284" s="154"/>
      <c r="AB284" s="154"/>
      <c r="AC284" s="154"/>
      <c r="AD284" s="154"/>
      <c r="AE284" s="154"/>
      <c r="AF284" s="367"/>
      <c r="AG284" s="368"/>
      <c r="AH284" s="368"/>
      <c r="AI284" s="368"/>
      <c r="AJ284" s="154"/>
      <c r="AK284" s="154"/>
      <c r="AL284" s="154"/>
      <c r="AM284" s="154"/>
      <c r="AN284" s="154"/>
      <c r="AO284" s="154"/>
      <c r="AP284" s="154"/>
      <c r="AQ284" s="154"/>
      <c r="AR284" s="154"/>
      <c r="AS284" s="154"/>
      <c r="AT284" s="154"/>
      <c r="AU284" s="154"/>
      <c r="AV284" s="154"/>
      <c r="AW284" s="154"/>
      <c r="AX284" s="154"/>
      <c r="AY284" s="154"/>
      <c r="AZ284" s="154"/>
      <c r="BA284" s="154"/>
      <c r="BB284" s="154"/>
      <c r="BC284" s="154"/>
      <c r="BD284" s="154"/>
      <c r="BE284" s="154"/>
      <c r="BF284" s="154"/>
      <c r="BG284" s="154"/>
      <c r="BH284" s="154"/>
      <c r="BI284" s="154"/>
      <c r="BJ284" s="154"/>
      <c r="BK284" s="154"/>
      <c r="BL284" s="154"/>
      <c r="BM284" s="154"/>
      <c r="BN284" s="154"/>
      <c r="BO284" s="154"/>
      <c r="BP284" s="154"/>
      <c r="BQ284" s="154"/>
      <c r="BR284" s="154"/>
      <c r="BS284" s="154"/>
      <c r="BT284" s="154"/>
      <c r="BU284" s="154"/>
      <c r="BV284" s="154"/>
      <c r="BW284" s="154"/>
      <c r="BX284" s="154"/>
      <c r="BY284" s="154"/>
      <c r="BZ284" s="154"/>
      <c r="CA284" s="154"/>
      <c r="CB284" s="154"/>
      <c r="CC284" s="154"/>
      <c r="CD284" s="154"/>
      <c r="CE284" s="154"/>
      <c r="CF284" s="154"/>
      <c r="CG284" s="154"/>
      <c r="CH284" s="154"/>
      <c r="CI284" s="154"/>
      <c r="CJ284" s="154"/>
      <c r="CK284" s="154"/>
      <c r="CL284" s="154"/>
      <c r="CM284" s="154"/>
      <c r="CN284" s="154"/>
      <c r="CO284" s="154"/>
      <c r="CP284" s="154"/>
      <c r="CQ284" s="154"/>
      <c r="CR284" s="154"/>
      <c r="CS284" s="154"/>
      <c r="CT284" s="154"/>
      <c r="CU284" s="154"/>
      <c r="CV284" s="154"/>
      <c r="CW284" s="154"/>
      <c r="CX284" s="154"/>
      <c r="CY284" s="154"/>
      <c r="CZ284" s="154"/>
      <c r="DA284" s="154"/>
      <c r="DB284" s="154"/>
      <c r="DC284" s="154"/>
      <c r="DD284" s="154"/>
      <c r="DE284" s="154"/>
      <c r="DF284" s="154"/>
      <c r="DG284" s="154"/>
      <c r="DH284" s="154"/>
      <c r="DI284" s="154"/>
      <c r="DJ284" s="154"/>
      <c r="DK284" s="154"/>
      <c r="DL284" s="154"/>
      <c r="DM284" s="154"/>
      <c r="DN284" s="154"/>
      <c r="DO284" s="154"/>
      <c r="DP284" s="154"/>
      <c r="DQ284" s="154"/>
      <c r="DR284" s="154"/>
      <c r="DS284" s="154"/>
      <c r="DT284" s="154"/>
      <c r="DU284" s="154"/>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row>
    <row r="285" spans="2:153" ht="12.95" customHeight="1">
      <c r="P285" s="154"/>
      <c r="Q285" s="154"/>
      <c r="R285" s="154"/>
      <c r="S285" s="154"/>
      <c r="T285" s="154"/>
      <c r="U285" s="154"/>
      <c r="V285" s="154"/>
      <c r="W285" s="154"/>
      <c r="X285" s="154"/>
      <c r="Y285" s="154"/>
      <c r="Z285" s="154"/>
      <c r="AA285" s="154"/>
      <c r="AB285" s="154"/>
      <c r="AC285" s="154"/>
      <c r="AD285" s="154"/>
      <c r="AE285" s="154"/>
      <c r="AF285" s="367"/>
      <c r="AG285" s="368"/>
      <c r="AH285" s="368"/>
      <c r="AI285" s="368"/>
      <c r="AJ285" s="154"/>
      <c r="AK285" s="154"/>
      <c r="AL285" s="154"/>
      <c r="AM285" s="154"/>
      <c r="AN285" s="154"/>
      <c r="AO285" s="154"/>
      <c r="AP285" s="154"/>
      <c r="AQ285" s="154"/>
      <c r="AR285" s="154"/>
      <c r="AS285" s="154"/>
      <c r="AT285" s="154"/>
      <c r="AU285" s="154"/>
      <c r="AV285" s="154"/>
      <c r="AW285" s="154"/>
      <c r="AX285" s="154"/>
      <c r="AY285" s="154"/>
      <c r="AZ285" s="154"/>
      <c r="BA285" s="154"/>
      <c r="BB285" s="154"/>
      <c r="BC285" s="154"/>
      <c r="BD285" s="154"/>
      <c r="BE285" s="154"/>
      <c r="BF285" s="154"/>
      <c r="BG285" s="154"/>
      <c r="BH285" s="154"/>
      <c r="BI285" s="154"/>
      <c r="BJ285" s="154"/>
      <c r="BK285" s="154"/>
      <c r="BL285" s="154"/>
      <c r="BM285" s="154"/>
      <c r="BN285" s="154"/>
      <c r="BO285" s="154"/>
      <c r="BP285" s="154"/>
      <c r="BQ285" s="154"/>
      <c r="BR285" s="154"/>
      <c r="BS285" s="154"/>
      <c r="BT285" s="154"/>
      <c r="BU285" s="154"/>
      <c r="BV285" s="154"/>
      <c r="BW285" s="154"/>
      <c r="BX285" s="154"/>
      <c r="BY285" s="154"/>
      <c r="BZ285" s="154"/>
      <c r="CA285" s="154"/>
      <c r="CB285" s="154"/>
      <c r="CC285" s="154"/>
      <c r="CD285" s="154"/>
      <c r="CE285" s="154"/>
      <c r="CF285" s="154"/>
      <c r="CG285" s="154"/>
      <c r="CH285" s="154"/>
      <c r="CI285" s="154"/>
      <c r="CJ285" s="154"/>
      <c r="CK285" s="154"/>
      <c r="CL285" s="154"/>
      <c r="CM285" s="154"/>
      <c r="CN285" s="154"/>
      <c r="CO285" s="154"/>
      <c r="CP285" s="154"/>
      <c r="CQ285" s="154"/>
      <c r="CR285" s="154"/>
      <c r="CS285" s="154"/>
      <c r="CT285" s="154"/>
      <c r="CU285" s="154"/>
      <c r="CV285" s="154"/>
      <c r="CW285" s="154"/>
      <c r="CX285" s="154"/>
      <c r="CY285" s="154"/>
      <c r="CZ285" s="154"/>
      <c r="DA285" s="154"/>
      <c r="DB285" s="154"/>
      <c r="DC285" s="154"/>
      <c r="DD285" s="154"/>
      <c r="DE285" s="154"/>
      <c r="DF285" s="154"/>
      <c r="DG285" s="154"/>
      <c r="DH285" s="154"/>
      <c r="DI285" s="154"/>
      <c r="DJ285" s="154"/>
      <c r="DK285" s="154"/>
      <c r="DL285" s="154"/>
      <c r="DM285" s="154"/>
      <c r="DN285" s="154"/>
      <c r="DO285" s="154"/>
      <c r="DP285" s="154"/>
      <c r="DQ285" s="154"/>
      <c r="DR285" s="154"/>
      <c r="DS285" s="154"/>
      <c r="DT285" s="154"/>
      <c r="DU285" s="154"/>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row>
    <row r="286" spans="2:153" ht="12.95" customHeight="1">
      <c r="P286" s="154"/>
      <c r="Q286" s="154"/>
      <c r="R286" s="154"/>
      <c r="S286" s="154"/>
      <c r="T286" s="154"/>
      <c r="U286" s="154"/>
      <c r="V286" s="154"/>
      <c r="W286" s="154"/>
      <c r="X286" s="154"/>
      <c r="Y286" s="154"/>
      <c r="Z286" s="154"/>
      <c r="AA286" s="154"/>
      <c r="AB286" s="154"/>
      <c r="AC286" s="154"/>
      <c r="AD286" s="154"/>
      <c r="AE286" s="154"/>
      <c r="AF286" s="367"/>
      <c r="AG286" s="368"/>
      <c r="AH286" s="368"/>
      <c r="AI286" s="368"/>
      <c r="AJ286" s="154"/>
      <c r="AK286" s="154"/>
      <c r="AL286" s="154"/>
      <c r="AM286" s="154"/>
      <c r="AN286" s="154"/>
      <c r="AO286" s="154"/>
      <c r="AP286" s="154"/>
      <c r="AQ286" s="154"/>
      <c r="AR286" s="154"/>
      <c r="AS286" s="154"/>
      <c r="AT286" s="154"/>
      <c r="AU286" s="154"/>
      <c r="AV286" s="154"/>
      <c r="AW286" s="154"/>
      <c r="AX286" s="154"/>
      <c r="AY286" s="154"/>
      <c r="AZ286" s="154"/>
      <c r="BA286" s="154"/>
      <c r="BB286" s="154"/>
      <c r="BC286" s="154"/>
      <c r="BD286" s="154"/>
      <c r="BE286" s="154"/>
      <c r="BF286" s="154"/>
      <c r="BG286" s="154"/>
      <c r="BH286" s="154"/>
      <c r="BI286" s="154"/>
      <c r="BJ286" s="154"/>
      <c r="BK286" s="154"/>
      <c r="BL286" s="154"/>
      <c r="BM286" s="154"/>
      <c r="BN286" s="154"/>
      <c r="BO286" s="154"/>
      <c r="BP286" s="154"/>
      <c r="BQ286" s="154"/>
      <c r="BR286" s="154"/>
      <c r="BS286" s="154"/>
      <c r="BT286" s="154"/>
      <c r="BU286" s="154"/>
      <c r="BV286" s="154"/>
      <c r="BW286" s="154"/>
      <c r="BX286" s="154"/>
      <c r="BY286" s="154"/>
      <c r="BZ286" s="154"/>
      <c r="CA286" s="154"/>
      <c r="CB286" s="154"/>
      <c r="CC286" s="154"/>
      <c r="CD286" s="154"/>
      <c r="CE286" s="154"/>
      <c r="CF286" s="154"/>
      <c r="CG286" s="154"/>
      <c r="CH286" s="154"/>
      <c r="CI286" s="154"/>
      <c r="CJ286" s="154"/>
      <c r="CK286" s="154"/>
      <c r="CL286" s="154"/>
      <c r="CM286" s="154"/>
      <c r="CN286" s="154"/>
      <c r="CO286" s="154"/>
      <c r="CP286" s="154"/>
      <c r="CQ286" s="154"/>
      <c r="CR286" s="154"/>
      <c r="CS286" s="154"/>
      <c r="CT286" s="154"/>
      <c r="CU286" s="154"/>
      <c r="CV286" s="154"/>
      <c r="CW286" s="154"/>
      <c r="CX286" s="154"/>
      <c r="CY286" s="154"/>
      <c r="CZ286" s="154"/>
      <c r="DA286" s="154"/>
      <c r="DB286" s="154"/>
      <c r="DC286" s="154"/>
      <c r="DD286" s="154"/>
      <c r="DE286" s="154"/>
      <c r="DF286" s="154"/>
      <c r="DG286" s="154"/>
      <c r="DH286" s="154"/>
      <c r="DI286" s="154"/>
      <c r="DJ286" s="154"/>
      <c r="DK286" s="154"/>
      <c r="DL286" s="154"/>
      <c r="DM286" s="154"/>
      <c r="DN286" s="154"/>
      <c r="DO286" s="154"/>
      <c r="DP286" s="154"/>
      <c r="DQ286" s="154"/>
      <c r="DR286" s="154"/>
      <c r="DS286" s="154"/>
      <c r="DT286" s="154"/>
      <c r="DU286" s="154"/>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row>
    <row r="287" spans="2:153" ht="12.95" customHeight="1">
      <c r="P287" s="154"/>
      <c r="Q287" s="154"/>
      <c r="R287" s="154"/>
      <c r="S287" s="154"/>
      <c r="T287" s="154"/>
      <c r="U287" s="154"/>
      <c r="V287" s="154"/>
      <c r="W287" s="154"/>
      <c r="X287" s="154"/>
      <c r="Y287" s="154"/>
      <c r="Z287" s="154"/>
      <c r="AA287" s="154"/>
      <c r="AB287" s="154"/>
      <c r="AC287" s="154"/>
      <c r="AD287" s="154"/>
      <c r="AE287" s="154"/>
      <c r="AF287" s="367"/>
      <c r="AG287" s="368"/>
      <c r="AH287" s="368"/>
      <c r="AI287" s="368"/>
      <c r="AJ287" s="154"/>
      <c r="AK287" s="154"/>
      <c r="AL287" s="154"/>
      <c r="AM287" s="154"/>
      <c r="AN287" s="154"/>
      <c r="AO287" s="154"/>
      <c r="AP287" s="154"/>
      <c r="AQ287" s="154"/>
      <c r="AR287" s="154"/>
      <c r="AS287" s="154"/>
      <c r="AT287" s="154"/>
      <c r="AU287" s="154"/>
      <c r="AV287" s="154"/>
      <c r="AW287" s="154"/>
      <c r="AX287" s="154"/>
      <c r="AY287" s="154"/>
      <c r="AZ287" s="154"/>
      <c r="BA287" s="154"/>
      <c r="BB287" s="154"/>
      <c r="BC287" s="154"/>
      <c r="BD287" s="154"/>
      <c r="BE287" s="154"/>
      <c r="BF287" s="154"/>
      <c r="BG287" s="154"/>
      <c r="BH287" s="154"/>
      <c r="BI287" s="154"/>
      <c r="BJ287" s="154"/>
      <c r="BK287" s="154"/>
      <c r="BL287" s="154"/>
      <c r="BM287" s="154"/>
      <c r="BN287" s="154"/>
      <c r="BO287" s="154"/>
      <c r="BP287" s="154"/>
      <c r="BQ287" s="154"/>
      <c r="BR287" s="154"/>
      <c r="BS287" s="154"/>
      <c r="BT287" s="154"/>
      <c r="BU287" s="154"/>
      <c r="BV287" s="154"/>
      <c r="BW287" s="154"/>
      <c r="BX287" s="154"/>
      <c r="BY287" s="154"/>
      <c r="BZ287" s="154"/>
      <c r="CA287" s="154"/>
      <c r="CB287" s="154"/>
      <c r="CC287" s="154"/>
      <c r="CD287" s="154"/>
      <c r="CE287" s="154"/>
      <c r="CF287" s="154"/>
      <c r="CG287" s="154"/>
      <c r="CH287" s="154"/>
      <c r="CI287" s="154"/>
      <c r="CJ287" s="154"/>
      <c r="CK287" s="154"/>
      <c r="CL287" s="154"/>
      <c r="CM287" s="154"/>
      <c r="CN287" s="154"/>
      <c r="CO287" s="154"/>
      <c r="CP287" s="154"/>
      <c r="CQ287" s="154"/>
      <c r="CR287" s="154"/>
      <c r="CS287" s="154"/>
      <c r="CT287" s="154"/>
      <c r="CU287" s="154"/>
      <c r="CV287" s="154"/>
      <c r="CW287" s="154"/>
      <c r="CX287" s="154"/>
      <c r="CY287" s="154"/>
      <c r="CZ287" s="154"/>
      <c r="DA287" s="154"/>
      <c r="DB287" s="154"/>
      <c r="DC287" s="154"/>
      <c r="DD287" s="154"/>
      <c r="DE287" s="154"/>
      <c r="DF287" s="154"/>
      <c r="DG287" s="154"/>
      <c r="DH287" s="154"/>
      <c r="DI287" s="154"/>
      <c r="DJ287" s="154"/>
      <c r="DK287" s="154"/>
      <c r="DL287" s="154"/>
      <c r="DM287" s="154"/>
      <c r="DN287" s="154"/>
      <c r="DO287" s="154"/>
      <c r="DP287" s="154"/>
      <c r="DQ287" s="154"/>
      <c r="DR287" s="154"/>
      <c r="DS287" s="154"/>
      <c r="DT287" s="154"/>
      <c r="DU287" s="154"/>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row>
    <row r="288" spans="2:153" ht="12.95" customHeight="1">
      <c r="P288" s="154"/>
      <c r="Q288" s="154"/>
      <c r="R288" s="154"/>
      <c r="S288" s="154"/>
      <c r="T288" s="154"/>
      <c r="U288" s="154"/>
      <c r="V288" s="154"/>
      <c r="W288" s="154"/>
      <c r="X288" s="154"/>
      <c r="Y288" s="154"/>
      <c r="Z288" s="154"/>
      <c r="AA288" s="154"/>
      <c r="AB288" s="154"/>
      <c r="AC288" s="154"/>
      <c r="AD288" s="154"/>
      <c r="AE288" s="154"/>
      <c r="AF288" s="367"/>
      <c r="AG288" s="368"/>
      <c r="AH288" s="368"/>
      <c r="AI288" s="368"/>
      <c r="AJ288" s="154"/>
      <c r="AK288" s="154"/>
      <c r="AL288" s="154"/>
      <c r="AM288" s="154"/>
      <c r="AN288" s="154"/>
      <c r="AO288" s="154"/>
      <c r="AP288" s="154"/>
      <c r="AQ288" s="154"/>
      <c r="AR288" s="154"/>
      <c r="AS288" s="154"/>
      <c r="AT288" s="154"/>
      <c r="AU288" s="154"/>
      <c r="AV288" s="154"/>
      <c r="AW288" s="154"/>
      <c r="AX288" s="154"/>
      <c r="AY288" s="154"/>
      <c r="AZ288" s="154"/>
      <c r="BA288" s="154"/>
      <c r="BB288" s="154"/>
      <c r="BC288" s="154"/>
      <c r="BD288" s="154"/>
      <c r="BE288" s="154"/>
      <c r="BF288" s="154"/>
      <c r="BG288" s="154"/>
      <c r="BH288" s="154"/>
      <c r="BI288" s="154"/>
      <c r="BJ288" s="154"/>
      <c r="BK288" s="154"/>
      <c r="BL288" s="154"/>
      <c r="BM288" s="154"/>
      <c r="BN288" s="154"/>
      <c r="BO288" s="154"/>
      <c r="BP288" s="154"/>
      <c r="BQ288" s="154"/>
      <c r="BR288" s="154"/>
      <c r="BS288" s="154"/>
      <c r="BT288" s="154"/>
      <c r="BU288" s="154"/>
      <c r="BV288" s="154"/>
      <c r="BW288" s="154"/>
      <c r="BX288" s="154"/>
      <c r="BY288" s="154"/>
      <c r="BZ288" s="154"/>
      <c r="CA288" s="154"/>
      <c r="CB288" s="154"/>
      <c r="CC288" s="154"/>
      <c r="CD288" s="154"/>
      <c r="CE288" s="154"/>
      <c r="CF288" s="154"/>
      <c r="CG288" s="154"/>
      <c r="CH288" s="154"/>
      <c r="CI288" s="154"/>
      <c r="CJ288" s="154"/>
      <c r="CK288" s="154"/>
      <c r="CL288" s="154"/>
      <c r="CM288" s="154"/>
      <c r="CN288" s="154"/>
      <c r="CO288" s="154"/>
      <c r="CP288" s="154"/>
      <c r="CQ288" s="154"/>
      <c r="CR288" s="154"/>
      <c r="CS288" s="154"/>
      <c r="CT288" s="154"/>
      <c r="CU288" s="154"/>
      <c r="CV288" s="154"/>
      <c r="CW288" s="154"/>
      <c r="CX288" s="154"/>
      <c r="CY288" s="154"/>
      <c r="CZ288" s="154"/>
      <c r="DA288" s="154"/>
      <c r="DB288" s="154"/>
      <c r="DC288" s="154"/>
      <c r="DD288" s="154"/>
      <c r="DE288" s="154"/>
      <c r="DF288" s="154"/>
      <c r="DG288" s="154"/>
      <c r="DH288" s="154"/>
      <c r="DI288" s="154"/>
      <c r="DJ288" s="154"/>
      <c r="DK288" s="154"/>
      <c r="DL288" s="154"/>
      <c r="DM288" s="154"/>
      <c r="DN288" s="154"/>
      <c r="DO288" s="154"/>
      <c r="DP288" s="154"/>
      <c r="DQ288" s="154"/>
      <c r="DR288" s="154"/>
      <c r="DS288" s="154"/>
      <c r="DT288" s="154"/>
      <c r="DU288" s="154"/>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row>
    <row r="289" spans="16:153" ht="12.95" customHeight="1">
      <c r="P289" s="154"/>
      <c r="Q289" s="154"/>
      <c r="R289" s="154"/>
      <c r="S289" s="154"/>
      <c r="T289" s="154"/>
      <c r="U289" s="154"/>
      <c r="V289" s="154"/>
      <c r="W289" s="154"/>
      <c r="X289" s="154"/>
      <c r="Y289" s="154"/>
      <c r="Z289" s="154"/>
      <c r="AA289" s="154"/>
      <c r="AB289" s="154"/>
      <c r="AC289" s="154"/>
      <c r="AD289" s="154"/>
      <c r="AE289" s="154"/>
      <c r="AF289" s="367"/>
      <c r="AG289" s="368"/>
      <c r="AH289" s="368"/>
      <c r="AI289" s="368"/>
      <c r="AJ289" s="154"/>
      <c r="AK289" s="154"/>
      <c r="AL289" s="154"/>
      <c r="AM289" s="154"/>
      <c r="AN289" s="154"/>
      <c r="AO289" s="154"/>
      <c r="AP289" s="154"/>
      <c r="AQ289" s="154"/>
      <c r="AR289" s="154"/>
      <c r="AS289" s="154"/>
      <c r="AT289" s="154"/>
      <c r="AU289" s="154"/>
      <c r="AV289" s="154"/>
      <c r="AW289" s="154"/>
      <c r="AX289" s="154"/>
      <c r="AY289" s="154"/>
      <c r="AZ289" s="154"/>
      <c r="BA289" s="154"/>
      <c r="BB289" s="154"/>
      <c r="BC289" s="154"/>
      <c r="BD289" s="154"/>
      <c r="BE289" s="154"/>
      <c r="BF289" s="154"/>
      <c r="BG289" s="154"/>
      <c r="BH289" s="154"/>
      <c r="BI289" s="154"/>
      <c r="BJ289" s="154"/>
      <c r="BK289" s="154"/>
      <c r="BL289" s="154"/>
      <c r="BM289" s="154"/>
      <c r="BN289" s="154"/>
      <c r="BO289" s="154"/>
      <c r="BP289" s="154"/>
      <c r="BQ289" s="154"/>
      <c r="BR289" s="154"/>
      <c r="BS289" s="154"/>
      <c r="BT289" s="154"/>
      <c r="BU289" s="154"/>
      <c r="BV289" s="154"/>
      <c r="BW289" s="154"/>
      <c r="BX289" s="154"/>
      <c r="BY289" s="154"/>
      <c r="BZ289" s="154"/>
      <c r="CA289" s="154"/>
      <c r="CB289" s="154"/>
      <c r="CC289" s="154"/>
      <c r="CD289" s="154"/>
      <c r="CE289" s="154"/>
      <c r="CF289" s="154"/>
      <c r="CG289" s="154"/>
      <c r="CH289" s="154"/>
      <c r="CI289" s="154"/>
      <c r="CJ289" s="154"/>
      <c r="CK289" s="154"/>
      <c r="CL289" s="154"/>
      <c r="CM289" s="154"/>
      <c r="CN289" s="154"/>
      <c r="CO289" s="154"/>
      <c r="CP289" s="154"/>
      <c r="CQ289" s="154"/>
      <c r="CR289" s="154"/>
      <c r="CS289" s="154"/>
      <c r="CT289" s="154"/>
      <c r="CU289" s="154"/>
      <c r="CV289" s="154"/>
      <c r="CW289" s="154"/>
      <c r="CX289" s="154"/>
      <c r="CY289" s="154"/>
      <c r="CZ289" s="154"/>
      <c r="DA289" s="154"/>
      <c r="DB289" s="154"/>
      <c r="DC289" s="154"/>
      <c r="DD289" s="154"/>
      <c r="DE289" s="154"/>
      <c r="DF289" s="154"/>
      <c r="DG289" s="154"/>
      <c r="DH289" s="154"/>
      <c r="DI289" s="154"/>
      <c r="DJ289" s="154"/>
      <c r="DK289" s="154"/>
      <c r="DL289" s="154"/>
      <c r="DM289" s="154"/>
      <c r="DN289" s="154"/>
      <c r="DO289" s="154"/>
      <c r="DP289" s="154"/>
      <c r="DQ289" s="154"/>
      <c r="DR289" s="154"/>
      <c r="DS289" s="154"/>
      <c r="DT289" s="154"/>
      <c r="DU289" s="154"/>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row>
    <row r="290" spans="16:153" ht="12.95" customHeight="1">
      <c r="P290" s="154"/>
      <c r="Q290" s="154"/>
      <c r="R290" s="154"/>
      <c r="S290" s="154"/>
      <c r="T290" s="154"/>
      <c r="U290" s="154"/>
      <c r="V290" s="154"/>
      <c r="W290" s="154"/>
      <c r="X290" s="154"/>
      <c r="Y290" s="154"/>
      <c r="Z290" s="154"/>
      <c r="AA290" s="154"/>
      <c r="AB290" s="154"/>
      <c r="AC290" s="154"/>
      <c r="AD290" s="154"/>
      <c r="AE290" s="154"/>
      <c r="AF290" s="367"/>
      <c r="AG290" s="368"/>
      <c r="AH290" s="368"/>
      <c r="AI290" s="368"/>
      <c r="AJ290" s="154"/>
      <c r="AK290" s="154"/>
      <c r="AL290" s="154"/>
      <c r="AM290" s="154"/>
      <c r="AN290" s="154"/>
      <c r="AO290" s="154"/>
      <c r="AP290" s="154"/>
      <c r="AQ290" s="154"/>
      <c r="AR290" s="154"/>
      <c r="AS290" s="154"/>
      <c r="AT290" s="154"/>
      <c r="AU290" s="154"/>
      <c r="AV290" s="154"/>
      <c r="AW290" s="154"/>
      <c r="AX290" s="154"/>
      <c r="AY290" s="154"/>
      <c r="AZ290" s="154"/>
      <c r="BA290" s="154"/>
      <c r="BB290" s="154"/>
      <c r="BC290" s="154"/>
      <c r="BD290" s="154"/>
      <c r="BE290" s="154"/>
      <c r="BF290" s="154"/>
      <c r="BG290" s="154"/>
      <c r="BH290" s="154"/>
      <c r="BI290" s="154"/>
      <c r="BJ290" s="154"/>
      <c r="BK290" s="154"/>
      <c r="BL290" s="154"/>
      <c r="BM290" s="154"/>
      <c r="BN290" s="154"/>
      <c r="BO290" s="154"/>
      <c r="BP290" s="154"/>
      <c r="BQ290" s="154"/>
      <c r="BR290" s="154"/>
      <c r="BS290" s="154"/>
      <c r="BT290" s="154"/>
      <c r="BU290" s="154"/>
      <c r="BV290" s="154"/>
      <c r="BW290" s="154"/>
      <c r="BX290" s="154"/>
      <c r="BY290" s="154"/>
      <c r="BZ290" s="154"/>
      <c r="CA290" s="154"/>
      <c r="CB290" s="154"/>
      <c r="CC290" s="154"/>
      <c r="CD290" s="154"/>
      <c r="CE290" s="154"/>
      <c r="CF290" s="154"/>
      <c r="CG290" s="154"/>
      <c r="CH290" s="154"/>
      <c r="CI290" s="154"/>
      <c r="CJ290" s="154"/>
      <c r="CK290" s="154"/>
      <c r="CL290" s="154"/>
      <c r="CM290" s="154"/>
      <c r="CN290" s="154"/>
      <c r="CO290" s="154"/>
      <c r="CP290" s="154"/>
      <c r="CQ290" s="154"/>
      <c r="CR290" s="154"/>
      <c r="CS290" s="154"/>
      <c r="CT290" s="154"/>
      <c r="CU290" s="154"/>
      <c r="CV290" s="154"/>
      <c r="CW290" s="154"/>
      <c r="CX290" s="154"/>
      <c r="CY290" s="154"/>
      <c r="CZ290" s="154"/>
      <c r="DA290" s="154"/>
      <c r="DB290" s="154"/>
      <c r="DC290" s="154"/>
      <c r="DD290" s="154"/>
      <c r="DE290" s="154"/>
      <c r="DF290" s="154"/>
      <c r="DG290" s="154"/>
      <c r="DH290" s="154"/>
      <c r="DI290" s="154"/>
      <c r="DJ290" s="154"/>
      <c r="DK290" s="154"/>
      <c r="DL290" s="154"/>
      <c r="DM290" s="154"/>
      <c r="DN290" s="154"/>
      <c r="DO290" s="154"/>
      <c r="DP290" s="154"/>
      <c r="DQ290" s="154"/>
      <c r="DR290" s="154"/>
      <c r="DS290" s="154"/>
      <c r="DT290" s="154"/>
      <c r="DU290" s="154"/>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row>
    <row r="291" spans="16:153" ht="12.95" customHeight="1">
      <c r="P291" s="154"/>
      <c r="Q291" s="154"/>
      <c r="R291" s="154"/>
      <c r="S291" s="154"/>
      <c r="T291" s="154"/>
      <c r="U291" s="154"/>
      <c r="V291" s="154"/>
      <c r="W291" s="154"/>
      <c r="X291" s="154"/>
      <c r="Y291" s="154"/>
      <c r="Z291" s="154"/>
      <c r="AA291" s="154"/>
      <c r="AB291" s="154"/>
      <c r="AC291" s="154"/>
      <c r="AD291" s="154"/>
      <c r="AE291" s="154"/>
      <c r="AF291" s="367"/>
      <c r="AG291" s="368"/>
      <c r="AH291" s="368"/>
      <c r="AI291" s="368"/>
      <c r="AJ291" s="154"/>
      <c r="AK291" s="154"/>
      <c r="AL291" s="154"/>
      <c r="AM291" s="154"/>
      <c r="AN291" s="154"/>
      <c r="AO291" s="154"/>
      <c r="AP291" s="154"/>
      <c r="AQ291" s="154"/>
      <c r="AR291" s="154"/>
      <c r="AS291" s="154"/>
      <c r="AT291" s="154"/>
      <c r="AU291" s="154"/>
      <c r="AV291" s="154"/>
      <c r="AW291" s="154"/>
      <c r="AX291" s="154"/>
      <c r="AY291" s="154"/>
      <c r="AZ291" s="154"/>
      <c r="BA291" s="154"/>
      <c r="BB291" s="154"/>
      <c r="BC291" s="154"/>
      <c r="BD291" s="154"/>
      <c r="BE291" s="154"/>
      <c r="BF291" s="154"/>
      <c r="BG291" s="154"/>
      <c r="BH291" s="154"/>
      <c r="BI291" s="154"/>
      <c r="BJ291" s="154"/>
      <c r="BK291" s="154"/>
      <c r="BL291" s="154"/>
      <c r="BM291" s="154"/>
      <c r="BN291" s="154"/>
      <c r="BO291" s="154"/>
      <c r="BP291" s="154"/>
      <c r="BQ291" s="154"/>
      <c r="BR291" s="154"/>
      <c r="BS291" s="154"/>
      <c r="BT291" s="154"/>
      <c r="BU291" s="154"/>
      <c r="BV291" s="154"/>
      <c r="BW291" s="154"/>
      <c r="BX291" s="154"/>
      <c r="BY291" s="154"/>
      <c r="BZ291" s="154"/>
      <c r="CA291" s="154"/>
      <c r="CB291" s="154"/>
      <c r="CC291" s="154"/>
      <c r="CD291" s="154"/>
      <c r="CE291" s="154"/>
      <c r="CF291" s="154"/>
      <c r="CG291" s="154"/>
      <c r="CH291" s="154"/>
      <c r="CI291" s="154"/>
      <c r="CJ291" s="154"/>
      <c r="CK291" s="154"/>
      <c r="CL291" s="154"/>
      <c r="CM291" s="154"/>
      <c r="CN291" s="154"/>
      <c r="CO291" s="154"/>
      <c r="CP291" s="154"/>
      <c r="CQ291" s="154"/>
      <c r="CR291" s="154"/>
      <c r="CS291" s="154"/>
      <c r="CT291" s="154"/>
      <c r="CU291" s="154"/>
      <c r="CV291" s="154"/>
      <c r="CW291" s="154"/>
      <c r="CX291" s="154"/>
      <c r="CY291" s="154"/>
      <c r="CZ291" s="154"/>
      <c r="DA291" s="154"/>
      <c r="DB291" s="154"/>
      <c r="DC291" s="154"/>
      <c r="DD291" s="154"/>
      <c r="DE291" s="154"/>
      <c r="DF291" s="154"/>
      <c r="DG291" s="154"/>
      <c r="DH291" s="154"/>
      <c r="DI291" s="154"/>
      <c r="DJ291" s="154"/>
      <c r="DK291" s="154"/>
      <c r="DL291" s="154"/>
      <c r="DM291" s="154"/>
      <c r="DN291" s="154"/>
      <c r="DO291" s="154"/>
      <c r="DP291" s="154"/>
      <c r="DQ291" s="154"/>
      <c r="DR291" s="154"/>
      <c r="DS291" s="154"/>
      <c r="DT291" s="154"/>
      <c r="DU291" s="154"/>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row>
    <row r="292" spans="16:153" ht="12.95" customHeight="1">
      <c r="P292" s="154"/>
      <c r="Q292" s="154"/>
      <c r="R292" s="154"/>
      <c r="S292" s="154"/>
      <c r="T292" s="154"/>
      <c r="U292" s="154"/>
      <c r="V292" s="154"/>
      <c r="W292" s="154"/>
      <c r="X292" s="154"/>
      <c r="Y292" s="154"/>
      <c r="Z292" s="154"/>
      <c r="AA292" s="154"/>
      <c r="AB292" s="154"/>
      <c r="AC292" s="154"/>
      <c r="AD292" s="154"/>
      <c r="AE292" s="154"/>
      <c r="AF292" s="367"/>
      <c r="AG292" s="368"/>
      <c r="AH292" s="368"/>
      <c r="AI292" s="368"/>
      <c r="AJ292" s="154"/>
      <c r="AK292" s="154"/>
      <c r="AL292" s="154"/>
      <c r="AM292" s="154"/>
      <c r="AN292" s="154"/>
      <c r="AO292" s="154"/>
      <c r="AP292" s="154"/>
      <c r="AQ292" s="154"/>
      <c r="AR292" s="154"/>
      <c r="AS292" s="154"/>
      <c r="AT292" s="154"/>
      <c r="AU292" s="154"/>
      <c r="AV292" s="154"/>
      <c r="AW292" s="154"/>
      <c r="AX292" s="154"/>
      <c r="AY292" s="154"/>
      <c r="AZ292" s="154"/>
      <c r="BA292" s="154"/>
      <c r="BB292" s="154"/>
      <c r="BC292" s="154"/>
      <c r="BD292" s="154"/>
      <c r="BE292" s="154"/>
      <c r="BF292" s="154"/>
      <c r="BG292" s="154"/>
      <c r="BH292" s="154"/>
      <c r="BI292" s="154"/>
      <c r="BJ292" s="154"/>
      <c r="BK292" s="154"/>
      <c r="BL292" s="154"/>
      <c r="BM292" s="154"/>
      <c r="BN292" s="154"/>
      <c r="BO292" s="154"/>
      <c r="BP292" s="154"/>
      <c r="BQ292" s="154"/>
      <c r="BR292" s="154"/>
      <c r="BS292" s="154"/>
      <c r="BT292" s="154"/>
      <c r="BU292" s="154"/>
      <c r="BV292" s="154"/>
      <c r="BW292" s="154"/>
      <c r="BX292" s="154"/>
      <c r="BY292" s="154"/>
      <c r="BZ292" s="154"/>
      <c r="CA292" s="154"/>
      <c r="CB292" s="154"/>
      <c r="CC292" s="154"/>
      <c r="CD292" s="154"/>
      <c r="CE292" s="154"/>
      <c r="CF292" s="154"/>
      <c r="CG292" s="154"/>
      <c r="CH292" s="154"/>
      <c r="CI292" s="154"/>
      <c r="CJ292" s="154"/>
      <c r="CK292" s="154"/>
      <c r="CL292" s="154"/>
      <c r="CM292" s="154"/>
      <c r="CN292" s="154"/>
      <c r="CO292" s="154"/>
      <c r="CP292" s="154"/>
      <c r="CQ292" s="154"/>
      <c r="CR292" s="154"/>
      <c r="CS292" s="154"/>
      <c r="CT292" s="154"/>
      <c r="CU292" s="154"/>
      <c r="CV292" s="154"/>
      <c r="CW292" s="154"/>
      <c r="CX292" s="154"/>
      <c r="CY292" s="154"/>
      <c r="CZ292" s="154"/>
      <c r="DA292" s="154"/>
      <c r="DB292" s="154"/>
      <c r="DC292" s="154"/>
      <c r="DD292" s="154"/>
      <c r="DE292" s="154"/>
      <c r="DF292" s="154"/>
      <c r="DG292" s="154"/>
      <c r="DH292" s="154"/>
      <c r="DI292" s="154"/>
      <c r="DJ292" s="154"/>
      <c r="DK292" s="154"/>
      <c r="DL292" s="154"/>
      <c r="DM292" s="154"/>
      <c r="DN292" s="154"/>
      <c r="DO292" s="154"/>
      <c r="DP292" s="154"/>
      <c r="DQ292" s="154"/>
      <c r="DR292" s="154"/>
      <c r="DS292" s="154"/>
      <c r="DT292" s="154"/>
      <c r="DU292" s="154"/>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row>
    <row r="293" spans="16:153" ht="12.95" customHeight="1">
      <c r="P293" s="154"/>
      <c r="Q293" s="154"/>
      <c r="R293" s="154"/>
      <c r="S293" s="154"/>
      <c r="T293" s="154"/>
      <c r="U293" s="154"/>
      <c r="V293" s="154"/>
      <c r="W293" s="154"/>
      <c r="X293" s="154"/>
      <c r="Y293" s="154"/>
      <c r="Z293" s="154"/>
      <c r="AA293" s="154"/>
      <c r="AB293" s="154"/>
      <c r="AC293" s="154"/>
      <c r="AD293" s="154"/>
      <c r="AE293" s="154"/>
      <c r="AF293" s="367"/>
      <c r="AG293" s="368"/>
      <c r="AH293" s="368"/>
      <c r="AI293" s="368"/>
      <c r="AJ293" s="154"/>
      <c r="AK293" s="154"/>
      <c r="AL293" s="154"/>
      <c r="AM293" s="154"/>
      <c r="AN293" s="154"/>
      <c r="AO293" s="154"/>
      <c r="AP293" s="154"/>
      <c r="AQ293" s="154"/>
      <c r="AR293" s="154"/>
      <c r="AS293" s="154"/>
      <c r="AT293" s="154"/>
      <c r="AU293" s="154"/>
      <c r="AV293" s="154"/>
      <c r="AW293" s="154"/>
      <c r="AX293" s="154"/>
      <c r="AY293" s="154"/>
      <c r="AZ293" s="154"/>
      <c r="BA293" s="154"/>
      <c r="BB293" s="154"/>
      <c r="BC293" s="154"/>
      <c r="BD293" s="154"/>
      <c r="BE293" s="154"/>
      <c r="BF293" s="154"/>
      <c r="BG293" s="154"/>
      <c r="BH293" s="154"/>
      <c r="BI293" s="154"/>
      <c r="BJ293" s="154"/>
      <c r="BK293" s="154"/>
      <c r="BL293" s="154"/>
      <c r="BM293" s="154"/>
      <c r="BN293" s="154"/>
      <c r="BO293" s="154"/>
      <c r="BP293" s="154"/>
      <c r="BQ293" s="154"/>
      <c r="BR293" s="154"/>
      <c r="BS293" s="154"/>
      <c r="BT293" s="154"/>
      <c r="BU293" s="154"/>
      <c r="BV293" s="154"/>
      <c r="BW293" s="154"/>
      <c r="BX293" s="154"/>
      <c r="BY293" s="154"/>
      <c r="BZ293" s="154"/>
      <c r="CA293" s="154"/>
      <c r="CB293" s="154"/>
      <c r="CC293" s="154"/>
      <c r="CD293" s="154"/>
      <c r="CE293" s="154"/>
      <c r="CF293" s="154"/>
      <c r="CG293" s="154"/>
      <c r="CH293" s="154"/>
      <c r="CI293" s="154"/>
      <c r="CJ293" s="154"/>
      <c r="CK293" s="154"/>
      <c r="CL293" s="154"/>
      <c r="CM293" s="154"/>
      <c r="CN293" s="154"/>
      <c r="CO293" s="154"/>
      <c r="CP293" s="154"/>
      <c r="CQ293" s="154"/>
      <c r="CR293" s="154"/>
      <c r="CS293" s="154"/>
      <c r="CT293" s="154"/>
      <c r="CU293" s="154"/>
      <c r="CV293" s="154"/>
      <c r="CW293" s="154"/>
      <c r="CX293" s="154"/>
      <c r="CY293" s="154"/>
      <c r="CZ293" s="154"/>
      <c r="DA293" s="154"/>
      <c r="DB293" s="154"/>
      <c r="DC293" s="154"/>
      <c r="DD293" s="154"/>
      <c r="DE293" s="154"/>
      <c r="DF293" s="154"/>
      <c r="DG293" s="154"/>
      <c r="DH293" s="154"/>
      <c r="DI293" s="154"/>
      <c r="DJ293" s="154"/>
      <c r="DK293" s="154"/>
      <c r="DL293" s="154"/>
      <c r="DM293" s="154"/>
      <c r="DN293" s="154"/>
      <c r="DO293" s="154"/>
      <c r="DP293" s="154"/>
      <c r="DQ293" s="154"/>
      <c r="DR293" s="154"/>
      <c r="DS293" s="154"/>
      <c r="DT293" s="154"/>
      <c r="DU293" s="154"/>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row>
    <row r="294" spans="16:153" ht="12.95" customHeight="1">
      <c r="P294" s="154"/>
      <c r="Q294" s="154"/>
      <c r="R294" s="154"/>
      <c r="S294" s="154"/>
      <c r="T294" s="154"/>
      <c r="U294" s="154"/>
      <c r="V294" s="154"/>
      <c r="W294" s="154"/>
      <c r="X294" s="154"/>
      <c r="Y294" s="154"/>
      <c r="Z294" s="154"/>
      <c r="AA294" s="154"/>
      <c r="AB294" s="154"/>
      <c r="AC294" s="154"/>
      <c r="AD294" s="154"/>
      <c r="AE294" s="154"/>
      <c r="AF294" s="367"/>
      <c r="AG294" s="368"/>
      <c r="AH294" s="368"/>
      <c r="AI294" s="368"/>
      <c r="AJ294" s="154"/>
      <c r="AK294" s="154"/>
      <c r="AL294" s="154"/>
      <c r="AM294" s="154"/>
      <c r="AN294" s="154"/>
      <c r="AO294" s="154"/>
      <c r="AP294" s="154"/>
      <c r="AQ294" s="154"/>
      <c r="AR294" s="154"/>
      <c r="AS294" s="154"/>
      <c r="AT294" s="154"/>
      <c r="AU294" s="154"/>
      <c r="AV294" s="154"/>
      <c r="AW294" s="154"/>
      <c r="AX294" s="154"/>
      <c r="AY294" s="154"/>
      <c r="AZ294" s="154"/>
      <c r="BA294" s="154"/>
      <c r="BB294" s="154"/>
      <c r="BC294" s="154"/>
      <c r="BD294" s="154"/>
      <c r="BE294" s="154"/>
      <c r="BF294" s="154"/>
      <c r="BG294" s="154"/>
      <c r="BH294" s="154"/>
      <c r="BI294" s="154"/>
      <c r="BJ294" s="154"/>
      <c r="BK294" s="154"/>
      <c r="BL294" s="154"/>
      <c r="BM294" s="154"/>
      <c r="BN294" s="154"/>
      <c r="BO294" s="154"/>
      <c r="BP294" s="154"/>
      <c r="BQ294" s="154"/>
      <c r="BR294" s="154"/>
      <c r="BS294" s="154"/>
      <c r="BT294" s="154"/>
      <c r="BU294" s="154"/>
      <c r="BV294" s="154"/>
      <c r="BW294" s="154"/>
      <c r="BX294" s="154"/>
      <c r="BY294" s="154"/>
      <c r="BZ294" s="154"/>
      <c r="CA294" s="154"/>
      <c r="CB294" s="154"/>
      <c r="CC294" s="154"/>
      <c r="CD294" s="154"/>
      <c r="CE294" s="154"/>
      <c r="CF294" s="154"/>
      <c r="CG294" s="154"/>
      <c r="CH294" s="154"/>
      <c r="CI294" s="154"/>
      <c r="CJ294" s="154"/>
      <c r="CK294" s="154"/>
      <c r="CL294" s="154"/>
      <c r="CM294" s="154"/>
      <c r="CN294" s="154"/>
      <c r="CO294" s="154"/>
      <c r="CP294" s="154"/>
      <c r="CQ294" s="154"/>
      <c r="CR294" s="154"/>
      <c r="CS294" s="154"/>
      <c r="CT294" s="154"/>
      <c r="CU294" s="154"/>
      <c r="CV294" s="154"/>
      <c r="CW294" s="154"/>
      <c r="CX294" s="154"/>
      <c r="CY294" s="154"/>
      <c r="CZ294" s="154"/>
      <c r="DA294" s="154"/>
      <c r="DB294" s="154"/>
      <c r="DC294" s="154"/>
      <c r="DD294" s="154"/>
      <c r="DE294" s="154"/>
      <c r="DF294" s="154"/>
      <c r="DG294" s="154"/>
      <c r="DH294" s="154"/>
      <c r="DI294" s="154"/>
      <c r="DJ294" s="154"/>
      <c r="DK294" s="154"/>
      <c r="DL294" s="154"/>
      <c r="DM294" s="154"/>
      <c r="DN294" s="154"/>
      <c r="DO294" s="154"/>
      <c r="DP294" s="154"/>
      <c r="DQ294" s="154"/>
      <c r="DR294" s="154"/>
      <c r="DS294" s="154"/>
      <c r="DT294" s="154"/>
      <c r="DU294" s="154"/>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row>
    <row r="295" spans="16:153" ht="12.95" customHeight="1">
      <c r="P295" s="154"/>
      <c r="Q295" s="154"/>
      <c r="R295" s="154"/>
      <c r="S295" s="154"/>
      <c r="T295" s="154"/>
      <c r="U295" s="154"/>
      <c r="V295" s="154"/>
      <c r="W295" s="154"/>
      <c r="X295" s="154"/>
      <c r="Y295" s="154"/>
      <c r="Z295" s="154"/>
      <c r="AA295" s="154"/>
      <c r="AB295" s="154"/>
      <c r="AC295" s="154"/>
      <c r="AD295" s="154"/>
      <c r="AE295" s="154"/>
      <c r="AF295" s="367"/>
      <c r="AG295" s="368"/>
      <c r="AH295" s="368"/>
      <c r="AI295" s="368"/>
      <c r="AJ295" s="154"/>
      <c r="AK295" s="154"/>
      <c r="AL295" s="154"/>
      <c r="AM295" s="154"/>
      <c r="AN295" s="154"/>
      <c r="AO295" s="154"/>
      <c r="AP295" s="154"/>
      <c r="AQ295" s="154"/>
      <c r="AR295" s="154"/>
      <c r="AS295" s="154"/>
      <c r="AT295" s="154"/>
      <c r="AU295" s="154"/>
      <c r="AV295" s="154"/>
      <c r="AW295" s="154"/>
      <c r="AX295" s="154"/>
      <c r="AY295" s="154"/>
      <c r="AZ295" s="154"/>
      <c r="BA295" s="154"/>
      <c r="BB295" s="154"/>
      <c r="BC295" s="154"/>
      <c r="BD295" s="154"/>
      <c r="BE295" s="154"/>
      <c r="BF295" s="154"/>
      <c r="BG295" s="154"/>
      <c r="BH295" s="154"/>
      <c r="BI295" s="154"/>
      <c r="BJ295" s="154"/>
      <c r="BK295" s="154"/>
      <c r="BL295" s="154"/>
      <c r="BM295" s="154"/>
      <c r="BN295" s="154"/>
      <c r="BO295" s="154"/>
      <c r="BP295" s="154"/>
      <c r="BQ295" s="154"/>
      <c r="BR295" s="154"/>
      <c r="BS295" s="154"/>
      <c r="BT295" s="154"/>
      <c r="BU295" s="154"/>
      <c r="BV295" s="154"/>
      <c r="BW295" s="154"/>
      <c r="BX295" s="154"/>
      <c r="BY295" s="154"/>
      <c r="BZ295" s="154"/>
      <c r="CA295" s="154"/>
      <c r="CB295" s="154"/>
      <c r="CC295" s="154"/>
      <c r="CD295" s="154"/>
      <c r="CE295" s="154"/>
      <c r="CF295" s="154"/>
      <c r="CG295" s="154"/>
      <c r="CH295" s="154"/>
      <c r="CI295" s="154"/>
      <c r="CJ295" s="154"/>
      <c r="CK295" s="154"/>
      <c r="CL295" s="154"/>
      <c r="CM295" s="154"/>
      <c r="CN295" s="154"/>
      <c r="CO295" s="154"/>
      <c r="CP295" s="154"/>
      <c r="CQ295" s="154"/>
      <c r="CR295" s="154"/>
      <c r="CS295" s="154"/>
      <c r="CT295" s="154"/>
      <c r="CU295" s="154"/>
      <c r="CV295" s="154"/>
      <c r="CW295" s="154"/>
      <c r="CX295" s="154"/>
      <c r="CY295" s="154"/>
      <c r="CZ295" s="154"/>
      <c r="DA295" s="154"/>
      <c r="DB295" s="154"/>
      <c r="DC295" s="154"/>
      <c r="DD295" s="154"/>
      <c r="DE295" s="154"/>
      <c r="DF295" s="154"/>
      <c r="DG295" s="154"/>
      <c r="DH295" s="154"/>
      <c r="DI295" s="154"/>
      <c r="DJ295" s="154"/>
      <c r="DK295" s="154"/>
      <c r="DL295" s="154"/>
      <c r="DM295" s="154"/>
      <c r="DN295" s="154"/>
      <c r="DO295" s="154"/>
      <c r="DP295" s="154"/>
      <c r="DQ295" s="154"/>
      <c r="DR295" s="154"/>
      <c r="DS295" s="154"/>
      <c r="DT295" s="154"/>
      <c r="DU295" s="154"/>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row>
    <row r="296" spans="16:153" ht="12.95" customHeight="1">
      <c r="P296" s="154"/>
      <c r="Q296" s="154"/>
      <c r="R296" s="154"/>
      <c r="S296" s="154"/>
      <c r="T296" s="154"/>
      <c r="U296" s="154"/>
      <c r="V296" s="154"/>
      <c r="W296" s="154"/>
      <c r="X296" s="154"/>
      <c r="Y296" s="154"/>
      <c r="Z296" s="154"/>
      <c r="AA296" s="154"/>
      <c r="AB296" s="154"/>
      <c r="AC296" s="154"/>
      <c r="AD296" s="154"/>
      <c r="AE296" s="154"/>
      <c r="AF296" s="367"/>
      <c r="AG296" s="368"/>
      <c r="AH296" s="368"/>
      <c r="AI296" s="368"/>
      <c r="AJ296" s="154"/>
      <c r="AK296" s="154"/>
      <c r="AL296" s="154"/>
      <c r="AM296" s="154"/>
      <c r="AN296" s="154"/>
      <c r="AO296" s="154"/>
      <c r="AP296" s="154"/>
      <c r="AQ296" s="154"/>
      <c r="AR296" s="154"/>
      <c r="AS296" s="154"/>
      <c r="AT296" s="154"/>
      <c r="AU296" s="154"/>
      <c r="AV296" s="154"/>
      <c r="AW296" s="154"/>
      <c r="AX296" s="154"/>
      <c r="AY296" s="154"/>
      <c r="AZ296" s="154"/>
      <c r="BA296" s="154"/>
      <c r="BB296" s="154"/>
      <c r="BC296" s="154"/>
      <c r="BD296" s="154"/>
      <c r="BE296" s="154"/>
      <c r="BF296" s="154"/>
      <c r="BG296" s="154"/>
      <c r="BH296" s="154"/>
      <c r="BI296" s="154"/>
      <c r="BJ296" s="154"/>
      <c r="BK296" s="154"/>
      <c r="BL296" s="154"/>
      <c r="BM296" s="154"/>
      <c r="BN296" s="154"/>
      <c r="BO296" s="154"/>
      <c r="BP296" s="154"/>
      <c r="BQ296" s="154"/>
      <c r="BR296" s="154"/>
      <c r="BS296" s="154"/>
      <c r="BT296" s="154"/>
      <c r="BU296" s="154"/>
      <c r="BV296" s="154"/>
      <c r="BW296" s="154"/>
      <c r="BX296" s="154"/>
      <c r="BY296" s="154"/>
      <c r="BZ296" s="154"/>
      <c r="CA296" s="154"/>
      <c r="CB296" s="154"/>
      <c r="CC296" s="154"/>
      <c r="CD296" s="154"/>
      <c r="CE296" s="154"/>
      <c r="CF296" s="154"/>
      <c r="CG296" s="154"/>
      <c r="CH296" s="154"/>
      <c r="CI296" s="154"/>
      <c r="CJ296" s="154"/>
      <c r="CK296" s="154"/>
      <c r="CL296" s="154"/>
      <c r="CM296" s="154"/>
      <c r="CN296" s="154"/>
      <c r="CO296" s="154"/>
      <c r="CP296" s="154"/>
      <c r="CQ296" s="154"/>
      <c r="CR296" s="154"/>
      <c r="CS296" s="154"/>
      <c r="CT296" s="154"/>
      <c r="CU296" s="154"/>
      <c r="CV296" s="154"/>
      <c r="CW296" s="154"/>
      <c r="CX296" s="154"/>
      <c r="CY296" s="154"/>
      <c r="CZ296" s="154"/>
      <c r="DA296" s="154"/>
      <c r="DB296" s="154"/>
      <c r="DC296" s="154"/>
      <c r="DD296" s="154"/>
      <c r="DE296" s="154"/>
      <c r="DF296" s="154"/>
      <c r="DG296" s="154"/>
      <c r="DH296" s="154"/>
      <c r="DI296" s="154"/>
      <c r="DJ296" s="154"/>
      <c r="DK296" s="154"/>
      <c r="DL296" s="154"/>
      <c r="DM296" s="154"/>
      <c r="DN296" s="154"/>
      <c r="DO296" s="154"/>
      <c r="DP296" s="154"/>
      <c r="DQ296" s="154"/>
      <c r="DR296" s="154"/>
      <c r="DS296" s="154"/>
      <c r="DT296" s="154"/>
      <c r="DU296" s="154"/>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row>
    <row r="297" spans="16:153" ht="12.95" customHeight="1">
      <c r="P297" s="154"/>
      <c r="Q297" s="154"/>
      <c r="R297" s="154"/>
      <c r="S297" s="154"/>
      <c r="T297" s="154"/>
      <c r="U297" s="154"/>
      <c r="V297" s="154"/>
      <c r="W297" s="154"/>
      <c r="X297" s="154"/>
      <c r="Y297" s="154"/>
      <c r="Z297" s="154"/>
      <c r="AA297" s="154"/>
      <c r="AB297" s="154"/>
      <c r="AC297" s="154"/>
      <c r="AD297" s="154"/>
      <c r="AE297" s="154"/>
      <c r="AF297" s="367"/>
      <c r="AG297" s="368"/>
      <c r="AH297" s="368"/>
      <c r="AI297" s="368"/>
      <c r="AJ297" s="154"/>
      <c r="AK297" s="154"/>
      <c r="AL297" s="154"/>
      <c r="AM297" s="154"/>
      <c r="AN297" s="154"/>
      <c r="AO297" s="154"/>
      <c r="AP297" s="154"/>
      <c r="AQ297" s="154"/>
      <c r="AR297" s="154"/>
      <c r="AS297" s="154"/>
      <c r="AT297" s="154"/>
      <c r="AU297" s="154"/>
      <c r="AV297" s="154"/>
      <c r="AW297" s="154"/>
      <c r="AX297" s="154"/>
      <c r="AY297" s="154"/>
      <c r="AZ297" s="154"/>
      <c r="BA297" s="154"/>
      <c r="BB297" s="154"/>
      <c r="BC297" s="154"/>
      <c r="BD297" s="154"/>
      <c r="BE297" s="154"/>
      <c r="BF297" s="154"/>
      <c r="BG297" s="154"/>
      <c r="BH297" s="154"/>
      <c r="BI297" s="154"/>
      <c r="BJ297" s="154"/>
      <c r="BK297" s="154"/>
      <c r="BL297" s="154"/>
      <c r="BM297" s="154"/>
      <c r="BN297" s="154"/>
      <c r="BO297" s="154"/>
      <c r="BP297" s="154"/>
      <c r="BQ297" s="154"/>
      <c r="BR297" s="154"/>
      <c r="BS297" s="154"/>
      <c r="BT297" s="154"/>
      <c r="BU297" s="154"/>
      <c r="BV297" s="154"/>
      <c r="BW297" s="154"/>
      <c r="BX297" s="154"/>
      <c r="BY297" s="154"/>
      <c r="BZ297" s="154"/>
      <c r="CA297" s="154"/>
      <c r="CB297" s="154"/>
      <c r="CC297" s="154"/>
      <c r="CD297" s="154"/>
      <c r="CE297" s="154"/>
      <c r="CF297" s="154"/>
      <c r="CG297" s="154"/>
      <c r="CH297" s="154"/>
      <c r="CI297" s="154"/>
      <c r="CJ297" s="154"/>
      <c r="CK297" s="154"/>
      <c r="CL297" s="154"/>
      <c r="CM297" s="154"/>
      <c r="CN297" s="154"/>
      <c r="CO297" s="154"/>
      <c r="CP297" s="154"/>
      <c r="CQ297" s="154"/>
      <c r="CR297" s="154"/>
      <c r="CS297" s="154"/>
      <c r="CT297" s="154"/>
      <c r="CU297" s="154"/>
      <c r="CV297" s="154"/>
      <c r="CW297" s="154"/>
      <c r="CX297" s="154"/>
      <c r="CY297" s="154"/>
      <c r="CZ297" s="154"/>
      <c r="DA297" s="154"/>
      <c r="DB297" s="154"/>
      <c r="DC297" s="154"/>
      <c r="DD297" s="154"/>
      <c r="DE297" s="154"/>
      <c r="DF297" s="154"/>
      <c r="DG297" s="154"/>
      <c r="DH297" s="154"/>
      <c r="DI297" s="154"/>
      <c r="DJ297" s="154"/>
      <c r="DK297" s="154"/>
      <c r="DL297" s="154"/>
      <c r="DM297" s="154"/>
      <c r="DN297" s="154"/>
      <c r="DO297" s="154"/>
      <c r="DP297" s="154"/>
      <c r="DQ297" s="154"/>
      <c r="DR297" s="154"/>
      <c r="DS297" s="154"/>
      <c r="DT297" s="154"/>
      <c r="DU297" s="154"/>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row>
    <row r="298" spans="16:153" ht="12.95" customHeight="1">
      <c r="P298" s="154"/>
      <c r="Q298" s="154"/>
      <c r="R298" s="154"/>
      <c r="S298" s="154"/>
      <c r="T298" s="154"/>
      <c r="U298" s="154"/>
      <c r="V298" s="154"/>
      <c r="W298" s="154"/>
      <c r="X298" s="154"/>
      <c r="Y298" s="154"/>
      <c r="Z298" s="154"/>
      <c r="AA298" s="154"/>
      <c r="AB298" s="154"/>
      <c r="AC298" s="154"/>
      <c r="AD298" s="154"/>
      <c r="AE298" s="154"/>
      <c r="AF298" s="367"/>
      <c r="AG298" s="368"/>
      <c r="AH298" s="368"/>
      <c r="AI298" s="368"/>
      <c r="AJ298" s="154"/>
      <c r="AK298" s="154"/>
      <c r="AL298" s="154"/>
      <c r="AM298" s="154"/>
      <c r="AN298" s="154"/>
      <c r="AO298" s="154"/>
      <c r="AP298" s="154"/>
      <c r="AQ298" s="154"/>
      <c r="AR298" s="154"/>
      <c r="AS298" s="154"/>
      <c r="AT298" s="154"/>
      <c r="AU298" s="154"/>
      <c r="AV298" s="154"/>
      <c r="AW298" s="154"/>
      <c r="AX298" s="154"/>
      <c r="AY298" s="154"/>
      <c r="AZ298" s="154"/>
      <c r="BA298" s="154"/>
      <c r="BB298" s="154"/>
      <c r="BC298" s="154"/>
      <c r="BD298" s="154"/>
      <c r="BE298" s="154"/>
      <c r="BF298" s="154"/>
      <c r="BG298" s="154"/>
      <c r="BH298" s="154"/>
      <c r="BI298" s="154"/>
      <c r="BJ298" s="154"/>
      <c r="BK298" s="154"/>
      <c r="BL298" s="154"/>
      <c r="BM298" s="154"/>
      <c r="BN298" s="154"/>
      <c r="BO298" s="154"/>
      <c r="BP298" s="154"/>
      <c r="BQ298" s="154"/>
      <c r="BR298" s="154"/>
      <c r="BS298" s="154"/>
      <c r="BT298" s="154"/>
      <c r="BU298" s="154"/>
      <c r="BV298" s="154"/>
      <c r="BW298" s="154"/>
      <c r="BX298" s="154"/>
      <c r="BY298" s="154"/>
      <c r="BZ298" s="154"/>
      <c r="CA298" s="154"/>
      <c r="CB298" s="154"/>
      <c r="CC298" s="154"/>
      <c r="CD298" s="154"/>
      <c r="CE298" s="154"/>
      <c r="CF298" s="154"/>
      <c r="CG298" s="154"/>
      <c r="CH298" s="154"/>
      <c r="CI298" s="154"/>
      <c r="CJ298" s="154"/>
      <c r="CK298" s="154"/>
      <c r="CL298" s="154"/>
      <c r="CM298" s="154"/>
      <c r="CN298" s="154"/>
      <c r="CO298" s="154"/>
      <c r="CP298" s="154"/>
      <c r="CQ298" s="154"/>
      <c r="CR298" s="154"/>
      <c r="CS298" s="154"/>
      <c r="CT298" s="154"/>
      <c r="CU298" s="154"/>
      <c r="CV298" s="154"/>
      <c r="CW298" s="154"/>
      <c r="CX298" s="154"/>
      <c r="CY298" s="154"/>
      <c r="CZ298" s="154"/>
      <c r="DA298" s="154"/>
      <c r="DB298" s="154"/>
      <c r="DC298" s="154"/>
      <c r="DD298" s="154"/>
      <c r="DE298" s="154"/>
      <c r="DF298" s="154"/>
      <c r="DG298" s="154"/>
      <c r="DH298" s="154"/>
      <c r="DI298" s="154"/>
      <c r="DJ298" s="154"/>
      <c r="DK298" s="154"/>
      <c r="DL298" s="154"/>
      <c r="DM298" s="154"/>
      <c r="DN298" s="154"/>
      <c r="DO298" s="154"/>
      <c r="DP298" s="154"/>
      <c r="DQ298" s="154"/>
      <c r="DR298" s="154"/>
      <c r="DS298" s="154"/>
      <c r="DT298" s="154"/>
      <c r="DU298" s="154"/>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row>
    <row r="299" spans="16:153">
      <c r="P299" s="154"/>
      <c r="Q299" s="154"/>
      <c r="R299" s="154"/>
      <c r="S299" s="154"/>
      <c r="T299" s="154"/>
      <c r="U299" s="154"/>
      <c r="V299" s="154"/>
      <c r="W299" s="154"/>
      <c r="X299" s="154"/>
      <c r="Y299" s="154"/>
      <c r="Z299" s="154"/>
      <c r="AA299" s="154"/>
      <c r="AB299" s="154"/>
      <c r="AC299" s="154"/>
      <c r="AD299" s="154"/>
      <c r="AE299" s="154"/>
      <c r="AF299" s="367"/>
      <c r="AG299" s="368"/>
      <c r="AH299" s="368"/>
      <c r="AI299" s="368"/>
      <c r="AJ299" s="154"/>
      <c r="AK299" s="154"/>
      <c r="AL299" s="154"/>
      <c r="AM299" s="154"/>
      <c r="AN299" s="154"/>
      <c r="AO299" s="154"/>
      <c r="AP299" s="154"/>
      <c r="AQ299" s="154"/>
      <c r="AR299" s="154"/>
      <c r="AS299" s="154"/>
      <c r="AT299" s="154"/>
      <c r="AU299" s="154"/>
      <c r="AV299" s="154"/>
      <c r="AW299" s="154"/>
      <c r="AX299" s="154"/>
      <c r="AY299" s="154"/>
      <c r="AZ299" s="154"/>
      <c r="BA299" s="154"/>
      <c r="BB299" s="154"/>
      <c r="BC299" s="154"/>
      <c r="BD299" s="154"/>
      <c r="BE299" s="154"/>
      <c r="BF299" s="154"/>
      <c r="BG299" s="154"/>
      <c r="BH299" s="154"/>
      <c r="BI299" s="154"/>
      <c r="BJ299" s="154"/>
      <c r="BK299" s="154"/>
      <c r="BL299" s="154"/>
      <c r="BM299" s="154"/>
      <c r="BN299" s="154"/>
      <c r="BO299" s="154"/>
      <c r="BP299" s="154"/>
      <c r="BQ299" s="154"/>
      <c r="BR299" s="154"/>
      <c r="BS299" s="154"/>
      <c r="BT299" s="154"/>
      <c r="BU299" s="154"/>
      <c r="BV299" s="154"/>
      <c r="BW299" s="154"/>
      <c r="BX299" s="154"/>
      <c r="BY299" s="154"/>
      <c r="BZ299" s="154"/>
      <c r="CA299" s="154"/>
      <c r="CB299" s="154"/>
      <c r="CC299" s="154"/>
      <c r="CD299" s="154"/>
      <c r="CE299" s="154"/>
      <c r="CF299" s="154"/>
      <c r="CG299" s="154"/>
      <c r="CH299" s="154"/>
      <c r="CI299" s="154"/>
      <c r="CJ299" s="154"/>
      <c r="CK299" s="154"/>
      <c r="CL299" s="154"/>
      <c r="CM299" s="154"/>
      <c r="CN299" s="154"/>
      <c r="CO299" s="154"/>
      <c r="CP299" s="154"/>
      <c r="CQ299" s="154"/>
      <c r="CR299" s="154"/>
      <c r="CS299" s="154"/>
      <c r="CT299" s="154"/>
      <c r="CU299" s="154"/>
      <c r="CV299" s="154"/>
      <c r="CW299" s="154"/>
      <c r="CX299" s="154"/>
      <c r="CY299" s="154"/>
      <c r="CZ299" s="154"/>
      <c r="DA299" s="154"/>
      <c r="DB299" s="154"/>
      <c r="DC299" s="154"/>
      <c r="DD299" s="154"/>
      <c r="DE299" s="154"/>
      <c r="DF299" s="154"/>
      <c r="DG299" s="154"/>
      <c r="DH299" s="154"/>
      <c r="DI299" s="154"/>
      <c r="DJ299" s="154"/>
      <c r="DK299" s="154"/>
      <c r="DL299" s="154"/>
      <c r="DM299" s="154"/>
      <c r="DN299" s="154"/>
      <c r="DO299" s="154"/>
      <c r="DP299" s="154"/>
      <c r="DQ299" s="154"/>
      <c r="DR299" s="154"/>
      <c r="DS299" s="154"/>
      <c r="DT299" s="154"/>
      <c r="DU299" s="154"/>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row>
    <row r="300" spans="16:153">
      <c r="P300" s="154"/>
      <c r="Q300" s="154"/>
      <c r="R300" s="154"/>
      <c r="S300" s="154"/>
      <c r="T300" s="154"/>
      <c r="U300" s="154"/>
      <c r="V300" s="154"/>
      <c r="W300" s="154"/>
      <c r="X300" s="154"/>
      <c r="Y300" s="154"/>
      <c r="Z300" s="154"/>
      <c r="AA300" s="154"/>
      <c r="AB300" s="154"/>
      <c r="AC300" s="154"/>
      <c r="AD300" s="154"/>
      <c r="AE300" s="154"/>
      <c r="AF300" s="367"/>
      <c r="AG300" s="368"/>
      <c r="AH300" s="368"/>
      <c r="AI300" s="368"/>
      <c r="AJ300" s="154"/>
      <c r="AK300" s="154"/>
      <c r="AL300" s="154"/>
      <c r="AM300" s="154"/>
      <c r="AN300" s="154"/>
      <c r="AO300" s="154"/>
      <c r="AP300" s="154"/>
      <c r="AQ300" s="154"/>
      <c r="AR300" s="154"/>
      <c r="AS300" s="154"/>
      <c r="AT300" s="154"/>
      <c r="AU300" s="154"/>
      <c r="AV300" s="154"/>
      <c r="AW300" s="154"/>
      <c r="AX300" s="154"/>
      <c r="AY300" s="154"/>
      <c r="AZ300" s="154"/>
      <c r="BA300" s="154"/>
      <c r="BB300" s="154"/>
      <c r="BC300" s="154"/>
      <c r="BD300" s="154"/>
      <c r="BE300" s="154"/>
      <c r="BF300" s="154"/>
      <c r="BG300" s="154"/>
      <c r="BH300" s="154"/>
      <c r="BI300" s="154"/>
      <c r="BJ300" s="154"/>
      <c r="BK300" s="154"/>
      <c r="BL300" s="154"/>
      <c r="BM300" s="154"/>
      <c r="BN300" s="154"/>
      <c r="BO300" s="154"/>
      <c r="BP300" s="154"/>
      <c r="BQ300" s="154"/>
      <c r="BR300" s="154"/>
      <c r="BS300" s="154"/>
      <c r="BT300" s="154"/>
      <c r="BU300" s="154"/>
      <c r="BV300" s="154"/>
      <c r="BW300" s="154"/>
      <c r="BX300" s="154"/>
      <c r="BY300" s="154"/>
      <c r="BZ300" s="154"/>
      <c r="CA300" s="154"/>
      <c r="CB300" s="154"/>
      <c r="CC300" s="154"/>
      <c r="CD300" s="154"/>
      <c r="CE300" s="154"/>
      <c r="CF300" s="154"/>
      <c r="CG300" s="154"/>
      <c r="CH300" s="154"/>
      <c r="CI300" s="154"/>
      <c r="CJ300" s="154"/>
      <c r="CK300" s="154"/>
      <c r="CL300" s="154"/>
      <c r="CM300" s="154"/>
      <c r="CN300" s="154"/>
      <c r="CO300" s="154"/>
      <c r="CP300" s="154"/>
      <c r="CQ300" s="154"/>
      <c r="CR300" s="154"/>
      <c r="CS300" s="154"/>
      <c r="CT300" s="154"/>
      <c r="CU300" s="154"/>
      <c r="CV300" s="154"/>
      <c r="CW300" s="154"/>
      <c r="CX300" s="154"/>
      <c r="CY300" s="154"/>
      <c r="CZ300" s="154"/>
      <c r="DA300" s="154"/>
      <c r="DB300" s="154"/>
      <c r="DC300" s="154"/>
      <c r="DD300" s="154"/>
      <c r="DE300" s="154"/>
      <c r="DF300" s="154"/>
      <c r="DG300" s="154"/>
      <c r="DH300" s="154"/>
      <c r="DI300" s="154"/>
      <c r="DJ300" s="154"/>
      <c r="DK300" s="154"/>
      <c r="DL300" s="154"/>
      <c r="DM300" s="154"/>
      <c r="DN300" s="154"/>
      <c r="DO300" s="154"/>
      <c r="DP300" s="154"/>
      <c r="DQ300" s="154"/>
      <c r="DR300" s="154"/>
      <c r="DS300" s="154"/>
      <c r="DT300" s="154"/>
      <c r="DU300" s="154"/>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0"/>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83" t="s">
        <v>880</v>
      </c>
      <c r="C2" s="684"/>
      <c r="D2" s="684"/>
      <c r="E2" s="684"/>
      <c r="F2" s="685"/>
      <c r="H2" s="686" t="s">
        <v>956</v>
      </c>
      <c r="I2" s="687"/>
      <c r="J2" s="688"/>
    </row>
    <row r="3" spans="2:36">
      <c r="B3" s="510" t="s">
        <v>875</v>
      </c>
      <c r="C3" s="360" t="s">
        <v>212</v>
      </c>
      <c r="D3" s="362">
        <v>1</v>
      </c>
      <c r="F3" s="557"/>
      <c r="H3" s="507" t="s">
        <v>952</v>
      </c>
      <c r="I3" s="508" t="s">
        <v>926</v>
      </c>
      <c r="J3" s="509">
        <v>3.6474578686044888E-2</v>
      </c>
      <c r="AI3" t="s">
        <v>70</v>
      </c>
      <c r="AJ3" t="s">
        <v>71</v>
      </c>
    </row>
    <row r="4" spans="2:36">
      <c r="B4" s="558" t="s">
        <v>876</v>
      </c>
      <c r="C4" s="360" t="s">
        <v>212</v>
      </c>
      <c r="D4" s="362">
        <v>1</v>
      </c>
      <c r="F4" s="557"/>
      <c r="H4" s="510" t="s">
        <v>952</v>
      </c>
      <c r="I4" s="360" t="s">
        <v>937</v>
      </c>
      <c r="J4" s="511">
        <f>Input!D22*3/J3</f>
        <v>1644981.3037307514</v>
      </c>
      <c r="AI4">
        <v>0</v>
      </c>
      <c r="AJ4">
        <v>0</v>
      </c>
    </row>
    <row r="5" spans="2:36">
      <c r="B5" s="558" t="s">
        <v>877</v>
      </c>
      <c r="C5" s="360" t="s">
        <v>212</v>
      </c>
      <c r="D5" s="362">
        <v>12</v>
      </c>
      <c r="F5" s="557"/>
      <c r="H5" s="512" t="s">
        <v>953</v>
      </c>
      <c r="I5" s="505" t="s">
        <v>951</v>
      </c>
      <c r="J5" s="513">
        <v>0.65235197895611974</v>
      </c>
      <c r="AI5">
        <v>1</v>
      </c>
      <c r="AJ5">
        <v>31</v>
      </c>
    </row>
    <row r="6" spans="2:36">
      <c r="B6" s="558" t="s">
        <v>878</v>
      </c>
      <c r="C6" s="360" t="s">
        <v>212</v>
      </c>
      <c r="D6" s="362">
        <v>31</v>
      </c>
      <c r="F6" s="557"/>
      <c r="H6" s="514" t="s">
        <v>967</v>
      </c>
      <c r="I6" s="360" t="s">
        <v>926</v>
      </c>
      <c r="J6" s="515">
        <f>IF(Chiller_Staging="No", Chiller_Capacity/3520, Chiller_Capacity*2/3520)</f>
        <v>117.3818620707675</v>
      </c>
      <c r="AI6">
        <v>2</v>
      </c>
      <c r="AJ6">
        <v>59</v>
      </c>
    </row>
    <row r="7" spans="2:36" ht="13.5" thickBot="1">
      <c r="B7" s="559" t="s">
        <v>695</v>
      </c>
      <c r="C7" s="360" t="s">
        <v>212</v>
      </c>
      <c r="D7" s="362">
        <v>0.3</v>
      </c>
      <c r="F7" s="557"/>
      <c r="H7" s="516" t="s">
        <v>967</v>
      </c>
      <c r="I7" s="517" t="s">
        <v>937</v>
      </c>
      <c r="J7" s="518">
        <f>Input!D22*3/J6</f>
        <v>511.15222523755023</v>
      </c>
      <c r="AI7">
        <v>3</v>
      </c>
      <c r="AJ7">
        <v>90</v>
      </c>
    </row>
    <row r="8" spans="2:36">
      <c r="B8" s="560" t="s">
        <v>959</v>
      </c>
      <c r="C8" s="680" t="s">
        <v>349</v>
      </c>
      <c r="D8" s="681"/>
      <c r="E8" s="680" t="s">
        <v>350</v>
      </c>
      <c r="F8" s="682"/>
      <c r="H8" s="519" t="s">
        <v>954</v>
      </c>
      <c r="I8" s="508" t="s">
        <v>938</v>
      </c>
      <c r="J8" s="520">
        <v>110.24577332987816</v>
      </c>
      <c r="AI8">
        <v>4</v>
      </c>
      <c r="AJ8">
        <v>120</v>
      </c>
    </row>
    <row r="9" spans="2:36" ht="13.5" thickBot="1">
      <c r="B9" s="561" t="s">
        <v>910</v>
      </c>
      <c r="C9" s="517" t="s">
        <v>924</v>
      </c>
      <c r="D9" s="562" t="s">
        <v>879</v>
      </c>
      <c r="E9" s="517" t="s">
        <v>924</v>
      </c>
      <c r="F9" s="563" t="s">
        <v>879</v>
      </c>
      <c r="H9" s="521" t="s">
        <v>954</v>
      </c>
      <c r="I9" s="505" t="s">
        <v>927</v>
      </c>
      <c r="J9" s="513">
        <f>J8*1000/Input!D22/3</f>
        <v>1.8374295554979696</v>
      </c>
      <c r="AI9">
        <v>5</v>
      </c>
      <c r="AJ9">
        <v>151</v>
      </c>
    </row>
    <row r="10" spans="2:36">
      <c r="B10" s="524" t="s">
        <v>72</v>
      </c>
      <c r="C10" s="540">
        <v>0</v>
      </c>
      <c r="D10" s="541">
        <v>0</v>
      </c>
      <c r="E10" s="540">
        <v>817</v>
      </c>
      <c r="F10" s="542">
        <v>19.573550551030188</v>
      </c>
      <c r="H10" s="514" t="s">
        <v>968</v>
      </c>
      <c r="I10" s="360" t="s">
        <v>938</v>
      </c>
      <c r="J10" s="515">
        <f>IF(Boiler_Staging="No", Boiler_Capacity/0.293/1000, Boiler_Capacity*2/0.293/1000)</f>
        <v>289.1377989330461</v>
      </c>
      <c r="AI10">
        <v>6</v>
      </c>
      <c r="AJ10" s="45">
        <v>181</v>
      </c>
    </row>
    <row r="11" spans="2:36" ht="13.5" thickBot="1">
      <c r="B11" s="527" t="s">
        <v>73</v>
      </c>
      <c r="C11" s="361">
        <v>750</v>
      </c>
      <c r="D11" s="192">
        <v>17.96837565884044</v>
      </c>
      <c r="E11" s="361">
        <v>236</v>
      </c>
      <c r="F11" s="543">
        <v>5.6540488739817922</v>
      </c>
      <c r="H11" s="516" t="s">
        <v>968</v>
      </c>
      <c r="I11" s="517" t="s">
        <v>927</v>
      </c>
      <c r="J11" s="522">
        <f>J10*1000/Input!D22/3</f>
        <v>4.8189633155507687</v>
      </c>
      <c r="AI11">
        <v>7</v>
      </c>
      <c r="AJ11">
        <v>212</v>
      </c>
    </row>
    <row r="12" spans="2:36">
      <c r="B12" s="527" t="s">
        <v>74</v>
      </c>
      <c r="C12" s="361">
        <v>387</v>
      </c>
      <c r="D12" s="192">
        <v>9.2716818399616674</v>
      </c>
      <c r="E12" s="361">
        <v>196</v>
      </c>
      <c r="F12" s="543">
        <v>4.6957355055103021</v>
      </c>
      <c r="H12" s="519" t="s">
        <v>955</v>
      </c>
      <c r="I12" s="508" t="s">
        <v>108</v>
      </c>
      <c r="J12" s="523">
        <v>33531.366217700393</v>
      </c>
      <c r="AI12">
        <v>8</v>
      </c>
      <c r="AJ12">
        <v>243</v>
      </c>
    </row>
    <row r="13" spans="2:36">
      <c r="B13" s="527" t="s">
        <v>398</v>
      </c>
      <c r="C13" s="361">
        <v>764</v>
      </c>
      <c r="D13" s="192">
        <v>18.303785337805461</v>
      </c>
      <c r="E13" s="361">
        <v>218</v>
      </c>
      <c r="F13" s="543">
        <v>5.2228078581696211</v>
      </c>
      <c r="H13" s="521" t="s">
        <v>955</v>
      </c>
      <c r="I13" s="505" t="s">
        <v>29</v>
      </c>
      <c r="J13" s="513">
        <f>J12/Input!D22/3</f>
        <v>0.55885610362833982</v>
      </c>
      <c r="AI13">
        <v>9</v>
      </c>
      <c r="AJ13">
        <v>273</v>
      </c>
    </row>
    <row r="14" spans="2:36" ht="13.5" thickBot="1">
      <c r="B14" s="529" t="s">
        <v>399</v>
      </c>
      <c r="C14" s="544">
        <v>346</v>
      </c>
      <c r="D14" s="545">
        <v>8.2894106372783902</v>
      </c>
      <c r="E14" s="544">
        <v>225</v>
      </c>
      <c r="F14" s="546">
        <v>5.3905126976521318</v>
      </c>
      <c r="H14" s="514" t="s">
        <v>969</v>
      </c>
      <c r="I14" s="360" t="s">
        <v>108</v>
      </c>
      <c r="J14" s="511">
        <f>Central_SupplyFan_MaxFlow*35.315*60</f>
        <v>87669.580460873374</v>
      </c>
      <c r="AI14">
        <v>10</v>
      </c>
      <c r="AJ14">
        <v>304</v>
      </c>
    </row>
    <row r="15" spans="2:36" ht="13.5" thickBot="1">
      <c r="B15" s="524" t="s">
        <v>405</v>
      </c>
      <c r="C15" s="540">
        <v>8</v>
      </c>
      <c r="D15" s="541">
        <v>0.19166267369429804</v>
      </c>
      <c r="E15" s="540">
        <v>166</v>
      </c>
      <c r="F15" s="542">
        <v>3.9770004791566844</v>
      </c>
      <c r="H15" s="516" t="s">
        <v>969</v>
      </c>
      <c r="I15" s="517" t="s">
        <v>29</v>
      </c>
      <c r="J15" s="522">
        <f>J14/Input!D22/3</f>
        <v>1.4611596743478896</v>
      </c>
      <c r="AI15">
        <v>11</v>
      </c>
      <c r="AJ15">
        <v>334</v>
      </c>
    </row>
    <row r="16" spans="2:36" ht="13.5" thickBot="1">
      <c r="B16" s="527" t="s">
        <v>406</v>
      </c>
      <c r="C16" s="361">
        <v>494</v>
      </c>
      <c r="D16" s="192">
        <v>11.835170100622904</v>
      </c>
      <c r="E16" s="361">
        <v>115</v>
      </c>
      <c r="F16" s="543">
        <v>2.7551509343555343</v>
      </c>
      <c r="AI16">
        <v>12</v>
      </c>
      <c r="AJ16">
        <v>365</v>
      </c>
    </row>
    <row r="17" spans="1:14" ht="13.5" thickBot="1">
      <c r="B17" s="527" t="s">
        <v>407</v>
      </c>
      <c r="C17" s="361">
        <v>305</v>
      </c>
      <c r="D17" s="192">
        <v>7.3071394345951122</v>
      </c>
      <c r="E17" s="361">
        <v>100</v>
      </c>
      <c r="F17" s="543">
        <v>2.3957834211787254</v>
      </c>
      <c r="H17" s="686" t="s">
        <v>957</v>
      </c>
      <c r="I17" s="687"/>
      <c r="J17" s="688"/>
    </row>
    <row r="18" spans="1:14">
      <c r="B18" s="527" t="s">
        <v>408</v>
      </c>
      <c r="C18" s="361">
        <v>536</v>
      </c>
      <c r="D18" s="192">
        <v>12.841399137517968</v>
      </c>
      <c r="E18" s="361">
        <v>79</v>
      </c>
      <c r="F18" s="543">
        <v>1.8926689027311931</v>
      </c>
      <c r="H18" s="524" t="s">
        <v>400</v>
      </c>
      <c r="I18" s="525" t="s">
        <v>923</v>
      </c>
      <c r="J18" s="526">
        <f>'imf input text'!E141*35.315*60/'imf input text'!E47/Sizing_Factor</f>
        <v>75.000000000000014</v>
      </c>
    </row>
    <row r="19" spans="1:14" ht="13.5" thickBot="1">
      <c r="B19" s="527" t="s">
        <v>409</v>
      </c>
      <c r="C19" s="361">
        <v>257</v>
      </c>
      <c r="D19" s="192">
        <v>6.1571633924293243</v>
      </c>
      <c r="E19" s="361">
        <v>119</v>
      </c>
      <c r="F19" s="543">
        <v>2.8509822712026831</v>
      </c>
      <c r="H19" s="527" t="s">
        <v>401</v>
      </c>
      <c r="I19" s="501" t="s">
        <v>923</v>
      </c>
      <c r="J19" s="528">
        <f>'imf input text'!E135*35.315*60/'imf input text'!E26/Sizing_Factor</f>
        <v>224.99999999999997</v>
      </c>
    </row>
    <row r="20" spans="1:14">
      <c r="B20" s="524" t="s">
        <v>400</v>
      </c>
      <c r="C20" s="540">
        <v>0</v>
      </c>
      <c r="D20" s="541">
        <v>0</v>
      </c>
      <c r="E20" s="540">
        <v>543</v>
      </c>
      <c r="F20" s="542">
        <v>13.009103977000478</v>
      </c>
      <c r="H20" s="527" t="s">
        <v>402</v>
      </c>
      <c r="I20" s="501" t="s">
        <v>923</v>
      </c>
      <c r="J20" s="528">
        <f>'imf input text'!E136*35.315*60/'imf input text'!E27/Sizing_Factor</f>
        <v>225</v>
      </c>
    </row>
    <row r="21" spans="1:14">
      <c r="B21" s="527" t="s">
        <v>401</v>
      </c>
      <c r="C21" s="361">
        <v>482</v>
      </c>
      <c r="D21" s="192">
        <v>11.547676090081456</v>
      </c>
      <c r="E21" s="361">
        <v>203</v>
      </c>
      <c r="F21" s="543">
        <v>4.8634403449928127</v>
      </c>
      <c r="H21" s="527" t="s">
        <v>403</v>
      </c>
      <c r="I21" s="501" t="s">
        <v>923</v>
      </c>
      <c r="J21" s="597" t="s">
        <v>1054</v>
      </c>
    </row>
    <row r="22" spans="1:14" ht="13.5" thickBot="1">
      <c r="B22" s="527" t="s">
        <v>402</v>
      </c>
      <c r="C22" s="361">
        <v>265</v>
      </c>
      <c r="D22" s="192">
        <v>6.348826066123622</v>
      </c>
      <c r="E22" s="361">
        <v>164</v>
      </c>
      <c r="F22" s="543">
        <v>3.9290848107331096</v>
      </c>
      <c r="H22" s="529" t="s">
        <v>404</v>
      </c>
      <c r="I22" s="530" t="s">
        <v>923</v>
      </c>
      <c r="J22" s="531">
        <f>'imf input text'!E138*35.315*60/'imf input text'!E29/Sizing_Factor</f>
        <v>224.99999999999997</v>
      </c>
    </row>
    <row r="23" spans="1:14">
      <c r="B23" s="527" t="s">
        <v>403</v>
      </c>
      <c r="C23" s="361">
        <v>516</v>
      </c>
      <c r="D23" s="192">
        <v>12.362242453282223</v>
      </c>
      <c r="E23" s="361">
        <v>183</v>
      </c>
      <c r="F23" s="543">
        <v>4.3842836607570677</v>
      </c>
      <c r="H23" s="524" t="s">
        <v>405</v>
      </c>
      <c r="I23" s="525" t="s">
        <v>923</v>
      </c>
      <c r="J23" s="526">
        <f>'imf input text'!E140*35.315*60/'imf input text'!E46/Sizing_Factor</f>
        <v>75.000000000000014</v>
      </c>
      <c r="K23" s="443"/>
      <c r="N23" s="443"/>
    </row>
    <row r="24" spans="1:14" ht="13.5" thickBot="1">
      <c r="B24" s="529" t="s">
        <v>404</v>
      </c>
      <c r="C24" s="544">
        <v>184</v>
      </c>
      <c r="D24" s="545">
        <v>4.4082414949688546</v>
      </c>
      <c r="E24" s="544">
        <v>194</v>
      </c>
      <c r="F24" s="546">
        <v>4.6478198370867272</v>
      </c>
      <c r="H24" s="527" t="s">
        <v>406</v>
      </c>
      <c r="I24" s="501" t="s">
        <v>923</v>
      </c>
      <c r="J24" s="528">
        <f>'imf input text'!E131*35.315*60/'imf input text'!E22/Sizing_Factor</f>
        <v>225</v>
      </c>
      <c r="K24" s="443"/>
      <c r="N24" s="442"/>
    </row>
    <row r="25" spans="1:14">
      <c r="H25" s="527" t="s">
        <v>407</v>
      </c>
      <c r="I25" s="501" t="s">
        <v>923</v>
      </c>
      <c r="J25" s="528">
        <f>'imf input text'!E132*35.315*60/'imf input text'!E23/Sizing_Factor</f>
        <v>225</v>
      </c>
      <c r="K25" s="443"/>
      <c r="N25" s="442"/>
    </row>
    <row r="26" spans="1:14" ht="13.5" thickBot="1">
      <c r="B26" s="359"/>
      <c r="H26" s="527" t="s">
        <v>408</v>
      </c>
      <c r="I26" s="501" t="s">
        <v>923</v>
      </c>
      <c r="J26" s="597" t="s">
        <v>1054</v>
      </c>
      <c r="K26" s="443"/>
      <c r="N26" s="442"/>
    </row>
    <row r="27" spans="1:14" ht="13.5" thickBot="1">
      <c r="B27" s="683"/>
      <c r="C27" s="684"/>
      <c r="D27" s="684"/>
      <c r="E27" s="684"/>
      <c r="F27" s="685"/>
      <c r="H27" s="529" t="s">
        <v>409</v>
      </c>
      <c r="I27" s="530" t="s">
        <v>923</v>
      </c>
      <c r="J27" s="531">
        <f>'imf input text'!E134*35.315*60/'imf input text'!E25/Sizing_Factor</f>
        <v>225</v>
      </c>
      <c r="K27" s="443"/>
      <c r="N27" s="442"/>
    </row>
    <row r="28" spans="1:14">
      <c r="B28" s="510" t="s">
        <v>875</v>
      </c>
      <c r="C28" s="360" t="s">
        <v>212</v>
      </c>
      <c r="D28" s="592">
        <v>1</v>
      </c>
      <c r="F28" s="557"/>
      <c r="H28" s="524" t="s">
        <v>72</v>
      </c>
      <c r="I28" s="525" t="s">
        <v>923</v>
      </c>
      <c r="J28" s="526">
        <f>'imf input text'!E139*35.315*60/UFAD_Int_NumDiffs_GF/Sizing_Factor</f>
        <v>75.000000000000014</v>
      </c>
      <c r="K28" s="443"/>
      <c r="N28" s="442"/>
    </row>
    <row r="29" spans="1:14">
      <c r="A29" s="359"/>
      <c r="B29" s="558" t="s">
        <v>876</v>
      </c>
      <c r="C29" s="360" t="s">
        <v>212</v>
      </c>
      <c r="D29" s="592">
        <v>1</v>
      </c>
      <c r="F29" s="557"/>
      <c r="H29" s="527" t="s">
        <v>73</v>
      </c>
      <c r="I29" s="501" t="s">
        <v>923</v>
      </c>
      <c r="J29" s="528">
        <f>FSFan_Max_CoolingAir_GFEast*35.315*60/UFAD_NumDiffs_GFE/Sizing_Factor</f>
        <v>225.00000000000006</v>
      </c>
      <c r="K29" s="443"/>
      <c r="N29" s="442"/>
    </row>
    <row r="30" spans="1:14">
      <c r="B30" s="558" t="s">
        <v>877</v>
      </c>
      <c r="C30" s="360" t="s">
        <v>212</v>
      </c>
      <c r="D30" s="592">
        <v>1</v>
      </c>
      <c r="F30" s="557"/>
      <c r="H30" s="527" t="s">
        <v>74</v>
      </c>
      <c r="I30" s="501" t="s">
        <v>923</v>
      </c>
      <c r="J30" s="528">
        <f>'imf input text'!E128*35.315*60/'imf input text'!E19/Sizing_Factor</f>
        <v>224.99999999999997</v>
      </c>
      <c r="K30" s="443"/>
      <c r="N30" s="442"/>
    </row>
    <row r="31" spans="1:14">
      <c r="B31" s="558" t="s">
        <v>878</v>
      </c>
      <c r="C31" s="360" t="s">
        <v>212</v>
      </c>
      <c r="D31" s="592">
        <v>1</v>
      </c>
      <c r="F31" s="557"/>
      <c r="H31" s="527" t="s">
        <v>398</v>
      </c>
      <c r="I31" s="501" t="s">
        <v>923</v>
      </c>
      <c r="J31" s="597" t="s">
        <v>1054</v>
      </c>
      <c r="K31" s="443"/>
      <c r="N31" s="442"/>
    </row>
    <row r="32" spans="1:14" ht="13.5" thickBot="1">
      <c r="B32" s="559" t="s">
        <v>695</v>
      </c>
      <c r="C32" s="360" t="s">
        <v>212</v>
      </c>
      <c r="D32" s="592">
        <v>0.3</v>
      </c>
      <c r="F32" s="557"/>
      <c r="H32" s="529" t="s">
        <v>399</v>
      </c>
      <c r="I32" s="530" t="s">
        <v>923</v>
      </c>
      <c r="J32" s="531">
        <f>'imf input text'!E130*35.315*60/'imf input text'!E21/Sizing_Factor</f>
        <v>225</v>
      </c>
      <c r="K32" s="443"/>
      <c r="N32" s="442"/>
    </row>
    <row r="33" spans="2:14" ht="13.5" thickBot="1">
      <c r="B33" s="560" t="s">
        <v>959</v>
      </c>
      <c r="C33" s="680" t="s">
        <v>349</v>
      </c>
      <c r="D33" s="681"/>
      <c r="E33" s="680" t="s">
        <v>350</v>
      </c>
      <c r="F33" s="682"/>
      <c r="K33" s="443"/>
      <c r="N33" s="442"/>
    </row>
    <row r="34" spans="2:14" ht="13.5" thickBot="1">
      <c r="B34" s="561" t="s">
        <v>910</v>
      </c>
      <c r="C34" s="517" t="s">
        <v>924</v>
      </c>
      <c r="D34" s="562" t="s">
        <v>879</v>
      </c>
      <c r="E34" s="517" t="s">
        <v>924</v>
      </c>
      <c r="F34" s="563" t="s">
        <v>879</v>
      </c>
      <c r="H34" s="683" t="s">
        <v>961</v>
      </c>
      <c r="I34" s="684"/>
      <c r="J34" s="684"/>
      <c r="K34" s="685"/>
      <c r="N34" s="442"/>
    </row>
    <row r="35" spans="2:14" ht="13.5" thickBot="1">
      <c r="B35" s="524" t="s">
        <v>72</v>
      </c>
      <c r="C35" s="540">
        <v>0</v>
      </c>
      <c r="D35" s="541">
        <v>0</v>
      </c>
      <c r="E35" s="540">
        <v>11</v>
      </c>
      <c r="F35" s="542">
        <v>100</v>
      </c>
      <c r="H35" s="554" t="s">
        <v>958</v>
      </c>
      <c r="I35" s="555" t="s">
        <v>929</v>
      </c>
      <c r="J35" s="555" t="s">
        <v>522</v>
      </c>
      <c r="K35" s="556" t="s">
        <v>928</v>
      </c>
      <c r="N35" s="442"/>
    </row>
    <row r="36" spans="2:14">
      <c r="B36" s="527" t="s">
        <v>73</v>
      </c>
      <c r="C36" s="361">
        <v>0</v>
      </c>
      <c r="D36" s="192">
        <v>0</v>
      </c>
      <c r="E36" s="361">
        <v>7</v>
      </c>
      <c r="F36" s="543">
        <v>63.636363636363633</v>
      </c>
      <c r="H36" s="532" t="s">
        <v>400</v>
      </c>
      <c r="I36" s="533">
        <v>0.50368248643834768</v>
      </c>
      <c r="J36" s="533">
        <v>0.42408275447599997</v>
      </c>
      <c r="K36" s="534">
        <v>7.2234759085652217E-2</v>
      </c>
      <c r="N36" s="442"/>
    </row>
    <row r="37" spans="2:14">
      <c r="B37" s="527" t="s">
        <v>74</v>
      </c>
      <c r="C37" s="361">
        <v>0</v>
      </c>
      <c r="D37" s="192">
        <v>0</v>
      </c>
      <c r="E37" s="361">
        <v>7</v>
      </c>
      <c r="F37" s="543">
        <v>63.636363636363633</v>
      </c>
      <c r="H37" s="510" t="s">
        <v>401</v>
      </c>
      <c r="I37" s="440">
        <v>0.28745968700858593</v>
      </c>
      <c r="J37" s="440">
        <v>0.62488895736354255</v>
      </c>
      <c r="K37" s="535">
        <v>8.7651355627871436E-2</v>
      </c>
      <c r="N37" s="442"/>
    </row>
    <row r="38" spans="2:14">
      <c r="B38" s="527" t="s">
        <v>398</v>
      </c>
      <c r="C38" s="361">
        <v>0</v>
      </c>
      <c r="D38" s="192">
        <v>0</v>
      </c>
      <c r="E38" s="361">
        <v>6</v>
      </c>
      <c r="F38" s="543">
        <v>54.545454545454547</v>
      </c>
      <c r="H38" s="510" t="s">
        <v>402</v>
      </c>
      <c r="I38" s="440">
        <v>0.22461198000196322</v>
      </c>
      <c r="J38" s="440">
        <v>0.646317896095296</v>
      </c>
      <c r="K38" s="535">
        <v>0.12907012390274078</v>
      </c>
    </row>
    <row r="39" spans="2:14" ht="13.5" thickBot="1">
      <c r="B39" s="529" t="s">
        <v>399</v>
      </c>
      <c r="C39" s="544">
        <v>0</v>
      </c>
      <c r="D39" s="545">
        <v>0</v>
      </c>
      <c r="E39" s="544">
        <v>6</v>
      </c>
      <c r="F39" s="546">
        <v>54.545454545454547</v>
      </c>
      <c r="H39" s="510" t="s">
        <v>403</v>
      </c>
      <c r="I39" s="440">
        <v>0.27147409965318381</v>
      </c>
      <c r="J39" s="440">
        <v>0.56321101352050251</v>
      </c>
      <c r="K39" s="535">
        <v>0.16531488682631362</v>
      </c>
    </row>
    <row r="40" spans="2:14" ht="13.5" thickBot="1">
      <c r="B40" s="524" t="s">
        <v>405</v>
      </c>
      <c r="C40" s="540">
        <v>0</v>
      </c>
      <c r="D40" s="541">
        <v>0</v>
      </c>
      <c r="E40" s="540">
        <v>11</v>
      </c>
      <c r="F40" s="542">
        <v>100</v>
      </c>
      <c r="H40" s="536" t="s">
        <v>404</v>
      </c>
      <c r="I40" s="537">
        <v>0.28602923023450116</v>
      </c>
      <c r="J40" s="537">
        <v>0.5517064143519278</v>
      </c>
      <c r="K40" s="538">
        <v>0.16226435541357107</v>
      </c>
    </row>
    <row r="41" spans="2:14">
      <c r="B41" s="527" t="s">
        <v>406</v>
      </c>
      <c r="C41" s="361">
        <v>0</v>
      </c>
      <c r="D41" s="192">
        <v>0</v>
      </c>
      <c r="E41" s="361">
        <v>6</v>
      </c>
      <c r="F41" s="543">
        <v>54.545454545454547</v>
      </c>
      <c r="H41" s="524" t="s">
        <v>405</v>
      </c>
      <c r="I41" s="533">
        <v>0.49784649513396073</v>
      </c>
      <c r="J41" s="533">
        <v>0.50084812395700551</v>
      </c>
      <c r="K41" s="539">
        <v>1.3053809090336674E-3</v>
      </c>
    </row>
    <row r="42" spans="2:14">
      <c r="B42" s="527" t="s">
        <v>407</v>
      </c>
      <c r="C42" s="361">
        <v>0</v>
      </c>
      <c r="D42" s="192">
        <v>0</v>
      </c>
      <c r="E42" s="361">
        <v>6</v>
      </c>
      <c r="F42" s="543">
        <v>54.545454545454547</v>
      </c>
      <c r="H42" s="527" t="s">
        <v>406</v>
      </c>
      <c r="I42" s="440">
        <v>0.29711906338505911</v>
      </c>
      <c r="J42" s="440">
        <v>0.66857026746141468</v>
      </c>
      <c r="K42" s="535">
        <v>3.4310669153526131E-2</v>
      </c>
    </row>
    <row r="43" spans="2:14">
      <c r="B43" s="527" t="s">
        <v>408</v>
      </c>
      <c r="C43" s="361">
        <v>0</v>
      </c>
      <c r="D43" s="192">
        <v>0</v>
      </c>
      <c r="E43" s="361">
        <v>5</v>
      </c>
      <c r="F43" s="543">
        <v>45.454545454545453</v>
      </c>
      <c r="H43" s="527" t="s">
        <v>407</v>
      </c>
      <c r="I43" s="440">
        <v>0.2418921810668839</v>
      </c>
      <c r="J43" s="440">
        <v>0.72197409196860174</v>
      </c>
      <c r="K43" s="535">
        <v>3.6133726964514404E-2</v>
      </c>
    </row>
    <row r="44" spans="2:14" ht="13.5" thickBot="1">
      <c r="B44" s="527" t="s">
        <v>409</v>
      </c>
      <c r="C44" s="361">
        <v>0</v>
      </c>
      <c r="D44" s="192">
        <v>0</v>
      </c>
      <c r="E44" s="361">
        <v>6</v>
      </c>
      <c r="F44" s="543">
        <v>54.545454545454547</v>
      </c>
      <c r="H44" s="527" t="s">
        <v>408</v>
      </c>
      <c r="I44" s="440">
        <v>0.30440251439653332</v>
      </c>
      <c r="J44" s="440">
        <v>0.65080809997382871</v>
      </c>
      <c r="K44" s="535">
        <v>4.4789385629637919E-2</v>
      </c>
    </row>
    <row r="45" spans="2:14" ht="13.5" thickBot="1">
      <c r="B45" s="524" t="s">
        <v>400</v>
      </c>
      <c r="C45" s="540">
        <v>0</v>
      </c>
      <c r="D45" s="541">
        <v>0</v>
      </c>
      <c r="E45" s="540">
        <v>11</v>
      </c>
      <c r="F45" s="542">
        <v>100</v>
      </c>
      <c r="H45" s="529" t="s">
        <v>409</v>
      </c>
      <c r="I45" s="537">
        <v>0.38439777756226873</v>
      </c>
      <c r="J45" s="537">
        <v>0.58388410601003671</v>
      </c>
      <c r="K45" s="538">
        <v>3.1718116427694565E-2</v>
      </c>
    </row>
    <row r="46" spans="2:14">
      <c r="B46" s="527" t="s">
        <v>401</v>
      </c>
      <c r="C46" s="361">
        <v>0</v>
      </c>
      <c r="D46" s="192">
        <v>0</v>
      </c>
      <c r="E46" s="361">
        <v>7</v>
      </c>
      <c r="F46" s="543">
        <v>63.636363636363633</v>
      </c>
      <c r="H46" s="532" t="s">
        <v>72</v>
      </c>
      <c r="I46" s="533">
        <v>0.69484794713421882</v>
      </c>
      <c r="J46" s="533">
        <v>0.26805260035890838</v>
      </c>
      <c r="K46" s="534">
        <v>3.7099452506872931E-2</v>
      </c>
    </row>
    <row r="47" spans="2:14">
      <c r="B47" s="527" t="s">
        <v>402</v>
      </c>
      <c r="C47" s="361">
        <v>0</v>
      </c>
      <c r="D47" s="192">
        <v>0</v>
      </c>
      <c r="E47" s="361">
        <v>7</v>
      </c>
      <c r="F47" s="543">
        <v>63.636363636363633</v>
      </c>
      <c r="H47" s="510" t="s">
        <v>73</v>
      </c>
      <c r="I47" s="440">
        <v>0.16781374782649652</v>
      </c>
      <c r="J47" s="440">
        <v>0.82071618844952987</v>
      </c>
      <c r="K47" s="535">
        <v>1.1470063723973635E-2</v>
      </c>
    </row>
    <row r="48" spans="2:14">
      <c r="B48" s="527" t="s">
        <v>403</v>
      </c>
      <c r="C48" s="361">
        <v>0</v>
      </c>
      <c r="D48" s="192">
        <v>0</v>
      </c>
      <c r="E48" s="361">
        <v>6</v>
      </c>
      <c r="F48" s="543">
        <v>54.545454545454547</v>
      </c>
      <c r="H48" s="510" t="s">
        <v>74</v>
      </c>
      <c r="I48" s="440">
        <v>0.15288850376574054</v>
      </c>
      <c r="J48" s="440">
        <v>0.82374531075747215</v>
      </c>
      <c r="K48" s="535">
        <v>2.3366185476787257E-2</v>
      </c>
    </row>
    <row r="49" spans="2:11" ht="13.5" thickBot="1">
      <c r="B49" s="529" t="s">
        <v>404</v>
      </c>
      <c r="C49" s="544">
        <v>0</v>
      </c>
      <c r="D49" s="545">
        <v>0</v>
      </c>
      <c r="E49" s="544">
        <v>7</v>
      </c>
      <c r="F49" s="546">
        <v>63.636363636363633</v>
      </c>
      <c r="H49" s="510" t="s">
        <v>398</v>
      </c>
      <c r="I49" s="440">
        <v>0.18443345692103133</v>
      </c>
      <c r="J49" s="440">
        <v>0.79574886406684964</v>
      </c>
      <c r="K49" s="535">
        <v>1.981767901211904E-2</v>
      </c>
    </row>
    <row r="50" spans="2:11" ht="13.5" thickBot="1">
      <c r="H50" s="536" t="s">
        <v>399</v>
      </c>
      <c r="I50" s="537">
        <v>0.19788354240762324</v>
      </c>
      <c r="J50" s="537">
        <v>0.80103928913082312</v>
      </c>
      <c r="K50" s="538">
        <v>1.0771684615536055E-3</v>
      </c>
    </row>
  </sheetData>
  <mergeCells count="9">
    <mergeCell ref="C33:D33"/>
    <mergeCell ref="E33:F33"/>
    <mergeCell ref="H34:K34"/>
    <mergeCell ref="B2:F2"/>
    <mergeCell ref="C8:D8"/>
    <mergeCell ref="E8:F8"/>
    <mergeCell ref="H2:J2"/>
    <mergeCell ref="H17:J17"/>
    <mergeCell ref="B27:F27"/>
  </mergeCells>
  <phoneticPr fontId="72" type="noConversion"/>
  <dataValidations count="1">
    <dataValidation type="list" allowBlank="1" showInputMessage="1" showErrorMessage="1" sqref="D5 D3 D30 D28">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581025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27</xdr:row>
                    <xdr:rowOff>0</xdr:rowOff>
                  </from>
                  <to>
                    <xdr:col>5</xdr:col>
                    <xdr:colOff>581025</xdr:colOff>
                    <xdr:row>31</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3035"/>
  <sheetViews>
    <sheetView zoomScaleNormal="100" workbookViewId="0"/>
  </sheetViews>
  <sheetFormatPr defaultRowHeight="12.75"/>
  <cols>
    <col min="2" max="2" width="21" customWidth="1"/>
    <col min="7" max="7" width="17.28515625" customWidth="1"/>
  </cols>
  <sheetData>
    <row r="1" spans="1:4">
      <c r="A1" t="s">
        <v>1907</v>
      </c>
      <c r="B1" t="s">
        <v>1908</v>
      </c>
      <c r="C1" t="s">
        <v>1909</v>
      </c>
      <c r="D1" t="s">
        <v>2999</v>
      </c>
    </row>
    <row r="2" spans="1:4">
      <c r="A2" t="s">
        <v>1910</v>
      </c>
      <c r="B2" t="s">
        <v>1911</v>
      </c>
    </row>
    <row r="4" spans="1:4">
      <c r="A4" t="s">
        <v>1912</v>
      </c>
      <c r="B4" t="s">
        <v>355</v>
      </c>
    </row>
    <row r="5" spans="1:4">
      <c r="A5" t="s">
        <v>1913</v>
      </c>
      <c r="B5" t="s">
        <v>2489</v>
      </c>
    </row>
    <row r="7" spans="1:4">
      <c r="A7" t="s">
        <v>1914</v>
      </c>
    </row>
    <row r="8" spans="1:4">
      <c r="A8" t="s">
        <v>1915</v>
      </c>
      <c r="B8" t="s">
        <v>1916</v>
      </c>
    </row>
    <row r="9" spans="1:4">
      <c r="A9" t="s">
        <v>1917</v>
      </c>
      <c r="B9" t="s">
        <v>1918</v>
      </c>
    </row>
    <row r="10" spans="1:4">
      <c r="A10" t="s">
        <v>3001</v>
      </c>
    </row>
    <row r="12" spans="1:4">
      <c r="A12" t="s">
        <v>3000</v>
      </c>
    </row>
    <row r="16" spans="1:4">
      <c r="A16" t="s">
        <v>1919</v>
      </c>
    </row>
    <row r="18" spans="1:5">
      <c r="C18" t="s">
        <v>1920</v>
      </c>
      <c r="D18" t="s">
        <v>1921</v>
      </c>
      <c r="E18" t="s">
        <v>1922</v>
      </c>
    </row>
    <row r="19" spans="1:5">
      <c r="B19" t="s">
        <v>1923</v>
      </c>
      <c r="C19">
        <v>1458.88</v>
      </c>
      <c r="D19">
        <v>0.09</v>
      </c>
      <c r="E19">
        <v>0.09</v>
      </c>
    </row>
    <row r="20" spans="1:5">
      <c r="B20" t="s">
        <v>1924</v>
      </c>
      <c r="C20">
        <v>1458.88</v>
      </c>
      <c r="D20">
        <v>0.09</v>
      </c>
      <c r="E20">
        <v>0.09</v>
      </c>
    </row>
    <row r="21" spans="1:5">
      <c r="B21" t="s">
        <v>1925</v>
      </c>
      <c r="C21">
        <v>4445.28</v>
      </c>
      <c r="D21">
        <v>0.27</v>
      </c>
      <c r="E21">
        <v>0.27</v>
      </c>
    </row>
    <row r="22" spans="1:5">
      <c r="B22" t="s">
        <v>1926</v>
      </c>
      <c r="C22">
        <v>4445.28</v>
      </c>
      <c r="D22">
        <v>0.27</v>
      </c>
      <c r="E22">
        <v>0.27</v>
      </c>
    </row>
    <row r="25" spans="1:5">
      <c r="A25" t="s">
        <v>1927</v>
      </c>
    </row>
    <row r="27" spans="1:5">
      <c r="C27" t="s">
        <v>1928</v>
      </c>
    </row>
    <row r="28" spans="1:5">
      <c r="B28" t="s">
        <v>1929</v>
      </c>
      <c r="C28">
        <v>3.1669999999999998</v>
      </c>
    </row>
    <row r="29" spans="1:5">
      <c r="B29" t="s">
        <v>1930</v>
      </c>
      <c r="C29">
        <v>1.0840000000000001</v>
      </c>
    </row>
    <row r="30" spans="1:5">
      <c r="B30" t="s">
        <v>1931</v>
      </c>
      <c r="C30">
        <v>1.056</v>
      </c>
    </row>
    <row r="31" spans="1:5">
      <c r="B31" t="s">
        <v>1932</v>
      </c>
      <c r="C31">
        <v>3.613</v>
      </c>
    </row>
    <row r="32" spans="1:5">
      <c r="B32" t="s">
        <v>1933</v>
      </c>
      <c r="C32">
        <v>0.3</v>
      </c>
    </row>
    <row r="33" spans="1:3">
      <c r="B33" t="s">
        <v>1934</v>
      </c>
      <c r="C33">
        <v>1.05</v>
      </c>
    </row>
    <row r="34" spans="1:3">
      <c r="B34" t="s">
        <v>1935</v>
      </c>
      <c r="C34">
        <v>1.05</v>
      </c>
    </row>
    <row r="35" spans="1:3">
      <c r="B35" t="s">
        <v>1936</v>
      </c>
      <c r="C35">
        <v>1.05</v>
      </c>
    </row>
    <row r="36" spans="1:3">
      <c r="B36" t="s">
        <v>1937</v>
      </c>
      <c r="C36">
        <v>1.05</v>
      </c>
    </row>
    <row r="37" spans="1:3">
      <c r="B37" t="s">
        <v>1938</v>
      </c>
      <c r="C37">
        <v>1.05</v>
      </c>
    </row>
    <row r="38" spans="1:3">
      <c r="B38" t="s">
        <v>1939</v>
      </c>
      <c r="C38">
        <v>1.05</v>
      </c>
    </row>
    <row r="41" spans="1:3">
      <c r="A41" t="s">
        <v>1940</v>
      </c>
    </row>
    <row r="43" spans="1:3">
      <c r="C43" t="s">
        <v>1941</v>
      </c>
    </row>
    <row r="44" spans="1:3">
      <c r="B44" t="s">
        <v>1942</v>
      </c>
      <c r="C44">
        <v>16728.63</v>
      </c>
    </row>
    <row r="45" spans="1:3">
      <c r="B45" t="s">
        <v>1943</v>
      </c>
      <c r="C45">
        <v>16728.63</v>
      </c>
    </row>
    <row r="46" spans="1:3">
      <c r="B46" t="s">
        <v>1944</v>
      </c>
      <c r="C46">
        <v>0</v>
      </c>
    </row>
    <row r="49" spans="1:8">
      <c r="A49" t="s">
        <v>1945</v>
      </c>
    </row>
    <row r="51" spans="1:8">
      <c r="C51" t="s">
        <v>1946</v>
      </c>
      <c r="D51" t="s">
        <v>1947</v>
      </c>
      <c r="E51" t="s">
        <v>1948</v>
      </c>
      <c r="F51" t="s">
        <v>1949</v>
      </c>
      <c r="G51" t="s">
        <v>1950</v>
      </c>
      <c r="H51" t="s">
        <v>1951</v>
      </c>
    </row>
    <row r="52" spans="1:8">
      <c r="B52" t="s">
        <v>350</v>
      </c>
      <c r="C52">
        <v>0</v>
      </c>
      <c r="D52">
        <v>84</v>
      </c>
      <c r="E52">
        <v>0</v>
      </c>
      <c r="F52">
        <v>0</v>
      </c>
      <c r="G52">
        <v>0</v>
      </c>
      <c r="H52">
        <v>0</v>
      </c>
    </row>
    <row r="53" spans="1:8">
      <c r="B53" t="s">
        <v>349</v>
      </c>
      <c r="C53">
        <v>0.42</v>
      </c>
      <c r="D53">
        <v>0</v>
      </c>
      <c r="E53">
        <v>0</v>
      </c>
      <c r="F53">
        <v>0</v>
      </c>
      <c r="G53">
        <v>0</v>
      </c>
      <c r="H53">
        <v>0</v>
      </c>
    </row>
    <row r="54" spans="1:8">
      <c r="B54" t="s">
        <v>1952</v>
      </c>
      <c r="C54">
        <v>632.34</v>
      </c>
      <c r="D54">
        <v>0</v>
      </c>
      <c r="E54">
        <v>0</v>
      </c>
      <c r="F54">
        <v>0</v>
      </c>
      <c r="G54">
        <v>0</v>
      </c>
      <c r="H54">
        <v>0</v>
      </c>
    </row>
    <row r="55" spans="1:8">
      <c r="B55" t="s">
        <v>1953</v>
      </c>
      <c r="C55">
        <v>0</v>
      </c>
      <c r="D55">
        <v>0</v>
      </c>
      <c r="E55">
        <v>0</v>
      </c>
      <c r="F55">
        <v>0</v>
      </c>
      <c r="G55">
        <v>0</v>
      </c>
      <c r="H55">
        <v>0</v>
      </c>
    </row>
    <row r="56" spans="1:8">
      <c r="B56" t="s">
        <v>1954</v>
      </c>
      <c r="C56">
        <v>636.86</v>
      </c>
      <c r="D56">
        <v>0</v>
      </c>
      <c r="E56">
        <v>0</v>
      </c>
      <c r="F56">
        <v>0</v>
      </c>
      <c r="G56">
        <v>0</v>
      </c>
      <c r="H56">
        <v>0</v>
      </c>
    </row>
    <row r="57" spans="1:8">
      <c r="B57" t="s">
        <v>1955</v>
      </c>
      <c r="C57">
        <v>0</v>
      </c>
      <c r="D57">
        <v>0</v>
      </c>
      <c r="E57">
        <v>0</v>
      </c>
      <c r="F57">
        <v>0</v>
      </c>
      <c r="G57">
        <v>0</v>
      </c>
      <c r="H57">
        <v>0</v>
      </c>
    </row>
    <row r="58" spans="1:8">
      <c r="B58" t="s">
        <v>501</v>
      </c>
      <c r="C58">
        <v>100.44</v>
      </c>
      <c r="D58">
        <v>0</v>
      </c>
      <c r="E58">
        <v>0</v>
      </c>
      <c r="F58">
        <v>0</v>
      </c>
      <c r="G58">
        <v>0</v>
      </c>
      <c r="H58">
        <v>0</v>
      </c>
    </row>
    <row r="59" spans="1:8">
      <c r="B59" t="s">
        <v>1956</v>
      </c>
      <c r="C59">
        <v>4.8099999999999996</v>
      </c>
      <c r="D59">
        <v>0</v>
      </c>
      <c r="E59">
        <v>0</v>
      </c>
      <c r="F59">
        <v>0</v>
      </c>
      <c r="G59">
        <v>0</v>
      </c>
      <c r="H59">
        <v>0</v>
      </c>
    </row>
    <row r="60" spans="1:8">
      <c r="B60" t="s">
        <v>1957</v>
      </c>
      <c r="C60">
        <v>0</v>
      </c>
      <c r="D60">
        <v>0</v>
      </c>
      <c r="E60">
        <v>0</v>
      </c>
      <c r="F60">
        <v>0</v>
      </c>
      <c r="G60">
        <v>0</v>
      </c>
      <c r="H60">
        <v>0</v>
      </c>
    </row>
    <row r="61" spans="1:8">
      <c r="B61" t="s">
        <v>1958</v>
      </c>
      <c r="C61">
        <v>0</v>
      </c>
      <c r="D61">
        <v>0</v>
      </c>
      <c r="E61">
        <v>0</v>
      </c>
      <c r="F61">
        <v>0</v>
      </c>
      <c r="G61">
        <v>0</v>
      </c>
      <c r="H61">
        <v>0</v>
      </c>
    </row>
    <row r="62" spans="1:8">
      <c r="B62" t="s">
        <v>502</v>
      </c>
      <c r="C62">
        <v>0</v>
      </c>
      <c r="D62">
        <v>0</v>
      </c>
      <c r="E62">
        <v>0</v>
      </c>
      <c r="F62">
        <v>0</v>
      </c>
      <c r="G62">
        <v>0</v>
      </c>
      <c r="H62">
        <v>0</v>
      </c>
    </row>
    <row r="63" spans="1:8">
      <c r="B63" t="s">
        <v>1959</v>
      </c>
      <c r="C63">
        <v>0</v>
      </c>
      <c r="D63">
        <v>0</v>
      </c>
      <c r="E63">
        <v>0</v>
      </c>
      <c r="F63">
        <v>0</v>
      </c>
      <c r="G63">
        <v>0</v>
      </c>
      <c r="H63">
        <v>0</v>
      </c>
    </row>
    <row r="64" spans="1:8">
      <c r="B64" t="s">
        <v>1960</v>
      </c>
      <c r="C64">
        <v>0</v>
      </c>
      <c r="D64">
        <v>0</v>
      </c>
      <c r="E64">
        <v>0</v>
      </c>
      <c r="F64">
        <v>0</v>
      </c>
      <c r="G64">
        <v>0</v>
      </c>
      <c r="H64">
        <v>0</v>
      </c>
    </row>
    <row r="65" spans="1:9">
      <c r="B65" t="s">
        <v>1961</v>
      </c>
      <c r="C65">
        <v>0</v>
      </c>
      <c r="D65">
        <v>0</v>
      </c>
      <c r="E65">
        <v>0</v>
      </c>
      <c r="F65">
        <v>0</v>
      </c>
      <c r="G65">
        <v>0</v>
      </c>
      <c r="H65">
        <v>0</v>
      </c>
    </row>
    <row r="67" spans="1:9">
      <c r="B67" t="s">
        <v>1962</v>
      </c>
      <c r="C67">
        <v>1374.87</v>
      </c>
      <c r="D67">
        <v>84</v>
      </c>
      <c r="E67">
        <v>0</v>
      </c>
      <c r="F67">
        <v>0</v>
      </c>
      <c r="G67">
        <v>0</v>
      </c>
      <c r="H67">
        <v>0</v>
      </c>
    </row>
    <row r="68" spans="1:9">
      <c r="A68" t="s">
        <v>2961</v>
      </c>
    </row>
    <row r="71" spans="1:9">
      <c r="A71" t="s">
        <v>1963</v>
      </c>
    </row>
    <row r="73" spans="1:9">
      <c r="C73" t="s">
        <v>1964</v>
      </c>
      <c r="D73" t="s">
        <v>1946</v>
      </c>
      <c r="E73" t="s">
        <v>1947</v>
      </c>
      <c r="F73" t="s">
        <v>1948</v>
      </c>
      <c r="G73" t="s">
        <v>1949</v>
      </c>
      <c r="H73" t="s">
        <v>1950</v>
      </c>
      <c r="I73" t="s">
        <v>1951</v>
      </c>
    </row>
    <row r="74" spans="1:9">
      <c r="B74" t="s">
        <v>350</v>
      </c>
      <c r="C74" t="s">
        <v>411</v>
      </c>
      <c r="D74">
        <v>0</v>
      </c>
      <c r="E74">
        <v>84</v>
      </c>
      <c r="F74">
        <v>0</v>
      </c>
      <c r="G74">
        <v>0</v>
      </c>
      <c r="H74">
        <v>0</v>
      </c>
      <c r="I74">
        <v>0</v>
      </c>
    </row>
    <row r="75" spans="1:9">
      <c r="C75" t="s">
        <v>1965</v>
      </c>
      <c r="D75">
        <v>0</v>
      </c>
      <c r="E75">
        <v>0</v>
      </c>
      <c r="F75">
        <v>0</v>
      </c>
      <c r="G75">
        <v>0</v>
      </c>
      <c r="H75">
        <v>0</v>
      </c>
      <c r="I75">
        <v>0</v>
      </c>
    </row>
    <row r="76" spans="1:9">
      <c r="B76" t="s">
        <v>349</v>
      </c>
      <c r="C76" t="s">
        <v>1966</v>
      </c>
      <c r="D76">
        <v>0.42</v>
      </c>
      <c r="E76">
        <v>0</v>
      </c>
      <c r="F76">
        <v>0</v>
      </c>
      <c r="G76">
        <v>0</v>
      </c>
      <c r="H76">
        <v>0</v>
      </c>
      <c r="I76">
        <v>0</v>
      </c>
    </row>
    <row r="77" spans="1:9">
      <c r="B77" t="s">
        <v>1952</v>
      </c>
      <c r="C77" t="s">
        <v>1967</v>
      </c>
      <c r="D77">
        <v>25.01</v>
      </c>
      <c r="E77">
        <v>0</v>
      </c>
      <c r="F77">
        <v>0</v>
      </c>
      <c r="G77">
        <v>0</v>
      </c>
      <c r="H77">
        <v>0</v>
      </c>
      <c r="I77">
        <v>0</v>
      </c>
    </row>
    <row r="78" spans="1:9">
      <c r="C78" t="s">
        <v>1968</v>
      </c>
      <c r="D78">
        <v>25.01</v>
      </c>
      <c r="E78">
        <v>0</v>
      </c>
      <c r="F78">
        <v>0</v>
      </c>
      <c r="G78">
        <v>0</v>
      </c>
      <c r="H78">
        <v>0</v>
      </c>
      <c r="I78">
        <v>0</v>
      </c>
    </row>
    <row r="79" spans="1:9">
      <c r="C79" t="s">
        <v>1969</v>
      </c>
      <c r="D79">
        <v>15.88</v>
      </c>
      <c r="E79">
        <v>0</v>
      </c>
      <c r="F79">
        <v>0</v>
      </c>
      <c r="G79">
        <v>0</v>
      </c>
      <c r="H79">
        <v>0</v>
      </c>
      <c r="I79">
        <v>0</v>
      </c>
    </row>
    <row r="80" spans="1:9">
      <c r="C80" t="s">
        <v>1970</v>
      </c>
      <c r="D80">
        <v>15.88</v>
      </c>
      <c r="E80">
        <v>0</v>
      </c>
      <c r="F80">
        <v>0</v>
      </c>
      <c r="G80">
        <v>0</v>
      </c>
      <c r="H80">
        <v>0</v>
      </c>
      <c r="I80">
        <v>0</v>
      </c>
    </row>
    <row r="81" spans="2:9">
      <c r="C81" t="s">
        <v>1971</v>
      </c>
      <c r="D81">
        <v>25.01</v>
      </c>
      <c r="E81">
        <v>0</v>
      </c>
      <c r="F81">
        <v>0</v>
      </c>
      <c r="G81">
        <v>0</v>
      </c>
      <c r="H81">
        <v>0</v>
      </c>
      <c r="I81">
        <v>0</v>
      </c>
    </row>
    <row r="82" spans="2:9">
      <c r="C82" t="s">
        <v>1972</v>
      </c>
      <c r="D82">
        <v>25.01</v>
      </c>
      <c r="E82">
        <v>0</v>
      </c>
      <c r="F82">
        <v>0</v>
      </c>
      <c r="G82">
        <v>0</v>
      </c>
      <c r="H82">
        <v>0</v>
      </c>
      <c r="I82">
        <v>0</v>
      </c>
    </row>
    <row r="83" spans="2:9">
      <c r="C83" t="s">
        <v>1973</v>
      </c>
      <c r="D83">
        <v>15.88</v>
      </c>
      <c r="E83">
        <v>0</v>
      </c>
      <c r="F83">
        <v>0</v>
      </c>
      <c r="G83">
        <v>0</v>
      </c>
      <c r="H83">
        <v>0</v>
      </c>
      <c r="I83">
        <v>0</v>
      </c>
    </row>
    <row r="84" spans="2:9">
      <c r="C84" t="s">
        <v>1974</v>
      </c>
      <c r="D84">
        <v>15.88</v>
      </c>
      <c r="E84">
        <v>0</v>
      </c>
      <c r="F84">
        <v>0</v>
      </c>
      <c r="G84">
        <v>0</v>
      </c>
      <c r="H84">
        <v>0</v>
      </c>
      <c r="I84">
        <v>0</v>
      </c>
    </row>
    <row r="85" spans="2:9">
      <c r="C85" t="s">
        <v>1975</v>
      </c>
      <c r="D85">
        <v>25.01</v>
      </c>
      <c r="E85">
        <v>0</v>
      </c>
      <c r="F85">
        <v>0</v>
      </c>
      <c r="G85">
        <v>0</v>
      </c>
      <c r="H85">
        <v>0</v>
      </c>
      <c r="I85">
        <v>0</v>
      </c>
    </row>
    <row r="86" spans="2:9">
      <c r="C86" t="s">
        <v>1976</v>
      </c>
      <c r="D86">
        <v>25.01</v>
      </c>
      <c r="E86">
        <v>0</v>
      </c>
      <c r="F86">
        <v>0</v>
      </c>
      <c r="G86">
        <v>0</v>
      </c>
      <c r="H86">
        <v>0</v>
      </c>
      <c r="I86">
        <v>0</v>
      </c>
    </row>
    <row r="87" spans="2:9">
      <c r="C87" t="s">
        <v>1977</v>
      </c>
      <c r="D87">
        <v>15.88</v>
      </c>
      <c r="E87">
        <v>0</v>
      </c>
      <c r="F87">
        <v>0</v>
      </c>
      <c r="G87">
        <v>0</v>
      </c>
      <c r="H87">
        <v>0</v>
      </c>
      <c r="I87">
        <v>0</v>
      </c>
    </row>
    <row r="88" spans="2:9">
      <c r="C88" t="s">
        <v>1978</v>
      </c>
      <c r="D88">
        <v>15.88</v>
      </c>
      <c r="E88">
        <v>0</v>
      </c>
      <c r="F88">
        <v>0</v>
      </c>
      <c r="G88">
        <v>0</v>
      </c>
      <c r="H88">
        <v>0</v>
      </c>
      <c r="I88">
        <v>0</v>
      </c>
    </row>
    <row r="89" spans="2:9">
      <c r="C89" t="s">
        <v>1979</v>
      </c>
      <c r="D89">
        <v>128.99</v>
      </c>
      <c r="E89">
        <v>0</v>
      </c>
      <c r="F89">
        <v>0</v>
      </c>
      <c r="G89">
        <v>0</v>
      </c>
      <c r="H89">
        <v>0</v>
      </c>
      <c r="I89">
        <v>0</v>
      </c>
    </row>
    <row r="90" spans="2:9">
      <c r="C90" t="s">
        <v>1980</v>
      </c>
      <c r="D90">
        <v>128.99</v>
      </c>
      <c r="E90">
        <v>0</v>
      </c>
      <c r="F90">
        <v>0</v>
      </c>
      <c r="G90">
        <v>0</v>
      </c>
      <c r="H90">
        <v>0</v>
      </c>
      <c r="I90">
        <v>0</v>
      </c>
    </row>
    <row r="91" spans="2:9">
      <c r="C91" t="s">
        <v>1981</v>
      </c>
      <c r="D91">
        <v>128.99</v>
      </c>
      <c r="E91">
        <v>0</v>
      </c>
      <c r="F91">
        <v>0</v>
      </c>
      <c r="G91">
        <v>0</v>
      </c>
      <c r="H91">
        <v>0</v>
      </c>
      <c r="I91">
        <v>0</v>
      </c>
    </row>
    <row r="92" spans="2:9">
      <c r="B92" t="s">
        <v>1953</v>
      </c>
      <c r="C92" t="s">
        <v>1966</v>
      </c>
      <c r="D92">
        <v>0</v>
      </c>
      <c r="E92">
        <v>0</v>
      </c>
      <c r="F92">
        <v>0</v>
      </c>
      <c r="G92">
        <v>0</v>
      </c>
      <c r="H92">
        <v>0</v>
      </c>
      <c r="I92">
        <v>0</v>
      </c>
    </row>
    <row r="93" spans="2:9">
      <c r="B93" t="s">
        <v>1954</v>
      </c>
      <c r="C93" t="s">
        <v>1982</v>
      </c>
      <c r="D93">
        <v>25.19</v>
      </c>
      <c r="E93">
        <v>0</v>
      </c>
      <c r="F93">
        <v>0</v>
      </c>
      <c r="G93">
        <v>0</v>
      </c>
      <c r="H93">
        <v>0</v>
      </c>
      <c r="I93">
        <v>0</v>
      </c>
    </row>
    <row r="94" spans="2:9">
      <c r="C94" t="s">
        <v>1983</v>
      </c>
      <c r="D94">
        <v>25.19</v>
      </c>
      <c r="E94">
        <v>0</v>
      </c>
      <c r="F94">
        <v>0</v>
      </c>
      <c r="G94">
        <v>0</v>
      </c>
      <c r="H94">
        <v>0</v>
      </c>
      <c r="I94">
        <v>0</v>
      </c>
    </row>
    <row r="95" spans="2:9">
      <c r="C95" t="s">
        <v>1984</v>
      </c>
      <c r="D95">
        <v>16</v>
      </c>
      <c r="E95">
        <v>0</v>
      </c>
      <c r="F95">
        <v>0</v>
      </c>
      <c r="G95">
        <v>0</v>
      </c>
      <c r="H95">
        <v>0</v>
      </c>
      <c r="I95">
        <v>0</v>
      </c>
    </row>
    <row r="96" spans="2:9">
      <c r="C96" t="s">
        <v>1985</v>
      </c>
      <c r="D96">
        <v>16</v>
      </c>
      <c r="E96">
        <v>0</v>
      </c>
      <c r="F96">
        <v>0</v>
      </c>
      <c r="G96">
        <v>0</v>
      </c>
      <c r="H96">
        <v>0</v>
      </c>
      <c r="I96">
        <v>0</v>
      </c>
    </row>
    <row r="97" spans="2:9">
      <c r="C97" t="s">
        <v>1986</v>
      </c>
      <c r="D97">
        <v>25.19</v>
      </c>
      <c r="E97">
        <v>0</v>
      </c>
      <c r="F97">
        <v>0</v>
      </c>
      <c r="G97">
        <v>0</v>
      </c>
      <c r="H97">
        <v>0</v>
      </c>
      <c r="I97">
        <v>0</v>
      </c>
    </row>
    <row r="98" spans="2:9">
      <c r="C98" t="s">
        <v>1987</v>
      </c>
      <c r="D98">
        <v>25.19</v>
      </c>
      <c r="E98">
        <v>0</v>
      </c>
      <c r="F98">
        <v>0</v>
      </c>
      <c r="G98">
        <v>0</v>
      </c>
      <c r="H98">
        <v>0</v>
      </c>
      <c r="I98">
        <v>0</v>
      </c>
    </row>
    <row r="99" spans="2:9">
      <c r="C99" t="s">
        <v>1988</v>
      </c>
      <c r="D99">
        <v>16</v>
      </c>
      <c r="E99">
        <v>0</v>
      </c>
      <c r="F99">
        <v>0</v>
      </c>
      <c r="G99">
        <v>0</v>
      </c>
      <c r="H99">
        <v>0</v>
      </c>
      <c r="I99">
        <v>0</v>
      </c>
    </row>
    <row r="100" spans="2:9">
      <c r="C100" t="s">
        <v>1989</v>
      </c>
      <c r="D100">
        <v>16</v>
      </c>
      <c r="E100">
        <v>0</v>
      </c>
      <c r="F100">
        <v>0</v>
      </c>
      <c r="G100">
        <v>0</v>
      </c>
      <c r="H100">
        <v>0</v>
      </c>
      <c r="I100">
        <v>0</v>
      </c>
    </row>
    <row r="101" spans="2:9">
      <c r="C101" t="s">
        <v>1990</v>
      </c>
      <c r="D101">
        <v>25.19</v>
      </c>
      <c r="E101">
        <v>0</v>
      </c>
      <c r="F101">
        <v>0</v>
      </c>
      <c r="G101">
        <v>0</v>
      </c>
      <c r="H101">
        <v>0</v>
      </c>
      <c r="I101">
        <v>0</v>
      </c>
    </row>
    <row r="102" spans="2:9">
      <c r="C102" t="s">
        <v>1991</v>
      </c>
      <c r="D102">
        <v>25.19</v>
      </c>
      <c r="E102">
        <v>0</v>
      </c>
      <c r="F102">
        <v>0</v>
      </c>
      <c r="G102">
        <v>0</v>
      </c>
      <c r="H102">
        <v>0</v>
      </c>
      <c r="I102">
        <v>0</v>
      </c>
    </row>
    <row r="103" spans="2:9">
      <c r="C103" t="s">
        <v>1992</v>
      </c>
      <c r="D103">
        <v>16</v>
      </c>
      <c r="E103">
        <v>0</v>
      </c>
      <c r="F103">
        <v>0</v>
      </c>
      <c r="G103">
        <v>0</v>
      </c>
      <c r="H103">
        <v>0</v>
      </c>
      <c r="I103">
        <v>0</v>
      </c>
    </row>
    <row r="104" spans="2:9">
      <c r="C104" t="s">
        <v>1993</v>
      </c>
      <c r="D104">
        <v>16</v>
      </c>
      <c r="E104">
        <v>0</v>
      </c>
      <c r="F104">
        <v>0</v>
      </c>
      <c r="G104">
        <v>0</v>
      </c>
      <c r="H104">
        <v>0</v>
      </c>
      <c r="I104">
        <v>0</v>
      </c>
    </row>
    <row r="105" spans="2:9">
      <c r="C105" t="s">
        <v>1994</v>
      </c>
      <c r="D105">
        <v>129.91</v>
      </c>
      <c r="E105">
        <v>0</v>
      </c>
      <c r="F105">
        <v>0</v>
      </c>
      <c r="G105">
        <v>0</v>
      </c>
      <c r="H105">
        <v>0</v>
      </c>
      <c r="I105">
        <v>0</v>
      </c>
    </row>
    <row r="106" spans="2:9">
      <c r="C106" t="s">
        <v>1995</v>
      </c>
      <c r="D106">
        <v>129.91</v>
      </c>
      <c r="E106">
        <v>0</v>
      </c>
      <c r="F106">
        <v>0</v>
      </c>
      <c r="G106">
        <v>0</v>
      </c>
      <c r="H106">
        <v>0</v>
      </c>
      <c r="I106">
        <v>0</v>
      </c>
    </row>
    <row r="107" spans="2:9">
      <c r="C107" t="s">
        <v>1996</v>
      </c>
      <c r="D107">
        <v>129.91</v>
      </c>
      <c r="E107">
        <v>0</v>
      </c>
      <c r="F107">
        <v>0</v>
      </c>
      <c r="G107">
        <v>0</v>
      </c>
      <c r="H107">
        <v>0</v>
      </c>
      <c r="I107">
        <v>0</v>
      </c>
    </row>
    <row r="108" spans="2:9">
      <c r="B108" t="s">
        <v>1955</v>
      </c>
      <c r="C108" t="s">
        <v>1966</v>
      </c>
      <c r="D108">
        <v>0</v>
      </c>
      <c r="E108">
        <v>0</v>
      </c>
      <c r="F108">
        <v>0</v>
      </c>
      <c r="G108">
        <v>0</v>
      </c>
      <c r="H108">
        <v>0</v>
      </c>
      <c r="I108">
        <v>0</v>
      </c>
    </row>
    <row r="109" spans="2:9">
      <c r="B109" t="s">
        <v>501</v>
      </c>
      <c r="C109" t="s">
        <v>1966</v>
      </c>
      <c r="D109">
        <v>100.44</v>
      </c>
      <c r="E109">
        <v>0</v>
      </c>
      <c r="F109">
        <v>0</v>
      </c>
      <c r="G109">
        <v>0</v>
      </c>
      <c r="H109">
        <v>0</v>
      </c>
      <c r="I109">
        <v>0</v>
      </c>
    </row>
    <row r="110" spans="2:9">
      <c r="B110" t="s">
        <v>1956</v>
      </c>
      <c r="C110" t="s">
        <v>1966</v>
      </c>
      <c r="D110">
        <v>4.8099999999999996</v>
      </c>
      <c r="E110">
        <v>0</v>
      </c>
      <c r="F110">
        <v>0</v>
      </c>
      <c r="G110">
        <v>0</v>
      </c>
      <c r="H110">
        <v>0</v>
      </c>
      <c r="I110">
        <v>0</v>
      </c>
    </row>
    <row r="111" spans="2:9">
      <c r="B111" t="s">
        <v>1957</v>
      </c>
      <c r="C111" t="s">
        <v>1966</v>
      </c>
      <c r="D111">
        <v>0</v>
      </c>
      <c r="E111">
        <v>0</v>
      </c>
      <c r="F111">
        <v>0</v>
      </c>
      <c r="G111">
        <v>0</v>
      </c>
      <c r="H111">
        <v>0</v>
      </c>
      <c r="I111">
        <v>0</v>
      </c>
    </row>
    <row r="112" spans="2:9">
      <c r="B112" t="s">
        <v>1958</v>
      </c>
      <c r="C112" t="s">
        <v>1966</v>
      </c>
      <c r="D112">
        <v>0</v>
      </c>
      <c r="E112">
        <v>0</v>
      </c>
      <c r="F112">
        <v>0</v>
      </c>
      <c r="G112">
        <v>0</v>
      </c>
      <c r="H112">
        <v>0</v>
      </c>
      <c r="I112">
        <v>0</v>
      </c>
    </row>
    <row r="113" spans="1:9">
      <c r="B113" t="s">
        <v>502</v>
      </c>
      <c r="C113" t="s">
        <v>1966</v>
      </c>
      <c r="D113">
        <v>0</v>
      </c>
      <c r="E113">
        <v>0</v>
      </c>
      <c r="F113">
        <v>0</v>
      </c>
      <c r="G113">
        <v>0</v>
      </c>
      <c r="H113">
        <v>0</v>
      </c>
      <c r="I113">
        <v>0</v>
      </c>
    </row>
    <row r="114" spans="1:9">
      <c r="B114" t="s">
        <v>1959</v>
      </c>
      <c r="C114" t="s">
        <v>1966</v>
      </c>
      <c r="D114">
        <v>0</v>
      </c>
      <c r="E114">
        <v>0</v>
      </c>
      <c r="F114">
        <v>0</v>
      </c>
      <c r="G114">
        <v>0</v>
      </c>
      <c r="H114">
        <v>0</v>
      </c>
      <c r="I114">
        <v>0</v>
      </c>
    </row>
    <row r="115" spans="1:9">
      <c r="B115" t="s">
        <v>1960</v>
      </c>
      <c r="C115" t="s">
        <v>1966</v>
      </c>
      <c r="D115">
        <v>0</v>
      </c>
      <c r="E115">
        <v>0</v>
      </c>
      <c r="F115">
        <v>0</v>
      </c>
      <c r="G115">
        <v>0</v>
      </c>
      <c r="H115">
        <v>0</v>
      </c>
      <c r="I115">
        <v>0</v>
      </c>
    </row>
    <row r="116" spans="1:9">
      <c r="B116" t="s">
        <v>1961</v>
      </c>
      <c r="C116" t="s">
        <v>1966</v>
      </c>
      <c r="D116">
        <v>0</v>
      </c>
      <c r="E116">
        <v>0</v>
      </c>
      <c r="F116">
        <v>0</v>
      </c>
      <c r="G116">
        <v>0</v>
      </c>
      <c r="H116">
        <v>0</v>
      </c>
      <c r="I116">
        <v>0</v>
      </c>
    </row>
    <row r="119" spans="1:9">
      <c r="A119" t="s">
        <v>1997</v>
      </c>
    </row>
    <row r="121" spans="1:9">
      <c r="A121" t="s">
        <v>1998</v>
      </c>
    </row>
    <row r="123" spans="1:9">
      <c r="C123" t="s">
        <v>1999</v>
      </c>
      <c r="D123" t="s">
        <v>2000</v>
      </c>
      <c r="E123" t="s">
        <v>2001</v>
      </c>
      <c r="F123" t="s">
        <v>2002</v>
      </c>
      <c r="G123" t="s">
        <v>2003</v>
      </c>
      <c r="H123" t="s">
        <v>2004</v>
      </c>
    </row>
    <row r="124" spans="1:9">
      <c r="B124" t="s">
        <v>353</v>
      </c>
      <c r="C124">
        <v>0.04</v>
      </c>
      <c r="D124">
        <v>0</v>
      </c>
      <c r="E124">
        <v>0</v>
      </c>
      <c r="F124">
        <v>0</v>
      </c>
      <c r="G124">
        <v>0</v>
      </c>
      <c r="H124">
        <v>0</v>
      </c>
    </row>
    <row r="125" spans="1:9">
      <c r="B125" t="s">
        <v>352</v>
      </c>
      <c r="C125">
        <v>0.01</v>
      </c>
      <c r="D125">
        <v>0.01</v>
      </c>
      <c r="E125">
        <v>0</v>
      </c>
      <c r="F125">
        <v>0</v>
      </c>
      <c r="G125">
        <v>0</v>
      </c>
      <c r="H125">
        <v>0</v>
      </c>
    </row>
    <row r="126" spans="1:9">
      <c r="B126" t="s">
        <v>2005</v>
      </c>
      <c r="C126">
        <v>0.04</v>
      </c>
      <c r="D126">
        <v>0</v>
      </c>
      <c r="E126">
        <v>0</v>
      </c>
      <c r="F126">
        <v>0</v>
      </c>
      <c r="G126">
        <v>0</v>
      </c>
      <c r="H126">
        <v>0</v>
      </c>
    </row>
    <row r="127" spans="1:9">
      <c r="B127" t="s">
        <v>2006</v>
      </c>
      <c r="C127">
        <v>0.08</v>
      </c>
      <c r="D127">
        <v>0.01</v>
      </c>
      <c r="E127">
        <v>0</v>
      </c>
      <c r="F127">
        <v>0</v>
      </c>
      <c r="G127">
        <v>0</v>
      </c>
      <c r="H127">
        <v>0</v>
      </c>
    </row>
    <row r="130" spans="1:8">
      <c r="A130" t="s">
        <v>2007</v>
      </c>
    </row>
    <row r="132" spans="1:8">
      <c r="C132" t="s">
        <v>1999</v>
      </c>
      <c r="D132" t="s">
        <v>2000</v>
      </c>
      <c r="E132" t="s">
        <v>2001</v>
      </c>
      <c r="F132" t="s">
        <v>2002</v>
      </c>
      <c r="G132" t="s">
        <v>2003</v>
      </c>
      <c r="H132" t="s">
        <v>2004</v>
      </c>
    </row>
    <row r="133" spans="1:8">
      <c r="B133" t="s">
        <v>353</v>
      </c>
      <c r="C133">
        <v>0.04</v>
      </c>
      <c r="D133">
        <v>0</v>
      </c>
      <c r="E133">
        <v>0</v>
      </c>
      <c r="F133">
        <v>0</v>
      </c>
      <c r="G133">
        <v>0</v>
      </c>
      <c r="H133">
        <v>0</v>
      </c>
    </row>
    <row r="134" spans="1:8">
      <c r="B134" t="s">
        <v>352</v>
      </c>
      <c r="C134">
        <v>0.01</v>
      </c>
      <c r="D134">
        <v>0.01</v>
      </c>
      <c r="E134">
        <v>0</v>
      </c>
      <c r="F134">
        <v>0</v>
      </c>
      <c r="G134">
        <v>0</v>
      </c>
      <c r="H134">
        <v>0</v>
      </c>
    </row>
    <row r="135" spans="1:8">
      <c r="B135" t="s">
        <v>2005</v>
      </c>
      <c r="C135">
        <v>0.04</v>
      </c>
      <c r="D135">
        <v>0</v>
      </c>
      <c r="E135">
        <v>0</v>
      </c>
      <c r="F135">
        <v>0</v>
      </c>
      <c r="G135">
        <v>0</v>
      </c>
      <c r="H135">
        <v>0</v>
      </c>
    </row>
    <row r="136" spans="1:8">
      <c r="B136" t="s">
        <v>2006</v>
      </c>
      <c r="C136">
        <v>0.08</v>
      </c>
      <c r="D136">
        <v>0.01</v>
      </c>
      <c r="E136">
        <v>0</v>
      </c>
      <c r="F136">
        <v>0</v>
      </c>
      <c r="G136">
        <v>0</v>
      </c>
      <c r="H136">
        <v>0</v>
      </c>
    </row>
    <row r="139" spans="1:8">
      <c r="A139" t="s">
        <v>2008</v>
      </c>
    </row>
    <row r="141" spans="1:8">
      <c r="C141" t="s">
        <v>1946</v>
      </c>
      <c r="D141" t="s">
        <v>2009</v>
      </c>
    </row>
    <row r="142" spans="1:8">
      <c r="B142" t="s">
        <v>2010</v>
      </c>
      <c r="C142">
        <v>0</v>
      </c>
      <c r="D142">
        <v>0</v>
      </c>
    </row>
    <row r="143" spans="1:8">
      <c r="B143" t="s">
        <v>2011</v>
      </c>
      <c r="C143">
        <v>0</v>
      </c>
      <c r="D143">
        <v>0</v>
      </c>
    </row>
    <row r="144" spans="1:8">
      <c r="B144" t="s">
        <v>2012</v>
      </c>
      <c r="C144">
        <v>0</v>
      </c>
      <c r="D144">
        <v>0</v>
      </c>
    </row>
    <row r="145" spans="1:4">
      <c r="B145" t="s">
        <v>2013</v>
      </c>
      <c r="C145">
        <v>0</v>
      </c>
      <c r="D145">
        <v>0</v>
      </c>
    </row>
    <row r="146" spans="1:4">
      <c r="B146" t="s">
        <v>2014</v>
      </c>
      <c r="C146">
        <v>0</v>
      </c>
      <c r="D146">
        <v>0</v>
      </c>
    </row>
    <row r="147" spans="1:4">
      <c r="B147" t="s">
        <v>2015</v>
      </c>
      <c r="C147">
        <v>0</v>
      </c>
      <c r="D147">
        <v>0</v>
      </c>
    </row>
    <row r="149" spans="1:4">
      <c r="B149" t="s">
        <v>2016</v>
      </c>
      <c r="C149">
        <v>1374.87</v>
      </c>
      <c r="D149">
        <v>100</v>
      </c>
    </row>
    <row r="150" spans="1:4">
      <c r="B150" t="s">
        <v>2017</v>
      </c>
      <c r="C150">
        <v>0</v>
      </c>
      <c r="D150">
        <v>0</v>
      </c>
    </row>
    <row r="151" spans="1:4">
      <c r="B151" t="s">
        <v>2018</v>
      </c>
      <c r="C151">
        <v>1374.87</v>
      </c>
      <c r="D151">
        <v>100</v>
      </c>
    </row>
    <row r="153" spans="1:4">
      <c r="B153" t="s">
        <v>2019</v>
      </c>
      <c r="C153">
        <v>1374.87</v>
      </c>
      <c r="D153">
        <v>100</v>
      </c>
    </row>
    <row r="154" spans="1:4">
      <c r="B154" t="s">
        <v>2020</v>
      </c>
      <c r="C154">
        <v>1374.87</v>
      </c>
      <c r="D154">
        <v>100</v>
      </c>
    </row>
    <row r="157" spans="1:4">
      <c r="A157" t="s">
        <v>2021</v>
      </c>
    </row>
    <row r="159" spans="1:4">
      <c r="C159" t="s">
        <v>2022</v>
      </c>
      <c r="D159" t="s">
        <v>2023</v>
      </c>
    </row>
    <row r="160" spans="1:4">
      <c r="B160" t="s">
        <v>2024</v>
      </c>
      <c r="C160">
        <v>0</v>
      </c>
    </row>
    <row r="161" spans="1:4">
      <c r="B161" t="s">
        <v>2025</v>
      </c>
      <c r="C161">
        <v>0</v>
      </c>
    </row>
    <row r="162" spans="1:4">
      <c r="B162" t="s">
        <v>2026</v>
      </c>
      <c r="C162">
        <v>0</v>
      </c>
    </row>
    <row r="163" spans="1:4">
      <c r="B163" t="s">
        <v>2027</v>
      </c>
      <c r="C163">
        <v>0</v>
      </c>
    </row>
    <row r="164" spans="1:4">
      <c r="B164" t="s">
        <v>2028</v>
      </c>
      <c r="C164">
        <v>0</v>
      </c>
    </row>
    <row r="165" spans="1:4">
      <c r="B165" t="s">
        <v>2029</v>
      </c>
      <c r="C165">
        <v>0</v>
      </c>
    </row>
    <row r="166" spans="1:4">
      <c r="B166" t="s">
        <v>2030</v>
      </c>
      <c r="C166">
        <v>0</v>
      </c>
    </row>
    <row r="169" spans="1:4">
      <c r="A169" t="s">
        <v>2031</v>
      </c>
    </row>
    <row r="171" spans="1:4">
      <c r="C171" t="s">
        <v>1951</v>
      </c>
      <c r="D171" t="s">
        <v>2032</v>
      </c>
    </row>
    <row r="172" spans="1:4">
      <c r="B172" t="s">
        <v>2033</v>
      </c>
      <c r="C172">
        <v>0</v>
      </c>
      <c r="D172" t="s">
        <v>212</v>
      </c>
    </row>
    <row r="173" spans="1:4">
      <c r="B173" t="s">
        <v>2034</v>
      </c>
      <c r="C173">
        <v>0</v>
      </c>
      <c r="D173" t="s">
        <v>212</v>
      </c>
    </row>
    <row r="174" spans="1:4">
      <c r="B174" t="s">
        <v>2035</v>
      </c>
      <c r="C174">
        <v>0</v>
      </c>
      <c r="D174" t="s">
        <v>212</v>
      </c>
    </row>
    <row r="175" spans="1:4">
      <c r="B175" t="s">
        <v>2036</v>
      </c>
      <c r="C175">
        <v>0</v>
      </c>
      <c r="D175" t="s">
        <v>212</v>
      </c>
    </row>
    <row r="176" spans="1:4">
      <c r="B176" t="s">
        <v>212</v>
      </c>
      <c r="C176" t="s">
        <v>212</v>
      </c>
      <c r="D176" t="s">
        <v>212</v>
      </c>
    </row>
    <row r="177" spans="1:6">
      <c r="B177" t="s">
        <v>2037</v>
      </c>
      <c r="C177">
        <v>0</v>
      </c>
      <c r="D177" t="s">
        <v>212</v>
      </c>
    </row>
    <row r="178" spans="1:6">
      <c r="B178" t="s">
        <v>2038</v>
      </c>
      <c r="C178">
        <v>0</v>
      </c>
      <c r="D178" t="s">
        <v>212</v>
      </c>
    </row>
    <row r="179" spans="1:6">
      <c r="B179" t="s">
        <v>2039</v>
      </c>
      <c r="C179">
        <v>0</v>
      </c>
      <c r="D179" t="s">
        <v>212</v>
      </c>
    </row>
    <row r="180" spans="1:6">
      <c r="B180" t="s">
        <v>212</v>
      </c>
      <c r="C180" t="s">
        <v>212</v>
      </c>
      <c r="D180" t="s">
        <v>212</v>
      </c>
    </row>
    <row r="181" spans="1:6">
      <c r="B181" t="s">
        <v>2040</v>
      </c>
      <c r="C181">
        <v>0</v>
      </c>
      <c r="D181" t="s">
        <v>212</v>
      </c>
    </row>
    <row r="182" spans="1:6">
      <c r="B182" t="s">
        <v>212</v>
      </c>
      <c r="C182" t="s">
        <v>212</v>
      </c>
      <c r="D182" t="s">
        <v>212</v>
      </c>
    </row>
    <row r="183" spans="1:6">
      <c r="B183" t="s">
        <v>2041</v>
      </c>
      <c r="C183" t="s">
        <v>2042</v>
      </c>
      <c r="D183" t="s">
        <v>2043</v>
      </c>
      <c r="E183">
        <v>0</v>
      </c>
      <c r="F183" t="s">
        <v>212</v>
      </c>
    </row>
    <row r="184" spans="1:6">
      <c r="B184" t="s">
        <v>2044</v>
      </c>
      <c r="C184">
        <v>0</v>
      </c>
      <c r="D184" t="s">
        <v>212</v>
      </c>
    </row>
    <row r="187" spans="1:6">
      <c r="A187" t="s">
        <v>2045</v>
      </c>
    </row>
    <row r="189" spans="1:6">
      <c r="C189" t="s">
        <v>2046</v>
      </c>
    </row>
    <row r="190" spans="1:6">
      <c r="B190" t="s">
        <v>2047</v>
      </c>
      <c r="C190">
        <v>0.2</v>
      </c>
    </row>
    <row r="191" spans="1:6">
      <c r="B191" t="s">
        <v>2048</v>
      </c>
      <c r="C191">
        <v>0.2</v>
      </c>
    </row>
    <row r="194" spans="1:5">
      <c r="C194" t="s">
        <v>2049</v>
      </c>
    </row>
    <row r="195" spans="1:5">
      <c r="B195" t="s">
        <v>2050</v>
      </c>
      <c r="C195">
        <v>7.25</v>
      </c>
    </row>
    <row r="196" spans="1:5">
      <c r="B196" t="s">
        <v>2051</v>
      </c>
      <c r="C196">
        <v>6.5</v>
      </c>
    </row>
    <row r="197" spans="1:5">
      <c r="B197" t="s">
        <v>2052</v>
      </c>
      <c r="C197">
        <v>15.25</v>
      </c>
    </row>
    <row r="200" spans="1:5">
      <c r="A200" t="s">
        <v>2053</v>
      </c>
    </row>
    <row r="202" spans="1:5">
      <c r="A202" t="s">
        <v>1914</v>
      </c>
    </row>
    <row r="203" spans="1:5">
      <c r="A203" t="s">
        <v>1915</v>
      </c>
      <c r="B203" t="s">
        <v>2054</v>
      </c>
    </row>
    <row r="204" spans="1:5">
      <c r="A204" t="s">
        <v>1917</v>
      </c>
      <c r="B204" t="s">
        <v>1918</v>
      </c>
    </row>
    <row r="205" spans="1:5">
      <c r="A205" t="s">
        <v>1966</v>
      </c>
    </row>
    <row r="207" spans="1:5">
      <c r="C207" t="s">
        <v>196</v>
      </c>
    </row>
    <row r="208" spans="1:5">
      <c r="B208" t="s">
        <v>2055</v>
      </c>
      <c r="C208" t="s">
        <v>1908</v>
      </c>
      <c r="D208" t="s">
        <v>1909</v>
      </c>
      <c r="E208" t="s">
        <v>2999</v>
      </c>
    </row>
    <row r="209" spans="1:7">
      <c r="B209" t="s">
        <v>2056</v>
      </c>
      <c r="C209" t="s">
        <v>2489</v>
      </c>
    </row>
    <row r="210" spans="1:7">
      <c r="B210" t="s">
        <v>2057</v>
      </c>
      <c r="C210">
        <v>38.5</v>
      </c>
    </row>
    <row r="211" spans="1:7">
      <c r="B211" t="s">
        <v>2058</v>
      </c>
      <c r="C211">
        <v>-121.5</v>
      </c>
    </row>
    <row r="212" spans="1:7">
      <c r="B212" t="s">
        <v>2059</v>
      </c>
      <c r="C212">
        <v>5</v>
      </c>
    </row>
    <row r="213" spans="1:7">
      <c r="B213" t="s">
        <v>2060</v>
      </c>
      <c r="C213">
        <v>-8</v>
      </c>
    </row>
    <row r="214" spans="1:7">
      <c r="B214" t="s">
        <v>2061</v>
      </c>
      <c r="C214">
        <v>0</v>
      </c>
    </row>
    <row r="215" spans="1:7">
      <c r="B215" t="s">
        <v>2062</v>
      </c>
      <c r="C215">
        <v>0</v>
      </c>
    </row>
    <row r="216" spans="1:7">
      <c r="B216" t="s">
        <v>2063</v>
      </c>
      <c r="C216">
        <v>24</v>
      </c>
    </row>
    <row r="219" spans="1:7">
      <c r="A219" t="s">
        <v>2064</v>
      </c>
    </row>
    <row r="221" spans="1:7">
      <c r="A221" t="s">
        <v>2065</v>
      </c>
    </row>
    <row r="223" spans="1:7">
      <c r="C223" t="s">
        <v>2006</v>
      </c>
      <c r="D223" t="s">
        <v>2066</v>
      </c>
      <c r="E223" t="s">
        <v>2067</v>
      </c>
      <c r="F223" t="s">
        <v>2068</v>
      </c>
      <c r="G223" t="s">
        <v>2069</v>
      </c>
    </row>
    <row r="224" spans="1:7">
      <c r="B224" t="s">
        <v>2070</v>
      </c>
      <c r="C224">
        <v>2092.2399999999998</v>
      </c>
      <c r="D224">
        <v>627.66999999999996</v>
      </c>
      <c r="E224">
        <v>418.45</v>
      </c>
      <c r="F224">
        <v>627.66999999999996</v>
      </c>
      <c r="G224">
        <v>418.45</v>
      </c>
    </row>
    <row r="225" spans="1:7">
      <c r="B225" t="s">
        <v>2071</v>
      </c>
      <c r="C225">
        <v>691.23</v>
      </c>
      <c r="D225">
        <v>207.36</v>
      </c>
      <c r="E225">
        <v>138.26</v>
      </c>
      <c r="F225">
        <v>207.36</v>
      </c>
      <c r="G225">
        <v>138.26</v>
      </c>
    </row>
    <row r="226" spans="1:7">
      <c r="B226" t="s">
        <v>2072</v>
      </c>
      <c r="C226">
        <v>33.04</v>
      </c>
      <c r="D226">
        <v>33.04</v>
      </c>
      <c r="E226">
        <v>33.04</v>
      </c>
      <c r="F226">
        <v>33.04</v>
      </c>
      <c r="G226">
        <v>33.04</v>
      </c>
    </row>
    <row r="229" spans="1:7">
      <c r="A229" t="s">
        <v>2073</v>
      </c>
    </row>
    <row r="231" spans="1:7">
      <c r="C231" t="s">
        <v>2006</v>
      </c>
    </row>
    <row r="232" spans="1:7">
      <c r="B232" t="s">
        <v>2074</v>
      </c>
      <c r="C232">
        <v>1858.74</v>
      </c>
    </row>
    <row r="233" spans="1:7">
      <c r="B233" t="s">
        <v>2075</v>
      </c>
      <c r="C233">
        <v>0</v>
      </c>
    </row>
    <row r="234" spans="1:7">
      <c r="B234" t="s">
        <v>2076</v>
      </c>
      <c r="C234">
        <v>0</v>
      </c>
    </row>
    <row r="237" spans="1:7">
      <c r="A237" t="s">
        <v>2077</v>
      </c>
    </row>
    <row r="239" spans="1:7">
      <c r="A239" t="s">
        <v>2078</v>
      </c>
    </row>
    <row r="241" spans="2:11">
      <c r="C241" t="s">
        <v>1941</v>
      </c>
      <c r="D241" t="s">
        <v>2079</v>
      </c>
      <c r="E241" t="s">
        <v>2080</v>
      </c>
      <c r="F241" t="s">
        <v>2081</v>
      </c>
      <c r="G241" t="s">
        <v>2070</v>
      </c>
      <c r="H241" t="s">
        <v>2082</v>
      </c>
      <c r="I241" t="s">
        <v>2083</v>
      </c>
      <c r="J241" t="s">
        <v>2084</v>
      </c>
      <c r="K241" t="s">
        <v>2085</v>
      </c>
    </row>
    <row r="242" spans="2:11">
      <c r="B242" t="s">
        <v>2086</v>
      </c>
      <c r="C242">
        <v>220.56</v>
      </c>
      <c r="D242" t="s">
        <v>487</v>
      </c>
      <c r="E242">
        <v>605.04</v>
      </c>
      <c r="F242">
        <v>1</v>
      </c>
      <c r="G242">
        <v>144.85</v>
      </c>
      <c r="H242">
        <v>59.43</v>
      </c>
      <c r="I242">
        <v>10.8</v>
      </c>
      <c r="J242">
        <v>9.3000000000000007</v>
      </c>
      <c r="K242">
        <v>8.1</v>
      </c>
    </row>
    <row r="243" spans="2:11">
      <c r="B243" t="s">
        <v>2087</v>
      </c>
      <c r="C243">
        <v>140.07</v>
      </c>
      <c r="D243" t="s">
        <v>487</v>
      </c>
      <c r="E243">
        <v>384.24</v>
      </c>
      <c r="F243">
        <v>1</v>
      </c>
      <c r="G243">
        <v>96.57</v>
      </c>
      <c r="H243">
        <v>39.58</v>
      </c>
      <c r="I243">
        <v>10.8</v>
      </c>
      <c r="J243">
        <v>9.3000000000000007</v>
      </c>
      <c r="K243">
        <v>8.1</v>
      </c>
    </row>
    <row r="244" spans="2:11">
      <c r="B244" t="s">
        <v>2088</v>
      </c>
      <c r="C244">
        <v>220.56</v>
      </c>
      <c r="D244" t="s">
        <v>487</v>
      </c>
      <c r="E244">
        <v>605.04</v>
      </c>
      <c r="F244">
        <v>1</v>
      </c>
      <c r="G244">
        <v>144.85</v>
      </c>
      <c r="H244">
        <v>59.43</v>
      </c>
      <c r="I244">
        <v>10.8</v>
      </c>
      <c r="J244">
        <v>9.3000000000000007</v>
      </c>
      <c r="K244">
        <v>8.1</v>
      </c>
    </row>
    <row r="245" spans="2:11">
      <c r="B245" t="s">
        <v>2089</v>
      </c>
      <c r="C245">
        <v>140.07</v>
      </c>
      <c r="D245" t="s">
        <v>487</v>
      </c>
      <c r="E245">
        <v>384.24</v>
      </c>
      <c r="F245">
        <v>1</v>
      </c>
      <c r="G245">
        <v>96.57</v>
      </c>
      <c r="H245">
        <v>39.58</v>
      </c>
      <c r="I245">
        <v>10.8</v>
      </c>
      <c r="J245">
        <v>9.3000000000000007</v>
      </c>
      <c r="K245">
        <v>8.1</v>
      </c>
    </row>
    <row r="246" spans="2:11">
      <c r="B246" t="s">
        <v>2090</v>
      </c>
      <c r="C246">
        <v>1137.48</v>
      </c>
      <c r="D246" t="s">
        <v>487</v>
      </c>
      <c r="E246">
        <v>3120.32</v>
      </c>
      <c r="F246">
        <v>1</v>
      </c>
      <c r="G246">
        <v>0</v>
      </c>
      <c r="H246">
        <v>0</v>
      </c>
      <c r="I246">
        <v>10.8</v>
      </c>
      <c r="J246">
        <v>9.3000000000000007</v>
      </c>
      <c r="K246">
        <v>8.1</v>
      </c>
    </row>
    <row r="247" spans="2:11">
      <c r="B247" t="s">
        <v>2091</v>
      </c>
      <c r="C247">
        <v>220.56</v>
      </c>
      <c r="D247" t="s">
        <v>487</v>
      </c>
      <c r="E247">
        <v>179.38</v>
      </c>
      <c r="F247">
        <v>1</v>
      </c>
      <c r="G247">
        <v>42.94</v>
      </c>
      <c r="H247">
        <v>0</v>
      </c>
      <c r="I247">
        <v>0</v>
      </c>
      <c r="K247">
        <v>0</v>
      </c>
    </row>
    <row r="248" spans="2:11">
      <c r="B248" t="s">
        <v>2092</v>
      </c>
      <c r="C248">
        <v>140.07</v>
      </c>
      <c r="D248" t="s">
        <v>487</v>
      </c>
      <c r="E248">
        <v>113.92</v>
      </c>
      <c r="F248">
        <v>1</v>
      </c>
      <c r="G248">
        <v>28.63</v>
      </c>
      <c r="H248">
        <v>0</v>
      </c>
      <c r="I248">
        <v>0</v>
      </c>
      <c r="K248">
        <v>0</v>
      </c>
    </row>
    <row r="249" spans="2:11">
      <c r="B249" t="s">
        <v>2093</v>
      </c>
      <c r="C249">
        <v>220.56</v>
      </c>
      <c r="D249" t="s">
        <v>487</v>
      </c>
      <c r="E249">
        <v>179.38</v>
      </c>
      <c r="F249">
        <v>1</v>
      </c>
      <c r="G249">
        <v>42.94</v>
      </c>
      <c r="H249">
        <v>0</v>
      </c>
      <c r="I249">
        <v>0</v>
      </c>
      <c r="K249">
        <v>0</v>
      </c>
    </row>
    <row r="250" spans="2:11">
      <c r="B250" t="s">
        <v>2094</v>
      </c>
      <c r="C250">
        <v>140.07</v>
      </c>
      <c r="D250" t="s">
        <v>487</v>
      </c>
      <c r="E250">
        <v>113.92</v>
      </c>
      <c r="F250">
        <v>1</v>
      </c>
      <c r="G250">
        <v>28.63</v>
      </c>
      <c r="H250">
        <v>0</v>
      </c>
      <c r="I250">
        <v>0</v>
      </c>
      <c r="K250">
        <v>0</v>
      </c>
    </row>
    <row r="251" spans="2:11">
      <c r="B251" t="s">
        <v>2095</v>
      </c>
      <c r="C251">
        <v>1137.48</v>
      </c>
      <c r="D251" t="s">
        <v>487</v>
      </c>
      <c r="E251">
        <v>925.11</v>
      </c>
      <c r="F251">
        <v>1</v>
      </c>
      <c r="G251">
        <v>0</v>
      </c>
      <c r="H251">
        <v>0</v>
      </c>
      <c r="I251">
        <v>0</v>
      </c>
      <c r="K251">
        <v>0</v>
      </c>
    </row>
    <row r="252" spans="2:11">
      <c r="B252" t="s">
        <v>2096</v>
      </c>
      <c r="C252">
        <v>220.56</v>
      </c>
      <c r="D252" t="s">
        <v>487</v>
      </c>
      <c r="E252">
        <v>605.04</v>
      </c>
      <c r="F252">
        <v>1</v>
      </c>
      <c r="G252">
        <v>144.85</v>
      </c>
      <c r="H252">
        <v>64.7</v>
      </c>
      <c r="I252">
        <v>10.8</v>
      </c>
      <c r="J252">
        <v>9.3000000000000007</v>
      </c>
      <c r="K252">
        <v>8.1</v>
      </c>
    </row>
    <row r="253" spans="2:11">
      <c r="B253" t="s">
        <v>2097</v>
      </c>
      <c r="C253">
        <v>140.07</v>
      </c>
      <c r="D253" t="s">
        <v>487</v>
      </c>
      <c r="E253">
        <v>384.24</v>
      </c>
      <c r="F253">
        <v>1</v>
      </c>
      <c r="G253">
        <v>96.57</v>
      </c>
      <c r="H253">
        <v>43.09</v>
      </c>
      <c r="I253">
        <v>10.8</v>
      </c>
      <c r="J253">
        <v>9.3000000000000007</v>
      </c>
      <c r="K253">
        <v>8.1</v>
      </c>
    </row>
    <row r="254" spans="2:11">
      <c r="B254" t="s">
        <v>2098</v>
      </c>
      <c r="C254">
        <v>220.56</v>
      </c>
      <c r="D254" t="s">
        <v>487</v>
      </c>
      <c r="E254">
        <v>605.04</v>
      </c>
      <c r="F254">
        <v>1</v>
      </c>
      <c r="G254">
        <v>144.85</v>
      </c>
      <c r="H254">
        <v>64.7</v>
      </c>
      <c r="I254">
        <v>10.8</v>
      </c>
      <c r="J254">
        <v>9.3000000000000007</v>
      </c>
      <c r="K254">
        <v>8.1</v>
      </c>
    </row>
    <row r="255" spans="2:11">
      <c r="B255" t="s">
        <v>2099</v>
      </c>
      <c r="C255">
        <v>140.07</v>
      </c>
      <c r="D255" t="s">
        <v>487</v>
      </c>
      <c r="E255">
        <v>384.24</v>
      </c>
      <c r="F255">
        <v>1</v>
      </c>
      <c r="G255">
        <v>96.57</v>
      </c>
      <c r="H255">
        <v>43.09</v>
      </c>
      <c r="I255">
        <v>10.8</v>
      </c>
      <c r="J255">
        <v>9.3000000000000007</v>
      </c>
      <c r="K255">
        <v>8.1</v>
      </c>
    </row>
    <row r="256" spans="2:11">
      <c r="B256" t="s">
        <v>2100</v>
      </c>
      <c r="C256">
        <v>1137.48</v>
      </c>
      <c r="D256" t="s">
        <v>487</v>
      </c>
      <c r="E256">
        <v>3120.32</v>
      </c>
      <c r="F256">
        <v>1</v>
      </c>
      <c r="G256">
        <v>0</v>
      </c>
      <c r="H256">
        <v>0</v>
      </c>
      <c r="I256">
        <v>10.8</v>
      </c>
      <c r="J256">
        <v>9.3000000000000007</v>
      </c>
      <c r="K256">
        <v>8.1</v>
      </c>
    </row>
    <row r="257" spans="2:11">
      <c r="B257" t="s">
        <v>2101</v>
      </c>
      <c r="C257">
        <v>220.56</v>
      </c>
      <c r="D257" t="s">
        <v>487</v>
      </c>
      <c r="E257">
        <v>179.38</v>
      </c>
      <c r="F257">
        <v>1</v>
      </c>
      <c r="G257">
        <v>42.94</v>
      </c>
      <c r="H257">
        <v>0</v>
      </c>
      <c r="I257">
        <v>0</v>
      </c>
      <c r="K257">
        <v>0</v>
      </c>
    </row>
    <row r="258" spans="2:11">
      <c r="B258" t="s">
        <v>2102</v>
      </c>
      <c r="C258">
        <v>140.07</v>
      </c>
      <c r="D258" t="s">
        <v>487</v>
      </c>
      <c r="E258">
        <v>113.92</v>
      </c>
      <c r="F258">
        <v>1</v>
      </c>
      <c r="G258">
        <v>28.63</v>
      </c>
      <c r="H258">
        <v>0</v>
      </c>
      <c r="I258">
        <v>0</v>
      </c>
      <c r="K258">
        <v>0</v>
      </c>
    </row>
    <row r="259" spans="2:11">
      <c r="B259" t="s">
        <v>2103</v>
      </c>
      <c r="C259">
        <v>220.56</v>
      </c>
      <c r="D259" t="s">
        <v>487</v>
      </c>
      <c r="E259">
        <v>179.38</v>
      </c>
      <c r="F259">
        <v>1</v>
      </c>
      <c r="G259">
        <v>42.94</v>
      </c>
      <c r="H259">
        <v>0</v>
      </c>
      <c r="I259">
        <v>0</v>
      </c>
      <c r="K259">
        <v>0</v>
      </c>
    </row>
    <row r="260" spans="2:11">
      <c r="B260" t="s">
        <v>2104</v>
      </c>
      <c r="C260">
        <v>140.07</v>
      </c>
      <c r="D260" t="s">
        <v>487</v>
      </c>
      <c r="E260">
        <v>113.92</v>
      </c>
      <c r="F260">
        <v>1</v>
      </c>
      <c r="G260">
        <v>28.63</v>
      </c>
      <c r="H260">
        <v>0</v>
      </c>
      <c r="I260">
        <v>0</v>
      </c>
      <c r="K260">
        <v>0</v>
      </c>
    </row>
    <row r="261" spans="2:11">
      <c r="B261" t="s">
        <v>2105</v>
      </c>
      <c r="C261">
        <v>1137.48</v>
      </c>
      <c r="D261" t="s">
        <v>487</v>
      </c>
      <c r="E261">
        <v>925.11</v>
      </c>
      <c r="F261">
        <v>1</v>
      </c>
      <c r="G261">
        <v>0</v>
      </c>
      <c r="H261">
        <v>0</v>
      </c>
      <c r="I261">
        <v>0</v>
      </c>
      <c r="K261">
        <v>0</v>
      </c>
    </row>
    <row r="262" spans="2:11">
      <c r="B262" t="s">
        <v>2106</v>
      </c>
      <c r="C262">
        <v>220.56</v>
      </c>
      <c r="D262" t="s">
        <v>487</v>
      </c>
      <c r="E262">
        <v>604.84</v>
      </c>
      <c r="F262">
        <v>1</v>
      </c>
      <c r="G262">
        <v>144.80000000000001</v>
      </c>
      <c r="H262">
        <v>64.7</v>
      </c>
      <c r="I262">
        <v>10.8</v>
      </c>
      <c r="J262">
        <v>9.3000000000000007</v>
      </c>
      <c r="K262">
        <v>8.1</v>
      </c>
    </row>
    <row r="263" spans="2:11">
      <c r="B263" t="s">
        <v>2107</v>
      </c>
      <c r="C263">
        <v>140.07</v>
      </c>
      <c r="D263" t="s">
        <v>487</v>
      </c>
      <c r="E263">
        <v>384.11</v>
      </c>
      <c r="F263">
        <v>1</v>
      </c>
      <c r="G263">
        <v>96.53</v>
      </c>
      <c r="H263">
        <v>43.09</v>
      </c>
      <c r="I263">
        <v>10.8</v>
      </c>
      <c r="J263">
        <v>9.3000000000000007</v>
      </c>
      <c r="K263">
        <v>8.1</v>
      </c>
    </row>
    <row r="264" spans="2:11">
      <c r="B264" t="s">
        <v>2108</v>
      </c>
      <c r="C264">
        <v>220.56</v>
      </c>
      <c r="D264" t="s">
        <v>487</v>
      </c>
      <c r="E264">
        <v>604.84</v>
      </c>
      <c r="F264">
        <v>1</v>
      </c>
      <c r="G264">
        <v>144.80000000000001</v>
      </c>
      <c r="H264">
        <v>64.7</v>
      </c>
      <c r="I264">
        <v>10.8</v>
      </c>
      <c r="J264">
        <v>9.3000000000000007</v>
      </c>
      <c r="K264">
        <v>8.1</v>
      </c>
    </row>
    <row r="265" spans="2:11">
      <c r="B265" t="s">
        <v>2109</v>
      </c>
      <c r="C265">
        <v>140.07</v>
      </c>
      <c r="D265" t="s">
        <v>487</v>
      </c>
      <c r="E265">
        <v>384.11</v>
      </c>
      <c r="F265">
        <v>1</v>
      </c>
      <c r="G265">
        <v>96.53</v>
      </c>
      <c r="H265">
        <v>43.09</v>
      </c>
      <c r="I265">
        <v>10.8</v>
      </c>
      <c r="J265">
        <v>9.3000000000000007</v>
      </c>
      <c r="K265">
        <v>8.1</v>
      </c>
    </row>
    <row r="266" spans="2:11">
      <c r="B266" t="s">
        <v>2110</v>
      </c>
      <c r="C266">
        <v>1137.48</v>
      </c>
      <c r="D266" t="s">
        <v>487</v>
      </c>
      <c r="E266">
        <v>3119.29</v>
      </c>
      <c r="F266">
        <v>1</v>
      </c>
      <c r="G266">
        <v>0</v>
      </c>
      <c r="H266">
        <v>0</v>
      </c>
      <c r="I266">
        <v>10.8</v>
      </c>
      <c r="J266">
        <v>9.3000000000000007</v>
      </c>
      <c r="K266">
        <v>8.1</v>
      </c>
    </row>
    <row r="267" spans="2:11">
      <c r="B267" t="s">
        <v>2111</v>
      </c>
      <c r="C267">
        <v>220.56</v>
      </c>
      <c r="D267" t="s">
        <v>487</v>
      </c>
      <c r="E267">
        <v>179.58</v>
      </c>
      <c r="F267">
        <v>1</v>
      </c>
      <c r="G267">
        <v>42.99</v>
      </c>
      <c r="H267">
        <v>0</v>
      </c>
      <c r="I267">
        <v>0</v>
      </c>
      <c r="K267">
        <v>0</v>
      </c>
    </row>
    <row r="268" spans="2:11">
      <c r="B268" t="s">
        <v>2112</v>
      </c>
      <c r="C268">
        <v>140.07</v>
      </c>
      <c r="D268" t="s">
        <v>487</v>
      </c>
      <c r="E268">
        <v>114.04</v>
      </c>
      <c r="F268">
        <v>1</v>
      </c>
      <c r="G268">
        <v>28.66</v>
      </c>
      <c r="H268">
        <v>0</v>
      </c>
      <c r="I268">
        <v>0</v>
      </c>
      <c r="K268">
        <v>0</v>
      </c>
    </row>
    <row r="269" spans="2:11">
      <c r="B269" t="s">
        <v>2113</v>
      </c>
      <c r="C269">
        <v>220.56</v>
      </c>
      <c r="D269" t="s">
        <v>487</v>
      </c>
      <c r="E269">
        <v>179.58</v>
      </c>
      <c r="F269">
        <v>1</v>
      </c>
      <c r="G269">
        <v>42.99</v>
      </c>
      <c r="H269">
        <v>0</v>
      </c>
      <c r="I269">
        <v>0</v>
      </c>
      <c r="K269">
        <v>0</v>
      </c>
    </row>
    <row r="270" spans="2:11">
      <c r="B270" t="s">
        <v>2114</v>
      </c>
      <c r="C270">
        <v>140.07</v>
      </c>
      <c r="D270" t="s">
        <v>487</v>
      </c>
      <c r="E270">
        <v>114.04</v>
      </c>
      <c r="F270">
        <v>1</v>
      </c>
      <c r="G270">
        <v>28.66</v>
      </c>
      <c r="H270">
        <v>0</v>
      </c>
      <c r="I270">
        <v>0</v>
      </c>
      <c r="K270">
        <v>0</v>
      </c>
    </row>
    <row r="271" spans="2:11">
      <c r="B271" t="s">
        <v>2115</v>
      </c>
      <c r="C271">
        <v>1137.48</v>
      </c>
      <c r="D271" t="s">
        <v>487</v>
      </c>
      <c r="E271">
        <v>926.13</v>
      </c>
      <c r="F271">
        <v>1</v>
      </c>
      <c r="G271">
        <v>0</v>
      </c>
      <c r="H271">
        <v>0</v>
      </c>
      <c r="I271">
        <v>0</v>
      </c>
      <c r="K271">
        <v>0</v>
      </c>
    </row>
    <row r="272" spans="2:11">
      <c r="B272" t="s">
        <v>2880</v>
      </c>
      <c r="C272">
        <v>220.56</v>
      </c>
      <c r="D272" t="s">
        <v>487</v>
      </c>
      <c r="E272">
        <v>89.53</v>
      </c>
      <c r="F272">
        <v>1</v>
      </c>
      <c r="G272">
        <v>21.43</v>
      </c>
      <c r="H272">
        <v>0</v>
      </c>
      <c r="I272">
        <v>0</v>
      </c>
      <c r="K272">
        <v>0</v>
      </c>
    </row>
    <row r="273" spans="2:11">
      <c r="B273" t="s">
        <v>2881</v>
      </c>
      <c r="C273">
        <v>140.07</v>
      </c>
      <c r="D273" t="s">
        <v>487</v>
      </c>
      <c r="E273">
        <v>56.85</v>
      </c>
      <c r="F273">
        <v>1</v>
      </c>
      <c r="G273">
        <v>14.29</v>
      </c>
      <c r="H273">
        <v>0</v>
      </c>
      <c r="I273">
        <v>0</v>
      </c>
      <c r="K273">
        <v>0</v>
      </c>
    </row>
    <row r="274" spans="2:11">
      <c r="B274" t="s">
        <v>2882</v>
      </c>
      <c r="C274">
        <v>220.56</v>
      </c>
      <c r="D274" t="s">
        <v>487</v>
      </c>
      <c r="E274">
        <v>89.53</v>
      </c>
      <c r="F274">
        <v>1</v>
      </c>
      <c r="G274">
        <v>21.43</v>
      </c>
      <c r="H274">
        <v>0</v>
      </c>
      <c r="I274">
        <v>0</v>
      </c>
      <c r="K274">
        <v>0</v>
      </c>
    </row>
    <row r="275" spans="2:11">
      <c r="B275" t="s">
        <v>2883</v>
      </c>
      <c r="C275">
        <v>140.07</v>
      </c>
      <c r="D275" t="s">
        <v>487</v>
      </c>
      <c r="E275">
        <v>56.85</v>
      </c>
      <c r="F275">
        <v>1</v>
      </c>
      <c r="G275">
        <v>14.29</v>
      </c>
      <c r="H275">
        <v>0</v>
      </c>
      <c r="I275">
        <v>0</v>
      </c>
      <c r="K275">
        <v>0</v>
      </c>
    </row>
    <row r="276" spans="2:11">
      <c r="B276" t="s">
        <v>2884</v>
      </c>
      <c r="C276">
        <v>1137.48</v>
      </c>
      <c r="D276" t="s">
        <v>487</v>
      </c>
      <c r="E276">
        <v>461.71</v>
      </c>
      <c r="F276">
        <v>1</v>
      </c>
      <c r="G276">
        <v>0</v>
      </c>
      <c r="H276">
        <v>0</v>
      </c>
      <c r="I276">
        <v>0</v>
      </c>
      <c r="K276">
        <v>0</v>
      </c>
    </row>
    <row r="277" spans="2:11">
      <c r="B277" t="s">
        <v>2885</v>
      </c>
      <c r="C277">
        <v>220.56</v>
      </c>
      <c r="D277" t="s">
        <v>487</v>
      </c>
      <c r="E277">
        <v>89.52</v>
      </c>
      <c r="F277">
        <v>1</v>
      </c>
      <c r="G277">
        <v>21.43</v>
      </c>
      <c r="H277">
        <v>0</v>
      </c>
      <c r="I277">
        <v>0</v>
      </c>
      <c r="K277">
        <v>0</v>
      </c>
    </row>
    <row r="278" spans="2:11">
      <c r="B278" t="s">
        <v>2886</v>
      </c>
      <c r="C278">
        <v>140.07</v>
      </c>
      <c r="D278" t="s">
        <v>487</v>
      </c>
      <c r="E278">
        <v>56.85</v>
      </c>
      <c r="F278">
        <v>1</v>
      </c>
      <c r="G278">
        <v>14.29</v>
      </c>
      <c r="H278">
        <v>0</v>
      </c>
      <c r="I278">
        <v>0</v>
      </c>
      <c r="K278">
        <v>0</v>
      </c>
    </row>
    <row r="279" spans="2:11">
      <c r="B279" t="s">
        <v>2887</v>
      </c>
      <c r="C279">
        <v>220.56</v>
      </c>
      <c r="D279" t="s">
        <v>487</v>
      </c>
      <c r="E279">
        <v>89.52</v>
      </c>
      <c r="F279">
        <v>1</v>
      </c>
      <c r="G279">
        <v>21.43</v>
      </c>
      <c r="H279">
        <v>0</v>
      </c>
      <c r="I279">
        <v>0</v>
      </c>
      <c r="K279">
        <v>0</v>
      </c>
    </row>
    <row r="280" spans="2:11">
      <c r="B280" t="s">
        <v>2888</v>
      </c>
      <c r="C280">
        <v>140.07</v>
      </c>
      <c r="D280" t="s">
        <v>487</v>
      </c>
      <c r="E280">
        <v>56.85</v>
      </c>
      <c r="F280">
        <v>1</v>
      </c>
      <c r="G280">
        <v>14.29</v>
      </c>
      <c r="H280">
        <v>0</v>
      </c>
      <c r="I280">
        <v>0</v>
      </c>
      <c r="K280">
        <v>0</v>
      </c>
    </row>
    <row r="281" spans="2:11">
      <c r="B281" t="s">
        <v>2889</v>
      </c>
      <c r="C281">
        <v>1137.48</v>
      </c>
      <c r="D281" t="s">
        <v>487</v>
      </c>
      <c r="E281">
        <v>461.69</v>
      </c>
      <c r="F281">
        <v>1</v>
      </c>
      <c r="G281">
        <v>0</v>
      </c>
      <c r="H281">
        <v>0</v>
      </c>
      <c r="I281">
        <v>0</v>
      </c>
      <c r="K281">
        <v>0</v>
      </c>
    </row>
    <row r="282" spans="2:11">
      <c r="B282" t="s">
        <v>2890</v>
      </c>
      <c r="C282">
        <v>220.56</v>
      </c>
      <c r="D282" t="s">
        <v>487</v>
      </c>
      <c r="E282">
        <v>89.52</v>
      </c>
      <c r="F282">
        <v>1</v>
      </c>
      <c r="G282">
        <v>21.43</v>
      </c>
      <c r="H282">
        <v>0</v>
      </c>
      <c r="I282">
        <v>0</v>
      </c>
      <c r="K282">
        <v>0</v>
      </c>
    </row>
    <row r="283" spans="2:11">
      <c r="B283" t="s">
        <v>2891</v>
      </c>
      <c r="C283">
        <v>140.07</v>
      </c>
      <c r="D283" t="s">
        <v>487</v>
      </c>
      <c r="E283">
        <v>56.85</v>
      </c>
      <c r="F283">
        <v>1</v>
      </c>
      <c r="G283">
        <v>14.29</v>
      </c>
      <c r="H283">
        <v>0</v>
      </c>
      <c r="I283">
        <v>0</v>
      </c>
      <c r="K283">
        <v>0</v>
      </c>
    </row>
    <row r="284" spans="2:11">
      <c r="B284" t="s">
        <v>2892</v>
      </c>
      <c r="C284">
        <v>220.56</v>
      </c>
      <c r="D284" t="s">
        <v>487</v>
      </c>
      <c r="E284">
        <v>89.52</v>
      </c>
      <c r="F284">
        <v>1</v>
      </c>
      <c r="G284">
        <v>21.43</v>
      </c>
      <c r="H284">
        <v>0</v>
      </c>
      <c r="I284">
        <v>0</v>
      </c>
      <c r="K284">
        <v>0</v>
      </c>
    </row>
    <row r="285" spans="2:11">
      <c r="B285" t="s">
        <v>2893</v>
      </c>
      <c r="C285">
        <v>140.07</v>
      </c>
      <c r="D285" t="s">
        <v>487</v>
      </c>
      <c r="E285">
        <v>56.85</v>
      </c>
      <c r="F285">
        <v>1</v>
      </c>
      <c r="G285">
        <v>14.29</v>
      </c>
      <c r="H285">
        <v>0</v>
      </c>
      <c r="I285">
        <v>0</v>
      </c>
      <c r="K285">
        <v>0</v>
      </c>
    </row>
    <row r="286" spans="2:11">
      <c r="B286" t="s">
        <v>2894</v>
      </c>
      <c r="C286">
        <v>1137.48</v>
      </c>
      <c r="D286" t="s">
        <v>487</v>
      </c>
      <c r="E286">
        <v>461.69</v>
      </c>
      <c r="F286">
        <v>1</v>
      </c>
      <c r="G286">
        <v>0</v>
      </c>
      <c r="H286">
        <v>0</v>
      </c>
      <c r="I286">
        <v>0</v>
      </c>
      <c r="K286">
        <v>0</v>
      </c>
    </row>
    <row r="287" spans="2:11">
      <c r="B287" t="s">
        <v>2006</v>
      </c>
      <c r="C287">
        <v>16728.63</v>
      </c>
      <c r="E287">
        <v>22095.11</v>
      </c>
      <c r="G287">
        <v>2092.2399999999998</v>
      </c>
      <c r="H287">
        <v>629.16999999999996</v>
      </c>
      <c r="I287">
        <v>3.6</v>
      </c>
      <c r="J287">
        <v>27.9</v>
      </c>
      <c r="K287">
        <v>2.7</v>
      </c>
    </row>
    <row r="288" spans="2:11">
      <c r="B288" t="s">
        <v>2116</v>
      </c>
      <c r="C288">
        <v>16728.63</v>
      </c>
      <c r="E288">
        <v>22095.11</v>
      </c>
      <c r="G288">
        <v>2092.2399999999998</v>
      </c>
      <c r="H288">
        <v>629.16999999999996</v>
      </c>
      <c r="I288">
        <v>3.6</v>
      </c>
      <c r="J288">
        <v>27.9</v>
      </c>
      <c r="K288">
        <v>2.7</v>
      </c>
    </row>
    <row r="289" spans="1:8">
      <c r="B289" t="s">
        <v>2117</v>
      </c>
      <c r="C289">
        <v>0</v>
      </c>
      <c r="E289">
        <v>0</v>
      </c>
      <c r="G289">
        <v>0</v>
      </c>
      <c r="H289">
        <v>0</v>
      </c>
    </row>
    <row r="292" spans="1:8">
      <c r="A292" t="s">
        <v>1914</v>
      </c>
    </row>
    <row r="293" spans="1:8">
      <c r="A293" t="s">
        <v>1915</v>
      </c>
      <c r="B293" t="s">
        <v>2118</v>
      </c>
    </row>
    <row r="294" spans="1:8">
      <c r="A294" t="s">
        <v>1917</v>
      </c>
      <c r="B294" t="s">
        <v>1918</v>
      </c>
    </row>
    <row r="295" spans="1:8">
      <c r="A295" t="s">
        <v>1945</v>
      </c>
    </row>
    <row r="297" spans="1:8">
      <c r="C297" t="s">
        <v>2119</v>
      </c>
      <c r="D297" t="s">
        <v>2120</v>
      </c>
      <c r="E297" t="s">
        <v>2121</v>
      </c>
      <c r="F297" t="s">
        <v>2122</v>
      </c>
      <c r="G297" t="s">
        <v>2123</v>
      </c>
      <c r="H297" t="s">
        <v>2124</v>
      </c>
    </row>
    <row r="298" spans="1:8">
      <c r="B298" t="s">
        <v>2125</v>
      </c>
      <c r="C298" t="s">
        <v>3002</v>
      </c>
      <c r="D298" t="s">
        <v>3003</v>
      </c>
      <c r="E298" t="s">
        <v>212</v>
      </c>
      <c r="F298" t="s">
        <v>212</v>
      </c>
      <c r="G298" t="s">
        <v>212</v>
      </c>
      <c r="H298" t="s">
        <v>212</v>
      </c>
    </row>
    <row r="299" spans="1:8">
      <c r="B299" t="s">
        <v>350</v>
      </c>
      <c r="C299">
        <v>0</v>
      </c>
      <c r="D299">
        <v>52066.65</v>
      </c>
      <c r="E299">
        <v>0</v>
      </c>
      <c r="F299">
        <v>0</v>
      </c>
      <c r="G299">
        <v>0</v>
      </c>
      <c r="H299">
        <v>0</v>
      </c>
    </row>
    <row r="300" spans="1:8">
      <c r="B300" t="s">
        <v>349</v>
      </c>
      <c r="C300">
        <v>0</v>
      </c>
      <c r="D300">
        <v>0</v>
      </c>
      <c r="E300">
        <v>0</v>
      </c>
      <c r="F300">
        <v>0</v>
      </c>
      <c r="G300">
        <v>0</v>
      </c>
      <c r="H300">
        <v>0</v>
      </c>
    </row>
    <row r="301" spans="1:8">
      <c r="B301" t="s">
        <v>1952</v>
      </c>
      <c r="C301">
        <v>54200.75</v>
      </c>
      <c r="D301">
        <v>0</v>
      </c>
      <c r="E301">
        <v>0</v>
      </c>
      <c r="F301">
        <v>0</v>
      </c>
      <c r="G301">
        <v>0</v>
      </c>
      <c r="H301">
        <v>0</v>
      </c>
    </row>
    <row r="302" spans="1:8">
      <c r="B302" t="s">
        <v>1953</v>
      </c>
      <c r="C302">
        <v>0</v>
      </c>
      <c r="D302">
        <v>0</v>
      </c>
      <c r="E302">
        <v>0</v>
      </c>
      <c r="F302">
        <v>0</v>
      </c>
      <c r="G302">
        <v>0</v>
      </c>
      <c r="H302">
        <v>0</v>
      </c>
    </row>
    <row r="303" spans="1:8">
      <c r="B303" t="s">
        <v>1954</v>
      </c>
      <c r="C303">
        <v>40650.559999999998</v>
      </c>
      <c r="D303">
        <v>0</v>
      </c>
      <c r="E303">
        <v>0</v>
      </c>
      <c r="F303">
        <v>0</v>
      </c>
      <c r="G303">
        <v>0</v>
      </c>
      <c r="H303">
        <v>0</v>
      </c>
    </row>
    <row r="304" spans="1:8">
      <c r="B304" t="s">
        <v>1955</v>
      </c>
      <c r="C304">
        <v>0</v>
      </c>
      <c r="D304">
        <v>0</v>
      </c>
      <c r="E304">
        <v>0</v>
      </c>
      <c r="F304">
        <v>0</v>
      </c>
      <c r="G304">
        <v>0</v>
      </c>
      <c r="H304">
        <v>0</v>
      </c>
    </row>
    <row r="305" spans="1:9">
      <c r="B305" t="s">
        <v>501</v>
      </c>
      <c r="C305">
        <v>6558.05</v>
      </c>
      <c r="D305">
        <v>0</v>
      </c>
      <c r="E305">
        <v>0</v>
      </c>
      <c r="F305">
        <v>0</v>
      </c>
      <c r="G305">
        <v>0</v>
      </c>
      <c r="H305">
        <v>0</v>
      </c>
    </row>
    <row r="306" spans="1:9">
      <c r="B306" t="s">
        <v>1956</v>
      </c>
      <c r="C306">
        <v>67.7</v>
      </c>
      <c r="D306">
        <v>0</v>
      </c>
      <c r="E306">
        <v>0</v>
      </c>
      <c r="F306">
        <v>0</v>
      </c>
      <c r="G306">
        <v>0</v>
      </c>
      <c r="H306">
        <v>0</v>
      </c>
    </row>
    <row r="307" spans="1:9">
      <c r="B307" t="s">
        <v>1957</v>
      </c>
      <c r="C307">
        <v>0</v>
      </c>
      <c r="D307">
        <v>0</v>
      </c>
      <c r="E307">
        <v>0</v>
      </c>
      <c r="F307">
        <v>0</v>
      </c>
      <c r="G307">
        <v>0</v>
      </c>
      <c r="H307">
        <v>0</v>
      </c>
    </row>
    <row r="308" spans="1:9">
      <c r="B308" t="s">
        <v>1958</v>
      </c>
      <c r="C308">
        <v>0</v>
      </c>
      <c r="D308">
        <v>0</v>
      </c>
      <c r="E308">
        <v>0</v>
      </c>
      <c r="F308">
        <v>0</v>
      </c>
      <c r="G308">
        <v>0</v>
      </c>
      <c r="H308">
        <v>0</v>
      </c>
    </row>
    <row r="309" spans="1:9">
      <c r="B309" t="s">
        <v>502</v>
      </c>
      <c r="C309">
        <v>0</v>
      </c>
      <c r="D309">
        <v>0</v>
      </c>
      <c r="E309">
        <v>0</v>
      </c>
      <c r="F309">
        <v>0</v>
      </c>
      <c r="G309">
        <v>0</v>
      </c>
      <c r="H309">
        <v>0</v>
      </c>
    </row>
    <row r="310" spans="1:9">
      <c r="B310" t="s">
        <v>1959</v>
      </c>
      <c r="C310">
        <v>0</v>
      </c>
      <c r="D310">
        <v>0</v>
      </c>
      <c r="E310">
        <v>0</v>
      </c>
      <c r="F310">
        <v>0</v>
      </c>
      <c r="G310">
        <v>0</v>
      </c>
      <c r="H310">
        <v>0</v>
      </c>
    </row>
    <row r="311" spans="1:9">
      <c r="B311" t="s">
        <v>1960</v>
      </c>
      <c r="C311">
        <v>0</v>
      </c>
      <c r="D311">
        <v>0</v>
      </c>
      <c r="E311">
        <v>0</v>
      </c>
      <c r="F311">
        <v>0</v>
      </c>
      <c r="G311">
        <v>0</v>
      </c>
      <c r="H311">
        <v>0</v>
      </c>
    </row>
    <row r="312" spans="1:9">
      <c r="B312" t="s">
        <v>1961</v>
      </c>
      <c r="C312">
        <v>0</v>
      </c>
      <c r="D312">
        <v>0</v>
      </c>
      <c r="E312">
        <v>0</v>
      </c>
      <c r="F312">
        <v>0</v>
      </c>
      <c r="G312">
        <v>0</v>
      </c>
      <c r="H312">
        <v>0</v>
      </c>
    </row>
    <row r="314" spans="1:9">
      <c r="B314" t="s">
        <v>1962</v>
      </c>
      <c r="C314">
        <v>101477.06</v>
      </c>
      <c r="D314">
        <v>52066.65</v>
      </c>
      <c r="E314">
        <v>0</v>
      </c>
      <c r="F314">
        <v>0</v>
      </c>
      <c r="G314">
        <v>0</v>
      </c>
      <c r="H314">
        <v>0</v>
      </c>
    </row>
    <row r="317" spans="1:9">
      <c r="A317" t="s">
        <v>1963</v>
      </c>
    </row>
    <row r="319" spans="1:9">
      <c r="C319" t="s">
        <v>1964</v>
      </c>
      <c r="D319" t="s">
        <v>2119</v>
      </c>
      <c r="E319" t="s">
        <v>2120</v>
      </c>
      <c r="F319" t="s">
        <v>2121</v>
      </c>
      <c r="G319" t="s">
        <v>2122</v>
      </c>
      <c r="H319" t="s">
        <v>2123</v>
      </c>
      <c r="I319" t="s">
        <v>2124</v>
      </c>
    </row>
    <row r="320" spans="1:9">
      <c r="B320" t="s">
        <v>350</v>
      </c>
      <c r="C320" t="s">
        <v>411</v>
      </c>
      <c r="D320">
        <v>0</v>
      </c>
      <c r="E320">
        <v>52066.65</v>
      </c>
      <c r="F320">
        <v>0</v>
      </c>
      <c r="G320">
        <v>0</v>
      </c>
      <c r="H320">
        <v>0</v>
      </c>
      <c r="I320">
        <v>0</v>
      </c>
    </row>
    <row r="321" spans="2:9">
      <c r="C321" t="s">
        <v>1965</v>
      </c>
      <c r="D321">
        <v>0</v>
      </c>
      <c r="E321">
        <v>0</v>
      </c>
      <c r="F321">
        <v>0</v>
      </c>
      <c r="G321">
        <v>0</v>
      </c>
      <c r="H321">
        <v>0</v>
      </c>
      <c r="I321">
        <v>0</v>
      </c>
    </row>
    <row r="322" spans="2:9">
      <c r="B322" t="s">
        <v>349</v>
      </c>
      <c r="C322" t="s">
        <v>1966</v>
      </c>
      <c r="D322">
        <v>0</v>
      </c>
      <c r="E322">
        <v>0</v>
      </c>
      <c r="F322">
        <v>0</v>
      </c>
      <c r="G322">
        <v>0</v>
      </c>
      <c r="H322">
        <v>0</v>
      </c>
      <c r="I322">
        <v>0</v>
      </c>
    </row>
    <row r="323" spans="2:9">
      <c r="B323" t="s">
        <v>1952</v>
      </c>
      <c r="C323" t="s">
        <v>1967</v>
      </c>
      <c r="D323">
        <v>2143.85</v>
      </c>
      <c r="E323">
        <v>0</v>
      </c>
      <c r="F323">
        <v>0</v>
      </c>
      <c r="G323">
        <v>0</v>
      </c>
      <c r="H323">
        <v>0</v>
      </c>
      <c r="I323">
        <v>0</v>
      </c>
    </row>
    <row r="324" spans="2:9">
      <c r="C324" t="s">
        <v>1968</v>
      </c>
      <c r="D324">
        <v>2143.85</v>
      </c>
      <c r="E324">
        <v>0</v>
      </c>
      <c r="F324">
        <v>0</v>
      </c>
      <c r="G324">
        <v>0</v>
      </c>
      <c r="H324">
        <v>0</v>
      </c>
      <c r="I324">
        <v>0</v>
      </c>
    </row>
    <row r="325" spans="2:9">
      <c r="C325" t="s">
        <v>1969</v>
      </c>
      <c r="D325">
        <v>1361.47</v>
      </c>
      <c r="E325">
        <v>0</v>
      </c>
      <c r="F325">
        <v>0</v>
      </c>
      <c r="G325">
        <v>0</v>
      </c>
      <c r="H325">
        <v>0</v>
      </c>
      <c r="I325">
        <v>0</v>
      </c>
    </row>
    <row r="326" spans="2:9">
      <c r="C326" t="s">
        <v>1970</v>
      </c>
      <c r="D326">
        <v>1361.47</v>
      </c>
      <c r="E326">
        <v>0</v>
      </c>
      <c r="F326">
        <v>0</v>
      </c>
      <c r="G326">
        <v>0</v>
      </c>
      <c r="H326">
        <v>0</v>
      </c>
      <c r="I326">
        <v>0</v>
      </c>
    </row>
    <row r="327" spans="2:9">
      <c r="C327" t="s">
        <v>1971</v>
      </c>
      <c r="D327">
        <v>2143.85</v>
      </c>
      <c r="E327">
        <v>0</v>
      </c>
      <c r="F327">
        <v>0</v>
      </c>
      <c r="G327">
        <v>0</v>
      </c>
      <c r="H327">
        <v>0</v>
      </c>
      <c r="I327">
        <v>0</v>
      </c>
    </row>
    <row r="328" spans="2:9">
      <c r="C328" t="s">
        <v>1972</v>
      </c>
      <c r="D328">
        <v>2143.85</v>
      </c>
      <c r="E328">
        <v>0</v>
      </c>
      <c r="F328">
        <v>0</v>
      </c>
      <c r="G328">
        <v>0</v>
      </c>
      <c r="H328">
        <v>0</v>
      </c>
      <c r="I328">
        <v>0</v>
      </c>
    </row>
    <row r="329" spans="2:9">
      <c r="C329" t="s">
        <v>1973</v>
      </c>
      <c r="D329">
        <v>1361.47</v>
      </c>
      <c r="E329">
        <v>0</v>
      </c>
      <c r="F329">
        <v>0</v>
      </c>
      <c r="G329">
        <v>0</v>
      </c>
      <c r="H329">
        <v>0</v>
      </c>
      <c r="I329">
        <v>0</v>
      </c>
    </row>
    <row r="330" spans="2:9">
      <c r="C330" t="s">
        <v>1974</v>
      </c>
      <c r="D330">
        <v>1361.47</v>
      </c>
      <c r="E330">
        <v>0</v>
      </c>
      <c r="F330">
        <v>0</v>
      </c>
      <c r="G330">
        <v>0</v>
      </c>
      <c r="H330">
        <v>0</v>
      </c>
      <c r="I330">
        <v>0</v>
      </c>
    </row>
    <row r="331" spans="2:9">
      <c r="C331" t="s">
        <v>1975</v>
      </c>
      <c r="D331">
        <v>2143.85</v>
      </c>
      <c r="E331">
        <v>0</v>
      </c>
      <c r="F331">
        <v>0</v>
      </c>
      <c r="G331">
        <v>0</v>
      </c>
      <c r="H331">
        <v>0</v>
      </c>
      <c r="I331">
        <v>0</v>
      </c>
    </row>
    <row r="332" spans="2:9">
      <c r="C332" t="s">
        <v>1976</v>
      </c>
      <c r="D332">
        <v>2143.85</v>
      </c>
      <c r="E332">
        <v>0</v>
      </c>
      <c r="F332">
        <v>0</v>
      </c>
      <c r="G332">
        <v>0</v>
      </c>
      <c r="H332">
        <v>0</v>
      </c>
      <c r="I332">
        <v>0</v>
      </c>
    </row>
    <row r="333" spans="2:9">
      <c r="C333" t="s">
        <v>1977</v>
      </c>
      <c r="D333">
        <v>1361.47</v>
      </c>
      <c r="E333">
        <v>0</v>
      </c>
      <c r="F333">
        <v>0</v>
      </c>
      <c r="G333">
        <v>0</v>
      </c>
      <c r="H333">
        <v>0</v>
      </c>
      <c r="I333">
        <v>0</v>
      </c>
    </row>
    <row r="334" spans="2:9">
      <c r="C334" t="s">
        <v>1978</v>
      </c>
      <c r="D334">
        <v>1361.47</v>
      </c>
      <c r="E334">
        <v>0</v>
      </c>
      <c r="F334">
        <v>0</v>
      </c>
      <c r="G334">
        <v>0</v>
      </c>
      <c r="H334">
        <v>0</v>
      </c>
      <c r="I334">
        <v>0</v>
      </c>
    </row>
    <row r="335" spans="2:9">
      <c r="C335" t="s">
        <v>1979</v>
      </c>
      <c r="D335">
        <v>11056.26</v>
      </c>
      <c r="E335">
        <v>0</v>
      </c>
      <c r="F335">
        <v>0</v>
      </c>
      <c r="G335">
        <v>0</v>
      </c>
      <c r="H335">
        <v>0</v>
      </c>
      <c r="I335">
        <v>0</v>
      </c>
    </row>
    <row r="336" spans="2:9">
      <c r="C336" t="s">
        <v>1980</v>
      </c>
      <c r="D336">
        <v>11056.26</v>
      </c>
      <c r="E336">
        <v>0</v>
      </c>
      <c r="F336">
        <v>0</v>
      </c>
      <c r="G336">
        <v>0</v>
      </c>
      <c r="H336">
        <v>0</v>
      </c>
      <c r="I336">
        <v>0</v>
      </c>
    </row>
    <row r="337" spans="2:9">
      <c r="C337" t="s">
        <v>1981</v>
      </c>
      <c r="D337">
        <v>11056.26</v>
      </c>
      <c r="E337">
        <v>0</v>
      </c>
      <c r="F337">
        <v>0</v>
      </c>
      <c r="G337">
        <v>0</v>
      </c>
      <c r="H337">
        <v>0</v>
      </c>
      <c r="I337">
        <v>0</v>
      </c>
    </row>
    <row r="338" spans="2:9">
      <c r="B338" t="s">
        <v>1953</v>
      </c>
      <c r="C338" t="s">
        <v>1966</v>
      </c>
      <c r="D338">
        <v>0</v>
      </c>
      <c r="E338">
        <v>0</v>
      </c>
      <c r="F338">
        <v>0</v>
      </c>
      <c r="G338">
        <v>0</v>
      </c>
      <c r="H338">
        <v>0</v>
      </c>
      <c r="I338">
        <v>0</v>
      </c>
    </row>
    <row r="339" spans="2:9">
      <c r="B339" t="s">
        <v>1954</v>
      </c>
      <c r="C339" t="s">
        <v>1982</v>
      </c>
      <c r="D339">
        <v>1607.89</v>
      </c>
      <c r="E339">
        <v>0</v>
      </c>
      <c r="F339">
        <v>0</v>
      </c>
      <c r="G339">
        <v>0</v>
      </c>
      <c r="H339">
        <v>0</v>
      </c>
      <c r="I339">
        <v>0</v>
      </c>
    </row>
    <row r="340" spans="2:9">
      <c r="C340" t="s">
        <v>1983</v>
      </c>
      <c r="D340">
        <v>1607.89</v>
      </c>
      <c r="E340">
        <v>0</v>
      </c>
      <c r="F340">
        <v>0</v>
      </c>
      <c r="G340">
        <v>0</v>
      </c>
      <c r="H340">
        <v>0</v>
      </c>
      <c r="I340">
        <v>0</v>
      </c>
    </row>
    <row r="341" spans="2:9">
      <c r="C341" t="s">
        <v>1984</v>
      </c>
      <c r="D341">
        <v>1021.11</v>
      </c>
      <c r="E341">
        <v>0</v>
      </c>
      <c r="F341">
        <v>0</v>
      </c>
      <c r="G341">
        <v>0</v>
      </c>
      <c r="H341">
        <v>0</v>
      </c>
      <c r="I341">
        <v>0</v>
      </c>
    </row>
    <row r="342" spans="2:9">
      <c r="C342" t="s">
        <v>1985</v>
      </c>
      <c r="D342">
        <v>1021.11</v>
      </c>
      <c r="E342">
        <v>0</v>
      </c>
      <c r="F342">
        <v>0</v>
      </c>
      <c r="G342">
        <v>0</v>
      </c>
      <c r="H342">
        <v>0</v>
      </c>
      <c r="I342">
        <v>0</v>
      </c>
    </row>
    <row r="343" spans="2:9">
      <c r="C343" t="s">
        <v>1986</v>
      </c>
      <c r="D343">
        <v>1607.89</v>
      </c>
      <c r="E343">
        <v>0</v>
      </c>
      <c r="F343">
        <v>0</v>
      </c>
      <c r="G343">
        <v>0</v>
      </c>
      <c r="H343">
        <v>0</v>
      </c>
      <c r="I343">
        <v>0</v>
      </c>
    </row>
    <row r="344" spans="2:9">
      <c r="C344" t="s">
        <v>1987</v>
      </c>
      <c r="D344">
        <v>1607.89</v>
      </c>
      <c r="E344">
        <v>0</v>
      </c>
      <c r="F344">
        <v>0</v>
      </c>
      <c r="G344">
        <v>0</v>
      </c>
      <c r="H344">
        <v>0</v>
      </c>
      <c r="I344">
        <v>0</v>
      </c>
    </row>
    <row r="345" spans="2:9">
      <c r="C345" t="s">
        <v>1988</v>
      </c>
      <c r="D345">
        <v>1021.11</v>
      </c>
      <c r="E345">
        <v>0</v>
      </c>
      <c r="F345">
        <v>0</v>
      </c>
      <c r="G345">
        <v>0</v>
      </c>
      <c r="H345">
        <v>0</v>
      </c>
      <c r="I345">
        <v>0</v>
      </c>
    </row>
    <row r="346" spans="2:9">
      <c r="C346" t="s">
        <v>1989</v>
      </c>
      <c r="D346">
        <v>1021.11</v>
      </c>
      <c r="E346">
        <v>0</v>
      </c>
      <c r="F346">
        <v>0</v>
      </c>
      <c r="G346">
        <v>0</v>
      </c>
      <c r="H346">
        <v>0</v>
      </c>
      <c r="I346">
        <v>0</v>
      </c>
    </row>
    <row r="347" spans="2:9">
      <c r="C347" t="s">
        <v>1990</v>
      </c>
      <c r="D347">
        <v>1607.89</v>
      </c>
      <c r="E347">
        <v>0</v>
      </c>
      <c r="F347">
        <v>0</v>
      </c>
      <c r="G347">
        <v>0</v>
      </c>
      <c r="H347">
        <v>0</v>
      </c>
      <c r="I347">
        <v>0</v>
      </c>
    </row>
    <row r="348" spans="2:9">
      <c r="C348" t="s">
        <v>1991</v>
      </c>
      <c r="D348">
        <v>1607.89</v>
      </c>
      <c r="E348">
        <v>0</v>
      </c>
      <c r="F348">
        <v>0</v>
      </c>
      <c r="G348">
        <v>0</v>
      </c>
      <c r="H348">
        <v>0</v>
      </c>
      <c r="I348">
        <v>0</v>
      </c>
    </row>
    <row r="349" spans="2:9">
      <c r="C349" t="s">
        <v>1992</v>
      </c>
      <c r="D349">
        <v>1021.11</v>
      </c>
      <c r="E349">
        <v>0</v>
      </c>
      <c r="F349">
        <v>0</v>
      </c>
      <c r="G349">
        <v>0</v>
      </c>
      <c r="H349">
        <v>0</v>
      </c>
      <c r="I349">
        <v>0</v>
      </c>
    </row>
    <row r="350" spans="2:9">
      <c r="C350" t="s">
        <v>1993</v>
      </c>
      <c r="D350">
        <v>1021.11</v>
      </c>
      <c r="E350">
        <v>0</v>
      </c>
      <c r="F350">
        <v>0</v>
      </c>
      <c r="G350">
        <v>0</v>
      </c>
      <c r="H350">
        <v>0</v>
      </c>
      <c r="I350">
        <v>0</v>
      </c>
    </row>
    <row r="351" spans="2:9">
      <c r="C351" t="s">
        <v>1994</v>
      </c>
      <c r="D351">
        <v>8292.2000000000007</v>
      </c>
      <c r="E351">
        <v>0</v>
      </c>
      <c r="F351">
        <v>0</v>
      </c>
      <c r="G351">
        <v>0</v>
      </c>
      <c r="H351">
        <v>0</v>
      </c>
      <c r="I351">
        <v>0</v>
      </c>
    </row>
    <row r="352" spans="2:9">
      <c r="C352" t="s">
        <v>1995</v>
      </c>
      <c r="D352">
        <v>8292.2000000000007</v>
      </c>
      <c r="E352">
        <v>0</v>
      </c>
      <c r="F352">
        <v>0</v>
      </c>
      <c r="G352">
        <v>0</v>
      </c>
      <c r="H352">
        <v>0</v>
      </c>
      <c r="I352">
        <v>0</v>
      </c>
    </row>
    <row r="353" spans="1:9">
      <c r="C353" t="s">
        <v>1996</v>
      </c>
      <c r="D353">
        <v>8292.2000000000007</v>
      </c>
      <c r="E353">
        <v>0</v>
      </c>
      <c r="F353">
        <v>0</v>
      </c>
      <c r="G353">
        <v>0</v>
      </c>
      <c r="H353">
        <v>0</v>
      </c>
      <c r="I353">
        <v>0</v>
      </c>
    </row>
    <row r="354" spans="1:9">
      <c r="B354" t="s">
        <v>1955</v>
      </c>
      <c r="C354" t="s">
        <v>1966</v>
      </c>
      <c r="D354">
        <v>0</v>
      </c>
      <c r="E354">
        <v>0</v>
      </c>
      <c r="F354">
        <v>0</v>
      </c>
      <c r="G354">
        <v>0</v>
      </c>
      <c r="H354">
        <v>0</v>
      </c>
      <c r="I354">
        <v>0</v>
      </c>
    </row>
    <row r="355" spans="1:9">
      <c r="B355" t="s">
        <v>501</v>
      </c>
      <c r="C355" t="s">
        <v>1966</v>
      </c>
      <c r="D355">
        <v>6558.05</v>
      </c>
      <c r="E355">
        <v>0</v>
      </c>
      <c r="F355">
        <v>0</v>
      </c>
      <c r="G355">
        <v>0</v>
      </c>
      <c r="H355">
        <v>0</v>
      </c>
      <c r="I355">
        <v>0</v>
      </c>
    </row>
    <row r="356" spans="1:9">
      <c r="B356" t="s">
        <v>1956</v>
      </c>
      <c r="C356" t="s">
        <v>1966</v>
      </c>
      <c r="D356">
        <v>67.7</v>
      </c>
      <c r="E356">
        <v>0</v>
      </c>
      <c r="F356">
        <v>0</v>
      </c>
      <c r="G356">
        <v>0</v>
      </c>
      <c r="H356">
        <v>0</v>
      </c>
      <c r="I356">
        <v>0</v>
      </c>
    </row>
    <row r="357" spans="1:9">
      <c r="B357" t="s">
        <v>1957</v>
      </c>
      <c r="C357" t="s">
        <v>1966</v>
      </c>
      <c r="D357">
        <v>0</v>
      </c>
      <c r="E357">
        <v>0</v>
      </c>
      <c r="F357">
        <v>0</v>
      </c>
      <c r="G357">
        <v>0</v>
      </c>
      <c r="H357">
        <v>0</v>
      </c>
      <c r="I357">
        <v>0</v>
      </c>
    </row>
    <row r="358" spans="1:9">
      <c r="B358" t="s">
        <v>1958</v>
      </c>
      <c r="C358" t="s">
        <v>1966</v>
      </c>
      <c r="D358">
        <v>0</v>
      </c>
      <c r="E358">
        <v>0</v>
      </c>
      <c r="F358">
        <v>0</v>
      </c>
      <c r="G358">
        <v>0</v>
      </c>
      <c r="H358">
        <v>0</v>
      </c>
      <c r="I358">
        <v>0</v>
      </c>
    </row>
    <row r="359" spans="1:9">
      <c r="B359" t="s">
        <v>502</v>
      </c>
      <c r="C359" t="s">
        <v>1966</v>
      </c>
      <c r="D359">
        <v>0</v>
      </c>
      <c r="E359">
        <v>0</v>
      </c>
      <c r="F359">
        <v>0</v>
      </c>
      <c r="G359">
        <v>0</v>
      </c>
      <c r="H359">
        <v>0</v>
      </c>
      <c r="I359">
        <v>0</v>
      </c>
    </row>
    <row r="360" spans="1:9">
      <c r="B360" t="s">
        <v>1959</v>
      </c>
      <c r="C360" t="s">
        <v>1966</v>
      </c>
      <c r="D360">
        <v>0</v>
      </c>
      <c r="E360">
        <v>0</v>
      </c>
      <c r="F360">
        <v>0</v>
      </c>
      <c r="G360">
        <v>0</v>
      </c>
      <c r="H360">
        <v>0</v>
      </c>
      <c r="I360">
        <v>0</v>
      </c>
    </row>
    <row r="361" spans="1:9">
      <c r="B361" t="s">
        <v>1960</v>
      </c>
      <c r="C361" t="s">
        <v>1966</v>
      </c>
      <c r="D361">
        <v>0</v>
      </c>
      <c r="E361">
        <v>0</v>
      </c>
      <c r="F361">
        <v>0</v>
      </c>
      <c r="G361">
        <v>0</v>
      </c>
      <c r="H361">
        <v>0</v>
      </c>
      <c r="I361">
        <v>0</v>
      </c>
    </row>
    <row r="362" spans="1:9">
      <c r="B362" t="s">
        <v>1961</v>
      </c>
      <c r="C362" t="s">
        <v>1966</v>
      </c>
      <c r="D362">
        <v>0</v>
      </c>
      <c r="E362">
        <v>0</v>
      </c>
      <c r="F362">
        <v>0</v>
      </c>
      <c r="G362">
        <v>0</v>
      </c>
      <c r="H362">
        <v>0</v>
      </c>
      <c r="I362">
        <v>0</v>
      </c>
    </row>
    <row r="365" spans="1:9">
      <c r="A365" t="s">
        <v>1914</v>
      </c>
    </row>
    <row r="366" spans="1:9">
      <c r="A366" t="s">
        <v>1915</v>
      </c>
      <c r="B366" t="s">
        <v>2126</v>
      </c>
    </row>
    <row r="367" spans="1:9">
      <c r="A367" t="s">
        <v>1917</v>
      </c>
      <c r="B367" t="s">
        <v>1918</v>
      </c>
    </row>
    <row r="368" spans="1:9">
      <c r="A368" t="s">
        <v>2127</v>
      </c>
    </row>
    <row r="370" spans="1:8">
      <c r="C370" t="s">
        <v>2128</v>
      </c>
      <c r="D370" t="s">
        <v>2129</v>
      </c>
      <c r="E370" t="s">
        <v>2130</v>
      </c>
      <c r="F370" t="s">
        <v>2131</v>
      </c>
      <c r="G370" t="s">
        <v>2132</v>
      </c>
      <c r="H370" t="s">
        <v>2133</v>
      </c>
    </row>
    <row r="371" spans="1:8">
      <c r="B371" t="s">
        <v>2547</v>
      </c>
      <c r="C371">
        <v>-3.33</v>
      </c>
      <c r="D371">
        <v>0</v>
      </c>
      <c r="E371">
        <v>-3.33</v>
      </c>
      <c r="F371" t="s">
        <v>2134</v>
      </c>
      <c r="G371">
        <v>0.9</v>
      </c>
      <c r="H371">
        <v>320</v>
      </c>
    </row>
    <row r="372" spans="1:8">
      <c r="B372" t="s">
        <v>2548</v>
      </c>
      <c r="C372">
        <v>37.78</v>
      </c>
      <c r="D372">
        <v>19.440000000000001</v>
      </c>
      <c r="E372">
        <v>21.11</v>
      </c>
      <c r="F372" t="s">
        <v>2134</v>
      </c>
      <c r="G372">
        <v>3.4</v>
      </c>
      <c r="H372">
        <v>220</v>
      </c>
    </row>
    <row r="375" spans="1:8">
      <c r="A375" t="s">
        <v>2135</v>
      </c>
    </row>
    <row r="377" spans="1:8">
      <c r="C377" t="s">
        <v>196</v>
      </c>
    </row>
    <row r="378" spans="1:8">
      <c r="B378" t="s">
        <v>2493</v>
      </c>
      <c r="C378" t="s">
        <v>2549</v>
      </c>
    </row>
    <row r="379" spans="1:8">
      <c r="B379" t="s">
        <v>2494</v>
      </c>
      <c r="C379" t="s">
        <v>2550</v>
      </c>
    </row>
    <row r="380" spans="1:8">
      <c r="B380" t="s">
        <v>2495</v>
      </c>
      <c r="C380" t="s">
        <v>2551</v>
      </c>
    </row>
    <row r="381" spans="1:8">
      <c r="B381" t="s">
        <v>2496</v>
      </c>
      <c r="C381" t="s">
        <v>2552</v>
      </c>
    </row>
    <row r="382" spans="1:8">
      <c r="B382" t="s">
        <v>2060</v>
      </c>
      <c r="C382" t="s">
        <v>2497</v>
      </c>
    </row>
    <row r="383" spans="1:8">
      <c r="B383" t="s">
        <v>2498</v>
      </c>
      <c r="C383">
        <v>5</v>
      </c>
    </row>
    <row r="384" spans="1:8">
      <c r="B384" t="s">
        <v>2499</v>
      </c>
      <c r="C384" t="s">
        <v>2553</v>
      </c>
    </row>
    <row r="385" spans="2:3">
      <c r="B385" t="s">
        <v>2500</v>
      </c>
      <c r="C385" t="s">
        <v>2501</v>
      </c>
    </row>
    <row r="386" spans="2:3">
      <c r="B386" t="s">
        <v>2502</v>
      </c>
      <c r="C386">
        <v>724830</v>
      </c>
    </row>
    <row r="387" spans="2:3">
      <c r="B387" t="s">
        <v>2503</v>
      </c>
      <c r="C387" t="s">
        <v>2504</v>
      </c>
    </row>
    <row r="388" spans="2:3">
      <c r="B388" t="s">
        <v>2505</v>
      </c>
      <c r="C388" t="s">
        <v>2554</v>
      </c>
    </row>
    <row r="389" spans="2:3">
      <c r="B389" t="s">
        <v>2506</v>
      </c>
      <c r="C389" t="s">
        <v>2555</v>
      </c>
    </row>
    <row r="390" spans="2:3">
      <c r="B390" t="s">
        <v>2507</v>
      </c>
      <c r="C390" t="s">
        <v>2556</v>
      </c>
    </row>
    <row r="391" spans="2:3">
      <c r="B391" t="s">
        <v>2508</v>
      </c>
      <c r="C391" t="s">
        <v>2557</v>
      </c>
    </row>
    <row r="392" spans="2:3">
      <c r="B392" t="s">
        <v>2509</v>
      </c>
      <c r="C392" t="s">
        <v>2558</v>
      </c>
    </row>
    <row r="393" spans="2:3">
      <c r="B393" t="s">
        <v>2510</v>
      </c>
      <c r="C393" t="s">
        <v>2559</v>
      </c>
    </row>
    <row r="394" spans="2:3">
      <c r="B394" t="s">
        <v>2511</v>
      </c>
      <c r="C394">
        <v>40748</v>
      </c>
    </row>
    <row r="395" spans="2:3">
      <c r="B395" t="s">
        <v>2512</v>
      </c>
      <c r="C395" t="s">
        <v>2560</v>
      </c>
    </row>
    <row r="396" spans="2:3">
      <c r="B396" t="s">
        <v>2513</v>
      </c>
      <c r="C396">
        <v>40901</v>
      </c>
    </row>
    <row r="397" spans="2:3">
      <c r="B397" t="s">
        <v>2514</v>
      </c>
      <c r="C397" t="s">
        <v>2561</v>
      </c>
    </row>
    <row r="398" spans="2:3">
      <c r="B398" t="s">
        <v>2515</v>
      </c>
      <c r="C398">
        <v>40752</v>
      </c>
    </row>
    <row r="399" spans="2:3">
      <c r="B399" t="s">
        <v>2516</v>
      </c>
      <c r="C399" t="s">
        <v>2562</v>
      </c>
    </row>
    <row r="400" spans="2:3">
      <c r="B400" t="s">
        <v>2517</v>
      </c>
      <c r="C400">
        <v>40876</v>
      </c>
    </row>
    <row r="401" spans="1:10">
      <c r="B401" t="s">
        <v>2518</v>
      </c>
      <c r="C401">
        <v>198</v>
      </c>
    </row>
    <row r="402" spans="1:10">
      <c r="B402" t="s">
        <v>2519</v>
      </c>
      <c r="C402">
        <v>484</v>
      </c>
    </row>
    <row r="403" spans="1:10">
      <c r="B403" t="s">
        <v>2520</v>
      </c>
      <c r="C403" t="s">
        <v>2563</v>
      </c>
    </row>
    <row r="404" spans="1:10">
      <c r="B404" t="s">
        <v>2521</v>
      </c>
      <c r="C404" t="s">
        <v>2564</v>
      </c>
      <c r="D404" t="s">
        <v>2522</v>
      </c>
      <c r="E404" t="s">
        <v>2523</v>
      </c>
    </row>
    <row r="405" spans="1:10">
      <c r="B405" t="s">
        <v>2524</v>
      </c>
      <c r="C405" t="s">
        <v>2565</v>
      </c>
      <c r="D405" t="s">
        <v>2566</v>
      </c>
    </row>
    <row r="406" spans="1:10">
      <c r="B406" t="s">
        <v>2525</v>
      </c>
      <c r="C406" t="s">
        <v>612</v>
      </c>
    </row>
    <row r="407" spans="1:10">
      <c r="B407" t="s">
        <v>2526</v>
      </c>
      <c r="C407" t="s">
        <v>2527</v>
      </c>
    </row>
    <row r="410" spans="1:10">
      <c r="A410" t="s">
        <v>1914</v>
      </c>
    </row>
    <row r="411" spans="1:10">
      <c r="A411" t="s">
        <v>1915</v>
      </c>
      <c r="B411" t="s">
        <v>2136</v>
      </c>
    </row>
    <row r="412" spans="1:10">
      <c r="A412" t="s">
        <v>1917</v>
      </c>
      <c r="B412" t="s">
        <v>1918</v>
      </c>
    </row>
    <row r="413" spans="1:10">
      <c r="A413" t="s">
        <v>2137</v>
      </c>
    </row>
    <row r="415" spans="1:10">
      <c r="C415" t="s">
        <v>2138</v>
      </c>
      <c r="D415" t="s">
        <v>2139</v>
      </c>
      <c r="E415" t="s">
        <v>2140</v>
      </c>
      <c r="F415" t="s">
        <v>2141</v>
      </c>
      <c r="G415" t="s">
        <v>2142</v>
      </c>
      <c r="H415" t="s">
        <v>2143</v>
      </c>
      <c r="I415" t="s">
        <v>2144</v>
      </c>
      <c r="J415" t="s">
        <v>2145</v>
      </c>
    </row>
    <row r="416" spans="1:10">
      <c r="B416" t="s">
        <v>2146</v>
      </c>
      <c r="C416" t="s">
        <v>2147</v>
      </c>
      <c r="D416">
        <v>0.3</v>
      </c>
      <c r="E416">
        <v>0.47699999999999998</v>
      </c>
      <c r="F416">
        <v>0.51400000000000001</v>
      </c>
      <c r="G416">
        <v>144.85</v>
      </c>
      <c r="H416">
        <v>0</v>
      </c>
      <c r="I416">
        <v>90</v>
      </c>
      <c r="J416" t="s">
        <v>2149</v>
      </c>
    </row>
    <row r="417" spans="2:10">
      <c r="B417" t="s">
        <v>2148</v>
      </c>
      <c r="C417" t="s">
        <v>2147</v>
      </c>
      <c r="D417">
        <v>0.3</v>
      </c>
      <c r="E417">
        <v>0.47699999999999998</v>
      </c>
      <c r="F417">
        <v>0.51400000000000001</v>
      </c>
      <c r="G417">
        <v>96.57</v>
      </c>
      <c r="H417">
        <v>90</v>
      </c>
      <c r="I417">
        <v>90</v>
      </c>
      <c r="J417" t="s">
        <v>2151</v>
      </c>
    </row>
    <row r="418" spans="2:10">
      <c r="B418" t="s">
        <v>2150</v>
      </c>
      <c r="C418" t="s">
        <v>2147</v>
      </c>
      <c r="D418">
        <v>0.3</v>
      </c>
      <c r="E418">
        <v>0.47699999999999998</v>
      </c>
      <c r="F418">
        <v>0.51400000000000001</v>
      </c>
      <c r="G418">
        <v>144.85</v>
      </c>
      <c r="H418">
        <v>180</v>
      </c>
      <c r="I418">
        <v>90</v>
      </c>
      <c r="J418" t="s">
        <v>2153</v>
      </c>
    </row>
    <row r="419" spans="2:10">
      <c r="B419" t="s">
        <v>2152</v>
      </c>
      <c r="C419" t="s">
        <v>2147</v>
      </c>
      <c r="D419">
        <v>0.3</v>
      </c>
      <c r="E419">
        <v>0.47699999999999998</v>
      </c>
      <c r="F419">
        <v>0.51400000000000001</v>
      </c>
      <c r="G419">
        <v>96.57</v>
      </c>
      <c r="H419">
        <v>270</v>
      </c>
      <c r="I419">
        <v>90</v>
      </c>
      <c r="J419" t="s">
        <v>232</v>
      </c>
    </row>
    <row r="420" spans="2:10">
      <c r="B420" t="s">
        <v>2154</v>
      </c>
      <c r="C420" t="s">
        <v>2147</v>
      </c>
      <c r="D420">
        <v>0.3</v>
      </c>
      <c r="E420">
        <v>0.47699999999999998</v>
      </c>
      <c r="F420">
        <v>0.51400000000000001</v>
      </c>
      <c r="G420">
        <v>42.94</v>
      </c>
      <c r="H420">
        <v>0</v>
      </c>
      <c r="I420">
        <v>90</v>
      </c>
      <c r="J420" t="s">
        <v>2149</v>
      </c>
    </row>
    <row r="421" spans="2:10">
      <c r="B421" t="s">
        <v>2155</v>
      </c>
      <c r="C421" t="s">
        <v>2147</v>
      </c>
      <c r="D421">
        <v>0.3</v>
      </c>
      <c r="E421">
        <v>0.47699999999999998</v>
      </c>
      <c r="F421">
        <v>0.51400000000000001</v>
      </c>
      <c r="G421">
        <v>28.63</v>
      </c>
      <c r="H421">
        <v>90</v>
      </c>
      <c r="I421">
        <v>90</v>
      </c>
      <c r="J421" t="s">
        <v>2151</v>
      </c>
    </row>
    <row r="422" spans="2:10">
      <c r="B422" t="s">
        <v>2156</v>
      </c>
      <c r="C422" t="s">
        <v>2147</v>
      </c>
      <c r="D422">
        <v>0.3</v>
      </c>
      <c r="E422">
        <v>0.47699999999999998</v>
      </c>
      <c r="F422">
        <v>0.51400000000000001</v>
      </c>
      <c r="G422">
        <v>42.94</v>
      </c>
      <c r="H422">
        <v>180</v>
      </c>
      <c r="I422">
        <v>90</v>
      </c>
      <c r="J422" t="s">
        <v>2153</v>
      </c>
    </row>
    <row r="423" spans="2:10">
      <c r="B423" t="s">
        <v>2157</v>
      </c>
      <c r="C423" t="s">
        <v>2147</v>
      </c>
      <c r="D423">
        <v>0.3</v>
      </c>
      <c r="E423">
        <v>0.47699999999999998</v>
      </c>
      <c r="F423">
        <v>0.51400000000000001</v>
      </c>
      <c r="G423">
        <v>28.63</v>
      </c>
      <c r="H423">
        <v>270</v>
      </c>
      <c r="I423">
        <v>90</v>
      </c>
      <c r="J423" t="s">
        <v>232</v>
      </c>
    </row>
    <row r="424" spans="2:10">
      <c r="B424" t="s">
        <v>2158</v>
      </c>
      <c r="C424" t="s">
        <v>2147</v>
      </c>
      <c r="D424">
        <v>0.3</v>
      </c>
      <c r="E424">
        <v>0.47699999999999998</v>
      </c>
      <c r="F424">
        <v>0.51400000000000001</v>
      </c>
      <c r="G424">
        <v>144.85</v>
      </c>
      <c r="H424">
        <v>0</v>
      </c>
      <c r="I424">
        <v>90</v>
      </c>
      <c r="J424" t="s">
        <v>2149</v>
      </c>
    </row>
    <row r="425" spans="2:10">
      <c r="B425" t="s">
        <v>2159</v>
      </c>
      <c r="C425" t="s">
        <v>2147</v>
      </c>
      <c r="D425">
        <v>0.3</v>
      </c>
      <c r="E425">
        <v>0.47699999999999998</v>
      </c>
      <c r="F425">
        <v>0.51400000000000001</v>
      </c>
      <c r="G425">
        <v>96.57</v>
      </c>
      <c r="H425">
        <v>90</v>
      </c>
      <c r="I425">
        <v>90</v>
      </c>
      <c r="J425" t="s">
        <v>2151</v>
      </c>
    </row>
    <row r="426" spans="2:10">
      <c r="B426" t="s">
        <v>2160</v>
      </c>
      <c r="C426" t="s">
        <v>2147</v>
      </c>
      <c r="D426">
        <v>0.3</v>
      </c>
      <c r="E426">
        <v>0.47699999999999998</v>
      </c>
      <c r="F426">
        <v>0.51400000000000001</v>
      </c>
      <c r="G426">
        <v>144.85</v>
      </c>
      <c r="H426">
        <v>180</v>
      </c>
      <c r="I426">
        <v>90</v>
      </c>
      <c r="J426" t="s">
        <v>2153</v>
      </c>
    </row>
    <row r="427" spans="2:10">
      <c r="B427" t="s">
        <v>2161</v>
      </c>
      <c r="C427" t="s">
        <v>2147</v>
      </c>
      <c r="D427">
        <v>0.3</v>
      </c>
      <c r="E427">
        <v>0.47699999999999998</v>
      </c>
      <c r="F427">
        <v>0.51400000000000001</v>
      </c>
      <c r="G427">
        <v>96.57</v>
      </c>
      <c r="H427">
        <v>270</v>
      </c>
      <c r="I427">
        <v>90</v>
      </c>
      <c r="J427" t="s">
        <v>232</v>
      </c>
    </row>
    <row r="428" spans="2:10">
      <c r="B428" t="s">
        <v>2162</v>
      </c>
      <c r="C428" t="s">
        <v>2147</v>
      </c>
      <c r="D428">
        <v>0.3</v>
      </c>
      <c r="E428">
        <v>0.47699999999999998</v>
      </c>
      <c r="F428">
        <v>0.51400000000000001</v>
      </c>
      <c r="G428">
        <v>42.94</v>
      </c>
      <c r="H428">
        <v>0</v>
      </c>
      <c r="I428">
        <v>90</v>
      </c>
      <c r="J428" t="s">
        <v>2149</v>
      </c>
    </row>
    <row r="429" spans="2:10">
      <c r="B429" t="s">
        <v>2163</v>
      </c>
      <c r="C429" t="s">
        <v>2147</v>
      </c>
      <c r="D429">
        <v>0.3</v>
      </c>
      <c r="E429">
        <v>0.47699999999999998</v>
      </c>
      <c r="F429">
        <v>0.51400000000000001</v>
      </c>
      <c r="G429">
        <v>28.63</v>
      </c>
      <c r="H429">
        <v>90</v>
      </c>
      <c r="I429">
        <v>90</v>
      </c>
      <c r="J429" t="s">
        <v>2151</v>
      </c>
    </row>
    <row r="430" spans="2:10">
      <c r="B430" t="s">
        <v>2164</v>
      </c>
      <c r="C430" t="s">
        <v>2147</v>
      </c>
      <c r="D430">
        <v>0.3</v>
      </c>
      <c r="E430">
        <v>0.47699999999999998</v>
      </c>
      <c r="F430">
        <v>0.51400000000000001</v>
      </c>
      <c r="G430">
        <v>42.94</v>
      </c>
      <c r="H430">
        <v>180</v>
      </c>
      <c r="I430">
        <v>90</v>
      </c>
      <c r="J430" t="s">
        <v>2153</v>
      </c>
    </row>
    <row r="431" spans="2:10">
      <c r="B431" t="s">
        <v>2165</v>
      </c>
      <c r="C431" t="s">
        <v>2147</v>
      </c>
      <c r="D431">
        <v>0.3</v>
      </c>
      <c r="E431">
        <v>0.47699999999999998</v>
      </c>
      <c r="F431">
        <v>0.51400000000000001</v>
      </c>
      <c r="G431">
        <v>28.63</v>
      </c>
      <c r="H431">
        <v>270</v>
      </c>
      <c r="I431">
        <v>90</v>
      </c>
      <c r="J431" t="s">
        <v>232</v>
      </c>
    </row>
    <row r="432" spans="2:10">
      <c r="B432" t="s">
        <v>2166</v>
      </c>
      <c r="C432" t="s">
        <v>2147</v>
      </c>
      <c r="D432">
        <v>0.3</v>
      </c>
      <c r="E432">
        <v>0.47699999999999998</v>
      </c>
      <c r="F432">
        <v>0.51400000000000001</v>
      </c>
      <c r="G432">
        <v>144.80000000000001</v>
      </c>
      <c r="H432">
        <v>0</v>
      </c>
      <c r="I432">
        <v>90</v>
      </c>
      <c r="J432" t="s">
        <v>2149</v>
      </c>
    </row>
    <row r="433" spans="2:10">
      <c r="B433" t="s">
        <v>2167</v>
      </c>
      <c r="C433" t="s">
        <v>2147</v>
      </c>
      <c r="D433">
        <v>0.3</v>
      </c>
      <c r="E433">
        <v>0.47699999999999998</v>
      </c>
      <c r="F433">
        <v>0.51400000000000001</v>
      </c>
      <c r="G433">
        <v>96.53</v>
      </c>
      <c r="H433">
        <v>90</v>
      </c>
      <c r="I433">
        <v>90</v>
      </c>
      <c r="J433" t="s">
        <v>2151</v>
      </c>
    </row>
    <row r="434" spans="2:10">
      <c r="B434" t="s">
        <v>2168</v>
      </c>
      <c r="C434" t="s">
        <v>2147</v>
      </c>
      <c r="D434">
        <v>0.3</v>
      </c>
      <c r="E434">
        <v>0.47699999999999998</v>
      </c>
      <c r="F434">
        <v>0.51400000000000001</v>
      </c>
      <c r="G434">
        <v>144.80000000000001</v>
      </c>
      <c r="H434">
        <v>180</v>
      </c>
      <c r="I434">
        <v>90</v>
      </c>
      <c r="J434" t="s">
        <v>2153</v>
      </c>
    </row>
    <row r="435" spans="2:10">
      <c r="B435" t="s">
        <v>2169</v>
      </c>
      <c r="C435" t="s">
        <v>2147</v>
      </c>
      <c r="D435">
        <v>0.3</v>
      </c>
      <c r="E435">
        <v>0.47699999999999998</v>
      </c>
      <c r="F435">
        <v>0.51400000000000001</v>
      </c>
      <c r="G435">
        <v>96.53</v>
      </c>
      <c r="H435">
        <v>270</v>
      </c>
      <c r="I435">
        <v>90</v>
      </c>
      <c r="J435" t="s">
        <v>232</v>
      </c>
    </row>
    <row r="436" spans="2:10">
      <c r="B436" t="s">
        <v>2170</v>
      </c>
      <c r="C436" t="s">
        <v>2147</v>
      </c>
      <c r="D436">
        <v>0.3</v>
      </c>
      <c r="E436">
        <v>0.47699999999999998</v>
      </c>
      <c r="F436">
        <v>0.51400000000000001</v>
      </c>
      <c r="G436">
        <v>42.99</v>
      </c>
      <c r="H436">
        <v>0</v>
      </c>
      <c r="I436">
        <v>90</v>
      </c>
      <c r="J436" t="s">
        <v>2149</v>
      </c>
    </row>
    <row r="437" spans="2:10">
      <c r="B437" t="s">
        <v>2171</v>
      </c>
      <c r="C437" t="s">
        <v>2172</v>
      </c>
      <c r="D437">
        <v>0.3</v>
      </c>
      <c r="E437">
        <v>0.26900000000000002</v>
      </c>
      <c r="F437">
        <v>0.28299999999999997</v>
      </c>
      <c r="G437">
        <v>220.56</v>
      </c>
      <c r="H437">
        <v>180</v>
      </c>
      <c r="I437">
        <v>0</v>
      </c>
    </row>
    <row r="438" spans="2:10">
      <c r="B438" t="s">
        <v>2173</v>
      </c>
      <c r="C438" t="s">
        <v>2147</v>
      </c>
      <c r="D438">
        <v>0.3</v>
      </c>
      <c r="E438">
        <v>0.47699999999999998</v>
      </c>
      <c r="F438">
        <v>0.51400000000000001</v>
      </c>
      <c r="G438">
        <v>28.66</v>
      </c>
      <c r="H438">
        <v>90</v>
      </c>
      <c r="I438">
        <v>90</v>
      </c>
      <c r="J438" t="s">
        <v>2151</v>
      </c>
    </row>
    <row r="439" spans="2:10">
      <c r="B439" t="s">
        <v>2174</v>
      </c>
      <c r="C439" t="s">
        <v>2172</v>
      </c>
      <c r="D439">
        <v>0.3</v>
      </c>
      <c r="E439">
        <v>0.26900000000000002</v>
      </c>
      <c r="F439">
        <v>0.28299999999999997</v>
      </c>
      <c r="G439">
        <v>140.07</v>
      </c>
      <c r="H439">
        <v>90</v>
      </c>
      <c r="I439">
        <v>0</v>
      </c>
    </row>
    <row r="440" spans="2:10">
      <c r="B440" t="s">
        <v>2175</v>
      </c>
      <c r="C440" t="s">
        <v>2147</v>
      </c>
      <c r="D440">
        <v>0.3</v>
      </c>
      <c r="E440">
        <v>0.47699999999999998</v>
      </c>
      <c r="F440">
        <v>0.51400000000000001</v>
      </c>
      <c r="G440">
        <v>42.99</v>
      </c>
      <c r="H440">
        <v>180</v>
      </c>
      <c r="I440">
        <v>90</v>
      </c>
      <c r="J440" t="s">
        <v>2153</v>
      </c>
    </row>
    <row r="441" spans="2:10">
      <c r="B441" t="s">
        <v>2176</v>
      </c>
      <c r="C441" t="s">
        <v>2172</v>
      </c>
      <c r="D441">
        <v>0.3</v>
      </c>
      <c r="E441">
        <v>0.26900000000000002</v>
      </c>
      <c r="F441">
        <v>0.28299999999999997</v>
      </c>
      <c r="G441">
        <v>220.56</v>
      </c>
      <c r="H441">
        <v>180</v>
      </c>
      <c r="I441">
        <v>0</v>
      </c>
    </row>
    <row r="442" spans="2:10">
      <c r="B442" t="s">
        <v>2177</v>
      </c>
      <c r="C442" t="s">
        <v>2147</v>
      </c>
      <c r="D442">
        <v>0.3</v>
      </c>
      <c r="E442">
        <v>0.47699999999999998</v>
      </c>
      <c r="F442">
        <v>0.51400000000000001</v>
      </c>
      <c r="G442">
        <v>28.66</v>
      </c>
      <c r="H442">
        <v>270</v>
      </c>
      <c r="I442">
        <v>90</v>
      </c>
      <c r="J442" t="s">
        <v>232</v>
      </c>
    </row>
    <row r="443" spans="2:10">
      <c r="B443" t="s">
        <v>2178</v>
      </c>
      <c r="C443" t="s">
        <v>2172</v>
      </c>
      <c r="D443">
        <v>0.3</v>
      </c>
      <c r="E443">
        <v>0.26900000000000002</v>
      </c>
      <c r="F443">
        <v>0.28299999999999997</v>
      </c>
      <c r="G443">
        <v>140.07</v>
      </c>
      <c r="H443">
        <v>135</v>
      </c>
      <c r="I443">
        <v>0</v>
      </c>
    </row>
    <row r="444" spans="2:10">
      <c r="B444" t="s">
        <v>2179</v>
      </c>
      <c r="C444" t="s">
        <v>2172</v>
      </c>
      <c r="D444">
        <v>0.3</v>
      </c>
      <c r="E444">
        <v>0.26900000000000002</v>
      </c>
      <c r="F444">
        <v>0.28299999999999997</v>
      </c>
      <c r="G444">
        <v>1137.48</v>
      </c>
      <c r="H444">
        <v>180</v>
      </c>
      <c r="I444">
        <v>0</v>
      </c>
    </row>
    <row r="445" spans="2:10">
      <c r="B445" t="s">
        <v>2895</v>
      </c>
      <c r="C445" t="s">
        <v>2147</v>
      </c>
      <c r="D445">
        <v>0.3</v>
      </c>
      <c r="E445">
        <v>0.47699999999999998</v>
      </c>
      <c r="F445">
        <v>0.51400000000000001</v>
      </c>
      <c r="G445">
        <v>21.43</v>
      </c>
      <c r="H445">
        <v>0</v>
      </c>
      <c r="I445">
        <v>90</v>
      </c>
      <c r="J445" t="s">
        <v>2149</v>
      </c>
    </row>
    <row r="446" spans="2:10">
      <c r="B446" t="s">
        <v>2896</v>
      </c>
      <c r="C446" t="s">
        <v>2147</v>
      </c>
      <c r="D446">
        <v>0.3</v>
      </c>
      <c r="E446">
        <v>0.47699999999999998</v>
      </c>
      <c r="F446">
        <v>0.51400000000000001</v>
      </c>
      <c r="G446">
        <v>14.29</v>
      </c>
      <c r="H446">
        <v>90</v>
      </c>
      <c r="I446">
        <v>90</v>
      </c>
      <c r="J446" t="s">
        <v>2151</v>
      </c>
    </row>
    <row r="447" spans="2:10">
      <c r="B447" t="s">
        <v>2897</v>
      </c>
      <c r="C447" t="s">
        <v>2147</v>
      </c>
      <c r="D447">
        <v>0.3</v>
      </c>
      <c r="E447">
        <v>0.47699999999999998</v>
      </c>
      <c r="F447">
        <v>0.51400000000000001</v>
      </c>
      <c r="G447">
        <v>21.43</v>
      </c>
      <c r="H447">
        <v>180</v>
      </c>
      <c r="I447">
        <v>90</v>
      </c>
      <c r="J447" t="s">
        <v>2153</v>
      </c>
    </row>
    <row r="448" spans="2:10">
      <c r="B448" t="s">
        <v>2898</v>
      </c>
      <c r="C448" t="s">
        <v>2147</v>
      </c>
      <c r="D448">
        <v>0.3</v>
      </c>
      <c r="E448">
        <v>0.47699999999999998</v>
      </c>
      <c r="F448">
        <v>0.51400000000000001</v>
      </c>
      <c r="G448">
        <v>14.29</v>
      </c>
      <c r="H448">
        <v>270</v>
      </c>
      <c r="I448">
        <v>90</v>
      </c>
      <c r="J448" t="s">
        <v>232</v>
      </c>
    </row>
    <row r="449" spans="1:12">
      <c r="B449" t="s">
        <v>2899</v>
      </c>
      <c r="C449" t="s">
        <v>2180</v>
      </c>
      <c r="D449">
        <v>0.25</v>
      </c>
      <c r="E449">
        <v>1.4119999999999999</v>
      </c>
      <c r="F449">
        <v>2.1509999999999998</v>
      </c>
      <c r="G449">
        <v>1137.48</v>
      </c>
      <c r="H449">
        <v>0</v>
      </c>
      <c r="I449">
        <v>180</v>
      </c>
    </row>
    <row r="450" spans="1:12">
      <c r="B450" t="s">
        <v>2900</v>
      </c>
      <c r="C450" t="s">
        <v>2147</v>
      </c>
      <c r="D450">
        <v>0.3</v>
      </c>
      <c r="E450">
        <v>0.47699999999999998</v>
      </c>
      <c r="F450">
        <v>0.51400000000000001</v>
      </c>
      <c r="G450">
        <v>21.43</v>
      </c>
      <c r="H450">
        <v>0</v>
      </c>
      <c r="I450">
        <v>90</v>
      </c>
      <c r="J450" t="s">
        <v>2149</v>
      </c>
    </row>
    <row r="451" spans="1:12">
      <c r="B451" t="s">
        <v>2901</v>
      </c>
      <c r="C451" t="s">
        <v>2147</v>
      </c>
      <c r="D451">
        <v>0.3</v>
      </c>
      <c r="E451">
        <v>0.47699999999999998</v>
      </c>
      <c r="F451">
        <v>0.51400000000000001</v>
      </c>
      <c r="G451">
        <v>14.29</v>
      </c>
      <c r="H451">
        <v>90</v>
      </c>
      <c r="I451">
        <v>90</v>
      </c>
      <c r="J451" t="s">
        <v>2151</v>
      </c>
    </row>
    <row r="452" spans="1:12">
      <c r="B452" t="s">
        <v>2902</v>
      </c>
      <c r="C452" t="s">
        <v>2147</v>
      </c>
      <c r="D452">
        <v>0.3</v>
      </c>
      <c r="E452">
        <v>0.47699999999999998</v>
      </c>
      <c r="F452">
        <v>0.51400000000000001</v>
      </c>
      <c r="G452">
        <v>21.43</v>
      </c>
      <c r="H452">
        <v>180</v>
      </c>
      <c r="I452">
        <v>90</v>
      </c>
      <c r="J452" t="s">
        <v>2153</v>
      </c>
    </row>
    <row r="453" spans="1:12">
      <c r="B453" t="s">
        <v>2903</v>
      </c>
      <c r="C453" t="s">
        <v>2147</v>
      </c>
      <c r="D453">
        <v>0.3</v>
      </c>
      <c r="E453">
        <v>0.47699999999999998</v>
      </c>
      <c r="F453">
        <v>0.51400000000000001</v>
      </c>
      <c r="G453">
        <v>14.29</v>
      </c>
      <c r="H453">
        <v>270</v>
      </c>
      <c r="I453">
        <v>90</v>
      </c>
      <c r="J453" t="s">
        <v>232</v>
      </c>
    </row>
    <row r="454" spans="1:12">
      <c r="B454" t="s">
        <v>2904</v>
      </c>
      <c r="C454" t="s">
        <v>2147</v>
      </c>
      <c r="D454">
        <v>0.3</v>
      </c>
      <c r="E454">
        <v>0.47699999999999998</v>
      </c>
      <c r="F454">
        <v>0.51400000000000001</v>
      </c>
      <c r="G454">
        <v>21.43</v>
      </c>
      <c r="H454">
        <v>0</v>
      </c>
      <c r="I454">
        <v>90</v>
      </c>
      <c r="J454" t="s">
        <v>2149</v>
      </c>
    </row>
    <row r="455" spans="1:12">
      <c r="B455" t="s">
        <v>2905</v>
      </c>
      <c r="C455" t="s">
        <v>2147</v>
      </c>
      <c r="D455">
        <v>0.3</v>
      </c>
      <c r="E455">
        <v>0.47699999999999998</v>
      </c>
      <c r="F455">
        <v>0.51400000000000001</v>
      </c>
      <c r="G455">
        <v>14.29</v>
      </c>
      <c r="H455">
        <v>90</v>
      </c>
      <c r="I455">
        <v>90</v>
      </c>
      <c r="J455" t="s">
        <v>2151</v>
      </c>
    </row>
    <row r="456" spans="1:12">
      <c r="B456" t="s">
        <v>2906</v>
      </c>
      <c r="C456" t="s">
        <v>2147</v>
      </c>
      <c r="D456">
        <v>0.3</v>
      </c>
      <c r="E456">
        <v>0.47699999999999998</v>
      </c>
      <c r="F456">
        <v>0.51400000000000001</v>
      </c>
      <c r="G456">
        <v>21.43</v>
      </c>
      <c r="H456">
        <v>180</v>
      </c>
      <c r="I456">
        <v>90</v>
      </c>
      <c r="J456" t="s">
        <v>2153</v>
      </c>
    </row>
    <row r="457" spans="1:12">
      <c r="B457" t="s">
        <v>2907</v>
      </c>
      <c r="C457" t="s">
        <v>2147</v>
      </c>
      <c r="D457">
        <v>0.3</v>
      </c>
      <c r="E457">
        <v>0.47699999999999998</v>
      </c>
      <c r="F457">
        <v>0.51400000000000001</v>
      </c>
      <c r="G457">
        <v>14.29</v>
      </c>
      <c r="H457">
        <v>270</v>
      </c>
      <c r="I457">
        <v>90</v>
      </c>
      <c r="J457" t="s">
        <v>232</v>
      </c>
    </row>
    <row r="460" spans="1:12">
      <c r="A460" t="s">
        <v>2181</v>
      </c>
    </row>
    <row r="462" spans="1:12">
      <c r="C462" t="s">
        <v>2138</v>
      </c>
      <c r="D462" t="s">
        <v>2182</v>
      </c>
      <c r="E462" t="s">
        <v>2183</v>
      </c>
      <c r="F462" t="s">
        <v>2184</v>
      </c>
      <c r="G462" t="s">
        <v>2185</v>
      </c>
      <c r="H462" t="s">
        <v>2186</v>
      </c>
      <c r="I462" t="s">
        <v>2187</v>
      </c>
      <c r="J462" t="s">
        <v>2188</v>
      </c>
      <c r="K462" t="s">
        <v>2143</v>
      </c>
      <c r="L462" t="s">
        <v>2145</v>
      </c>
    </row>
    <row r="463" spans="1:12">
      <c r="B463" t="s">
        <v>2189</v>
      </c>
      <c r="C463" t="s">
        <v>2191</v>
      </c>
      <c r="D463">
        <v>65.599999999999994</v>
      </c>
      <c r="E463">
        <v>65.599999999999994</v>
      </c>
      <c r="F463">
        <v>2.8479999999999999</v>
      </c>
      <c r="G463">
        <v>0.28699999999999998</v>
      </c>
      <c r="H463">
        <v>0.2</v>
      </c>
      <c r="I463" t="s">
        <v>487</v>
      </c>
      <c r="J463" t="s">
        <v>2146</v>
      </c>
      <c r="K463">
        <v>0</v>
      </c>
      <c r="L463" t="s">
        <v>2149</v>
      </c>
    </row>
    <row r="464" spans="1:12">
      <c r="B464" t="s">
        <v>2190</v>
      </c>
      <c r="C464" t="s">
        <v>2191</v>
      </c>
      <c r="D464">
        <v>43.74</v>
      </c>
      <c r="E464">
        <v>43.74</v>
      </c>
      <c r="F464">
        <v>2.8479999999999999</v>
      </c>
      <c r="G464">
        <v>0.28699999999999998</v>
      </c>
      <c r="H464">
        <v>0.2</v>
      </c>
      <c r="I464" t="s">
        <v>487</v>
      </c>
      <c r="J464" t="s">
        <v>2148</v>
      </c>
      <c r="K464">
        <v>90</v>
      </c>
      <c r="L464" t="s">
        <v>2151</v>
      </c>
    </row>
    <row r="465" spans="1:12">
      <c r="B465" t="s">
        <v>2192</v>
      </c>
      <c r="C465" t="s">
        <v>2191</v>
      </c>
      <c r="D465">
        <v>65.599999999999994</v>
      </c>
      <c r="E465">
        <v>65.599999999999994</v>
      </c>
      <c r="F465">
        <v>2.8479999999999999</v>
      </c>
      <c r="G465">
        <v>0.28699999999999998</v>
      </c>
      <c r="H465">
        <v>0.2</v>
      </c>
      <c r="I465" t="s">
        <v>487</v>
      </c>
      <c r="J465" t="s">
        <v>2150</v>
      </c>
      <c r="K465">
        <v>180</v>
      </c>
      <c r="L465" t="s">
        <v>2153</v>
      </c>
    </row>
    <row r="466" spans="1:12">
      <c r="B466" t="s">
        <v>2193</v>
      </c>
      <c r="C466" t="s">
        <v>2191</v>
      </c>
      <c r="D466">
        <v>43.74</v>
      </c>
      <c r="E466">
        <v>43.74</v>
      </c>
      <c r="F466">
        <v>2.8479999999999999</v>
      </c>
      <c r="G466">
        <v>0.28699999999999998</v>
      </c>
      <c r="H466">
        <v>0.2</v>
      </c>
      <c r="I466" t="s">
        <v>487</v>
      </c>
      <c r="J466" t="s">
        <v>2152</v>
      </c>
      <c r="K466">
        <v>270</v>
      </c>
      <c r="L466" t="s">
        <v>232</v>
      </c>
    </row>
    <row r="467" spans="1:12">
      <c r="B467" t="s">
        <v>2194</v>
      </c>
      <c r="C467" t="s">
        <v>2191</v>
      </c>
      <c r="D467">
        <v>70.88</v>
      </c>
      <c r="E467">
        <v>70.88</v>
      </c>
      <c r="F467">
        <v>2.8479999999999999</v>
      </c>
      <c r="G467">
        <v>0.28699999999999998</v>
      </c>
      <c r="H467">
        <v>0.2</v>
      </c>
      <c r="I467" t="s">
        <v>487</v>
      </c>
      <c r="J467" t="s">
        <v>2158</v>
      </c>
      <c r="K467">
        <v>0</v>
      </c>
      <c r="L467" t="s">
        <v>2149</v>
      </c>
    </row>
    <row r="468" spans="1:12">
      <c r="B468" t="s">
        <v>2195</v>
      </c>
      <c r="C468" t="s">
        <v>2191</v>
      </c>
      <c r="D468">
        <v>47.26</v>
      </c>
      <c r="E468">
        <v>47.26</v>
      </c>
      <c r="F468">
        <v>2.8479999999999999</v>
      </c>
      <c r="G468">
        <v>0.28699999999999998</v>
      </c>
      <c r="H468">
        <v>0.2</v>
      </c>
      <c r="I468" t="s">
        <v>487</v>
      </c>
      <c r="J468" t="s">
        <v>2159</v>
      </c>
      <c r="K468">
        <v>90</v>
      </c>
      <c r="L468" t="s">
        <v>2151</v>
      </c>
    </row>
    <row r="469" spans="1:12">
      <c r="B469" t="s">
        <v>2196</v>
      </c>
      <c r="C469" t="s">
        <v>2191</v>
      </c>
      <c r="D469">
        <v>70.88</v>
      </c>
      <c r="E469">
        <v>70.88</v>
      </c>
      <c r="F469">
        <v>2.8479999999999999</v>
      </c>
      <c r="G469">
        <v>0.28699999999999998</v>
      </c>
      <c r="H469">
        <v>0.2</v>
      </c>
      <c r="I469" t="s">
        <v>487</v>
      </c>
      <c r="J469" t="s">
        <v>2160</v>
      </c>
      <c r="K469">
        <v>180</v>
      </c>
      <c r="L469" t="s">
        <v>2153</v>
      </c>
    </row>
    <row r="470" spans="1:12">
      <c r="B470" t="s">
        <v>2197</v>
      </c>
      <c r="C470" t="s">
        <v>2191</v>
      </c>
      <c r="D470">
        <v>47.26</v>
      </c>
      <c r="E470">
        <v>47.26</v>
      </c>
      <c r="F470">
        <v>2.8479999999999999</v>
      </c>
      <c r="G470">
        <v>0.28699999999999998</v>
      </c>
      <c r="H470">
        <v>0.2</v>
      </c>
      <c r="I470" t="s">
        <v>487</v>
      </c>
      <c r="J470" t="s">
        <v>2161</v>
      </c>
      <c r="K470">
        <v>270</v>
      </c>
      <c r="L470" t="s">
        <v>232</v>
      </c>
    </row>
    <row r="471" spans="1:12">
      <c r="B471" t="s">
        <v>2198</v>
      </c>
      <c r="C471" t="s">
        <v>2191</v>
      </c>
      <c r="D471">
        <v>70.88</v>
      </c>
      <c r="E471">
        <v>70.88</v>
      </c>
      <c r="F471">
        <v>2.8479999999999999</v>
      </c>
      <c r="G471">
        <v>0.28699999999999998</v>
      </c>
      <c r="H471">
        <v>0.2</v>
      </c>
      <c r="I471" t="s">
        <v>487</v>
      </c>
      <c r="J471" t="s">
        <v>2166</v>
      </c>
      <c r="K471">
        <v>0</v>
      </c>
      <c r="L471" t="s">
        <v>2149</v>
      </c>
    </row>
    <row r="472" spans="1:12">
      <c r="B472" t="s">
        <v>2199</v>
      </c>
      <c r="C472" t="s">
        <v>2191</v>
      </c>
      <c r="D472">
        <v>47.26</v>
      </c>
      <c r="E472">
        <v>47.26</v>
      </c>
      <c r="F472">
        <v>2.8479999999999999</v>
      </c>
      <c r="G472">
        <v>0.28699999999999998</v>
      </c>
      <c r="H472">
        <v>0.2</v>
      </c>
      <c r="I472" t="s">
        <v>487</v>
      </c>
      <c r="J472" t="s">
        <v>2167</v>
      </c>
      <c r="K472">
        <v>90</v>
      </c>
      <c r="L472" t="s">
        <v>2151</v>
      </c>
    </row>
    <row r="473" spans="1:12">
      <c r="B473" t="s">
        <v>2200</v>
      </c>
      <c r="C473" t="s">
        <v>2191</v>
      </c>
      <c r="D473">
        <v>70.88</v>
      </c>
      <c r="E473">
        <v>70.88</v>
      </c>
      <c r="F473">
        <v>2.8479999999999999</v>
      </c>
      <c r="G473">
        <v>0.28699999999999998</v>
      </c>
      <c r="H473">
        <v>0.2</v>
      </c>
      <c r="I473" t="s">
        <v>487</v>
      </c>
      <c r="J473" t="s">
        <v>2168</v>
      </c>
      <c r="K473">
        <v>180</v>
      </c>
      <c r="L473" t="s">
        <v>2153</v>
      </c>
    </row>
    <row r="474" spans="1:12">
      <c r="B474" t="s">
        <v>2201</v>
      </c>
      <c r="C474" t="s">
        <v>2191</v>
      </c>
      <c r="D474">
        <v>47.26</v>
      </c>
      <c r="E474">
        <v>47.26</v>
      </c>
      <c r="F474">
        <v>2.8479999999999999</v>
      </c>
      <c r="G474">
        <v>0.28699999999999998</v>
      </c>
      <c r="H474">
        <v>0.2</v>
      </c>
      <c r="I474" t="s">
        <v>487</v>
      </c>
      <c r="J474" t="s">
        <v>2169</v>
      </c>
      <c r="K474">
        <v>270</v>
      </c>
      <c r="L474" t="s">
        <v>232</v>
      </c>
    </row>
    <row r="475" spans="1:12">
      <c r="B475" t="s">
        <v>2202</v>
      </c>
      <c r="E475">
        <v>691.23</v>
      </c>
      <c r="F475">
        <v>2.85</v>
      </c>
      <c r="G475">
        <v>0.28699999999999998</v>
      </c>
      <c r="H475">
        <v>0.2</v>
      </c>
    </row>
    <row r="476" spans="1:12">
      <c r="B476" t="s">
        <v>2203</v>
      </c>
      <c r="E476">
        <v>207.36</v>
      </c>
      <c r="F476">
        <v>2.85</v>
      </c>
      <c r="G476">
        <v>0.28699999999999998</v>
      </c>
      <c r="H476">
        <v>0.2</v>
      </c>
    </row>
    <row r="477" spans="1:12">
      <c r="B477" t="s">
        <v>2204</v>
      </c>
      <c r="E477">
        <v>483.88</v>
      </c>
      <c r="F477">
        <v>2.85</v>
      </c>
      <c r="G477">
        <v>0.28699999999999998</v>
      </c>
      <c r="H477">
        <v>0.2</v>
      </c>
    </row>
    <row r="480" spans="1:12">
      <c r="A480" t="s">
        <v>1914</v>
      </c>
    </row>
    <row r="481" spans="1:11">
      <c r="A481" t="s">
        <v>1915</v>
      </c>
      <c r="B481" t="s">
        <v>2205</v>
      </c>
    </row>
    <row r="482" spans="1:11">
      <c r="A482" t="s">
        <v>1917</v>
      </c>
      <c r="B482" t="s">
        <v>1918</v>
      </c>
    </row>
    <row r="483" spans="1:11">
      <c r="A483" t="s">
        <v>2206</v>
      </c>
    </row>
    <row r="485" spans="1:11">
      <c r="C485" t="s">
        <v>2207</v>
      </c>
      <c r="D485" t="s">
        <v>2208</v>
      </c>
      <c r="E485" t="s">
        <v>2209</v>
      </c>
      <c r="F485" t="s">
        <v>2210</v>
      </c>
      <c r="G485" t="s">
        <v>2211</v>
      </c>
      <c r="H485" t="s">
        <v>2212</v>
      </c>
      <c r="I485" t="s">
        <v>2213</v>
      </c>
      <c r="J485" t="s">
        <v>2214</v>
      </c>
      <c r="K485" t="s">
        <v>2215</v>
      </c>
    </row>
    <row r="486" spans="1:11">
      <c r="B486" t="s">
        <v>2189</v>
      </c>
      <c r="I486">
        <v>0</v>
      </c>
      <c r="J486">
        <v>0</v>
      </c>
      <c r="K486">
        <v>0</v>
      </c>
    </row>
    <row r="487" spans="1:11">
      <c r="B487" t="s">
        <v>2190</v>
      </c>
      <c r="I487">
        <v>1</v>
      </c>
      <c r="J487">
        <v>1</v>
      </c>
      <c r="K487">
        <v>0</v>
      </c>
    </row>
    <row r="488" spans="1:11">
      <c r="B488" t="s">
        <v>2192</v>
      </c>
      <c r="I488">
        <v>1</v>
      </c>
      <c r="J488">
        <v>1</v>
      </c>
      <c r="K488">
        <v>1</v>
      </c>
    </row>
    <row r="489" spans="1:11">
      <c r="B489" t="s">
        <v>2193</v>
      </c>
      <c r="I489">
        <v>0</v>
      </c>
      <c r="J489">
        <v>0</v>
      </c>
      <c r="K489">
        <v>1</v>
      </c>
    </row>
    <row r="490" spans="1:11">
      <c r="B490" t="s">
        <v>2194</v>
      </c>
      <c r="I490">
        <v>0</v>
      </c>
      <c r="J490">
        <v>0</v>
      </c>
      <c r="K490">
        <v>0</v>
      </c>
    </row>
    <row r="491" spans="1:11">
      <c r="B491" t="s">
        <v>2195</v>
      </c>
      <c r="I491">
        <v>1</v>
      </c>
      <c r="J491">
        <v>1</v>
      </c>
      <c r="K491">
        <v>0</v>
      </c>
    </row>
    <row r="492" spans="1:11">
      <c r="B492" t="s">
        <v>2196</v>
      </c>
      <c r="I492">
        <v>1</v>
      </c>
      <c r="J492">
        <v>1</v>
      </c>
      <c r="K492">
        <v>1</v>
      </c>
    </row>
    <row r="493" spans="1:11">
      <c r="B493" t="s">
        <v>2197</v>
      </c>
      <c r="I493">
        <v>0</v>
      </c>
      <c r="J493">
        <v>0</v>
      </c>
      <c r="K493">
        <v>1</v>
      </c>
    </row>
    <row r="494" spans="1:11">
      <c r="B494" t="s">
        <v>2198</v>
      </c>
      <c r="I494">
        <v>0</v>
      </c>
      <c r="J494">
        <v>0</v>
      </c>
      <c r="K494">
        <v>0</v>
      </c>
    </row>
    <row r="495" spans="1:11">
      <c r="B495" t="s">
        <v>2199</v>
      </c>
      <c r="I495">
        <v>1</v>
      </c>
      <c r="J495">
        <v>1</v>
      </c>
      <c r="K495">
        <v>0</v>
      </c>
    </row>
    <row r="496" spans="1:11">
      <c r="B496" t="s">
        <v>2200</v>
      </c>
      <c r="I496">
        <v>1</v>
      </c>
      <c r="J496">
        <v>1</v>
      </c>
      <c r="K496">
        <v>1</v>
      </c>
    </row>
    <row r="497" spans="1:11">
      <c r="B497" t="s">
        <v>2201</v>
      </c>
      <c r="I497">
        <v>0</v>
      </c>
      <c r="J497">
        <v>0</v>
      </c>
      <c r="K497">
        <v>1</v>
      </c>
    </row>
    <row r="500" spans="1:11">
      <c r="A500" t="s">
        <v>2216</v>
      </c>
    </row>
    <row r="502" spans="1:11">
      <c r="C502" t="s">
        <v>86</v>
      </c>
      <c r="D502" t="s">
        <v>2217</v>
      </c>
      <c r="E502" t="s">
        <v>2218</v>
      </c>
      <c r="F502" t="s">
        <v>2219</v>
      </c>
      <c r="G502" t="s">
        <v>2220</v>
      </c>
    </row>
    <row r="503" spans="1:11">
      <c r="B503" t="s">
        <v>2189</v>
      </c>
      <c r="C503" t="s">
        <v>2541</v>
      </c>
      <c r="D503" t="s">
        <v>2221</v>
      </c>
      <c r="F503" t="s">
        <v>2542</v>
      </c>
      <c r="G503" t="s">
        <v>488</v>
      </c>
    </row>
    <row r="504" spans="1:11">
      <c r="B504" t="s">
        <v>2190</v>
      </c>
      <c r="C504" t="s">
        <v>2541</v>
      </c>
      <c r="D504" t="s">
        <v>2221</v>
      </c>
      <c r="F504" t="s">
        <v>2542</v>
      </c>
      <c r="G504" t="s">
        <v>488</v>
      </c>
    </row>
    <row r="505" spans="1:11">
      <c r="B505" t="s">
        <v>2192</v>
      </c>
      <c r="C505" t="s">
        <v>2541</v>
      </c>
      <c r="D505" t="s">
        <v>2221</v>
      </c>
      <c r="F505" t="s">
        <v>2542</v>
      </c>
      <c r="G505" t="s">
        <v>488</v>
      </c>
    </row>
    <row r="506" spans="1:11">
      <c r="B506" t="s">
        <v>2193</v>
      </c>
      <c r="C506" t="s">
        <v>2541</v>
      </c>
      <c r="D506" t="s">
        <v>2221</v>
      </c>
      <c r="F506" t="s">
        <v>2542</v>
      </c>
      <c r="G506" t="s">
        <v>488</v>
      </c>
    </row>
    <row r="507" spans="1:11">
      <c r="B507" t="s">
        <v>2194</v>
      </c>
      <c r="C507" t="s">
        <v>2541</v>
      </c>
      <c r="D507" t="s">
        <v>2221</v>
      </c>
      <c r="F507" t="s">
        <v>2542</v>
      </c>
      <c r="G507" t="s">
        <v>488</v>
      </c>
    </row>
    <row r="508" spans="1:11">
      <c r="B508" t="s">
        <v>2195</v>
      </c>
      <c r="C508" t="s">
        <v>2541</v>
      </c>
      <c r="D508" t="s">
        <v>2221</v>
      </c>
      <c r="F508" t="s">
        <v>2542</v>
      </c>
      <c r="G508" t="s">
        <v>488</v>
      </c>
    </row>
    <row r="509" spans="1:11">
      <c r="B509" t="s">
        <v>2196</v>
      </c>
      <c r="C509" t="s">
        <v>2541</v>
      </c>
      <c r="D509" t="s">
        <v>2221</v>
      </c>
      <c r="F509" t="s">
        <v>2542</v>
      </c>
      <c r="G509" t="s">
        <v>488</v>
      </c>
    </row>
    <row r="510" spans="1:11">
      <c r="B510" t="s">
        <v>2197</v>
      </c>
      <c r="C510" t="s">
        <v>2541</v>
      </c>
      <c r="D510" t="s">
        <v>2221</v>
      </c>
      <c r="F510" t="s">
        <v>2542</v>
      </c>
      <c r="G510" t="s">
        <v>488</v>
      </c>
    </row>
    <row r="511" spans="1:11">
      <c r="B511" t="s">
        <v>2198</v>
      </c>
      <c r="C511" t="s">
        <v>2541</v>
      </c>
      <c r="D511" t="s">
        <v>2221</v>
      </c>
      <c r="F511" t="s">
        <v>2542</v>
      </c>
      <c r="G511" t="s">
        <v>488</v>
      </c>
    </row>
    <row r="512" spans="1:11">
      <c r="B512" t="s">
        <v>2199</v>
      </c>
      <c r="C512" t="s">
        <v>2541</v>
      </c>
      <c r="D512" t="s">
        <v>2221</v>
      </c>
      <c r="F512" t="s">
        <v>2542</v>
      </c>
      <c r="G512" t="s">
        <v>488</v>
      </c>
    </row>
    <row r="513" spans="1:11">
      <c r="B513" t="s">
        <v>2200</v>
      </c>
      <c r="C513" t="s">
        <v>2541</v>
      </c>
      <c r="D513" t="s">
        <v>2221</v>
      </c>
      <c r="F513" t="s">
        <v>2542</v>
      </c>
      <c r="G513" t="s">
        <v>488</v>
      </c>
    </row>
    <row r="514" spans="1:11">
      <c r="B514" t="s">
        <v>2201</v>
      </c>
      <c r="C514" t="s">
        <v>2541</v>
      </c>
      <c r="D514" t="s">
        <v>2221</v>
      </c>
      <c r="F514" t="s">
        <v>2542</v>
      </c>
      <c r="G514" t="s">
        <v>488</v>
      </c>
    </row>
    <row r="517" spans="1:11">
      <c r="A517" t="s">
        <v>1914</v>
      </c>
    </row>
    <row r="518" spans="1:11">
      <c r="A518" t="s">
        <v>1915</v>
      </c>
      <c r="B518" t="s">
        <v>2222</v>
      </c>
    </row>
    <row r="519" spans="1:11">
      <c r="A519" t="s">
        <v>1917</v>
      </c>
      <c r="B519" t="s">
        <v>1918</v>
      </c>
    </row>
    <row r="520" spans="1:11">
      <c r="A520" t="s">
        <v>1952</v>
      </c>
    </row>
    <row r="522" spans="1:11">
      <c r="C522" t="s">
        <v>90</v>
      </c>
      <c r="D522" t="s">
        <v>2223</v>
      </c>
      <c r="E522" t="s">
        <v>2224</v>
      </c>
      <c r="F522" t="s">
        <v>2225</v>
      </c>
      <c r="G522" t="s">
        <v>2226</v>
      </c>
      <c r="H522" t="s">
        <v>2227</v>
      </c>
      <c r="I522" t="s">
        <v>2228</v>
      </c>
      <c r="J522" t="s">
        <v>2229</v>
      </c>
      <c r="K522" t="s">
        <v>2079</v>
      </c>
    </row>
    <row r="523" spans="1:11">
      <c r="B523" t="s">
        <v>2230</v>
      </c>
      <c r="C523" t="s">
        <v>2088</v>
      </c>
      <c r="D523">
        <v>10.8</v>
      </c>
      <c r="E523">
        <v>220.56</v>
      </c>
      <c r="F523">
        <v>2382.06</v>
      </c>
      <c r="G523" t="s">
        <v>1967</v>
      </c>
      <c r="H523" t="s">
        <v>2936</v>
      </c>
      <c r="I523">
        <v>0</v>
      </c>
      <c r="J523">
        <v>0</v>
      </c>
      <c r="K523" t="s">
        <v>2231</v>
      </c>
    </row>
    <row r="524" spans="1:11">
      <c r="B524" t="s">
        <v>2232</v>
      </c>
      <c r="C524" t="s">
        <v>2086</v>
      </c>
      <c r="D524">
        <v>10.8</v>
      </c>
      <c r="E524">
        <v>220.56</v>
      </c>
      <c r="F524">
        <v>2382.06</v>
      </c>
      <c r="G524" t="s">
        <v>1968</v>
      </c>
      <c r="H524" t="s">
        <v>2936</v>
      </c>
      <c r="I524">
        <v>0</v>
      </c>
      <c r="J524">
        <v>0</v>
      </c>
      <c r="K524" t="s">
        <v>2231</v>
      </c>
    </row>
    <row r="525" spans="1:11">
      <c r="B525" t="s">
        <v>2233</v>
      </c>
      <c r="C525" t="s">
        <v>2089</v>
      </c>
      <c r="D525">
        <v>10.8</v>
      </c>
      <c r="E525">
        <v>140.07</v>
      </c>
      <c r="F525">
        <v>1512.75</v>
      </c>
      <c r="G525" t="s">
        <v>1969</v>
      </c>
      <c r="H525" t="s">
        <v>2936</v>
      </c>
      <c r="I525">
        <v>0</v>
      </c>
      <c r="J525">
        <v>0</v>
      </c>
      <c r="K525" t="s">
        <v>2231</v>
      </c>
    </row>
    <row r="526" spans="1:11">
      <c r="B526" t="s">
        <v>2234</v>
      </c>
      <c r="C526" t="s">
        <v>2087</v>
      </c>
      <c r="D526">
        <v>10.8</v>
      </c>
      <c r="E526">
        <v>140.07</v>
      </c>
      <c r="F526">
        <v>1512.75</v>
      </c>
      <c r="G526" t="s">
        <v>1970</v>
      </c>
      <c r="H526" t="s">
        <v>2936</v>
      </c>
      <c r="I526">
        <v>0</v>
      </c>
      <c r="J526">
        <v>0</v>
      </c>
      <c r="K526" t="s">
        <v>2231</v>
      </c>
    </row>
    <row r="527" spans="1:11">
      <c r="B527" t="s">
        <v>2235</v>
      </c>
      <c r="C527" t="s">
        <v>2098</v>
      </c>
      <c r="D527">
        <v>10.8</v>
      </c>
      <c r="E527">
        <v>220.56</v>
      </c>
      <c r="F527">
        <v>2382.06</v>
      </c>
      <c r="G527" t="s">
        <v>1971</v>
      </c>
      <c r="H527" t="s">
        <v>2936</v>
      </c>
      <c r="I527">
        <v>0</v>
      </c>
      <c r="J527">
        <v>0</v>
      </c>
      <c r="K527" t="s">
        <v>2231</v>
      </c>
    </row>
    <row r="528" spans="1:11">
      <c r="B528" t="s">
        <v>2236</v>
      </c>
      <c r="C528" t="s">
        <v>2096</v>
      </c>
      <c r="D528">
        <v>10.8</v>
      </c>
      <c r="E528">
        <v>220.56</v>
      </c>
      <c r="F528">
        <v>2382.06</v>
      </c>
      <c r="G528" t="s">
        <v>1972</v>
      </c>
      <c r="H528" t="s">
        <v>2936</v>
      </c>
      <c r="I528">
        <v>0</v>
      </c>
      <c r="J528">
        <v>0</v>
      </c>
      <c r="K528" t="s">
        <v>2231</v>
      </c>
    </row>
    <row r="529" spans="1:11">
      <c r="B529" t="s">
        <v>2237</v>
      </c>
      <c r="C529" t="s">
        <v>2099</v>
      </c>
      <c r="D529">
        <v>10.8</v>
      </c>
      <c r="E529">
        <v>140.07</v>
      </c>
      <c r="F529">
        <v>1512.75</v>
      </c>
      <c r="G529" t="s">
        <v>1973</v>
      </c>
      <c r="H529" t="s">
        <v>2936</v>
      </c>
      <c r="I529">
        <v>0</v>
      </c>
      <c r="J529">
        <v>0</v>
      </c>
      <c r="K529" t="s">
        <v>2231</v>
      </c>
    </row>
    <row r="530" spans="1:11">
      <c r="B530" t="s">
        <v>2238</v>
      </c>
      <c r="C530" t="s">
        <v>2097</v>
      </c>
      <c r="D530">
        <v>10.8</v>
      </c>
      <c r="E530">
        <v>140.07</v>
      </c>
      <c r="F530">
        <v>1512.75</v>
      </c>
      <c r="G530" t="s">
        <v>1974</v>
      </c>
      <c r="H530" t="s">
        <v>2936</v>
      </c>
      <c r="I530">
        <v>0</v>
      </c>
      <c r="J530">
        <v>0</v>
      </c>
      <c r="K530" t="s">
        <v>2231</v>
      </c>
    </row>
    <row r="531" spans="1:11">
      <c r="B531" t="s">
        <v>2239</v>
      </c>
      <c r="C531" t="s">
        <v>2108</v>
      </c>
      <c r="D531">
        <v>10.8</v>
      </c>
      <c r="E531">
        <v>220.56</v>
      </c>
      <c r="F531">
        <v>2382.06</v>
      </c>
      <c r="G531" t="s">
        <v>1975</v>
      </c>
      <c r="H531" t="s">
        <v>2936</v>
      </c>
      <c r="I531">
        <v>0</v>
      </c>
      <c r="J531">
        <v>0</v>
      </c>
      <c r="K531" t="s">
        <v>2231</v>
      </c>
    </row>
    <row r="532" spans="1:11">
      <c r="B532" t="s">
        <v>2240</v>
      </c>
      <c r="C532" t="s">
        <v>2106</v>
      </c>
      <c r="D532">
        <v>10.8</v>
      </c>
      <c r="E532">
        <v>220.56</v>
      </c>
      <c r="F532">
        <v>2382.06</v>
      </c>
      <c r="G532" t="s">
        <v>1976</v>
      </c>
      <c r="H532" t="s">
        <v>2936</v>
      </c>
      <c r="I532">
        <v>0</v>
      </c>
      <c r="J532">
        <v>0</v>
      </c>
      <c r="K532" t="s">
        <v>2231</v>
      </c>
    </row>
    <row r="533" spans="1:11">
      <c r="B533" t="s">
        <v>2241</v>
      </c>
      <c r="C533" t="s">
        <v>2109</v>
      </c>
      <c r="D533">
        <v>10.8</v>
      </c>
      <c r="E533">
        <v>140.07</v>
      </c>
      <c r="F533">
        <v>1512.75</v>
      </c>
      <c r="G533" t="s">
        <v>1977</v>
      </c>
      <c r="H533" t="s">
        <v>2936</v>
      </c>
      <c r="I533">
        <v>0</v>
      </c>
      <c r="J533">
        <v>0</v>
      </c>
      <c r="K533" t="s">
        <v>2231</v>
      </c>
    </row>
    <row r="534" spans="1:11">
      <c r="B534" t="s">
        <v>2242</v>
      </c>
      <c r="C534" t="s">
        <v>2107</v>
      </c>
      <c r="D534">
        <v>10.8</v>
      </c>
      <c r="E534">
        <v>140.07</v>
      </c>
      <c r="F534">
        <v>1512.75</v>
      </c>
      <c r="G534" t="s">
        <v>1978</v>
      </c>
      <c r="H534" t="s">
        <v>2936</v>
      </c>
      <c r="I534">
        <v>0</v>
      </c>
      <c r="J534">
        <v>0</v>
      </c>
      <c r="K534" t="s">
        <v>2231</v>
      </c>
    </row>
    <row r="535" spans="1:11">
      <c r="B535" t="s">
        <v>2243</v>
      </c>
      <c r="C535" t="s">
        <v>2090</v>
      </c>
      <c r="D535">
        <v>10.8</v>
      </c>
      <c r="E535">
        <v>1137.48</v>
      </c>
      <c r="F535">
        <v>12284.74</v>
      </c>
      <c r="G535" t="s">
        <v>1979</v>
      </c>
      <c r="H535" t="s">
        <v>2936</v>
      </c>
      <c r="I535">
        <v>0</v>
      </c>
      <c r="J535">
        <v>0</v>
      </c>
      <c r="K535" t="s">
        <v>2231</v>
      </c>
    </row>
    <row r="536" spans="1:11">
      <c r="B536" t="s">
        <v>2244</v>
      </c>
      <c r="C536" t="s">
        <v>2100</v>
      </c>
      <c r="D536">
        <v>10.8</v>
      </c>
      <c r="E536">
        <v>1137.48</v>
      </c>
      <c r="F536">
        <v>12284.74</v>
      </c>
      <c r="G536" t="s">
        <v>1980</v>
      </c>
      <c r="H536" t="s">
        <v>2936</v>
      </c>
      <c r="I536">
        <v>0</v>
      </c>
      <c r="J536">
        <v>0</v>
      </c>
      <c r="K536" t="s">
        <v>2231</v>
      </c>
    </row>
    <row r="537" spans="1:11">
      <c r="B537" t="s">
        <v>2245</v>
      </c>
      <c r="C537" t="s">
        <v>2110</v>
      </c>
      <c r="D537">
        <v>10.8</v>
      </c>
      <c r="E537">
        <v>1137.48</v>
      </c>
      <c r="F537">
        <v>12284.74</v>
      </c>
      <c r="G537" t="s">
        <v>1981</v>
      </c>
      <c r="H537" t="s">
        <v>2936</v>
      </c>
      <c r="I537">
        <v>0</v>
      </c>
      <c r="J537">
        <v>0</v>
      </c>
      <c r="K537" t="s">
        <v>2231</v>
      </c>
    </row>
    <row r="538" spans="1:11">
      <c r="B538" t="s">
        <v>2246</v>
      </c>
      <c r="D538">
        <v>10.8</v>
      </c>
      <c r="E538">
        <v>5576.21</v>
      </c>
      <c r="F538">
        <v>60223.05</v>
      </c>
    </row>
    <row r="541" spans="1:11">
      <c r="A541" t="s">
        <v>2247</v>
      </c>
    </row>
    <row r="543" spans="1:11">
      <c r="C543" t="s">
        <v>90</v>
      </c>
      <c r="D543" t="s">
        <v>2248</v>
      </c>
      <c r="E543" t="s">
        <v>2249</v>
      </c>
      <c r="F543" t="s">
        <v>2250</v>
      </c>
      <c r="G543" t="s">
        <v>2251</v>
      </c>
      <c r="H543" t="s">
        <v>2252</v>
      </c>
    </row>
    <row r="544" spans="1:11">
      <c r="B544" t="s">
        <v>2</v>
      </c>
    </row>
    <row r="547" spans="1:6">
      <c r="A547" t="s">
        <v>1953</v>
      </c>
    </row>
    <row r="549" spans="1:6">
      <c r="C549" t="s">
        <v>2253</v>
      </c>
      <c r="D549" t="s">
        <v>2254</v>
      </c>
      <c r="E549" t="s">
        <v>2227</v>
      </c>
      <c r="F549" t="s">
        <v>2255</v>
      </c>
    </row>
    <row r="550" spans="1:6">
      <c r="B550" t="s">
        <v>2256</v>
      </c>
      <c r="C550">
        <v>0</v>
      </c>
    </row>
    <row r="553" spans="1:6">
      <c r="A553" t="s">
        <v>1914</v>
      </c>
    </row>
    <row r="554" spans="1:6">
      <c r="A554" t="s">
        <v>1915</v>
      </c>
      <c r="B554" t="s">
        <v>2257</v>
      </c>
    </row>
    <row r="555" spans="1:6">
      <c r="A555" t="s">
        <v>1917</v>
      </c>
      <c r="B555" t="s">
        <v>1918</v>
      </c>
    </row>
    <row r="556" spans="1:6">
      <c r="A556" t="s">
        <v>2258</v>
      </c>
    </row>
    <row r="558" spans="1:6">
      <c r="C558" t="s">
        <v>2217</v>
      </c>
      <c r="D558" t="s">
        <v>2259</v>
      </c>
      <c r="E558" t="s">
        <v>2260</v>
      </c>
    </row>
    <row r="559" spans="1:6">
      <c r="B559" t="s">
        <v>2261</v>
      </c>
      <c r="C559" t="s">
        <v>2262</v>
      </c>
      <c r="D559">
        <v>413184.2</v>
      </c>
      <c r="E559">
        <v>4.83</v>
      </c>
    </row>
    <row r="560" spans="1:6">
      <c r="B560" t="s">
        <v>2263</v>
      </c>
      <c r="C560" t="s">
        <v>2264</v>
      </c>
      <c r="D560">
        <v>42358.7</v>
      </c>
      <c r="E560">
        <v>0.8</v>
      </c>
    </row>
    <row r="561" spans="1:10">
      <c r="B561" t="s">
        <v>2265</v>
      </c>
      <c r="C561" t="s">
        <v>2264</v>
      </c>
      <c r="D561">
        <v>42358.7</v>
      </c>
      <c r="E561">
        <v>0.8</v>
      </c>
    </row>
    <row r="562" spans="1:10">
      <c r="B562" t="s">
        <v>2266</v>
      </c>
      <c r="C562" t="s">
        <v>2267</v>
      </c>
      <c r="D562">
        <v>295315.40999999997</v>
      </c>
    </row>
    <row r="565" spans="1:10">
      <c r="A565" t="s">
        <v>2268</v>
      </c>
    </row>
    <row r="567" spans="1:10">
      <c r="C567" t="s">
        <v>2217</v>
      </c>
      <c r="D567" t="s">
        <v>2269</v>
      </c>
      <c r="E567" t="s">
        <v>2270</v>
      </c>
      <c r="F567" t="s">
        <v>2271</v>
      </c>
      <c r="G567" t="s">
        <v>2272</v>
      </c>
      <c r="H567" t="s">
        <v>2260</v>
      </c>
      <c r="I567" t="s">
        <v>2273</v>
      </c>
      <c r="J567" t="s">
        <v>2274</v>
      </c>
    </row>
    <row r="568" spans="1:10">
      <c r="B568" t="s">
        <v>2275</v>
      </c>
      <c r="C568" t="s">
        <v>2276</v>
      </c>
      <c r="D568">
        <v>958395.52</v>
      </c>
      <c r="E568">
        <v>702216</v>
      </c>
      <c r="F568">
        <v>256179.52</v>
      </c>
      <c r="G568">
        <v>0.73</v>
      </c>
      <c r="H568" t="s">
        <v>212</v>
      </c>
      <c r="I568">
        <v>126623.63</v>
      </c>
      <c r="J568">
        <v>1284.29</v>
      </c>
    </row>
    <row r="571" spans="1:10">
      <c r="A571" t="s">
        <v>2277</v>
      </c>
    </row>
    <row r="573" spans="1:10">
      <c r="C573" t="s">
        <v>2278</v>
      </c>
      <c r="D573" t="s">
        <v>2279</v>
      </c>
      <c r="E573" t="s">
        <v>2280</v>
      </c>
      <c r="F573" t="s">
        <v>2281</v>
      </c>
      <c r="G573" t="s">
        <v>2282</v>
      </c>
      <c r="H573" t="s">
        <v>2283</v>
      </c>
      <c r="I573" t="s">
        <v>2284</v>
      </c>
      <c r="J573" t="s">
        <v>2285</v>
      </c>
    </row>
    <row r="574" spans="1:10">
      <c r="B574" t="s">
        <v>2</v>
      </c>
    </row>
    <row r="577" spans="1:7">
      <c r="A577" t="s">
        <v>2286</v>
      </c>
    </row>
    <row r="579" spans="1:7">
      <c r="C579" t="s">
        <v>2217</v>
      </c>
      <c r="D579" t="s">
        <v>2269</v>
      </c>
      <c r="E579" t="s">
        <v>2260</v>
      </c>
    </row>
    <row r="580" spans="1:7">
      <c r="B580" t="s">
        <v>2287</v>
      </c>
      <c r="C580" t="s">
        <v>2288</v>
      </c>
      <c r="D580">
        <v>8762.4500000000007</v>
      </c>
      <c r="E580" t="s">
        <v>212</v>
      </c>
    </row>
    <row r="581" spans="1:7">
      <c r="B581" t="s">
        <v>2289</v>
      </c>
      <c r="C581" t="s">
        <v>2288</v>
      </c>
      <c r="D581">
        <v>5734.2</v>
      </c>
      <c r="E581" t="s">
        <v>212</v>
      </c>
      <c r="G581" s="499"/>
    </row>
    <row r="582" spans="1:7">
      <c r="B582" t="s">
        <v>2290</v>
      </c>
      <c r="C582" t="s">
        <v>2288</v>
      </c>
      <c r="D582">
        <v>11135.7</v>
      </c>
      <c r="E582" t="s">
        <v>212</v>
      </c>
      <c r="G582" s="499"/>
    </row>
    <row r="583" spans="1:7">
      <c r="B583" t="s">
        <v>2291</v>
      </c>
      <c r="C583" t="s">
        <v>2288</v>
      </c>
      <c r="D583">
        <v>5788.97</v>
      </c>
      <c r="E583" t="s">
        <v>212</v>
      </c>
      <c r="G583" s="499"/>
    </row>
    <row r="584" spans="1:7">
      <c r="B584" t="s">
        <v>2292</v>
      </c>
      <c r="C584" t="s">
        <v>2288</v>
      </c>
      <c r="D584">
        <v>511110.72</v>
      </c>
      <c r="E584" t="s">
        <v>212</v>
      </c>
      <c r="G584" s="499"/>
    </row>
    <row r="585" spans="1:7">
      <c r="B585" t="s">
        <v>2293</v>
      </c>
      <c r="C585" t="s">
        <v>2288</v>
      </c>
      <c r="D585">
        <v>9058.7999999999993</v>
      </c>
      <c r="E585" t="s">
        <v>212</v>
      </c>
      <c r="G585" s="499"/>
    </row>
    <row r="586" spans="1:7">
      <c r="B586" t="s">
        <v>2294</v>
      </c>
      <c r="C586" t="s">
        <v>2288</v>
      </c>
      <c r="D586">
        <v>5927.61</v>
      </c>
      <c r="E586" t="s">
        <v>212</v>
      </c>
      <c r="G586" s="499"/>
    </row>
    <row r="587" spans="1:7">
      <c r="B587" t="s">
        <v>2295</v>
      </c>
      <c r="C587" t="s">
        <v>2288</v>
      </c>
      <c r="D587">
        <v>9657.0499999999993</v>
      </c>
      <c r="E587" t="s">
        <v>212</v>
      </c>
      <c r="G587" s="499"/>
    </row>
    <row r="588" spans="1:7">
      <c r="B588" t="s">
        <v>2296</v>
      </c>
      <c r="C588" t="s">
        <v>2288</v>
      </c>
      <c r="D588">
        <v>5994.19</v>
      </c>
      <c r="E588" t="s">
        <v>212</v>
      </c>
      <c r="G588" s="499"/>
    </row>
    <row r="589" spans="1:7">
      <c r="B589" t="s">
        <v>2297</v>
      </c>
      <c r="C589" t="s">
        <v>2288</v>
      </c>
      <c r="D589">
        <v>511110.72</v>
      </c>
      <c r="E589" t="s">
        <v>212</v>
      </c>
      <c r="G589" s="499"/>
    </row>
    <row r="590" spans="1:7">
      <c r="B590" t="s">
        <v>2298</v>
      </c>
      <c r="C590" t="s">
        <v>2288</v>
      </c>
      <c r="D590">
        <v>11774.16</v>
      </c>
      <c r="E590" t="s">
        <v>212</v>
      </c>
      <c r="G590" s="499"/>
    </row>
    <row r="591" spans="1:7">
      <c r="B591" t="s">
        <v>2299</v>
      </c>
      <c r="C591" t="s">
        <v>2288</v>
      </c>
      <c r="D591">
        <v>7620.51</v>
      </c>
      <c r="E591" t="s">
        <v>212</v>
      </c>
      <c r="G591" s="499"/>
    </row>
    <row r="592" spans="1:7">
      <c r="B592" t="s">
        <v>2300</v>
      </c>
      <c r="C592" t="s">
        <v>2288</v>
      </c>
      <c r="D592">
        <v>11568.47</v>
      </c>
      <c r="E592" t="s">
        <v>212</v>
      </c>
      <c r="G592" s="499"/>
    </row>
    <row r="593" spans="1:9">
      <c r="B593" t="s">
        <v>2301</v>
      </c>
      <c r="C593" t="s">
        <v>2288</v>
      </c>
      <c r="D593">
        <v>7680.65</v>
      </c>
      <c r="E593" t="s">
        <v>212</v>
      </c>
      <c r="G593" s="499"/>
    </row>
    <row r="594" spans="1:9">
      <c r="B594" t="s">
        <v>2302</v>
      </c>
      <c r="C594" t="s">
        <v>2288</v>
      </c>
      <c r="D594">
        <v>511110.72</v>
      </c>
      <c r="E594" t="s">
        <v>212</v>
      </c>
      <c r="G594" s="499"/>
    </row>
    <row r="595" spans="1:9">
      <c r="B595" t="s">
        <v>2303</v>
      </c>
      <c r="C595" t="s">
        <v>2288</v>
      </c>
      <c r="D595">
        <v>148023.88</v>
      </c>
      <c r="E595" t="s">
        <v>212</v>
      </c>
      <c r="G595" s="499"/>
    </row>
    <row r="596" spans="1:9">
      <c r="G596" s="499"/>
    </row>
    <row r="597" spans="1:9">
      <c r="G597" s="499"/>
    </row>
    <row r="598" spans="1:9">
      <c r="A598" t="s">
        <v>501</v>
      </c>
      <c r="G598" s="499"/>
    </row>
    <row r="600" spans="1:9">
      <c r="C600" t="s">
        <v>2217</v>
      </c>
      <c r="D600" t="s">
        <v>2304</v>
      </c>
      <c r="E600" t="s">
        <v>2305</v>
      </c>
      <c r="F600" t="s">
        <v>2306</v>
      </c>
      <c r="G600" t="s">
        <v>2307</v>
      </c>
      <c r="H600" t="s">
        <v>2308</v>
      </c>
      <c r="I600" t="s">
        <v>2309</v>
      </c>
    </row>
    <row r="601" spans="1:9">
      <c r="B601" t="s">
        <v>2908</v>
      </c>
      <c r="C601" t="s">
        <v>2310</v>
      </c>
      <c r="D601">
        <v>0.15</v>
      </c>
      <c r="E601">
        <v>125</v>
      </c>
      <c r="F601">
        <v>0.87</v>
      </c>
      <c r="G601">
        <v>728.92</v>
      </c>
      <c r="H601">
        <v>1</v>
      </c>
      <c r="I601" t="s">
        <v>1966</v>
      </c>
    </row>
    <row r="602" spans="1:9">
      <c r="B602" t="s">
        <v>2909</v>
      </c>
      <c r="C602" t="s">
        <v>2310</v>
      </c>
      <c r="D602">
        <v>0.15</v>
      </c>
      <c r="E602">
        <v>125</v>
      </c>
      <c r="F602">
        <v>0.8</v>
      </c>
      <c r="G602">
        <v>663.67</v>
      </c>
      <c r="H602">
        <v>1</v>
      </c>
      <c r="I602" t="s">
        <v>1966</v>
      </c>
    </row>
    <row r="603" spans="1:9">
      <c r="B603" t="s">
        <v>2910</v>
      </c>
      <c r="C603" t="s">
        <v>2310</v>
      </c>
      <c r="D603">
        <v>0.15</v>
      </c>
      <c r="E603">
        <v>125</v>
      </c>
      <c r="F603">
        <v>1.74</v>
      </c>
      <c r="G603">
        <v>1451.96</v>
      </c>
      <c r="H603">
        <v>1</v>
      </c>
      <c r="I603" t="s">
        <v>1966</v>
      </c>
    </row>
    <row r="604" spans="1:9">
      <c r="B604" t="s">
        <v>2911</v>
      </c>
      <c r="C604" t="s">
        <v>2310</v>
      </c>
      <c r="D604">
        <v>0.15</v>
      </c>
      <c r="E604">
        <v>125</v>
      </c>
      <c r="F604">
        <v>0.97</v>
      </c>
      <c r="G604" s="499">
        <v>812.17</v>
      </c>
      <c r="H604">
        <v>1</v>
      </c>
      <c r="I604" t="s">
        <v>1966</v>
      </c>
    </row>
    <row r="605" spans="1:9">
      <c r="B605" t="s">
        <v>2912</v>
      </c>
      <c r="C605" t="s">
        <v>2310</v>
      </c>
      <c r="D605">
        <v>0.15</v>
      </c>
      <c r="E605">
        <v>125</v>
      </c>
      <c r="F605">
        <v>1.64</v>
      </c>
      <c r="G605" s="499">
        <v>1363.42</v>
      </c>
      <c r="H605">
        <v>1</v>
      </c>
      <c r="I605" t="s">
        <v>1966</v>
      </c>
    </row>
    <row r="606" spans="1:9">
      <c r="B606" t="s">
        <v>2913</v>
      </c>
      <c r="C606" t="s">
        <v>2310</v>
      </c>
      <c r="D606">
        <v>0.15</v>
      </c>
      <c r="E606">
        <v>125</v>
      </c>
      <c r="F606">
        <v>1.5</v>
      </c>
      <c r="G606" s="499">
        <v>1248.83</v>
      </c>
      <c r="H606">
        <v>1</v>
      </c>
      <c r="I606" t="s">
        <v>1966</v>
      </c>
    </row>
    <row r="607" spans="1:9">
      <c r="B607" t="s">
        <v>2914</v>
      </c>
      <c r="C607" t="s">
        <v>2310</v>
      </c>
      <c r="D607">
        <v>0.15</v>
      </c>
      <c r="E607">
        <v>125</v>
      </c>
      <c r="F607">
        <v>3.61</v>
      </c>
      <c r="G607" s="499">
        <v>3006.87</v>
      </c>
      <c r="H607">
        <v>1</v>
      </c>
      <c r="I607" t="s">
        <v>1966</v>
      </c>
    </row>
    <row r="608" spans="1:9">
      <c r="B608" t="s">
        <v>2915</v>
      </c>
      <c r="C608" t="s">
        <v>2310</v>
      </c>
      <c r="D608">
        <v>0.15</v>
      </c>
      <c r="E608">
        <v>125</v>
      </c>
      <c r="F608">
        <v>1.49</v>
      </c>
      <c r="G608" s="499">
        <v>1243.92</v>
      </c>
      <c r="H608">
        <v>1</v>
      </c>
      <c r="I608" t="s">
        <v>1966</v>
      </c>
    </row>
    <row r="609" spans="1:9">
      <c r="B609" t="s">
        <v>2916</v>
      </c>
      <c r="C609" t="s">
        <v>2310</v>
      </c>
      <c r="D609">
        <v>0.15</v>
      </c>
      <c r="E609">
        <v>125</v>
      </c>
      <c r="F609">
        <v>1.77</v>
      </c>
      <c r="G609" s="499">
        <v>1476.67</v>
      </c>
      <c r="H609">
        <v>1</v>
      </c>
      <c r="I609" t="s">
        <v>1966</v>
      </c>
    </row>
    <row r="610" spans="1:9">
      <c r="B610" t="s">
        <v>2917</v>
      </c>
      <c r="C610" t="s">
        <v>2310</v>
      </c>
      <c r="D610">
        <v>0.15</v>
      </c>
      <c r="E610">
        <v>125</v>
      </c>
      <c r="F610">
        <v>1.6</v>
      </c>
      <c r="G610" s="499">
        <v>1330.5</v>
      </c>
      <c r="H610">
        <v>1</v>
      </c>
      <c r="I610" t="s">
        <v>1966</v>
      </c>
    </row>
    <row r="611" spans="1:9">
      <c r="B611" t="s">
        <v>2918</v>
      </c>
      <c r="C611" t="s">
        <v>2310</v>
      </c>
      <c r="D611">
        <v>0.15</v>
      </c>
      <c r="E611">
        <v>125</v>
      </c>
      <c r="F611">
        <v>4.09</v>
      </c>
      <c r="G611" s="499">
        <v>3404.24</v>
      </c>
      <c r="H611">
        <v>1</v>
      </c>
      <c r="I611" t="s">
        <v>1966</v>
      </c>
    </row>
    <row r="612" spans="1:9">
      <c r="B612" t="s">
        <v>2919</v>
      </c>
      <c r="C612" t="s">
        <v>2310</v>
      </c>
      <c r="D612">
        <v>0.15</v>
      </c>
      <c r="E612">
        <v>125</v>
      </c>
      <c r="F612">
        <v>1.61</v>
      </c>
      <c r="G612" s="499">
        <v>1345.5</v>
      </c>
      <c r="H612">
        <v>1</v>
      </c>
      <c r="I612" t="s">
        <v>1966</v>
      </c>
    </row>
    <row r="613" spans="1:9">
      <c r="B613" t="s">
        <v>2311</v>
      </c>
      <c r="C613" t="s">
        <v>2310</v>
      </c>
      <c r="D613">
        <v>0.37</v>
      </c>
      <c r="E613">
        <v>149</v>
      </c>
      <c r="F613">
        <v>41.38</v>
      </c>
      <c r="G613" s="499">
        <v>16661.82</v>
      </c>
      <c r="H613">
        <v>1</v>
      </c>
      <c r="I613" t="s">
        <v>1966</v>
      </c>
    </row>
    <row r="614" spans="1:9">
      <c r="B614" t="s">
        <v>2312</v>
      </c>
      <c r="C614" t="s">
        <v>2310</v>
      </c>
      <c r="D614">
        <v>0.65</v>
      </c>
      <c r="E614">
        <v>600</v>
      </c>
      <c r="F614">
        <v>41.38</v>
      </c>
      <c r="G614" s="499">
        <v>38192.31</v>
      </c>
      <c r="H614">
        <v>1</v>
      </c>
      <c r="I614" t="s">
        <v>1966</v>
      </c>
    </row>
    <row r="615" spans="1:9">
      <c r="G615" s="499"/>
    </row>
    <row r="616" spans="1:9">
      <c r="G616" s="499"/>
    </row>
    <row r="617" spans="1:9">
      <c r="A617" t="s">
        <v>1956</v>
      </c>
      <c r="G617" s="499"/>
    </row>
    <row r="618" spans="1:9">
      <c r="G618" s="499"/>
    </row>
    <row r="619" spans="1:9">
      <c r="C619" t="s">
        <v>2217</v>
      </c>
      <c r="D619" t="s">
        <v>2219</v>
      </c>
      <c r="E619" t="s">
        <v>2313</v>
      </c>
      <c r="F619" t="s">
        <v>2314</v>
      </c>
      <c r="G619" s="499" t="s">
        <v>2315</v>
      </c>
    </row>
    <row r="620" spans="1:9">
      <c r="B620" t="s">
        <v>2316</v>
      </c>
      <c r="C620" t="s">
        <v>2317</v>
      </c>
      <c r="D620" t="s">
        <v>2318</v>
      </c>
      <c r="E620">
        <v>119563</v>
      </c>
      <c r="F620">
        <v>5928.62</v>
      </c>
      <c r="G620" s="499">
        <v>0.9</v>
      </c>
    </row>
    <row r="621" spans="1:9">
      <c r="B621" t="s">
        <v>2319</v>
      </c>
      <c r="C621" t="s">
        <v>2317</v>
      </c>
      <c r="D621" t="s">
        <v>2318</v>
      </c>
      <c r="E621">
        <v>119563</v>
      </c>
      <c r="F621">
        <v>2759.15</v>
      </c>
      <c r="G621" s="499">
        <v>0.9</v>
      </c>
    </row>
    <row r="622" spans="1:9">
      <c r="B622" t="s">
        <v>2320</v>
      </c>
      <c r="C622" t="s">
        <v>2317</v>
      </c>
      <c r="D622" t="s">
        <v>2318</v>
      </c>
      <c r="E622">
        <v>74727</v>
      </c>
      <c r="F622">
        <v>1678.7</v>
      </c>
      <c r="G622">
        <v>0.9</v>
      </c>
    </row>
    <row r="625" spans="1:10">
      <c r="A625" t="s">
        <v>2321</v>
      </c>
    </row>
    <row r="627" spans="1:10">
      <c r="C627" t="s">
        <v>2217</v>
      </c>
      <c r="D627" t="s">
        <v>2322</v>
      </c>
      <c r="E627" t="s">
        <v>2323</v>
      </c>
      <c r="F627" t="s">
        <v>2324</v>
      </c>
      <c r="G627" t="s">
        <v>2325</v>
      </c>
      <c r="H627" t="s">
        <v>2326</v>
      </c>
    </row>
    <row r="628" spans="1:10">
      <c r="B628" t="s">
        <v>2</v>
      </c>
    </row>
    <row r="631" spans="1:10">
      <c r="A631" t="s">
        <v>1914</v>
      </c>
    </row>
    <row r="632" spans="1:10">
      <c r="A632" t="s">
        <v>1915</v>
      </c>
      <c r="B632" t="s">
        <v>2327</v>
      </c>
    </row>
    <row r="633" spans="1:10">
      <c r="A633" t="s">
        <v>1917</v>
      </c>
      <c r="B633" t="s">
        <v>1918</v>
      </c>
    </row>
    <row r="634" spans="1:10">
      <c r="A634" t="s">
        <v>2328</v>
      </c>
    </row>
    <row r="636" spans="1:10">
      <c r="C636" t="s">
        <v>2329</v>
      </c>
      <c r="D636" t="s">
        <v>2330</v>
      </c>
      <c r="E636" t="s">
        <v>2331</v>
      </c>
      <c r="F636" t="s">
        <v>2332</v>
      </c>
      <c r="G636" t="s">
        <v>2333</v>
      </c>
      <c r="H636" t="s">
        <v>2334</v>
      </c>
      <c r="I636" t="s">
        <v>2335</v>
      </c>
      <c r="J636" t="s">
        <v>2336</v>
      </c>
    </row>
    <row r="637" spans="1:10">
      <c r="B637" t="s">
        <v>2086</v>
      </c>
      <c r="C637">
        <v>8501.33</v>
      </c>
      <c r="D637">
        <v>10201.59</v>
      </c>
      <c r="E637">
        <v>1.1499999999999999</v>
      </c>
      <c r="F637">
        <v>1.38</v>
      </c>
      <c r="G637" t="s">
        <v>2548</v>
      </c>
      <c r="H637">
        <v>40745.770833333336</v>
      </c>
      <c r="I637">
        <v>31.66</v>
      </c>
      <c r="J637">
        <v>8.8599999999999998E-3</v>
      </c>
    </row>
    <row r="638" spans="1:10">
      <c r="B638" t="s">
        <v>2087</v>
      </c>
      <c r="C638">
        <v>8928.7900000000009</v>
      </c>
      <c r="D638">
        <v>10714.55</v>
      </c>
      <c r="E638">
        <v>0.95499999999999996</v>
      </c>
      <c r="F638">
        <v>1.1459999999999999</v>
      </c>
      <c r="G638" t="s">
        <v>2548</v>
      </c>
      <c r="H638">
        <v>40745.427083333336</v>
      </c>
      <c r="I638">
        <v>31.12</v>
      </c>
      <c r="J638">
        <v>8.8599999999999998E-3</v>
      </c>
    </row>
    <row r="639" spans="1:10">
      <c r="B639" t="s">
        <v>2088</v>
      </c>
      <c r="C639">
        <v>10972.48</v>
      </c>
      <c r="D639">
        <v>13166.98</v>
      </c>
      <c r="E639">
        <v>1.452</v>
      </c>
      <c r="F639">
        <v>1.742</v>
      </c>
      <c r="G639" t="s">
        <v>2548</v>
      </c>
      <c r="H639">
        <v>40745.572916666664</v>
      </c>
      <c r="I639">
        <v>37.54</v>
      </c>
      <c r="J639">
        <v>8.8599999999999998E-3</v>
      </c>
    </row>
    <row r="640" spans="1:10">
      <c r="B640" t="s">
        <v>2089</v>
      </c>
      <c r="C640">
        <v>11342.97</v>
      </c>
      <c r="D640">
        <v>13611.57</v>
      </c>
      <c r="E640">
        <v>1.5069999999999999</v>
      </c>
      <c r="F640">
        <v>1.8089999999999999</v>
      </c>
      <c r="G640" t="s">
        <v>2548</v>
      </c>
      <c r="H640">
        <v>40745.708333333336</v>
      </c>
      <c r="I640">
        <v>35.06</v>
      </c>
      <c r="J640">
        <v>8.8599999999999998E-3</v>
      </c>
    </row>
    <row r="641" spans="1:10">
      <c r="B641" t="s">
        <v>2090</v>
      </c>
      <c r="C641">
        <v>28199.7</v>
      </c>
      <c r="D641">
        <v>33839.64</v>
      </c>
      <c r="E641">
        <v>2.9580000000000002</v>
      </c>
      <c r="F641">
        <v>3.55</v>
      </c>
      <c r="G641" t="s">
        <v>2548</v>
      </c>
      <c r="H641">
        <v>40745.385416666664</v>
      </c>
      <c r="I641">
        <v>27.91</v>
      </c>
      <c r="J641">
        <v>8.8599999999999998E-3</v>
      </c>
    </row>
    <row r="642" spans="1:10">
      <c r="B642" t="s">
        <v>2096</v>
      </c>
      <c r="C642">
        <v>10220.530000000001</v>
      </c>
      <c r="D642">
        <v>12264.64</v>
      </c>
      <c r="E642">
        <v>2.4889999999999999</v>
      </c>
      <c r="F642">
        <v>2.9860000000000002</v>
      </c>
      <c r="G642" t="s">
        <v>2548</v>
      </c>
      <c r="H642">
        <v>40745.770833333336</v>
      </c>
      <c r="I642">
        <v>31.66</v>
      </c>
      <c r="J642">
        <v>8.8599999999999998E-3</v>
      </c>
    </row>
    <row r="643" spans="1:10">
      <c r="B643" t="s">
        <v>2097</v>
      </c>
      <c r="C643">
        <v>8961.33</v>
      </c>
      <c r="D643">
        <v>10753.6</v>
      </c>
      <c r="E643">
        <v>1.7669999999999999</v>
      </c>
      <c r="F643">
        <v>2.12</v>
      </c>
      <c r="G643" t="s">
        <v>2548</v>
      </c>
      <c r="H643">
        <v>40745.458333333336</v>
      </c>
      <c r="I643">
        <v>33.31</v>
      </c>
      <c r="J643">
        <v>8.8599999999999998E-3</v>
      </c>
    </row>
    <row r="644" spans="1:10">
      <c r="B644" t="s">
        <v>2098</v>
      </c>
      <c r="C644">
        <v>12613.63</v>
      </c>
      <c r="D644">
        <v>15136.36</v>
      </c>
      <c r="E644">
        <v>3.0070000000000001</v>
      </c>
      <c r="F644">
        <v>3.6080000000000001</v>
      </c>
      <c r="G644" t="s">
        <v>2548</v>
      </c>
      <c r="H644">
        <v>40745.552083333336</v>
      </c>
      <c r="I644">
        <v>37.049999999999997</v>
      </c>
      <c r="J644">
        <v>8.8599999999999998E-3</v>
      </c>
    </row>
    <row r="645" spans="1:10">
      <c r="B645" t="s">
        <v>2099</v>
      </c>
      <c r="C645">
        <v>12350.91</v>
      </c>
      <c r="D645">
        <v>14821.1</v>
      </c>
      <c r="E645">
        <v>2.9140000000000001</v>
      </c>
      <c r="F645">
        <v>3.4969999999999999</v>
      </c>
      <c r="G645" t="s">
        <v>2548</v>
      </c>
      <c r="H645">
        <v>40745.708333333336</v>
      </c>
      <c r="I645">
        <v>35.06</v>
      </c>
      <c r="J645">
        <v>8.8599999999999998E-3</v>
      </c>
    </row>
    <row r="646" spans="1:10">
      <c r="B646" t="s">
        <v>2100</v>
      </c>
      <c r="C646">
        <v>41172.17</v>
      </c>
      <c r="D646">
        <v>49406.6</v>
      </c>
      <c r="E646">
        <v>3.2890000000000001</v>
      </c>
      <c r="F646">
        <v>3.9470000000000001</v>
      </c>
      <c r="G646" t="s">
        <v>2548</v>
      </c>
      <c r="H646">
        <v>40745.333333333336</v>
      </c>
      <c r="I646">
        <v>23.39</v>
      </c>
      <c r="J646">
        <v>8.8599999999999998E-3</v>
      </c>
    </row>
    <row r="647" spans="1:10">
      <c r="B647" t="s">
        <v>2106</v>
      </c>
      <c r="C647">
        <v>11925.63</v>
      </c>
      <c r="D647">
        <v>14310.75</v>
      </c>
      <c r="E647">
        <v>2.8980000000000001</v>
      </c>
      <c r="F647">
        <v>3.4780000000000002</v>
      </c>
      <c r="G647" t="s">
        <v>2548</v>
      </c>
      <c r="H647">
        <v>40745.625</v>
      </c>
      <c r="I647">
        <v>37.78</v>
      </c>
      <c r="J647">
        <v>8.8599999999999998E-3</v>
      </c>
    </row>
    <row r="648" spans="1:10">
      <c r="B648" t="s">
        <v>2107</v>
      </c>
      <c r="C648">
        <v>8617.48</v>
      </c>
      <c r="D648">
        <v>10340.98</v>
      </c>
      <c r="E648">
        <v>1.639</v>
      </c>
      <c r="F648">
        <v>1.9670000000000001</v>
      </c>
      <c r="G648" t="s">
        <v>2548</v>
      </c>
      <c r="H648">
        <v>40745.385416666664</v>
      </c>
      <c r="I648">
        <v>27.91</v>
      </c>
      <c r="J648">
        <v>8.8599999999999998E-3</v>
      </c>
    </row>
    <row r="649" spans="1:10">
      <c r="B649" t="s">
        <v>2108</v>
      </c>
      <c r="C649">
        <v>14273.35</v>
      </c>
      <c r="D649">
        <v>17128.02</v>
      </c>
      <c r="E649">
        <v>3.4039999999999999</v>
      </c>
      <c r="F649">
        <v>4.085</v>
      </c>
      <c r="G649" t="s">
        <v>2548</v>
      </c>
      <c r="H649">
        <v>40745.572916666664</v>
      </c>
      <c r="I649">
        <v>37.54</v>
      </c>
      <c r="J649">
        <v>8.8599999999999998E-3</v>
      </c>
    </row>
    <row r="650" spans="1:10">
      <c r="B650" t="s">
        <v>2109</v>
      </c>
      <c r="C650">
        <v>13453.72</v>
      </c>
      <c r="D650">
        <v>16144.46</v>
      </c>
      <c r="E650">
        <v>3.1890000000000001</v>
      </c>
      <c r="F650">
        <v>3.827</v>
      </c>
      <c r="G650" t="s">
        <v>2548</v>
      </c>
      <c r="H650">
        <v>40745.708333333336</v>
      </c>
      <c r="I650">
        <v>35.06</v>
      </c>
      <c r="J650">
        <v>8.8599999999999998E-3</v>
      </c>
    </row>
    <row r="651" spans="1:10">
      <c r="B651" t="s">
        <v>2110</v>
      </c>
      <c r="C651">
        <v>42926.82</v>
      </c>
      <c r="D651">
        <v>51512.19</v>
      </c>
      <c r="E651">
        <v>4.819</v>
      </c>
      <c r="F651">
        <v>5.7830000000000004</v>
      </c>
      <c r="G651" t="s">
        <v>2548</v>
      </c>
      <c r="H651">
        <v>40745.614583333336</v>
      </c>
      <c r="I651">
        <v>37.78</v>
      </c>
      <c r="J651">
        <v>8.8599999999999998E-3</v>
      </c>
    </row>
    <row r="654" spans="1:10">
      <c r="A654" t="s">
        <v>2337</v>
      </c>
    </row>
    <row r="656" spans="1:10">
      <c r="C656" t="s">
        <v>2329</v>
      </c>
      <c r="D656" t="s">
        <v>2330</v>
      </c>
      <c r="E656" t="s">
        <v>2331</v>
      </c>
      <c r="F656" t="s">
        <v>2332</v>
      </c>
      <c r="G656" t="s">
        <v>2333</v>
      </c>
      <c r="H656" t="s">
        <v>2334</v>
      </c>
      <c r="I656" t="s">
        <v>2335</v>
      </c>
      <c r="J656" t="s">
        <v>2336</v>
      </c>
    </row>
    <row r="657" spans="2:10">
      <c r="B657" t="s">
        <v>2086</v>
      </c>
      <c r="C657">
        <v>6700.98</v>
      </c>
      <c r="D657">
        <v>8041.18</v>
      </c>
      <c r="E657">
        <v>0.186</v>
      </c>
      <c r="F657">
        <v>0.224</v>
      </c>
      <c r="G657" t="s">
        <v>2547</v>
      </c>
      <c r="H657">
        <v>40898.354166666664</v>
      </c>
      <c r="I657">
        <v>-3.33</v>
      </c>
      <c r="J657">
        <v>2.8600000000000001E-3</v>
      </c>
    </row>
    <row r="658" spans="2:10">
      <c r="B658" t="s">
        <v>2087</v>
      </c>
      <c r="C658">
        <v>4388.0600000000004</v>
      </c>
      <c r="D658">
        <v>5265.67</v>
      </c>
      <c r="E658">
        <v>0.122</v>
      </c>
      <c r="F658">
        <v>0.14599999999999999</v>
      </c>
      <c r="G658" t="s">
        <v>2547</v>
      </c>
      <c r="H658">
        <v>40898.354166666664</v>
      </c>
      <c r="I658">
        <v>-3.33</v>
      </c>
      <c r="J658">
        <v>2.8600000000000001E-3</v>
      </c>
    </row>
    <row r="659" spans="2:10">
      <c r="B659" t="s">
        <v>2088</v>
      </c>
      <c r="C659">
        <v>6596.79</v>
      </c>
      <c r="D659">
        <v>7916.14</v>
      </c>
      <c r="E659">
        <v>0.183</v>
      </c>
      <c r="F659">
        <v>0.22</v>
      </c>
      <c r="G659" t="s">
        <v>2547</v>
      </c>
      <c r="H659">
        <v>40898.354166666664</v>
      </c>
      <c r="I659">
        <v>-3.33</v>
      </c>
      <c r="J659">
        <v>2.8600000000000001E-3</v>
      </c>
    </row>
    <row r="660" spans="2:10">
      <c r="B660" t="s">
        <v>2089</v>
      </c>
      <c r="C660">
        <v>4430.0600000000004</v>
      </c>
      <c r="D660">
        <v>5316.07</v>
      </c>
      <c r="E660">
        <v>0.123</v>
      </c>
      <c r="F660">
        <v>0.14799999999999999</v>
      </c>
      <c r="G660" t="s">
        <v>2547</v>
      </c>
      <c r="H660">
        <v>40898.354166666664</v>
      </c>
      <c r="I660">
        <v>-3.33</v>
      </c>
      <c r="J660">
        <v>2.8600000000000001E-3</v>
      </c>
    </row>
    <row r="661" spans="2:10">
      <c r="B661" t="s">
        <v>2090</v>
      </c>
      <c r="C661">
        <v>4600.3900000000003</v>
      </c>
      <c r="D661">
        <v>5520.47</v>
      </c>
      <c r="E661">
        <v>0.127</v>
      </c>
      <c r="F661">
        <v>0.86599999999999999</v>
      </c>
      <c r="G661" t="s">
        <v>2547</v>
      </c>
      <c r="H661">
        <v>40898.333333333336</v>
      </c>
      <c r="I661">
        <v>-3.33</v>
      </c>
      <c r="J661">
        <v>2.8600000000000001E-3</v>
      </c>
    </row>
    <row r="662" spans="2:10">
      <c r="B662" t="s">
        <v>2096</v>
      </c>
      <c r="C662">
        <v>6927.22</v>
      </c>
      <c r="D662">
        <v>8312.67</v>
      </c>
      <c r="E662">
        <v>0.193</v>
      </c>
      <c r="F662">
        <v>0.23100000000000001</v>
      </c>
      <c r="G662" t="s">
        <v>2547</v>
      </c>
      <c r="H662">
        <v>40898.354166666664</v>
      </c>
      <c r="I662">
        <v>-3.33</v>
      </c>
      <c r="J662">
        <v>2.8600000000000001E-3</v>
      </c>
    </row>
    <row r="663" spans="2:10">
      <c r="B663" t="s">
        <v>2097</v>
      </c>
      <c r="C663">
        <v>4535.79</v>
      </c>
      <c r="D663">
        <v>5442.95</v>
      </c>
      <c r="E663">
        <v>0.126</v>
      </c>
      <c r="F663">
        <v>0.151</v>
      </c>
      <c r="G663" t="s">
        <v>2547</v>
      </c>
      <c r="H663">
        <v>40898.354166666664</v>
      </c>
      <c r="I663">
        <v>-3.33</v>
      </c>
      <c r="J663">
        <v>2.8600000000000001E-3</v>
      </c>
    </row>
    <row r="664" spans="2:10">
      <c r="B664" t="s">
        <v>2098</v>
      </c>
      <c r="C664">
        <v>6782.04</v>
      </c>
      <c r="D664">
        <v>8138.44</v>
      </c>
      <c r="E664">
        <v>0.189</v>
      </c>
      <c r="F664">
        <v>0.22600000000000001</v>
      </c>
      <c r="G664" t="s">
        <v>2547</v>
      </c>
      <c r="H664">
        <v>40898.354166666664</v>
      </c>
      <c r="I664">
        <v>-3.33</v>
      </c>
      <c r="J664">
        <v>2.8600000000000001E-3</v>
      </c>
    </row>
    <row r="665" spans="2:10">
      <c r="B665" t="s">
        <v>2099</v>
      </c>
      <c r="C665">
        <v>4586.87</v>
      </c>
      <c r="D665">
        <v>5504.24</v>
      </c>
      <c r="E665">
        <v>0.127</v>
      </c>
      <c r="F665">
        <v>0.153</v>
      </c>
      <c r="G665" t="s">
        <v>2547</v>
      </c>
      <c r="H665">
        <v>40898.354166666664</v>
      </c>
      <c r="I665">
        <v>-3.33</v>
      </c>
      <c r="J665">
        <v>2.8600000000000001E-3</v>
      </c>
    </row>
    <row r="666" spans="2:10">
      <c r="B666" t="s">
        <v>2100</v>
      </c>
      <c r="C666">
        <v>3679.18</v>
      </c>
      <c r="D666">
        <v>4415.0200000000004</v>
      </c>
      <c r="E666">
        <v>0.10199999999999999</v>
      </c>
      <c r="F666">
        <v>0.86599999999999999</v>
      </c>
      <c r="G666" t="s">
        <v>2547</v>
      </c>
      <c r="H666">
        <v>40898.333333333336</v>
      </c>
      <c r="I666">
        <v>-3.33</v>
      </c>
      <c r="J666">
        <v>2.8600000000000001E-3</v>
      </c>
    </row>
    <row r="667" spans="2:10">
      <c r="B667" t="s">
        <v>2106</v>
      </c>
      <c r="C667">
        <v>9033.09</v>
      </c>
      <c r="D667">
        <v>10839.71</v>
      </c>
      <c r="E667">
        <v>0.25</v>
      </c>
      <c r="F667">
        <v>0.3</v>
      </c>
      <c r="G667" t="s">
        <v>2547</v>
      </c>
      <c r="H667">
        <v>40898.354166666664</v>
      </c>
      <c r="I667">
        <v>-3.33</v>
      </c>
      <c r="J667">
        <v>2.8600000000000001E-3</v>
      </c>
    </row>
    <row r="668" spans="2:10">
      <c r="B668" t="s">
        <v>2107</v>
      </c>
      <c r="C668">
        <v>5849.02</v>
      </c>
      <c r="D668">
        <v>7018.83</v>
      </c>
      <c r="E668">
        <v>0.16200000000000001</v>
      </c>
      <c r="F668">
        <v>0.19400000000000001</v>
      </c>
      <c r="G668" t="s">
        <v>2547</v>
      </c>
      <c r="H668">
        <v>40898.354166666664</v>
      </c>
      <c r="I668">
        <v>-3.33</v>
      </c>
      <c r="J668">
        <v>2.8600000000000001E-3</v>
      </c>
    </row>
    <row r="669" spans="2:10">
      <c r="B669" t="s">
        <v>2108</v>
      </c>
      <c r="C669">
        <v>8874.85</v>
      </c>
      <c r="D669">
        <v>10649.82</v>
      </c>
      <c r="E669">
        <v>0.246</v>
      </c>
      <c r="F669">
        <v>0.29499999999999998</v>
      </c>
      <c r="G669" t="s">
        <v>2547</v>
      </c>
      <c r="H669">
        <v>40898.354166666664</v>
      </c>
      <c r="I669">
        <v>-3.33</v>
      </c>
      <c r="J669">
        <v>2.8600000000000001E-3</v>
      </c>
    </row>
    <row r="670" spans="2:10">
      <c r="B670" t="s">
        <v>2109</v>
      </c>
      <c r="C670">
        <v>5895.3</v>
      </c>
      <c r="D670">
        <v>7074.36</v>
      </c>
      <c r="E670">
        <v>0.16300000000000001</v>
      </c>
      <c r="F670">
        <v>0.19600000000000001</v>
      </c>
      <c r="G670" t="s">
        <v>2547</v>
      </c>
      <c r="H670">
        <v>40898.354166666664</v>
      </c>
      <c r="I670">
        <v>-3.33</v>
      </c>
      <c r="J670">
        <v>2.8600000000000001E-3</v>
      </c>
    </row>
    <row r="671" spans="2:10">
      <c r="B671" t="s">
        <v>2110</v>
      </c>
      <c r="C671">
        <v>15489.49</v>
      </c>
      <c r="D671">
        <v>18587.39</v>
      </c>
      <c r="E671">
        <v>0.41699999999999998</v>
      </c>
      <c r="F671">
        <v>0.86599999999999999</v>
      </c>
      <c r="G671" t="s">
        <v>2547</v>
      </c>
      <c r="H671">
        <v>40898.333333333336</v>
      </c>
      <c r="I671">
        <v>-3.33</v>
      </c>
      <c r="J671">
        <v>2.8600000000000001E-3</v>
      </c>
    </row>
    <row r="674" spans="1:9">
      <c r="A674" t="s">
        <v>2338</v>
      </c>
    </row>
    <row r="676" spans="1:9">
      <c r="C676" t="s">
        <v>2339</v>
      </c>
      <c r="D676" t="s">
        <v>2340</v>
      </c>
      <c r="E676" t="s">
        <v>2341</v>
      </c>
      <c r="F676" t="s">
        <v>2342</v>
      </c>
    </row>
    <row r="677" spans="1:9">
      <c r="B677" t="s">
        <v>2343</v>
      </c>
      <c r="C677">
        <v>42.96</v>
      </c>
      <c r="D677">
        <v>42.96</v>
      </c>
      <c r="E677">
        <v>5.09</v>
      </c>
      <c r="F677">
        <v>5.09</v>
      </c>
    </row>
    <row r="680" spans="1:9">
      <c r="A680" t="s">
        <v>1914</v>
      </c>
    </row>
    <row r="681" spans="1:9">
      <c r="A681" t="s">
        <v>1915</v>
      </c>
      <c r="B681" t="s">
        <v>2344</v>
      </c>
    </row>
    <row r="682" spans="1:9">
      <c r="A682" t="s">
        <v>1917</v>
      </c>
      <c r="B682" t="s">
        <v>1918</v>
      </c>
    </row>
    <row r="683" spans="1:9">
      <c r="A683" t="s">
        <v>2345</v>
      </c>
    </row>
    <row r="685" spans="1:9">
      <c r="C685" t="s">
        <v>2346</v>
      </c>
      <c r="D685" t="s">
        <v>2347</v>
      </c>
      <c r="E685" t="s">
        <v>2348</v>
      </c>
      <c r="F685" t="s">
        <v>2349</v>
      </c>
      <c r="G685" t="s">
        <v>2350</v>
      </c>
      <c r="H685" t="s">
        <v>2351</v>
      </c>
      <c r="I685" t="s">
        <v>2352</v>
      </c>
    </row>
    <row r="686" spans="1:9">
      <c r="B686" t="s">
        <v>2353</v>
      </c>
      <c r="C686" t="s">
        <v>2354</v>
      </c>
      <c r="D686">
        <v>4.25</v>
      </c>
      <c r="E686">
        <v>42.96</v>
      </c>
      <c r="F686" t="s">
        <v>212</v>
      </c>
    </row>
    <row r="689" spans="1:8">
      <c r="A689" t="s">
        <v>2355</v>
      </c>
    </row>
    <row r="691" spans="1:8">
      <c r="C691" t="s">
        <v>2356</v>
      </c>
      <c r="D691" t="s">
        <v>2357</v>
      </c>
      <c r="E691" t="s">
        <v>2358</v>
      </c>
      <c r="F691" t="s">
        <v>2359</v>
      </c>
      <c r="G691" t="s">
        <v>2360</v>
      </c>
      <c r="H691" t="s">
        <v>2361</v>
      </c>
    </row>
    <row r="692" spans="1:8">
      <c r="B692" t="s">
        <v>2</v>
      </c>
    </row>
    <row r="695" spans="1:8">
      <c r="A695" t="s">
        <v>2052</v>
      </c>
    </row>
    <row r="697" spans="1:8">
      <c r="C697" t="s">
        <v>2362</v>
      </c>
      <c r="D697" t="s">
        <v>2363</v>
      </c>
      <c r="E697" t="s">
        <v>2364</v>
      </c>
    </row>
    <row r="698" spans="1:8">
      <c r="B698" t="s">
        <v>2086</v>
      </c>
      <c r="C698">
        <v>13.25</v>
      </c>
      <c r="D698">
        <v>18</v>
      </c>
      <c r="E698">
        <v>13.25</v>
      </c>
    </row>
    <row r="699" spans="1:8">
      <c r="B699" t="s">
        <v>2087</v>
      </c>
      <c r="C699">
        <v>13.25</v>
      </c>
      <c r="D699">
        <v>18</v>
      </c>
      <c r="E699">
        <v>13.25</v>
      </c>
    </row>
    <row r="700" spans="1:8">
      <c r="B700" t="s">
        <v>2088</v>
      </c>
      <c r="C700">
        <v>13</v>
      </c>
      <c r="D700">
        <v>18</v>
      </c>
      <c r="E700">
        <v>13</v>
      </c>
    </row>
    <row r="701" spans="1:8">
      <c r="B701" t="s">
        <v>2089</v>
      </c>
      <c r="C701">
        <v>13.25</v>
      </c>
      <c r="D701">
        <v>18</v>
      </c>
      <c r="E701">
        <v>13.25</v>
      </c>
    </row>
    <row r="702" spans="1:8">
      <c r="B702" t="s">
        <v>2090</v>
      </c>
      <c r="C702">
        <v>6.75</v>
      </c>
      <c r="D702">
        <v>18</v>
      </c>
      <c r="E702">
        <v>6.75</v>
      </c>
    </row>
    <row r="703" spans="1:8">
      <c r="B703" t="s">
        <v>2096</v>
      </c>
      <c r="C703">
        <v>5</v>
      </c>
      <c r="D703">
        <v>17.25</v>
      </c>
      <c r="E703">
        <v>5</v>
      </c>
    </row>
    <row r="704" spans="1:8">
      <c r="B704" t="s">
        <v>2097</v>
      </c>
      <c r="C704">
        <v>7</v>
      </c>
      <c r="D704">
        <v>17</v>
      </c>
      <c r="E704">
        <v>7</v>
      </c>
    </row>
    <row r="705" spans="2:5">
      <c r="B705" t="s">
        <v>2098</v>
      </c>
      <c r="C705">
        <v>4.5</v>
      </c>
      <c r="D705">
        <v>16.25</v>
      </c>
      <c r="E705">
        <v>4.5</v>
      </c>
    </row>
    <row r="706" spans="2:5">
      <c r="B706" t="s">
        <v>2099</v>
      </c>
      <c r="C706">
        <v>7</v>
      </c>
      <c r="D706">
        <v>17.75</v>
      </c>
      <c r="E706">
        <v>7</v>
      </c>
    </row>
    <row r="707" spans="2:5">
      <c r="B707" t="s">
        <v>2100</v>
      </c>
      <c r="C707">
        <v>0.25</v>
      </c>
      <c r="D707">
        <v>17.25</v>
      </c>
      <c r="E707">
        <v>0</v>
      </c>
    </row>
    <row r="708" spans="2:5">
      <c r="B708" t="s">
        <v>2106</v>
      </c>
      <c r="C708">
        <v>8</v>
      </c>
      <c r="D708">
        <v>17.25</v>
      </c>
      <c r="E708">
        <v>8</v>
      </c>
    </row>
    <row r="709" spans="2:5">
      <c r="B709" t="s">
        <v>2107</v>
      </c>
      <c r="C709">
        <v>12.5</v>
      </c>
      <c r="D709">
        <v>18</v>
      </c>
      <c r="E709">
        <v>12.5</v>
      </c>
    </row>
    <row r="710" spans="2:5">
      <c r="B710" t="s">
        <v>2108</v>
      </c>
      <c r="C710">
        <v>7.25</v>
      </c>
      <c r="D710">
        <v>16</v>
      </c>
      <c r="E710">
        <v>7.25</v>
      </c>
    </row>
    <row r="711" spans="2:5">
      <c r="B711" t="s">
        <v>2109</v>
      </c>
      <c r="C711">
        <v>7.75</v>
      </c>
      <c r="D711">
        <v>17.5</v>
      </c>
      <c r="E711">
        <v>7.75</v>
      </c>
    </row>
    <row r="712" spans="2:5">
      <c r="B712" t="s">
        <v>2110</v>
      </c>
      <c r="C712">
        <v>2.25</v>
      </c>
      <c r="D712">
        <v>16.75</v>
      </c>
      <c r="E712">
        <v>2</v>
      </c>
    </row>
    <row r="713" spans="2:5">
      <c r="B713" t="s">
        <v>2091</v>
      </c>
      <c r="C713">
        <v>0</v>
      </c>
      <c r="D713">
        <v>0</v>
      </c>
      <c r="E713">
        <v>0</v>
      </c>
    </row>
    <row r="714" spans="2:5">
      <c r="B714" t="s">
        <v>2092</v>
      </c>
      <c r="C714">
        <v>0</v>
      </c>
      <c r="D714">
        <v>0</v>
      </c>
      <c r="E714">
        <v>0</v>
      </c>
    </row>
    <row r="715" spans="2:5">
      <c r="B715" t="s">
        <v>2093</v>
      </c>
      <c r="C715">
        <v>0</v>
      </c>
      <c r="D715">
        <v>0</v>
      </c>
      <c r="E715">
        <v>0</v>
      </c>
    </row>
    <row r="716" spans="2:5">
      <c r="B716" t="s">
        <v>2094</v>
      </c>
      <c r="C716">
        <v>0</v>
      </c>
      <c r="D716">
        <v>0</v>
      </c>
      <c r="E716">
        <v>0</v>
      </c>
    </row>
    <row r="717" spans="2:5">
      <c r="B717" t="s">
        <v>2095</v>
      </c>
      <c r="C717">
        <v>0</v>
      </c>
      <c r="D717">
        <v>0</v>
      </c>
      <c r="E717">
        <v>0</v>
      </c>
    </row>
    <row r="718" spans="2:5">
      <c r="B718" t="s">
        <v>2101</v>
      </c>
      <c r="C718">
        <v>0</v>
      </c>
      <c r="D718">
        <v>0</v>
      </c>
      <c r="E718">
        <v>0</v>
      </c>
    </row>
    <row r="719" spans="2:5">
      <c r="B719" t="s">
        <v>2102</v>
      </c>
      <c r="C719">
        <v>0</v>
      </c>
      <c r="D719">
        <v>0</v>
      </c>
      <c r="E719">
        <v>0</v>
      </c>
    </row>
    <row r="720" spans="2:5">
      <c r="B720" t="s">
        <v>2103</v>
      </c>
      <c r="C720">
        <v>0</v>
      </c>
      <c r="D720">
        <v>0</v>
      </c>
      <c r="E720">
        <v>0</v>
      </c>
    </row>
    <row r="721" spans="2:5">
      <c r="B721" t="s">
        <v>2104</v>
      </c>
      <c r="C721">
        <v>0</v>
      </c>
      <c r="D721">
        <v>0</v>
      </c>
      <c r="E721">
        <v>0</v>
      </c>
    </row>
    <row r="722" spans="2:5">
      <c r="B722" t="s">
        <v>2105</v>
      </c>
      <c r="C722">
        <v>0</v>
      </c>
      <c r="D722">
        <v>0</v>
      </c>
      <c r="E722">
        <v>0</v>
      </c>
    </row>
    <row r="723" spans="2:5">
      <c r="B723" t="s">
        <v>2111</v>
      </c>
      <c r="C723">
        <v>0</v>
      </c>
      <c r="D723">
        <v>0</v>
      </c>
      <c r="E723">
        <v>0</v>
      </c>
    </row>
    <row r="724" spans="2:5">
      <c r="B724" t="s">
        <v>2112</v>
      </c>
      <c r="C724">
        <v>0</v>
      </c>
      <c r="D724">
        <v>0</v>
      </c>
      <c r="E724">
        <v>0</v>
      </c>
    </row>
    <row r="725" spans="2:5">
      <c r="B725" t="s">
        <v>2113</v>
      </c>
      <c r="C725">
        <v>0</v>
      </c>
      <c r="D725">
        <v>0</v>
      </c>
      <c r="E725">
        <v>0</v>
      </c>
    </row>
    <row r="726" spans="2:5">
      <c r="B726" t="s">
        <v>2114</v>
      </c>
      <c r="C726">
        <v>0</v>
      </c>
      <c r="D726">
        <v>0</v>
      </c>
      <c r="E726">
        <v>0</v>
      </c>
    </row>
    <row r="727" spans="2:5">
      <c r="B727" t="s">
        <v>2115</v>
      </c>
      <c r="C727">
        <v>0</v>
      </c>
      <c r="D727">
        <v>0</v>
      </c>
      <c r="E727">
        <v>0</v>
      </c>
    </row>
    <row r="728" spans="2:5">
      <c r="B728" t="s">
        <v>2880</v>
      </c>
      <c r="C728">
        <v>0</v>
      </c>
      <c r="D728">
        <v>0</v>
      </c>
      <c r="E728">
        <v>0</v>
      </c>
    </row>
    <row r="729" spans="2:5">
      <c r="B729" t="s">
        <v>2881</v>
      </c>
      <c r="C729">
        <v>0</v>
      </c>
      <c r="D729">
        <v>0</v>
      </c>
      <c r="E729">
        <v>0</v>
      </c>
    </row>
    <row r="730" spans="2:5">
      <c r="B730" t="s">
        <v>2882</v>
      </c>
      <c r="C730">
        <v>0</v>
      </c>
      <c r="D730">
        <v>0</v>
      </c>
      <c r="E730">
        <v>0</v>
      </c>
    </row>
    <row r="731" spans="2:5">
      <c r="B731" t="s">
        <v>2883</v>
      </c>
      <c r="C731">
        <v>0</v>
      </c>
      <c r="D731">
        <v>0</v>
      </c>
      <c r="E731">
        <v>0</v>
      </c>
    </row>
    <row r="732" spans="2:5">
      <c r="B732" t="s">
        <v>2884</v>
      </c>
      <c r="C732">
        <v>0</v>
      </c>
      <c r="D732">
        <v>0</v>
      </c>
      <c r="E732">
        <v>0</v>
      </c>
    </row>
    <row r="733" spans="2:5">
      <c r="B733" t="s">
        <v>2885</v>
      </c>
      <c r="C733">
        <v>0</v>
      </c>
      <c r="D733">
        <v>0</v>
      </c>
      <c r="E733">
        <v>0</v>
      </c>
    </row>
    <row r="734" spans="2:5">
      <c r="B734" t="s">
        <v>2886</v>
      </c>
      <c r="C734">
        <v>0</v>
      </c>
      <c r="D734">
        <v>0</v>
      </c>
      <c r="E734">
        <v>0</v>
      </c>
    </row>
    <row r="735" spans="2:5">
      <c r="B735" t="s">
        <v>2887</v>
      </c>
      <c r="C735">
        <v>0</v>
      </c>
      <c r="D735">
        <v>0</v>
      </c>
      <c r="E735">
        <v>0</v>
      </c>
    </row>
    <row r="736" spans="2:5">
      <c r="B736" t="s">
        <v>2888</v>
      </c>
      <c r="C736">
        <v>0</v>
      </c>
      <c r="D736">
        <v>0</v>
      </c>
      <c r="E736">
        <v>0</v>
      </c>
    </row>
    <row r="737" spans="1:6">
      <c r="B737" t="s">
        <v>2889</v>
      </c>
      <c r="C737">
        <v>0</v>
      </c>
      <c r="D737">
        <v>0</v>
      </c>
      <c r="E737">
        <v>0</v>
      </c>
    </row>
    <row r="738" spans="1:6">
      <c r="B738" t="s">
        <v>2890</v>
      </c>
      <c r="C738">
        <v>0</v>
      </c>
      <c r="D738">
        <v>0</v>
      </c>
      <c r="E738">
        <v>0</v>
      </c>
    </row>
    <row r="739" spans="1:6">
      <c r="B739" t="s">
        <v>2891</v>
      </c>
      <c r="C739">
        <v>0</v>
      </c>
      <c r="D739">
        <v>0</v>
      </c>
      <c r="E739">
        <v>0</v>
      </c>
    </row>
    <row r="740" spans="1:6">
      <c r="B740" t="s">
        <v>2892</v>
      </c>
      <c r="C740">
        <v>0</v>
      </c>
      <c r="D740">
        <v>0</v>
      </c>
      <c r="E740">
        <v>0</v>
      </c>
    </row>
    <row r="741" spans="1:6">
      <c r="B741" t="s">
        <v>2893</v>
      </c>
      <c r="C741">
        <v>0</v>
      </c>
      <c r="D741">
        <v>0</v>
      </c>
      <c r="E741">
        <v>0</v>
      </c>
    </row>
    <row r="742" spans="1:6">
      <c r="B742" t="s">
        <v>2894</v>
      </c>
      <c r="C742">
        <v>0</v>
      </c>
      <c r="D742">
        <v>0</v>
      </c>
      <c r="E742">
        <v>0</v>
      </c>
    </row>
    <row r="743" spans="1:6">
      <c r="B743" t="s">
        <v>2365</v>
      </c>
      <c r="C743">
        <v>15.25</v>
      </c>
      <c r="D743">
        <v>18</v>
      </c>
      <c r="E743">
        <v>15.25</v>
      </c>
    </row>
    <row r="744" spans="1:6">
      <c r="A744" t="s">
        <v>2963</v>
      </c>
    </row>
    <row r="747" spans="1:6">
      <c r="A747" t="s">
        <v>2366</v>
      </c>
    </row>
    <row r="749" spans="1:6">
      <c r="C749" t="s">
        <v>2367</v>
      </c>
      <c r="D749" t="s">
        <v>2368</v>
      </c>
      <c r="E749" t="s">
        <v>2369</v>
      </c>
      <c r="F749" t="s">
        <v>2370</v>
      </c>
    </row>
    <row r="750" spans="1:6">
      <c r="B750" t="s">
        <v>2086</v>
      </c>
      <c r="C750">
        <v>10.75</v>
      </c>
      <c r="D750">
        <v>1.25</v>
      </c>
      <c r="E750">
        <v>4.75</v>
      </c>
      <c r="F750">
        <v>1.25</v>
      </c>
    </row>
    <row r="751" spans="1:6">
      <c r="B751" t="s">
        <v>2087</v>
      </c>
      <c r="C751">
        <v>10.75</v>
      </c>
      <c r="D751">
        <v>0</v>
      </c>
      <c r="E751">
        <v>4.75</v>
      </c>
      <c r="F751">
        <v>0</v>
      </c>
    </row>
    <row r="752" spans="1:6">
      <c r="B752" t="s">
        <v>2088</v>
      </c>
      <c r="C752">
        <v>10.5</v>
      </c>
      <c r="D752">
        <v>4</v>
      </c>
      <c r="E752">
        <v>4.5</v>
      </c>
      <c r="F752">
        <v>4</v>
      </c>
    </row>
    <row r="753" spans="2:6">
      <c r="B753" t="s">
        <v>2089</v>
      </c>
      <c r="C753">
        <v>10.5</v>
      </c>
      <c r="D753">
        <v>2.25</v>
      </c>
      <c r="E753">
        <v>4.5</v>
      </c>
      <c r="F753">
        <v>2.25</v>
      </c>
    </row>
    <row r="754" spans="2:6">
      <c r="B754" t="s">
        <v>2090</v>
      </c>
      <c r="C754">
        <v>4.5</v>
      </c>
      <c r="D754">
        <v>0</v>
      </c>
      <c r="E754">
        <v>4.5</v>
      </c>
      <c r="F754">
        <v>0</v>
      </c>
    </row>
    <row r="755" spans="2:6">
      <c r="B755" t="s">
        <v>2096</v>
      </c>
      <c r="C755">
        <v>6.5</v>
      </c>
      <c r="D755">
        <v>2.75</v>
      </c>
      <c r="E755">
        <v>2.75</v>
      </c>
      <c r="F755">
        <v>2.75</v>
      </c>
    </row>
    <row r="756" spans="2:6">
      <c r="B756" t="s">
        <v>2097</v>
      </c>
      <c r="C756">
        <v>9</v>
      </c>
      <c r="D756">
        <v>2</v>
      </c>
      <c r="E756">
        <v>3</v>
      </c>
      <c r="F756">
        <v>2</v>
      </c>
    </row>
    <row r="757" spans="2:6">
      <c r="B757" t="s">
        <v>2098</v>
      </c>
      <c r="C757">
        <v>4.75</v>
      </c>
      <c r="D757">
        <v>4.5</v>
      </c>
      <c r="E757">
        <v>2.5</v>
      </c>
      <c r="F757">
        <v>4.5</v>
      </c>
    </row>
    <row r="758" spans="2:6">
      <c r="B758" t="s">
        <v>2099</v>
      </c>
      <c r="C758">
        <v>9.25</v>
      </c>
      <c r="D758">
        <v>2.5</v>
      </c>
      <c r="E758">
        <v>3.25</v>
      </c>
      <c r="F758">
        <v>2.5</v>
      </c>
    </row>
    <row r="759" spans="2:6">
      <c r="B759" t="s">
        <v>2100</v>
      </c>
      <c r="C759">
        <v>0</v>
      </c>
      <c r="D759">
        <v>0.25</v>
      </c>
      <c r="E759">
        <v>0</v>
      </c>
      <c r="F759">
        <v>0.25</v>
      </c>
    </row>
    <row r="760" spans="2:6">
      <c r="B760" t="s">
        <v>2106</v>
      </c>
      <c r="C760">
        <v>10.75</v>
      </c>
      <c r="D760">
        <v>1.25</v>
      </c>
      <c r="E760">
        <v>4.75</v>
      </c>
      <c r="F760">
        <v>1.25</v>
      </c>
    </row>
    <row r="761" spans="2:6">
      <c r="B761" t="s">
        <v>2107</v>
      </c>
      <c r="C761">
        <v>10.75</v>
      </c>
      <c r="D761">
        <v>2.75</v>
      </c>
      <c r="E761">
        <v>4.75</v>
      </c>
      <c r="F761">
        <v>2.75</v>
      </c>
    </row>
    <row r="762" spans="2:6">
      <c r="B762" t="s">
        <v>2108</v>
      </c>
      <c r="C762">
        <v>11.25</v>
      </c>
      <c r="D762">
        <v>4</v>
      </c>
      <c r="E762">
        <v>5.25</v>
      </c>
      <c r="F762">
        <v>4</v>
      </c>
    </row>
    <row r="763" spans="2:6">
      <c r="B763" t="s">
        <v>2109</v>
      </c>
      <c r="C763">
        <v>10.75</v>
      </c>
      <c r="D763">
        <v>1.75</v>
      </c>
      <c r="E763">
        <v>4.75</v>
      </c>
      <c r="F763">
        <v>1.75</v>
      </c>
    </row>
    <row r="764" spans="2:6">
      <c r="B764" t="s">
        <v>2110</v>
      </c>
      <c r="C764">
        <v>1</v>
      </c>
      <c r="D764">
        <v>0.5</v>
      </c>
      <c r="E764">
        <v>1</v>
      </c>
      <c r="F764">
        <v>0.5</v>
      </c>
    </row>
    <row r="765" spans="2:6">
      <c r="B765" t="s">
        <v>2091</v>
      </c>
      <c r="C765">
        <v>0</v>
      </c>
      <c r="D765">
        <v>0</v>
      </c>
      <c r="E765">
        <v>0</v>
      </c>
      <c r="F765">
        <v>0</v>
      </c>
    </row>
    <row r="766" spans="2:6">
      <c r="B766" t="s">
        <v>2092</v>
      </c>
      <c r="C766">
        <v>0</v>
      </c>
      <c r="D766">
        <v>0</v>
      </c>
      <c r="E766">
        <v>0</v>
      </c>
      <c r="F766">
        <v>0</v>
      </c>
    </row>
    <row r="767" spans="2:6">
      <c r="B767" t="s">
        <v>2093</v>
      </c>
      <c r="C767">
        <v>0</v>
      </c>
      <c r="D767">
        <v>0</v>
      </c>
      <c r="E767">
        <v>0</v>
      </c>
      <c r="F767">
        <v>0</v>
      </c>
    </row>
    <row r="768" spans="2:6">
      <c r="B768" t="s">
        <v>2094</v>
      </c>
      <c r="C768">
        <v>0</v>
      </c>
      <c r="D768">
        <v>0</v>
      </c>
      <c r="E768">
        <v>0</v>
      </c>
      <c r="F768">
        <v>0</v>
      </c>
    </row>
    <row r="769" spans="2:6">
      <c r="B769" t="s">
        <v>2095</v>
      </c>
      <c r="C769">
        <v>0</v>
      </c>
      <c r="D769">
        <v>0</v>
      </c>
      <c r="E769">
        <v>0</v>
      </c>
      <c r="F769">
        <v>0</v>
      </c>
    </row>
    <row r="770" spans="2:6">
      <c r="B770" t="s">
        <v>2101</v>
      </c>
      <c r="C770">
        <v>0</v>
      </c>
      <c r="D770">
        <v>0</v>
      </c>
      <c r="E770">
        <v>0</v>
      </c>
      <c r="F770">
        <v>0</v>
      </c>
    </row>
    <row r="771" spans="2:6">
      <c r="B771" t="s">
        <v>2102</v>
      </c>
      <c r="C771">
        <v>0</v>
      </c>
      <c r="D771">
        <v>0</v>
      </c>
      <c r="E771">
        <v>0</v>
      </c>
      <c r="F771">
        <v>0</v>
      </c>
    </row>
    <row r="772" spans="2:6">
      <c r="B772" t="s">
        <v>2103</v>
      </c>
      <c r="C772">
        <v>0</v>
      </c>
      <c r="D772">
        <v>0</v>
      </c>
      <c r="E772">
        <v>0</v>
      </c>
      <c r="F772">
        <v>0</v>
      </c>
    </row>
    <row r="773" spans="2:6">
      <c r="B773" t="s">
        <v>2104</v>
      </c>
      <c r="C773">
        <v>0</v>
      </c>
      <c r="D773">
        <v>0</v>
      </c>
      <c r="E773">
        <v>0</v>
      </c>
      <c r="F773">
        <v>0</v>
      </c>
    </row>
    <row r="774" spans="2:6">
      <c r="B774" t="s">
        <v>2105</v>
      </c>
      <c r="C774">
        <v>0</v>
      </c>
      <c r="D774">
        <v>0</v>
      </c>
      <c r="E774">
        <v>0</v>
      </c>
      <c r="F774">
        <v>0</v>
      </c>
    </row>
    <row r="775" spans="2:6">
      <c r="B775" t="s">
        <v>2111</v>
      </c>
      <c r="C775">
        <v>0</v>
      </c>
      <c r="D775">
        <v>0</v>
      </c>
      <c r="E775">
        <v>0</v>
      </c>
      <c r="F775">
        <v>0</v>
      </c>
    </row>
    <row r="776" spans="2:6">
      <c r="B776" t="s">
        <v>2112</v>
      </c>
      <c r="C776">
        <v>0</v>
      </c>
      <c r="D776">
        <v>0</v>
      </c>
      <c r="E776">
        <v>0</v>
      </c>
      <c r="F776">
        <v>0</v>
      </c>
    </row>
    <row r="777" spans="2:6">
      <c r="B777" t="s">
        <v>2113</v>
      </c>
      <c r="C777">
        <v>0</v>
      </c>
      <c r="D777">
        <v>0</v>
      </c>
      <c r="E777">
        <v>0</v>
      </c>
      <c r="F777">
        <v>0</v>
      </c>
    </row>
    <row r="778" spans="2:6">
      <c r="B778" t="s">
        <v>2114</v>
      </c>
      <c r="C778">
        <v>0</v>
      </c>
      <c r="D778">
        <v>0</v>
      </c>
      <c r="E778">
        <v>0</v>
      </c>
      <c r="F778">
        <v>0</v>
      </c>
    </row>
    <row r="779" spans="2:6">
      <c r="B779" t="s">
        <v>2115</v>
      </c>
      <c r="C779">
        <v>0</v>
      </c>
      <c r="D779">
        <v>0</v>
      </c>
      <c r="E779">
        <v>0</v>
      </c>
      <c r="F779">
        <v>0</v>
      </c>
    </row>
    <row r="780" spans="2:6">
      <c r="B780" t="s">
        <v>2880</v>
      </c>
      <c r="C780">
        <v>0</v>
      </c>
      <c r="D780">
        <v>0</v>
      </c>
      <c r="E780">
        <v>0</v>
      </c>
      <c r="F780">
        <v>0</v>
      </c>
    </row>
    <row r="781" spans="2:6">
      <c r="B781" t="s">
        <v>2881</v>
      </c>
      <c r="C781">
        <v>0</v>
      </c>
      <c r="D781">
        <v>0</v>
      </c>
      <c r="E781">
        <v>0</v>
      </c>
      <c r="F781">
        <v>0</v>
      </c>
    </row>
    <row r="782" spans="2:6">
      <c r="B782" t="s">
        <v>2882</v>
      </c>
      <c r="C782">
        <v>0</v>
      </c>
      <c r="D782">
        <v>0</v>
      </c>
      <c r="E782">
        <v>0</v>
      </c>
      <c r="F782">
        <v>0</v>
      </c>
    </row>
    <row r="783" spans="2:6">
      <c r="B783" t="s">
        <v>2883</v>
      </c>
      <c r="C783">
        <v>0</v>
      </c>
      <c r="D783">
        <v>0</v>
      </c>
      <c r="E783">
        <v>0</v>
      </c>
      <c r="F783">
        <v>0</v>
      </c>
    </row>
    <row r="784" spans="2:6">
      <c r="B784" t="s">
        <v>2884</v>
      </c>
      <c r="C784">
        <v>0</v>
      </c>
      <c r="D784">
        <v>0</v>
      </c>
      <c r="E784">
        <v>0</v>
      </c>
      <c r="F784">
        <v>0</v>
      </c>
    </row>
    <row r="785" spans="1:6">
      <c r="B785" t="s">
        <v>2885</v>
      </c>
      <c r="C785">
        <v>0</v>
      </c>
      <c r="D785">
        <v>0</v>
      </c>
      <c r="E785">
        <v>0</v>
      </c>
      <c r="F785">
        <v>0</v>
      </c>
    </row>
    <row r="786" spans="1:6">
      <c r="B786" t="s">
        <v>2886</v>
      </c>
      <c r="C786">
        <v>0</v>
      </c>
      <c r="D786">
        <v>0</v>
      </c>
      <c r="E786">
        <v>0</v>
      </c>
      <c r="F786">
        <v>0</v>
      </c>
    </row>
    <row r="787" spans="1:6">
      <c r="B787" t="s">
        <v>2887</v>
      </c>
      <c r="C787">
        <v>0</v>
      </c>
      <c r="D787">
        <v>0</v>
      </c>
      <c r="E787">
        <v>0</v>
      </c>
      <c r="F787">
        <v>0</v>
      </c>
    </row>
    <row r="788" spans="1:6">
      <c r="B788" t="s">
        <v>2888</v>
      </c>
      <c r="C788">
        <v>0</v>
      </c>
      <c r="D788">
        <v>0</v>
      </c>
      <c r="E788">
        <v>0</v>
      </c>
      <c r="F788">
        <v>0</v>
      </c>
    </row>
    <row r="789" spans="1:6">
      <c r="B789" t="s">
        <v>2889</v>
      </c>
      <c r="C789">
        <v>0</v>
      </c>
      <c r="D789">
        <v>0</v>
      </c>
      <c r="E789">
        <v>0</v>
      </c>
      <c r="F789">
        <v>0</v>
      </c>
    </row>
    <row r="790" spans="1:6">
      <c r="B790" t="s">
        <v>2890</v>
      </c>
      <c r="C790">
        <v>0</v>
      </c>
      <c r="D790">
        <v>0</v>
      </c>
      <c r="E790">
        <v>0</v>
      </c>
      <c r="F790">
        <v>0</v>
      </c>
    </row>
    <row r="791" spans="1:6">
      <c r="B791" t="s">
        <v>2891</v>
      </c>
      <c r="C791">
        <v>0</v>
      </c>
      <c r="D791">
        <v>0</v>
      </c>
      <c r="E791">
        <v>0</v>
      </c>
      <c r="F791">
        <v>0</v>
      </c>
    </row>
    <row r="792" spans="1:6">
      <c r="B792" t="s">
        <v>2892</v>
      </c>
      <c r="C792">
        <v>0</v>
      </c>
      <c r="D792">
        <v>0</v>
      </c>
      <c r="E792">
        <v>0</v>
      </c>
      <c r="F792">
        <v>0</v>
      </c>
    </row>
    <row r="793" spans="1:6">
      <c r="B793" t="s">
        <v>2893</v>
      </c>
      <c r="C793">
        <v>0</v>
      </c>
      <c r="D793">
        <v>0</v>
      </c>
      <c r="E793">
        <v>0</v>
      </c>
      <c r="F793">
        <v>0</v>
      </c>
    </row>
    <row r="794" spans="1:6">
      <c r="B794" t="s">
        <v>2894</v>
      </c>
      <c r="C794">
        <v>0</v>
      </c>
      <c r="D794">
        <v>0</v>
      </c>
      <c r="E794">
        <v>0</v>
      </c>
      <c r="F794">
        <v>0</v>
      </c>
    </row>
    <row r="795" spans="1:6">
      <c r="B795" t="s">
        <v>2365</v>
      </c>
      <c r="C795">
        <v>13.25</v>
      </c>
      <c r="D795">
        <v>6.5</v>
      </c>
      <c r="E795">
        <v>7.25</v>
      </c>
      <c r="F795">
        <v>6.5</v>
      </c>
    </row>
    <row r="796" spans="1:6">
      <c r="A796" t="s">
        <v>2963</v>
      </c>
    </row>
    <row r="799" spans="1:6">
      <c r="A799" t="s">
        <v>1914</v>
      </c>
    </row>
    <row r="800" spans="1:6">
      <c r="A800" t="s">
        <v>1915</v>
      </c>
      <c r="B800" t="s">
        <v>2371</v>
      </c>
    </row>
    <row r="801" spans="1:8">
      <c r="A801" t="s">
        <v>1917</v>
      </c>
      <c r="B801" t="s">
        <v>1918</v>
      </c>
    </row>
    <row r="802" spans="1:8">
      <c r="A802" t="s">
        <v>2372</v>
      </c>
    </row>
    <row r="804" spans="1:8">
      <c r="C804" t="s">
        <v>2373</v>
      </c>
      <c r="D804" t="s">
        <v>2374</v>
      </c>
      <c r="E804" t="s">
        <v>2375</v>
      </c>
      <c r="F804" t="s">
        <v>2376</v>
      </c>
      <c r="G804" t="s">
        <v>2377</v>
      </c>
      <c r="H804" t="s">
        <v>2378</v>
      </c>
    </row>
    <row r="805" spans="1:8">
      <c r="B805" t="s">
        <v>2086</v>
      </c>
      <c r="C805">
        <v>15.7</v>
      </c>
      <c r="D805">
        <v>23.72</v>
      </c>
      <c r="E805">
        <v>605.04</v>
      </c>
      <c r="F805">
        <v>0.16</v>
      </c>
      <c r="G805">
        <v>7.5999999999999998E-2</v>
      </c>
      <c r="H805">
        <v>0</v>
      </c>
    </row>
    <row r="806" spans="1:8">
      <c r="B806" t="s">
        <v>2087</v>
      </c>
      <c r="C806">
        <v>9.9700000000000006</v>
      </c>
      <c r="D806">
        <v>15.06</v>
      </c>
      <c r="E806">
        <v>384.24</v>
      </c>
      <c r="F806">
        <v>0.19700000000000001</v>
      </c>
      <c r="G806">
        <v>0.08</v>
      </c>
      <c r="H806">
        <v>0</v>
      </c>
    </row>
    <row r="807" spans="1:8">
      <c r="B807" t="s">
        <v>2088</v>
      </c>
      <c r="C807">
        <v>15.7</v>
      </c>
      <c r="D807">
        <v>23.72</v>
      </c>
      <c r="E807">
        <v>605.04</v>
      </c>
      <c r="F807">
        <v>0.22700000000000001</v>
      </c>
      <c r="G807">
        <v>7.5999999999999998E-2</v>
      </c>
      <c r="H807">
        <v>0</v>
      </c>
    </row>
    <row r="808" spans="1:8">
      <c r="B808" t="s">
        <v>2089</v>
      </c>
      <c r="C808">
        <v>9.9700000000000006</v>
      </c>
      <c r="D808">
        <v>15.06</v>
      </c>
      <c r="E808">
        <v>384.24</v>
      </c>
      <c r="F808">
        <v>0.20799999999999999</v>
      </c>
      <c r="G808">
        <v>0.08</v>
      </c>
      <c r="H808">
        <v>0</v>
      </c>
    </row>
    <row r="809" spans="1:8">
      <c r="B809" t="s">
        <v>2090</v>
      </c>
      <c r="C809">
        <v>80.959999999999994</v>
      </c>
      <c r="D809">
        <v>122.31</v>
      </c>
      <c r="E809">
        <v>3120.32</v>
      </c>
      <c r="F809">
        <v>1.034</v>
      </c>
      <c r="G809">
        <v>0</v>
      </c>
      <c r="H809">
        <v>0</v>
      </c>
    </row>
    <row r="810" spans="1:8">
      <c r="B810" t="s">
        <v>2096</v>
      </c>
      <c r="C810">
        <v>15.7</v>
      </c>
      <c r="D810">
        <v>23.72</v>
      </c>
      <c r="E810">
        <v>605.04</v>
      </c>
      <c r="F810">
        <v>0.30499999999999999</v>
      </c>
      <c r="G810">
        <v>9.8000000000000004E-2</v>
      </c>
      <c r="H810">
        <v>0</v>
      </c>
    </row>
    <row r="811" spans="1:8">
      <c r="B811" t="s">
        <v>2097</v>
      </c>
      <c r="C811">
        <v>9.9700000000000006</v>
      </c>
      <c r="D811">
        <v>15.06</v>
      </c>
      <c r="E811">
        <v>384.24</v>
      </c>
      <c r="F811">
        <v>0.27300000000000002</v>
      </c>
      <c r="G811">
        <v>0.10299999999999999</v>
      </c>
      <c r="H811">
        <v>0</v>
      </c>
    </row>
    <row r="812" spans="1:8">
      <c r="B812" t="s">
        <v>2098</v>
      </c>
      <c r="C812">
        <v>15.7</v>
      </c>
      <c r="D812">
        <v>23.72</v>
      </c>
      <c r="E812">
        <v>605.04</v>
      </c>
      <c r="F812">
        <v>0.34699999999999998</v>
      </c>
      <c r="G812">
        <v>9.8000000000000004E-2</v>
      </c>
      <c r="H812">
        <v>0</v>
      </c>
    </row>
    <row r="813" spans="1:8">
      <c r="B813" t="s">
        <v>2099</v>
      </c>
      <c r="C813">
        <v>9.9700000000000006</v>
      </c>
      <c r="D813">
        <v>15.06</v>
      </c>
      <c r="E813">
        <v>384.24</v>
      </c>
      <c r="F813">
        <v>0.31900000000000001</v>
      </c>
      <c r="G813">
        <v>0.10299999999999999</v>
      </c>
      <c r="H813">
        <v>0</v>
      </c>
    </row>
    <row r="814" spans="1:8">
      <c r="B814" t="s">
        <v>2100</v>
      </c>
      <c r="C814">
        <v>80.959999999999994</v>
      </c>
      <c r="D814">
        <v>122.31</v>
      </c>
      <c r="E814">
        <v>3120.32</v>
      </c>
      <c r="F814">
        <v>0.56799999999999995</v>
      </c>
      <c r="G814">
        <v>0</v>
      </c>
      <c r="H814">
        <v>0</v>
      </c>
    </row>
    <row r="815" spans="1:8">
      <c r="B815" t="s">
        <v>2106</v>
      </c>
      <c r="C815">
        <v>15.7</v>
      </c>
      <c r="D815">
        <v>23.72</v>
      </c>
      <c r="E815">
        <v>604.84</v>
      </c>
      <c r="F815">
        <v>0.34799999999999998</v>
      </c>
      <c r="G815">
        <v>0.11</v>
      </c>
      <c r="H815">
        <v>0</v>
      </c>
    </row>
    <row r="816" spans="1:8">
      <c r="B816" t="s">
        <v>2107</v>
      </c>
      <c r="C816">
        <v>9.9700000000000006</v>
      </c>
      <c r="D816">
        <v>15.06</v>
      </c>
      <c r="E816">
        <v>384.11</v>
      </c>
      <c r="F816">
        <v>0.32300000000000001</v>
      </c>
      <c r="G816">
        <v>0.115</v>
      </c>
      <c r="H816">
        <v>0</v>
      </c>
    </row>
    <row r="817" spans="1:8">
      <c r="B817" t="s">
        <v>2108</v>
      </c>
      <c r="C817">
        <v>15.7</v>
      </c>
      <c r="D817">
        <v>23.72</v>
      </c>
      <c r="E817">
        <v>604.84</v>
      </c>
      <c r="F817">
        <v>0.45500000000000002</v>
      </c>
      <c r="G817">
        <v>0.11</v>
      </c>
      <c r="H817">
        <v>0</v>
      </c>
    </row>
    <row r="818" spans="1:8">
      <c r="B818" t="s">
        <v>2109</v>
      </c>
      <c r="C818">
        <v>9.9700000000000006</v>
      </c>
      <c r="D818">
        <v>15.06</v>
      </c>
      <c r="E818">
        <v>384.11</v>
      </c>
      <c r="F818">
        <v>0.44600000000000001</v>
      </c>
      <c r="G818">
        <v>0.115</v>
      </c>
      <c r="H818">
        <v>0</v>
      </c>
    </row>
    <row r="819" spans="1:8">
      <c r="B819" t="s">
        <v>2110</v>
      </c>
      <c r="C819">
        <v>80.959999999999994</v>
      </c>
      <c r="D819">
        <v>122.31</v>
      </c>
      <c r="E819">
        <v>3119.29</v>
      </c>
      <c r="F819">
        <v>0.65700000000000003</v>
      </c>
      <c r="G819">
        <v>0</v>
      </c>
      <c r="H819">
        <v>0</v>
      </c>
    </row>
    <row r="822" spans="1:8">
      <c r="A822" t="s">
        <v>2379</v>
      </c>
    </row>
    <row r="824" spans="1:8">
      <c r="C824" t="s">
        <v>2373</v>
      </c>
      <c r="D824" t="s">
        <v>2374</v>
      </c>
      <c r="E824" t="s">
        <v>2375</v>
      </c>
      <c r="F824" t="s">
        <v>2376</v>
      </c>
      <c r="G824" t="s">
        <v>2377</v>
      </c>
      <c r="H824" t="s">
        <v>2378</v>
      </c>
    </row>
    <row r="825" spans="1:8">
      <c r="B825" t="s">
        <v>2086</v>
      </c>
      <c r="C825">
        <v>15.7</v>
      </c>
      <c r="D825">
        <v>23.72</v>
      </c>
      <c r="E825">
        <v>605.04</v>
      </c>
      <c r="F825">
        <v>0</v>
      </c>
      <c r="G825">
        <v>5.0000000000000001E-3</v>
      </c>
      <c r="H825">
        <v>0</v>
      </c>
    </row>
    <row r="826" spans="1:8">
      <c r="B826" t="s">
        <v>2087</v>
      </c>
      <c r="C826">
        <v>9.9700000000000006</v>
      </c>
      <c r="D826">
        <v>15.06</v>
      </c>
      <c r="E826">
        <v>384.24</v>
      </c>
      <c r="F826">
        <v>0</v>
      </c>
      <c r="G826">
        <v>6.0000000000000001E-3</v>
      </c>
      <c r="H826">
        <v>0</v>
      </c>
    </row>
    <row r="827" spans="1:8">
      <c r="B827" t="s">
        <v>2088</v>
      </c>
      <c r="C827">
        <v>15.7</v>
      </c>
      <c r="D827">
        <v>23.72</v>
      </c>
      <c r="E827">
        <v>605.04</v>
      </c>
      <c r="F827">
        <v>0</v>
      </c>
      <c r="G827">
        <v>5.0000000000000001E-3</v>
      </c>
      <c r="H827">
        <v>0</v>
      </c>
    </row>
    <row r="828" spans="1:8">
      <c r="B828" t="s">
        <v>2089</v>
      </c>
      <c r="C828">
        <v>9.9700000000000006</v>
      </c>
      <c r="D828">
        <v>15.06</v>
      </c>
      <c r="E828">
        <v>384.24</v>
      </c>
      <c r="F828">
        <v>0</v>
      </c>
      <c r="G828">
        <v>6.0000000000000001E-3</v>
      </c>
      <c r="H828">
        <v>0</v>
      </c>
    </row>
    <row r="829" spans="1:8">
      <c r="B829" t="s">
        <v>2090</v>
      </c>
      <c r="C829">
        <v>80.959999999999994</v>
      </c>
      <c r="D829">
        <v>122.31</v>
      </c>
      <c r="E829">
        <v>3120.32</v>
      </c>
      <c r="F829">
        <v>0</v>
      </c>
      <c r="G829">
        <v>0</v>
      </c>
      <c r="H829">
        <v>0</v>
      </c>
    </row>
    <row r="830" spans="1:8">
      <c r="B830" t="s">
        <v>2096</v>
      </c>
      <c r="C830">
        <v>15.7</v>
      </c>
      <c r="D830">
        <v>23.72</v>
      </c>
      <c r="E830">
        <v>605.04</v>
      </c>
      <c r="F830">
        <v>0</v>
      </c>
      <c r="G830">
        <v>7.0000000000000001E-3</v>
      </c>
      <c r="H830">
        <v>0</v>
      </c>
    </row>
    <row r="831" spans="1:8">
      <c r="B831" t="s">
        <v>2097</v>
      </c>
      <c r="C831">
        <v>9.9700000000000006</v>
      </c>
      <c r="D831">
        <v>15.06</v>
      </c>
      <c r="E831">
        <v>384.24</v>
      </c>
      <c r="F831">
        <v>0</v>
      </c>
      <c r="G831">
        <v>7.0000000000000001E-3</v>
      </c>
      <c r="H831">
        <v>0</v>
      </c>
    </row>
    <row r="832" spans="1:8">
      <c r="B832" t="s">
        <v>2098</v>
      </c>
      <c r="C832">
        <v>15.7</v>
      </c>
      <c r="D832">
        <v>23.72</v>
      </c>
      <c r="E832">
        <v>605.04</v>
      </c>
      <c r="F832">
        <v>0</v>
      </c>
      <c r="G832">
        <v>7.0000000000000001E-3</v>
      </c>
      <c r="H832">
        <v>0</v>
      </c>
    </row>
    <row r="833" spans="1:8">
      <c r="B833" t="s">
        <v>2099</v>
      </c>
      <c r="C833">
        <v>9.9700000000000006</v>
      </c>
      <c r="D833">
        <v>15.06</v>
      </c>
      <c r="E833">
        <v>384.24</v>
      </c>
      <c r="F833">
        <v>0</v>
      </c>
      <c r="G833">
        <v>7.0000000000000001E-3</v>
      </c>
      <c r="H833">
        <v>0</v>
      </c>
    </row>
    <row r="834" spans="1:8">
      <c r="B834" t="s">
        <v>2100</v>
      </c>
      <c r="C834">
        <v>80.959999999999994</v>
      </c>
      <c r="D834">
        <v>122.31</v>
      </c>
      <c r="E834">
        <v>3120.32</v>
      </c>
      <c r="F834">
        <v>0</v>
      </c>
      <c r="G834">
        <v>0</v>
      </c>
      <c r="H834">
        <v>0</v>
      </c>
    </row>
    <row r="835" spans="1:8">
      <c r="B835" t="s">
        <v>2106</v>
      </c>
      <c r="C835">
        <v>15.7</v>
      </c>
      <c r="D835">
        <v>23.72</v>
      </c>
      <c r="E835">
        <v>604.84</v>
      </c>
      <c r="F835">
        <v>0</v>
      </c>
      <c r="G835">
        <v>8.0000000000000002E-3</v>
      </c>
      <c r="H835">
        <v>0</v>
      </c>
    </row>
    <row r="836" spans="1:8">
      <c r="B836" t="s">
        <v>2107</v>
      </c>
      <c r="C836">
        <v>9.9700000000000006</v>
      </c>
      <c r="D836">
        <v>15.06</v>
      </c>
      <c r="E836">
        <v>384.11</v>
      </c>
      <c r="F836">
        <v>0</v>
      </c>
      <c r="G836">
        <v>8.0000000000000002E-3</v>
      </c>
      <c r="H836">
        <v>0</v>
      </c>
    </row>
    <row r="837" spans="1:8">
      <c r="B837" t="s">
        <v>2108</v>
      </c>
      <c r="C837">
        <v>15.7</v>
      </c>
      <c r="D837">
        <v>23.72</v>
      </c>
      <c r="E837">
        <v>604.84</v>
      </c>
      <c r="F837">
        <v>0</v>
      </c>
      <c r="G837">
        <v>8.0000000000000002E-3</v>
      </c>
      <c r="H837">
        <v>0</v>
      </c>
    </row>
    <row r="838" spans="1:8">
      <c r="B838" t="s">
        <v>2109</v>
      </c>
      <c r="C838">
        <v>9.9700000000000006</v>
      </c>
      <c r="D838">
        <v>15.06</v>
      </c>
      <c r="E838">
        <v>384.11</v>
      </c>
      <c r="F838">
        <v>0</v>
      </c>
      <c r="G838">
        <v>8.0000000000000002E-3</v>
      </c>
      <c r="H838">
        <v>0</v>
      </c>
    </row>
    <row r="839" spans="1:8">
      <c r="B839" t="s">
        <v>2110</v>
      </c>
      <c r="C839">
        <v>80.959999999999994</v>
      </c>
      <c r="D839">
        <v>122.31</v>
      </c>
      <c r="E839">
        <v>3119.29</v>
      </c>
      <c r="F839">
        <v>0</v>
      </c>
      <c r="G839">
        <v>0</v>
      </c>
      <c r="H839">
        <v>0</v>
      </c>
    </row>
    <row r="842" spans="1:8">
      <c r="A842" t="s">
        <v>1914</v>
      </c>
    </row>
    <row r="843" spans="1:8">
      <c r="A843" t="s">
        <v>1915</v>
      </c>
      <c r="B843" t="s">
        <v>2380</v>
      </c>
    </row>
    <row r="844" spans="1:8">
      <c r="A844" t="s">
        <v>1917</v>
      </c>
      <c r="B844" t="s">
        <v>1918</v>
      </c>
    </row>
    <row r="845" spans="1:8">
      <c r="A845" t="s">
        <v>2381</v>
      </c>
    </row>
    <row r="847" spans="1:8">
      <c r="C847" t="s">
        <v>2006</v>
      </c>
      <c r="D847" t="s">
        <v>2382</v>
      </c>
    </row>
    <row r="848" spans="1:8">
      <c r="B848" t="s">
        <v>2383</v>
      </c>
      <c r="C848">
        <v>180</v>
      </c>
      <c r="D848">
        <v>36</v>
      </c>
    </row>
    <row r="849" spans="1:4">
      <c r="B849" t="s">
        <v>356</v>
      </c>
      <c r="C849">
        <v>45</v>
      </c>
      <c r="D849">
        <v>1</v>
      </c>
    </row>
    <row r="850" spans="1:4">
      <c r="B850" t="s">
        <v>515</v>
      </c>
      <c r="C850">
        <v>45</v>
      </c>
      <c r="D850">
        <v>5</v>
      </c>
    </row>
    <row r="851" spans="1:4">
      <c r="B851" t="s">
        <v>603</v>
      </c>
      <c r="C851">
        <v>15</v>
      </c>
      <c r="D851">
        <v>0</v>
      </c>
    </row>
    <row r="852" spans="1:4">
      <c r="B852" t="s">
        <v>2384</v>
      </c>
      <c r="C852">
        <v>0</v>
      </c>
      <c r="D852">
        <v>0</v>
      </c>
    </row>
    <row r="853" spans="1:4">
      <c r="B853" t="s">
        <v>2385</v>
      </c>
      <c r="C853">
        <v>0</v>
      </c>
      <c r="D853">
        <v>0</v>
      </c>
    </row>
    <row r="854" spans="1:4">
      <c r="B854" t="s">
        <v>2386</v>
      </c>
      <c r="C854">
        <v>12</v>
      </c>
      <c r="D854">
        <v>12</v>
      </c>
    </row>
    <row r="855" spans="1:4">
      <c r="B855" t="s">
        <v>2387</v>
      </c>
      <c r="C855">
        <v>0</v>
      </c>
      <c r="D855">
        <v>0</v>
      </c>
    </row>
    <row r="856" spans="1:4">
      <c r="B856" t="s">
        <v>2388</v>
      </c>
      <c r="C856">
        <v>0</v>
      </c>
      <c r="D856">
        <v>0</v>
      </c>
    </row>
    <row r="857" spans="1:4">
      <c r="B857" t="s">
        <v>2389</v>
      </c>
      <c r="C857">
        <v>0</v>
      </c>
      <c r="D857">
        <v>0</v>
      </c>
    </row>
    <row r="858" spans="1:4">
      <c r="B858" t="s">
        <v>2390</v>
      </c>
      <c r="C858">
        <v>0</v>
      </c>
      <c r="D858">
        <v>0</v>
      </c>
    </row>
    <row r="859" spans="1:4">
      <c r="B859" t="s">
        <v>2391</v>
      </c>
      <c r="C859">
        <v>0</v>
      </c>
      <c r="D859">
        <v>0</v>
      </c>
    </row>
    <row r="860" spans="1:4">
      <c r="B860" t="s">
        <v>2392</v>
      </c>
      <c r="C860">
        <v>0</v>
      </c>
      <c r="D860">
        <v>0</v>
      </c>
    </row>
    <row r="861" spans="1:4">
      <c r="B861" t="s">
        <v>2393</v>
      </c>
      <c r="C861">
        <v>0</v>
      </c>
      <c r="D861">
        <v>0</v>
      </c>
    </row>
    <row r="864" spans="1:4">
      <c r="A864" t="s">
        <v>352</v>
      </c>
    </row>
    <row r="866" spans="1:3">
      <c r="C866" t="s">
        <v>2394</v>
      </c>
    </row>
    <row r="867" spans="1:3">
      <c r="B867" t="s">
        <v>2395</v>
      </c>
      <c r="C867">
        <v>1</v>
      </c>
    </row>
    <row r="868" spans="1:3">
      <c r="B868" t="s">
        <v>2396</v>
      </c>
      <c r="C868">
        <v>45</v>
      </c>
    </row>
    <row r="869" spans="1:3">
      <c r="B869" t="s">
        <v>2397</v>
      </c>
      <c r="C869">
        <v>0</v>
      </c>
    </row>
    <row r="870" spans="1:3">
      <c r="B870" t="s">
        <v>2398</v>
      </c>
      <c r="C870">
        <v>15</v>
      </c>
    </row>
    <row r="871" spans="1:3">
      <c r="B871" t="s">
        <v>2399</v>
      </c>
      <c r="C871">
        <v>15</v>
      </c>
    </row>
    <row r="874" spans="1:3">
      <c r="A874" t="s">
        <v>2400</v>
      </c>
    </row>
    <row r="876" spans="1:3">
      <c r="C876" t="s">
        <v>2394</v>
      </c>
    </row>
    <row r="877" spans="1:3">
      <c r="B877" t="s">
        <v>2401</v>
      </c>
      <c r="C877">
        <v>1554</v>
      </c>
    </row>
    <row r="878" spans="1:3">
      <c r="B878" t="s">
        <v>2402</v>
      </c>
      <c r="C878">
        <v>217</v>
      </c>
    </row>
    <row r="879" spans="1:3">
      <c r="B879" t="s">
        <v>2403</v>
      </c>
      <c r="C879">
        <v>4146</v>
      </c>
    </row>
    <row r="880" spans="1:3">
      <c r="B880" t="s">
        <v>2404</v>
      </c>
      <c r="C880">
        <v>110</v>
      </c>
    </row>
    <row r="881" spans="1:4">
      <c r="B881" t="s">
        <v>2405</v>
      </c>
      <c r="C881">
        <v>185</v>
      </c>
    </row>
    <row r="882" spans="1:4">
      <c r="B882" t="s">
        <v>2406</v>
      </c>
      <c r="C882">
        <v>126</v>
      </c>
    </row>
    <row r="883" spans="1:4">
      <c r="B883" t="s">
        <v>2407</v>
      </c>
      <c r="C883">
        <v>708</v>
      </c>
    </row>
    <row r="886" spans="1:4">
      <c r="A886" t="s">
        <v>1914</v>
      </c>
    </row>
    <row r="887" spans="1:4">
      <c r="A887" t="s">
        <v>1915</v>
      </c>
      <c r="B887" t="s">
        <v>2408</v>
      </c>
    </row>
    <row r="888" spans="1:4">
      <c r="A888" t="s">
        <v>1917</v>
      </c>
      <c r="B888" t="s">
        <v>1918</v>
      </c>
    </row>
    <row r="889" spans="1:4">
      <c r="A889" t="s">
        <v>2996</v>
      </c>
    </row>
    <row r="891" spans="1:4">
      <c r="C891" t="s">
        <v>2997</v>
      </c>
      <c r="D891" t="s">
        <v>2998</v>
      </c>
    </row>
    <row r="892" spans="1:4">
      <c r="B892" t="s">
        <v>2086</v>
      </c>
      <c r="C892">
        <v>4.8000000000000001E-2</v>
      </c>
      <c r="D892">
        <v>15</v>
      </c>
    </row>
    <row r="893" spans="1:4">
      <c r="B893" t="s">
        <v>2087</v>
      </c>
      <c r="C893">
        <v>4.8000000000000001E-2</v>
      </c>
      <c r="D893">
        <v>15</v>
      </c>
    </row>
    <row r="894" spans="1:4">
      <c r="B894" t="s">
        <v>2088</v>
      </c>
      <c r="C894">
        <v>4.8000000000000001E-2</v>
      </c>
      <c r="D894">
        <v>15</v>
      </c>
    </row>
    <row r="895" spans="1:4">
      <c r="B895" t="s">
        <v>2089</v>
      </c>
      <c r="C895">
        <v>4.8000000000000001E-2</v>
      </c>
      <c r="D895">
        <v>15</v>
      </c>
    </row>
    <row r="896" spans="1:4">
      <c r="B896" t="s">
        <v>2096</v>
      </c>
      <c r="C896">
        <v>4.8000000000000001E-2</v>
      </c>
      <c r="D896">
        <v>15</v>
      </c>
    </row>
    <row r="897" spans="1:6">
      <c r="B897" t="s">
        <v>2097</v>
      </c>
      <c r="C897">
        <v>4.8000000000000001E-2</v>
      </c>
      <c r="D897">
        <v>15</v>
      </c>
    </row>
    <row r="898" spans="1:6" s="644" customFormat="1">
      <c r="B898" s="644" t="s">
        <v>2098</v>
      </c>
      <c r="C898" s="650">
        <v>4.8000000000000001E-2</v>
      </c>
      <c r="D898" s="650">
        <v>15</v>
      </c>
      <c r="E898" s="650"/>
      <c r="F898" s="650"/>
    </row>
    <row r="899" spans="1:6">
      <c r="B899" t="s">
        <v>2099</v>
      </c>
      <c r="C899" s="5">
        <v>4.8000000000000001E-2</v>
      </c>
      <c r="D899" s="5">
        <v>15</v>
      </c>
      <c r="E899" s="5"/>
      <c r="F899" s="5"/>
    </row>
    <row r="900" spans="1:6">
      <c r="B900" t="s">
        <v>2106</v>
      </c>
      <c r="C900" s="5">
        <v>4.8000000000000001E-2</v>
      </c>
      <c r="D900" s="5">
        <v>15</v>
      </c>
      <c r="E900" s="5"/>
      <c r="F900" s="5"/>
    </row>
    <row r="901" spans="1:6">
      <c r="B901" t="s">
        <v>2107</v>
      </c>
      <c r="C901" s="5">
        <v>4.8000000000000001E-2</v>
      </c>
      <c r="D901" s="5">
        <v>15</v>
      </c>
      <c r="E901" s="5"/>
      <c r="F901" s="5"/>
    </row>
    <row r="902" spans="1:6">
      <c r="B902" t="s">
        <v>2108</v>
      </c>
      <c r="C902" s="5">
        <v>4.8000000000000001E-2</v>
      </c>
      <c r="D902" s="5">
        <v>15</v>
      </c>
      <c r="E902" s="5"/>
      <c r="F902" s="5"/>
    </row>
    <row r="903" spans="1:6">
      <c r="B903" t="s">
        <v>2109</v>
      </c>
      <c r="C903" s="5">
        <v>4.8000000000000001E-2</v>
      </c>
      <c r="D903" s="5">
        <v>15</v>
      </c>
      <c r="E903" s="5"/>
      <c r="F903" s="5"/>
    </row>
    <row r="904" spans="1:6">
      <c r="C904" s="5"/>
      <c r="D904" s="5"/>
      <c r="E904" s="5"/>
      <c r="F904" s="5"/>
    </row>
    <row r="905" spans="1:6">
      <c r="C905" s="5"/>
      <c r="D905" s="5"/>
      <c r="E905" s="5"/>
      <c r="F905" s="5"/>
    </row>
    <row r="906" spans="1:6">
      <c r="A906" t="s">
        <v>2920</v>
      </c>
      <c r="C906" s="5"/>
      <c r="D906" s="5"/>
      <c r="E906" s="5"/>
      <c r="F906" s="5"/>
    </row>
    <row r="907" spans="1:6">
      <c r="C907" s="5"/>
      <c r="D907" s="5"/>
      <c r="E907" s="5"/>
      <c r="F907" s="5"/>
    </row>
    <row r="908" spans="1:6">
      <c r="C908" s="5" t="s">
        <v>2997</v>
      </c>
      <c r="D908" s="5" t="s">
        <v>2998</v>
      </c>
      <c r="E908" s="5" t="s">
        <v>2921</v>
      </c>
      <c r="F908" s="5"/>
    </row>
    <row r="909" spans="1:6">
      <c r="B909" t="s">
        <v>2090</v>
      </c>
      <c r="C909" s="5">
        <v>7.4999999999999997E-3</v>
      </c>
      <c r="D909" s="5">
        <v>28</v>
      </c>
      <c r="E909" s="5">
        <v>110.67</v>
      </c>
      <c r="F909" s="5"/>
    </row>
    <row r="910" spans="1:6">
      <c r="B910" t="s">
        <v>2100</v>
      </c>
      <c r="C910" s="5">
        <v>7.4999999999999997E-3</v>
      </c>
      <c r="D910" s="5">
        <v>28</v>
      </c>
      <c r="E910" s="5">
        <v>110.67</v>
      </c>
      <c r="F910" s="5"/>
    </row>
    <row r="911" spans="1:6">
      <c r="B911" t="s">
        <v>2110</v>
      </c>
      <c r="C911">
        <v>7.4999999999999997E-3</v>
      </c>
      <c r="D911">
        <v>28</v>
      </c>
      <c r="E911">
        <v>110.67</v>
      </c>
    </row>
    <row r="914" spans="1:6">
      <c r="A914" t="s">
        <v>2922</v>
      </c>
    </row>
    <row r="916" spans="1:6">
      <c r="C916" t="s">
        <v>2923</v>
      </c>
      <c r="D916" t="s">
        <v>2409</v>
      </c>
      <c r="E916" t="s">
        <v>2410</v>
      </c>
      <c r="F916" t="s">
        <v>2411</v>
      </c>
    </row>
    <row r="917" spans="1:6">
      <c r="B917" t="s">
        <v>2924</v>
      </c>
      <c r="C917">
        <v>0.22361300000000001</v>
      </c>
      <c r="D917">
        <v>1.7000000000000001E-4</v>
      </c>
      <c r="E917">
        <v>0.22361300000000001</v>
      </c>
    </row>
    <row r="918" spans="1:6">
      <c r="B918" t="s">
        <v>2925</v>
      </c>
      <c r="C918">
        <v>0.14633399999999999</v>
      </c>
      <c r="D918">
        <v>1.11E-4</v>
      </c>
      <c r="E918">
        <v>0.14633399999999999</v>
      </c>
    </row>
    <row r="919" spans="1:6">
      <c r="B919" t="s">
        <v>2926</v>
      </c>
      <c r="C919">
        <v>0.22009400000000001</v>
      </c>
      <c r="D919">
        <v>2.1599999999999999E-4</v>
      </c>
      <c r="E919">
        <v>0.28417799999999999</v>
      </c>
      <c r="F919">
        <v>1.74</v>
      </c>
    </row>
    <row r="920" spans="1:6">
      <c r="B920" t="s">
        <v>2927</v>
      </c>
      <c r="C920">
        <v>0.147732</v>
      </c>
      <c r="D920">
        <v>1.12E-4</v>
      </c>
      <c r="E920">
        <v>0.147732</v>
      </c>
    </row>
    <row r="921" spans="1:6">
      <c r="B921" t="s">
        <v>2928</v>
      </c>
      <c r="C921">
        <v>0.23117599999999999</v>
      </c>
      <c r="D921">
        <v>1.76E-4</v>
      </c>
      <c r="E921">
        <v>0.23117599999999999</v>
      </c>
    </row>
    <row r="922" spans="1:6">
      <c r="B922" t="s">
        <v>2929</v>
      </c>
      <c r="C922">
        <v>0.15126999999999999</v>
      </c>
      <c r="D922">
        <v>1.15E-4</v>
      </c>
      <c r="E922">
        <v>0.15126999999999999</v>
      </c>
    </row>
    <row r="923" spans="1:6">
      <c r="B923" t="s">
        <v>2930</v>
      </c>
      <c r="C923">
        <v>0.22634099999999999</v>
      </c>
      <c r="D923">
        <v>1.8699999999999999E-4</v>
      </c>
      <c r="E923">
        <v>0.246443</v>
      </c>
      <c r="F923">
        <v>3.61</v>
      </c>
    </row>
    <row r="924" spans="1:6">
      <c r="B924" t="s">
        <v>2931</v>
      </c>
      <c r="C924">
        <v>0.15296899999999999</v>
      </c>
      <c r="D924">
        <v>1.16E-4</v>
      </c>
      <c r="E924">
        <v>0.15296899999999999</v>
      </c>
    </row>
    <row r="925" spans="1:6">
      <c r="B925" t="s">
        <v>2932</v>
      </c>
      <c r="C925">
        <v>0.30047099999999999</v>
      </c>
      <c r="D925">
        <v>2.2900000000000001E-4</v>
      </c>
      <c r="E925">
        <v>0.30047099999999999</v>
      </c>
    </row>
    <row r="926" spans="1:6">
      <c r="B926" t="s">
        <v>2933</v>
      </c>
      <c r="C926">
        <v>0.19447200000000001</v>
      </c>
      <c r="D926">
        <v>1.4799999999999999E-4</v>
      </c>
      <c r="E926">
        <v>0.19447200000000001</v>
      </c>
    </row>
    <row r="927" spans="1:6">
      <c r="B927" t="s">
        <v>2934</v>
      </c>
      <c r="C927">
        <v>0.29522199999999998</v>
      </c>
      <c r="D927">
        <v>2.2499999999999999E-4</v>
      </c>
      <c r="E927">
        <v>0.29522199999999998</v>
      </c>
      <c r="F927">
        <v>4.09</v>
      </c>
    </row>
    <row r="928" spans="1:6">
      <c r="B928" t="s">
        <v>2935</v>
      </c>
      <c r="C928">
        <v>0.19600699999999999</v>
      </c>
      <c r="D928">
        <v>1.4899999999999999E-4</v>
      </c>
      <c r="E928">
        <v>0.19600699999999999</v>
      </c>
    </row>
    <row r="931" spans="1:5">
      <c r="A931" t="s">
        <v>2288</v>
      </c>
    </row>
    <row r="933" spans="1:5">
      <c r="B933" s="581"/>
      <c r="C933" t="s">
        <v>2412</v>
      </c>
      <c r="D933" t="s">
        <v>2413</v>
      </c>
      <c r="E933" t="s">
        <v>2414</v>
      </c>
    </row>
    <row r="934" spans="1:5">
      <c r="B934" t="s">
        <v>2287</v>
      </c>
      <c r="C934">
        <v>1.7000000000000001E-4</v>
      </c>
      <c r="D934">
        <v>7821.69</v>
      </c>
      <c r="E934">
        <v>213.98</v>
      </c>
    </row>
    <row r="935" spans="1:5">
      <c r="B935" t="s">
        <v>2289</v>
      </c>
      <c r="C935">
        <v>1.11E-4</v>
      </c>
      <c r="D935">
        <v>5118.5600000000004</v>
      </c>
      <c r="E935">
        <v>140.03</v>
      </c>
    </row>
    <row r="936" spans="1:5">
      <c r="B936" t="s">
        <v>2290</v>
      </c>
      <c r="C936">
        <v>2.1599999999999999E-4</v>
      </c>
      <c r="D936">
        <v>9940.14</v>
      </c>
      <c r="E936">
        <v>271.94</v>
      </c>
    </row>
    <row r="937" spans="1:5">
      <c r="B937" t="s">
        <v>2291</v>
      </c>
      <c r="C937">
        <v>1.12E-4</v>
      </c>
      <c r="D937">
        <v>5167.45</v>
      </c>
      <c r="E937">
        <v>141.37</v>
      </c>
    </row>
    <row r="938" spans="1:5">
      <c r="B938" t="s">
        <v>2292</v>
      </c>
      <c r="C938">
        <v>9.9220000000000003E-3</v>
      </c>
      <c r="D938">
        <v>456236.55</v>
      </c>
      <c r="E938">
        <v>12481.59</v>
      </c>
    </row>
    <row r="939" spans="1:5">
      <c r="B939" t="s">
        <v>2293</v>
      </c>
      <c r="C939">
        <v>1.76E-4</v>
      </c>
      <c r="D939">
        <v>8086.23</v>
      </c>
      <c r="E939">
        <v>221.22</v>
      </c>
    </row>
    <row r="940" spans="1:5">
      <c r="B940" t="s">
        <v>2294</v>
      </c>
      <c r="C940">
        <v>1.15E-4</v>
      </c>
      <c r="D940">
        <v>5291.21</v>
      </c>
      <c r="E940">
        <v>144.76</v>
      </c>
    </row>
    <row r="941" spans="1:5">
      <c r="B941" t="s">
        <v>2295</v>
      </c>
      <c r="C941">
        <v>1.8699999999999999E-4</v>
      </c>
      <c r="D941">
        <v>8620.25</v>
      </c>
      <c r="E941">
        <v>235.83</v>
      </c>
    </row>
    <row r="942" spans="1:5">
      <c r="B942" t="s">
        <v>2296</v>
      </c>
      <c r="C942">
        <v>1.16E-4</v>
      </c>
      <c r="D942">
        <v>5350.64</v>
      </c>
      <c r="E942">
        <v>146.38</v>
      </c>
    </row>
    <row r="943" spans="1:5">
      <c r="B943" t="s">
        <v>2297</v>
      </c>
      <c r="C943">
        <v>9.9220000000000003E-3</v>
      </c>
      <c r="D943">
        <v>456236.55</v>
      </c>
      <c r="E943">
        <v>12481.59</v>
      </c>
    </row>
    <row r="944" spans="1:5">
      <c r="B944" t="s">
        <v>2298</v>
      </c>
      <c r="C944">
        <v>2.2900000000000001E-4</v>
      </c>
      <c r="D944">
        <v>10510.05</v>
      </c>
      <c r="E944">
        <v>287.52999999999997</v>
      </c>
    </row>
    <row r="945" spans="1:5">
      <c r="B945" t="s">
        <v>2299</v>
      </c>
      <c r="C945">
        <v>1.4799999999999999E-4</v>
      </c>
      <c r="D945">
        <v>6802.35</v>
      </c>
      <c r="E945">
        <v>186.1</v>
      </c>
    </row>
    <row r="946" spans="1:5">
      <c r="B946" t="s">
        <v>2300</v>
      </c>
      <c r="C946">
        <v>2.2499999999999999E-4</v>
      </c>
      <c r="D946">
        <v>10326.450000000001</v>
      </c>
      <c r="E946">
        <v>282.51</v>
      </c>
    </row>
    <row r="947" spans="1:5">
      <c r="B947" t="s">
        <v>2301</v>
      </c>
      <c r="C947">
        <v>1.4899999999999999E-4</v>
      </c>
      <c r="D947">
        <v>6856.04</v>
      </c>
      <c r="E947">
        <v>187.57</v>
      </c>
    </row>
    <row r="948" spans="1:5">
      <c r="B948" t="s">
        <v>2302</v>
      </c>
      <c r="C948">
        <v>9.9220000000000003E-3</v>
      </c>
      <c r="D948">
        <v>456236.55</v>
      </c>
      <c r="E948">
        <v>12481.59</v>
      </c>
    </row>
    <row r="949" spans="1:5">
      <c r="B949" t="s">
        <v>2303</v>
      </c>
      <c r="C949">
        <v>3.0869999999999999E-3</v>
      </c>
      <c r="D949">
        <v>141925.21</v>
      </c>
      <c r="E949">
        <v>2567.79</v>
      </c>
    </row>
    <row r="952" spans="1:5">
      <c r="A952" t="s">
        <v>2310</v>
      </c>
    </row>
    <row r="954" spans="1:5">
      <c r="C954" t="s">
        <v>2415</v>
      </c>
    </row>
    <row r="955" spans="1:5">
      <c r="B955" t="s">
        <v>2910</v>
      </c>
      <c r="C955">
        <v>1.74</v>
      </c>
    </row>
    <row r="956" spans="1:5">
      <c r="B956" t="s">
        <v>2914</v>
      </c>
      <c r="C956">
        <v>3.61</v>
      </c>
    </row>
    <row r="957" spans="1:5">
      <c r="B957" t="s">
        <v>2918</v>
      </c>
      <c r="C957">
        <v>4.09</v>
      </c>
    </row>
    <row r="960" spans="1:5">
      <c r="A960" t="s">
        <v>2416</v>
      </c>
    </row>
    <row r="962" spans="1:4">
      <c r="C962" t="s">
        <v>2409</v>
      </c>
      <c r="D962" t="s">
        <v>2410</v>
      </c>
    </row>
    <row r="963" spans="1:4">
      <c r="B963" t="s">
        <v>2417</v>
      </c>
      <c r="C963">
        <v>9.9220000000000003E-3</v>
      </c>
      <c r="D963">
        <v>13.04</v>
      </c>
    </row>
    <row r="964" spans="1:4">
      <c r="B964" t="s">
        <v>2418</v>
      </c>
      <c r="C964">
        <v>9.9220000000000003E-3</v>
      </c>
      <c r="D964">
        <v>13.04</v>
      </c>
    </row>
    <row r="965" spans="1:4">
      <c r="B965" t="s">
        <v>2419</v>
      </c>
      <c r="C965">
        <v>9.9220000000000003E-3</v>
      </c>
      <c r="D965">
        <v>13.04</v>
      </c>
    </row>
    <row r="968" spans="1:4">
      <c r="A968" t="s">
        <v>2420</v>
      </c>
    </row>
    <row r="970" spans="1:4">
      <c r="C970" t="s">
        <v>2415</v>
      </c>
    </row>
    <row r="971" spans="1:4">
      <c r="B971" t="s">
        <v>2421</v>
      </c>
      <c r="C971">
        <v>42.96</v>
      </c>
    </row>
    <row r="974" spans="1:4">
      <c r="A974" t="s">
        <v>2422</v>
      </c>
    </row>
    <row r="976" spans="1:4">
      <c r="C976" t="s">
        <v>2423</v>
      </c>
    </row>
    <row r="977" spans="1:5">
      <c r="B977" t="s">
        <v>2343</v>
      </c>
      <c r="C977">
        <v>42.96</v>
      </c>
    </row>
    <row r="980" spans="1:5">
      <c r="A980" t="s">
        <v>2424</v>
      </c>
    </row>
    <row r="982" spans="1:5">
      <c r="C982" t="s">
        <v>2425</v>
      </c>
    </row>
    <row r="983" spans="1:5">
      <c r="B983" t="s">
        <v>2353</v>
      </c>
      <c r="C983">
        <v>42.96</v>
      </c>
    </row>
    <row r="986" spans="1:5">
      <c r="A986" t="s">
        <v>2276</v>
      </c>
    </row>
    <row r="988" spans="1:5">
      <c r="C988" t="s">
        <v>2426</v>
      </c>
      <c r="D988" t="s">
        <v>2427</v>
      </c>
      <c r="E988" t="s">
        <v>2428</v>
      </c>
    </row>
    <row r="989" spans="1:5">
      <c r="B989" t="s">
        <v>2275</v>
      </c>
      <c r="C989">
        <v>2.1048000000000001E-2</v>
      </c>
      <c r="D989">
        <v>42.96</v>
      </c>
      <c r="E989">
        <v>7.22</v>
      </c>
    </row>
    <row r="992" spans="1:5">
      <c r="A992" t="s">
        <v>2429</v>
      </c>
    </row>
    <row r="994" spans="1:4">
      <c r="C994" t="s">
        <v>2430</v>
      </c>
      <c r="D994" t="s">
        <v>2431</v>
      </c>
    </row>
    <row r="995" spans="1:4">
      <c r="B995" t="s">
        <v>2432</v>
      </c>
      <c r="C995">
        <v>2.1048000000000001E-2</v>
      </c>
      <c r="D995">
        <v>2.3E-5</v>
      </c>
    </row>
    <row r="996" spans="1:4">
      <c r="B996" t="s">
        <v>2433</v>
      </c>
      <c r="C996">
        <v>3.0869999999999999E-3</v>
      </c>
      <c r="D996">
        <v>1.54E-4</v>
      </c>
    </row>
    <row r="999" spans="1:4">
      <c r="A999" t="s">
        <v>2434</v>
      </c>
    </row>
    <row r="1001" spans="1:4">
      <c r="C1001" t="s">
        <v>2435</v>
      </c>
      <c r="D1001" t="s">
        <v>2436</v>
      </c>
    </row>
    <row r="1002" spans="1:4">
      <c r="B1002" t="s">
        <v>2437</v>
      </c>
      <c r="C1002">
        <v>3.4809E-2</v>
      </c>
      <c r="D1002">
        <v>39.159999999999997</v>
      </c>
    </row>
    <row r="1003" spans="1:4">
      <c r="B1003" t="s">
        <v>2438</v>
      </c>
      <c r="C1003">
        <v>2.1048000000000001E-2</v>
      </c>
      <c r="D1003">
        <v>23.68</v>
      </c>
    </row>
    <row r="1006" spans="1:4">
      <c r="A1006" t="s">
        <v>2264</v>
      </c>
    </row>
    <row r="1008" spans="1:4">
      <c r="C1008" t="s">
        <v>2426</v>
      </c>
    </row>
    <row r="1009" spans="1:4">
      <c r="B1009" t="s">
        <v>2263</v>
      </c>
      <c r="C1009">
        <v>1.7405E-2</v>
      </c>
    </row>
    <row r="1010" spans="1:4">
      <c r="B1010" t="s">
        <v>2265</v>
      </c>
      <c r="C1010">
        <v>1.7405E-2</v>
      </c>
    </row>
    <row r="1013" spans="1:4">
      <c r="A1013" t="s">
        <v>2317</v>
      </c>
    </row>
    <row r="1015" spans="1:4">
      <c r="C1015" t="s">
        <v>2439</v>
      </c>
      <c r="D1015" t="s">
        <v>2440</v>
      </c>
    </row>
    <row r="1016" spans="1:4">
      <c r="B1016" t="s">
        <v>2316</v>
      </c>
      <c r="C1016">
        <v>3.4809E-2</v>
      </c>
      <c r="D1016">
        <v>5928.62</v>
      </c>
    </row>
    <row r="1017" spans="1:4">
      <c r="B1017" t="s">
        <v>2319</v>
      </c>
      <c r="D1017">
        <v>2759.15</v>
      </c>
    </row>
    <row r="1018" spans="1:4">
      <c r="B1018" t="s">
        <v>2320</v>
      </c>
      <c r="C1018">
        <v>1.5769999999999999E-2</v>
      </c>
      <c r="D1018">
        <v>1678.7</v>
      </c>
    </row>
    <row r="1021" spans="1:4">
      <c r="A1021" t="s">
        <v>2441</v>
      </c>
    </row>
    <row r="1023" spans="1:4">
      <c r="C1023" t="s">
        <v>2435</v>
      </c>
      <c r="D1023" t="s">
        <v>2442</v>
      </c>
    </row>
    <row r="1024" spans="1:4">
      <c r="B1024" t="s">
        <v>2443</v>
      </c>
      <c r="C1024">
        <v>1.5769999999999999E-2</v>
      </c>
      <c r="D1024">
        <v>17.739999999999998</v>
      </c>
    </row>
    <row r="1027" spans="1:11">
      <c r="A1027" t="s">
        <v>2267</v>
      </c>
    </row>
    <row r="1029" spans="1:11">
      <c r="C1029" t="s">
        <v>2426</v>
      </c>
      <c r="D1029" t="s">
        <v>2444</v>
      </c>
      <c r="E1029" t="s">
        <v>2445</v>
      </c>
      <c r="F1029" t="s">
        <v>2446</v>
      </c>
      <c r="G1029" t="s">
        <v>2447</v>
      </c>
      <c r="H1029" t="s">
        <v>2448</v>
      </c>
      <c r="I1029" t="s">
        <v>2449</v>
      </c>
      <c r="J1029" t="s">
        <v>2450</v>
      </c>
      <c r="K1029" t="s">
        <v>2451</v>
      </c>
    </row>
    <row r="1030" spans="1:11">
      <c r="B1030" t="s">
        <v>2266</v>
      </c>
      <c r="C1030">
        <v>1.5769999999999999E-2</v>
      </c>
      <c r="D1030">
        <v>3876.01</v>
      </c>
      <c r="E1030">
        <v>10.210000000000001</v>
      </c>
      <c r="F1030">
        <v>23084.43</v>
      </c>
      <c r="G1030">
        <v>5.0999999999999996</v>
      </c>
      <c r="H1030">
        <v>620.16</v>
      </c>
      <c r="I1030">
        <v>13850.66</v>
      </c>
      <c r="J1030">
        <v>1.02</v>
      </c>
      <c r="K1030">
        <v>2308.44</v>
      </c>
    </row>
    <row r="1033" spans="1:11">
      <c r="A1033" t="s">
        <v>1914</v>
      </c>
    </row>
    <row r="1034" spans="1:11">
      <c r="A1034" t="s">
        <v>1915</v>
      </c>
      <c r="B1034" t="s">
        <v>2452</v>
      </c>
    </row>
    <row r="1035" spans="1:11">
      <c r="A1035" t="s">
        <v>1917</v>
      </c>
      <c r="B1035" t="s">
        <v>1918</v>
      </c>
    </row>
    <row r="1036" spans="1:11">
      <c r="A1036" t="s">
        <v>2453</v>
      </c>
      <c r="B1036" t="s">
        <v>2454</v>
      </c>
      <c r="C1036" t="s">
        <v>2455</v>
      </c>
    </row>
    <row r="1038" spans="1:11">
      <c r="C1038" t="s">
        <v>2</v>
      </c>
    </row>
    <row r="1041" spans="1:3">
      <c r="A1041" t="s">
        <v>2456</v>
      </c>
    </row>
    <row r="1043" spans="1:3">
      <c r="C1043" t="s">
        <v>2457</v>
      </c>
    </row>
    <row r="1044" spans="1:3">
      <c r="B1044" t="s">
        <v>2146</v>
      </c>
      <c r="C1044" t="s">
        <v>2458</v>
      </c>
    </row>
    <row r="1045" spans="1:3">
      <c r="B1045" t="s">
        <v>2148</v>
      </c>
      <c r="C1045" t="s">
        <v>2459</v>
      </c>
    </row>
    <row r="1046" spans="1:3">
      <c r="B1046" t="s">
        <v>2150</v>
      </c>
      <c r="C1046" t="s">
        <v>2460</v>
      </c>
    </row>
    <row r="1047" spans="1:3">
      <c r="B1047" t="s">
        <v>2152</v>
      </c>
      <c r="C1047" t="s">
        <v>2461</v>
      </c>
    </row>
    <row r="1048" spans="1:3">
      <c r="B1048" t="s">
        <v>2158</v>
      </c>
      <c r="C1048" t="s">
        <v>2462</v>
      </c>
    </row>
    <row r="1049" spans="1:3">
      <c r="B1049" t="s">
        <v>2159</v>
      </c>
      <c r="C1049" t="s">
        <v>2463</v>
      </c>
    </row>
    <row r="1050" spans="1:3">
      <c r="B1050" t="s">
        <v>2160</v>
      </c>
      <c r="C1050" t="s">
        <v>2464</v>
      </c>
    </row>
    <row r="1051" spans="1:3">
      <c r="B1051" t="s">
        <v>2161</v>
      </c>
      <c r="C1051" t="s">
        <v>2465</v>
      </c>
    </row>
    <row r="1052" spans="1:3">
      <c r="B1052" t="s">
        <v>2166</v>
      </c>
      <c r="C1052" t="s">
        <v>2466</v>
      </c>
    </row>
    <row r="1053" spans="1:3">
      <c r="B1053" t="s">
        <v>2167</v>
      </c>
      <c r="C1053" t="s">
        <v>2467</v>
      </c>
    </row>
    <row r="1054" spans="1:3">
      <c r="B1054" t="s">
        <v>2168</v>
      </c>
      <c r="C1054" t="s">
        <v>2468</v>
      </c>
    </row>
    <row r="1055" spans="1:3">
      <c r="B1055" t="s">
        <v>2169</v>
      </c>
      <c r="C1055" t="s">
        <v>2469</v>
      </c>
    </row>
    <row r="1058" spans="1:10">
      <c r="A1058" t="s">
        <v>1914</v>
      </c>
    </row>
    <row r="1059" spans="1:10">
      <c r="A1059" t="s">
        <v>1915</v>
      </c>
      <c r="B1059" t="s">
        <v>2964</v>
      </c>
    </row>
    <row r="1060" spans="1:10">
      <c r="A1060" t="s">
        <v>1917</v>
      </c>
      <c r="B1060" t="s">
        <v>2086</v>
      </c>
    </row>
    <row r="1061" spans="1:10">
      <c r="C1061" t="s">
        <v>2965</v>
      </c>
      <c r="D1061" t="s">
        <v>2966</v>
      </c>
      <c r="E1061" t="s">
        <v>2967</v>
      </c>
      <c r="F1061" t="s">
        <v>2966</v>
      </c>
      <c r="G1061" t="s">
        <v>2968</v>
      </c>
      <c r="H1061" t="s">
        <v>2966</v>
      </c>
      <c r="I1061" t="s">
        <v>2969</v>
      </c>
      <c r="J1061" t="s">
        <v>2966</v>
      </c>
    </row>
    <row r="1062" spans="1:10">
      <c r="B1062" t="s">
        <v>2970</v>
      </c>
      <c r="C1062">
        <v>10.75</v>
      </c>
      <c r="D1062">
        <v>18.03</v>
      </c>
      <c r="E1062">
        <v>4.75</v>
      </c>
      <c r="F1062">
        <v>18.52</v>
      </c>
      <c r="G1062">
        <v>1.25</v>
      </c>
      <c r="H1062">
        <v>24.13</v>
      </c>
      <c r="I1062">
        <v>1.25</v>
      </c>
      <c r="J1062">
        <v>24.13</v>
      </c>
    </row>
    <row r="1063" spans="1:10">
      <c r="B1063" t="s">
        <v>2971</v>
      </c>
      <c r="C1063" t="s">
        <v>212</v>
      </c>
      <c r="D1063" t="s">
        <v>212</v>
      </c>
      <c r="E1063" t="s">
        <v>212</v>
      </c>
      <c r="F1063" t="s">
        <v>212</v>
      </c>
      <c r="G1063" t="s">
        <v>212</v>
      </c>
      <c r="H1063" t="s">
        <v>212</v>
      </c>
      <c r="I1063" t="s">
        <v>212</v>
      </c>
      <c r="J1063" t="s">
        <v>212</v>
      </c>
    </row>
    <row r="1064" spans="1:10">
      <c r="B1064" t="s">
        <v>2972</v>
      </c>
      <c r="C1064" t="s">
        <v>212</v>
      </c>
      <c r="D1064" t="s">
        <v>212</v>
      </c>
      <c r="E1064" t="s">
        <v>212</v>
      </c>
      <c r="F1064" t="s">
        <v>212</v>
      </c>
      <c r="G1064" t="s">
        <v>212</v>
      </c>
      <c r="H1064" t="s">
        <v>212</v>
      </c>
      <c r="I1064" t="s">
        <v>212</v>
      </c>
      <c r="J1064" t="s">
        <v>212</v>
      </c>
    </row>
    <row r="1065" spans="1:10">
      <c r="B1065" t="s">
        <v>2973</v>
      </c>
      <c r="C1065" t="s">
        <v>212</v>
      </c>
      <c r="D1065" t="s">
        <v>212</v>
      </c>
      <c r="E1065" t="s">
        <v>212</v>
      </c>
      <c r="F1065" t="s">
        <v>212</v>
      </c>
      <c r="G1065" t="s">
        <v>212</v>
      </c>
      <c r="H1065" t="s">
        <v>212</v>
      </c>
      <c r="I1065" t="s">
        <v>212</v>
      </c>
      <c r="J1065" t="s">
        <v>212</v>
      </c>
    </row>
    <row r="1066" spans="1:10">
      <c r="B1066" t="s">
        <v>820</v>
      </c>
      <c r="C1066" t="s">
        <v>212</v>
      </c>
      <c r="D1066" t="s">
        <v>212</v>
      </c>
      <c r="E1066" t="s">
        <v>212</v>
      </c>
      <c r="F1066" t="s">
        <v>212</v>
      </c>
      <c r="G1066" t="s">
        <v>212</v>
      </c>
      <c r="H1066" t="s">
        <v>212</v>
      </c>
      <c r="I1066" t="s">
        <v>212</v>
      </c>
      <c r="J1066" t="s">
        <v>212</v>
      </c>
    </row>
    <row r="1067" spans="1:10">
      <c r="B1067" t="s">
        <v>2974</v>
      </c>
      <c r="C1067" t="s">
        <v>212</v>
      </c>
      <c r="D1067" t="s">
        <v>212</v>
      </c>
      <c r="E1067" t="s">
        <v>212</v>
      </c>
      <c r="F1067" t="s">
        <v>212</v>
      </c>
      <c r="G1067" t="s">
        <v>212</v>
      </c>
      <c r="H1067" t="s">
        <v>212</v>
      </c>
      <c r="I1067" t="s">
        <v>212</v>
      </c>
      <c r="J1067" t="s">
        <v>212</v>
      </c>
    </row>
    <row r="1068" spans="1:10">
      <c r="B1068" t="s">
        <v>2975</v>
      </c>
      <c r="C1068" t="s">
        <v>212</v>
      </c>
      <c r="D1068" t="s">
        <v>212</v>
      </c>
      <c r="E1068" t="s">
        <v>212</v>
      </c>
      <c r="F1068" t="s">
        <v>212</v>
      </c>
      <c r="G1068" t="s">
        <v>212</v>
      </c>
      <c r="H1068" t="s">
        <v>212</v>
      </c>
      <c r="I1068" t="s">
        <v>212</v>
      </c>
      <c r="J1068" t="s">
        <v>212</v>
      </c>
    </row>
    <row r="1069" spans="1:10">
      <c r="B1069" t="s">
        <v>2976</v>
      </c>
      <c r="C1069" t="s">
        <v>212</v>
      </c>
      <c r="D1069" t="s">
        <v>212</v>
      </c>
      <c r="E1069" t="s">
        <v>212</v>
      </c>
      <c r="F1069" t="s">
        <v>212</v>
      </c>
      <c r="G1069" t="s">
        <v>212</v>
      </c>
      <c r="H1069" t="s">
        <v>212</v>
      </c>
      <c r="I1069" t="s">
        <v>212</v>
      </c>
      <c r="J1069" t="s">
        <v>212</v>
      </c>
    </row>
    <row r="1070" spans="1:10">
      <c r="B1070" t="s">
        <v>2977</v>
      </c>
      <c r="C1070" t="s">
        <v>212</v>
      </c>
      <c r="D1070" t="s">
        <v>212</v>
      </c>
      <c r="E1070" t="s">
        <v>212</v>
      </c>
      <c r="F1070" t="s">
        <v>212</v>
      </c>
      <c r="G1070" t="s">
        <v>212</v>
      </c>
      <c r="H1070" t="s">
        <v>212</v>
      </c>
      <c r="I1070" t="s">
        <v>212</v>
      </c>
      <c r="J1070" t="s">
        <v>212</v>
      </c>
    </row>
    <row r="1071" spans="1:10">
      <c r="B1071" t="s">
        <v>2978</v>
      </c>
      <c r="C1071" t="s">
        <v>212</v>
      </c>
      <c r="D1071" t="s">
        <v>212</v>
      </c>
      <c r="E1071" t="s">
        <v>212</v>
      </c>
      <c r="F1071" t="s">
        <v>212</v>
      </c>
      <c r="G1071" t="s">
        <v>212</v>
      </c>
      <c r="H1071" t="s">
        <v>212</v>
      </c>
      <c r="I1071" t="s">
        <v>212</v>
      </c>
      <c r="J1071" t="s">
        <v>212</v>
      </c>
    </row>
    <row r="1072" spans="1:10">
      <c r="B1072" t="s">
        <v>2979</v>
      </c>
      <c r="C1072" t="s">
        <v>212</v>
      </c>
      <c r="D1072" t="s">
        <v>212</v>
      </c>
      <c r="E1072" t="s">
        <v>212</v>
      </c>
      <c r="F1072" t="s">
        <v>212</v>
      </c>
      <c r="G1072" t="s">
        <v>212</v>
      </c>
      <c r="H1072" t="s">
        <v>212</v>
      </c>
      <c r="I1072" t="s">
        <v>212</v>
      </c>
      <c r="J1072" t="s">
        <v>212</v>
      </c>
    </row>
    <row r="1073" spans="1:10">
      <c r="B1073" t="s">
        <v>2980</v>
      </c>
      <c r="C1073" t="s">
        <v>212</v>
      </c>
      <c r="D1073" t="s">
        <v>212</v>
      </c>
      <c r="E1073" t="s">
        <v>212</v>
      </c>
      <c r="F1073" t="s">
        <v>212</v>
      </c>
      <c r="G1073" t="s">
        <v>212</v>
      </c>
      <c r="H1073" t="s">
        <v>212</v>
      </c>
      <c r="I1073" t="s">
        <v>212</v>
      </c>
      <c r="J1073" t="s">
        <v>212</v>
      </c>
    </row>
    <row r="1075" spans="1:10">
      <c r="B1075" t="s">
        <v>2981</v>
      </c>
      <c r="C1075">
        <v>10.75</v>
      </c>
      <c r="D1075">
        <v>18.03</v>
      </c>
      <c r="E1075">
        <v>4.75</v>
      </c>
      <c r="F1075">
        <v>18.52</v>
      </c>
      <c r="G1075">
        <v>1.25</v>
      </c>
      <c r="H1075">
        <v>24.13</v>
      </c>
      <c r="I1075">
        <v>1.25</v>
      </c>
      <c r="J1075">
        <v>24.13</v>
      </c>
    </row>
    <row r="1076" spans="1:10">
      <c r="B1076" t="s">
        <v>2982</v>
      </c>
      <c r="C1076">
        <v>10.75</v>
      </c>
      <c r="D1076">
        <v>18.03</v>
      </c>
      <c r="E1076">
        <v>4.75</v>
      </c>
      <c r="F1076">
        <v>18.52</v>
      </c>
      <c r="G1076">
        <v>1.25</v>
      </c>
      <c r="H1076">
        <v>24.13</v>
      </c>
      <c r="I1076">
        <v>1.25</v>
      </c>
      <c r="J1076">
        <v>24.13</v>
      </c>
    </row>
    <row r="1077" spans="1:10">
      <c r="B1077" t="s">
        <v>2983</v>
      </c>
      <c r="C1077">
        <v>10.75</v>
      </c>
      <c r="D1077">
        <v>18.03</v>
      </c>
      <c r="E1077">
        <v>4.75</v>
      </c>
      <c r="F1077">
        <v>18.52</v>
      </c>
      <c r="G1077">
        <v>1.25</v>
      </c>
      <c r="H1077">
        <v>24.13</v>
      </c>
      <c r="I1077">
        <v>1.25</v>
      </c>
      <c r="J1077">
        <v>24.13</v>
      </c>
    </row>
    <row r="1080" spans="1:10">
      <c r="A1080" t="s">
        <v>1914</v>
      </c>
    </row>
    <row r="1081" spans="1:10">
      <c r="A1081" t="s">
        <v>1915</v>
      </c>
      <c r="B1081" t="s">
        <v>2964</v>
      </c>
    </row>
    <row r="1082" spans="1:10">
      <c r="A1082" t="s">
        <v>1917</v>
      </c>
      <c r="B1082" t="s">
        <v>2087</v>
      </c>
    </row>
    <row r="1083" spans="1:10">
      <c r="C1083" t="s">
        <v>2965</v>
      </c>
      <c r="D1083" t="s">
        <v>2966</v>
      </c>
      <c r="E1083" t="s">
        <v>2967</v>
      </c>
      <c r="F1083" t="s">
        <v>2966</v>
      </c>
      <c r="G1083" t="s">
        <v>2968</v>
      </c>
      <c r="H1083" t="s">
        <v>2966</v>
      </c>
      <c r="I1083" t="s">
        <v>2969</v>
      </c>
      <c r="J1083" t="s">
        <v>2966</v>
      </c>
    </row>
    <row r="1084" spans="1:10">
      <c r="B1084" t="s">
        <v>2970</v>
      </c>
      <c r="C1084">
        <v>10.75</v>
      </c>
      <c r="D1084">
        <v>17.940000000000001</v>
      </c>
      <c r="E1084">
        <v>4.75</v>
      </c>
      <c r="F1084">
        <v>18.5</v>
      </c>
      <c r="G1084">
        <v>0</v>
      </c>
      <c r="H1084">
        <v>0</v>
      </c>
      <c r="I1084">
        <v>0</v>
      </c>
      <c r="J1084">
        <v>0</v>
      </c>
    </row>
    <row r="1085" spans="1:10">
      <c r="B1085" t="s">
        <v>2971</v>
      </c>
      <c r="C1085" t="s">
        <v>212</v>
      </c>
      <c r="D1085" t="s">
        <v>212</v>
      </c>
      <c r="E1085" t="s">
        <v>212</v>
      </c>
      <c r="F1085" t="s">
        <v>212</v>
      </c>
      <c r="G1085" t="s">
        <v>212</v>
      </c>
      <c r="H1085" t="s">
        <v>212</v>
      </c>
      <c r="I1085" t="s">
        <v>212</v>
      </c>
      <c r="J1085" t="s">
        <v>212</v>
      </c>
    </row>
    <row r="1086" spans="1:10">
      <c r="B1086" t="s">
        <v>2972</v>
      </c>
      <c r="C1086" t="s">
        <v>212</v>
      </c>
      <c r="D1086" t="s">
        <v>212</v>
      </c>
      <c r="E1086" t="s">
        <v>212</v>
      </c>
      <c r="F1086" t="s">
        <v>212</v>
      </c>
      <c r="G1086" t="s">
        <v>212</v>
      </c>
      <c r="H1086" t="s">
        <v>212</v>
      </c>
      <c r="I1086" t="s">
        <v>212</v>
      </c>
      <c r="J1086" t="s">
        <v>212</v>
      </c>
    </row>
    <row r="1087" spans="1:10">
      <c r="B1087" t="s">
        <v>2973</v>
      </c>
      <c r="C1087" t="s">
        <v>212</v>
      </c>
      <c r="D1087" t="s">
        <v>212</v>
      </c>
      <c r="E1087" t="s">
        <v>212</v>
      </c>
      <c r="F1087" t="s">
        <v>212</v>
      </c>
      <c r="G1087" t="s">
        <v>212</v>
      </c>
      <c r="H1087" t="s">
        <v>212</v>
      </c>
      <c r="I1087" t="s">
        <v>212</v>
      </c>
      <c r="J1087" t="s">
        <v>212</v>
      </c>
    </row>
    <row r="1088" spans="1:10">
      <c r="B1088" t="s">
        <v>820</v>
      </c>
      <c r="C1088" t="s">
        <v>212</v>
      </c>
      <c r="D1088" t="s">
        <v>212</v>
      </c>
      <c r="E1088" t="s">
        <v>212</v>
      </c>
      <c r="F1088" t="s">
        <v>212</v>
      </c>
      <c r="G1088" t="s">
        <v>212</v>
      </c>
      <c r="H1088" t="s">
        <v>212</v>
      </c>
      <c r="I1088" t="s">
        <v>212</v>
      </c>
      <c r="J1088" t="s">
        <v>212</v>
      </c>
    </row>
    <row r="1089" spans="1:10">
      <c r="B1089" t="s">
        <v>2974</v>
      </c>
      <c r="C1089" t="s">
        <v>212</v>
      </c>
      <c r="D1089" t="s">
        <v>212</v>
      </c>
      <c r="E1089" t="s">
        <v>212</v>
      </c>
      <c r="F1089" t="s">
        <v>212</v>
      </c>
      <c r="G1089" t="s">
        <v>212</v>
      </c>
      <c r="H1089" t="s">
        <v>212</v>
      </c>
      <c r="I1089" t="s">
        <v>212</v>
      </c>
      <c r="J1089" t="s">
        <v>212</v>
      </c>
    </row>
    <row r="1090" spans="1:10">
      <c r="B1090" t="s">
        <v>2975</v>
      </c>
      <c r="C1090" t="s">
        <v>212</v>
      </c>
      <c r="D1090" t="s">
        <v>212</v>
      </c>
      <c r="E1090" t="s">
        <v>212</v>
      </c>
      <c r="F1090" t="s">
        <v>212</v>
      </c>
      <c r="G1090" t="s">
        <v>212</v>
      </c>
      <c r="H1090" t="s">
        <v>212</v>
      </c>
      <c r="I1090" t="s">
        <v>212</v>
      </c>
      <c r="J1090" t="s">
        <v>212</v>
      </c>
    </row>
    <row r="1091" spans="1:10">
      <c r="B1091" t="s">
        <v>2976</v>
      </c>
      <c r="C1091" t="s">
        <v>212</v>
      </c>
      <c r="D1091" t="s">
        <v>212</v>
      </c>
      <c r="E1091" t="s">
        <v>212</v>
      </c>
      <c r="F1091" t="s">
        <v>212</v>
      </c>
      <c r="G1091" t="s">
        <v>212</v>
      </c>
      <c r="H1091" t="s">
        <v>212</v>
      </c>
      <c r="I1091" t="s">
        <v>212</v>
      </c>
      <c r="J1091" t="s">
        <v>212</v>
      </c>
    </row>
    <row r="1092" spans="1:10">
      <c r="B1092" t="s">
        <v>2977</v>
      </c>
      <c r="C1092" t="s">
        <v>212</v>
      </c>
      <c r="D1092" t="s">
        <v>212</v>
      </c>
      <c r="E1092" t="s">
        <v>212</v>
      </c>
      <c r="F1092" t="s">
        <v>212</v>
      </c>
      <c r="G1092" t="s">
        <v>212</v>
      </c>
      <c r="H1092" t="s">
        <v>212</v>
      </c>
      <c r="I1092" t="s">
        <v>212</v>
      </c>
      <c r="J1092" t="s">
        <v>212</v>
      </c>
    </row>
    <row r="1093" spans="1:10">
      <c r="B1093" t="s">
        <v>2978</v>
      </c>
      <c r="C1093" t="s">
        <v>212</v>
      </c>
      <c r="D1093" t="s">
        <v>212</v>
      </c>
      <c r="E1093" t="s">
        <v>212</v>
      </c>
      <c r="F1093" t="s">
        <v>212</v>
      </c>
      <c r="G1093" t="s">
        <v>212</v>
      </c>
      <c r="H1093" t="s">
        <v>212</v>
      </c>
      <c r="I1093" t="s">
        <v>212</v>
      </c>
      <c r="J1093" t="s">
        <v>212</v>
      </c>
    </row>
    <row r="1094" spans="1:10">
      <c r="B1094" t="s">
        <v>2979</v>
      </c>
      <c r="C1094" t="s">
        <v>212</v>
      </c>
      <c r="D1094" t="s">
        <v>212</v>
      </c>
      <c r="E1094" t="s">
        <v>212</v>
      </c>
      <c r="F1094" t="s">
        <v>212</v>
      </c>
      <c r="G1094" t="s">
        <v>212</v>
      </c>
      <c r="H1094" t="s">
        <v>212</v>
      </c>
      <c r="I1094" t="s">
        <v>212</v>
      </c>
      <c r="J1094" t="s">
        <v>212</v>
      </c>
    </row>
    <row r="1095" spans="1:10">
      <c r="B1095" t="s">
        <v>2980</v>
      </c>
      <c r="C1095" t="s">
        <v>212</v>
      </c>
      <c r="D1095" t="s">
        <v>212</v>
      </c>
      <c r="E1095" t="s">
        <v>212</v>
      </c>
      <c r="F1095" t="s">
        <v>212</v>
      </c>
      <c r="G1095" t="s">
        <v>212</v>
      </c>
      <c r="H1095" t="s">
        <v>212</v>
      </c>
      <c r="I1095" t="s">
        <v>212</v>
      </c>
      <c r="J1095" t="s">
        <v>212</v>
      </c>
    </row>
    <row r="1097" spans="1:10">
      <c r="B1097" t="s">
        <v>2981</v>
      </c>
      <c r="C1097">
        <v>10.75</v>
      </c>
      <c r="D1097">
        <v>17.940000000000001</v>
      </c>
      <c r="E1097">
        <v>4.75</v>
      </c>
      <c r="F1097">
        <v>18.5</v>
      </c>
      <c r="G1097">
        <v>0</v>
      </c>
      <c r="I1097">
        <v>0</v>
      </c>
    </row>
    <row r="1098" spans="1:10">
      <c r="B1098" t="s">
        <v>2982</v>
      </c>
      <c r="C1098">
        <v>10.75</v>
      </c>
      <c r="D1098">
        <v>17.940000000000001</v>
      </c>
      <c r="E1098">
        <v>4.75</v>
      </c>
      <c r="F1098">
        <v>18.5</v>
      </c>
      <c r="G1098">
        <v>0</v>
      </c>
      <c r="H1098">
        <v>0</v>
      </c>
      <c r="I1098">
        <v>0</v>
      </c>
      <c r="J1098">
        <v>0</v>
      </c>
    </row>
    <row r="1099" spans="1:10">
      <c r="B1099" t="s">
        <v>2983</v>
      </c>
      <c r="C1099">
        <v>10.75</v>
      </c>
      <c r="D1099">
        <v>17.940000000000001</v>
      </c>
      <c r="E1099">
        <v>4.75</v>
      </c>
      <c r="F1099">
        <v>18.5</v>
      </c>
      <c r="G1099">
        <v>0</v>
      </c>
      <c r="H1099">
        <v>0</v>
      </c>
      <c r="I1099">
        <v>0</v>
      </c>
      <c r="J1099">
        <v>0</v>
      </c>
    </row>
    <row r="1102" spans="1:10">
      <c r="A1102" t="s">
        <v>1914</v>
      </c>
    </row>
    <row r="1103" spans="1:10">
      <c r="A1103" t="s">
        <v>1915</v>
      </c>
      <c r="B1103" t="s">
        <v>2964</v>
      </c>
    </row>
    <row r="1104" spans="1:10">
      <c r="A1104" t="s">
        <v>1917</v>
      </c>
      <c r="B1104" t="s">
        <v>2088</v>
      </c>
    </row>
    <row r="1105" spans="2:10">
      <c r="C1105" t="s">
        <v>2965</v>
      </c>
      <c r="D1105" t="s">
        <v>2966</v>
      </c>
      <c r="E1105" t="s">
        <v>2967</v>
      </c>
      <c r="F1105" t="s">
        <v>2966</v>
      </c>
      <c r="G1105" t="s">
        <v>2968</v>
      </c>
      <c r="H1105" t="s">
        <v>2966</v>
      </c>
      <c r="I1105" t="s">
        <v>2969</v>
      </c>
      <c r="J1105" t="s">
        <v>2966</v>
      </c>
    </row>
    <row r="1106" spans="2:10">
      <c r="B1106" t="s">
        <v>2970</v>
      </c>
      <c r="C1106">
        <v>10.5</v>
      </c>
      <c r="D1106">
        <v>18.11</v>
      </c>
      <c r="E1106">
        <v>4.5</v>
      </c>
      <c r="F1106">
        <v>18.670000000000002</v>
      </c>
      <c r="G1106">
        <v>4</v>
      </c>
      <c r="H1106">
        <v>24.39</v>
      </c>
      <c r="I1106">
        <v>4</v>
      </c>
      <c r="J1106">
        <v>24.39</v>
      </c>
    </row>
    <row r="1107" spans="2:10">
      <c r="B1107" t="s">
        <v>2971</v>
      </c>
      <c r="C1107" t="s">
        <v>212</v>
      </c>
      <c r="D1107" t="s">
        <v>212</v>
      </c>
      <c r="E1107" t="s">
        <v>212</v>
      </c>
      <c r="F1107" t="s">
        <v>212</v>
      </c>
      <c r="G1107" t="s">
        <v>212</v>
      </c>
      <c r="H1107" t="s">
        <v>212</v>
      </c>
      <c r="I1107" t="s">
        <v>212</v>
      </c>
      <c r="J1107" t="s">
        <v>212</v>
      </c>
    </row>
    <row r="1108" spans="2:10">
      <c r="B1108" t="s">
        <v>2972</v>
      </c>
      <c r="C1108" t="s">
        <v>212</v>
      </c>
      <c r="D1108" t="s">
        <v>212</v>
      </c>
      <c r="E1108" t="s">
        <v>212</v>
      </c>
      <c r="F1108" t="s">
        <v>212</v>
      </c>
      <c r="G1108" t="s">
        <v>212</v>
      </c>
      <c r="H1108" t="s">
        <v>212</v>
      </c>
      <c r="I1108" t="s">
        <v>212</v>
      </c>
      <c r="J1108" t="s">
        <v>212</v>
      </c>
    </row>
    <row r="1109" spans="2:10">
      <c r="B1109" t="s">
        <v>2973</v>
      </c>
      <c r="C1109" t="s">
        <v>212</v>
      </c>
      <c r="D1109" t="s">
        <v>212</v>
      </c>
      <c r="E1109" t="s">
        <v>212</v>
      </c>
      <c r="F1109" t="s">
        <v>212</v>
      </c>
      <c r="G1109" t="s">
        <v>212</v>
      </c>
      <c r="H1109" t="s">
        <v>212</v>
      </c>
      <c r="I1109" t="s">
        <v>212</v>
      </c>
      <c r="J1109" t="s">
        <v>212</v>
      </c>
    </row>
    <row r="1110" spans="2:10">
      <c r="B1110" t="s">
        <v>820</v>
      </c>
      <c r="C1110" t="s">
        <v>212</v>
      </c>
      <c r="D1110" t="s">
        <v>212</v>
      </c>
      <c r="E1110" t="s">
        <v>212</v>
      </c>
      <c r="F1110" t="s">
        <v>212</v>
      </c>
      <c r="G1110" t="s">
        <v>212</v>
      </c>
      <c r="H1110" t="s">
        <v>212</v>
      </c>
      <c r="I1110" t="s">
        <v>212</v>
      </c>
      <c r="J1110" t="s">
        <v>212</v>
      </c>
    </row>
    <row r="1111" spans="2:10">
      <c r="B1111" t="s">
        <v>2974</v>
      </c>
      <c r="C1111" t="s">
        <v>212</v>
      </c>
      <c r="D1111" t="s">
        <v>212</v>
      </c>
      <c r="E1111" t="s">
        <v>212</v>
      </c>
      <c r="F1111" t="s">
        <v>212</v>
      </c>
      <c r="G1111" t="s">
        <v>212</v>
      </c>
      <c r="H1111" t="s">
        <v>212</v>
      </c>
      <c r="I1111" t="s">
        <v>212</v>
      </c>
      <c r="J1111" t="s">
        <v>212</v>
      </c>
    </row>
    <row r="1112" spans="2:10">
      <c r="B1112" t="s">
        <v>2975</v>
      </c>
      <c r="C1112" t="s">
        <v>212</v>
      </c>
      <c r="D1112" t="s">
        <v>212</v>
      </c>
      <c r="E1112" t="s">
        <v>212</v>
      </c>
      <c r="F1112" t="s">
        <v>212</v>
      </c>
      <c r="G1112" t="s">
        <v>212</v>
      </c>
      <c r="H1112" t="s">
        <v>212</v>
      </c>
      <c r="I1112" t="s">
        <v>212</v>
      </c>
      <c r="J1112" t="s">
        <v>212</v>
      </c>
    </row>
    <row r="1113" spans="2:10">
      <c r="B1113" t="s">
        <v>2976</v>
      </c>
      <c r="C1113" t="s">
        <v>212</v>
      </c>
      <c r="D1113" t="s">
        <v>212</v>
      </c>
      <c r="E1113" t="s">
        <v>212</v>
      </c>
      <c r="F1113" t="s">
        <v>212</v>
      </c>
      <c r="G1113" t="s">
        <v>212</v>
      </c>
      <c r="H1113" t="s">
        <v>212</v>
      </c>
      <c r="I1113" t="s">
        <v>212</v>
      </c>
      <c r="J1113" t="s">
        <v>212</v>
      </c>
    </row>
    <row r="1114" spans="2:10">
      <c r="B1114" t="s">
        <v>2977</v>
      </c>
      <c r="C1114" t="s">
        <v>212</v>
      </c>
      <c r="D1114" t="s">
        <v>212</v>
      </c>
      <c r="E1114" t="s">
        <v>212</v>
      </c>
      <c r="F1114" t="s">
        <v>212</v>
      </c>
      <c r="G1114" t="s">
        <v>212</v>
      </c>
      <c r="H1114" t="s">
        <v>212</v>
      </c>
      <c r="I1114" t="s">
        <v>212</v>
      </c>
      <c r="J1114" t="s">
        <v>212</v>
      </c>
    </row>
    <row r="1115" spans="2:10">
      <c r="B1115" t="s">
        <v>2978</v>
      </c>
      <c r="C1115" t="s">
        <v>212</v>
      </c>
      <c r="D1115" t="s">
        <v>212</v>
      </c>
      <c r="E1115" t="s">
        <v>212</v>
      </c>
      <c r="F1115" t="s">
        <v>212</v>
      </c>
      <c r="G1115" t="s">
        <v>212</v>
      </c>
      <c r="H1115" t="s">
        <v>212</v>
      </c>
      <c r="I1115" t="s">
        <v>212</v>
      </c>
      <c r="J1115" t="s">
        <v>212</v>
      </c>
    </row>
    <row r="1116" spans="2:10">
      <c r="B1116" t="s">
        <v>2979</v>
      </c>
      <c r="C1116" t="s">
        <v>212</v>
      </c>
      <c r="D1116" t="s">
        <v>212</v>
      </c>
      <c r="E1116" t="s">
        <v>212</v>
      </c>
      <c r="F1116" t="s">
        <v>212</v>
      </c>
      <c r="G1116" t="s">
        <v>212</v>
      </c>
      <c r="H1116" t="s">
        <v>212</v>
      </c>
      <c r="I1116" t="s">
        <v>212</v>
      </c>
      <c r="J1116" t="s">
        <v>212</v>
      </c>
    </row>
    <row r="1117" spans="2:10">
      <c r="B1117" t="s">
        <v>2980</v>
      </c>
      <c r="C1117" t="s">
        <v>212</v>
      </c>
      <c r="D1117" t="s">
        <v>212</v>
      </c>
      <c r="E1117" t="s">
        <v>212</v>
      </c>
      <c r="F1117" t="s">
        <v>212</v>
      </c>
      <c r="G1117" t="s">
        <v>212</v>
      </c>
      <c r="H1117" t="s">
        <v>212</v>
      </c>
      <c r="I1117" t="s">
        <v>212</v>
      </c>
      <c r="J1117" t="s">
        <v>212</v>
      </c>
    </row>
    <row r="1119" spans="2:10">
      <c r="B1119" t="s">
        <v>2981</v>
      </c>
      <c r="C1119">
        <v>10.5</v>
      </c>
      <c r="D1119">
        <v>18.11</v>
      </c>
      <c r="E1119">
        <v>4.5</v>
      </c>
      <c r="F1119">
        <v>18.670000000000002</v>
      </c>
      <c r="G1119">
        <v>4</v>
      </c>
      <c r="H1119">
        <v>24.39</v>
      </c>
      <c r="I1119">
        <v>4</v>
      </c>
      <c r="J1119">
        <v>24.39</v>
      </c>
    </row>
    <row r="1120" spans="2:10">
      <c r="B1120" t="s">
        <v>2982</v>
      </c>
      <c r="C1120">
        <v>10.5</v>
      </c>
      <c r="D1120">
        <v>18.11</v>
      </c>
      <c r="E1120">
        <v>4.5</v>
      </c>
      <c r="F1120">
        <v>18.670000000000002</v>
      </c>
      <c r="G1120">
        <v>4</v>
      </c>
      <c r="H1120">
        <v>24.39</v>
      </c>
      <c r="I1120">
        <v>4</v>
      </c>
      <c r="J1120">
        <v>24.39</v>
      </c>
    </row>
    <row r="1121" spans="1:10">
      <c r="B1121" t="s">
        <v>2983</v>
      </c>
      <c r="C1121">
        <v>10.5</v>
      </c>
      <c r="D1121">
        <v>18.11</v>
      </c>
      <c r="E1121">
        <v>4.5</v>
      </c>
      <c r="F1121">
        <v>18.670000000000002</v>
      </c>
      <c r="G1121">
        <v>4</v>
      </c>
      <c r="H1121">
        <v>24.39</v>
      </c>
      <c r="I1121">
        <v>4</v>
      </c>
      <c r="J1121">
        <v>24.39</v>
      </c>
    </row>
    <row r="1124" spans="1:10">
      <c r="A1124" t="s">
        <v>1914</v>
      </c>
    </row>
    <row r="1125" spans="1:10">
      <c r="A1125" t="s">
        <v>1915</v>
      </c>
      <c r="B1125" t="s">
        <v>2964</v>
      </c>
    </row>
    <row r="1126" spans="1:10">
      <c r="A1126" t="s">
        <v>1917</v>
      </c>
      <c r="B1126" t="s">
        <v>2089</v>
      </c>
    </row>
    <row r="1127" spans="1:10">
      <c r="C1127" t="s">
        <v>2965</v>
      </c>
      <c r="D1127" t="s">
        <v>2966</v>
      </c>
      <c r="E1127" t="s">
        <v>2967</v>
      </c>
      <c r="F1127" t="s">
        <v>2966</v>
      </c>
      <c r="G1127" t="s">
        <v>2968</v>
      </c>
      <c r="H1127" t="s">
        <v>2966</v>
      </c>
      <c r="I1127" t="s">
        <v>2969</v>
      </c>
      <c r="J1127" t="s">
        <v>2966</v>
      </c>
    </row>
    <row r="1128" spans="1:10">
      <c r="B1128" t="s">
        <v>2970</v>
      </c>
      <c r="C1128">
        <v>10.5</v>
      </c>
      <c r="D1128">
        <v>17.940000000000001</v>
      </c>
      <c r="E1128">
        <v>4.5</v>
      </c>
      <c r="F1128">
        <v>18.5</v>
      </c>
      <c r="G1128">
        <v>2.25</v>
      </c>
      <c r="H1128">
        <v>24.23</v>
      </c>
      <c r="I1128">
        <v>2.25</v>
      </c>
      <c r="J1128">
        <v>24.23</v>
      </c>
    </row>
    <row r="1129" spans="1:10">
      <c r="B1129" t="s">
        <v>2971</v>
      </c>
      <c r="C1129" t="s">
        <v>212</v>
      </c>
      <c r="D1129" t="s">
        <v>212</v>
      </c>
      <c r="E1129" t="s">
        <v>212</v>
      </c>
      <c r="F1129" t="s">
        <v>212</v>
      </c>
      <c r="G1129" t="s">
        <v>212</v>
      </c>
      <c r="H1129" t="s">
        <v>212</v>
      </c>
      <c r="I1129" t="s">
        <v>212</v>
      </c>
      <c r="J1129" t="s">
        <v>212</v>
      </c>
    </row>
    <row r="1130" spans="1:10">
      <c r="B1130" t="s">
        <v>2972</v>
      </c>
      <c r="C1130" t="s">
        <v>212</v>
      </c>
      <c r="D1130" t="s">
        <v>212</v>
      </c>
      <c r="E1130" t="s">
        <v>212</v>
      </c>
      <c r="F1130" t="s">
        <v>212</v>
      </c>
      <c r="G1130" t="s">
        <v>212</v>
      </c>
      <c r="H1130" t="s">
        <v>212</v>
      </c>
      <c r="I1130" t="s">
        <v>212</v>
      </c>
      <c r="J1130" t="s">
        <v>212</v>
      </c>
    </row>
    <row r="1131" spans="1:10">
      <c r="B1131" t="s">
        <v>2973</v>
      </c>
      <c r="C1131" t="s">
        <v>212</v>
      </c>
      <c r="D1131" t="s">
        <v>212</v>
      </c>
      <c r="E1131" t="s">
        <v>212</v>
      </c>
      <c r="F1131" t="s">
        <v>212</v>
      </c>
      <c r="G1131" t="s">
        <v>212</v>
      </c>
      <c r="H1131" t="s">
        <v>212</v>
      </c>
      <c r="I1131" t="s">
        <v>212</v>
      </c>
      <c r="J1131" t="s">
        <v>212</v>
      </c>
    </row>
    <row r="1132" spans="1:10">
      <c r="B1132" t="s">
        <v>820</v>
      </c>
      <c r="C1132" t="s">
        <v>212</v>
      </c>
      <c r="D1132" t="s">
        <v>212</v>
      </c>
      <c r="E1132" t="s">
        <v>212</v>
      </c>
      <c r="F1132" t="s">
        <v>212</v>
      </c>
      <c r="G1132" t="s">
        <v>212</v>
      </c>
      <c r="H1132" t="s">
        <v>212</v>
      </c>
      <c r="I1132" t="s">
        <v>212</v>
      </c>
      <c r="J1132" t="s">
        <v>212</v>
      </c>
    </row>
    <row r="1133" spans="1:10">
      <c r="B1133" t="s">
        <v>2974</v>
      </c>
      <c r="C1133" t="s">
        <v>212</v>
      </c>
      <c r="D1133" t="s">
        <v>212</v>
      </c>
      <c r="E1133" t="s">
        <v>212</v>
      </c>
      <c r="F1133" t="s">
        <v>212</v>
      </c>
      <c r="G1133" t="s">
        <v>212</v>
      </c>
      <c r="H1133" t="s">
        <v>212</v>
      </c>
      <c r="I1133" t="s">
        <v>212</v>
      </c>
      <c r="J1133" t="s">
        <v>212</v>
      </c>
    </row>
    <row r="1134" spans="1:10">
      <c r="B1134" t="s">
        <v>2975</v>
      </c>
      <c r="C1134" t="s">
        <v>212</v>
      </c>
      <c r="D1134" t="s">
        <v>212</v>
      </c>
      <c r="E1134" t="s">
        <v>212</v>
      </c>
      <c r="F1134" t="s">
        <v>212</v>
      </c>
      <c r="G1134" t="s">
        <v>212</v>
      </c>
      <c r="H1134" t="s">
        <v>212</v>
      </c>
      <c r="I1134" t="s">
        <v>212</v>
      </c>
      <c r="J1134" t="s">
        <v>212</v>
      </c>
    </row>
    <row r="1135" spans="1:10">
      <c r="B1135" t="s">
        <v>2976</v>
      </c>
      <c r="C1135" t="s">
        <v>212</v>
      </c>
      <c r="D1135" t="s">
        <v>212</v>
      </c>
      <c r="E1135" t="s">
        <v>212</v>
      </c>
      <c r="F1135" t="s">
        <v>212</v>
      </c>
      <c r="G1135" t="s">
        <v>212</v>
      </c>
      <c r="H1135" t="s">
        <v>212</v>
      </c>
      <c r="I1135" t="s">
        <v>212</v>
      </c>
      <c r="J1135" t="s">
        <v>212</v>
      </c>
    </row>
    <row r="1136" spans="1:10">
      <c r="B1136" t="s">
        <v>2977</v>
      </c>
      <c r="C1136" t="s">
        <v>212</v>
      </c>
      <c r="D1136" t="s">
        <v>212</v>
      </c>
      <c r="E1136" t="s">
        <v>212</v>
      </c>
      <c r="F1136" t="s">
        <v>212</v>
      </c>
      <c r="G1136" t="s">
        <v>212</v>
      </c>
      <c r="H1136" t="s">
        <v>212</v>
      </c>
      <c r="I1136" t="s">
        <v>212</v>
      </c>
      <c r="J1136" t="s">
        <v>212</v>
      </c>
    </row>
    <row r="1137" spans="1:10">
      <c r="B1137" t="s">
        <v>2978</v>
      </c>
      <c r="C1137" t="s">
        <v>212</v>
      </c>
      <c r="D1137" t="s">
        <v>212</v>
      </c>
      <c r="E1137" t="s">
        <v>212</v>
      </c>
      <c r="F1137" t="s">
        <v>212</v>
      </c>
      <c r="G1137" t="s">
        <v>212</v>
      </c>
      <c r="H1137" t="s">
        <v>212</v>
      </c>
      <c r="I1137" t="s">
        <v>212</v>
      </c>
      <c r="J1137" t="s">
        <v>212</v>
      </c>
    </row>
    <row r="1138" spans="1:10">
      <c r="B1138" t="s">
        <v>2979</v>
      </c>
      <c r="C1138" t="s">
        <v>212</v>
      </c>
      <c r="D1138" t="s">
        <v>212</v>
      </c>
      <c r="E1138" t="s">
        <v>212</v>
      </c>
      <c r="F1138" t="s">
        <v>212</v>
      </c>
      <c r="G1138" t="s">
        <v>212</v>
      </c>
      <c r="H1138" t="s">
        <v>212</v>
      </c>
      <c r="I1138" t="s">
        <v>212</v>
      </c>
      <c r="J1138" t="s">
        <v>212</v>
      </c>
    </row>
    <row r="1139" spans="1:10">
      <c r="B1139" t="s">
        <v>2980</v>
      </c>
      <c r="C1139" t="s">
        <v>212</v>
      </c>
      <c r="D1139" t="s">
        <v>212</v>
      </c>
      <c r="E1139" t="s">
        <v>212</v>
      </c>
      <c r="F1139" t="s">
        <v>212</v>
      </c>
      <c r="G1139" t="s">
        <v>212</v>
      </c>
      <c r="H1139" t="s">
        <v>212</v>
      </c>
      <c r="I1139" t="s">
        <v>212</v>
      </c>
      <c r="J1139" t="s">
        <v>212</v>
      </c>
    </row>
    <row r="1141" spans="1:10">
      <c r="B1141" t="s">
        <v>2981</v>
      </c>
      <c r="C1141">
        <v>10.5</v>
      </c>
      <c r="D1141">
        <v>17.940000000000001</v>
      </c>
      <c r="E1141">
        <v>4.5</v>
      </c>
      <c r="F1141">
        <v>18.5</v>
      </c>
      <c r="G1141">
        <v>2.25</v>
      </c>
      <c r="H1141">
        <v>24.23</v>
      </c>
      <c r="I1141">
        <v>2.25</v>
      </c>
      <c r="J1141">
        <v>24.23</v>
      </c>
    </row>
    <row r="1142" spans="1:10">
      <c r="B1142" t="s">
        <v>2982</v>
      </c>
      <c r="C1142">
        <v>10.5</v>
      </c>
      <c r="D1142">
        <v>17.940000000000001</v>
      </c>
      <c r="E1142">
        <v>4.5</v>
      </c>
      <c r="F1142">
        <v>18.5</v>
      </c>
      <c r="G1142">
        <v>2.25</v>
      </c>
      <c r="H1142">
        <v>24.23</v>
      </c>
      <c r="I1142">
        <v>2.25</v>
      </c>
      <c r="J1142">
        <v>24.23</v>
      </c>
    </row>
    <row r="1143" spans="1:10">
      <c r="B1143" t="s">
        <v>2983</v>
      </c>
      <c r="C1143">
        <v>10.5</v>
      </c>
      <c r="D1143">
        <v>17.940000000000001</v>
      </c>
      <c r="E1143">
        <v>4.5</v>
      </c>
      <c r="F1143">
        <v>18.5</v>
      </c>
      <c r="G1143">
        <v>2.25</v>
      </c>
      <c r="H1143">
        <v>24.23</v>
      </c>
      <c r="I1143">
        <v>2.25</v>
      </c>
      <c r="J1143">
        <v>24.23</v>
      </c>
    </row>
    <row r="1146" spans="1:10">
      <c r="A1146" t="s">
        <v>1914</v>
      </c>
    </row>
    <row r="1147" spans="1:10">
      <c r="A1147" t="s">
        <v>1915</v>
      </c>
      <c r="B1147" t="s">
        <v>2964</v>
      </c>
    </row>
    <row r="1148" spans="1:10">
      <c r="A1148" t="s">
        <v>1917</v>
      </c>
      <c r="B1148" t="s">
        <v>2090</v>
      </c>
    </row>
    <row r="1149" spans="1:10">
      <c r="C1149" t="s">
        <v>2965</v>
      </c>
      <c r="D1149" t="s">
        <v>2966</v>
      </c>
      <c r="E1149" t="s">
        <v>2967</v>
      </c>
      <c r="F1149" t="s">
        <v>2966</v>
      </c>
      <c r="G1149" t="s">
        <v>2968</v>
      </c>
      <c r="H1149" t="s">
        <v>2966</v>
      </c>
      <c r="I1149" t="s">
        <v>2969</v>
      </c>
      <c r="J1149" t="s">
        <v>2966</v>
      </c>
    </row>
    <row r="1150" spans="1:10">
      <c r="B1150" t="s">
        <v>2970</v>
      </c>
      <c r="C1150">
        <v>4.5</v>
      </c>
      <c r="D1150">
        <v>18.350000000000001</v>
      </c>
      <c r="E1150">
        <v>4.5</v>
      </c>
      <c r="F1150">
        <v>18.350000000000001</v>
      </c>
      <c r="G1150">
        <v>0</v>
      </c>
      <c r="H1150">
        <v>0</v>
      </c>
      <c r="I1150">
        <v>0</v>
      </c>
      <c r="J1150">
        <v>0</v>
      </c>
    </row>
    <row r="1151" spans="1:10">
      <c r="B1151" t="s">
        <v>2971</v>
      </c>
      <c r="C1151" t="s">
        <v>212</v>
      </c>
      <c r="D1151" t="s">
        <v>212</v>
      </c>
      <c r="E1151" t="s">
        <v>212</v>
      </c>
      <c r="F1151" t="s">
        <v>212</v>
      </c>
      <c r="G1151" t="s">
        <v>212</v>
      </c>
      <c r="H1151" t="s">
        <v>212</v>
      </c>
      <c r="I1151" t="s">
        <v>212</v>
      </c>
      <c r="J1151" t="s">
        <v>212</v>
      </c>
    </row>
    <row r="1152" spans="1:10">
      <c r="B1152" t="s">
        <v>2972</v>
      </c>
      <c r="C1152" t="s">
        <v>212</v>
      </c>
      <c r="D1152" t="s">
        <v>212</v>
      </c>
      <c r="E1152" t="s">
        <v>212</v>
      </c>
      <c r="F1152" t="s">
        <v>212</v>
      </c>
      <c r="G1152" t="s">
        <v>212</v>
      </c>
      <c r="H1152" t="s">
        <v>212</v>
      </c>
      <c r="I1152" t="s">
        <v>212</v>
      </c>
      <c r="J1152" t="s">
        <v>212</v>
      </c>
    </row>
    <row r="1153" spans="1:10">
      <c r="B1153" t="s">
        <v>2973</v>
      </c>
      <c r="C1153" t="s">
        <v>212</v>
      </c>
      <c r="D1153" t="s">
        <v>212</v>
      </c>
      <c r="E1153" t="s">
        <v>212</v>
      </c>
      <c r="F1153" t="s">
        <v>212</v>
      </c>
      <c r="G1153" t="s">
        <v>212</v>
      </c>
      <c r="H1153" t="s">
        <v>212</v>
      </c>
      <c r="I1153" t="s">
        <v>212</v>
      </c>
      <c r="J1153" t="s">
        <v>212</v>
      </c>
    </row>
    <row r="1154" spans="1:10">
      <c r="B1154" t="s">
        <v>820</v>
      </c>
      <c r="C1154" t="s">
        <v>212</v>
      </c>
      <c r="D1154" t="s">
        <v>212</v>
      </c>
      <c r="E1154" t="s">
        <v>212</v>
      </c>
      <c r="F1154" t="s">
        <v>212</v>
      </c>
      <c r="G1154" t="s">
        <v>212</v>
      </c>
      <c r="H1154" t="s">
        <v>212</v>
      </c>
      <c r="I1154" t="s">
        <v>212</v>
      </c>
      <c r="J1154" t="s">
        <v>212</v>
      </c>
    </row>
    <row r="1155" spans="1:10">
      <c r="B1155" t="s">
        <v>2974</v>
      </c>
      <c r="C1155" t="s">
        <v>212</v>
      </c>
      <c r="D1155" t="s">
        <v>212</v>
      </c>
      <c r="E1155" t="s">
        <v>212</v>
      </c>
      <c r="F1155" t="s">
        <v>212</v>
      </c>
      <c r="G1155" t="s">
        <v>212</v>
      </c>
      <c r="H1155" t="s">
        <v>212</v>
      </c>
      <c r="I1155" t="s">
        <v>212</v>
      </c>
      <c r="J1155" t="s">
        <v>212</v>
      </c>
    </row>
    <row r="1156" spans="1:10">
      <c r="B1156" t="s">
        <v>2975</v>
      </c>
      <c r="C1156" t="s">
        <v>212</v>
      </c>
      <c r="D1156" t="s">
        <v>212</v>
      </c>
      <c r="E1156" t="s">
        <v>212</v>
      </c>
      <c r="F1156" t="s">
        <v>212</v>
      </c>
      <c r="G1156" t="s">
        <v>212</v>
      </c>
      <c r="H1156" t="s">
        <v>212</v>
      </c>
      <c r="I1156" t="s">
        <v>212</v>
      </c>
      <c r="J1156" t="s">
        <v>212</v>
      </c>
    </row>
    <row r="1157" spans="1:10">
      <c r="B1157" t="s">
        <v>2976</v>
      </c>
      <c r="C1157" t="s">
        <v>212</v>
      </c>
      <c r="D1157" t="s">
        <v>212</v>
      </c>
      <c r="E1157" t="s">
        <v>212</v>
      </c>
      <c r="F1157" t="s">
        <v>212</v>
      </c>
      <c r="G1157" t="s">
        <v>212</v>
      </c>
      <c r="H1157" t="s">
        <v>212</v>
      </c>
      <c r="I1157" t="s">
        <v>212</v>
      </c>
      <c r="J1157" t="s">
        <v>212</v>
      </c>
    </row>
    <row r="1158" spans="1:10">
      <c r="B1158" t="s">
        <v>2977</v>
      </c>
      <c r="C1158" t="s">
        <v>212</v>
      </c>
      <c r="D1158" t="s">
        <v>212</v>
      </c>
      <c r="E1158" t="s">
        <v>212</v>
      </c>
      <c r="F1158" t="s">
        <v>212</v>
      </c>
      <c r="G1158" t="s">
        <v>212</v>
      </c>
      <c r="H1158" t="s">
        <v>212</v>
      </c>
      <c r="I1158" t="s">
        <v>212</v>
      </c>
      <c r="J1158" t="s">
        <v>212</v>
      </c>
    </row>
    <row r="1159" spans="1:10">
      <c r="B1159" t="s">
        <v>2978</v>
      </c>
      <c r="C1159" t="s">
        <v>212</v>
      </c>
      <c r="D1159" t="s">
        <v>212</v>
      </c>
      <c r="E1159" t="s">
        <v>212</v>
      </c>
      <c r="F1159" t="s">
        <v>212</v>
      </c>
      <c r="G1159" t="s">
        <v>212</v>
      </c>
      <c r="H1159" t="s">
        <v>212</v>
      </c>
      <c r="I1159" t="s">
        <v>212</v>
      </c>
      <c r="J1159" t="s">
        <v>212</v>
      </c>
    </row>
    <row r="1160" spans="1:10">
      <c r="B1160" t="s">
        <v>2979</v>
      </c>
      <c r="C1160" t="s">
        <v>212</v>
      </c>
      <c r="D1160" t="s">
        <v>212</v>
      </c>
      <c r="E1160" t="s">
        <v>212</v>
      </c>
      <c r="F1160" t="s">
        <v>212</v>
      </c>
      <c r="G1160" t="s">
        <v>212</v>
      </c>
      <c r="H1160" t="s">
        <v>212</v>
      </c>
      <c r="I1160" t="s">
        <v>212</v>
      </c>
      <c r="J1160" t="s">
        <v>212</v>
      </c>
    </row>
    <row r="1161" spans="1:10">
      <c r="B1161" t="s">
        <v>2980</v>
      </c>
      <c r="C1161" t="s">
        <v>212</v>
      </c>
      <c r="D1161" t="s">
        <v>212</v>
      </c>
      <c r="E1161" t="s">
        <v>212</v>
      </c>
      <c r="F1161" t="s">
        <v>212</v>
      </c>
      <c r="G1161" t="s">
        <v>212</v>
      </c>
      <c r="H1161" t="s">
        <v>212</v>
      </c>
      <c r="I1161" t="s">
        <v>212</v>
      </c>
      <c r="J1161" t="s">
        <v>212</v>
      </c>
    </row>
    <row r="1163" spans="1:10">
      <c r="B1163" t="s">
        <v>2981</v>
      </c>
      <c r="C1163">
        <v>4.5</v>
      </c>
      <c r="D1163">
        <v>18.350000000000001</v>
      </c>
      <c r="E1163">
        <v>4.5</v>
      </c>
      <c r="F1163">
        <v>18.350000000000001</v>
      </c>
      <c r="G1163">
        <v>0</v>
      </c>
      <c r="I1163">
        <v>0</v>
      </c>
    </row>
    <row r="1164" spans="1:10">
      <c r="B1164" t="s">
        <v>2982</v>
      </c>
      <c r="C1164">
        <v>4.5</v>
      </c>
      <c r="D1164">
        <v>18.350000000000001</v>
      </c>
      <c r="E1164">
        <v>4.5</v>
      </c>
      <c r="F1164">
        <v>18.350000000000001</v>
      </c>
      <c r="G1164">
        <v>0</v>
      </c>
      <c r="H1164">
        <v>0</v>
      </c>
      <c r="I1164">
        <v>0</v>
      </c>
      <c r="J1164">
        <v>0</v>
      </c>
    </row>
    <row r="1165" spans="1:10">
      <c r="B1165" t="s">
        <v>2983</v>
      </c>
      <c r="C1165">
        <v>4.5</v>
      </c>
      <c r="D1165">
        <v>18.350000000000001</v>
      </c>
      <c r="E1165">
        <v>4.5</v>
      </c>
      <c r="F1165">
        <v>18.350000000000001</v>
      </c>
      <c r="G1165">
        <v>0</v>
      </c>
      <c r="H1165">
        <v>0</v>
      </c>
      <c r="I1165">
        <v>0</v>
      </c>
      <c r="J1165">
        <v>0</v>
      </c>
    </row>
    <row r="1168" spans="1:10">
      <c r="A1168" t="s">
        <v>1914</v>
      </c>
    </row>
    <row r="1169" spans="1:10">
      <c r="A1169" t="s">
        <v>1915</v>
      </c>
      <c r="B1169" t="s">
        <v>2964</v>
      </c>
    </row>
    <row r="1170" spans="1:10">
      <c r="A1170" t="s">
        <v>1917</v>
      </c>
      <c r="B1170" t="s">
        <v>2091</v>
      </c>
    </row>
    <row r="1171" spans="1:10">
      <c r="C1171" t="s">
        <v>2965</v>
      </c>
      <c r="D1171" t="s">
        <v>2966</v>
      </c>
      <c r="E1171" t="s">
        <v>2967</v>
      </c>
      <c r="F1171" t="s">
        <v>2966</v>
      </c>
      <c r="G1171" t="s">
        <v>2968</v>
      </c>
      <c r="H1171" t="s">
        <v>2966</v>
      </c>
      <c r="I1171" t="s">
        <v>2969</v>
      </c>
      <c r="J1171" t="s">
        <v>2966</v>
      </c>
    </row>
    <row r="1172" spans="1:10">
      <c r="B1172" t="s">
        <v>2970</v>
      </c>
      <c r="C1172">
        <v>0</v>
      </c>
      <c r="D1172">
        <v>0</v>
      </c>
      <c r="E1172">
        <v>0</v>
      </c>
      <c r="F1172">
        <v>0</v>
      </c>
      <c r="G1172">
        <v>0</v>
      </c>
      <c r="H1172">
        <v>0</v>
      </c>
      <c r="I1172">
        <v>0</v>
      </c>
      <c r="J1172">
        <v>0</v>
      </c>
    </row>
    <row r="1173" spans="1:10">
      <c r="B1173" t="s">
        <v>2971</v>
      </c>
      <c r="C1173" t="s">
        <v>212</v>
      </c>
      <c r="D1173" t="s">
        <v>212</v>
      </c>
      <c r="E1173" t="s">
        <v>212</v>
      </c>
      <c r="F1173" t="s">
        <v>212</v>
      </c>
      <c r="G1173" t="s">
        <v>212</v>
      </c>
      <c r="H1173" t="s">
        <v>212</v>
      </c>
      <c r="I1173" t="s">
        <v>212</v>
      </c>
      <c r="J1173" t="s">
        <v>212</v>
      </c>
    </row>
    <row r="1174" spans="1:10">
      <c r="B1174" t="s">
        <v>2972</v>
      </c>
      <c r="C1174" t="s">
        <v>212</v>
      </c>
      <c r="D1174" t="s">
        <v>212</v>
      </c>
      <c r="E1174" t="s">
        <v>212</v>
      </c>
      <c r="F1174" t="s">
        <v>212</v>
      </c>
      <c r="G1174" t="s">
        <v>212</v>
      </c>
      <c r="H1174" t="s">
        <v>212</v>
      </c>
      <c r="I1174" t="s">
        <v>212</v>
      </c>
      <c r="J1174" t="s">
        <v>212</v>
      </c>
    </row>
    <row r="1175" spans="1:10">
      <c r="B1175" t="s">
        <v>2973</v>
      </c>
      <c r="C1175" t="s">
        <v>212</v>
      </c>
      <c r="D1175" t="s">
        <v>212</v>
      </c>
      <c r="E1175" t="s">
        <v>212</v>
      </c>
      <c r="F1175" t="s">
        <v>212</v>
      </c>
      <c r="G1175" t="s">
        <v>212</v>
      </c>
      <c r="H1175" t="s">
        <v>212</v>
      </c>
      <c r="I1175" t="s">
        <v>212</v>
      </c>
      <c r="J1175" t="s">
        <v>212</v>
      </c>
    </row>
    <row r="1176" spans="1:10">
      <c r="B1176" t="s">
        <v>820</v>
      </c>
      <c r="C1176" t="s">
        <v>212</v>
      </c>
      <c r="D1176" t="s">
        <v>212</v>
      </c>
      <c r="E1176" t="s">
        <v>212</v>
      </c>
      <c r="F1176" t="s">
        <v>212</v>
      </c>
      <c r="G1176" t="s">
        <v>212</v>
      </c>
      <c r="H1176" t="s">
        <v>212</v>
      </c>
      <c r="I1176" t="s">
        <v>212</v>
      </c>
      <c r="J1176" t="s">
        <v>212</v>
      </c>
    </row>
    <row r="1177" spans="1:10">
      <c r="B1177" t="s">
        <v>2974</v>
      </c>
      <c r="C1177" t="s">
        <v>212</v>
      </c>
      <c r="D1177" t="s">
        <v>212</v>
      </c>
      <c r="E1177" t="s">
        <v>212</v>
      </c>
      <c r="F1177" t="s">
        <v>212</v>
      </c>
      <c r="G1177" t="s">
        <v>212</v>
      </c>
      <c r="H1177" t="s">
        <v>212</v>
      </c>
      <c r="I1177" t="s">
        <v>212</v>
      </c>
      <c r="J1177" t="s">
        <v>212</v>
      </c>
    </row>
    <row r="1178" spans="1:10">
      <c r="B1178" t="s">
        <v>2975</v>
      </c>
      <c r="C1178" t="s">
        <v>212</v>
      </c>
      <c r="D1178" t="s">
        <v>212</v>
      </c>
      <c r="E1178" t="s">
        <v>212</v>
      </c>
      <c r="F1178" t="s">
        <v>212</v>
      </c>
      <c r="G1178" t="s">
        <v>212</v>
      </c>
      <c r="H1178" t="s">
        <v>212</v>
      </c>
      <c r="I1178" t="s">
        <v>212</v>
      </c>
      <c r="J1178" t="s">
        <v>212</v>
      </c>
    </row>
    <row r="1179" spans="1:10">
      <c r="B1179" t="s">
        <v>2976</v>
      </c>
      <c r="C1179" t="s">
        <v>212</v>
      </c>
      <c r="D1179" t="s">
        <v>212</v>
      </c>
      <c r="E1179" t="s">
        <v>212</v>
      </c>
      <c r="F1179" t="s">
        <v>212</v>
      </c>
      <c r="G1179" t="s">
        <v>212</v>
      </c>
      <c r="H1179" t="s">
        <v>212</v>
      </c>
      <c r="I1179" t="s">
        <v>212</v>
      </c>
      <c r="J1179" t="s">
        <v>212</v>
      </c>
    </row>
    <row r="1180" spans="1:10">
      <c r="B1180" t="s">
        <v>2977</v>
      </c>
      <c r="C1180" t="s">
        <v>212</v>
      </c>
      <c r="D1180" t="s">
        <v>212</v>
      </c>
      <c r="E1180" t="s">
        <v>212</v>
      </c>
      <c r="F1180" t="s">
        <v>212</v>
      </c>
      <c r="G1180" t="s">
        <v>212</v>
      </c>
      <c r="H1180" t="s">
        <v>212</v>
      </c>
      <c r="I1180" t="s">
        <v>212</v>
      </c>
      <c r="J1180" t="s">
        <v>212</v>
      </c>
    </row>
    <row r="1181" spans="1:10">
      <c r="B1181" t="s">
        <v>2978</v>
      </c>
      <c r="C1181" t="s">
        <v>212</v>
      </c>
      <c r="D1181" t="s">
        <v>212</v>
      </c>
      <c r="E1181" t="s">
        <v>212</v>
      </c>
      <c r="F1181" t="s">
        <v>212</v>
      </c>
      <c r="G1181" t="s">
        <v>212</v>
      </c>
      <c r="H1181" t="s">
        <v>212</v>
      </c>
      <c r="I1181" t="s">
        <v>212</v>
      </c>
      <c r="J1181" t="s">
        <v>212</v>
      </c>
    </row>
    <row r="1182" spans="1:10">
      <c r="B1182" t="s">
        <v>2979</v>
      </c>
      <c r="C1182" t="s">
        <v>212</v>
      </c>
      <c r="D1182" t="s">
        <v>212</v>
      </c>
      <c r="E1182" t="s">
        <v>212</v>
      </c>
      <c r="F1182" t="s">
        <v>212</v>
      </c>
      <c r="G1182" t="s">
        <v>212</v>
      </c>
      <c r="H1182" t="s">
        <v>212</v>
      </c>
      <c r="I1182" t="s">
        <v>212</v>
      </c>
      <c r="J1182" t="s">
        <v>212</v>
      </c>
    </row>
    <row r="1183" spans="1:10">
      <c r="B1183" t="s">
        <v>2980</v>
      </c>
      <c r="C1183" t="s">
        <v>212</v>
      </c>
      <c r="D1183" t="s">
        <v>212</v>
      </c>
      <c r="E1183" t="s">
        <v>212</v>
      </c>
      <c r="F1183" t="s">
        <v>212</v>
      </c>
      <c r="G1183" t="s">
        <v>212</v>
      </c>
      <c r="H1183" t="s">
        <v>212</v>
      </c>
      <c r="I1183" t="s">
        <v>212</v>
      </c>
      <c r="J1183" t="s">
        <v>212</v>
      </c>
    </row>
    <row r="1185" spans="1:10">
      <c r="B1185" t="s">
        <v>2981</v>
      </c>
      <c r="C1185">
        <v>0</v>
      </c>
      <c r="E1185">
        <v>0</v>
      </c>
      <c r="G1185">
        <v>0</v>
      </c>
      <c r="I1185">
        <v>0</v>
      </c>
    </row>
    <row r="1186" spans="1:10">
      <c r="B1186" t="s">
        <v>2982</v>
      </c>
      <c r="C1186">
        <v>0</v>
      </c>
      <c r="D1186">
        <v>0</v>
      </c>
      <c r="E1186">
        <v>0</v>
      </c>
      <c r="F1186">
        <v>0</v>
      </c>
      <c r="G1186">
        <v>0</v>
      </c>
      <c r="H1186">
        <v>0</v>
      </c>
      <c r="I1186">
        <v>0</v>
      </c>
      <c r="J1186">
        <v>0</v>
      </c>
    </row>
    <row r="1187" spans="1:10">
      <c r="B1187" t="s">
        <v>2983</v>
      </c>
      <c r="C1187">
        <v>0</v>
      </c>
      <c r="D1187">
        <v>0</v>
      </c>
      <c r="E1187">
        <v>0</v>
      </c>
      <c r="F1187">
        <v>0</v>
      </c>
      <c r="G1187">
        <v>0</v>
      </c>
      <c r="H1187">
        <v>0</v>
      </c>
      <c r="I1187">
        <v>0</v>
      </c>
      <c r="J1187">
        <v>0</v>
      </c>
    </row>
    <row r="1190" spans="1:10">
      <c r="A1190" t="s">
        <v>1914</v>
      </c>
    </row>
    <row r="1191" spans="1:10">
      <c r="A1191" t="s">
        <v>1915</v>
      </c>
      <c r="B1191" t="s">
        <v>2964</v>
      </c>
    </row>
    <row r="1192" spans="1:10">
      <c r="A1192" t="s">
        <v>1917</v>
      </c>
      <c r="B1192" t="s">
        <v>2092</v>
      </c>
    </row>
    <row r="1193" spans="1:10">
      <c r="C1193" t="s">
        <v>2965</v>
      </c>
      <c r="D1193" t="s">
        <v>2966</v>
      </c>
      <c r="E1193" t="s">
        <v>2967</v>
      </c>
      <c r="F1193" t="s">
        <v>2966</v>
      </c>
      <c r="G1193" t="s">
        <v>2968</v>
      </c>
      <c r="H1193" t="s">
        <v>2966</v>
      </c>
      <c r="I1193" t="s">
        <v>2969</v>
      </c>
      <c r="J1193" t="s">
        <v>2966</v>
      </c>
    </row>
    <row r="1194" spans="1:10">
      <c r="B1194" t="s">
        <v>2970</v>
      </c>
      <c r="C1194">
        <v>0</v>
      </c>
      <c r="D1194">
        <v>0</v>
      </c>
      <c r="E1194">
        <v>0</v>
      </c>
      <c r="F1194">
        <v>0</v>
      </c>
      <c r="G1194">
        <v>0</v>
      </c>
      <c r="H1194">
        <v>0</v>
      </c>
      <c r="I1194">
        <v>0</v>
      </c>
      <c r="J1194">
        <v>0</v>
      </c>
    </row>
    <row r="1195" spans="1:10">
      <c r="B1195" t="s">
        <v>2971</v>
      </c>
      <c r="C1195" t="s">
        <v>212</v>
      </c>
      <c r="D1195" t="s">
        <v>212</v>
      </c>
      <c r="E1195" t="s">
        <v>212</v>
      </c>
      <c r="F1195" t="s">
        <v>212</v>
      </c>
      <c r="G1195" t="s">
        <v>212</v>
      </c>
      <c r="H1195" t="s">
        <v>212</v>
      </c>
      <c r="I1195" t="s">
        <v>212</v>
      </c>
      <c r="J1195" t="s">
        <v>212</v>
      </c>
    </row>
    <row r="1196" spans="1:10">
      <c r="B1196" t="s">
        <v>2972</v>
      </c>
      <c r="C1196" t="s">
        <v>212</v>
      </c>
      <c r="D1196" t="s">
        <v>212</v>
      </c>
      <c r="E1196" t="s">
        <v>212</v>
      </c>
      <c r="F1196" t="s">
        <v>212</v>
      </c>
      <c r="G1196" t="s">
        <v>212</v>
      </c>
      <c r="H1196" t="s">
        <v>212</v>
      </c>
      <c r="I1196" t="s">
        <v>212</v>
      </c>
      <c r="J1196" t="s">
        <v>212</v>
      </c>
    </row>
    <row r="1197" spans="1:10">
      <c r="B1197" t="s">
        <v>2973</v>
      </c>
      <c r="C1197" t="s">
        <v>212</v>
      </c>
      <c r="D1197" t="s">
        <v>212</v>
      </c>
      <c r="E1197" t="s">
        <v>212</v>
      </c>
      <c r="F1197" t="s">
        <v>212</v>
      </c>
      <c r="G1197" t="s">
        <v>212</v>
      </c>
      <c r="H1197" t="s">
        <v>212</v>
      </c>
      <c r="I1197" t="s">
        <v>212</v>
      </c>
      <c r="J1197" t="s">
        <v>212</v>
      </c>
    </row>
    <row r="1198" spans="1:10">
      <c r="B1198" t="s">
        <v>820</v>
      </c>
      <c r="C1198" t="s">
        <v>212</v>
      </c>
      <c r="D1198" t="s">
        <v>212</v>
      </c>
      <c r="E1198" t="s">
        <v>212</v>
      </c>
      <c r="F1198" t="s">
        <v>212</v>
      </c>
      <c r="G1198" t="s">
        <v>212</v>
      </c>
      <c r="H1198" t="s">
        <v>212</v>
      </c>
      <c r="I1198" t="s">
        <v>212</v>
      </c>
      <c r="J1198" t="s">
        <v>212</v>
      </c>
    </row>
    <row r="1199" spans="1:10">
      <c r="B1199" t="s">
        <v>2974</v>
      </c>
      <c r="C1199" t="s">
        <v>212</v>
      </c>
      <c r="D1199" t="s">
        <v>212</v>
      </c>
      <c r="E1199" t="s">
        <v>212</v>
      </c>
      <c r="F1199" t="s">
        <v>212</v>
      </c>
      <c r="G1199" t="s">
        <v>212</v>
      </c>
      <c r="H1199" t="s">
        <v>212</v>
      </c>
      <c r="I1199" t="s">
        <v>212</v>
      </c>
      <c r="J1199" t="s">
        <v>212</v>
      </c>
    </row>
    <row r="1200" spans="1:10">
      <c r="B1200" t="s">
        <v>2975</v>
      </c>
      <c r="C1200" t="s">
        <v>212</v>
      </c>
      <c r="D1200" t="s">
        <v>212</v>
      </c>
      <c r="E1200" t="s">
        <v>212</v>
      </c>
      <c r="F1200" t="s">
        <v>212</v>
      </c>
      <c r="G1200" t="s">
        <v>212</v>
      </c>
      <c r="H1200" t="s">
        <v>212</v>
      </c>
      <c r="I1200" t="s">
        <v>212</v>
      </c>
      <c r="J1200" t="s">
        <v>212</v>
      </c>
    </row>
    <row r="1201" spans="1:10">
      <c r="B1201" t="s">
        <v>2976</v>
      </c>
      <c r="C1201" t="s">
        <v>212</v>
      </c>
      <c r="D1201" t="s">
        <v>212</v>
      </c>
      <c r="E1201" t="s">
        <v>212</v>
      </c>
      <c r="F1201" t="s">
        <v>212</v>
      </c>
      <c r="G1201" t="s">
        <v>212</v>
      </c>
      <c r="H1201" t="s">
        <v>212</v>
      </c>
      <c r="I1201" t="s">
        <v>212</v>
      </c>
      <c r="J1201" t="s">
        <v>212</v>
      </c>
    </row>
    <row r="1202" spans="1:10">
      <c r="B1202" t="s">
        <v>2977</v>
      </c>
      <c r="C1202" t="s">
        <v>212</v>
      </c>
      <c r="D1202" t="s">
        <v>212</v>
      </c>
      <c r="E1202" t="s">
        <v>212</v>
      </c>
      <c r="F1202" t="s">
        <v>212</v>
      </c>
      <c r="G1202" t="s">
        <v>212</v>
      </c>
      <c r="H1202" t="s">
        <v>212</v>
      </c>
      <c r="I1202" t="s">
        <v>212</v>
      </c>
      <c r="J1202" t="s">
        <v>212</v>
      </c>
    </row>
    <row r="1203" spans="1:10">
      <c r="B1203" t="s">
        <v>2978</v>
      </c>
      <c r="C1203" t="s">
        <v>212</v>
      </c>
      <c r="D1203" t="s">
        <v>212</v>
      </c>
      <c r="E1203" t="s">
        <v>212</v>
      </c>
      <c r="F1203" t="s">
        <v>212</v>
      </c>
      <c r="G1203" t="s">
        <v>212</v>
      </c>
      <c r="H1203" t="s">
        <v>212</v>
      </c>
      <c r="I1203" t="s">
        <v>212</v>
      </c>
      <c r="J1203" t="s">
        <v>212</v>
      </c>
    </row>
    <row r="1204" spans="1:10">
      <c r="B1204" t="s">
        <v>2979</v>
      </c>
      <c r="C1204" t="s">
        <v>212</v>
      </c>
      <c r="D1204" t="s">
        <v>212</v>
      </c>
      <c r="E1204" t="s">
        <v>212</v>
      </c>
      <c r="F1204" t="s">
        <v>212</v>
      </c>
      <c r="G1204" t="s">
        <v>212</v>
      </c>
      <c r="H1204" t="s">
        <v>212</v>
      </c>
      <c r="I1204" t="s">
        <v>212</v>
      </c>
      <c r="J1204" t="s">
        <v>212</v>
      </c>
    </row>
    <row r="1205" spans="1:10">
      <c r="B1205" t="s">
        <v>2980</v>
      </c>
      <c r="C1205" t="s">
        <v>212</v>
      </c>
      <c r="D1205" t="s">
        <v>212</v>
      </c>
      <c r="E1205" t="s">
        <v>212</v>
      </c>
      <c r="F1205" t="s">
        <v>212</v>
      </c>
      <c r="G1205" t="s">
        <v>212</v>
      </c>
      <c r="H1205" t="s">
        <v>212</v>
      </c>
      <c r="I1205" t="s">
        <v>212</v>
      </c>
      <c r="J1205" t="s">
        <v>212</v>
      </c>
    </row>
    <row r="1207" spans="1:10">
      <c r="B1207" t="s">
        <v>2981</v>
      </c>
      <c r="C1207">
        <v>0</v>
      </c>
      <c r="E1207">
        <v>0</v>
      </c>
      <c r="G1207">
        <v>0</v>
      </c>
      <c r="I1207">
        <v>0</v>
      </c>
    </row>
    <row r="1208" spans="1:10">
      <c r="B1208" t="s">
        <v>2982</v>
      </c>
      <c r="C1208">
        <v>0</v>
      </c>
      <c r="D1208">
        <v>0</v>
      </c>
      <c r="E1208">
        <v>0</v>
      </c>
      <c r="F1208">
        <v>0</v>
      </c>
      <c r="G1208">
        <v>0</v>
      </c>
      <c r="H1208">
        <v>0</v>
      </c>
      <c r="I1208">
        <v>0</v>
      </c>
      <c r="J1208">
        <v>0</v>
      </c>
    </row>
    <row r="1209" spans="1:10">
      <c r="B1209" t="s">
        <v>2983</v>
      </c>
      <c r="C1209">
        <v>0</v>
      </c>
      <c r="D1209">
        <v>0</v>
      </c>
      <c r="E1209">
        <v>0</v>
      </c>
      <c r="F1209">
        <v>0</v>
      </c>
      <c r="G1209">
        <v>0</v>
      </c>
      <c r="H1209">
        <v>0</v>
      </c>
      <c r="I1209">
        <v>0</v>
      </c>
      <c r="J1209">
        <v>0</v>
      </c>
    </row>
    <row r="1212" spans="1:10">
      <c r="A1212" t="s">
        <v>1914</v>
      </c>
    </row>
    <row r="1213" spans="1:10">
      <c r="A1213" t="s">
        <v>1915</v>
      </c>
      <c r="B1213" t="s">
        <v>2964</v>
      </c>
    </row>
    <row r="1214" spans="1:10">
      <c r="A1214" t="s">
        <v>1917</v>
      </c>
      <c r="B1214" t="s">
        <v>2093</v>
      </c>
    </row>
    <row r="1215" spans="1:10">
      <c r="C1215" t="s">
        <v>2965</v>
      </c>
      <c r="D1215" t="s">
        <v>2966</v>
      </c>
      <c r="E1215" t="s">
        <v>2967</v>
      </c>
      <c r="F1215" t="s">
        <v>2966</v>
      </c>
      <c r="G1215" t="s">
        <v>2968</v>
      </c>
      <c r="H1215" t="s">
        <v>2966</v>
      </c>
      <c r="I1215" t="s">
        <v>2969</v>
      </c>
      <c r="J1215" t="s">
        <v>2966</v>
      </c>
    </row>
    <row r="1216" spans="1:10">
      <c r="B1216" t="s">
        <v>2970</v>
      </c>
      <c r="C1216">
        <v>0</v>
      </c>
      <c r="D1216">
        <v>0</v>
      </c>
      <c r="E1216">
        <v>0</v>
      </c>
      <c r="F1216">
        <v>0</v>
      </c>
      <c r="G1216">
        <v>0</v>
      </c>
      <c r="H1216">
        <v>0</v>
      </c>
      <c r="I1216">
        <v>0</v>
      </c>
      <c r="J1216">
        <v>0</v>
      </c>
    </row>
    <row r="1217" spans="2:10">
      <c r="B1217" t="s">
        <v>2971</v>
      </c>
      <c r="C1217" t="s">
        <v>212</v>
      </c>
      <c r="D1217" t="s">
        <v>212</v>
      </c>
      <c r="E1217" t="s">
        <v>212</v>
      </c>
      <c r="F1217" t="s">
        <v>212</v>
      </c>
      <c r="G1217" t="s">
        <v>212</v>
      </c>
      <c r="H1217" t="s">
        <v>212</v>
      </c>
      <c r="I1217" t="s">
        <v>212</v>
      </c>
      <c r="J1217" t="s">
        <v>212</v>
      </c>
    </row>
    <row r="1218" spans="2:10">
      <c r="B1218" t="s">
        <v>2972</v>
      </c>
      <c r="C1218" t="s">
        <v>212</v>
      </c>
      <c r="D1218" t="s">
        <v>212</v>
      </c>
      <c r="E1218" t="s">
        <v>212</v>
      </c>
      <c r="F1218" t="s">
        <v>212</v>
      </c>
      <c r="G1218" t="s">
        <v>212</v>
      </c>
      <c r="H1218" t="s">
        <v>212</v>
      </c>
      <c r="I1218" t="s">
        <v>212</v>
      </c>
      <c r="J1218" t="s">
        <v>212</v>
      </c>
    </row>
    <row r="1219" spans="2:10">
      <c r="B1219" t="s">
        <v>2973</v>
      </c>
      <c r="C1219" t="s">
        <v>212</v>
      </c>
      <c r="D1219" t="s">
        <v>212</v>
      </c>
      <c r="E1219" t="s">
        <v>212</v>
      </c>
      <c r="F1219" t="s">
        <v>212</v>
      </c>
      <c r="G1219" t="s">
        <v>212</v>
      </c>
      <c r="H1219" t="s">
        <v>212</v>
      </c>
      <c r="I1219" t="s">
        <v>212</v>
      </c>
      <c r="J1219" t="s">
        <v>212</v>
      </c>
    </row>
    <row r="1220" spans="2:10">
      <c r="B1220" t="s">
        <v>820</v>
      </c>
      <c r="C1220" t="s">
        <v>212</v>
      </c>
      <c r="D1220" t="s">
        <v>212</v>
      </c>
      <c r="E1220" t="s">
        <v>212</v>
      </c>
      <c r="F1220" t="s">
        <v>212</v>
      </c>
      <c r="G1220" t="s">
        <v>212</v>
      </c>
      <c r="H1220" t="s">
        <v>212</v>
      </c>
      <c r="I1220" t="s">
        <v>212</v>
      </c>
      <c r="J1220" t="s">
        <v>212</v>
      </c>
    </row>
    <row r="1221" spans="2:10">
      <c r="B1221" t="s">
        <v>2974</v>
      </c>
      <c r="C1221" t="s">
        <v>212</v>
      </c>
      <c r="D1221" t="s">
        <v>212</v>
      </c>
      <c r="E1221" t="s">
        <v>212</v>
      </c>
      <c r="F1221" t="s">
        <v>212</v>
      </c>
      <c r="G1221" t="s">
        <v>212</v>
      </c>
      <c r="H1221" t="s">
        <v>212</v>
      </c>
      <c r="I1221" t="s">
        <v>212</v>
      </c>
      <c r="J1221" t="s">
        <v>212</v>
      </c>
    </row>
    <row r="1222" spans="2:10">
      <c r="B1222" t="s">
        <v>2975</v>
      </c>
      <c r="C1222" t="s">
        <v>212</v>
      </c>
      <c r="D1222" t="s">
        <v>212</v>
      </c>
      <c r="E1222" t="s">
        <v>212</v>
      </c>
      <c r="F1222" t="s">
        <v>212</v>
      </c>
      <c r="G1222" t="s">
        <v>212</v>
      </c>
      <c r="H1222" t="s">
        <v>212</v>
      </c>
      <c r="I1222" t="s">
        <v>212</v>
      </c>
      <c r="J1222" t="s">
        <v>212</v>
      </c>
    </row>
    <row r="1223" spans="2:10">
      <c r="B1223" t="s">
        <v>2976</v>
      </c>
      <c r="C1223" t="s">
        <v>212</v>
      </c>
      <c r="D1223" t="s">
        <v>212</v>
      </c>
      <c r="E1223" t="s">
        <v>212</v>
      </c>
      <c r="F1223" t="s">
        <v>212</v>
      </c>
      <c r="G1223" t="s">
        <v>212</v>
      </c>
      <c r="H1223" t="s">
        <v>212</v>
      </c>
      <c r="I1223" t="s">
        <v>212</v>
      </c>
      <c r="J1223" t="s">
        <v>212</v>
      </c>
    </row>
    <row r="1224" spans="2:10">
      <c r="B1224" t="s">
        <v>2977</v>
      </c>
      <c r="C1224" t="s">
        <v>212</v>
      </c>
      <c r="D1224" t="s">
        <v>212</v>
      </c>
      <c r="E1224" t="s">
        <v>212</v>
      </c>
      <c r="F1224" t="s">
        <v>212</v>
      </c>
      <c r="G1224" t="s">
        <v>212</v>
      </c>
      <c r="H1224" t="s">
        <v>212</v>
      </c>
      <c r="I1224" t="s">
        <v>212</v>
      </c>
      <c r="J1224" t="s">
        <v>212</v>
      </c>
    </row>
    <row r="1225" spans="2:10">
      <c r="B1225" t="s">
        <v>2978</v>
      </c>
      <c r="C1225" t="s">
        <v>212</v>
      </c>
      <c r="D1225" t="s">
        <v>212</v>
      </c>
      <c r="E1225" t="s">
        <v>212</v>
      </c>
      <c r="F1225" t="s">
        <v>212</v>
      </c>
      <c r="G1225" t="s">
        <v>212</v>
      </c>
      <c r="H1225" t="s">
        <v>212</v>
      </c>
      <c r="I1225" t="s">
        <v>212</v>
      </c>
      <c r="J1225" t="s">
        <v>212</v>
      </c>
    </row>
    <row r="1226" spans="2:10">
      <c r="B1226" t="s">
        <v>2979</v>
      </c>
      <c r="C1226" t="s">
        <v>212</v>
      </c>
      <c r="D1226" t="s">
        <v>212</v>
      </c>
      <c r="E1226" t="s">
        <v>212</v>
      </c>
      <c r="F1226" t="s">
        <v>212</v>
      </c>
      <c r="G1226" t="s">
        <v>212</v>
      </c>
      <c r="H1226" t="s">
        <v>212</v>
      </c>
      <c r="I1226" t="s">
        <v>212</v>
      </c>
      <c r="J1226" t="s">
        <v>212</v>
      </c>
    </row>
    <row r="1227" spans="2:10">
      <c r="B1227" t="s">
        <v>2980</v>
      </c>
      <c r="C1227" t="s">
        <v>212</v>
      </c>
      <c r="D1227" t="s">
        <v>212</v>
      </c>
      <c r="E1227" t="s">
        <v>212</v>
      </c>
      <c r="F1227" t="s">
        <v>212</v>
      </c>
      <c r="G1227" t="s">
        <v>212</v>
      </c>
      <c r="H1227" t="s">
        <v>212</v>
      </c>
      <c r="I1227" t="s">
        <v>212</v>
      </c>
      <c r="J1227" t="s">
        <v>212</v>
      </c>
    </row>
    <row r="1229" spans="2:10">
      <c r="B1229" t="s">
        <v>2981</v>
      </c>
      <c r="C1229">
        <v>0</v>
      </c>
      <c r="E1229">
        <v>0</v>
      </c>
      <c r="G1229">
        <v>0</v>
      </c>
      <c r="I1229">
        <v>0</v>
      </c>
    </row>
    <row r="1230" spans="2:10">
      <c r="B1230" t="s">
        <v>2982</v>
      </c>
      <c r="C1230">
        <v>0</v>
      </c>
      <c r="D1230">
        <v>0</v>
      </c>
      <c r="E1230">
        <v>0</v>
      </c>
      <c r="F1230">
        <v>0</v>
      </c>
      <c r="G1230">
        <v>0</v>
      </c>
      <c r="H1230">
        <v>0</v>
      </c>
      <c r="I1230">
        <v>0</v>
      </c>
      <c r="J1230">
        <v>0</v>
      </c>
    </row>
    <row r="1231" spans="2:10">
      <c r="B1231" t="s">
        <v>2983</v>
      </c>
      <c r="C1231">
        <v>0</v>
      </c>
      <c r="D1231">
        <v>0</v>
      </c>
      <c r="E1231">
        <v>0</v>
      </c>
      <c r="F1231">
        <v>0</v>
      </c>
      <c r="G1231">
        <v>0</v>
      </c>
      <c r="H1231">
        <v>0</v>
      </c>
      <c r="I1231">
        <v>0</v>
      </c>
      <c r="J1231">
        <v>0</v>
      </c>
    </row>
    <row r="1234" spans="1:10">
      <c r="A1234" t="s">
        <v>1914</v>
      </c>
    </row>
    <row r="1235" spans="1:10">
      <c r="A1235" t="s">
        <v>1915</v>
      </c>
      <c r="B1235" t="s">
        <v>2964</v>
      </c>
    </row>
    <row r="1236" spans="1:10">
      <c r="A1236" t="s">
        <v>1917</v>
      </c>
      <c r="B1236" t="s">
        <v>2094</v>
      </c>
    </row>
    <row r="1237" spans="1:10">
      <c r="C1237" t="s">
        <v>2965</v>
      </c>
      <c r="D1237" t="s">
        <v>2966</v>
      </c>
      <c r="E1237" t="s">
        <v>2967</v>
      </c>
      <c r="F1237" t="s">
        <v>2966</v>
      </c>
      <c r="G1237" t="s">
        <v>2968</v>
      </c>
      <c r="H1237" t="s">
        <v>2966</v>
      </c>
      <c r="I1237" t="s">
        <v>2969</v>
      </c>
      <c r="J1237" t="s">
        <v>2966</v>
      </c>
    </row>
    <row r="1238" spans="1:10">
      <c r="B1238" t="s">
        <v>2970</v>
      </c>
      <c r="C1238">
        <v>0</v>
      </c>
      <c r="D1238">
        <v>0</v>
      </c>
      <c r="E1238">
        <v>0</v>
      </c>
      <c r="F1238">
        <v>0</v>
      </c>
      <c r="G1238">
        <v>0</v>
      </c>
      <c r="H1238">
        <v>0</v>
      </c>
      <c r="I1238">
        <v>0</v>
      </c>
      <c r="J1238">
        <v>0</v>
      </c>
    </row>
    <row r="1239" spans="1:10">
      <c r="B1239" t="s">
        <v>2971</v>
      </c>
      <c r="C1239" t="s">
        <v>212</v>
      </c>
      <c r="D1239" t="s">
        <v>212</v>
      </c>
      <c r="E1239" t="s">
        <v>212</v>
      </c>
      <c r="F1239" t="s">
        <v>212</v>
      </c>
      <c r="G1239" t="s">
        <v>212</v>
      </c>
      <c r="H1239" t="s">
        <v>212</v>
      </c>
      <c r="I1239" t="s">
        <v>212</v>
      </c>
      <c r="J1239" t="s">
        <v>212</v>
      </c>
    </row>
    <row r="1240" spans="1:10">
      <c r="B1240" t="s">
        <v>2972</v>
      </c>
      <c r="C1240" t="s">
        <v>212</v>
      </c>
      <c r="D1240" t="s">
        <v>212</v>
      </c>
      <c r="E1240" t="s">
        <v>212</v>
      </c>
      <c r="F1240" t="s">
        <v>212</v>
      </c>
      <c r="G1240" t="s">
        <v>212</v>
      </c>
      <c r="H1240" t="s">
        <v>212</v>
      </c>
      <c r="I1240" t="s">
        <v>212</v>
      </c>
      <c r="J1240" t="s">
        <v>212</v>
      </c>
    </row>
    <row r="1241" spans="1:10">
      <c r="B1241" t="s">
        <v>2973</v>
      </c>
      <c r="C1241" t="s">
        <v>212</v>
      </c>
      <c r="D1241" t="s">
        <v>212</v>
      </c>
      <c r="E1241" t="s">
        <v>212</v>
      </c>
      <c r="F1241" t="s">
        <v>212</v>
      </c>
      <c r="G1241" t="s">
        <v>212</v>
      </c>
      <c r="H1241" t="s">
        <v>212</v>
      </c>
      <c r="I1241" t="s">
        <v>212</v>
      </c>
      <c r="J1241" t="s">
        <v>212</v>
      </c>
    </row>
    <row r="1242" spans="1:10">
      <c r="B1242" t="s">
        <v>820</v>
      </c>
      <c r="C1242" t="s">
        <v>212</v>
      </c>
      <c r="D1242" t="s">
        <v>212</v>
      </c>
      <c r="E1242" t="s">
        <v>212</v>
      </c>
      <c r="F1242" t="s">
        <v>212</v>
      </c>
      <c r="G1242" t="s">
        <v>212</v>
      </c>
      <c r="H1242" t="s">
        <v>212</v>
      </c>
      <c r="I1242" t="s">
        <v>212</v>
      </c>
      <c r="J1242" t="s">
        <v>212</v>
      </c>
    </row>
    <row r="1243" spans="1:10">
      <c r="B1243" t="s">
        <v>2974</v>
      </c>
      <c r="C1243" t="s">
        <v>212</v>
      </c>
      <c r="D1243" t="s">
        <v>212</v>
      </c>
      <c r="E1243" t="s">
        <v>212</v>
      </c>
      <c r="F1243" t="s">
        <v>212</v>
      </c>
      <c r="G1243" t="s">
        <v>212</v>
      </c>
      <c r="H1243" t="s">
        <v>212</v>
      </c>
      <c r="I1243" t="s">
        <v>212</v>
      </c>
      <c r="J1243" t="s">
        <v>212</v>
      </c>
    </row>
    <row r="1244" spans="1:10">
      <c r="B1244" t="s">
        <v>2975</v>
      </c>
      <c r="C1244" t="s">
        <v>212</v>
      </c>
      <c r="D1244" t="s">
        <v>212</v>
      </c>
      <c r="E1244" t="s">
        <v>212</v>
      </c>
      <c r="F1244" t="s">
        <v>212</v>
      </c>
      <c r="G1244" t="s">
        <v>212</v>
      </c>
      <c r="H1244" t="s">
        <v>212</v>
      </c>
      <c r="I1244" t="s">
        <v>212</v>
      </c>
      <c r="J1244" t="s">
        <v>212</v>
      </c>
    </row>
    <row r="1245" spans="1:10">
      <c r="B1245" t="s">
        <v>2976</v>
      </c>
      <c r="C1245" t="s">
        <v>212</v>
      </c>
      <c r="D1245" t="s">
        <v>212</v>
      </c>
      <c r="E1245" t="s">
        <v>212</v>
      </c>
      <c r="F1245" t="s">
        <v>212</v>
      </c>
      <c r="G1245" t="s">
        <v>212</v>
      </c>
      <c r="H1245" t="s">
        <v>212</v>
      </c>
      <c r="I1245" t="s">
        <v>212</v>
      </c>
      <c r="J1245" t="s">
        <v>212</v>
      </c>
    </row>
    <row r="1246" spans="1:10">
      <c r="B1246" t="s">
        <v>2977</v>
      </c>
      <c r="C1246" t="s">
        <v>212</v>
      </c>
      <c r="D1246" t="s">
        <v>212</v>
      </c>
      <c r="E1246" t="s">
        <v>212</v>
      </c>
      <c r="F1246" t="s">
        <v>212</v>
      </c>
      <c r="G1246" t="s">
        <v>212</v>
      </c>
      <c r="H1246" t="s">
        <v>212</v>
      </c>
      <c r="I1246" t="s">
        <v>212</v>
      </c>
      <c r="J1246" t="s">
        <v>212</v>
      </c>
    </row>
    <row r="1247" spans="1:10">
      <c r="B1247" t="s">
        <v>2978</v>
      </c>
      <c r="C1247" t="s">
        <v>212</v>
      </c>
      <c r="D1247" t="s">
        <v>212</v>
      </c>
      <c r="E1247" t="s">
        <v>212</v>
      </c>
      <c r="F1247" t="s">
        <v>212</v>
      </c>
      <c r="G1247" t="s">
        <v>212</v>
      </c>
      <c r="H1247" t="s">
        <v>212</v>
      </c>
      <c r="I1247" t="s">
        <v>212</v>
      </c>
      <c r="J1247" t="s">
        <v>212</v>
      </c>
    </row>
    <row r="1248" spans="1:10">
      <c r="B1248" t="s">
        <v>2979</v>
      </c>
      <c r="C1248" t="s">
        <v>212</v>
      </c>
      <c r="D1248" t="s">
        <v>212</v>
      </c>
      <c r="E1248" t="s">
        <v>212</v>
      </c>
      <c r="F1248" t="s">
        <v>212</v>
      </c>
      <c r="G1248" t="s">
        <v>212</v>
      </c>
      <c r="H1248" t="s">
        <v>212</v>
      </c>
      <c r="I1248" t="s">
        <v>212</v>
      </c>
      <c r="J1248" t="s">
        <v>212</v>
      </c>
    </row>
    <row r="1249" spans="1:10">
      <c r="B1249" t="s">
        <v>2980</v>
      </c>
      <c r="C1249" t="s">
        <v>212</v>
      </c>
      <c r="D1249" t="s">
        <v>212</v>
      </c>
      <c r="E1249" t="s">
        <v>212</v>
      </c>
      <c r="F1249" t="s">
        <v>212</v>
      </c>
      <c r="G1249" t="s">
        <v>212</v>
      </c>
      <c r="H1249" t="s">
        <v>212</v>
      </c>
      <c r="I1249" t="s">
        <v>212</v>
      </c>
      <c r="J1249" t="s">
        <v>212</v>
      </c>
    </row>
    <row r="1251" spans="1:10">
      <c r="B1251" t="s">
        <v>2981</v>
      </c>
      <c r="C1251">
        <v>0</v>
      </c>
      <c r="E1251">
        <v>0</v>
      </c>
      <c r="G1251">
        <v>0</v>
      </c>
      <c r="I1251">
        <v>0</v>
      </c>
    </row>
    <row r="1252" spans="1:10">
      <c r="B1252" t="s">
        <v>2982</v>
      </c>
      <c r="C1252">
        <v>0</v>
      </c>
      <c r="D1252">
        <v>0</v>
      </c>
      <c r="E1252">
        <v>0</v>
      </c>
      <c r="F1252">
        <v>0</v>
      </c>
      <c r="G1252">
        <v>0</v>
      </c>
      <c r="H1252">
        <v>0</v>
      </c>
      <c r="I1252">
        <v>0</v>
      </c>
      <c r="J1252">
        <v>0</v>
      </c>
    </row>
    <row r="1253" spans="1:10">
      <c r="B1253" t="s">
        <v>2983</v>
      </c>
      <c r="C1253">
        <v>0</v>
      </c>
      <c r="D1253">
        <v>0</v>
      </c>
      <c r="E1253">
        <v>0</v>
      </c>
      <c r="F1253">
        <v>0</v>
      </c>
      <c r="G1253">
        <v>0</v>
      </c>
      <c r="H1253">
        <v>0</v>
      </c>
      <c r="I1253">
        <v>0</v>
      </c>
      <c r="J1253">
        <v>0</v>
      </c>
    </row>
    <row r="1256" spans="1:10">
      <c r="A1256" t="s">
        <v>1914</v>
      </c>
    </row>
    <row r="1257" spans="1:10">
      <c r="A1257" t="s">
        <v>1915</v>
      </c>
      <c r="B1257" t="s">
        <v>2964</v>
      </c>
    </row>
    <row r="1258" spans="1:10">
      <c r="A1258" t="s">
        <v>1917</v>
      </c>
      <c r="B1258" t="s">
        <v>2095</v>
      </c>
    </row>
    <row r="1259" spans="1:10">
      <c r="C1259" t="s">
        <v>2965</v>
      </c>
      <c r="D1259" t="s">
        <v>2966</v>
      </c>
      <c r="E1259" t="s">
        <v>2967</v>
      </c>
      <c r="F1259" t="s">
        <v>2966</v>
      </c>
      <c r="G1259" t="s">
        <v>2968</v>
      </c>
      <c r="H1259" t="s">
        <v>2966</v>
      </c>
      <c r="I1259" t="s">
        <v>2969</v>
      </c>
      <c r="J1259" t="s">
        <v>2966</v>
      </c>
    </row>
    <row r="1260" spans="1:10">
      <c r="B1260" t="s">
        <v>2970</v>
      </c>
      <c r="C1260">
        <v>0</v>
      </c>
      <c r="D1260">
        <v>0</v>
      </c>
      <c r="E1260">
        <v>0</v>
      </c>
      <c r="F1260">
        <v>0</v>
      </c>
      <c r="G1260">
        <v>0</v>
      </c>
      <c r="H1260">
        <v>0</v>
      </c>
      <c r="I1260">
        <v>0</v>
      </c>
      <c r="J1260">
        <v>0</v>
      </c>
    </row>
    <row r="1261" spans="1:10">
      <c r="B1261" t="s">
        <v>2971</v>
      </c>
      <c r="C1261" t="s">
        <v>212</v>
      </c>
      <c r="D1261" t="s">
        <v>212</v>
      </c>
      <c r="E1261" t="s">
        <v>212</v>
      </c>
      <c r="F1261" t="s">
        <v>212</v>
      </c>
      <c r="G1261" t="s">
        <v>212</v>
      </c>
      <c r="H1261" t="s">
        <v>212</v>
      </c>
      <c r="I1261" t="s">
        <v>212</v>
      </c>
      <c r="J1261" t="s">
        <v>212</v>
      </c>
    </row>
    <row r="1262" spans="1:10">
      <c r="B1262" t="s">
        <v>2972</v>
      </c>
      <c r="C1262" t="s">
        <v>212</v>
      </c>
      <c r="D1262" t="s">
        <v>212</v>
      </c>
      <c r="E1262" t="s">
        <v>212</v>
      </c>
      <c r="F1262" t="s">
        <v>212</v>
      </c>
      <c r="G1262" t="s">
        <v>212</v>
      </c>
      <c r="H1262" t="s">
        <v>212</v>
      </c>
      <c r="I1262" t="s">
        <v>212</v>
      </c>
      <c r="J1262" t="s">
        <v>212</v>
      </c>
    </row>
    <row r="1263" spans="1:10">
      <c r="B1263" t="s">
        <v>2973</v>
      </c>
      <c r="C1263" t="s">
        <v>212</v>
      </c>
      <c r="D1263" t="s">
        <v>212</v>
      </c>
      <c r="E1263" t="s">
        <v>212</v>
      </c>
      <c r="F1263" t="s">
        <v>212</v>
      </c>
      <c r="G1263" t="s">
        <v>212</v>
      </c>
      <c r="H1263" t="s">
        <v>212</v>
      </c>
      <c r="I1263" t="s">
        <v>212</v>
      </c>
      <c r="J1263" t="s">
        <v>212</v>
      </c>
    </row>
    <row r="1264" spans="1:10">
      <c r="B1264" t="s">
        <v>820</v>
      </c>
      <c r="C1264" t="s">
        <v>212</v>
      </c>
      <c r="D1264" t="s">
        <v>212</v>
      </c>
      <c r="E1264" t="s">
        <v>212</v>
      </c>
      <c r="F1264" t="s">
        <v>212</v>
      </c>
      <c r="G1264" t="s">
        <v>212</v>
      </c>
      <c r="H1264" t="s">
        <v>212</v>
      </c>
      <c r="I1264" t="s">
        <v>212</v>
      </c>
      <c r="J1264" t="s">
        <v>212</v>
      </c>
    </row>
    <row r="1265" spans="1:10">
      <c r="B1265" t="s">
        <v>2974</v>
      </c>
      <c r="C1265" t="s">
        <v>212</v>
      </c>
      <c r="D1265" t="s">
        <v>212</v>
      </c>
      <c r="E1265" t="s">
        <v>212</v>
      </c>
      <c r="F1265" t="s">
        <v>212</v>
      </c>
      <c r="G1265" t="s">
        <v>212</v>
      </c>
      <c r="H1265" t="s">
        <v>212</v>
      </c>
      <c r="I1265" t="s">
        <v>212</v>
      </c>
      <c r="J1265" t="s">
        <v>212</v>
      </c>
    </row>
    <row r="1266" spans="1:10">
      <c r="B1266" t="s">
        <v>2975</v>
      </c>
      <c r="C1266" t="s">
        <v>212</v>
      </c>
      <c r="D1266" t="s">
        <v>212</v>
      </c>
      <c r="E1266" t="s">
        <v>212</v>
      </c>
      <c r="F1266" t="s">
        <v>212</v>
      </c>
      <c r="G1266" t="s">
        <v>212</v>
      </c>
      <c r="H1266" t="s">
        <v>212</v>
      </c>
      <c r="I1266" t="s">
        <v>212</v>
      </c>
      <c r="J1266" t="s">
        <v>212</v>
      </c>
    </row>
    <row r="1267" spans="1:10">
      <c r="B1267" t="s">
        <v>2976</v>
      </c>
      <c r="C1267" t="s">
        <v>212</v>
      </c>
      <c r="D1267" t="s">
        <v>212</v>
      </c>
      <c r="E1267" t="s">
        <v>212</v>
      </c>
      <c r="F1267" t="s">
        <v>212</v>
      </c>
      <c r="G1267" t="s">
        <v>212</v>
      </c>
      <c r="H1267" t="s">
        <v>212</v>
      </c>
      <c r="I1267" t="s">
        <v>212</v>
      </c>
      <c r="J1267" t="s">
        <v>212</v>
      </c>
    </row>
    <row r="1268" spans="1:10">
      <c r="B1268" t="s">
        <v>2977</v>
      </c>
      <c r="C1268" t="s">
        <v>212</v>
      </c>
      <c r="D1268" t="s">
        <v>212</v>
      </c>
      <c r="E1268" t="s">
        <v>212</v>
      </c>
      <c r="F1268" t="s">
        <v>212</v>
      </c>
      <c r="G1268" t="s">
        <v>212</v>
      </c>
      <c r="H1268" t="s">
        <v>212</v>
      </c>
      <c r="I1268" t="s">
        <v>212</v>
      </c>
      <c r="J1268" t="s">
        <v>212</v>
      </c>
    </row>
    <row r="1269" spans="1:10">
      <c r="B1269" t="s">
        <v>2978</v>
      </c>
      <c r="C1269" t="s">
        <v>212</v>
      </c>
      <c r="D1269" t="s">
        <v>212</v>
      </c>
      <c r="E1269" t="s">
        <v>212</v>
      </c>
      <c r="F1269" t="s">
        <v>212</v>
      </c>
      <c r="G1269" t="s">
        <v>212</v>
      </c>
      <c r="H1269" t="s">
        <v>212</v>
      </c>
      <c r="I1269" t="s">
        <v>212</v>
      </c>
      <c r="J1269" t="s">
        <v>212</v>
      </c>
    </row>
    <row r="1270" spans="1:10">
      <c r="B1270" t="s">
        <v>2979</v>
      </c>
      <c r="C1270" t="s">
        <v>212</v>
      </c>
      <c r="D1270" t="s">
        <v>212</v>
      </c>
      <c r="E1270" t="s">
        <v>212</v>
      </c>
      <c r="F1270" t="s">
        <v>212</v>
      </c>
      <c r="G1270" t="s">
        <v>212</v>
      </c>
      <c r="H1270" t="s">
        <v>212</v>
      </c>
      <c r="I1270" t="s">
        <v>212</v>
      </c>
      <c r="J1270" t="s">
        <v>212</v>
      </c>
    </row>
    <row r="1271" spans="1:10">
      <c r="B1271" t="s">
        <v>2980</v>
      </c>
      <c r="C1271" t="s">
        <v>212</v>
      </c>
      <c r="D1271" t="s">
        <v>212</v>
      </c>
      <c r="E1271" t="s">
        <v>212</v>
      </c>
      <c r="F1271" t="s">
        <v>212</v>
      </c>
      <c r="G1271" t="s">
        <v>212</v>
      </c>
      <c r="H1271" t="s">
        <v>212</v>
      </c>
      <c r="I1271" t="s">
        <v>212</v>
      </c>
      <c r="J1271" t="s">
        <v>212</v>
      </c>
    </row>
    <row r="1273" spans="1:10">
      <c r="B1273" t="s">
        <v>2981</v>
      </c>
      <c r="C1273">
        <v>0</v>
      </c>
      <c r="E1273">
        <v>0</v>
      </c>
      <c r="G1273">
        <v>0</v>
      </c>
      <c r="I1273">
        <v>0</v>
      </c>
    </row>
    <row r="1274" spans="1:10">
      <c r="B1274" t="s">
        <v>2982</v>
      </c>
      <c r="C1274">
        <v>0</v>
      </c>
      <c r="D1274">
        <v>0</v>
      </c>
      <c r="E1274">
        <v>0</v>
      </c>
      <c r="F1274">
        <v>0</v>
      </c>
      <c r="G1274">
        <v>0</v>
      </c>
      <c r="H1274">
        <v>0</v>
      </c>
      <c r="I1274">
        <v>0</v>
      </c>
      <c r="J1274">
        <v>0</v>
      </c>
    </row>
    <row r="1275" spans="1:10">
      <c r="B1275" t="s">
        <v>2983</v>
      </c>
      <c r="C1275">
        <v>0</v>
      </c>
      <c r="D1275">
        <v>0</v>
      </c>
      <c r="E1275">
        <v>0</v>
      </c>
      <c r="F1275">
        <v>0</v>
      </c>
      <c r="G1275">
        <v>0</v>
      </c>
      <c r="H1275">
        <v>0</v>
      </c>
      <c r="I1275">
        <v>0</v>
      </c>
      <c r="J1275">
        <v>0</v>
      </c>
    </row>
    <row r="1278" spans="1:10">
      <c r="A1278" t="s">
        <v>1914</v>
      </c>
    </row>
    <row r="1279" spans="1:10">
      <c r="A1279" t="s">
        <v>1915</v>
      </c>
      <c r="B1279" t="s">
        <v>2964</v>
      </c>
    </row>
    <row r="1280" spans="1:10">
      <c r="A1280" t="s">
        <v>1917</v>
      </c>
      <c r="B1280" t="s">
        <v>2096</v>
      </c>
    </row>
    <row r="1281" spans="2:10">
      <c r="C1281" t="s">
        <v>2965</v>
      </c>
      <c r="D1281" t="s">
        <v>2966</v>
      </c>
      <c r="E1281" t="s">
        <v>2967</v>
      </c>
      <c r="F1281" t="s">
        <v>2966</v>
      </c>
      <c r="G1281" t="s">
        <v>2968</v>
      </c>
      <c r="H1281" t="s">
        <v>2966</v>
      </c>
      <c r="I1281" t="s">
        <v>2969</v>
      </c>
      <c r="J1281" t="s">
        <v>2966</v>
      </c>
    </row>
    <row r="1282" spans="2:10">
      <c r="B1282" t="s">
        <v>2970</v>
      </c>
      <c r="C1282">
        <v>6.5</v>
      </c>
      <c r="D1282">
        <v>18.71</v>
      </c>
      <c r="E1282">
        <v>2.75</v>
      </c>
      <c r="F1282">
        <v>19.57</v>
      </c>
      <c r="G1282">
        <v>2.75</v>
      </c>
      <c r="H1282">
        <v>24.09</v>
      </c>
      <c r="I1282">
        <v>2.75</v>
      </c>
      <c r="J1282">
        <v>24.09</v>
      </c>
    </row>
    <row r="1283" spans="2:10">
      <c r="B1283" t="s">
        <v>2971</v>
      </c>
      <c r="C1283" t="s">
        <v>212</v>
      </c>
      <c r="D1283" t="s">
        <v>212</v>
      </c>
      <c r="E1283" t="s">
        <v>212</v>
      </c>
      <c r="F1283" t="s">
        <v>212</v>
      </c>
      <c r="G1283" t="s">
        <v>212</v>
      </c>
      <c r="H1283" t="s">
        <v>212</v>
      </c>
      <c r="I1283" t="s">
        <v>212</v>
      </c>
      <c r="J1283" t="s">
        <v>212</v>
      </c>
    </row>
    <row r="1284" spans="2:10">
      <c r="B1284" t="s">
        <v>2972</v>
      </c>
      <c r="C1284" t="s">
        <v>212</v>
      </c>
      <c r="D1284" t="s">
        <v>212</v>
      </c>
      <c r="E1284" t="s">
        <v>212</v>
      </c>
      <c r="F1284" t="s">
        <v>212</v>
      </c>
      <c r="G1284" t="s">
        <v>212</v>
      </c>
      <c r="H1284" t="s">
        <v>212</v>
      </c>
      <c r="I1284" t="s">
        <v>212</v>
      </c>
      <c r="J1284" t="s">
        <v>212</v>
      </c>
    </row>
    <row r="1285" spans="2:10">
      <c r="B1285" t="s">
        <v>2973</v>
      </c>
      <c r="C1285" t="s">
        <v>212</v>
      </c>
      <c r="D1285" t="s">
        <v>212</v>
      </c>
      <c r="E1285" t="s">
        <v>212</v>
      </c>
      <c r="F1285" t="s">
        <v>212</v>
      </c>
      <c r="G1285" t="s">
        <v>212</v>
      </c>
      <c r="H1285" t="s">
        <v>212</v>
      </c>
      <c r="I1285" t="s">
        <v>212</v>
      </c>
      <c r="J1285" t="s">
        <v>212</v>
      </c>
    </row>
    <row r="1286" spans="2:10">
      <c r="B1286" t="s">
        <v>820</v>
      </c>
      <c r="C1286" t="s">
        <v>212</v>
      </c>
      <c r="D1286" t="s">
        <v>212</v>
      </c>
      <c r="E1286" t="s">
        <v>212</v>
      </c>
      <c r="F1286" t="s">
        <v>212</v>
      </c>
      <c r="G1286" t="s">
        <v>212</v>
      </c>
      <c r="H1286" t="s">
        <v>212</v>
      </c>
      <c r="I1286" t="s">
        <v>212</v>
      </c>
      <c r="J1286" t="s">
        <v>212</v>
      </c>
    </row>
    <row r="1287" spans="2:10">
      <c r="B1287" t="s">
        <v>2974</v>
      </c>
      <c r="C1287" t="s">
        <v>212</v>
      </c>
      <c r="D1287" t="s">
        <v>212</v>
      </c>
      <c r="E1287" t="s">
        <v>212</v>
      </c>
      <c r="F1287" t="s">
        <v>212</v>
      </c>
      <c r="G1287" t="s">
        <v>212</v>
      </c>
      <c r="H1287" t="s">
        <v>212</v>
      </c>
      <c r="I1287" t="s">
        <v>212</v>
      </c>
      <c r="J1287" t="s">
        <v>212</v>
      </c>
    </row>
    <row r="1288" spans="2:10">
      <c r="B1288" t="s">
        <v>2975</v>
      </c>
      <c r="C1288" t="s">
        <v>212</v>
      </c>
      <c r="D1288" t="s">
        <v>212</v>
      </c>
      <c r="E1288" t="s">
        <v>212</v>
      </c>
      <c r="F1288" t="s">
        <v>212</v>
      </c>
      <c r="G1288" t="s">
        <v>212</v>
      </c>
      <c r="H1288" t="s">
        <v>212</v>
      </c>
      <c r="I1288" t="s">
        <v>212</v>
      </c>
      <c r="J1288" t="s">
        <v>212</v>
      </c>
    </row>
    <row r="1289" spans="2:10">
      <c r="B1289" t="s">
        <v>2976</v>
      </c>
      <c r="C1289" t="s">
        <v>212</v>
      </c>
      <c r="D1289" t="s">
        <v>212</v>
      </c>
      <c r="E1289" t="s">
        <v>212</v>
      </c>
      <c r="F1289" t="s">
        <v>212</v>
      </c>
      <c r="G1289" t="s">
        <v>212</v>
      </c>
      <c r="H1289" t="s">
        <v>212</v>
      </c>
      <c r="I1289" t="s">
        <v>212</v>
      </c>
      <c r="J1289" t="s">
        <v>212</v>
      </c>
    </row>
    <row r="1290" spans="2:10">
      <c r="B1290" t="s">
        <v>2977</v>
      </c>
      <c r="C1290" t="s">
        <v>212</v>
      </c>
      <c r="D1290" t="s">
        <v>212</v>
      </c>
      <c r="E1290" t="s">
        <v>212</v>
      </c>
      <c r="F1290" t="s">
        <v>212</v>
      </c>
      <c r="G1290" t="s">
        <v>212</v>
      </c>
      <c r="H1290" t="s">
        <v>212</v>
      </c>
      <c r="I1290" t="s">
        <v>212</v>
      </c>
      <c r="J1290" t="s">
        <v>212</v>
      </c>
    </row>
    <row r="1291" spans="2:10">
      <c r="B1291" t="s">
        <v>2978</v>
      </c>
      <c r="C1291" t="s">
        <v>212</v>
      </c>
      <c r="D1291" t="s">
        <v>212</v>
      </c>
      <c r="E1291" t="s">
        <v>212</v>
      </c>
      <c r="F1291" t="s">
        <v>212</v>
      </c>
      <c r="G1291" t="s">
        <v>212</v>
      </c>
      <c r="H1291" t="s">
        <v>212</v>
      </c>
      <c r="I1291" t="s">
        <v>212</v>
      </c>
      <c r="J1291" t="s">
        <v>212</v>
      </c>
    </row>
    <row r="1292" spans="2:10">
      <c r="B1292" t="s">
        <v>2979</v>
      </c>
      <c r="C1292" t="s">
        <v>212</v>
      </c>
      <c r="D1292" t="s">
        <v>212</v>
      </c>
      <c r="E1292" t="s">
        <v>212</v>
      </c>
      <c r="F1292" t="s">
        <v>212</v>
      </c>
      <c r="G1292" t="s">
        <v>212</v>
      </c>
      <c r="H1292" t="s">
        <v>212</v>
      </c>
      <c r="I1292" t="s">
        <v>212</v>
      </c>
      <c r="J1292" t="s">
        <v>212</v>
      </c>
    </row>
    <row r="1293" spans="2:10">
      <c r="B1293" t="s">
        <v>2980</v>
      </c>
      <c r="C1293" t="s">
        <v>212</v>
      </c>
      <c r="D1293" t="s">
        <v>212</v>
      </c>
      <c r="E1293" t="s">
        <v>212</v>
      </c>
      <c r="F1293" t="s">
        <v>212</v>
      </c>
      <c r="G1293" t="s">
        <v>212</v>
      </c>
      <c r="H1293" t="s">
        <v>212</v>
      </c>
      <c r="I1293" t="s">
        <v>212</v>
      </c>
      <c r="J1293" t="s">
        <v>212</v>
      </c>
    </row>
    <row r="1295" spans="2:10">
      <c r="B1295" t="s">
        <v>2981</v>
      </c>
      <c r="C1295">
        <v>6.5</v>
      </c>
      <c r="D1295">
        <v>18.71</v>
      </c>
      <c r="E1295">
        <v>2.75</v>
      </c>
      <c r="F1295">
        <v>19.57</v>
      </c>
      <c r="G1295">
        <v>2.75</v>
      </c>
      <c r="H1295">
        <v>24.09</v>
      </c>
      <c r="I1295">
        <v>2.75</v>
      </c>
      <c r="J1295">
        <v>24.09</v>
      </c>
    </row>
    <row r="1296" spans="2:10">
      <c r="B1296" t="s">
        <v>2982</v>
      </c>
      <c r="C1296">
        <v>6.5</v>
      </c>
      <c r="D1296">
        <v>18.71</v>
      </c>
      <c r="E1296">
        <v>2.75</v>
      </c>
      <c r="F1296">
        <v>19.57</v>
      </c>
      <c r="G1296">
        <v>2.75</v>
      </c>
      <c r="H1296">
        <v>24.09</v>
      </c>
      <c r="I1296">
        <v>2.75</v>
      </c>
      <c r="J1296">
        <v>24.09</v>
      </c>
    </row>
    <row r="1297" spans="1:10">
      <c r="B1297" t="s">
        <v>2983</v>
      </c>
      <c r="C1297">
        <v>6.5</v>
      </c>
      <c r="D1297">
        <v>18.71</v>
      </c>
      <c r="E1297">
        <v>2.75</v>
      </c>
      <c r="F1297">
        <v>19.57</v>
      </c>
      <c r="G1297">
        <v>2.75</v>
      </c>
      <c r="H1297">
        <v>24.09</v>
      </c>
      <c r="I1297">
        <v>2.75</v>
      </c>
      <c r="J1297">
        <v>24.09</v>
      </c>
    </row>
    <row r="1300" spans="1:10">
      <c r="A1300" t="s">
        <v>1914</v>
      </c>
    </row>
    <row r="1301" spans="1:10">
      <c r="A1301" t="s">
        <v>1915</v>
      </c>
      <c r="B1301" t="s">
        <v>2964</v>
      </c>
    </row>
    <row r="1302" spans="1:10">
      <c r="A1302" t="s">
        <v>1917</v>
      </c>
      <c r="B1302" t="s">
        <v>2097</v>
      </c>
    </row>
    <row r="1303" spans="1:10">
      <c r="C1303" t="s">
        <v>2965</v>
      </c>
      <c r="D1303" t="s">
        <v>2966</v>
      </c>
      <c r="E1303" t="s">
        <v>2967</v>
      </c>
      <c r="F1303" t="s">
        <v>2966</v>
      </c>
      <c r="G1303" t="s">
        <v>2968</v>
      </c>
      <c r="H1303" t="s">
        <v>2966</v>
      </c>
      <c r="I1303" t="s">
        <v>2969</v>
      </c>
      <c r="J1303" t="s">
        <v>2966</v>
      </c>
    </row>
    <row r="1304" spans="1:10">
      <c r="B1304" t="s">
        <v>2970</v>
      </c>
      <c r="C1304">
        <v>9</v>
      </c>
      <c r="D1304">
        <v>18.43</v>
      </c>
      <c r="E1304">
        <v>3</v>
      </c>
      <c r="F1304">
        <v>19.41</v>
      </c>
      <c r="G1304">
        <v>2</v>
      </c>
      <c r="H1304">
        <v>24.03</v>
      </c>
      <c r="I1304">
        <v>2</v>
      </c>
      <c r="J1304">
        <v>24.03</v>
      </c>
    </row>
    <row r="1305" spans="1:10">
      <c r="B1305" t="s">
        <v>2971</v>
      </c>
      <c r="C1305" t="s">
        <v>212</v>
      </c>
      <c r="D1305" t="s">
        <v>212</v>
      </c>
      <c r="E1305" t="s">
        <v>212</v>
      </c>
      <c r="F1305" t="s">
        <v>212</v>
      </c>
      <c r="G1305" t="s">
        <v>212</v>
      </c>
      <c r="H1305" t="s">
        <v>212</v>
      </c>
      <c r="I1305" t="s">
        <v>212</v>
      </c>
      <c r="J1305" t="s">
        <v>212</v>
      </c>
    </row>
    <row r="1306" spans="1:10">
      <c r="B1306" t="s">
        <v>2972</v>
      </c>
      <c r="C1306" t="s">
        <v>212</v>
      </c>
      <c r="D1306" t="s">
        <v>212</v>
      </c>
      <c r="E1306" t="s">
        <v>212</v>
      </c>
      <c r="F1306" t="s">
        <v>212</v>
      </c>
      <c r="G1306" t="s">
        <v>212</v>
      </c>
      <c r="H1306" t="s">
        <v>212</v>
      </c>
      <c r="I1306" t="s">
        <v>212</v>
      </c>
      <c r="J1306" t="s">
        <v>212</v>
      </c>
    </row>
    <row r="1307" spans="1:10">
      <c r="B1307" t="s">
        <v>2973</v>
      </c>
      <c r="C1307" t="s">
        <v>212</v>
      </c>
      <c r="D1307" t="s">
        <v>212</v>
      </c>
      <c r="E1307" t="s">
        <v>212</v>
      </c>
      <c r="F1307" t="s">
        <v>212</v>
      </c>
      <c r="G1307" t="s">
        <v>212</v>
      </c>
      <c r="H1307" t="s">
        <v>212</v>
      </c>
      <c r="I1307" t="s">
        <v>212</v>
      </c>
      <c r="J1307" t="s">
        <v>212</v>
      </c>
    </row>
    <row r="1308" spans="1:10">
      <c r="B1308" t="s">
        <v>820</v>
      </c>
      <c r="C1308" t="s">
        <v>212</v>
      </c>
      <c r="D1308" t="s">
        <v>212</v>
      </c>
      <c r="E1308" t="s">
        <v>212</v>
      </c>
      <c r="F1308" t="s">
        <v>212</v>
      </c>
      <c r="G1308" t="s">
        <v>212</v>
      </c>
      <c r="H1308" t="s">
        <v>212</v>
      </c>
      <c r="I1308" t="s">
        <v>212</v>
      </c>
      <c r="J1308" t="s">
        <v>212</v>
      </c>
    </row>
    <row r="1309" spans="1:10">
      <c r="B1309" t="s">
        <v>2974</v>
      </c>
      <c r="C1309" t="s">
        <v>212</v>
      </c>
      <c r="D1309" t="s">
        <v>212</v>
      </c>
      <c r="E1309" t="s">
        <v>212</v>
      </c>
      <c r="F1309" t="s">
        <v>212</v>
      </c>
      <c r="G1309" t="s">
        <v>212</v>
      </c>
      <c r="H1309" t="s">
        <v>212</v>
      </c>
      <c r="I1309" t="s">
        <v>212</v>
      </c>
      <c r="J1309" t="s">
        <v>212</v>
      </c>
    </row>
    <row r="1310" spans="1:10">
      <c r="B1310" t="s">
        <v>2975</v>
      </c>
      <c r="C1310" t="s">
        <v>212</v>
      </c>
      <c r="D1310" t="s">
        <v>212</v>
      </c>
      <c r="E1310" t="s">
        <v>212</v>
      </c>
      <c r="F1310" t="s">
        <v>212</v>
      </c>
      <c r="G1310" t="s">
        <v>212</v>
      </c>
      <c r="H1310" t="s">
        <v>212</v>
      </c>
      <c r="I1310" t="s">
        <v>212</v>
      </c>
      <c r="J1310" t="s">
        <v>212</v>
      </c>
    </row>
    <row r="1311" spans="1:10">
      <c r="B1311" t="s">
        <v>2976</v>
      </c>
      <c r="C1311" t="s">
        <v>212</v>
      </c>
      <c r="D1311" t="s">
        <v>212</v>
      </c>
      <c r="E1311" t="s">
        <v>212</v>
      </c>
      <c r="F1311" t="s">
        <v>212</v>
      </c>
      <c r="G1311" t="s">
        <v>212</v>
      </c>
      <c r="H1311" t="s">
        <v>212</v>
      </c>
      <c r="I1311" t="s">
        <v>212</v>
      </c>
      <c r="J1311" t="s">
        <v>212</v>
      </c>
    </row>
    <row r="1312" spans="1:10">
      <c r="B1312" t="s">
        <v>2977</v>
      </c>
      <c r="C1312" t="s">
        <v>212</v>
      </c>
      <c r="D1312" t="s">
        <v>212</v>
      </c>
      <c r="E1312" t="s">
        <v>212</v>
      </c>
      <c r="F1312" t="s">
        <v>212</v>
      </c>
      <c r="G1312" t="s">
        <v>212</v>
      </c>
      <c r="H1312" t="s">
        <v>212</v>
      </c>
      <c r="I1312" t="s">
        <v>212</v>
      </c>
      <c r="J1312" t="s">
        <v>212</v>
      </c>
    </row>
    <row r="1313" spans="1:10">
      <c r="B1313" t="s">
        <v>2978</v>
      </c>
      <c r="C1313" t="s">
        <v>212</v>
      </c>
      <c r="D1313" t="s">
        <v>212</v>
      </c>
      <c r="E1313" t="s">
        <v>212</v>
      </c>
      <c r="F1313" t="s">
        <v>212</v>
      </c>
      <c r="G1313" t="s">
        <v>212</v>
      </c>
      <c r="H1313" t="s">
        <v>212</v>
      </c>
      <c r="I1313" t="s">
        <v>212</v>
      </c>
      <c r="J1313" t="s">
        <v>212</v>
      </c>
    </row>
    <row r="1314" spans="1:10">
      <c r="B1314" t="s">
        <v>2979</v>
      </c>
      <c r="C1314" t="s">
        <v>212</v>
      </c>
      <c r="D1314" t="s">
        <v>212</v>
      </c>
      <c r="E1314" t="s">
        <v>212</v>
      </c>
      <c r="F1314" t="s">
        <v>212</v>
      </c>
      <c r="G1314" t="s">
        <v>212</v>
      </c>
      <c r="H1314" t="s">
        <v>212</v>
      </c>
      <c r="I1314" t="s">
        <v>212</v>
      </c>
      <c r="J1314" t="s">
        <v>212</v>
      </c>
    </row>
    <row r="1315" spans="1:10">
      <c r="B1315" t="s">
        <v>2980</v>
      </c>
      <c r="C1315" t="s">
        <v>212</v>
      </c>
      <c r="D1315" t="s">
        <v>212</v>
      </c>
      <c r="E1315" t="s">
        <v>212</v>
      </c>
      <c r="F1315" t="s">
        <v>212</v>
      </c>
      <c r="G1315" t="s">
        <v>212</v>
      </c>
      <c r="H1315" t="s">
        <v>212</v>
      </c>
      <c r="I1315" t="s">
        <v>212</v>
      </c>
      <c r="J1315" t="s">
        <v>212</v>
      </c>
    </row>
    <row r="1317" spans="1:10">
      <c r="B1317" t="s">
        <v>2981</v>
      </c>
      <c r="C1317">
        <v>9</v>
      </c>
      <c r="D1317">
        <v>18.43</v>
      </c>
      <c r="E1317">
        <v>3</v>
      </c>
      <c r="F1317">
        <v>19.41</v>
      </c>
      <c r="G1317">
        <v>2</v>
      </c>
      <c r="H1317">
        <v>24.03</v>
      </c>
      <c r="I1317">
        <v>2</v>
      </c>
      <c r="J1317">
        <v>24.03</v>
      </c>
    </row>
    <row r="1318" spans="1:10">
      <c r="B1318" t="s">
        <v>2982</v>
      </c>
      <c r="C1318">
        <v>9</v>
      </c>
      <c r="D1318">
        <v>18.43</v>
      </c>
      <c r="E1318">
        <v>3</v>
      </c>
      <c r="F1318">
        <v>19.41</v>
      </c>
      <c r="G1318">
        <v>2</v>
      </c>
      <c r="H1318">
        <v>24.03</v>
      </c>
      <c r="I1318">
        <v>2</v>
      </c>
      <c r="J1318">
        <v>24.03</v>
      </c>
    </row>
    <row r="1319" spans="1:10">
      <c r="B1319" t="s">
        <v>2983</v>
      </c>
      <c r="C1319">
        <v>9</v>
      </c>
      <c r="D1319">
        <v>18.43</v>
      </c>
      <c r="E1319">
        <v>3</v>
      </c>
      <c r="F1319">
        <v>19.41</v>
      </c>
      <c r="G1319">
        <v>2</v>
      </c>
      <c r="H1319">
        <v>24.03</v>
      </c>
      <c r="I1319">
        <v>2</v>
      </c>
      <c r="J1319">
        <v>24.03</v>
      </c>
    </row>
    <row r="1322" spans="1:10">
      <c r="A1322" t="s">
        <v>1914</v>
      </c>
    </row>
    <row r="1323" spans="1:10">
      <c r="A1323" t="s">
        <v>1915</v>
      </c>
      <c r="B1323" t="s">
        <v>2964</v>
      </c>
    </row>
    <row r="1324" spans="1:10">
      <c r="A1324" t="s">
        <v>1917</v>
      </c>
      <c r="B1324" t="s">
        <v>2098</v>
      </c>
    </row>
    <row r="1325" spans="1:10">
      <c r="C1325" t="s">
        <v>2965</v>
      </c>
      <c r="D1325" t="s">
        <v>2966</v>
      </c>
      <c r="E1325" t="s">
        <v>2967</v>
      </c>
      <c r="F1325" t="s">
        <v>2966</v>
      </c>
      <c r="G1325" t="s">
        <v>2968</v>
      </c>
      <c r="H1325" t="s">
        <v>2966</v>
      </c>
      <c r="I1325" t="s">
        <v>2969</v>
      </c>
      <c r="J1325" t="s">
        <v>2966</v>
      </c>
    </row>
    <row r="1326" spans="1:10">
      <c r="B1326" t="s">
        <v>2970</v>
      </c>
      <c r="C1326">
        <v>4.75</v>
      </c>
      <c r="D1326">
        <v>19.079999999999998</v>
      </c>
      <c r="E1326">
        <v>2.5</v>
      </c>
      <c r="F1326">
        <v>19.97</v>
      </c>
      <c r="G1326">
        <v>4.5</v>
      </c>
      <c r="H1326">
        <v>24.33</v>
      </c>
      <c r="I1326">
        <v>4.5</v>
      </c>
      <c r="J1326">
        <v>24.33</v>
      </c>
    </row>
    <row r="1327" spans="1:10">
      <c r="B1327" t="s">
        <v>2971</v>
      </c>
      <c r="C1327" t="s">
        <v>212</v>
      </c>
      <c r="D1327" t="s">
        <v>212</v>
      </c>
      <c r="E1327" t="s">
        <v>212</v>
      </c>
      <c r="F1327" t="s">
        <v>212</v>
      </c>
      <c r="G1327" t="s">
        <v>212</v>
      </c>
      <c r="H1327" t="s">
        <v>212</v>
      </c>
      <c r="I1327" t="s">
        <v>212</v>
      </c>
      <c r="J1327" t="s">
        <v>212</v>
      </c>
    </row>
    <row r="1328" spans="1:10">
      <c r="B1328" t="s">
        <v>2972</v>
      </c>
      <c r="C1328" t="s">
        <v>212</v>
      </c>
      <c r="D1328" t="s">
        <v>212</v>
      </c>
      <c r="E1328" t="s">
        <v>212</v>
      </c>
      <c r="F1328" t="s">
        <v>212</v>
      </c>
      <c r="G1328" t="s">
        <v>212</v>
      </c>
      <c r="H1328" t="s">
        <v>212</v>
      </c>
      <c r="I1328" t="s">
        <v>212</v>
      </c>
      <c r="J1328" t="s">
        <v>212</v>
      </c>
    </row>
    <row r="1329" spans="1:10">
      <c r="B1329" t="s">
        <v>2973</v>
      </c>
      <c r="C1329" t="s">
        <v>212</v>
      </c>
      <c r="D1329" t="s">
        <v>212</v>
      </c>
      <c r="E1329" t="s">
        <v>212</v>
      </c>
      <c r="F1329" t="s">
        <v>212</v>
      </c>
      <c r="G1329" t="s">
        <v>212</v>
      </c>
      <c r="H1329" t="s">
        <v>212</v>
      </c>
      <c r="I1329" t="s">
        <v>212</v>
      </c>
      <c r="J1329" t="s">
        <v>212</v>
      </c>
    </row>
    <row r="1330" spans="1:10">
      <c r="B1330" t="s">
        <v>820</v>
      </c>
      <c r="C1330" t="s">
        <v>212</v>
      </c>
      <c r="D1330" t="s">
        <v>212</v>
      </c>
      <c r="E1330" t="s">
        <v>212</v>
      </c>
      <c r="F1330" t="s">
        <v>212</v>
      </c>
      <c r="G1330" t="s">
        <v>212</v>
      </c>
      <c r="H1330" t="s">
        <v>212</v>
      </c>
      <c r="I1330" t="s">
        <v>212</v>
      </c>
      <c r="J1330" t="s">
        <v>212</v>
      </c>
    </row>
    <row r="1331" spans="1:10">
      <c r="B1331" t="s">
        <v>2974</v>
      </c>
      <c r="C1331" t="s">
        <v>212</v>
      </c>
      <c r="D1331" t="s">
        <v>212</v>
      </c>
      <c r="E1331" t="s">
        <v>212</v>
      </c>
      <c r="F1331" t="s">
        <v>212</v>
      </c>
      <c r="G1331" t="s">
        <v>212</v>
      </c>
      <c r="H1331" t="s">
        <v>212</v>
      </c>
      <c r="I1331" t="s">
        <v>212</v>
      </c>
      <c r="J1331" t="s">
        <v>212</v>
      </c>
    </row>
    <row r="1332" spans="1:10">
      <c r="B1332" t="s">
        <v>2975</v>
      </c>
      <c r="C1332" t="s">
        <v>212</v>
      </c>
      <c r="D1332" t="s">
        <v>212</v>
      </c>
      <c r="E1332" t="s">
        <v>212</v>
      </c>
      <c r="F1332" t="s">
        <v>212</v>
      </c>
      <c r="G1332" t="s">
        <v>212</v>
      </c>
      <c r="H1332" t="s">
        <v>212</v>
      </c>
      <c r="I1332" t="s">
        <v>212</v>
      </c>
      <c r="J1332" t="s">
        <v>212</v>
      </c>
    </row>
    <row r="1333" spans="1:10">
      <c r="B1333" t="s">
        <v>2976</v>
      </c>
      <c r="C1333" t="s">
        <v>212</v>
      </c>
      <c r="D1333" t="s">
        <v>212</v>
      </c>
      <c r="E1333" t="s">
        <v>212</v>
      </c>
      <c r="F1333" t="s">
        <v>212</v>
      </c>
      <c r="G1333" t="s">
        <v>212</v>
      </c>
      <c r="H1333" t="s">
        <v>212</v>
      </c>
      <c r="I1333" t="s">
        <v>212</v>
      </c>
      <c r="J1333" t="s">
        <v>212</v>
      </c>
    </row>
    <row r="1334" spans="1:10">
      <c r="B1334" t="s">
        <v>2977</v>
      </c>
      <c r="C1334" t="s">
        <v>212</v>
      </c>
      <c r="D1334" t="s">
        <v>212</v>
      </c>
      <c r="E1334" t="s">
        <v>212</v>
      </c>
      <c r="F1334" t="s">
        <v>212</v>
      </c>
      <c r="G1334" t="s">
        <v>212</v>
      </c>
      <c r="H1334" t="s">
        <v>212</v>
      </c>
      <c r="I1334" t="s">
        <v>212</v>
      </c>
      <c r="J1334" t="s">
        <v>212</v>
      </c>
    </row>
    <row r="1335" spans="1:10">
      <c r="B1335" t="s">
        <v>2978</v>
      </c>
      <c r="C1335" t="s">
        <v>212</v>
      </c>
      <c r="D1335" t="s">
        <v>212</v>
      </c>
      <c r="E1335" t="s">
        <v>212</v>
      </c>
      <c r="F1335" t="s">
        <v>212</v>
      </c>
      <c r="G1335" t="s">
        <v>212</v>
      </c>
      <c r="H1335" t="s">
        <v>212</v>
      </c>
      <c r="I1335" t="s">
        <v>212</v>
      </c>
      <c r="J1335" t="s">
        <v>212</v>
      </c>
    </row>
    <row r="1336" spans="1:10">
      <c r="B1336" t="s">
        <v>2979</v>
      </c>
      <c r="C1336" t="s">
        <v>212</v>
      </c>
      <c r="D1336" t="s">
        <v>212</v>
      </c>
      <c r="E1336" t="s">
        <v>212</v>
      </c>
      <c r="F1336" t="s">
        <v>212</v>
      </c>
      <c r="G1336" t="s">
        <v>212</v>
      </c>
      <c r="H1336" t="s">
        <v>212</v>
      </c>
      <c r="I1336" t="s">
        <v>212</v>
      </c>
      <c r="J1336" t="s">
        <v>212</v>
      </c>
    </row>
    <row r="1337" spans="1:10">
      <c r="B1337" t="s">
        <v>2980</v>
      </c>
      <c r="C1337" t="s">
        <v>212</v>
      </c>
      <c r="D1337" t="s">
        <v>212</v>
      </c>
      <c r="E1337" t="s">
        <v>212</v>
      </c>
      <c r="F1337" t="s">
        <v>212</v>
      </c>
      <c r="G1337" t="s">
        <v>212</v>
      </c>
      <c r="H1337" t="s">
        <v>212</v>
      </c>
      <c r="I1337" t="s">
        <v>212</v>
      </c>
      <c r="J1337" t="s">
        <v>212</v>
      </c>
    </row>
    <row r="1339" spans="1:10">
      <c r="B1339" t="s">
        <v>2981</v>
      </c>
      <c r="C1339">
        <v>4.75</v>
      </c>
      <c r="D1339">
        <v>19.079999999999998</v>
      </c>
      <c r="E1339">
        <v>2.5</v>
      </c>
      <c r="F1339">
        <v>19.97</v>
      </c>
      <c r="G1339">
        <v>4.5</v>
      </c>
      <c r="H1339">
        <v>24.33</v>
      </c>
      <c r="I1339">
        <v>4.5</v>
      </c>
      <c r="J1339">
        <v>24.33</v>
      </c>
    </row>
    <row r="1340" spans="1:10">
      <c r="B1340" t="s">
        <v>2982</v>
      </c>
      <c r="C1340">
        <v>4.75</v>
      </c>
      <c r="D1340">
        <v>19.079999999999998</v>
      </c>
      <c r="E1340">
        <v>2.5</v>
      </c>
      <c r="F1340">
        <v>19.97</v>
      </c>
      <c r="G1340">
        <v>4.5</v>
      </c>
      <c r="H1340">
        <v>24.33</v>
      </c>
      <c r="I1340">
        <v>4.5</v>
      </c>
      <c r="J1340">
        <v>24.33</v>
      </c>
    </row>
    <row r="1341" spans="1:10">
      <c r="B1341" t="s">
        <v>2983</v>
      </c>
      <c r="C1341">
        <v>4.75</v>
      </c>
      <c r="D1341">
        <v>19.079999999999998</v>
      </c>
      <c r="E1341">
        <v>2.5</v>
      </c>
      <c r="F1341">
        <v>19.97</v>
      </c>
      <c r="G1341">
        <v>4.5</v>
      </c>
      <c r="H1341">
        <v>24.33</v>
      </c>
      <c r="I1341">
        <v>4.5</v>
      </c>
      <c r="J1341">
        <v>24.33</v>
      </c>
    </row>
    <row r="1344" spans="1:10">
      <c r="A1344" t="s">
        <v>1914</v>
      </c>
    </row>
    <row r="1345" spans="1:19">
      <c r="A1345" t="s">
        <v>1915</v>
      </c>
      <c r="B1345" t="s">
        <v>2964</v>
      </c>
    </row>
    <row r="1346" spans="1:19">
      <c r="A1346" t="s">
        <v>1917</v>
      </c>
      <c r="B1346" t="s">
        <v>2099</v>
      </c>
    </row>
    <row r="1347" spans="1:19">
      <c r="C1347" t="s">
        <v>2965</v>
      </c>
      <c r="D1347" t="s">
        <v>2966</v>
      </c>
      <c r="E1347" t="s">
        <v>2967</v>
      </c>
      <c r="F1347" t="s">
        <v>2966</v>
      </c>
      <c r="G1347" t="s">
        <v>2968</v>
      </c>
      <c r="H1347" t="s">
        <v>2966</v>
      </c>
      <c r="I1347" t="s">
        <v>2969</v>
      </c>
      <c r="J1347" t="s">
        <v>2966</v>
      </c>
    </row>
    <row r="1348" spans="1:19">
      <c r="B1348" t="s">
        <v>2970</v>
      </c>
      <c r="C1348">
        <v>9.25</v>
      </c>
      <c r="D1348">
        <v>18.440000000000001</v>
      </c>
      <c r="E1348">
        <v>3.25</v>
      </c>
      <c r="F1348">
        <v>19.29</v>
      </c>
      <c r="G1348">
        <v>2.5</v>
      </c>
      <c r="H1348">
        <v>24.05</v>
      </c>
      <c r="I1348">
        <v>2.5</v>
      </c>
      <c r="J1348">
        <v>24.05</v>
      </c>
    </row>
    <row r="1349" spans="1:19">
      <c r="B1349" t="s">
        <v>2971</v>
      </c>
      <c r="C1349" t="s">
        <v>212</v>
      </c>
      <c r="D1349" t="s">
        <v>212</v>
      </c>
      <c r="E1349" t="s">
        <v>212</v>
      </c>
      <c r="F1349" t="s">
        <v>212</v>
      </c>
      <c r="G1349" t="s">
        <v>212</v>
      </c>
      <c r="H1349" t="s">
        <v>212</v>
      </c>
      <c r="I1349" t="s">
        <v>212</v>
      </c>
      <c r="J1349" t="s">
        <v>212</v>
      </c>
    </row>
    <row r="1350" spans="1:19">
      <c r="B1350" t="s">
        <v>2972</v>
      </c>
      <c r="C1350" t="s">
        <v>212</v>
      </c>
      <c r="D1350" t="s">
        <v>212</v>
      </c>
      <c r="E1350" t="s">
        <v>212</v>
      </c>
      <c r="F1350" t="s">
        <v>212</v>
      </c>
      <c r="G1350" t="s">
        <v>212</v>
      </c>
      <c r="H1350" t="s">
        <v>212</v>
      </c>
      <c r="I1350" t="s">
        <v>212</v>
      </c>
      <c r="J1350" t="s">
        <v>212</v>
      </c>
    </row>
    <row r="1351" spans="1:19">
      <c r="B1351" t="s">
        <v>2973</v>
      </c>
      <c r="C1351" t="s">
        <v>212</v>
      </c>
      <c r="D1351" t="s">
        <v>212</v>
      </c>
      <c r="E1351" t="s">
        <v>212</v>
      </c>
      <c r="F1351" t="s">
        <v>212</v>
      </c>
      <c r="G1351" t="s">
        <v>212</v>
      </c>
      <c r="H1351" t="s">
        <v>212</v>
      </c>
      <c r="I1351" t="s">
        <v>212</v>
      </c>
      <c r="J1351" t="s">
        <v>212</v>
      </c>
    </row>
    <row r="1352" spans="1:19">
      <c r="B1352" t="s">
        <v>820</v>
      </c>
      <c r="C1352" t="s">
        <v>212</v>
      </c>
      <c r="D1352" t="s">
        <v>212</v>
      </c>
      <c r="E1352" t="s">
        <v>212</v>
      </c>
      <c r="F1352" t="s">
        <v>212</v>
      </c>
      <c r="G1352" t="s">
        <v>212</v>
      </c>
      <c r="H1352" t="s">
        <v>212</v>
      </c>
      <c r="I1352" t="s">
        <v>212</v>
      </c>
      <c r="J1352" t="s">
        <v>212</v>
      </c>
    </row>
    <row r="1353" spans="1:19">
      <c r="B1353" t="s">
        <v>2974</v>
      </c>
      <c r="C1353" t="s">
        <v>212</v>
      </c>
      <c r="D1353" t="s">
        <v>212</v>
      </c>
      <c r="E1353" t="s">
        <v>212</v>
      </c>
      <c r="F1353" t="s">
        <v>212</v>
      </c>
      <c r="G1353" t="s">
        <v>212</v>
      </c>
      <c r="H1353" t="s">
        <v>212</v>
      </c>
      <c r="I1353" t="s">
        <v>212</v>
      </c>
      <c r="J1353" t="s">
        <v>212</v>
      </c>
    </row>
    <row r="1354" spans="1:19">
      <c r="B1354" t="s">
        <v>2975</v>
      </c>
      <c r="C1354" t="s">
        <v>212</v>
      </c>
      <c r="D1354" t="s">
        <v>212</v>
      </c>
      <c r="E1354" t="s">
        <v>212</v>
      </c>
      <c r="F1354" t="s">
        <v>212</v>
      </c>
      <c r="G1354" t="s">
        <v>212</v>
      </c>
      <c r="H1354" t="s">
        <v>212</v>
      </c>
      <c r="I1354" t="s">
        <v>212</v>
      </c>
      <c r="J1354" t="s">
        <v>212</v>
      </c>
    </row>
    <row r="1355" spans="1:19">
      <c r="B1355" t="s">
        <v>2976</v>
      </c>
      <c r="C1355" t="s">
        <v>212</v>
      </c>
      <c r="D1355" t="s">
        <v>212</v>
      </c>
      <c r="E1355" t="s">
        <v>212</v>
      </c>
      <c r="F1355" t="s">
        <v>212</v>
      </c>
      <c r="G1355" t="s">
        <v>212</v>
      </c>
      <c r="H1355" t="s">
        <v>212</v>
      </c>
      <c r="I1355" t="s">
        <v>212</v>
      </c>
      <c r="J1355" t="s">
        <v>212</v>
      </c>
    </row>
    <row r="1356" spans="1:19">
      <c r="B1356" t="s">
        <v>2977</v>
      </c>
      <c r="C1356" t="s">
        <v>212</v>
      </c>
      <c r="D1356" t="s">
        <v>212</v>
      </c>
      <c r="E1356" t="s">
        <v>212</v>
      </c>
      <c r="F1356" t="s">
        <v>212</v>
      </c>
      <c r="G1356" t="s">
        <v>212</v>
      </c>
      <c r="H1356" t="s">
        <v>212</v>
      </c>
      <c r="I1356" t="s">
        <v>212</v>
      </c>
      <c r="J1356" t="s">
        <v>212</v>
      </c>
    </row>
    <row r="1357" spans="1:19">
      <c r="B1357" t="s">
        <v>2978</v>
      </c>
      <c r="C1357" t="s">
        <v>212</v>
      </c>
      <c r="D1357" t="s">
        <v>212</v>
      </c>
      <c r="E1357" t="s">
        <v>212</v>
      </c>
      <c r="F1357" t="s">
        <v>212</v>
      </c>
      <c r="G1357" t="s">
        <v>212</v>
      </c>
      <c r="H1357" t="s">
        <v>212</v>
      </c>
      <c r="I1357" t="s">
        <v>212</v>
      </c>
      <c r="J1357" t="s">
        <v>212</v>
      </c>
    </row>
    <row r="1358" spans="1:19">
      <c r="B1358" t="s">
        <v>2979</v>
      </c>
      <c r="C1358" t="s">
        <v>212</v>
      </c>
      <c r="D1358" t="s">
        <v>212</v>
      </c>
      <c r="E1358" t="s">
        <v>212</v>
      </c>
      <c r="F1358" t="s">
        <v>212</v>
      </c>
      <c r="G1358" t="s">
        <v>212</v>
      </c>
      <c r="H1358" t="s">
        <v>212</v>
      </c>
      <c r="I1358" t="s">
        <v>212</v>
      </c>
      <c r="J1358" t="s">
        <v>212</v>
      </c>
    </row>
    <row r="1359" spans="1:19">
      <c r="B1359" t="s">
        <v>2980</v>
      </c>
      <c r="C1359" t="s">
        <v>212</v>
      </c>
      <c r="D1359" t="s">
        <v>212</v>
      </c>
      <c r="E1359" t="s">
        <v>212</v>
      </c>
      <c r="F1359" t="s">
        <v>212</v>
      </c>
      <c r="G1359" t="s">
        <v>212</v>
      </c>
      <c r="H1359" t="s">
        <v>212</v>
      </c>
      <c r="I1359" t="s">
        <v>212</v>
      </c>
      <c r="J1359" t="s">
        <v>212</v>
      </c>
    </row>
    <row r="1360" spans="1:19">
      <c r="S1360" s="580"/>
    </row>
    <row r="1361" spans="1:19">
      <c r="B1361" t="s">
        <v>2981</v>
      </c>
      <c r="C1361">
        <v>9.25</v>
      </c>
      <c r="D1361">
        <v>18.440000000000001</v>
      </c>
      <c r="E1361">
        <v>3.25</v>
      </c>
      <c r="F1361">
        <v>19.29</v>
      </c>
      <c r="G1361">
        <v>2.5</v>
      </c>
      <c r="H1361">
        <v>24.05</v>
      </c>
      <c r="I1361">
        <v>2.5</v>
      </c>
      <c r="J1361">
        <v>24.05</v>
      </c>
      <c r="S1361" s="580"/>
    </row>
    <row r="1362" spans="1:19">
      <c r="B1362" t="s">
        <v>2982</v>
      </c>
      <c r="C1362">
        <v>9.25</v>
      </c>
      <c r="D1362">
        <v>18.440000000000001</v>
      </c>
      <c r="E1362">
        <v>3.25</v>
      </c>
      <c r="F1362">
        <v>19.29</v>
      </c>
      <c r="G1362">
        <v>2.5</v>
      </c>
      <c r="H1362">
        <v>24.05</v>
      </c>
      <c r="I1362">
        <v>2.5</v>
      </c>
      <c r="J1362">
        <v>24.05</v>
      </c>
      <c r="S1362" s="580"/>
    </row>
    <row r="1363" spans="1:19">
      <c r="B1363" t="s">
        <v>2983</v>
      </c>
      <c r="C1363">
        <v>9.25</v>
      </c>
      <c r="D1363">
        <v>18.440000000000001</v>
      </c>
      <c r="E1363">
        <v>3.25</v>
      </c>
      <c r="F1363">
        <v>19.29</v>
      </c>
      <c r="G1363">
        <v>2.5</v>
      </c>
      <c r="H1363">
        <v>24.05</v>
      </c>
      <c r="I1363">
        <v>2.5</v>
      </c>
      <c r="J1363">
        <v>24.05</v>
      </c>
      <c r="S1363" s="580"/>
    </row>
    <row r="1364" spans="1:19">
      <c r="S1364" s="580"/>
    </row>
    <row r="1365" spans="1:19">
      <c r="S1365" s="580"/>
    </row>
    <row r="1366" spans="1:19">
      <c r="A1366" t="s">
        <v>1914</v>
      </c>
      <c r="S1366" s="580"/>
    </row>
    <row r="1367" spans="1:19">
      <c r="A1367" t="s">
        <v>1915</v>
      </c>
      <c r="B1367" t="s">
        <v>2964</v>
      </c>
      <c r="S1367" s="580"/>
    </row>
    <row r="1368" spans="1:19">
      <c r="A1368" t="s">
        <v>1917</v>
      </c>
      <c r="B1368" t="s">
        <v>2100</v>
      </c>
      <c r="S1368" s="580"/>
    </row>
    <row r="1369" spans="1:19">
      <c r="C1369" t="s">
        <v>2965</v>
      </c>
      <c r="D1369" t="s">
        <v>2966</v>
      </c>
      <c r="E1369" t="s">
        <v>2967</v>
      </c>
      <c r="F1369" t="s">
        <v>2966</v>
      </c>
      <c r="G1369" t="s">
        <v>2968</v>
      </c>
      <c r="H1369" t="s">
        <v>2966</v>
      </c>
      <c r="I1369" t="s">
        <v>2969</v>
      </c>
      <c r="J1369" t="s">
        <v>2966</v>
      </c>
      <c r="S1369" s="580"/>
    </row>
    <row r="1370" spans="1:19">
      <c r="B1370" t="s">
        <v>2970</v>
      </c>
      <c r="C1370">
        <v>0</v>
      </c>
      <c r="D1370">
        <v>0</v>
      </c>
      <c r="E1370">
        <v>0</v>
      </c>
      <c r="F1370">
        <v>0</v>
      </c>
      <c r="G1370">
        <v>0.25</v>
      </c>
      <c r="H1370">
        <v>24.36</v>
      </c>
      <c r="I1370">
        <v>0.25</v>
      </c>
      <c r="J1370">
        <v>24.36</v>
      </c>
      <c r="S1370" s="580"/>
    </row>
    <row r="1371" spans="1:19">
      <c r="B1371" t="s">
        <v>2971</v>
      </c>
      <c r="C1371" t="s">
        <v>212</v>
      </c>
      <c r="D1371" t="s">
        <v>212</v>
      </c>
      <c r="E1371" t="s">
        <v>212</v>
      </c>
      <c r="F1371" t="s">
        <v>212</v>
      </c>
      <c r="G1371" t="s">
        <v>212</v>
      </c>
      <c r="H1371" t="s">
        <v>212</v>
      </c>
      <c r="I1371" t="s">
        <v>212</v>
      </c>
      <c r="J1371" t="s">
        <v>212</v>
      </c>
      <c r="S1371" s="580"/>
    </row>
    <row r="1372" spans="1:19">
      <c r="B1372" t="s">
        <v>2972</v>
      </c>
      <c r="C1372" t="s">
        <v>212</v>
      </c>
      <c r="D1372" t="s">
        <v>212</v>
      </c>
      <c r="E1372" t="s">
        <v>212</v>
      </c>
      <c r="F1372" t="s">
        <v>212</v>
      </c>
      <c r="G1372" t="s">
        <v>212</v>
      </c>
      <c r="H1372" t="s">
        <v>212</v>
      </c>
      <c r="I1372" t="s">
        <v>212</v>
      </c>
      <c r="J1372" t="s">
        <v>212</v>
      </c>
      <c r="S1372" s="580"/>
    </row>
    <row r="1373" spans="1:19">
      <c r="B1373" t="s">
        <v>2973</v>
      </c>
      <c r="C1373" t="s">
        <v>212</v>
      </c>
      <c r="D1373" t="s">
        <v>212</v>
      </c>
      <c r="E1373" t="s">
        <v>212</v>
      </c>
      <c r="F1373" t="s">
        <v>212</v>
      </c>
      <c r="G1373" t="s">
        <v>212</v>
      </c>
      <c r="H1373" t="s">
        <v>212</v>
      </c>
      <c r="I1373" t="s">
        <v>212</v>
      </c>
      <c r="J1373" t="s">
        <v>212</v>
      </c>
      <c r="S1373" s="580"/>
    </row>
    <row r="1374" spans="1:19">
      <c r="B1374" t="s">
        <v>820</v>
      </c>
      <c r="C1374" t="s">
        <v>212</v>
      </c>
      <c r="D1374" t="s">
        <v>212</v>
      </c>
      <c r="E1374" t="s">
        <v>212</v>
      </c>
      <c r="F1374" t="s">
        <v>212</v>
      </c>
      <c r="G1374" t="s">
        <v>212</v>
      </c>
      <c r="H1374" t="s">
        <v>212</v>
      </c>
      <c r="I1374" t="s">
        <v>212</v>
      </c>
      <c r="J1374" t="s">
        <v>212</v>
      </c>
    </row>
    <row r="1375" spans="1:19">
      <c r="B1375" t="s">
        <v>2974</v>
      </c>
      <c r="C1375" t="s">
        <v>212</v>
      </c>
      <c r="D1375" t="s">
        <v>212</v>
      </c>
      <c r="E1375" t="s">
        <v>212</v>
      </c>
      <c r="F1375" t="s">
        <v>212</v>
      </c>
      <c r="G1375" t="s">
        <v>212</v>
      </c>
      <c r="H1375" t="s">
        <v>212</v>
      </c>
      <c r="I1375" t="s">
        <v>212</v>
      </c>
      <c r="J1375" t="s">
        <v>212</v>
      </c>
    </row>
    <row r="1376" spans="1:19">
      <c r="B1376" t="s">
        <v>2975</v>
      </c>
      <c r="C1376" t="s">
        <v>212</v>
      </c>
      <c r="D1376" t="s">
        <v>212</v>
      </c>
      <c r="E1376" t="s">
        <v>212</v>
      </c>
      <c r="F1376" t="s">
        <v>212</v>
      </c>
      <c r="G1376" t="s">
        <v>212</v>
      </c>
      <c r="H1376" t="s">
        <v>212</v>
      </c>
      <c r="I1376" t="s">
        <v>212</v>
      </c>
      <c r="J1376" t="s">
        <v>212</v>
      </c>
    </row>
    <row r="1377" spans="1:10">
      <c r="B1377" t="s">
        <v>2976</v>
      </c>
      <c r="C1377" t="s">
        <v>212</v>
      </c>
      <c r="D1377" t="s">
        <v>212</v>
      </c>
      <c r="E1377" t="s">
        <v>212</v>
      </c>
      <c r="F1377" t="s">
        <v>212</v>
      </c>
      <c r="G1377" t="s">
        <v>212</v>
      </c>
      <c r="H1377" t="s">
        <v>212</v>
      </c>
      <c r="I1377" t="s">
        <v>212</v>
      </c>
      <c r="J1377" t="s">
        <v>212</v>
      </c>
    </row>
    <row r="1378" spans="1:10">
      <c r="B1378" t="s">
        <v>2977</v>
      </c>
      <c r="C1378" t="s">
        <v>212</v>
      </c>
      <c r="D1378" t="s">
        <v>212</v>
      </c>
      <c r="E1378" t="s">
        <v>212</v>
      </c>
      <c r="F1378" t="s">
        <v>212</v>
      </c>
      <c r="G1378" t="s">
        <v>212</v>
      </c>
      <c r="H1378" t="s">
        <v>212</v>
      </c>
      <c r="I1378" t="s">
        <v>212</v>
      </c>
      <c r="J1378" t="s">
        <v>212</v>
      </c>
    </row>
    <row r="1379" spans="1:10">
      <c r="B1379" t="s">
        <v>2978</v>
      </c>
      <c r="C1379" t="s">
        <v>212</v>
      </c>
      <c r="D1379" t="s">
        <v>212</v>
      </c>
      <c r="E1379" t="s">
        <v>212</v>
      </c>
      <c r="F1379" t="s">
        <v>212</v>
      </c>
      <c r="G1379" t="s">
        <v>212</v>
      </c>
      <c r="H1379" t="s">
        <v>212</v>
      </c>
      <c r="I1379" t="s">
        <v>212</v>
      </c>
      <c r="J1379" t="s">
        <v>212</v>
      </c>
    </row>
    <row r="1380" spans="1:10">
      <c r="B1380" t="s">
        <v>2979</v>
      </c>
      <c r="C1380" t="s">
        <v>212</v>
      </c>
      <c r="D1380" t="s">
        <v>212</v>
      </c>
      <c r="E1380" t="s">
        <v>212</v>
      </c>
      <c r="F1380" t="s">
        <v>212</v>
      </c>
      <c r="G1380" t="s">
        <v>212</v>
      </c>
      <c r="H1380" t="s">
        <v>212</v>
      </c>
      <c r="I1380" t="s">
        <v>212</v>
      </c>
      <c r="J1380" t="s">
        <v>212</v>
      </c>
    </row>
    <row r="1381" spans="1:10">
      <c r="B1381" t="s">
        <v>2980</v>
      </c>
      <c r="C1381" t="s">
        <v>212</v>
      </c>
      <c r="D1381" t="s">
        <v>212</v>
      </c>
      <c r="E1381" t="s">
        <v>212</v>
      </c>
      <c r="F1381" t="s">
        <v>212</v>
      </c>
      <c r="G1381" t="s">
        <v>212</v>
      </c>
      <c r="H1381" t="s">
        <v>212</v>
      </c>
      <c r="I1381" t="s">
        <v>212</v>
      </c>
      <c r="J1381" t="s">
        <v>212</v>
      </c>
    </row>
    <row r="1383" spans="1:10">
      <c r="B1383" t="s">
        <v>2981</v>
      </c>
      <c r="C1383">
        <v>0</v>
      </c>
      <c r="E1383">
        <v>0</v>
      </c>
      <c r="G1383">
        <v>0.25</v>
      </c>
      <c r="H1383">
        <v>24.36</v>
      </c>
      <c r="I1383">
        <v>0.25</v>
      </c>
      <c r="J1383">
        <v>24.36</v>
      </c>
    </row>
    <row r="1384" spans="1:10">
      <c r="B1384" t="s">
        <v>2982</v>
      </c>
      <c r="C1384">
        <v>0</v>
      </c>
      <c r="D1384">
        <v>0</v>
      </c>
      <c r="E1384">
        <v>0</v>
      </c>
      <c r="F1384">
        <v>0</v>
      </c>
      <c r="G1384">
        <v>0.25</v>
      </c>
      <c r="H1384">
        <v>24.36</v>
      </c>
      <c r="I1384">
        <v>0.25</v>
      </c>
      <c r="J1384">
        <v>24.36</v>
      </c>
    </row>
    <row r="1385" spans="1:10">
      <c r="B1385" t="s">
        <v>2983</v>
      </c>
      <c r="C1385">
        <v>0</v>
      </c>
      <c r="D1385">
        <v>0</v>
      </c>
      <c r="E1385">
        <v>0</v>
      </c>
      <c r="F1385">
        <v>0</v>
      </c>
      <c r="G1385">
        <v>0.25</v>
      </c>
      <c r="H1385">
        <v>24.36</v>
      </c>
      <c r="I1385">
        <v>0.25</v>
      </c>
      <c r="J1385">
        <v>24.36</v>
      </c>
    </row>
    <row r="1388" spans="1:10">
      <c r="A1388" t="s">
        <v>1914</v>
      </c>
    </row>
    <row r="1389" spans="1:10">
      <c r="A1389" t="s">
        <v>1915</v>
      </c>
      <c r="B1389" t="s">
        <v>2964</v>
      </c>
    </row>
    <row r="1390" spans="1:10">
      <c r="A1390" t="s">
        <v>1917</v>
      </c>
      <c r="B1390" t="s">
        <v>2101</v>
      </c>
    </row>
    <row r="1391" spans="1:10">
      <c r="C1391" t="s">
        <v>2965</v>
      </c>
      <c r="D1391" t="s">
        <v>2966</v>
      </c>
      <c r="E1391" t="s">
        <v>2967</v>
      </c>
      <c r="F1391" t="s">
        <v>2966</v>
      </c>
      <c r="G1391" t="s">
        <v>2968</v>
      </c>
      <c r="H1391" t="s">
        <v>2966</v>
      </c>
      <c r="I1391" t="s">
        <v>2969</v>
      </c>
      <c r="J1391" t="s">
        <v>2966</v>
      </c>
    </row>
    <row r="1392" spans="1:10">
      <c r="B1392" t="s">
        <v>2970</v>
      </c>
      <c r="C1392">
        <v>0</v>
      </c>
      <c r="D1392">
        <v>0</v>
      </c>
      <c r="E1392">
        <v>0</v>
      </c>
      <c r="F1392">
        <v>0</v>
      </c>
      <c r="G1392">
        <v>0</v>
      </c>
      <c r="H1392">
        <v>0</v>
      </c>
      <c r="I1392">
        <v>0</v>
      </c>
      <c r="J1392">
        <v>0</v>
      </c>
    </row>
    <row r="1393" spans="2:10">
      <c r="B1393" t="s">
        <v>2971</v>
      </c>
      <c r="C1393" t="s">
        <v>212</v>
      </c>
      <c r="D1393" t="s">
        <v>212</v>
      </c>
      <c r="E1393" t="s">
        <v>212</v>
      </c>
      <c r="F1393" t="s">
        <v>212</v>
      </c>
      <c r="G1393" t="s">
        <v>212</v>
      </c>
      <c r="H1393" t="s">
        <v>212</v>
      </c>
      <c r="I1393" t="s">
        <v>212</v>
      </c>
      <c r="J1393" t="s">
        <v>212</v>
      </c>
    </row>
    <row r="1394" spans="2:10">
      <c r="B1394" t="s">
        <v>2972</v>
      </c>
      <c r="C1394" t="s">
        <v>212</v>
      </c>
      <c r="D1394" t="s">
        <v>212</v>
      </c>
      <c r="E1394" t="s">
        <v>212</v>
      </c>
      <c r="F1394" t="s">
        <v>212</v>
      </c>
      <c r="G1394" t="s">
        <v>212</v>
      </c>
      <c r="H1394" t="s">
        <v>212</v>
      </c>
      <c r="I1394" t="s">
        <v>212</v>
      </c>
      <c r="J1394" t="s">
        <v>212</v>
      </c>
    </row>
    <row r="1395" spans="2:10">
      <c r="B1395" t="s">
        <v>2973</v>
      </c>
      <c r="C1395" t="s">
        <v>212</v>
      </c>
      <c r="D1395" t="s">
        <v>212</v>
      </c>
      <c r="E1395" t="s">
        <v>212</v>
      </c>
      <c r="F1395" t="s">
        <v>212</v>
      </c>
      <c r="G1395" t="s">
        <v>212</v>
      </c>
      <c r="H1395" t="s">
        <v>212</v>
      </c>
      <c r="I1395" t="s">
        <v>212</v>
      </c>
      <c r="J1395" t="s">
        <v>212</v>
      </c>
    </row>
    <row r="1396" spans="2:10">
      <c r="B1396" t="s">
        <v>820</v>
      </c>
      <c r="C1396" t="s">
        <v>212</v>
      </c>
      <c r="D1396" t="s">
        <v>212</v>
      </c>
      <c r="E1396" t="s">
        <v>212</v>
      </c>
      <c r="F1396" t="s">
        <v>212</v>
      </c>
      <c r="G1396" t="s">
        <v>212</v>
      </c>
      <c r="H1396" t="s">
        <v>212</v>
      </c>
      <c r="I1396" t="s">
        <v>212</v>
      </c>
      <c r="J1396" t="s">
        <v>212</v>
      </c>
    </row>
    <row r="1397" spans="2:10">
      <c r="B1397" t="s">
        <v>2974</v>
      </c>
      <c r="C1397" t="s">
        <v>212</v>
      </c>
      <c r="D1397" t="s">
        <v>212</v>
      </c>
      <c r="E1397" t="s">
        <v>212</v>
      </c>
      <c r="F1397" t="s">
        <v>212</v>
      </c>
      <c r="G1397" t="s">
        <v>212</v>
      </c>
      <c r="H1397" t="s">
        <v>212</v>
      </c>
      <c r="I1397" t="s">
        <v>212</v>
      </c>
      <c r="J1397" t="s">
        <v>212</v>
      </c>
    </row>
    <row r="1398" spans="2:10">
      <c r="B1398" t="s">
        <v>2975</v>
      </c>
      <c r="C1398" t="s">
        <v>212</v>
      </c>
      <c r="D1398" t="s">
        <v>212</v>
      </c>
      <c r="E1398" t="s">
        <v>212</v>
      </c>
      <c r="F1398" t="s">
        <v>212</v>
      </c>
      <c r="G1398" t="s">
        <v>212</v>
      </c>
      <c r="H1398" t="s">
        <v>212</v>
      </c>
      <c r="I1398" t="s">
        <v>212</v>
      </c>
      <c r="J1398" t="s">
        <v>212</v>
      </c>
    </row>
    <row r="1399" spans="2:10">
      <c r="B1399" t="s">
        <v>2976</v>
      </c>
      <c r="C1399" t="s">
        <v>212</v>
      </c>
      <c r="D1399" t="s">
        <v>212</v>
      </c>
      <c r="E1399" t="s">
        <v>212</v>
      </c>
      <c r="F1399" t="s">
        <v>212</v>
      </c>
      <c r="G1399" t="s">
        <v>212</v>
      </c>
      <c r="H1399" t="s">
        <v>212</v>
      </c>
      <c r="I1399" t="s">
        <v>212</v>
      </c>
      <c r="J1399" t="s">
        <v>212</v>
      </c>
    </row>
    <row r="1400" spans="2:10">
      <c r="B1400" t="s">
        <v>2977</v>
      </c>
      <c r="C1400" t="s">
        <v>212</v>
      </c>
      <c r="D1400" t="s">
        <v>212</v>
      </c>
      <c r="E1400" t="s">
        <v>212</v>
      </c>
      <c r="F1400" t="s">
        <v>212</v>
      </c>
      <c r="G1400" t="s">
        <v>212</v>
      </c>
      <c r="H1400" t="s">
        <v>212</v>
      </c>
      <c r="I1400" t="s">
        <v>212</v>
      </c>
      <c r="J1400" t="s">
        <v>212</v>
      </c>
    </row>
    <row r="1401" spans="2:10">
      <c r="B1401" t="s">
        <v>2978</v>
      </c>
      <c r="C1401" t="s">
        <v>212</v>
      </c>
      <c r="D1401" t="s">
        <v>212</v>
      </c>
      <c r="E1401" t="s">
        <v>212</v>
      </c>
      <c r="F1401" t="s">
        <v>212</v>
      </c>
      <c r="G1401" t="s">
        <v>212</v>
      </c>
      <c r="H1401" t="s">
        <v>212</v>
      </c>
      <c r="I1401" t="s">
        <v>212</v>
      </c>
      <c r="J1401" t="s">
        <v>212</v>
      </c>
    </row>
    <row r="1402" spans="2:10">
      <c r="B1402" t="s">
        <v>2979</v>
      </c>
      <c r="C1402" t="s">
        <v>212</v>
      </c>
      <c r="D1402" t="s">
        <v>212</v>
      </c>
      <c r="E1402" t="s">
        <v>212</v>
      </c>
      <c r="F1402" t="s">
        <v>212</v>
      </c>
      <c r="G1402" t="s">
        <v>212</v>
      </c>
      <c r="H1402" t="s">
        <v>212</v>
      </c>
      <c r="I1402" t="s">
        <v>212</v>
      </c>
      <c r="J1402" t="s">
        <v>212</v>
      </c>
    </row>
    <row r="1403" spans="2:10">
      <c r="B1403" t="s">
        <v>2980</v>
      </c>
      <c r="C1403" t="s">
        <v>212</v>
      </c>
      <c r="D1403" t="s">
        <v>212</v>
      </c>
      <c r="E1403" t="s">
        <v>212</v>
      </c>
      <c r="F1403" t="s">
        <v>212</v>
      </c>
      <c r="G1403" t="s">
        <v>212</v>
      </c>
      <c r="H1403" t="s">
        <v>212</v>
      </c>
      <c r="I1403" t="s">
        <v>212</v>
      </c>
      <c r="J1403" t="s">
        <v>212</v>
      </c>
    </row>
    <row r="1405" spans="2:10">
      <c r="B1405" t="s">
        <v>2981</v>
      </c>
      <c r="C1405">
        <v>0</v>
      </c>
      <c r="E1405">
        <v>0</v>
      </c>
      <c r="G1405">
        <v>0</v>
      </c>
      <c r="I1405">
        <v>0</v>
      </c>
    </row>
    <row r="1406" spans="2:10">
      <c r="B1406" t="s">
        <v>2982</v>
      </c>
      <c r="C1406">
        <v>0</v>
      </c>
      <c r="D1406">
        <v>0</v>
      </c>
      <c r="E1406">
        <v>0</v>
      </c>
      <c r="F1406">
        <v>0</v>
      </c>
      <c r="G1406">
        <v>0</v>
      </c>
      <c r="H1406">
        <v>0</v>
      </c>
      <c r="I1406">
        <v>0</v>
      </c>
      <c r="J1406">
        <v>0</v>
      </c>
    </row>
    <row r="1407" spans="2:10">
      <c r="B1407" t="s">
        <v>2983</v>
      </c>
      <c r="C1407">
        <v>0</v>
      </c>
      <c r="D1407">
        <v>0</v>
      </c>
      <c r="E1407">
        <v>0</v>
      </c>
      <c r="F1407">
        <v>0</v>
      </c>
      <c r="G1407">
        <v>0</v>
      </c>
      <c r="H1407">
        <v>0</v>
      </c>
      <c r="I1407">
        <v>0</v>
      </c>
      <c r="J1407">
        <v>0</v>
      </c>
    </row>
    <row r="1410" spans="1:10">
      <c r="A1410" t="s">
        <v>1914</v>
      </c>
    </row>
    <row r="1411" spans="1:10">
      <c r="A1411" t="s">
        <v>1915</v>
      </c>
      <c r="B1411" t="s">
        <v>2964</v>
      </c>
    </row>
    <row r="1412" spans="1:10">
      <c r="A1412" t="s">
        <v>1917</v>
      </c>
      <c r="B1412" t="s">
        <v>2102</v>
      </c>
    </row>
    <row r="1413" spans="1:10">
      <c r="C1413" t="s">
        <v>2965</v>
      </c>
      <c r="D1413" t="s">
        <v>2966</v>
      </c>
      <c r="E1413" t="s">
        <v>2967</v>
      </c>
      <c r="F1413" t="s">
        <v>2966</v>
      </c>
      <c r="G1413" t="s">
        <v>2968</v>
      </c>
      <c r="H1413" t="s">
        <v>2966</v>
      </c>
      <c r="I1413" t="s">
        <v>2969</v>
      </c>
      <c r="J1413" t="s">
        <v>2966</v>
      </c>
    </row>
    <row r="1414" spans="1:10">
      <c r="B1414" t="s">
        <v>2970</v>
      </c>
      <c r="C1414">
        <v>0</v>
      </c>
      <c r="D1414">
        <v>0</v>
      </c>
      <c r="E1414">
        <v>0</v>
      </c>
      <c r="F1414">
        <v>0</v>
      </c>
      <c r="G1414">
        <v>0</v>
      </c>
      <c r="H1414">
        <v>0</v>
      </c>
      <c r="I1414">
        <v>0</v>
      </c>
      <c r="J1414">
        <v>0</v>
      </c>
    </row>
    <row r="1415" spans="1:10">
      <c r="B1415" t="s">
        <v>2971</v>
      </c>
      <c r="C1415" t="s">
        <v>212</v>
      </c>
      <c r="D1415" t="s">
        <v>212</v>
      </c>
      <c r="E1415" t="s">
        <v>212</v>
      </c>
      <c r="F1415" t="s">
        <v>212</v>
      </c>
      <c r="G1415" t="s">
        <v>212</v>
      </c>
      <c r="H1415" t="s">
        <v>212</v>
      </c>
      <c r="I1415" t="s">
        <v>212</v>
      </c>
      <c r="J1415" t="s">
        <v>212</v>
      </c>
    </row>
    <row r="1416" spans="1:10">
      <c r="B1416" t="s">
        <v>2972</v>
      </c>
      <c r="C1416" t="s">
        <v>212</v>
      </c>
      <c r="D1416" t="s">
        <v>212</v>
      </c>
      <c r="E1416" t="s">
        <v>212</v>
      </c>
      <c r="F1416" t="s">
        <v>212</v>
      </c>
      <c r="G1416" t="s">
        <v>212</v>
      </c>
      <c r="H1416" t="s">
        <v>212</v>
      </c>
      <c r="I1416" t="s">
        <v>212</v>
      </c>
      <c r="J1416" t="s">
        <v>212</v>
      </c>
    </row>
    <row r="1417" spans="1:10">
      <c r="B1417" t="s">
        <v>2973</v>
      </c>
      <c r="C1417" t="s">
        <v>212</v>
      </c>
      <c r="D1417" t="s">
        <v>212</v>
      </c>
      <c r="E1417" t="s">
        <v>212</v>
      </c>
      <c r="F1417" t="s">
        <v>212</v>
      </c>
      <c r="G1417" t="s">
        <v>212</v>
      </c>
      <c r="H1417" t="s">
        <v>212</v>
      </c>
      <c r="I1417" t="s">
        <v>212</v>
      </c>
      <c r="J1417" t="s">
        <v>212</v>
      </c>
    </row>
    <row r="1418" spans="1:10">
      <c r="B1418" t="s">
        <v>820</v>
      </c>
      <c r="C1418" t="s">
        <v>212</v>
      </c>
      <c r="D1418" t="s">
        <v>212</v>
      </c>
      <c r="E1418" t="s">
        <v>212</v>
      </c>
      <c r="F1418" t="s">
        <v>212</v>
      </c>
      <c r="G1418" t="s">
        <v>212</v>
      </c>
      <c r="H1418" t="s">
        <v>212</v>
      </c>
      <c r="I1418" t="s">
        <v>212</v>
      </c>
      <c r="J1418" t="s">
        <v>212</v>
      </c>
    </row>
    <row r="1419" spans="1:10">
      <c r="B1419" t="s">
        <v>2974</v>
      </c>
      <c r="C1419" t="s">
        <v>212</v>
      </c>
      <c r="D1419" t="s">
        <v>212</v>
      </c>
      <c r="E1419" t="s">
        <v>212</v>
      </c>
      <c r="F1419" t="s">
        <v>212</v>
      </c>
      <c r="G1419" t="s">
        <v>212</v>
      </c>
      <c r="H1419" t="s">
        <v>212</v>
      </c>
      <c r="I1419" t="s">
        <v>212</v>
      </c>
      <c r="J1419" t="s">
        <v>212</v>
      </c>
    </row>
    <row r="1420" spans="1:10">
      <c r="B1420" t="s">
        <v>2975</v>
      </c>
      <c r="C1420" t="s">
        <v>212</v>
      </c>
      <c r="D1420" t="s">
        <v>212</v>
      </c>
      <c r="E1420" t="s">
        <v>212</v>
      </c>
      <c r="F1420" t="s">
        <v>212</v>
      </c>
      <c r="G1420" t="s">
        <v>212</v>
      </c>
      <c r="H1420" t="s">
        <v>212</v>
      </c>
      <c r="I1420" t="s">
        <v>212</v>
      </c>
      <c r="J1420" t="s">
        <v>212</v>
      </c>
    </row>
    <row r="1421" spans="1:10">
      <c r="B1421" t="s">
        <v>2976</v>
      </c>
      <c r="C1421" t="s">
        <v>212</v>
      </c>
      <c r="D1421" t="s">
        <v>212</v>
      </c>
      <c r="E1421" t="s">
        <v>212</v>
      </c>
      <c r="F1421" t="s">
        <v>212</v>
      </c>
      <c r="G1421" t="s">
        <v>212</v>
      </c>
      <c r="H1421" t="s">
        <v>212</v>
      </c>
      <c r="I1421" t="s">
        <v>212</v>
      </c>
      <c r="J1421" t="s">
        <v>212</v>
      </c>
    </row>
    <row r="1422" spans="1:10">
      <c r="B1422" t="s">
        <v>2977</v>
      </c>
      <c r="C1422" t="s">
        <v>212</v>
      </c>
      <c r="D1422" t="s">
        <v>212</v>
      </c>
      <c r="E1422" t="s">
        <v>212</v>
      </c>
      <c r="F1422" t="s">
        <v>212</v>
      </c>
      <c r="G1422" t="s">
        <v>212</v>
      </c>
      <c r="H1422" t="s">
        <v>212</v>
      </c>
      <c r="I1422" t="s">
        <v>212</v>
      </c>
      <c r="J1422" t="s">
        <v>212</v>
      </c>
    </row>
    <row r="1423" spans="1:10">
      <c r="B1423" t="s">
        <v>2978</v>
      </c>
      <c r="C1423" t="s">
        <v>212</v>
      </c>
      <c r="D1423" t="s">
        <v>212</v>
      </c>
      <c r="E1423" t="s">
        <v>212</v>
      </c>
      <c r="F1423" t="s">
        <v>212</v>
      </c>
      <c r="G1423" t="s">
        <v>212</v>
      </c>
      <c r="H1423" t="s">
        <v>212</v>
      </c>
      <c r="I1423" t="s">
        <v>212</v>
      </c>
      <c r="J1423" t="s">
        <v>212</v>
      </c>
    </row>
    <row r="1424" spans="1:10">
      <c r="B1424" t="s">
        <v>2979</v>
      </c>
      <c r="C1424" t="s">
        <v>212</v>
      </c>
      <c r="D1424" t="s">
        <v>212</v>
      </c>
      <c r="E1424" t="s">
        <v>212</v>
      </c>
      <c r="F1424" t="s">
        <v>212</v>
      </c>
      <c r="G1424" t="s">
        <v>212</v>
      </c>
      <c r="H1424" t="s">
        <v>212</v>
      </c>
      <c r="I1424" t="s">
        <v>212</v>
      </c>
      <c r="J1424" t="s">
        <v>212</v>
      </c>
    </row>
    <row r="1425" spans="1:10">
      <c r="B1425" t="s">
        <v>2980</v>
      </c>
      <c r="C1425" t="s">
        <v>212</v>
      </c>
      <c r="D1425" t="s">
        <v>212</v>
      </c>
      <c r="E1425" t="s">
        <v>212</v>
      </c>
      <c r="F1425" t="s">
        <v>212</v>
      </c>
      <c r="G1425" t="s">
        <v>212</v>
      </c>
      <c r="H1425" t="s">
        <v>212</v>
      </c>
      <c r="I1425" t="s">
        <v>212</v>
      </c>
      <c r="J1425" t="s">
        <v>212</v>
      </c>
    </row>
    <row r="1427" spans="1:10">
      <c r="B1427" t="s">
        <v>2981</v>
      </c>
      <c r="C1427">
        <v>0</v>
      </c>
      <c r="E1427">
        <v>0</v>
      </c>
      <c r="G1427">
        <v>0</v>
      </c>
      <c r="I1427">
        <v>0</v>
      </c>
    </row>
    <row r="1428" spans="1:10">
      <c r="B1428" t="s">
        <v>2982</v>
      </c>
      <c r="C1428">
        <v>0</v>
      </c>
      <c r="D1428">
        <v>0</v>
      </c>
      <c r="E1428">
        <v>0</v>
      </c>
      <c r="F1428">
        <v>0</v>
      </c>
      <c r="G1428">
        <v>0</v>
      </c>
      <c r="H1428">
        <v>0</v>
      </c>
      <c r="I1428">
        <v>0</v>
      </c>
      <c r="J1428">
        <v>0</v>
      </c>
    </row>
    <row r="1429" spans="1:10">
      <c r="B1429" t="s">
        <v>2983</v>
      </c>
      <c r="C1429">
        <v>0</v>
      </c>
      <c r="D1429">
        <v>0</v>
      </c>
      <c r="E1429">
        <v>0</v>
      </c>
      <c r="F1429">
        <v>0</v>
      </c>
      <c r="G1429">
        <v>0</v>
      </c>
      <c r="H1429">
        <v>0</v>
      </c>
      <c r="I1429">
        <v>0</v>
      </c>
      <c r="J1429">
        <v>0</v>
      </c>
    </row>
    <row r="1432" spans="1:10">
      <c r="A1432" t="s">
        <v>1914</v>
      </c>
    </row>
    <row r="1433" spans="1:10">
      <c r="A1433" t="s">
        <v>1915</v>
      </c>
      <c r="B1433" t="s">
        <v>2964</v>
      </c>
    </row>
    <row r="1434" spans="1:10">
      <c r="A1434" t="s">
        <v>1917</v>
      </c>
      <c r="B1434" t="s">
        <v>2103</v>
      </c>
    </row>
    <row r="1435" spans="1:10">
      <c r="C1435" t="s">
        <v>2965</v>
      </c>
      <c r="D1435" t="s">
        <v>2966</v>
      </c>
      <c r="E1435" t="s">
        <v>2967</v>
      </c>
      <c r="F1435" t="s">
        <v>2966</v>
      </c>
      <c r="G1435" t="s">
        <v>2968</v>
      </c>
      <c r="H1435" t="s">
        <v>2966</v>
      </c>
      <c r="I1435" t="s">
        <v>2969</v>
      </c>
      <c r="J1435" t="s">
        <v>2966</v>
      </c>
    </row>
    <row r="1436" spans="1:10">
      <c r="B1436" t="s">
        <v>2970</v>
      </c>
      <c r="C1436">
        <v>0</v>
      </c>
      <c r="D1436">
        <v>0</v>
      </c>
      <c r="E1436">
        <v>0</v>
      </c>
      <c r="F1436">
        <v>0</v>
      </c>
      <c r="G1436">
        <v>0</v>
      </c>
      <c r="H1436">
        <v>0</v>
      </c>
      <c r="I1436">
        <v>0</v>
      </c>
      <c r="J1436">
        <v>0</v>
      </c>
    </row>
    <row r="1437" spans="1:10">
      <c r="B1437" t="s">
        <v>2971</v>
      </c>
      <c r="C1437" t="s">
        <v>212</v>
      </c>
      <c r="D1437" t="s">
        <v>212</v>
      </c>
      <c r="E1437" t="s">
        <v>212</v>
      </c>
      <c r="F1437" t="s">
        <v>212</v>
      </c>
      <c r="G1437" t="s">
        <v>212</v>
      </c>
      <c r="H1437" t="s">
        <v>212</v>
      </c>
      <c r="I1437" t="s">
        <v>212</v>
      </c>
      <c r="J1437" t="s">
        <v>212</v>
      </c>
    </row>
    <row r="1438" spans="1:10">
      <c r="B1438" t="s">
        <v>2972</v>
      </c>
      <c r="C1438" t="s">
        <v>212</v>
      </c>
      <c r="D1438" t="s">
        <v>212</v>
      </c>
      <c r="E1438" t="s">
        <v>212</v>
      </c>
      <c r="F1438" t="s">
        <v>212</v>
      </c>
      <c r="G1438" t="s">
        <v>212</v>
      </c>
      <c r="H1438" t="s">
        <v>212</v>
      </c>
      <c r="I1438" t="s">
        <v>212</v>
      </c>
      <c r="J1438" t="s">
        <v>212</v>
      </c>
    </row>
    <row r="1439" spans="1:10">
      <c r="B1439" t="s">
        <v>2973</v>
      </c>
      <c r="C1439" t="s">
        <v>212</v>
      </c>
      <c r="D1439" t="s">
        <v>212</v>
      </c>
      <c r="E1439" t="s">
        <v>212</v>
      </c>
      <c r="F1439" t="s">
        <v>212</v>
      </c>
      <c r="G1439" t="s">
        <v>212</v>
      </c>
      <c r="H1439" t="s">
        <v>212</v>
      </c>
      <c r="I1439" t="s">
        <v>212</v>
      </c>
      <c r="J1439" t="s">
        <v>212</v>
      </c>
    </row>
    <row r="1440" spans="1:10">
      <c r="B1440" t="s">
        <v>820</v>
      </c>
      <c r="C1440" t="s">
        <v>212</v>
      </c>
      <c r="D1440" t="s">
        <v>212</v>
      </c>
      <c r="E1440" t="s">
        <v>212</v>
      </c>
      <c r="F1440" t="s">
        <v>212</v>
      </c>
      <c r="G1440" t="s">
        <v>212</v>
      </c>
      <c r="H1440" t="s">
        <v>212</v>
      </c>
      <c r="I1440" t="s">
        <v>212</v>
      </c>
      <c r="J1440" t="s">
        <v>212</v>
      </c>
    </row>
    <row r="1441" spans="1:10">
      <c r="B1441" t="s">
        <v>2974</v>
      </c>
      <c r="C1441" t="s">
        <v>212</v>
      </c>
      <c r="D1441" t="s">
        <v>212</v>
      </c>
      <c r="E1441" t="s">
        <v>212</v>
      </c>
      <c r="F1441" t="s">
        <v>212</v>
      </c>
      <c r="G1441" t="s">
        <v>212</v>
      </c>
      <c r="H1441" t="s">
        <v>212</v>
      </c>
      <c r="I1441" t="s">
        <v>212</v>
      </c>
      <c r="J1441" t="s">
        <v>212</v>
      </c>
    </row>
    <row r="1442" spans="1:10">
      <c r="B1442" t="s">
        <v>2975</v>
      </c>
      <c r="C1442" t="s">
        <v>212</v>
      </c>
      <c r="D1442" t="s">
        <v>212</v>
      </c>
      <c r="E1442" t="s">
        <v>212</v>
      </c>
      <c r="F1442" t="s">
        <v>212</v>
      </c>
      <c r="G1442" t="s">
        <v>212</v>
      </c>
      <c r="H1442" t="s">
        <v>212</v>
      </c>
      <c r="I1442" t="s">
        <v>212</v>
      </c>
      <c r="J1442" t="s">
        <v>212</v>
      </c>
    </row>
    <row r="1443" spans="1:10">
      <c r="B1443" t="s">
        <v>2976</v>
      </c>
      <c r="C1443" t="s">
        <v>212</v>
      </c>
      <c r="D1443" t="s">
        <v>212</v>
      </c>
      <c r="E1443" t="s">
        <v>212</v>
      </c>
      <c r="F1443" t="s">
        <v>212</v>
      </c>
      <c r="G1443" t="s">
        <v>212</v>
      </c>
      <c r="H1443" t="s">
        <v>212</v>
      </c>
      <c r="I1443" t="s">
        <v>212</v>
      </c>
      <c r="J1443" t="s">
        <v>212</v>
      </c>
    </row>
    <row r="1444" spans="1:10">
      <c r="B1444" t="s">
        <v>2977</v>
      </c>
      <c r="C1444" t="s">
        <v>212</v>
      </c>
      <c r="D1444" t="s">
        <v>212</v>
      </c>
      <c r="E1444" t="s">
        <v>212</v>
      </c>
      <c r="F1444" t="s">
        <v>212</v>
      </c>
      <c r="G1444" t="s">
        <v>212</v>
      </c>
      <c r="H1444" t="s">
        <v>212</v>
      </c>
      <c r="I1444" t="s">
        <v>212</v>
      </c>
      <c r="J1444" t="s">
        <v>212</v>
      </c>
    </row>
    <row r="1445" spans="1:10">
      <c r="B1445" t="s">
        <v>2978</v>
      </c>
      <c r="C1445" t="s">
        <v>212</v>
      </c>
      <c r="D1445" t="s">
        <v>212</v>
      </c>
      <c r="E1445" t="s">
        <v>212</v>
      </c>
      <c r="F1445" t="s">
        <v>212</v>
      </c>
      <c r="G1445" t="s">
        <v>212</v>
      </c>
      <c r="H1445" t="s">
        <v>212</v>
      </c>
      <c r="I1445" t="s">
        <v>212</v>
      </c>
      <c r="J1445" t="s">
        <v>212</v>
      </c>
    </row>
    <row r="1446" spans="1:10">
      <c r="B1446" t="s">
        <v>2979</v>
      </c>
      <c r="C1446" t="s">
        <v>212</v>
      </c>
      <c r="D1446" t="s">
        <v>212</v>
      </c>
      <c r="E1446" t="s">
        <v>212</v>
      </c>
      <c r="F1446" t="s">
        <v>212</v>
      </c>
      <c r="G1446" t="s">
        <v>212</v>
      </c>
      <c r="H1446" t="s">
        <v>212</v>
      </c>
      <c r="I1446" t="s">
        <v>212</v>
      </c>
      <c r="J1446" t="s">
        <v>212</v>
      </c>
    </row>
    <row r="1447" spans="1:10">
      <c r="B1447" t="s">
        <v>2980</v>
      </c>
      <c r="C1447" t="s">
        <v>212</v>
      </c>
      <c r="D1447" t="s">
        <v>212</v>
      </c>
      <c r="E1447" t="s">
        <v>212</v>
      </c>
      <c r="F1447" t="s">
        <v>212</v>
      </c>
      <c r="G1447" t="s">
        <v>212</v>
      </c>
      <c r="H1447" t="s">
        <v>212</v>
      </c>
      <c r="I1447" t="s">
        <v>212</v>
      </c>
      <c r="J1447" t="s">
        <v>212</v>
      </c>
    </row>
    <row r="1449" spans="1:10">
      <c r="B1449" t="s">
        <v>2981</v>
      </c>
      <c r="C1449">
        <v>0</v>
      </c>
      <c r="E1449">
        <v>0</v>
      </c>
      <c r="G1449">
        <v>0</v>
      </c>
      <c r="I1449">
        <v>0</v>
      </c>
    </row>
    <row r="1450" spans="1:10">
      <c r="B1450" t="s">
        <v>2982</v>
      </c>
      <c r="C1450">
        <v>0</v>
      </c>
      <c r="D1450">
        <v>0</v>
      </c>
      <c r="E1450">
        <v>0</v>
      </c>
      <c r="F1450">
        <v>0</v>
      </c>
      <c r="G1450">
        <v>0</v>
      </c>
      <c r="H1450">
        <v>0</v>
      </c>
      <c r="I1450">
        <v>0</v>
      </c>
      <c r="J1450">
        <v>0</v>
      </c>
    </row>
    <row r="1451" spans="1:10">
      <c r="B1451" t="s">
        <v>2983</v>
      </c>
      <c r="C1451">
        <v>0</v>
      </c>
      <c r="D1451">
        <v>0</v>
      </c>
      <c r="E1451">
        <v>0</v>
      </c>
      <c r="F1451">
        <v>0</v>
      </c>
      <c r="G1451">
        <v>0</v>
      </c>
      <c r="H1451">
        <v>0</v>
      </c>
      <c r="I1451">
        <v>0</v>
      </c>
      <c r="J1451">
        <v>0</v>
      </c>
    </row>
    <row r="1454" spans="1:10">
      <c r="A1454" t="s">
        <v>1914</v>
      </c>
    </row>
    <row r="1455" spans="1:10">
      <c r="A1455" t="s">
        <v>1915</v>
      </c>
      <c r="B1455" t="s">
        <v>2964</v>
      </c>
    </row>
    <row r="1456" spans="1:10">
      <c r="A1456" t="s">
        <v>1917</v>
      </c>
      <c r="B1456" t="s">
        <v>2104</v>
      </c>
    </row>
    <row r="1457" spans="2:10">
      <c r="C1457" t="s">
        <v>2965</v>
      </c>
      <c r="D1457" t="s">
        <v>2966</v>
      </c>
      <c r="E1457" t="s">
        <v>2967</v>
      </c>
      <c r="F1457" t="s">
        <v>2966</v>
      </c>
      <c r="G1457" t="s">
        <v>2968</v>
      </c>
      <c r="H1457" t="s">
        <v>2966</v>
      </c>
      <c r="I1457" t="s">
        <v>2969</v>
      </c>
      <c r="J1457" t="s">
        <v>2966</v>
      </c>
    </row>
    <row r="1458" spans="2:10">
      <c r="B1458" t="s">
        <v>2970</v>
      </c>
      <c r="C1458">
        <v>0</v>
      </c>
      <c r="D1458">
        <v>0</v>
      </c>
      <c r="E1458">
        <v>0</v>
      </c>
      <c r="F1458">
        <v>0</v>
      </c>
      <c r="G1458">
        <v>0</v>
      </c>
      <c r="H1458">
        <v>0</v>
      </c>
      <c r="I1458">
        <v>0</v>
      </c>
      <c r="J1458">
        <v>0</v>
      </c>
    </row>
    <row r="1459" spans="2:10">
      <c r="B1459" t="s">
        <v>2971</v>
      </c>
      <c r="C1459" t="s">
        <v>212</v>
      </c>
      <c r="D1459" t="s">
        <v>212</v>
      </c>
      <c r="E1459" t="s">
        <v>212</v>
      </c>
      <c r="F1459" t="s">
        <v>212</v>
      </c>
      <c r="G1459" t="s">
        <v>212</v>
      </c>
      <c r="H1459" t="s">
        <v>212</v>
      </c>
      <c r="I1459" t="s">
        <v>212</v>
      </c>
      <c r="J1459" t="s">
        <v>212</v>
      </c>
    </row>
    <row r="1460" spans="2:10">
      <c r="B1460" t="s">
        <v>2972</v>
      </c>
      <c r="C1460" t="s">
        <v>212</v>
      </c>
      <c r="D1460" t="s">
        <v>212</v>
      </c>
      <c r="E1460" t="s">
        <v>212</v>
      </c>
      <c r="F1460" t="s">
        <v>212</v>
      </c>
      <c r="G1460" t="s">
        <v>212</v>
      </c>
      <c r="H1460" t="s">
        <v>212</v>
      </c>
      <c r="I1460" t="s">
        <v>212</v>
      </c>
      <c r="J1460" t="s">
        <v>212</v>
      </c>
    </row>
    <row r="1461" spans="2:10">
      <c r="B1461" t="s">
        <v>2973</v>
      </c>
      <c r="C1461" t="s">
        <v>212</v>
      </c>
      <c r="D1461" t="s">
        <v>212</v>
      </c>
      <c r="E1461" t="s">
        <v>212</v>
      </c>
      <c r="F1461" t="s">
        <v>212</v>
      </c>
      <c r="G1461" t="s">
        <v>212</v>
      </c>
      <c r="H1461" t="s">
        <v>212</v>
      </c>
      <c r="I1461" t="s">
        <v>212</v>
      </c>
      <c r="J1461" t="s">
        <v>212</v>
      </c>
    </row>
    <row r="1462" spans="2:10">
      <c r="B1462" t="s">
        <v>820</v>
      </c>
      <c r="C1462" t="s">
        <v>212</v>
      </c>
      <c r="D1462" t="s">
        <v>212</v>
      </c>
      <c r="E1462" t="s">
        <v>212</v>
      </c>
      <c r="F1462" t="s">
        <v>212</v>
      </c>
      <c r="G1462" t="s">
        <v>212</v>
      </c>
      <c r="H1462" t="s">
        <v>212</v>
      </c>
      <c r="I1462" t="s">
        <v>212</v>
      </c>
      <c r="J1462" t="s">
        <v>212</v>
      </c>
    </row>
    <row r="1463" spans="2:10">
      <c r="B1463" t="s">
        <v>2974</v>
      </c>
      <c r="C1463" t="s">
        <v>212</v>
      </c>
      <c r="D1463" t="s">
        <v>212</v>
      </c>
      <c r="E1463" t="s">
        <v>212</v>
      </c>
      <c r="F1463" t="s">
        <v>212</v>
      </c>
      <c r="G1463" t="s">
        <v>212</v>
      </c>
      <c r="H1463" t="s">
        <v>212</v>
      </c>
      <c r="I1463" t="s">
        <v>212</v>
      </c>
      <c r="J1463" t="s">
        <v>212</v>
      </c>
    </row>
    <row r="1464" spans="2:10">
      <c r="B1464" t="s">
        <v>2975</v>
      </c>
      <c r="C1464" t="s">
        <v>212</v>
      </c>
      <c r="D1464" t="s">
        <v>212</v>
      </c>
      <c r="E1464" t="s">
        <v>212</v>
      </c>
      <c r="F1464" t="s">
        <v>212</v>
      </c>
      <c r="G1464" t="s">
        <v>212</v>
      </c>
      <c r="H1464" t="s">
        <v>212</v>
      </c>
      <c r="I1464" t="s">
        <v>212</v>
      </c>
      <c r="J1464" t="s">
        <v>212</v>
      </c>
    </row>
    <row r="1465" spans="2:10">
      <c r="B1465" t="s">
        <v>2976</v>
      </c>
      <c r="C1465" t="s">
        <v>212</v>
      </c>
      <c r="D1465" t="s">
        <v>212</v>
      </c>
      <c r="E1465" t="s">
        <v>212</v>
      </c>
      <c r="F1465" t="s">
        <v>212</v>
      </c>
      <c r="G1465" t="s">
        <v>212</v>
      </c>
      <c r="H1465" t="s">
        <v>212</v>
      </c>
      <c r="I1465" t="s">
        <v>212</v>
      </c>
      <c r="J1465" t="s">
        <v>212</v>
      </c>
    </row>
    <row r="1466" spans="2:10">
      <c r="B1466" t="s">
        <v>2977</v>
      </c>
      <c r="C1466" t="s">
        <v>212</v>
      </c>
      <c r="D1466" t="s">
        <v>212</v>
      </c>
      <c r="E1466" t="s">
        <v>212</v>
      </c>
      <c r="F1466" t="s">
        <v>212</v>
      </c>
      <c r="G1466" t="s">
        <v>212</v>
      </c>
      <c r="H1466" t="s">
        <v>212</v>
      </c>
      <c r="I1466" t="s">
        <v>212</v>
      </c>
      <c r="J1466" t="s">
        <v>212</v>
      </c>
    </row>
    <row r="1467" spans="2:10">
      <c r="B1467" t="s">
        <v>2978</v>
      </c>
      <c r="C1467" t="s">
        <v>212</v>
      </c>
      <c r="D1467" t="s">
        <v>212</v>
      </c>
      <c r="E1467" t="s">
        <v>212</v>
      </c>
      <c r="F1467" t="s">
        <v>212</v>
      </c>
      <c r="G1467" t="s">
        <v>212</v>
      </c>
      <c r="H1467" t="s">
        <v>212</v>
      </c>
      <c r="I1467" t="s">
        <v>212</v>
      </c>
      <c r="J1467" t="s">
        <v>212</v>
      </c>
    </row>
    <row r="1468" spans="2:10">
      <c r="B1468" t="s">
        <v>2979</v>
      </c>
      <c r="C1468" t="s">
        <v>212</v>
      </c>
      <c r="D1468" t="s">
        <v>212</v>
      </c>
      <c r="E1468" t="s">
        <v>212</v>
      </c>
      <c r="F1468" t="s">
        <v>212</v>
      </c>
      <c r="G1468" t="s">
        <v>212</v>
      </c>
      <c r="H1468" t="s">
        <v>212</v>
      </c>
      <c r="I1468" t="s">
        <v>212</v>
      </c>
      <c r="J1468" t="s">
        <v>212</v>
      </c>
    </row>
    <row r="1469" spans="2:10">
      <c r="B1469" t="s">
        <v>2980</v>
      </c>
      <c r="C1469" t="s">
        <v>212</v>
      </c>
      <c r="D1469" t="s">
        <v>212</v>
      </c>
      <c r="E1469" t="s">
        <v>212</v>
      </c>
      <c r="F1469" t="s">
        <v>212</v>
      </c>
      <c r="G1469" t="s">
        <v>212</v>
      </c>
      <c r="H1469" t="s">
        <v>212</v>
      </c>
      <c r="I1469" t="s">
        <v>212</v>
      </c>
      <c r="J1469" t="s">
        <v>212</v>
      </c>
    </row>
    <row r="1471" spans="2:10">
      <c r="B1471" t="s">
        <v>2981</v>
      </c>
      <c r="C1471">
        <v>0</v>
      </c>
      <c r="E1471">
        <v>0</v>
      </c>
      <c r="G1471">
        <v>0</v>
      </c>
      <c r="I1471">
        <v>0</v>
      </c>
    </row>
    <row r="1472" spans="2:10">
      <c r="B1472" t="s">
        <v>2982</v>
      </c>
      <c r="C1472">
        <v>0</v>
      </c>
      <c r="D1472">
        <v>0</v>
      </c>
      <c r="E1472">
        <v>0</v>
      </c>
      <c r="F1472">
        <v>0</v>
      </c>
      <c r="G1472">
        <v>0</v>
      </c>
      <c r="H1472">
        <v>0</v>
      </c>
      <c r="I1472">
        <v>0</v>
      </c>
      <c r="J1472">
        <v>0</v>
      </c>
    </row>
    <row r="1473" spans="1:10">
      <c r="B1473" t="s">
        <v>2983</v>
      </c>
      <c r="C1473">
        <v>0</v>
      </c>
      <c r="D1473">
        <v>0</v>
      </c>
      <c r="E1473">
        <v>0</v>
      </c>
      <c r="F1473">
        <v>0</v>
      </c>
      <c r="G1473">
        <v>0</v>
      </c>
      <c r="H1473">
        <v>0</v>
      </c>
      <c r="I1473">
        <v>0</v>
      </c>
      <c r="J1473">
        <v>0</v>
      </c>
    </row>
    <row r="1476" spans="1:10">
      <c r="A1476" t="s">
        <v>1914</v>
      </c>
    </row>
    <row r="1477" spans="1:10">
      <c r="A1477" t="s">
        <v>1915</v>
      </c>
      <c r="B1477" t="s">
        <v>2964</v>
      </c>
    </row>
    <row r="1478" spans="1:10">
      <c r="A1478" t="s">
        <v>1917</v>
      </c>
      <c r="B1478" t="s">
        <v>2105</v>
      </c>
    </row>
    <row r="1479" spans="1:10">
      <c r="C1479" t="s">
        <v>2965</v>
      </c>
      <c r="D1479" t="s">
        <v>2966</v>
      </c>
      <c r="E1479" t="s">
        <v>2967</v>
      </c>
      <c r="F1479" t="s">
        <v>2966</v>
      </c>
      <c r="G1479" t="s">
        <v>2968</v>
      </c>
      <c r="H1479" t="s">
        <v>2966</v>
      </c>
      <c r="I1479" t="s">
        <v>2969</v>
      </c>
      <c r="J1479" t="s">
        <v>2966</v>
      </c>
    </row>
    <row r="1480" spans="1:10">
      <c r="B1480" t="s">
        <v>2970</v>
      </c>
      <c r="C1480">
        <v>0</v>
      </c>
      <c r="D1480">
        <v>0</v>
      </c>
      <c r="E1480">
        <v>0</v>
      </c>
      <c r="F1480">
        <v>0</v>
      </c>
      <c r="G1480">
        <v>0</v>
      </c>
      <c r="H1480">
        <v>0</v>
      </c>
      <c r="I1480">
        <v>0</v>
      </c>
      <c r="J1480">
        <v>0</v>
      </c>
    </row>
    <row r="1481" spans="1:10">
      <c r="B1481" t="s">
        <v>2971</v>
      </c>
      <c r="C1481" t="s">
        <v>212</v>
      </c>
      <c r="D1481" t="s">
        <v>212</v>
      </c>
      <c r="E1481" t="s">
        <v>212</v>
      </c>
      <c r="F1481" t="s">
        <v>212</v>
      </c>
      <c r="G1481" t="s">
        <v>212</v>
      </c>
      <c r="H1481" t="s">
        <v>212</v>
      </c>
      <c r="I1481" t="s">
        <v>212</v>
      </c>
      <c r="J1481" t="s">
        <v>212</v>
      </c>
    </row>
    <row r="1482" spans="1:10">
      <c r="B1482" t="s">
        <v>2972</v>
      </c>
      <c r="C1482" t="s">
        <v>212</v>
      </c>
      <c r="D1482" t="s">
        <v>212</v>
      </c>
      <c r="E1482" t="s">
        <v>212</v>
      </c>
      <c r="F1482" t="s">
        <v>212</v>
      </c>
      <c r="G1482" t="s">
        <v>212</v>
      </c>
      <c r="H1482" t="s">
        <v>212</v>
      </c>
      <c r="I1482" t="s">
        <v>212</v>
      </c>
      <c r="J1482" t="s">
        <v>212</v>
      </c>
    </row>
    <row r="1483" spans="1:10">
      <c r="B1483" t="s">
        <v>2973</v>
      </c>
      <c r="C1483" t="s">
        <v>212</v>
      </c>
      <c r="D1483" t="s">
        <v>212</v>
      </c>
      <c r="E1483" t="s">
        <v>212</v>
      </c>
      <c r="F1483" t="s">
        <v>212</v>
      </c>
      <c r="G1483" t="s">
        <v>212</v>
      </c>
      <c r="H1483" t="s">
        <v>212</v>
      </c>
      <c r="I1483" t="s">
        <v>212</v>
      </c>
      <c r="J1483" t="s">
        <v>212</v>
      </c>
    </row>
    <row r="1484" spans="1:10">
      <c r="B1484" t="s">
        <v>820</v>
      </c>
      <c r="C1484" t="s">
        <v>212</v>
      </c>
      <c r="D1484" t="s">
        <v>212</v>
      </c>
      <c r="E1484" t="s">
        <v>212</v>
      </c>
      <c r="F1484" t="s">
        <v>212</v>
      </c>
      <c r="G1484" t="s">
        <v>212</v>
      </c>
      <c r="H1484" t="s">
        <v>212</v>
      </c>
      <c r="I1484" t="s">
        <v>212</v>
      </c>
      <c r="J1484" t="s">
        <v>212</v>
      </c>
    </row>
    <row r="1485" spans="1:10">
      <c r="B1485" t="s">
        <v>2974</v>
      </c>
      <c r="C1485" t="s">
        <v>212</v>
      </c>
      <c r="D1485" t="s">
        <v>212</v>
      </c>
      <c r="E1485" t="s">
        <v>212</v>
      </c>
      <c r="F1485" t="s">
        <v>212</v>
      </c>
      <c r="G1485" t="s">
        <v>212</v>
      </c>
      <c r="H1485" t="s">
        <v>212</v>
      </c>
      <c r="I1485" t="s">
        <v>212</v>
      </c>
      <c r="J1485" t="s">
        <v>212</v>
      </c>
    </row>
    <row r="1486" spans="1:10">
      <c r="B1486" t="s">
        <v>2975</v>
      </c>
      <c r="C1486" t="s">
        <v>212</v>
      </c>
      <c r="D1486" t="s">
        <v>212</v>
      </c>
      <c r="E1486" t="s">
        <v>212</v>
      </c>
      <c r="F1486" t="s">
        <v>212</v>
      </c>
      <c r="G1486" t="s">
        <v>212</v>
      </c>
      <c r="H1486" t="s">
        <v>212</v>
      </c>
      <c r="I1486" t="s">
        <v>212</v>
      </c>
      <c r="J1486" t="s">
        <v>212</v>
      </c>
    </row>
    <row r="1487" spans="1:10">
      <c r="B1487" t="s">
        <v>2976</v>
      </c>
      <c r="C1487" t="s">
        <v>212</v>
      </c>
      <c r="D1487" t="s">
        <v>212</v>
      </c>
      <c r="E1487" t="s">
        <v>212</v>
      </c>
      <c r="F1487" t="s">
        <v>212</v>
      </c>
      <c r="G1487" t="s">
        <v>212</v>
      </c>
      <c r="H1487" t="s">
        <v>212</v>
      </c>
      <c r="I1487" t="s">
        <v>212</v>
      </c>
      <c r="J1487" t="s">
        <v>212</v>
      </c>
    </row>
    <row r="1488" spans="1:10">
      <c r="B1488" t="s">
        <v>2977</v>
      </c>
      <c r="C1488" t="s">
        <v>212</v>
      </c>
      <c r="D1488" t="s">
        <v>212</v>
      </c>
      <c r="E1488" t="s">
        <v>212</v>
      </c>
      <c r="F1488" t="s">
        <v>212</v>
      </c>
      <c r="G1488" t="s">
        <v>212</v>
      </c>
      <c r="H1488" t="s">
        <v>212</v>
      </c>
      <c r="I1488" t="s">
        <v>212</v>
      </c>
      <c r="J1488" t="s">
        <v>212</v>
      </c>
    </row>
    <row r="1489" spans="1:10">
      <c r="B1489" t="s">
        <v>2978</v>
      </c>
      <c r="C1489" t="s">
        <v>212</v>
      </c>
      <c r="D1489" t="s">
        <v>212</v>
      </c>
      <c r="E1489" t="s">
        <v>212</v>
      </c>
      <c r="F1489" t="s">
        <v>212</v>
      </c>
      <c r="G1489" t="s">
        <v>212</v>
      </c>
      <c r="H1489" t="s">
        <v>212</v>
      </c>
      <c r="I1489" t="s">
        <v>212</v>
      </c>
      <c r="J1489" t="s">
        <v>212</v>
      </c>
    </row>
    <row r="1490" spans="1:10">
      <c r="B1490" t="s">
        <v>2979</v>
      </c>
      <c r="C1490" t="s">
        <v>212</v>
      </c>
      <c r="D1490" t="s">
        <v>212</v>
      </c>
      <c r="E1490" t="s">
        <v>212</v>
      </c>
      <c r="F1490" t="s">
        <v>212</v>
      </c>
      <c r="G1490" t="s">
        <v>212</v>
      </c>
      <c r="H1490" t="s">
        <v>212</v>
      </c>
      <c r="I1490" t="s">
        <v>212</v>
      </c>
      <c r="J1490" t="s">
        <v>212</v>
      </c>
    </row>
    <row r="1491" spans="1:10">
      <c r="B1491" t="s">
        <v>2980</v>
      </c>
      <c r="C1491" t="s">
        <v>212</v>
      </c>
      <c r="D1491" t="s">
        <v>212</v>
      </c>
      <c r="E1491" t="s">
        <v>212</v>
      </c>
      <c r="F1491" t="s">
        <v>212</v>
      </c>
      <c r="G1491" t="s">
        <v>212</v>
      </c>
      <c r="H1491" t="s">
        <v>212</v>
      </c>
      <c r="I1491" t="s">
        <v>212</v>
      </c>
      <c r="J1491" t="s">
        <v>212</v>
      </c>
    </row>
    <row r="1493" spans="1:10">
      <c r="B1493" t="s">
        <v>2981</v>
      </c>
      <c r="C1493">
        <v>0</v>
      </c>
      <c r="E1493">
        <v>0</v>
      </c>
      <c r="G1493">
        <v>0</v>
      </c>
      <c r="I1493">
        <v>0</v>
      </c>
    </row>
    <row r="1494" spans="1:10">
      <c r="B1494" t="s">
        <v>2982</v>
      </c>
      <c r="C1494">
        <v>0</v>
      </c>
      <c r="D1494">
        <v>0</v>
      </c>
      <c r="E1494">
        <v>0</v>
      </c>
      <c r="F1494">
        <v>0</v>
      </c>
      <c r="G1494">
        <v>0</v>
      </c>
      <c r="H1494">
        <v>0</v>
      </c>
      <c r="I1494">
        <v>0</v>
      </c>
      <c r="J1494">
        <v>0</v>
      </c>
    </row>
    <row r="1495" spans="1:10">
      <c r="B1495" t="s">
        <v>2983</v>
      </c>
      <c r="C1495">
        <v>0</v>
      </c>
      <c r="D1495">
        <v>0</v>
      </c>
      <c r="E1495">
        <v>0</v>
      </c>
      <c r="F1495">
        <v>0</v>
      </c>
      <c r="G1495">
        <v>0</v>
      </c>
      <c r="H1495">
        <v>0</v>
      </c>
      <c r="I1495">
        <v>0</v>
      </c>
      <c r="J1495">
        <v>0</v>
      </c>
    </row>
    <row r="1498" spans="1:10">
      <c r="A1498" t="s">
        <v>1914</v>
      </c>
    </row>
    <row r="1499" spans="1:10">
      <c r="A1499" t="s">
        <v>1915</v>
      </c>
      <c r="B1499" t="s">
        <v>2964</v>
      </c>
    </row>
    <row r="1500" spans="1:10">
      <c r="A1500" t="s">
        <v>1917</v>
      </c>
      <c r="B1500" t="s">
        <v>2106</v>
      </c>
    </row>
    <row r="1501" spans="1:10">
      <c r="C1501" t="s">
        <v>2965</v>
      </c>
      <c r="D1501" t="s">
        <v>2966</v>
      </c>
      <c r="E1501" t="s">
        <v>2967</v>
      </c>
      <c r="F1501" t="s">
        <v>2966</v>
      </c>
      <c r="G1501" t="s">
        <v>2968</v>
      </c>
      <c r="H1501" t="s">
        <v>2966</v>
      </c>
      <c r="I1501" t="s">
        <v>2969</v>
      </c>
      <c r="J1501" t="s">
        <v>2966</v>
      </c>
    </row>
    <row r="1502" spans="1:10">
      <c r="B1502" t="s">
        <v>2970</v>
      </c>
      <c r="C1502">
        <v>10.75</v>
      </c>
      <c r="D1502">
        <v>17.47</v>
      </c>
      <c r="E1502">
        <v>4.75</v>
      </c>
      <c r="F1502">
        <v>18.62</v>
      </c>
      <c r="G1502">
        <v>1.25</v>
      </c>
      <c r="H1502">
        <v>24.02</v>
      </c>
      <c r="I1502">
        <v>1.25</v>
      </c>
      <c r="J1502">
        <v>24.02</v>
      </c>
    </row>
    <row r="1503" spans="1:10">
      <c r="B1503" t="s">
        <v>2971</v>
      </c>
      <c r="C1503" t="s">
        <v>212</v>
      </c>
      <c r="D1503" t="s">
        <v>212</v>
      </c>
      <c r="E1503" t="s">
        <v>212</v>
      </c>
      <c r="F1503" t="s">
        <v>212</v>
      </c>
      <c r="G1503" t="s">
        <v>212</v>
      </c>
      <c r="H1503" t="s">
        <v>212</v>
      </c>
      <c r="I1503" t="s">
        <v>212</v>
      </c>
      <c r="J1503" t="s">
        <v>212</v>
      </c>
    </row>
    <row r="1504" spans="1:10">
      <c r="B1504" t="s">
        <v>2972</v>
      </c>
      <c r="C1504" t="s">
        <v>212</v>
      </c>
      <c r="D1504" t="s">
        <v>212</v>
      </c>
      <c r="E1504" t="s">
        <v>212</v>
      </c>
      <c r="F1504" t="s">
        <v>212</v>
      </c>
      <c r="G1504" t="s">
        <v>212</v>
      </c>
      <c r="H1504" t="s">
        <v>212</v>
      </c>
      <c r="I1504" t="s">
        <v>212</v>
      </c>
      <c r="J1504" t="s">
        <v>212</v>
      </c>
    </row>
    <row r="1505" spans="1:10">
      <c r="B1505" t="s">
        <v>2973</v>
      </c>
      <c r="C1505" t="s">
        <v>212</v>
      </c>
      <c r="D1505" t="s">
        <v>212</v>
      </c>
      <c r="E1505" t="s">
        <v>212</v>
      </c>
      <c r="F1505" t="s">
        <v>212</v>
      </c>
      <c r="G1505" t="s">
        <v>212</v>
      </c>
      <c r="H1505" t="s">
        <v>212</v>
      </c>
      <c r="I1505" t="s">
        <v>212</v>
      </c>
      <c r="J1505" t="s">
        <v>212</v>
      </c>
    </row>
    <row r="1506" spans="1:10">
      <c r="B1506" t="s">
        <v>820</v>
      </c>
      <c r="C1506" t="s">
        <v>212</v>
      </c>
      <c r="D1506" t="s">
        <v>212</v>
      </c>
      <c r="E1506" t="s">
        <v>212</v>
      </c>
      <c r="F1506" t="s">
        <v>212</v>
      </c>
      <c r="G1506" t="s">
        <v>212</v>
      </c>
      <c r="H1506" t="s">
        <v>212</v>
      </c>
      <c r="I1506" t="s">
        <v>212</v>
      </c>
      <c r="J1506" t="s">
        <v>212</v>
      </c>
    </row>
    <row r="1507" spans="1:10">
      <c r="B1507" t="s">
        <v>2974</v>
      </c>
      <c r="C1507" t="s">
        <v>212</v>
      </c>
      <c r="D1507" t="s">
        <v>212</v>
      </c>
      <c r="E1507" t="s">
        <v>212</v>
      </c>
      <c r="F1507" t="s">
        <v>212</v>
      </c>
      <c r="G1507" t="s">
        <v>212</v>
      </c>
      <c r="H1507" t="s">
        <v>212</v>
      </c>
      <c r="I1507" t="s">
        <v>212</v>
      </c>
      <c r="J1507" t="s">
        <v>212</v>
      </c>
    </row>
    <row r="1508" spans="1:10">
      <c r="B1508" t="s">
        <v>2975</v>
      </c>
      <c r="C1508" t="s">
        <v>212</v>
      </c>
      <c r="D1508" t="s">
        <v>212</v>
      </c>
      <c r="E1508" t="s">
        <v>212</v>
      </c>
      <c r="F1508" t="s">
        <v>212</v>
      </c>
      <c r="G1508" t="s">
        <v>212</v>
      </c>
      <c r="H1508" t="s">
        <v>212</v>
      </c>
      <c r="I1508" t="s">
        <v>212</v>
      </c>
      <c r="J1508" t="s">
        <v>212</v>
      </c>
    </row>
    <row r="1509" spans="1:10">
      <c r="B1509" t="s">
        <v>2976</v>
      </c>
      <c r="C1509" t="s">
        <v>212</v>
      </c>
      <c r="D1509" t="s">
        <v>212</v>
      </c>
      <c r="E1509" t="s">
        <v>212</v>
      </c>
      <c r="F1509" t="s">
        <v>212</v>
      </c>
      <c r="G1509" t="s">
        <v>212</v>
      </c>
      <c r="H1509" t="s">
        <v>212</v>
      </c>
      <c r="I1509" t="s">
        <v>212</v>
      </c>
      <c r="J1509" t="s">
        <v>212</v>
      </c>
    </row>
    <row r="1510" spans="1:10">
      <c r="B1510" t="s">
        <v>2977</v>
      </c>
      <c r="C1510" t="s">
        <v>212</v>
      </c>
      <c r="D1510" t="s">
        <v>212</v>
      </c>
      <c r="E1510" t="s">
        <v>212</v>
      </c>
      <c r="F1510" t="s">
        <v>212</v>
      </c>
      <c r="G1510" t="s">
        <v>212</v>
      </c>
      <c r="H1510" t="s">
        <v>212</v>
      </c>
      <c r="I1510" t="s">
        <v>212</v>
      </c>
      <c r="J1510" t="s">
        <v>212</v>
      </c>
    </row>
    <row r="1511" spans="1:10">
      <c r="B1511" t="s">
        <v>2978</v>
      </c>
      <c r="C1511" t="s">
        <v>212</v>
      </c>
      <c r="D1511" t="s">
        <v>212</v>
      </c>
      <c r="E1511" t="s">
        <v>212</v>
      </c>
      <c r="F1511" t="s">
        <v>212</v>
      </c>
      <c r="G1511" t="s">
        <v>212</v>
      </c>
      <c r="H1511" t="s">
        <v>212</v>
      </c>
      <c r="I1511" t="s">
        <v>212</v>
      </c>
      <c r="J1511" t="s">
        <v>212</v>
      </c>
    </row>
    <row r="1512" spans="1:10">
      <c r="B1512" t="s">
        <v>2979</v>
      </c>
      <c r="C1512" t="s">
        <v>212</v>
      </c>
      <c r="D1512" t="s">
        <v>212</v>
      </c>
      <c r="E1512" t="s">
        <v>212</v>
      </c>
      <c r="F1512" t="s">
        <v>212</v>
      </c>
      <c r="G1512" t="s">
        <v>212</v>
      </c>
      <c r="H1512" t="s">
        <v>212</v>
      </c>
      <c r="I1512" t="s">
        <v>212</v>
      </c>
      <c r="J1512" t="s">
        <v>212</v>
      </c>
    </row>
    <row r="1513" spans="1:10">
      <c r="B1513" t="s">
        <v>2980</v>
      </c>
      <c r="C1513" t="s">
        <v>212</v>
      </c>
      <c r="D1513" t="s">
        <v>212</v>
      </c>
      <c r="E1513" t="s">
        <v>212</v>
      </c>
      <c r="F1513" t="s">
        <v>212</v>
      </c>
      <c r="G1513" t="s">
        <v>212</v>
      </c>
      <c r="H1513" t="s">
        <v>212</v>
      </c>
      <c r="I1513" t="s">
        <v>212</v>
      </c>
      <c r="J1513" t="s">
        <v>212</v>
      </c>
    </row>
    <row r="1515" spans="1:10">
      <c r="B1515" t="s">
        <v>2981</v>
      </c>
      <c r="C1515">
        <v>10.75</v>
      </c>
      <c r="D1515">
        <v>17.47</v>
      </c>
      <c r="E1515">
        <v>4.75</v>
      </c>
      <c r="F1515">
        <v>18.62</v>
      </c>
      <c r="G1515">
        <v>1.25</v>
      </c>
      <c r="H1515">
        <v>24.02</v>
      </c>
      <c r="I1515">
        <v>1.25</v>
      </c>
      <c r="J1515">
        <v>24.02</v>
      </c>
    </row>
    <row r="1516" spans="1:10">
      <c r="B1516" t="s">
        <v>2982</v>
      </c>
      <c r="C1516">
        <v>10.75</v>
      </c>
      <c r="D1516">
        <v>17.47</v>
      </c>
      <c r="E1516">
        <v>4.75</v>
      </c>
      <c r="F1516">
        <v>18.62</v>
      </c>
      <c r="G1516">
        <v>1.25</v>
      </c>
      <c r="H1516">
        <v>24.02</v>
      </c>
      <c r="I1516">
        <v>1.25</v>
      </c>
      <c r="J1516">
        <v>24.02</v>
      </c>
    </row>
    <row r="1517" spans="1:10">
      <c r="B1517" t="s">
        <v>2983</v>
      </c>
      <c r="C1517">
        <v>10.75</v>
      </c>
      <c r="D1517">
        <v>17.47</v>
      </c>
      <c r="E1517">
        <v>4.75</v>
      </c>
      <c r="F1517">
        <v>18.62</v>
      </c>
      <c r="G1517">
        <v>1.25</v>
      </c>
      <c r="H1517">
        <v>24.02</v>
      </c>
      <c r="I1517">
        <v>1.25</v>
      </c>
      <c r="J1517">
        <v>24.02</v>
      </c>
    </row>
    <row r="1520" spans="1:10">
      <c r="A1520" t="s">
        <v>1914</v>
      </c>
    </row>
    <row r="1521" spans="1:10">
      <c r="A1521" t="s">
        <v>1915</v>
      </c>
      <c r="B1521" t="s">
        <v>2964</v>
      </c>
    </row>
    <row r="1522" spans="1:10">
      <c r="A1522" t="s">
        <v>1917</v>
      </c>
      <c r="B1522" t="s">
        <v>2107</v>
      </c>
    </row>
    <row r="1523" spans="1:10">
      <c r="C1523" t="s">
        <v>2965</v>
      </c>
      <c r="D1523" t="s">
        <v>2966</v>
      </c>
      <c r="E1523" t="s">
        <v>2967</v>
      </c>
      <c r="F1523" t="s">
        <v>2966</v>
      </c>
      <c r="G1523" t="s">
        <v>2968</v>
      </c>
      <c r="H1523" t="s">
        <v>2966</v>
      </c>
      <c r="I1523" t="s">
        <v>2969</v>
      </c>
      <c r="J1523" t="s">
        <v>2966</v>
      </c>
    </row>
    <row r="1524" spans="1:10">
      <c r="B1524" t="s">
        <v>2970</v>
      </c>
      <c r="C1524">
        <v>10.75</v>
      </c>
      <c r="D1524">
        <v>17.43</v>
      </c>
      <c r="E1524">
        <v>4.75</v>
      </c>
      <c r="F1524">
        <v>18.739999999999998</v>
      </c>
      <c r="G1524">
        <v>2.75</v>
      </c>
      <c r="H1524">
        <v>24.17</v>
      </c>
      <c r="I1524">
        <v>2.75</v>
      </c>
      <c r="J1524">
        <v>24.17</v>
      </c>
    </row>
    <row r="1525" spans="1:10">
      <c r="B1525" t="s">
        <v>2971</v>
      </c>
      <c r="C1525" t="s">
        <v>212</v>
      </c>
      <c r="D1525" t="s">
        <v>212</v>
      </c>
      <c r="E1525" t="s">
        <v>212</v>
      </c>
      <c r="F1525" t="s">
        <v>212</v>
      </c>
      <c r="G1525" t="s">
        <v>212</v>
      </c>
      <c r="H1525" t="s">
        <v>212</v>
      </c>
      <c r="I1525" t="s">
        <v>212</v>
      </c>
      <c r="J1525" t="s">
        <v>212</v>
      </c>
    </row>
    <row r="1526" spans="1:10">
      <c r="B1526" t="s">
        <v>2972</v>
      </c>
      <c r="C1526" t="s">
        <v>212</v>
      </c>
      <c r="D1526" t="s">
        <v>212</v>
      </c>
      <c r="E1526" t="s">
        <v>212</v>
      </c>
      <c r="F1526" t="s">
        <v>212</v>
      </c>
      <c r="G1526" t="s">
        <v>212</v>
      </c>
      <c r="H1526" t="s">
        <v>212</v>
      </c>
      <c r="I1526" t="s">
        <v>212</v>
      </c>
      <c r="J1526" t="s">
        <v>212</v>
      </c>
    </row>
    <row r="1527" spans="1:10">
      <c r="B1527" t="s">
        <v>2973</v>
      </c>
      <c r="C1527" t="s">
        <v>212</v>
      </c>
      <c r="D1527" t="s">
        <v>212</v>
      </c>
      <c r="E1527" t="s">
        <v>212</v>
      </c>
      <c r="F1527" t="s">
        <v>212</v>
      </c>
      <c r="G1527" t="s">
        <v>212</v>
      </c>
      <c r="H1527" t="s">
        <v>212</v>
      </c>
      <c r="I1527" t="s">
        <v>212</v>
      </c>
      <c r="J1527" t="s">
        <v>212</v>
      </c>
    </row>
    <row r="1528" spans="1:10">
      <c r="B1528" t="s">
        <v>820</v>
      </c>
      <c r="C1528" t="s">
        <v>212</v>
      </c>
      <c r="D1528" t="s">
        <v>212</v>
      </c>
      <c r="E1528" t="s">
        <v>212</v>
      </c>
      <c r="F1528" t="s">
        <v>212</v>
      </c>
      <c r="G1528" t="s">
        <v>212</v>
      </c>
      <c r="H1528" t="s">
        <v>212</v>
      </c>
      <c r="I1528" t="s">
        <v>212</v>
      </c>
      <c r="J1528" t="s">
        <v>212</v>
      </c>
    </row>
    <row r="1529" spans="1:10">
      <c r="B1529" t="s">
        <v>2974</v>
      </c>
      <c r="C1529" t="s">
        <v>212</v>
      </c>
      <c r="D1529" t="s">
        <v>212</v>
      </c>
      <c r="E1529" t="s">
        <v>212</v>
      </c>
      <c r="F1529" t="s">
        <v>212</v>
      </c>
      <c r="G1529" t="s">
        <v>212</v>
      </c>
      <c r="H1529" t="s">
        <v>212</v>
      </c>
      <c r="I1529" t="s">
        <v>212</v>
      </c>
      <c r="J1529" t="s">
        <v>212</v>
      </c>
    </row>
    <row r="1530" spans="1:10">
      <c r="B1530" t="s">
        <v>2975</v>
      </c>
      <c r="C1530" t="s">
        <v>212</v>
      </c>
      <c r="D1530" t="s">
        <v>212</v>
      </c>
      <c r="E1530" t="s">
        <v>212</v>
      </c>
      <c r="F1530" t="s">
        <v>212</v>
      </c>
      <c r="G1530" t="s">
        <v>212</v>
      </c>
      <c r="H1530" t="s">
        <v>212</v>
      </c>
      <c r="I1530" t="s">
        <v>212</v>
      </c>
      <c r="J1530" t="s">
        <v>212</v>
      </c>
    </row>
    <row r="1531" spans="1:10">
      <c r="B1531" t="s">
        <v>2976</v>
      </c>
      <c r="C1531" t="s">
        <v>212</v>
      </c>
      <c r="D1531" t="s">
        <v>212</v>
      </c>
      <c r="E1531" t="s">
        <v>212</v>
      </c>
      <c r="F1531" t="s">
        <v>212</v>
      </c>
      <c r="G1531" t="s">
        <v>212</v>
      </c>
      <c r="H1531" t="s">
        <v>212</v>
      </c>
      <c r="I1531" t="s">
        <v>212</v>
      </c>
      <c r="J1531" t="s">
        <v>212</v>
      </c>
    </row>
    <row r="1532" spans="1:10">
      <c r="B1532" t="s">
        <v>2977</v>
      </c>
      <c r="C1532" t="s">
        <v>212</v>
      </c>
      <c r="D1532" t="s">
        <v>212</v>
      </c>
      <c r="E1532" t="s">
        <v>212</v>
      </c>
      <c r="F1532" t="s">
        <v>212</v>
      </c>
      <c r="G1532" t="s">
        <v>212</v>
      </c>
      <c r="H1532" t="s">
        <v>212</v>
      </c>
      <c r="I1532" t="s">
        <v>212</v>
      </c>
      <c r="J1532" t="s">
        <v>212</v>
      </c>
    </row>
    <row r="1533" spans="1:10">
      <c r="B1533" t="s">
        <v>2978</v>
      </c>
      <c r="C1533" t="s">
        <v>212</v>
      </c>
      <c r="D1533" t="s">
        <v>212</v>
      </c>
      <c r="E1533" t="s">
        <v>212</v>
      </c>
      <c r="F1533" t="s">
        <v>212</v>
      </c>
      <c r="G1533" t="s">
        <v>212</v>
      </c>
      <c r="H1533" t="s">
        <v>212</v>
      </c>
      <c r="I1533" t="s">
        <v>212</v>
      </c>
      <c r="J1533" t="s">
        <v>212</v>
      </c>
    </row>
    <row r="1534" spans="1:10">
      <c r="B1534" t="s">
        <v>2979</v>
      </c>
      <c r="C1534" t="s">
        <v>212</v>
      </c>
      <c r="D1534" t="s">
        <v>212</v>
      </c>
      <c r="E1534" t="s">
        <v>212</v>
      </c>
      <c r="F1534" t="s">
        <v>212</v>
      </c>
      <c r="G1534" t="s">
        <v>212</v>
      </c>
      <c r="H1534" t="s">
        <v>212</v>
      </c>
      <c r="I1534" t="s">
        <v>212</v>
      </c>
      <c r="J1534" t="s">
        <v>212</v>
      </c>
    </row>
    <row r="1535" spans="1:10">
      <c r="B1535" t="s">
        <v>2980</v>
      </c>
      <c r="C1535" t="s">
        <v>212</v>
      </c>
      <c r="D1535" t="s">
        <v>212</v>
      </c>
      <c r="E1535" t="s">
        <v>212</v>
      </c>
      <c r="F1535" t="s">
        <v>212</v>
      </c>
      <c r="G1535" t="s">
        <v>212</v>
      </c>
      <c r="H1535" t="s">
        <v>212</v>
      </c>
      <c r="I1535" t="s">
        <v>212</v>
      </c>
      <c r="J1535" t="s">
        <v>212</v>
      </c>
    </row>
    <row r="1537" spans="1:10">
      <c r="B1537" t="s">
        <v>2981</v>
      </c>
      <c r="C1537">
        <v>10.75</v>
      </c>
      <c r="D1537">
        <v>17.43</v>
      </c>
      <c r="E1537">
        <v>4.75</v>
      </c>
      <c r="F1537">
        <v>18.739999999999998</v>
      </c>
      <c r="G1537">
        <v>2.75</v>
      </c>
      <c r="H1537">
        <v>24.17</v>
      </c>
      <c r="I1537">
        <v>2.75</v>
      </c>
      <c r="J1537">
        <v>24.17</v>
      </c>
    </row>
    <row r="1538" spans="1:10">
      <c r="B1538" t="s">
        <v>2982</v>
      </c>
      <c r="C1538">
        <v>10.75</v>
      </c>
      <c r="D1538">
        <v>17.43</v>
      </c>
      <c r="E1538">
        <v>4.75</v>
      </c>
      <c r="F1538">
        <v>18.739999999999998</v>
      </c>
      <c r="G1538">
        <v>2.75</v>
      </c>
      <c r="H1538">
        <v>24.17</v>
      </c>
      <c r="I1538">
        <v>2.75</v>
      </c>
      <c r="J1538">
        <v>24.17</v>
      </c>
    </row>
    <row r="1539" spans="1:10">
      <c r="B1539" t="s">
        <v>2983</v>
      </c>
      <c r="C1539">
        <v>10.75</v>
      </c>
      <c r="D1539">
        <v>17.43</v>
      </c>
      <c r="E1539">
        <v>4.75</v>
      </c>
      <c r="F1539">
        <v>18.739999999999998</v>
      </c>
      <c r="G1539">
        <v>2.75</v>
      </c>
      <c r="H1539">
        <v>24.17</v>
      </c>
      <c r="I1539">
        <v>2.75</v>
      </c>
      <c r="J1539">
        <v>24.17</v>
      </c>
    </row>
    <row r="1542" spans="1:10">
      <c r="A1542" t="s">
        <v>1914</v>
      </c>
    </row>
    <row r="1543" spans="1:10">
      <c r="A1543" t="s">
        <v>1915</v>
      </c>
      <c r="B1543" t="s">
        <v>2964</v>
      </c>
    </row>
    <row r="1544" spans="1:10">
      <c r="A1544" t="s">
        <v>1917</v>
      </c>
      <c r="B1544" t="s">
        <v>2108</v>
      </c>
    </row>
    <row r="1545" spans="1:10">
      <c r="C1545" t="s">
        <v>2965</v>
      </c>
      <c r="D1545" t="s">
        <v>2966</v>
      </c>
      <c r="E1545" t="s">
        <v>2967</v>
      </c>
      <c r="F1545" t="s">
        <v>2966</v>
      </c>
      <c r="G1545" t="s">
        <v>2968</v>
      </c>
      <c r="H1545" t="s">
        <v>2966</v>
      </c>
      <c r="I1545" t="s">
        <v>2969</v>
      </c>
      <c r="J1545" t="s">
        <v>2966</v>
      </c>
    </row>
    <row r="1546" spans="1:10">
      <c r="B1546" t="s">
        <v>2970</v>
      </c>
      <c r="C1546">
        <v>11.25</v>
      </c>
      <c r="D1546">
        <v>17.62</v>
      </c>
      <c r="E1546">
        <v>5.25</v>
      </c>
      <c r="F1546">
        <v>18.79</v>
      </c>
      <c r="G1546">
        <v>4</v>
      </c>
      <c r="H1546">
        <v>24.23</v>
      </c>
      <c r="I1546">
        <v>4</v>
      </c>
      <c r="J1546">
        <v>24.23</v>
      </c>
    </row>
    <row r="1547" spans="1:10">
      <c r="B1547" t="s">
        <v>2971</v>
      </c>
      <c r="C1547" t="s">
        <v>212</v>
      </c>
      <c r="D1547" t="s">
        <v>212</v>
      </c>
      <c r="E1547" t="s">
        <v>212</v>
      </c>
      <c r="F1547" t="s">
        <v>212</v>
      </c>
      <c r="G1547" t="s">
        <v>212</v>
      </c>
      <c r="H1547" t="s">
        <v>212</v>
      </c>
      <c r="I1547" t="s">
        <v>212</v>
      </c>
      <c r="J1547" t="s">
        <v>212</v>
      </c>
    </row>
    <row r="1548" spans="1:10">
      <c r="B1548" t="s">
        <v>2972</v>
      </c>
      <c r="C1548" t="s">
        <v>212</v>
      </c>
      <c r="D1548" t="s">
        <v>212</v>
      </c>
      <c r="E1548" t="s">
        <v>212</v>
      </c>
      <c r="F1548" t="s">
        <v>212</v>
      </c>
      <c r="G1548" t="s">
        <v>212</v>
      </c>
      <c r="H1548" t="s">
        <v>212</v>
      </c>
      <c r="I1548" t="s">
        <v>212</v>
      </c>
      <c r="J1548" t="s">
        <v>212</v>
      </c>
    </row>
    <row r="1549" spans="1:10">
      <c r="B1549" t="s">
        <v>2973</v>
      </c>
      <c r="C1549" t="s">
        <v>212</v>
      </c>
      <c r="D1549" t="s">
        <v>212</v>
      </c>
      <c r="E1549" t="s">
        <v>212</v>
      </c>
      <c r="F1549" t="s">
        <v>212</v>
      </c>
      <c r="G1549" t="s">
        <v>212</v>
      </c>
      <c r="H1549" t="s">
        <v>212</v>
      </c>
      <c r="I1549" t="s">
        <v>212</v>
      </c>
      <c r="J1549" t="s">
        <v>212</v>
      </c>
    </row>
    <row r="1550" spans="1:10">
      <c r="B1550" t="s">
        <v>820</v>
      </c>
      <c r="C1550" t="s">
        <v>212</v>
      </c>
      <c r="D1550" t="s">
        <v>212</v>
      </c>
      <c r="E1550" t="s">
        <v>212</v>
      </c>
      <c r="F1550" t="s">
        <v>212</v>
      </c>
      <c r="G1550" t="s">
        <v>212</v>
      </c>
      <c r="H1550" t="s">
        <v>212</v>
      </c>
      <c r="I1550" t="s">
        <v>212</v>
      </c>
      <c r="J1550" t="s">
        <v>212</v>
      </c>
    </row>
    <row r="1551" spans="1:10">
      <c r="B1551" t="s">
        <v>2974</v>
      </c>
      <c r="C1551" t="s">
        <v>212</v>
      </c>
      <c r="D1551" t="s">
        <v>212</v>
      </c>
      <c r="E1551" t="s">
        <v>212</v>
      </c>
      <c r="F1551" t="s">
        <v>212</v>
      </c>
      <c r="G1551" t="s">
        <v>212</v>
      </c>
      <c r="H1551" t="s">
        <v>212</v>
      </c>
      <c r="I1551" t="s">
        <v>212</v>
      </c>
      <c r="J1551" t="s">
        <v>212</v>
      </c>
    </row>
    <row r="1552" spans="1:10">
      <c r="B1552" t="s">
        <v>2975</v>
      </c>
      <c r="C1552" t="s">
        <v>212</v>
      </c>
      <c r="D1552" t="s">
        <v>212</v>
      </c>
      <c r="E1552" t="s">
        <v>212</v>
      </c>
      <c r="F1552" t="s">
        <v>212</v>
      </c>
      <c r="G1552" t="s">
        <v>212</v>
      </c>
      <c r="H1552" t="s">
        <v>212</v>
      </c>
      <c r="I1552" t="s">
        <v>212</v>
      </c>
      <c r="J1552" t="s">
        <v>212</v>
      </c>
    </row>
    <row r="1553" spans="1:10">
      <c r="B1553" t="s">
        <v>2976</v>
      </c>
      <c r="C1553" t="s">
        <v>212</v>
      </c>
      <c r="D1553" t="s">
        <v>212</v>
      </c>
      <c r="E1553" t="s">
        <v>212</v>
      </c>
      <c r="F1553" t="s">
        <v>212</v>
      </c>
      <c r="G1553" t="s">
        <v>212</v>
      </c>
      <c r="H1553" t="s">
        <v>212</v>
      </c>
      <c r="I1553" t="s">
        <v>212</v>
      </c>
      <c r="J1553" t="s">
        <v>212</v>
      </c>
    </row>
    <row r="1554" spans="1:10">
      <c r="B1554" t="s">
        <v>2977</v>
      </c>
      <c r="C1554" t="s">
        <v>212</v>
      </c>
      <c r="D1554" t="s">
        <v>212</v>
      </c>
      <c r="E1554" t="s">
        <v>212</v>
      </c>
      <c r="F1554" t="s">
        <v>212</v>
      </c>
      <c r="G1554" t="s">
        <v>212</v>
      </c>
      <c r="H1554" t="s">
        <v>212</v>
      </c>
      <c r="I1554" t="s">
        <v>212</v>
      </c>
      <c r="J1554" t="s">
        <v>212</v>
      </c>
    </row>
    <row r="1555" spans="1:10">
      <c r="B1555" t="s">
        <v>2978</v>
      </c>
      <c r="C1555" t="s">
        <v>212</v>
      </c>
      <c r="D1555" t="s">
        <v>212</v>
      </c>
      <c r="E1555" t="s">
        <v>212</v>
      </c>
      <c r="F1555" t="s">
        <v>212</v>
      </c>
      <c r="G1555" t="s">
        <v>212</v>
      </c>
      <c r="H1555" t="s">
        <v>212</v>
      </c>
      <c r="I1555" t="s">
        <v>212</v>
      </c>
      <c r="J1555" t="s">
        <v>212</v>
      </c>
    </row>
    <row r="1556" spans="1:10">
      <c r="B1556" t="s">
        <v>2979</v>
      </c>
      <c r="C1556" t="s">
        <v>212</v>
      </c>
      <c r="D1556" t="s">
        <v>212</v>
      </c>
      <c r="E1556" t="s">
        <v>212</v>
      </c>
      <c r="F1556" t="s">
        <v>212</v>
      </c>
      <c r="G1556" t="s">
        <v>212</v>
      </c>
      <c r="H1556" t="s">
        <v>212</v>
      </c>
      <c r="I1556" t="s">
        <v>212</v>
      </c>
      <c r="J1556" t="s">
        <v>212</v>
      </c>
    </row>
    <row r="1557" spans="1:10">
      <c r="B1557" t="s">
        <v>2980</v>
      </c>
      <c r="C1557" t="s">
        <v>212</v>
      </c>
      <c r="D1557" t="s">
        <v>212</v>
      </c>
      <c r="E1557" t="s">
        <v>212</v>
      </c>
      <c r="F1557" t="s">
        <v>212</v>
      </c>
      <c r="G1557" t="s">
        <v>212</v>
      </c>
      <c r="H1557" t="s">
        <v>212</v>
      </c>
      <c r="I1557" t="s">
        <v>212</v>
      </c>
      <c r="J1557" t="s">
        <v>212</v>
      </c>
    </row>
    <row r="1559" spans="1:10">
      <c r="B1559" t="s">
        <v>2981</v>
      </c>
      <c r="C1559">
        <v>11.25</v>
      </c>
      <c r="D1559">
        <v>17.62</v>
      </c>
      <c r="E1559">
        <v>5.25</v>
      </c>
      <c r="F1559">
        <v>18.79</v>
      </c>
      <c r="G1559">
        <v>4</v>
      </c>
      <c r="H1559">
        <v>24.23</v>
      </c>
      <c r="I1559">
        <v>4</v>
      </c>
      <c r="J1559">
        <v>24.23</v>
      </c>
    </row>
    <row r="1560" spans="1:10">
      <c r="B1560" t="s">
        <v>2982</v>
      </c>
      <c r="C1560">
        <v>11.25</v>
      </c>
      <c r="D1560">
        <v>17.62</v>
      </c>
      <c r="E1560">
        <v>5.25</v>
      </c>
      <c r="F1560">
        <v>18.79</v>
      </c>
      <c r="G1560">
        <v>4</v>
      </c>
      <c r="H1560">
        <v>24.23</v>
      </c>
      <c r="I1560">
        <v>4</v>
      </c>
      <c r="J1560">
        <v>24.23</v>
      </c>
    </row>
    <row r="1561" spans="1:10">
      <c r="B1561" t="s">
        <v>2983</v>
      </c>
      <c r="C1561">
        <v>11.25</v>
      </c>
      <c r="D1561">
        <v>17.62</v>
      </c>
      <c r="E1561">
        <v>5.25</v>
      </c>
      <c r="F1561">
        <v>18.79</v>
      </c>
      <c r="G1561">
        <v>4</v>
      </c>
      <c r="H1561">
        <v>24.23</v>
      </c>
      <c r="I1561">
        <v>4</v>
      </c>
      <c r="J1561">
        <v>24.23</v>
      </c>
    </row>
    <row r="1564" spans="1:10">
      <c r="A1564" t="s">
        <v>1914</v>
      </c>
    </row>
    <row r="1565" spans="1:10">
      <c r="A1565" t="s">
        <v>1915</v>
      </c>
      <c r="B1565" t="s">
        <v>2964</v>
      </c>
    </row>
    <row r="1566" spans="1:10">
      <c r="A1566" t="s">
        <v>1917</v>
      </c>
      <c r="B1566" t="s">
        <v>2109</v>
      </c>
    </row>
    <row r="1567" spans="1:10">
      <c r="C1567" t="s">
        <v>2965</v>
      </c>
      <c r="D1567" t="s">
        <v>2966</v>
      </c>
      <c r="E1567" t="s">
        <v>2967</v>
      </c>
      <c r="F1567" t="s">
        <v>2966</v>
      </c>
      <c r="G1567" t="s">
        <v>2968</v>
      </c>
      <c r="H1567" t="s">
        <v>2966</v>
      </c>
      <c r="I1567" t="s">
        <v>2969</v>
      </c>
      <c r="J1567" t="s">
        <v>2966</v>
      </c>
    </row>
    <row r="1568" spans="1:10">
      <c r="B1568" t="s">
        <v>2970</v>
      </c>
      <c r="C1568">
        <v>10.75</v>
      </c>
      <c r="D1568">
        <v>17.43</v>
      </c>
      <c r="E1568">
        <v>4.75</v>
      </c>
      <c r="F1568">
        <v>18.7</v>
      </c>
      <c r="G1568">
        <v>1.75</v>
      </c>
      <c r="H1568">
        <v>24.08</v>
      </c>
      <c r="I1568">
        <v>1.75</v>
      </c>
      <c r="J1568">
        <v>24.08</v>
      </c>
    </row>
    <row r="1569" spans="2:10">
      <c r="B1569" t="s">
        <v>2971</v>
      </c>
      <c r="C1569" t="s">
        <v>212</v>
      </c>
      <c r="D1569" t="s">
        <v>212</v>
      </c>
      <c r="E1569" t="s">
        <v>212</v>
      </c>
      <c r="F1569" t="s">
        <v>212</v>
      </c>
      <c r="G1569" t="s">
        <v>212</v>
      </c>
      <c r="H1569" t="s">
        <v>212</v>
      </c>
      <c r="I1569" t="s">
        <v>212</v>
      </c>
      <c r="J1569" t="s">
        <v>212</v>
      </c>
    </row>
    <row r="1570" spans="2:10">
      <c r="B1570" t="s">
        <v>2972</v>
      </c>
      <c r="C1570" t="s">
        <v>212</v>
      </c>
      <c r="D1570" t="s">
        <v>212</v>
      </c>
      <c r="E1570" t="s">
        <v>212</v>
      </c>
      <c r="F1570" t="s">
        <v>212</v>
      </c>
      <c r="G1570" t="s">
        <v>212</v>
      </c>
      <c r="H1570" t="s">
        <v>212</v>
      </c>
      <c r="I1570" t="s">
        <v>212</v>
      </c>
      <c r="J1570" t="s">
        <v>212</v>
      </c>
    </row>
    <row r="1571" spans="2:10">
      <c r="B1571" t="s">
        <v>2973</v>
      </c>
      <c r="C1571" t="s">
        <v>212</v>
      </c>
      <c r="D1571" t="s">
        <v>212</v>
      </c>
      <c r="E1571" t="s">
        <v>212</v>
      </c>
      <c r="F1571" t="s">
        <v>212</v>
      </c>
      <c r="G1571" t="s">
        <v>212</v>
      </c>
      <c r="H1571" t="s">
        <v>212</v>
      </c>
      <c r="I1571" t="s">
        <v>212</v>
      </c>
      <c r="J1571" t="s">
        <v>212</v>
      </c>
    </row>
    <row r="1572" spans="2:10">
      <c r="B1572" t="s">
        <v>820</v>
      </c>
      <c r="C1572" t="s">
        <v>212</v>
      </c>
      <c r="D1572" t="s">
        <v>212</v>
      </c>
      <c r="E1572" t="s">
        <v>212</v>
      </c>
      <c r="F1572" t="s">
        <v>212</v>
      </c>
      <c r="G1572" t="s">
        <v>212</v>
      </c>
      <c r="H1572" t="s">
        <v>212</v>
      </c>
      <c r="I1572" t="s">
        <v>212</v>
      </c>
      <c r="J1572" t="s">
        <v>212</v>
      </c>
    </row>
    <row r="1573" spans="2:10">
      <c r="B1573" t="s">
        <v>2974</v>
      </c>
      <c r="C1573" t="s">
        <v>212</v>
      </c>
      <c r="D1573" t="s">
        <v>212</v>
      </c>
      <c r="E1573" t="s">
        <v>212</v>
      </c>
      <c r="F1573" t="s">
        <v>212</v>
      </c>
      <c r="G1573" t="s">
        <v>212</v>
      </c>
      <c r="H1573" t="s">
        <v>212</v>
      </c>
      <c r="I1573" t="s">
        <v>212</v>
      </c>
      <c r="J1573" t="s">
        <v>212</v>
      </c>
    </row>
    <row r="1574" spans="2:10">
      <c r="B1574" t="s">
        <v>2975</v>
      </c>
      <c r="C1574" t="s">
        <v>212</v>
      </c>
      <c r="D1574" t="s">
        <v>212</v>
      </c>
      <c r="E1574" t="s">
        <v>212</v>
      </c>
      <c r="F1574" t="s">
        <v>212</v>
      </c>
      <c r="G1574" t="s">
        <v>212</v>
      </c>
      <c r="H1574" t="s">
        <v>212</v>
      </c>
      <c r="I1574" t="s">
        <v>212</v>
      </c>
      <c r="J1574" t="s">
        <v>212</v>
      </c>
    </row>
    <row r="1575" spans="2:10">
      <c r="B1575" t="s">
        <v>2976</v>
      </c>
      <c r="C1575" t="s">
        <v>212</v>
      </c>
      <c r="D1575" t="s">
        <v>212</v>
      </c>
      <c r="E1575" t="s">
        <v>212</v>
      </c>
      <c r="F1575" t="s">
        <v>212</v>
      </c>
      <c r="G1575" t="s">
        <v>212</v>
      </c>
      <c r="H1575" t="s">
        <v>212</v>
      </c>
      <c r="I1575" t="s">
        <v>212</v>
      </c>
      <c r="J1575" t="s">
        <v>212</v>
      </c>
    </row>
    <row r="1576" spans="2:10">
      <c r="B1576" t="s">
        <v>2977</v>
      </c>
      <c r="C1576" t="s">
        <v>212</v>
      </c>
      <c r="D1576" t="s">
        <v>212</v>
      </c>
      <c r="E1576" t="s">
        <v>212</v>
      </c>
      <c r="F1576" t="s">
        <v>212</v>
      </c>
      <c r="G1576" t="s">
        <v>212</v>
      </c>
      <c r="H1576" t="s">
        <v>212</v>
      </c>
      <c r="I1576" t="s">
        <v>212</v>
      </c>
      <c r="J1576" t="s">
        <v>212</v>
      </c>
    </row>
    <row r="1577" spans="2:10">
      <c r="B1577" t="s">
        <v>2978</v>
      </c>
      <c r="C1577" t="s">
        <v>212</v>
      </c>
      <c r="D1577" t="s">
        <v>212</v>
      </c>
      <c r="E1577" t="s">
        <v>212</v>
      </c>
      <c r="F1577" t="s">
        <v>212</v>
      </c>
      <c r="G1577" t="s">
        <v>212</v>
      </c>
      <c r="H1577" t="s">
        <v>212</v>
      </c>
      <c r="I1577" t="s">
        <v>212</v>
      </c>
      <c r="J1577" t="s">
        <v>212</v>
      </c>
    </row>
    <row r="1578" spans="2:10">
      <c r="B1578" t="s">
        <v>2979</v>
      </c>
      <c r="C1578" t="s">
        <v>212</v>
      </c>
      <c r="D1578" t="s">
        <v>212</v>
      </c>
      <c r="E1578" t="s">
        <v>212</v>
      </c>
      <c r="F1578" t="s">
        <v>212</v>
      </c>
      <c r="G1578" t="s">
        <v>212</v>
      </c>
      <c r="H1578" t="s">
        <v>212</v>
      </c>
      <c r="I1578" t="s">
        <v>212</v>
      </c>
      <c r="J1578" t="s">
        <v>212</v>
      </c>
    </row>
    <row r="1579" spans="2:10">
      <c r="B1579" t="s">
        <v>2980</v>
      </c>
      <c r="C1579" t="s">
        <v>212</v>
      </c>
      <c r="D1579" t="s">
        <v>212</v>
      </c>
      <c r="E1579" t="s">
        <v>212</v>
      </c>
      <c r="F1579" t="s">
        <v>212</v>
      </c>
      <c r="G1579" t="s">
        <v>212</v>
      </c>
      <c r="H1579" t="s">
        <v>212</v>
      </c>
      <c r="I1579" t="s">
        <v>212</v>
      </c>
      <c r="J1579" t="s">
        <v>212</v>
      </c>
    </row>
    <row r="1581" spans="2:10">
      <c r="B1581" t="s">
        <v>2981</v>
      </c>
      <c r="C1581">
        <v>10.75</v>
      </c>
      <c r="D1581">
        <v>17.43</v>
      </c>
      <c r="E1581">
        <v>4.75</v>
      </c>
      <c r="F1581">
        <v>18.7</v>
      </c>
      <c r="G1581">
        <v>1.75</v>
      </c>
      <c r="H1581">
        <v>24.08</v>
      </c>
      <c r="I1581">
        <v>1.75</v>
      </c>
      <c r="J1581">
        <v>24.08</v>
      </c>
    </row>
    <row r="1582" spans="2:10">
      <c r="B1582" t="s">
        <v>2982</v>
      </c>
      <c r="C1582">
        <v>10.75</v>
      </c>
      <c r="D1582">
        <v>17.43</v>
      </c>
      <c r="E1582">
        <v>4.75</v>
      </c>
      <c r="F1582">
        <v>18.7</v>
      </c>
      <c r="G1582">
        <v>1.75</v>
      </c>
      <c r="H1582">
        <v>24.08</v>
      </c>
      <c r="I1582">
        <v>1.75</v>
      </c>
      <c r="J1582">
        <v>24.08</v>
      </c>
    </row>
    <row r="1583" spans="2:10">
      <c r="B1583" t="s">
        <v>2983</v>
      </c>
      <c r="C1583">
        <v>10.75</v>
      </c>
      <c r="D1583">
        <v>17.43</v>
      </c>
      <c r="E1583">
        <v>4.75</v>
      </c>
      <c r="F1583">
        <v>18.7</v>
      </c>
      <c r="G1583">
        <v>1.75</v>
      </c>
      <c r="H1583">
        <v>24.08</v>
      </c>
      <c r="I1583">
        <v>1.75</v>
      </c>
      <c r="J1583">
        <v>24.08</v>
      </c>
    </row>
    <row r="1586" spans="1:10">
      <c r="A1586" t="s">
        <v>1914</v>
      </c>
    </row>
    <row r="1587" spans="1:10">
      <c r="A1587" t="s">
        <v>1915</v>
      </c>
      <c r="B1587" t="s">
        <v>2964</v>
      </c>
    </row>
    <row r="1588" spans="1:10">
      <c r="A1588" t="s">
        <v>1917</v>
      </c>
      <c r="B1588" t="s">
        <v>2110</v>
      </c>
    </row>
    <row r="1589" spans="1:10">
      <c r="C1589" t="s">
        <v>2965</v>
      </c>
      <c r="D1589" t="s">
        <v>2966</v>
      </c>
      <c r="E1589" t="s">
        <v>2967</v>
      </c>
      <c r="F1589" t="s">
        <v>2966</v>
      </c>
      <c r="G1589" t="s">
        <v>2968</v>
      </c>
      <c r="H1589" t="s">
        <v>2966</v>
      </c>
      <c r="I1589" t="s">
        <v>2969</v>
      </c>
      <c r="J1589" t="s">
        <v>2966</v>
      </c>
    </row>
    <row r="1590" spans="1:10">
      <c r="B1590" t="s">
        <v>2970</v>
      </c>
      <c r="C1590">
        <v>1</v>
      </c>
      <c r="D1590">
        <v>18.350000000000001</v>
      </c>
      <c r="E1590">
        <v>1</v>
      </c>
      <c r="F1590">
        <v>18.350000000000001</v>
      </c>
      <c r="G1590">
        <v>0.5</v>
      </c>
      <c r="H1590">
        <v>24.98</v>
      </c>
      <c r="I1590">
        <v>0.5</v>
      </c>
      <c r="J1590">
        <v>24.98</v>
      </c>
    </row>
    <row r="1591" spans="1:10">
      <c r="B1591" t="s">
        <v>2971</v>
      </c>
      <c r="C1591" t="s">
        <v>212</v>
      </c>
      <c r="D1591" t="s">
        <v>212</v>
      </c>
      <c r="E1591" t="s">
        <v>212</v>
      </c>
      <c r="F1591" t="s">
        <v>212</v>
      </c>
      <c r="G1591" t="s">
        <v>212</v>
      </c>
      <c r="H1591" t="s">
        <v>212</v>
      </c>
      <c r="I1591" t="s">
        <v>212</v>
      </c>
      <c r="J1591" t="s">
        <v>212</v>
      </c>
    </row>
    <row r="1592" spans="1:10">
      <c r="B1592" t="s">
        <v>2972</v>
      </c>
      <c r="C1592" t="s">
        <v>212</v>
      </c>
      <c r="D1592" t="s">
        <v>212</v>
      </c>
      <c r="E1592" t="s">
        <v>212</v>
      </c>
      <c r="F1592" t="s">
        <v>212</v>
      </c>
      <c r="G1592" t="s">
        <v>212</v>
      </c>
      <c r="H1592" t="s">
        <v>212</v>
      </c>
      <c r="I1592" t="s">
        <v>212</v>
      </c>
      <c r="J1592" t="s">
        <v>212</v>
      </c>
    </row>
    <row r="1593" spans="1:10">
      <c r="B1593" t="s">
        <v>2973</v>
      </c>
      <c r="C1593" t="s">
        <v>212</v>
      </c>
      <c r="D1593" t="s">
        <v>212</v>
      </c>
      <c r="E1593" t="s">
        <v>212</v>
      </c>
      <c r="F1593" t="s">
        <v>212</v>
      </c>
      <c r="G1593" t="s">
        <v>212</v>
      </c>
      <c r="H1593" t="s">
        <v>212</v>
      </c>
      <c r="I1593" t="s">
        <v>212</v>
      </c>
      <c r="J1593" t="s">
        <v>212</v>
      </c>
    </row>
    <row r="1594" spans="1:10">
      <c r="B1594" t="s">
        <v>820</v>
      </c>
      <c r="C1594" t="s">
        <v>212</v>
      </c>
      <c r="D1594" t="s">
        <v>212</v>
      </c>
      <c r="E1594" t="s">
        <v>212</v>
      </c>
      <c r="F1594" t="s">
        <v>212</v>
      </c>
      <c r="G1594" t="s">
        <v>212</v>
      </c>
      <c r="H1594" t="s">
        <v>212</v>
      </c>
      <c r="I1594" t="s">
        <v>212</v>
      </c>
      <c r="J1594" t="s">
        <v>212</v>
      </c>
    </row>
    <row r="1595" spans="1:10">
      <c r="B1595" t="s">
        <v>2974</v>
      </c>
      <c r="C1595" t="s">
        <v>212</v>
      </c>
      <c r="D1595" t="s">
        <v>212</v>
      </c>
      <c r="E1595" t="s">
        <v>212</v>
      </c>
      <c r="F1595" t="s">
        <v>212</v>
      </c>
      <c r="G1595" t="s">
        <v>212</v>
      </c>
      <c r="H1595" t="s">
        <v>212</v>
      </c>
      <c r="I1595" t="s">
        <v>212</v>
      </c>
      <c r="J1595" t="s">
        <v>212</v>
      </c>
    </row>
    <row r="1596" spans="1:10">
      <c r="B1596" t="s">
        <v>2975</v>
      </c>
      <c r="C1596" t="s">
        <v>212</v>
      </c>
      <c r="D1596" t="s">
        <v>212</v>
      </c>
      <c r="E1596" t="s">
        <v>212</v>
      </c>
      <c r="F1596" t="s">
        <v>212</v>
      </c>
      <c r="G1596" t="s">
        <v>212</v>
      </c>
      <c r="H1596" t="s">
        <v>212</v>
      </c>
      <c r="I1596" t="s">
        <v>212</v>
      </c>
      <c r="J1596" t="s">
        <v>212</v>
      </c>
    </row>
    <row r="1597" spans="1:10">
      <c r="B1597" t="s">
        <v>2976</v>
      </c>
      <c r="C1597" t="s">
        <v>212</v>
      </c>
      <c r="D1597" t="s">
        <v>212</v>
      </c>
      <c r="E1597" t="s">
        <v>212</v>
      </c>
      <c r="F1597" t="s">
        <v>212</v>
      </c>
      <c r="G1597" t="s">
        <v>212</v>
      </c>
      <c r="H1597" t="s">
        <v>212</v>
      </c>
      <c r="I1597" t="s">
        <v>212</v>
      </c>
      <c r="J1597" t="s">
        <v>212</v>
      </c>
    </row>
    <row r="1598" spans="1:10">
      <c r="B1598" t="s">
        <v>2977</v>
      </c>
      <c r="C1598" t="s">
        <v>212</v>
      </c>
      <c r="D1598" t="s">
        <v>212</v>
      </c>
      <c r="E1598" t="s">
        <v>212</v>
      </c>
      <c r="F1598" t="s">
        <v>212</v>
      </c>
      <c r="G1598" t="s">
        <v>212</v>
      </c>
      <c r="H1598" t="s">
        <v>212</v>
      </c>
      <c r="I1598" t="s">
        <v>212</v>
      </c>
      <c r="J1598" t="s">
        <v>212</v>
      </c>
    </row>
    <row r="1599" spans="1:10">
      <c r="B1599" t="s">
        <v>2978</v>
      </c>
      <c r="C1599" t="s">
        <v>212</v>
      </c>
      <c r="D1599" t="s">
        <v>212</v>
      </c>
      <c r="E1599" t="s">
        <v>212</v>
      </c>
      <c r="F1599" t="s">
        <v>212</v>
      </c>
      <c r="G1599" t="s">
        <v>212</v>
      </c>
      <c r="H1599" t="s">
        <v>212</v>
      </c>
      <c r="I1599" t="s">
        <v>212</v>
      </c>
      <c r="J1599" t="s">
        <v>212</v>
      </c>
    </row>
    <row r="1600" spans="1:10">
      <c r="B1600" t="s">
        <v>2979</v>
      </c>
      <c r="C1600" t="s">
        <v>212</v>
      </c>
      <c r="D1600" t="s">
        <v>212</v>
      </c>
      <c r="E1600" t="s">
        <v>212</v>
      </c>
      <c r="F1600" t="s">
        <v>212</v>
      </c>
      <c r="G1600" t="s">
        <v>212</v>
      </c>
      <c r="H1600" t="s">
        <v>212</v>
      </c>
      <c r="I1600" t="s">
        <v>212</v>
      </c>
      <c r="J1600" t="s">
        <v>212</v>
      </c>
    </row>
    <row r="1601" spans="1:10">
      <c r="B1601" t="s">
        <v>2980</v>
      </c>
      <c r="C1601" t="s">
        <v>212</v>
      </c>
      <c r="D1601" t="s">
        <v>212</v>
      </c>
      <c r="E1601" t="s">
        <v>212</v>
      </c>
      <c r="F1601" t="s">
        <v>212</v>
      </c>
      <c r="G1601" t="s">
        <v>212</v>
      </c>
      <c r="H1601" t="s">
        <v>212</v>
      </c>
      <c r="I1601" t="s">
        <v>212</v>
      </c>
      <c r="J1601" t="s">
        <v>212</v>
      </c>
    </row>
    <row r="1603" spans="1:10">
      <c r="B1603" t="s">
        <v>2981</v>
      </c>
      <c r="C1603">
        <v>1</v>
      </c>
      <c r="D1603">
        <v>18.350000000000001</v>
      </c>
      <c r="E1603">
        <v>1</v>
      </c>
      <c r="F1603">
        <v>18.350000000000001</v>
      </c>
      <c r="G1603">
        <v>0.5</v>
      </c>
      <c r="H1603">
        <v>24.98</v>
      </c>
      <c r="I1603">
        <v>0.5</v>
      </c>
      <c r="J1603">
        <v>24.98</v>
      </c>
    </row>
    <row r="1604" spans="1:10">
      <c r="B1604" t="s">
        <v>2982</v>
      </c>
      <c r="C1604">
        <v>1</v>
      </c>
      <c r="D1604">
        <v>18.350000000000001</v>
      </c>
      <c r="E1604">
        <v>1</v>
      </c>
      <c r="F1604">
        <v>18.350000000000001</v>
      </c>
      <c r="G1604">
        <v>0.5</v>
      </c>
      <c r="H1604">
        <v>24.98</v>
      </c>
      <c r="I1604">
        <v>0.5</v>
      </c>
      <c r="J1604">
        <v>24.98</v>
      </c>
    </row>
    <row r="1605" spans="1:10">
      <c r="B1605" t="s">
        <v>2983</v>
      </c>
      <c r="C1605">
        <v>1</v>
      </c>
      <c r="D1605">
        <v>18.350000000000001</v>
      </c>
      <c r="E1605">
        <v>1</v>
      </c>
      <c r="F1605">
        <v>18.350000000000001</v>
      </c>
      <c r="G1605">
        <v>0.5</v>
      </c>
      <c r="H1605">
        <v>24.98</v>
      </c>
      <c r="I1605">
        <v>0.5</v>
      </c>
      <c r="J1605">
        <v>24.98</v>
      </c>
    </row>
    <row r="1608" spans="1:10">
      <c r="A1608" t="s">
        <v>1914</v>
      </c>
    </row>
    <row r="1609" spans="1:10">
      <c r="A1609" t="s">
        <v>1915</v>
      </c>
      <c r="B1609" t="s">
        <v>2964</v>
      </c>
    </row>
    <row r="1610" spans="1:10">
      <c r="A1610" t="s">
        <v>1917</v>
      </c>
      <c r="B1610" t="s">
        <v>2111</v>
      </c>
    </row>
    <row r="1611" spans="1:10">
      <c r="C1611" t="s">
        <v>2965</v>
      </c>
      <c r="D1611" t="s">
        <v>2966</v>
      </c>
      <c r="E1611" t="s">
        <v>2967</v>
      </c>
      <c r="F1611" t="s">
        <v>2966</v>
      </c>
      <c r="G1611" t="s">
        <v>2968</v>
      </c>
      <c r="H1611" t="s">
        <v>2966</v>
      </c>
      <c r="I1611" t="s">
        <v>2969</v>
      </c>
      <c r="J1611" t="s">
        <v>2966</v>
      </c>
    </row>
    <row r="1612" spans="1:10">
      <c r="B1612" t="s">
        <v>2970</v>
      </c>
      <c r="C1612">
        <v>0</v>
      </c>
      <c r="D1612">
        <v>0</v>
      </c>
      <c r="E1612">
        <v>0</v>
      </c>
      <c r="F1612">
        <v>0</v>
      </c>
      <c r="G1612">
        <v>0</v>
      </c>
      <c r="H1612">
        <v>0</v>
      </c>
      <c r="I1612">
        <v>0</v>
      </c>
      <c r="J1612">
        <v>0</v>
      </c>
    </row>
    <row r="1613" spans="1:10">
      <c r="B1613" t="s">
        <v>2971</v>
      </c>
      <c r="C1613" t="s">
        <v>212</v>
      </c>
      <c r="D1613" t="s">
        <v>212</v>
      </c>
      <c r="E1613" t="s">
        <v>212</v>
      </c>
      <c r="F1613" t="s">
        <v>212</v>
      </c>
      <c r="G1613" t="s">
        <v>212</v>
      </c>
      <c r="H1613" t="s">
        <v>212</v>
      </c>
      <c r="I1613" t="s">
        <v>212</v>
      </c>
      <c r="J1613" t="s">
        <v>212</v>
      </c>
    </row>
    <row r="1614" spans="1:10">
      <c r="B1614" t="s">
        <v>2972</v>
      </c>
      <c r="C1614" t="s">
        <v>212</v>
      </c>
      <c r="D1614" t="s">
        <v>212</v>
      </c>
      <c r="E1614" t="s">
        <v>212</v>
      </c>
      <c r="F1614" t="s">
        <v>212</v>
      </c>
      <c r="G1614" t="s">
        <v>212</v>
      </c>
      <c r="H1614" t="s">
        <v>212</v>
      </c>
      <c r="I1614" t="s">
        <v>212</v>
      </c>
      <c r="J1614" t="s">
        <v>212</v>
      </c>
    </row>
    <row r="1615" spans="1:10">
      <c r="B1615" t="s">
        <v>2973</v>
      </c>
      <c r="C1615" t="s">
        <v>212</v>
      </c>
      <c r="D1615" t="s">
        <v>212</v>
      </c>
      <c r="E1615" t="s">
        <v>212</v>
      </c>
      <c r="F1615" t="s">
        <v>212</v>
      </c>
      <c r="G1615" t="s">
        <v>212</v>
      </c>
      <c r="H1615" t="s">
        <v>212</v>
      </c>
      <c r="I1615" t="s">
        <v>212</v>
      </c>
      <c r="J1615" t="s">
        <v>212</v>
      </c>
    </row>
    <row r="1616" spans="1:10">
      <c r="B1616" t="s">
        <v>820</v>
      </c>
      <c r="C1616" t="s">
        <v>212</v>
      </c>
      <c r="D1616" t="s">
        <v>212</v>
      </c>
      <c r="E1616" t="s">
        <v>212</v>
      </c>
      <c r="F1616" t="s">
        <v>212</v>
      </c>
      <c r="G1616" t="s">
        <v>212</v>
      </c>
      <c r="H1616" t="s">
        <v>212</v>
      </c>
      <c r="I1616" t="s">
        <v>212</v>
      </c>
      <c r="J1616" t="s">
        <v>212</v>
      </c>
    </row>
    <row r="1617" spans="1:10">
      <c r="B1617" t="s">
        <v>2974</v>
      </c>
      <c r="C1617" t="s">
        <v>212</v>
      </c>
      <c r="D1617" t="s">
        <v>212</v>
      </c>
      <c r="E1617" t="s">
        <v>212</v>
      </c>
      <c r="F1617" t="s">
        <v>212</v>
      </c>
      <c r="G1617" t="s">
        <v>212</v>
      </c>
      <c r="H1617" t="s">
        <v>212</v>
      </c>
      <c r="I1617" t="s">
        <v>212</v>
      </c>
      <c r="J1617" t="s">
        <v>212</v>
      </c>
    </row>
    <row r="1618" spans="1:10">
      <c r="B1618" t="s">
        <v>2975</v>
      </c>
      <c r="C1618" t="s">
        <v>212</v>
      </c>
      <c r="D1618" t="s">
        <v>212</v>
      </c>
      <c r="E1618" t="s">
        <v>212</v>
      </c>
      <c r="F1618" t="s">
        <v>212</v>
      </c>
      <c r="G1618" t="s">
        <v>212</v>
      </c>
      <c r="H1618" t="s">
        <v>212</v>
      </c>
      <c r="I1618" t="s">
        <v>212</v>
      </c>
      <c r="J1618" t="s">
        <v>212</v>
      </c>
    </row>
    <row r="1619" spans="1:10">
      <c r="B1619" t="s">
        <v>2976</v>
      </c>
      <c r="C1619" t="s">
        <v>212</v>
      </c>
      <c r="D1619" t="s">
        <v>212</v>
      </c>
      <c r="E1619" t="s">
        <v>212</v>
      </c>
      <c r="F1619" t="s">
        <v>212</v>
      </c>
      <c r="G1619" t="s">
        <v>212</v>
      </c>
      <c r="H1619" t="s">
        <v>212</v>
      </c>
      <c r="I1619" t="s">
        <v>212</v>
      </c>
      <c r="J1619" t="s">
        <v>212</v>
      </c>
    </row>
    <row r="1620" spans="1:10">
      <c r="B1620" t="s">
        <v>2977</v>
      </c>
      <c r="C1620" t="s">
        <v>212</v>
      </c>
      <c r="D1620" t="s">
        <v>212</v>
      </c>
      <c r="E1620" t="s">
        <v>212</v>
      </c>
      <c r="F1620" t="s">
        <v>212</v>
      </c>
      <c r="G1620" t="s">
        <v>212</v>
      </c>
      <c r="H1620" t="s">
        <v>212</v>
      </c>
      <c r="I1620" t="s">
        <v>212</v>
      </c>
      <c r="J1620" t="s">
        <v>212</v>
      </c>
    </row>
    <row r="1621" spans="1:10">
      <c r="B1621" t="s">
        <v>2978</v>
      </c>
      <c r="C1621" t="s">
        <v>212</v>
      </c>
      <c r="D1621" t="s">
        <v>212</v>
      </c>
      <c r="E1621" t="s">
        <v>212</v>
      </c>
      <c r="F1621" t="s">
        <v>212</v>
      </c>
      <c r="G1621" t="s">
        <v>212</v>
      </c>
      <c r="H1621" t="s">
        <v>212</v>
      </c>
      <c r="I1621" t="s">
        <v>212</v>
      </c>
      <c r="J1621" t="s">
        <v>212</v>
      </c>
    </row>
    <row r="1622" spans="1:10">
      <c r="B1622" t="s">
        <v>2979</v>
      </c>
      <c r="C1622" t="s">
        <v>212</v>
      </c>
      <c r="D1622" t="s">
        <v>212</v>
      </c>
      <c r="E1622" t="s">
        <v>212</v>
      </c>
      <c r="F1622" t="s">
        <v>212</v>
      </c>
      <c r="G1622" t="s">
        <v>212</v>
      </c>
      <c r="H1622" t="s">
        <v>212</v>
      </c>
      <c r="I1622" t="s">
        <v>212</v>
      </c>
      <c r="J1622" t="s">
        <v>212</v>
      </c>
    </row>
    <row r="1623" spans="1:10">
      <c r="B1623" t="s">
        <v>2980</v>
      </c>
      <c r="C1623" t="s">
        <v>212</v>
      </c>
      <c r="D1623" t="s">
        <v>212</v>
      </c>
      <c r="E1623" t="s">
        <v>212</v>
      </c>
      <c r="F1623" t="s">
        <v>212</v>
      </c>
      <c r="G1623" t="s">
        <v>212</v>
      </c>
      <c r="H1623" t="s">
        <v>212</v>
      </c>
      <c r="I1623" t="s">
        <v>212</v>
      </c>
      <c r="J1623" t="s">
        <v>212</v>
      </c>
    </row>
    <row r="1625" spans="1:10">
      <c r="B1625" t="s">
        <v>2981</v>
      </c>
      <c r="C1625">
        <v>0</v>
      </c>
      <c r="E1625">
        <v>0</v>
      </c>
      <c r="G1625">
        <v>0</v>
      </c>
      <c r="I1625">
        <v>0</v>
      </c>
    </row>
    <row r="1626" spans="1:10">
      <c r="B1626" t="s">
        <v>2982</v>
      </c>
      <c r="C1626">
        <v>0</v>
      </c>
      <c r="D1626">
        <v>0</v>
      </c>
      <c r="E1626">
        <v>0</v>
      </c>
      <c r="F1626">
        <v>0</v>
      </c>
      <c r="G1626">
        <v>0</v>
      </c>
      <c r="H1626">
        <v>0</v>
      </c>
      <c r="I1626">
        <v>0</v>
      </c>
      <c r="J1626">
        <v>0</v>
      </c>
    </row>
    <row r="1627" spans="1:10">
      <c r="B1627" t="s">
        <v>2983</v>
      </c>
      <c r="C1627">
        <v>0</v>
      </c>
      <c r="D1627">
        <v>0</v>
      </c>
      <c r="E1627">
        <v>0</v>
      </c>
      <c r="F1627">
        <v>0</v>
      </c>
      <c r="G1627">
        <v>0</v>
      </c>
      <c r="H1627">
        <v>0</v>
      </c>
      <c r="I1627">
        <v>0</v>
      </c>
      <c r="J1627">
        <v>0</v>
      </c>
    </row>
    <row r="1630" spans="1:10">
      <c r="A1630" t="s">
        <v>1914</v>
      </c>
    </row>
    <row r="1631" spans="1:10">
      <c r="A1631" t="s">
        <v>1915</v>
      </c>
      <c r="B1631" t="s">
        <v>2964</v>
      </c>
    </row>
    <row r="1632" spans="1:10">
      <c r="A1632" t="s">
        <v>1917</v>
      </c>
      <c r="B1632" t="s">
        <v>2112</v>
      </c>
    </row>
    <row r="1633" spans="2:10">
      <c r="C1633" t="s">
        <v>2965</v>
      </c>
      <c r="D1633" t="s">
        <v>2966</v>
      </c>
      <c r="E1633" t="s">
        <v>2967</v>
      </c>
      <c r="F1633" t="s">
        <v>2966</v>
      </c>
      <c r="G1633" t="s">
        <v>2968</v>
      </c>
      <c r="H1633" t="s">
        <v>2966</v>
      </c>
      <c r="I1633" t="s">
        <v>2969</v>
      </c>
      <c r="J1633" t="s">
        <v>2966</v>
      </c>
    </row>
    <row r="1634" spans="2:10">
      <c r="B1634" t="s">
        <v>2970</v>
      </c>
      <c r="C1634">
        <v>0</v>
      </c>
      <c r="D1634">
        <v>0</v>
      </c>
      <c r="E1634">
        <v>0</v>
      </c>
      <c r="F1634">
        <v>0</v>
      </c>
      <c r="G1634">
        <v>0</v>
      </c>
      <c r="H1634">
        <v>0</v>
      </c>
      <c r="I1634">
        <v>0</v>
      </c>
      <c r="J1634">
        <v>0</v>
      </c>
    </row>
    <row r="1635" spans="2:10">
      <c r="B1635" t="s">
        <v>2971</v>
      </c>
      <c r="C1635" t="s">
        <v>212</v>
      </c>
      <c r="D1635" t="s">
        <v>212</v>
      </c>
      <c r="E1635" t="s">
        <v>212</v>
      </c>
      <c r="F1635" t="s">
        <v>212</v>
      </c>
      <c r="G1635" t="s">
        <v>212</v>
      </c>
      <c r="H1635" t="s">
        <v>212</v>
      </c>
      <c r="I1635" t="s">
        <v>212</v>
      </c>
      <c r="J1635" t="s">
        <v>212</v>
      </c>
    </row>
    <row r="1636" spans="2:10">
      <c r="B1636" t="s">
        <v>2972</v>
      </c>
      <c r="C1636" t="s">
        <v>212</v>
      </c>
      <c r="D1636" t="s">
        <v>212</v>
      </c>
      <c r="E1636" t="s">
        <v>212</v>
      </c>
      <c r="F1636" t="s">
        <v>212</v>
      </c>
      <c r="G1636" t="s">
        <v>212</v>
      </c>
      <c r="H1636" t="s">
        <v>212</v>
      </c>
      <c r="I1636" t="s">
        <v>212</v>
      </c>
      <c r="J1636" t="s">
        <v>212</v>
      </c>
    </row>
    <row r="1637" spans="2:10">
      <c r="B1637" t="s">
        <v>2973</v>
      </c>
      <c r="C1637" t="s">
        <v>212</v>
      </c>
      <c r="D1637" t="s">
        <v>212</v>
      </c>
      <c r="E1637" t="s">
        <v>212</v>
      </c>
      <c r="F1637" t="s">
        <v>212</v>
      </c>
      <c r="G1637" t="s">
        <v>212</v>
      </c>
      <c r="H1637" t="s">
        <v>212</v>
      </c>
      <c r="I1637" t="s">
        <v>212</v>
      </c>
      <c r="J1637" t="s">
        <v>212</v>
      </c>
    </row>
    <row r="1638" spans="2:10">
      <c r="B1638" t="s">
        <v>820</v>
      </c>
      <c r="C1638" t="s">
        <v>212</v>
      </c>
      <c r="D1638" t="s">
        <v>212</v>
      </c>
      <c r="E1638" t="s">
        <v>212</v>
      </c>
      <c r="F1638" t="s">
        <v>212</v>
      </c>
      <c r="G1638" t="s">
        <v>212</v>
      </c>
      <c r="H1638" t="s">
        <v>212</v>
      </c>
      <c r="I1638" t="s">
        <v>212</v>
      </c>
      <c r="J1638" t="s">
        <v>212</v>
      </c>
    </row>
    <row r="1639" spans="2:10">
      <c r="B1639" t="s">
        <v>2974</v>
      </c>
      <c r="C1639" t="s">
        <v>212</v>
      </c>
      <c r="D1639" t="s">
        <v>212</v>
      </c>
      <c r="E1639" t="s">
        <v>212</v>
      </c>
      <c r="F1639" t="s">
        <v>212</v>
      </c>
      <c r="G1639" t="s">
        <v>212</v>
      </c>
      <c r="H1639" t="s">
        <v>212</v>
      </c>
      <c r="I1639" t="s">
        <v>212</v>
      </c>
      <c r="J1639" t="s">
        <v>212</v>
      </c>
    </row>
    <row r="1640" spans="2:10">
      <c r="B1640" t="s">
        <v>2975</v>
      </c>
      <c r="C1640" t="s">
        <v>212</v>
      </c>
      <c r="D1640" t="s">
        <v>212</v>
      </c>
      <c r="E1640" t="s">
        <v>212</v>
      </c>
      <c r="F1640" t="s">
        <v>212</v>
      </c>
      <c r="G1640" t="s">
        <v>212</v>
      </c>
      <c r="H1640" t="s">
        <v>212</v>
      </c>
      <c r="I1640" t="s">
        <v>212</v>
      </c>
      <c r="J1640" t="s">
        <v>212</v>
      </c>
    </row>
    <row r="1641" spans="2:10">
      <c r="B1641" t="s">
        <v>2976</v>
      </c>
      <c r="C1641" t="s">
        <v>212</v>
      </c>
      <c r="D1641" t="s">
        <v>212</v>
      </c>
      <c r="E1641" t="s">
        <v>212</v>
      </c>
      <c r="F1641" t="s">
        <v>212</v>
      </c>
      <c r="G1641" t="s">
        <v>212</v>
      </c>
      <c r="H1641" t="s">
        <v>212</v>
      </c>
      <c r="I1641" t="s">
        <v>212</v>
      </c>
      <c r="J1641" t="s">
        <v>212</v>
      </c>
    </row>
    <row r="1642" spans="2:10">
      <c r="B1642" t="s">
        <v>2977</v>
      </c>
      <c r="C1642" t="s">
        <v>212</v>
      </c>
      <c r="D1642" t="s">
        <v>212</v>
      </c>
      <c r="E1642" t="s">
        <v>212</v>
      </c>
      <c r="F1642" t="s">
        <v>212</v>
      </c>
      <c r="G1642" t="s">
        <v>212</v>
      </c>
      <c r="H1642" t="s">
        <v>212</v>
      </c>
      <c r="I1642" t="s">
        <v>212</v>
      </c>
      <c r="J1642" t="s">
        <v>212</v>
      </c>
    </row>
    <row r="1643" spans="2:10">
      <c r="B1643" t="s">
        <v>2978</v>
      </c>
      <c r="C1643" t="s">
        <v>212</v>
      </c>
      <c r="D1643" t="s">
        <v>212</v>
      </c>
      <c r="E1643" t="s">
        <v>212</v>
      </c>
      <c r="F1643" t="s">
        <v>212</v>
      </c>
      <c r="G1643" t="s">
        <v>212</v>
      </c>
      <c r="H1643" t="s">
        <v>212</v>
      </c>
      <c r="I1643" t="s">
        <v>212</v>
      </c>
      <c r="J1643" t="s">
        <v>212</v>
      </c>
    </row>
    <row r="1644" spans="2:10">
      <c r="B1644" t="s">
        <v>2979</v>
      </c>
      <c r="C1644" t="s">
        <v>212</v>
      </c>
      <c r="D1644" t="s">
        <v>212</v>
      </c>
      <c r="E1644" t="s">
        <v>212</v>
      </c>
      <c r="F1644" t="s">
        <v>212</v>
      </c>
      <c r="G1644" t="s">
        <v>212</v>
      </c>
      <c r="H1644" t="s">
        <v>212</v>
      </c>
      <c r="I1644" t="s">
        <v>212</v>
      </c>
      <c r="J1644" t="s">
        <v>212</v>
      </c>
    </row>
    <row r="1645" spans="2:10">
      <c r="B1645" t="s">
        <v>2980</v>
      </c>
      <c r="C1645" t="s">
        <v>212</v>
      </c>
      <c r="D1645" t="s">
        <v>212</v>
      </c>
      <c r="E1645" t="s">
        <v>212</v>
      </c>
      <c r="F1645" t="s">
        <v>212</v>
      </c>
      <c r="G1645" t="s">
        <v>212</v>
      </c>
      <c r="H1645" t="s">
        <v>212</v>
      </c>
      <c r="I1645" t="s">
        <v>212</v>
      </c>
      <c r="J1645" t="s">
        <v>212</v>
      </c>
    </row>
    <row r="1647" spans="2:10">
      <c r="B1647" t="s">
        <v>2981</v>
      </c>
      <c r="C1647">
        <v>0</v>
      </c>
      <c r="E1647">
        <v>0</v>
      </c>
      <c r="G1647">
        <v>0</v>
      </c>
      <c r="I1647">
        <v>0</v>
      </c>
    </row>
    <row r="1648" spans="2:10">
      <c r="B1648" t="s">
        <v>2982</v>
      </c>
      <c r="C1648">
        <v>0</v>
      </c>
      <c r="D1648">
        <v>0</v>
      </c>
      <c r="E1648">
        <v>0</v>
      </c>
      <c r="F1648">
        <v>0</v>
      </c>
      <c r="G1648">
        <v>0</v>
      </c>
      <c r="H1648">
        <v>0</v>
      </c>
      <c r="I1648">
        <v>0</v>
      </c>
      <c r="J1648">
        <v>0</v>
      </c>
    </row>
    <row r="1649" spans="1:10">
      <c r="B1649" t="s">
        <v>2983</v>
      </c>
      <c r="C1649">
        <v>0</v>
      </c>
      <c r="D1649">
        <v>0</v>
      </c>
      <c r="E1649">
        <v>0</v>
      </c>
      <c r="F1649">
        <v>0</v>
      </c>
      <c r="G1649">
        <v>0</v>
      </c>
      <c r="H1649">
        <v>0</v>
      </c>
      <c r="I1649">
        <v>0</v>
      </c>
      <c r="J1649">
        <v>0</v>
      </c>
    </row>
    <row r="1652" spans="1:10">
      <c r="A1652" t="s">
        <v>1914</v>
      </c>
    </row>
    <row r="1653" spans="1:10">
      <c r="A1653" t="s">
        <v>1915</v>
      </c>
      <c r="B1653" t="s">
        <v>2964</v>
      </c>
    </row>
    <row r="1654" spans="1:10">
      <c r="A1654" t="s">
        <v>1917</v>
      </c>
      <c r="B1654" t="s">
        <v>2113</v>
      </c>
    </row>
    <row r="1655" spans="1:10">
      <c r="C1655" t="s">
        <v>2965</v>
      </c>
      <c r="D1655" t="s">
        <v>2966</v>
      </c>
      <c r="E1655" t="s">
        <v>2967</v>
      </c>
      <c r="F1655" t="s">
        <v>2966</v>
      </c>
      <c r="G1655" t="s">
        <v>2968</v>
      </c>
      <c r="H1655" t="s">
        <v>2966</v>
      </c>
      <c r="I1655" t="s">
        <v>2969</v>
      </c>
      <c r="J1655" t="s">
        <v>2966</v>
      </c>
    </row>
    <row r="1656" spans="1:10">
      <c r="B1656" t="s">
        <v>2970</v>
      </c>
      <c r="C1656">
        <v>0</v>
      </c>
      <c r="D1656">
        <v>0</v>
      </c>
      <c r="E1656">
        <v>0</v>
      </c>
      <c r="F1656">
        <v>0</v>
      </c>
      <c r="G1656">
        <v>0</v>
      </c>
      <c r="H1656">
        <v>0</v>
      </c>
      <c r="I1656">
        <v>0</v>
      </c>
      <c r="J1656">
        <v>0</v>
      </c>
    </row>
    <row r="1657" spans="1:10">
      <c r="B1657" t="s">
        <v>2971</v>
      </c>
      <c r="C1657" t="s">
        <v>212</v>
      </c>
      <c r="D1657" t="s">
        <v>212</v>
      </c>
      <c r="E1657" t="s">
        <v>212</v>
      </c>
      <c r="F1657" t="s">
        <v>212</v>
      </c>
      <c r="G1657" t="s">
        <v>212</v>
      </c>
      <c r="H1657" t="s">
        <v>212</v>
      </c>
      <c r="I1657" t="s">
        <v>212</v>
      </c>
      <c r="J1657" t="s">
        <v>212</v>
      </c>
    </row>
    <row r="1658" spans="1:10">
      <c r="B1658" t="s">
        <v>2972</v>
      </c>
      <c r="C1658" t="s">
        <v>212</v>
      </c>
      <c r="D1658" t="s">
        <v>212</v>
      </c>
      <c r="E1658" t="s">
        <v>212</v>
      </c>
      <c r="F1658" t="s">
        <v>212</v>
      </c>
      <c r="G1658" t="s">
        <v>212</v>
      </c>
      <c r="H1658" t="s">
        <v>212</v>
      </c>
      <c r="I1658" t="s">
        <v>212</v>
      </c>
      <c r="J1658" t="s">
        <v>212</v>
      </c>
    </row>
    <row r="1659" spans="1:10">
      <c r="B1659" t="s">
        <v>2973</v>
      </c>
      <c r="C1659" t="s">
        <v>212</v>
      </c>
      <c r="D1659" t="s">
        <v>212</v>
      </c>
      <c r="E1659" t="s">
        <v>212</v>
      </c>
      <c r="F1659" t="s">
        <v>212</v>
      </c>
      <c r="G1659" t="s">
        <v>212</v>
      </c>
      <c r="H1659" t="s">
        <v>212</v>
      </c>
      <c r="I1659" t="s">
        <v>212</v>
      </c>
      <c r="J1659" t="s">
        <v>212</v>
      </c>
    </row>
    <row r="1660" spans="1:10">
      <c r="B1660" t="s">
        <v>820</v>
      </c>
      <c r="C1660" t="s">
        <v>212</v>
      </c>
      <c r="D1660" t="s">
        <v>212</v>
      </c>
      <c r="E1660" t="s">
        <v>212</v>
      </c>
      <c r="F1660" t="s">
        <v>212</v>
      </c>
      <c r="G1660" t="s">
        <v>212</v>
      </c>
      <c r="H1660" t="s">
        <v>212</v>
      </c>
      <c r="I1660" t="s">
        <v>212</v>
      </c>
      <c r="J1660" t="s">
        <v>212</v>
      </c>
    </row>
    <row r="1661" spans="1:10">
      <c r="B1661" t="s">
        <v>2974</v>
      </c>
      <c r="C1661" t="s">
        <v>212</v>
      </c>
      <c r="D1661" t="s">
        <v>212</v>
      </c>
      <c r="E1661" t="s">
        <v>212</v>
      </c>
      <c r="F1661" t="s">
        <v>212</v>
      </c>
      <c r="G1661" t="s">
        <v>212</v>
      </c>
      <c r="H1661" t="s">
        <v>212</v>
      </c>
      <c r="I1661" t="s">
        <v>212</v>
      </c>
      <c r="J1661" t="s">
        <v>212</v>
      </c>
    </row>
    <row r="1662" spans="1:10">
      <c r="B1662" t="s">
        <v>2975</v>
      </c>
      <c r="C1662" t="s">
        <v>212</v>
      </c>
      <c r="D1662" t="s">
        <v>212</v>
      </c>
      <c r="E1662" t="s">
        <v>212</v>
      </c>
      <c r="F1662" t="s">
        <v>212</v>
      </c>
      <c r="G1662" t="s">
        <v>212</v>
      </c>
      <c r="H1662" t="s">
        <v>212</v>
      </c>
      <c r="I1662" t="s">
        <v>212</v>
      </c>
      <c r="J1662" t="s">
        <v>212</v>
      </c>
    </row>
    <row r="1663" spans="1:10">
      <c r="B1663" t="s">
        <v>2976</v>
      </c>
      <c r="C1663" t="s">
        <v>212</v>
      </c>
      <c r="D1663" t="s">
        <v>212</v>
      </c>
      <c r="E1663" t="s">
        <v>212</v>
      </c>
      <c r="F1663" t="s">
        <v>212</v>
      </c>
      <c r="G1663" t="s">
        <v>212</v>
      </c>
      <c r="H1663" t="s">
        <v>212</v>
      </c>
      <c r="I1663" t="s">
        <v>212</v>
      </c>
      <c r="J1663" t="s">
        <v>212</v>
      </c>
    </row>
    <row r="1664" spans="1:10">
      <c r="B1664" t="s">
        <v>2977</v>
      </c>
      <c r="C1664" t="s">
        <v>212</v>
      </c>
      <c r="D1664" t="s">
        <v>212</v>
      </c>
      <c r="E1664" t="s">
        <v>212</v>
      </c>
      <c r="F1664" t="s">
        <v>212</v>
      </c>
      <c r="G1664" t="s">
        <v>212</v>
      </c>
      <c r="H1664" t="s">
        <v>212</v>
      </c>
      <c r="I1664" t="s">
        <v>212</v>
      </c>
      <c r="J1664" t="s">
        <v>212</v>
      </c>
    </row>
    <row r="1665" spans="1:10">
      <c r="B1665" t="s">
        <v>2978</v>
      </c>
      <c r="C1665" t="s">
        <v>212</v>
      </c>
      <c r="D1665" t="s">
        <v>212</v>
      </c>
      <c r="E1665" t="s">
        <v>212</v>
      </c>
      <c r="F1665" t="s">
        <v>212</v>
      </c>
      <c r="G1665" t="s">
        <v>212</v>
      </c>
      <c r="H1665" t="s">
        <v>212</v>
      </c>
      <c r="I1665" t="s">
        <v>212</v>
      </c>
      <c r="J1665" t="s">
        <v>212</v>
      </c>
    </row>
    <row r="1666" spans="1:10">
      <c r="B1666" t="s">
        <v>2979</v>
      </c>
      <c r="C1666" t="s">
        <v>212</v>
      </c>
      <c r="D1666" t="s">
        <v>212</v>
      </c>
      <c r="E1666" t="s">
        <v>212</v>
      </c>
      <c r="F1666" t="s">
        <v>212</v>
      </c>
      <c r="G1666" t="s">
        <v>212</v>
      </c>
      <c r="H1666" t="s">
        <v>212</v>
      </c>
      <c r="I1666" t="s">
        <v>212</v>
      </c>
      <c r="J1666" t="s">
        <v>212</v>
      </c>
    </row>
    <row r="1667" spans="1:10">
      <c r="B1667" t="s">
        <v>2980</v>
      </c>
      <c r="C1667" t="s">
        <v>212</v>
      </c>
      <c r="D1667" t="s">
        <v>212</v>
      </c>
      <c r="E1667" t="s">
        <v>212</v>
      </c>
      <c r="F1667" t="s">
        <v>212</v>
      </c>
      <c r="G1667" t="s">
        <v>212</v>
      </c>
      <c r="H1667" t="s">
        <v>212</v>
      </c>
      <c r="I1667" t="s">
        <v>212</v>
      </c>
      <c r="J1667" t="s">
        <v>212</v>
      </c>
    </row>
    <row r="1669" spans="1:10">
      <c r="B1669" t="s">
        <v>2981</v>
      </c>
      <c r="C1669">
        <v>0</v>
      </c>
      <c r="E1669">
        <v>0</v>
      </c>
      <c r="G1669">
        <v>0</v>
      </c>
      <c r="I1669">
        <v>0</v>
      </c>
    </row>
    <row r="1670" spans="1:10">
      <c r="B1670" t="s">
        <v>2982</v>
      </c>
      <c r="C1670">
        <v>0</v>
      </c>
      <c r="D1670">
        <v>0</v>
      </c>
      <c r="E1670">
        <v>0</v>
      </c>
      <c r="F1670">
        <v>0</v>
      </c>
      <c r="G1670">
        <v>0</v>
      </c>
      <c r="H1670">
        <v>0</v>
      </c>
      <c r="I1670">
        <v>0</v>
      </c>
      <c r="J1670">
        <v>0</v>
      </c>
    </row>
    <row r="1671" spans="1:10">
      <c r="B1671" t="s">
        <v>2983</v>
      </c>
      <c r="C1671">
        <v>0</v>
      </c>
      <c r="D1671">
        <v>0</v>
      </c>
      <c r="E1671">
        <v>0</v>
      </c>
      <c r="F1671">
        <v>0</v>
      </c>
      <c r="G1671">
        <v>0</v>
      </c>
      <c r="H1671">
        <v>0</v>
      </c>
      <c r="I1671">
        <v>0</v>
      </c>
      <c r="J1671">
        <v>0</v>
      </c>
    </row>
    <row r="1674" spans="1:10">
      <c r="A1674" t="s">
        <v>1914</v>
      </c>
    </row>
    <row r="1675" spans="1:10">
      <c r="A1675" t="s">
        <v>1915</v>
      </c>
      <c r="B1675" t="s">
        <v>2964</v>
      </c>
    </row>
    <row r="1676" spans="1:10">
      <c r="A1676" t="s">
        <v>1917</v>
      </c>
      <c r="B1676" t="s">
        <v>2114</v>
      </c>
    </row>
    <row r="1677" spans="1:10">
      <c r="C1677" t="s">
        <v>2965</v>
      </c>
      <c r="D1677" t="s">
        <v>2966</v>
      </c>
      <c r="E1677" t="s">
        <v>2967</v>
      </c>
      <c r="F1677" t="s">
        <v>2966</v>
      </c>
      <c r="G1677" t="s">
        <v>2968</v>
      </c>
      <c r="H1677" t="s">
        <v>2966</v>
      </c>
      <c r="I1677" t="s">
        <v>2969</v>
      </c>
      <c r="J1677" t="s">
        <v>2966</v>
      </c>
    </row>
    <row r="1678" spans="1:10">
      <c r="B1678" t="s">
        <v>2970</v>
      </c>
      <c r="C1678">
        <v>0</v>
      </c>
      <c r="D1678">
        <v>0</v>
      </c>
      <c r="E1678">
        <v>0</v>
      </c>
      <c r="F1678">
        <v>0</v>
      </c>
      <c r="G1678">
        <v>0</v>
      </c>
      <c r="H1678">
        <v>0</v>
      </c>
      <c r="I1678">
        <v>0</v>
      </c>
      <c r="J1678">
        <v>0</v>
      </c>
    </row>
    <row r="1679" spans="1:10">
      <c r="B1679" t="s">
        <v>2971</v>
      </c>
      <c r="C1679" t="s">
        <v>212</v>
      </c>
      <c r="D1679" t="s">
        <v>212</v>
      </c>
      <c r="E1679" t="s">
        <v>212</v>
      </c>
      <c r="F1679" t="s">
        <v>212</v>
      </c>
      <c r="G1679" t="s">
        <v>212</v>
      </c>
      <c r="H1679" t="s">
        <v>212</v>
      </c>
      <c r="I1679" t="s">
        <v>212</v>
      </c>
      <c r="J1679" t="s">
        <v>212</v>
      </c>
    </row>
    <row r="1680" spans="1:10">
      <c r="B1680" t="s">
        <v>2972</v>
      </c>
      <c r="C1680" t="s">
        <v>212</v>
      </c>
      <c r="D1680" t="s">
        <v>212</v>
      </c>
      <c r="E1680" t="s">
        <v>212</v>
      </c>
      <c r="F1680" t="s">
        <v>212</v>
      </c>
      <c r="G1680" t="s">
        <v>212</v>
      </c>
      <c r="H1680" t="s">
        <v>212</v>
      </c>
      <c r="I1680" t="s">
        <v>212</v>
      </c>
      <c r="J1680" t="s">
        <v>212</v>
      </c>
    </row>
    <row r="1681" spans="1:10">
      <c r="B1681" t="s">
        <v>2973</v>
      </c>
      <c r="C1681" t="s">
        <v>212</v>
      </c>
      <c r="D1681" t="s">
        <v>212</v>
      </c>
      <c r="E1681" t="s">
        <v>212</v>
      </c>
      <c r="F1681" t="s">
        <v>212</v>
      </c>
      <c r="G1681" t="s">
        <v>212</v>
      </c>
      <c r="H1681" t="s">
        <v>212</v>
      </c>
      <c r="I1681" t="s">
        <v>212</v>
      </c>
      <c r="J1681" t="s">
        <v>212</v>
      </c>
    </row>
    <row r="1682" spans="1:10">
      <c r="B1682" t="s">
        <v>820</v>
      </c>
      <c r="C1682" t="s">
        <v>212</v>
      </c>
      <c r="D1682" t="s">
        <v>212</v>
      </c>
      <c r="E1682" t="s">
        <v>212</v>
      </c>
      <c r="F1682" t="s">
        <v>212</v>
      </c>
      <c r="G1682" t="s">
        <v>212</v>
      </c>
      <c r="H1682" t="s">
        <v>212</v>
      </c>
      <c r="I1682" t="s">
        <v>212</v>
      </c>
      <c r="J1682" t="s">
        <v>212</v>
      </c>
    </row>
    <row r="1683" spans="1:10">
      <c r="B1683" t="s">
        <v>2974</v>
      </c>
      <c r="C1683" t="s">
        <v>212</v>
      </c>
      <c r="D1683" t="s">
        <v>212</v>
      </c>
      <c r="E1683" t="s">
        <v>212</v>
      </c>
      <c r="F1683" t="s">
        <v>212</v>
      </c>
      <c r="G1683" t="s">
        <v>212</v>
      </c>
      <c r="H1683" t="s">
        <v>212</v>
      </c>
      <c r="I1683" t="s">
        <v>212</v>
      </c>
      <c r="J1683" t="s">
        <v>212</v>
      </c>
    </row>
    <row r="1684" spans="1:10">
      <c r="B1684" t="s">
        <v>2975</v>
      </c>
      <c r="C1684" t="s">
        <v>212</v>
      </c>
      <c r="D1684" t="s">
        <v>212</v>
      </c>
      <c r="E1684" t="s">
        <v>212</v>
      </c>
      <c r="F1684" t="s">
        <v>212</v>
      </c>
      <c r="G1684" t="s">
        <v>212</v>
      </c>
      <c r="H1684" t="s">
        <v>212</v>
      </c>
      <c r="I1684" t="s">
        <v>212</v>
      </c>
      <c r="J1684" t="s">
        <v>212</v>
      </c>
    </row>
    <row r="1685" spans="1:10">
      <c r="B1685" t="s">
        <v>2976</v>
      </c>
      <c r="C1685" t="s">
        <v>212</v>
      </c>
      <c r="D1685" t="s">
        <v>212</v>
      </c>
      <c r="E1685" t="s">
        <v>212</v>
      </c>
      <c r="F1685" t="s">
        <v>212</v>
      </c>
      <c r="G1685" t="s">
        <v>212</v>
      </c>
      <c r="H1685" t="s">
        <v>212</v>
      </c>
      <c r="I1685" t="s">
        <v>212</v>
      </c>
      <c r="J1685" t="s">
        <v>212</v>
      </c>
    </row>
    <row r="1686" spans="1:10">
      <c r="B1686" t="s">
        <v>2977</v>
      </c>
      <c r="C1686" t="s">
        <v>212</v>
      </c>
      <c r="D1686" t="s">
        <v>212</v>
      </c>
      <c r="E1686" t="s">
        <v>212</v>
      </c>
      <c r="F1686" t="s">
        <v>212</v>
      </c>
      <c r="G1686" t="s">
        <v>212</v>
      </c>
      <c r="H1686" t="s">
        <v>212</v>
      </c>
      <c r="I1686" t="s">
        <v>212</v>
      </c>
      <c r="J1686" t="s">
        <v>212</v>
      </c>
    </row>
    <row r="1687" spans="1:10">
      <c r="B1687" t="s">
        <v>2978</v>
      </c>
      <c r="C1687" t="s">
        <v>212</v>
      </c>
      <c r="D1687" t="s">
        <v>212</v>
      </c>
      <c r="E1687" t="s">
        <v>212</v>
      </c>
      <c r="F1687" t="s">
        <v>212</v>
      </c>
      <c r="G1687" t="s">
        <v>212</v>
      </c>
      <c r="H1687" t="s">
        <v>212</v>
      </c>
      <c r="I1687" t="s">
        <v>212</v>
      </c>
      <c r="J1687" t="s">
        <v>212</v>
      </c>
    </row>
    <row r="1688" spans="1:10">
      <c r="B1688" t="s">
        <v>2979</v>
      </c>
      <c r="C1688" t="s">
        <v>212</v>
      </c>
      <c r="D1688" t="s">
        <v>212</v>
      </c>
      <c r="E1688" t="s">
        <v>212</v>
      </c>
      <c r="F1688" t="s">
        <v>212</v>
      </c>
      <c r="G1688" t="s">
        <v>212</v>
      </c>
      <c r="H1688" t="s">
        <v>212</v>
      </c>
      <c r="I1688" t="s">
        <v>212</v>
      </c>
      <c r="J1688" t="s">
        <v>212</v>
      </c>
    </row>
    <row r="1689" spans="1:10">
      <c r="B1689" t="s">
        <v>2980</v>
      </c>
      <c r="C1689" t="s">
        <v>212</v>
      </c>
      <c r="D1689" t="s">
        <v>212</v>
      </c>
      <c r="E1689" t="s">
        <v>212</v>
      </c>
      <c r="F1689" t="s">
        <v>212</v>
      </c>
      <c r="G1689" t="s">
        <v>212</v>
      </c>
      <c r="H1689" t="s">
        <v>212</v>
      </c>
      <c r="I1689" t="s">
        <v>212</v>
      </c>
      <c r="J1689" t="s">
        <v>212</v>
      </c>
    </row>
    <row r="1691" spans="1:10">
      <c r="B1691" t="s">
        <v>2981</v>
      </c>
      <c r="C1691">
        <v>0</v>
      </c>
      <c r="E1691">
        <v>0</v>
      </c>
      <c r="G1691">
        <v>0</v>
      </c>
      <c r="I1691">
        <v>0</v>
      </c>
    </row>
    <row r="1692" spans="1:10">
      <c r="B1692" t="s">
        <v>2982</v>
      </c>
      <c r="C1692">
        <v>0</v>
      </c>
      <c r="D1692">
        <v>0</v>
      </c>
      <c r="E1692">
        <v>0</v>
      </c>
      <c r="F1692">
        <v>0</v>
      </c>
      <c r="G1692">
        <v>0</v>
      </c>
      <c r="H1692">
        <v>0</v>
      </c>
      <c r="I1692">
        <v>0</v>
      </c>
      <c r="J1692">
        <v>0</v>
      </c>
    </row>
    <row r="1693" spans="1:10">
      <c r="B1693" t="s">
        <v>2983</v>
      </c>
      <c r="C1693">
        <v>0</v>
      </c>
      <c r="D1693">
        <v>0</v>
      </c>
      <c r="E1693">
        <v>0</v>
      </c>
      <c r="F1693">
        <v>0</v>
      </c>
      <c r="G1693">
        <v>0</v>
      </c>
      <c r="H1693">
        <v>0</v>
      </c>
      <c r="I1693">
        <v>0</v>
      </c>
      <c r="J1693">
        <v>0</v>
      </c>
    </row>
    <row r="1696" spans="1:10">
      <c r="A1696" t="s">
        <v>1914</v>
      </c>
    </row>
    <row r="1697" spans="1:10">
      <c r="A1697" t="s">
        <v>1915</v>
      </c>
      <c r="B1697" t="s">
        <v>2964</v>
      </c>
    </row>
    <row r="1698" spans="1:10">
      <c r="A1698" t="s">
        <v>1917</v>
      </c>
      <c r="B1698" t="s">
        <v>2115</v>
      </c>
    </row>
    <row r="1699" spans="1:10">
      <c r="C1699" t="s">
        <v>2965</v>
      </c>
      <c r="D1699" t="s">
        <v>2966</v>
      </c>
      <c r="E1699" t="s">
        <v>2967</v>
      </c>
      <c r="F1699" t="s">
        <v>2966</v>
      </c>
      <c r="G1699" t="s">
        <v>2968</v>
      </c>
      <c r="H1699" t="s">
        <v>2966</v>
      </c>
      <c r="I1699" t="s">
        <v>2969</v>
      </c>
      <c r="J1699" t="s">
        <v>2966</v>
      </c>
    </row>
    <row r="1700" spans="1:10">
      <c r="B1700" t="s">
        <v>2970</v>
      </c>
      <c r="C1700">
        <v>0</v>
      </c>
      <c r="D1700">
        <v>0</v>
      </c>
      <c r="E1700">
        <v>0</v>
      </c>
      <c r="F1700">
        <v>0</v>
      </c>
      <c r="G1700">
        <v>0</v>
      </c>
      <c r="H1700">
        <v>0</v>
      </c>
      <c r="I1700">
        <v>0</v>
      </c>
      <c r="J1700">
        <v>0</v>
      </c>
    </row>
    <row r="1701" spans="1:10">
      <c r="B1701" t="s">
        <v>2971</v>
      </c>
      <c r="C1701" t="s">
        <v>212</v>
      </c>
      <c r="D1701" t="s">
        <v>212</v>
      </c>
      <c r="E1701" t="s">
        <v>212</v>
      </c>
      <c r="F1701" t="s">
        <v>212</v>
      </c>
      <c r="G1701" t="s">
        <v>212</v>
      </c>
      <c r="H1701" t="s">
        <v>212</v>
      </c>
      <c r="I1701" t="s">
        <v>212</v>
      </c>
      <c r="J1701" t="s">
        <v>212</v>
      </c>
    </row>
    <row r="1702" spans="1:10">
      <c r="B1702" t="s">
        <v>2972</v>
      </c>
      <c r="C1702" t="s">
        <v>212</v>
      </c>
      <c r="D1702" t="s">
        <v>212</v>
      </c>
      <c r="E1702" t="s">
        <v>212</v>
      </c>
      <c r="F1702" t="s">
        <v>212</v>
      </c>
      <c r="G1702" t="s">
        <v>212</v>
      </c>
      <c r="H1702" t="s">
        <v>212</v>
      </c>
      <c r="I1702" t="s">
        <v>212</v>
      </c>
      <c r="J1702" t="s">
        <v>212</v>
      </c>
    </row>
    <row r="1703" spans="1:10">
      <c r="B1703" t="s">
        <v>2973</v>
      </c>
      <c r="C1703" t="s">
        <v>212</v>
      </c>
      <c r="D1703" t="s">
        <v>212</v>
      </c>
      <c r="E1703" t="s">
        <v>212</v>
      </c>
      <c r="F1703" t="s">
        <v>212</v>
      </c>
      <c r="G1703" t="s">
        <v>212</v>
      </c>
      <c r="H1703" t="s">
        <v>212</v>
      </c>
      <c r="I1703" t="s">
        <v>212</v>
      </c>
      <c r="J1703" t="s">
        <v>212</v>
      </c>
    </row>
    <row r="1704" spans="1:10">
      <c r="B1704" t="s">
        <v>820</v>
      </c>
      <c r="C1704" t="s">
        <v>212</v>
      </c>
      <c r="D1704" t="s">
        <v>212</v>
      </c>
      <c r="E1704" t="s">
        <v>212</v>
      </c>
      <c r="F1704" t="s">
        <v>212</v>
      </c>
      <c r="G1704" t="s">
        <v>212</v>
      </c>
      <c r="H1704" t="s">
        <v>212</v>
      </c>
      <c r="I1704" t="s">
        <v>212</v>
      </c>
      <c r="J1704" t="s">
        <v>212</v>
      </c>
    </row>
    <row r="1705" spans="1:10">
      <c r="B1705" t="s">
        <v>2974</v>
      </c>
      <c r="C1705" t="s">
        <v>212</v>
      </c>
      <c r="D1705" t="s">
        <v>212</v>
      </c>
      <c r="E1705" t="s">
        <v>212</v>
      </c>
      <c r="F1705" t="s">
        <v>212</v>
      </c>
      <c r="G1705" t="s">
        <v>212</v>
      </c>
      <c r="H1705" t="s">
        <v>212</v>
      </c>
      <c r="I1705" t="s">
        <v>212</v>
      </c>
      <c r="J1705" t="s">
        <v>212</v>
      </c>
    </row>
    <row r="1706" spans="1:10">
      <c r="B1706" t="s">
        <v>2975</v>
      </c>
      <c r="C1706" t="s">
        <v>212</v>
      </c>
      <c r="D1706" t="s">
        <v>212</v>
      </c>
      <c r="E1706" t="s">
        <v>212</v>
      </c>
      <c r="F1706" t="s">
        <v>212</v>
      </c>
      <c r="G1706" t="s">
        <v>212</v>
      </c>
      <c r="H1706" t="s">
        <v>212</v>
      </c>
      <c r="I1706" t="s">
        <v>212</v>
      </c>
      <c r="J1706" t="s">
        <v>212</v>
      </c>
    </row>
    <row r="1707" spans="1:10">
      <c r="B1707" t="s">
        <v>2976</v>
      </c>
      <c r="C1707" t="s">
        <v>212</v>
      </c>
      <c r="D1707" t="s">
        <v>212</v>
      </c>
      <c r="E1707" t="s">
        <v>212</v>
      </c>
      <c r="F1707" t="s">
        <v>212</v>
      </c>
      <c r="G1707" t="s">
        <v>212</v>
      </c>
      <c r="H1707" t="s">
        <v>212</v>
      </c>
      <c r="I1707" t="s">
        <v>212</v>
      </c>
      <c r="J1707" t="s">
        <v>212</v>
      </c>
    </row>
    <row r="1708" spans="1:10">
      <c r="B1708" t="s">
        <v>2977</v>
      </c>
      <c r="C1708" t="s">
        <v>212</v>
      </c>
      <c r="D1708" t="s">
        <v>212</v>
      </c>
      <c r="E1708" t="s">
        <v>212</v>
      </c>
      <c r="F1708" t="s">
        <v>212</v>
      </c>
      <c r="G1708" t="s">
        <v>212</v>
      </c>
      <c r="H1708" t="s">
        <v>212</v>
      </c>
      <c r="I1708" t="s">
        <v>212</v>
      </c>
      <c r="J1708" t="s">
        <v>212</v>
      </c>
    </row>
    <row r="1709" spans="1:10">
      <c r="B1709" t="s">
        <v>2978</v>
      </c>
      <c r="C1709" t="s">
        <v>212</v>
      </c>
      <c r="D1709" t="s">
        <v>212</v>
      </c>
      <c r="E1709" t="s">
        <v>212</v>
      </c>
      <c r="F1709" t="s">
        <v>212</v>
      </c>
      <c r="G1709" t="s">
        <v>212</v>
      </c>
      <c r="H1709" t="s">
        <v>212</v>
      </c>
      <c r="I1709" t="s">
        <v>212</v>
      </c>
      <c r="J1709" t="s">
        <v>212</v>
      </c>
    </row>
    <row r="1710" spans="1:10">
      <c r="B1710" t="s">
        <v>2979</v>
      </c>
      <c r="C1710" t="s">
        <v>212</v>
      </c>
      <c r="D1710" t="s">
        <v>212</v>
      </c>
      <c r="E1710" t="s">
        <v>212</v>
      </c>
      <c r="F1710" t="s">
        <v>212</v>
      </c>
      <c r="G1710" t="s">
        <v>212</v>
      </c>
      <c r="H1710" t="s">
        <v>212</v>
      </c>
      <c r="I1710" t="s">
        <v>212</v>
      </c>
      <c r="J1710" t="s">
        <v>212</v>
      </c>
    </row>
    <row r="1711" spans="1:10">
      <c r="B1711" t="s">
        <v>2980</v>
      </c>
      <c r="C1711" t="s">
        <v>212</v>
      </c>
      <c r="D1711" t="s">
        <v>212</v>
      </c>
      <c r="E1711" t="s">
        <v>212</v>
      </c>
      <c r="F1711" t="s">
        <v>212</v>
      </c>
      <c r="G1711" t="s">
        <v>212</v>
      </c>
      <c r="H1711" t="s">
        <v>212</v>
      </c>
      <c r="I1711" t="s">
        <v>212</v>
      </c>
      <c r="J1711" t="s">
        <v>212</v>
      </c>
    </row>
    <row r="1713" spans="1:10">
      <c r="B1713" t="s">
        <v>2981</v>
      </c>
      <c r="C1713">
        <v>0</v>
      </c>
      <c r="E1713">
        <v>0</v>
      </c>
      <c r="G1713">
        <v>0</v>
      </c>
      <c r="I1713">
        <v>0</v>
      </c>
    </row>
    <row r="1714" spans="1:10">
      <c r="B1714" t="s">
        <v>2982</v>
      </c>
      <c r="C1714">
        <v>0</v>
      </c>
      <c r="D1714">
        <v>0</v>
      </c>
      <c r="E1714">
        <v>0</v>
      </c>
      <c r="F1714">
        <v>0</v>
      </c>
      <c r="G1714">
        <v>0</v>
      </c>
      <c r="H1714">
        <v>0</v>
      </c>
      <c r="I1714">
        <v>0</v>
      </c>
      <c r="J1714">
        <v>0</v>
      </c>
    </row>
    <row r="1715" spans="1:10">
      <c r="B1715" t="s">
        <v>2983</v>
      </c>
      <c r="C1715">
        <v>0</v>
      </c>
      <c r="D1715">
        <v>0</v>
      </c>
      <c r="E1715">
        <v>0</v>
      </c>
      <c r="F1715">
        <v>0</v>
      </c>
      <c r="G1715">
        <v>0</v>
      </c>
      <c r="H1715">
        <v>0</v>
      </c>
      <c r="I1715">
        <v>0</v>
      </c>
      <c r="J1715">
        <v>0</v>
      </c>
    </row>
    <row r="1718" spans="1:10">
      <c r="A1718" t="s">
        <v>1914</v>
      </c>
    </row>
    <row r="1719" spans="1:10">
      <c r="A1719" t="s">
        <v>1915</v>
      </c>
      <c r="B1719" t="s">
        <v>2964</v>
      </c>
    </row>
    <row r="1720" spans="1:10">
      <c r="A1720" t="s">
        <v>1917</v>
      </c>
      <c r="B1720" t="s">
        <v>2880</v>
      </c>
    </row>
    <row r="1721" spans="1:10">
      <c r="C1721" t="s">
        <v>2965</v>
      </c>
      <c r="D1721" t="s">
        <v>2966</v>
      </c>
      <c r="E1721" t="s">
        <v>2967</v>
      </c>
      <c r="F1721" t="s">
        <v>2966</v>
      </c>
      <c r="G1721" t="s">
        <v>2968</v>
      </c>
      <c r="H1721" t="s">
        <v>2966</v>
      </c>
      <c r="I1721" t="s">
        <v>2969</v>
      </c>
      <c r="J1721" t="s">
        <v>2966</v>
      </c>
    </row>
    <row r="1722" spans="1:10">
      <c r="B1722" t="s">
        <v>2970</v>
      </c>
      <c r="C1722">
        <v>0</v>
      </c>
      <c r="D1722">
        <v>0</v>
      </c>
      <c r="E1722">
        <v>0</v>
      </c>
      <c r="F1722">
        <v>0</v>
      </c>
      <c r="G1722">
        <v>0</v>
      </c>
      <c r="H1722">
        <v>0</v>
      </c>
      <c r="I1722">
        <v>0</v>
      </c>
      <c r="J1722">
        <v>0</v>
      </c>
    </row>
    <row r="1723" spans="1:10">
      <c r="B1723" t="s">
        <v>2971</v>
      </c>
      <c r="C1723" t="s">
        <v>212</v>
      </c>
      <c r="D1723" t="s">
        <v>212</v>
      </c>
      <c r="E1723" t="s">
        <v>212</v>
      </c>
      <c r="F1723" t="s">
        <v>212</v>
      </c>
      <c r="G1723" t="s">
        <v>212</v>
      </c>
      <c r="H1723" t="s">
        <v>212</v>
      </c>
      <c r="I1723" t="s">
        <v>212</v>
      </c>
      <c r="J1723" t="s">
        <v>212</v>
      </c>
    </row>
    <row r="1724" spans="1:10">
      <c r="B1724" t="s">
        <v>2972</v>
      </c>
      <c r="C1724" t="s">
        <v>212</v>
      </c>
      <c r="D1724" t="s">
        <v>212</v>
      </c>
      <c r="E1724" t="s">
        <v>212</v>
      </c>
      <c r="F1724" t="s">
        <v>212</v>
      </c>
      <c r="G1724" t="s">
        <v>212</v>
      </c>
      <c r="H1724" t="s">
        <v>212</v>
      </c>
      <c r="I1724" t="s">
        <v>212</v>
      </c>
      <c r="J1724" t="s">
        <v>212</v>
      </c>
    </row>
    <row r="1725" spans="1:10">
      <c r="B1725" t="s">
        <v>2973</v>
      </c>
      <c r="C1725" t="s">
        <v>212</v>
      </c>
      <c r="D1725" t="s">
        <v>212</v>
      </c>
      <c r="E1725" t="s">
        <v>212</v>
      </c>
      <c r="F1725" t="s">
        <v>212</v>
      </c>
      <c r="G1725" t="s">
        <v>212</v>
      </c>
      <c r="H1725" t="s">
        <v>212</v>
      </c>
      <c r="I1725" t="s">
        <v>212</v>
      </c>
      <c r="J1725" t="s">
        <v>212</v>
      </c>
    </row>
    <row r="1726" spans="1:10">
      <c r="B1726" t="s">
        <v>820</v>
      </c>
      <c r="C1726" t="s">
        <v>212</v>
      </c>
      <c r="D1726" t="s">
        <v>212</v>
      </c>
      <c r="E1726" t="s">
        <v>212</v>
      </c>
      <c r="F1726" t="s">
        <v>212</v>
      </c>
      <c r="G1726" t="s">
        <v>212</v>
      </c>
      <c r="H1726" t="s">
        <v>212</v>
      </c>
      <c r="I1726" t="s">
        <v>212</v>
      </c>
      <c r="J1726" t="s">
        <v>212</v>
      </c>
    </row>
    <row r="1727" spans="1:10">
      <c r="B1727" t="s">
        <v>2974</v>
      </c>
      <c r="C1727" t="s">
        <v>212</v>
      </c>
      <c r="D1727" t="s">
        <v>212</v>
      </c>
      <c r="E1727" t="s">
        <v>212</v>
      </c>
      <c r="F1727" t="s">
        <v>212</v>
      </c>
      <c r="G1727" t="s">
        <v>212</v>
      </c>
      <c r="H1727" t="s">
        <v>212</v>
      </c>
      <c r="I1727" t="s">
        <v>212</v>
      </c>
      <c r="J1727" t="s">
        <v>212</v>
      </c>
    </row>
    <row r="1728" spans="1:10">
      <c r="B1728" t="s">
        <v>2975</v>
      </c>
      <c r="C1728" t="s">
        <v>212</v>
      </c>
      <c r="D1728" t="s">
        <v>212</v>
      </c>
      <c r="E1728" t="s">
        <v>212</v>
      </c>
      <c r="F1728" t="s">
        <v>212</v>
      </c>
      <c r="G1728" t="s">
        <v>212</v>
      </c>
      <c r="H1728" t="s">
        <v>212</v>
      </c>
      <c r="I1728" t="s">
        <v>212</v>
      </c>
      <c r="J1728" t="s">
        <v>212</v>
      </c>
    </row>
    <row r="1729" spans="1:10">
      <c r="B1729" t="s">
        <v>2976</v>
      </c>
      <c r="C1729" t="s">
        <v>212</v>
      </c>
      <c r="D1729" t="s">
        <v>212</v>
      </c>
      <c r="E1729" t="s">
        <v>212</v>
      </c>
      <c r="F1729" t="s">
        <v>212</v>
      </c>
      <c r="G1729" t="s">
        <v>212</v>
      </c>
      <c r="H1729" t="s">
        <v>212</v>
      </c>
      <c r="I1729" t="s">
        <v>212</v>
      </c>
      <c r="J1729" t="s">
        <v>212</v>
      </c>
    </row>
    <row r="1730" spans="1:10">
      <c r="B1730" t="s">
        <v>2977</v>
      </c>
      <c r="C1730" t="s">
        <v>212</v>
      </c>
      <c r="D1730" t="s">
        <v>212</v>
      </c>
      <c r="E1730" t="s">
        <v>212</v>
      </c>
      <c r="F1730" t="s">
        <v>212</v>
      </c>
      <c r="G1730" t="s">
        <v>212</v>
      </c>
      <c r="H1730" t="s">
        <v>212</v>
      </c>
      <c r="I1730" t="s">
        <v>212</v>
      </c>
      <c r="J1730" t="s">
        <v>212</v>
      </c>
    </row>
    <row r="1731" spans="1:10">
      <c r="B1731" t="s">
        <v>2978</v>
      </c>
      <c r="C1731" t="s">
        <v>212</v>
      </c>
      <c r="D1731" t="s">
        <v>212</v>
      </c>
      <c r="E1731" t="s">
        <v>212</v>
      </c>
      <c r="F1731" t="s">
        <v>212</v>
      </c>
      <c r="G1731" t="s">
        <v>212</v>
      </c>
      <c r="H1731" t="s">
        <v>212</v>
      </c>
      <c r="I1731" t="s">
        <v>212</v>
      </c>
      <c r="J1731" t="s">
        <v>212</v>
      </c>
    </row>
    <row r="1732" spans="1:10">
      <c r="B1732" t="s">
        <v>2979</v>
      </c>
      <c r="C1732" t="s">
        <v>212</v>
      </c>
      <c r="D1732" t="s">
        <v>212</v>
      </c>
      <c r="E1732" t="s">
        <v>212</v>
      </c>
      <c r="F1732" t="s">
        <v>212</v>
      </c>
      <c r="G1732" t="s">
        <v>212</v>
      </c>
      <c r="H1732" t="s">
        <v>212</v>
      </c>
      <c r="I1732" t="s">
        <v>212</v>
      </c>
      <c r="J1732" t="s">
        <v>212</v>
      </c>
    </row>
    <row r="1733" spans="1:10">
      <c r="B1733" t="s">
        <v>2980</v>
      </c>
      <c r="C1733" t="s">
        <v>212</v>
      </c>
      <c r="D1733" t="s">
        <v>212</v>
      </c>
      <c r="E1733" t="s">
        <v>212</v>
      </c>
      <c r="F1733" t="s">
        <v>212</v>
      </c>
      <c r="G1733" t="s">
        <v>212</v>
      </c>
      <c r="H1733" t="s">
        <v>212</v>
      </c>
      <c r="I1733" t="s">
        <v>212</v>
      </c>
      <c r="J1733" t="s">
        <v>212</v>
      </c>
    </row>
    <row r="1735" spans="1:10">
      <c r="B1735" t="s">
        <v>2981</v>
      </c>
      <c r="C1735">
        <v>0</v>
      </c>
      <c r="E1735">
        <v>0</v>
      </c>
      <c r="G1735">
        <v>0</v>
      </c>
      <c r="I1735">
        <v>0</v>
      </c>
    </row>
    <row r="1736" spans="1:10">
      <c r="B1736" t="s">
        <v>2982</v>
      </c>
      <c r="C1736">
        <v>0</v>
      </c>
      <c r="D1736">
        <v>0</v>
      </c>
      <c r="E1736">
        <v>0</v>
      </c>
      <c r="F1736">
        <v>0</v>
      </c>
      <c r="G1736">
        <v>0</v>
      </c>
      <c r="H1736">
        <v>0</v>
      </c>
      <c r="I1736">
        <v>0</v>
      </c>
      <c r="J1736">
        <v>0</v>
      </c>
    </row>
    <row r="1737" spans="1:10">
      <c r="B1737" t="s">
        <v>2983</v>
      </c>
      <c r="C1737">
        <v>0</v>
      </c>
      <c r="D1737">
        <v>0</v>
      </c>
      <c r="E1737">
        <v>0</v>
      </c>
      <c r="F1737">
        <v>0</v>
      </c>
      <c r="G1737">
        <v>0</v>
      </c>
      <c r="H1737">
        <v>0</v>
      </c>
      <c r="I1737">
        <v>0</v>
      </c>
      <c r="J1737">
        <v>0</v>
      </c>
    </row>
    <row r="1740" spans="1:10">
      <c r="A1740" t="s">
        <v>1914</v>
      </c>
    </row>
    <row r="1741" spans="1:10">
      <c r="A1741" t="s">
        <v>1915</v>
      </c>
      <c r="B1741" t="s">
        <v>2964</v>
      </c>
    </row>
    <row r="1742" spans="1:10">
      <c r="A1742" t="s">
        <v>1917</v>
      </c>
      <c r="B1742" t="s">
        <v>2881</v>
      </c>
    </row>
    <row r="1743" spans="1:10">
      <c r="C1743" t="s">
        <v>2965</v>
      </c>
      <c r="D1743" t="s">
        <v>2966</v>
      </c>
      <c r="E1743" t="s">
        <v>2967</v>
      </c>
      <c r="F1743" t="s">
        <v>2966</v>
      </c>
      <c r="G1743" t="s">
        <v>2968</v>
      </c>
      <c r="H1743" t="s">
        <v>2966</v>
      </c>
      <c r="I1743" t="s">
        <v>2969</v>
      </c>
      <c r="J1743" t="s">
        <v>2966</v>
      </c>
    </row>
    <row r="1744" spans="1:10">
      <c r="B1744" t="s">
        <v>2970</v>
      </c>
      <c r="C1744">
        <v>0</v>
      </c>
      <c r="D1744">
        <v>0</v>
      </c>
      <c r="E1744">
        <v>0</v>
      </c>
      <c r="F1744">
        <v>0</v>
      </c>
      <c r="G1744">
        <v>0</v>
      </c>
      <c r="H1744">
        <v>0</v>
      </c>
      <c r="I1744">
        <v>0</v>
      </c>
      <c r="J1744">
        <v>0</v>
      </c>
    </row>
    <row r="1745" spans="2:10">
      <c r="B1745" t="s">
        <v>2971</v>
      </c>
      <c r="C1745" t="s">
        <v>212</v>
      </c>
      <c r="D1745" t="s">
        <v>212</v>
      </c>
      <c r="E1745" t="s">
        <v>212</v>
      </c>
      <c r="F1745" t="s">
        <v>212</v>
      </c>
      <c r="G1745" t="s">
        <v>212</v>
      </c>
      <c r="H1745" t="s">
        <v>212</v>
      </c>
      <c r="I1745" t="s">
        <v>212</v>
      </c>
      <c r="J1745" t="s">
        <v>212</v>
      </c>
    </row>
    <row r="1746" spans="2:10">
      <c r="B1746" t="s">
        <v>2972</v>
      </c>
      <c r="C1746" t="s">
        <v>212</v>
      </c>
      <c r="D1746" t="s">
        <v>212</v>
      </c>
      <c r="E1746" t="s">
        <v>212</v>
      </c>
      <c r="F1746" t="s">
        <v>212</v>
      </c>
      <c r="G1746" t="s">
        <v>212</v>
      </c>
      <c r="H1746" t="s">
        <v>212</v>
      </c>
      <c r="I1746" t="s">
        <v>212</v>
      </c>
      <c r="J1746" t="s">
        <v>212</v>
      </c>
    </row>
    <row r="1747" spans="2:10">
      <c r="B1747" t="s">
        <v>2973</v>
      </c>
      <c r="C1747" t="s">
        <v>212</v>
      </c>
      <c r="D1747" t="s">
        <v>212</v>
      </c>
      <c r="E1747" t="s">
        <v>212</v>
      </c>
      <c r="F1747" t="s">
        <v>212</v>
      </c>
      <c r="G1747" t="s">
        <v>212</v>
      </c>
      <c r="H1747" t="s">
        <v>212</v>
      </c>
      <c r="I1747" t="s">
        <v>212</v>
      </c>
      <c r="J1747" t="s">
        <v>212</v>
      </c>
    </row>
    <row r="1748" spans="2:10">
      <c r="B1748" t="s">
        <v>820</v>
      </c>
      <c r="C1748" t="s">
        <v>212</v>
      </c>
      <c r="D1748" t="s">
        <v>212</v>
      </c>
      <c r="E1748" t="s">
        <v>212</v>
      </c>
      <c r="F1748" t="s">
        <v>212</v>
      </c>
      <c r="G1748" t="s">
        <v>212</v>
      </c>
      <c r="H1748" t="s">
        <v>212</v>
      </c>
      <c r="I1748" t="s">
        <v>212</v>
      </c>
      <c r="J1748" t="s">
        <v>212</v>
      </c>
    </row>
    <row r="1749" spans="2:10">
      <c r="B1749" t="s">
        <v>2974</v>
      </c>
      <c r="C1749" t="s">
        <v>212</v>
      </c>
      <c r="D1749" t="s">
        <v>212</v>
      </c>
      <c r="E1749" t="s">
        <v>212</v>
      </c>
      <c r="F1749" t="s">
        <v>212</v>
      </c>
      <c r="G1749" t="s">
        <v>212</v>
      </c>
      <c r="H1749" t="s">
        <v>212</v>
      </c>
      <c r="I1749" t="s">
        <v>212</v>
      </c>
      <c r="J1749" t="s">
        <v>212</v>
      </c>
    </row>
    <row r="1750" spans="2:10">
      <c r="B1750" t="s">
        <v>2975</v>
      </c>
      <c r="C1750" t="s">
        <v>212</v>
      </c>
      <c r="D1750" t="s">
        <v>212</v>
      </c>
      <c r="E1750" t="s">
        <v>212</v>
      </c>
      <c r="F1750" t="s">
        <v>212</v>
      </c>
      <c r="G1750" t="s">
        <v>212</v>
      </c>
      <c r="H1750" t="s">
        <v>212</v>
      </c>
      <c r="I1750" t="s">
        <v>212</v>
      </c>
      <c r="J1750" t="s">
        <v>212</v>
      </c>
    </row>
    <row r="1751" spans="2:10">
      <c r="B1751" t="s">
        <v>2976</v>
      </c>
      <c r="C1751" t="s">
        <v>212</v>
      </c>
      <c r="D1751" t="s">
        <v>212</v>
      </c>
      <c r="E1751" t="s">
        <v>212</v>
      </c>
      <c r="F1751" t="s">
        <v>212</v>
      </c>
      <c r="G1751" t="s">
        <v>212</v>
      </c>
      <c r="H1751" t="s">
        <v>212</v>
      </c>
      <c r="I1751" t="s">
        <v>212</v>
      </c>
      <c r="J1751" t="s">
        <v>212</v>
      </c>
    </row>
    <row r="1752" spans="2:10">
      <c r="B1752" t="s">
        <v>2977</v>
      </c>
      <c r="C1752" t="s">
        <v>212</v>
      </c>
      <c r="D1752" t="s">
        <v>212</v>
      </c>
      <c r="E1752" t="s">
        <v>212</v>
      </c>
      <c r="F1752" t="s">
        <v>212</v>
      </c>
      <c r="G1752" t="s">
        <v>212</v>
      </c>
      <c r="H1752" t="s">
        <v>212</v>
      </c>
      <c r="I1752" t="s">
        <v>212</v>
      </c>
      <c r="J1752" t="s">
        <v>212</v>
      </c>
    </row>
    <row r="1753" spans="2:10">
      <c r="B1753" t="s">
        <v>2978</v>
      </c>
      <c r="C1753" t="s">
        <v>212</v>
      </c>
      <c r="D1753" t="s">
        <v>212</v>
      </c>
      <c r="E1753" t="s">
        <v>212</v>
      </c>
      <c r="F1753" t="s">
        <v>212</v>
      </c>
      <c r="G1753" t="s">
        <v>212</v>
      </c>
      <c r="H1753" t="s">
        <v>212</v>
      </c>
      <c r="I1753" t="s">
        <v>212</v>
      </c>
      <c r="J1753" t="s">
        <v>212</v>
      </c>
    </row>
    <row r="1754" spans="2:10">
      <c r="B1754" t="s">
        <v>2979</v>
      </c>
      <c r="C1754" t="s">
        <v>212</v>
      </c>
      <c r="D1754" t="s">
        <v>212</v>
      </c>
      <c r="E1754" t="s">
        <v>212</v>
      </c>
      <c r="F1754" t="s">
        <v>212</v>
      </c>
      <c r="G1754" t="s">
        <v>212</v>
      </c>
      <c r="H1754" t="s">
        <v>212</v>
      </c>
      <c r="I1754" t="s">
        <v>212</v>
      </c>
      <c r="J1754" t="s">
        <v>212</v>
      </c>
    </row>
    <row r="1755" spans="2:10">
      <c r="B1755" t="s">
        <v>2980</v>
      </c>
      <c r="C1755" t="s">
        <v>212</v>
      </c>
      <c r="D1755" t="s">
        <v>212</v>
      </c>
      <c r="E1755" t="s">
        <v>212</v>
      </c>
      <c r="F1755" t="s">
        <v>212</v>
      </c>
      <c r="G1755" t="s">
        <v>212</v>
      </c>
      <c r="H1755" t="s">
        <v>212</v>
      </c>
      <c r="I1755" t="s">
        <v>212</v>
      </c>
      <c r="J1755" t="s">
        <v>212</v>
      </c>
    </row>
    <row r="1757" spans="2:10">
      <c r="B1757" t="s">
        <v>2981</v>
      </c>
      <c r="C1757">
        <v>0</v>
      </c>
      <c r="E1757">
        <v>0</v>
      </c>
      <c r="G1757">
        <v>0</v>
      </c>
      <c r="I1757">
        <v>0</v>
      </c>
    </row>
    <row r="1758" spans="2:10">
      <c r="B1758" t="s">
        <v>2982</v>
      </c>
      <c r="C1758">
        <v>0</v>
      </c>
      <c r="D1758">
        <v>0</v>
      </c>
      <c r="E1758">
        <v>0</v>
      </c>
      <c r="F1758">
        <v>0</v>
      </c>
      <c r="G1758">
        <v>0</v>
      </c>
      <c r="H1758">
        <v>0</v>
      </c>
      <c r="I1758">
        <v>0</v>
      </c>
      <c r="J1758">
        <v>0</v>
      </c>
    </row>
    <row r="1759" spans="2:10">
      <c r="B1759" t="s">
        <v>2983</v>
      </c>
      <c r="C1759">
        <v>0</v>
      </c>
      <c r="D1759">
        <v>0</v>
      </c>
      <c r="E1759">
        <v>0</v>
      </c>
      <c r="F1759">
        <v>0</v>
      </c>
      <c r="G1759">
        <v>0</v>
      </c>
      <c r="H1759">
        <v>0</v>
      </c>
      <c r="I1759">
        <v>0</v>
      </c>
      <c r="J1759">
        <v>0</v>
      </c>
    </row>
    <row r="1762" spans="1:10">
      <c r="A1762" t="s">
        <v>1914</v>
      </c>
    </row>
    <row r="1763" spans="1:10">
      <c r="A1763" t="s">
        <v>1915</v>
      </c>
      <c r="B1763" t="s">
        <v>2964</v>
      </c>
    </row>
    <row r="1764" spans="1:10">
      <c r="A1764" t="s">
        <v>1917</v>
      </c>
      <c r="B1764" t="s">
        <v>2882</v>
      </c>
    </row>
    <row r="1765" spans="1:10">
      <c r="C1765" t="s">
        <v>2965</v>
      </c>
      <c r="D1765" t="s">
        <v>2966</v>
      </c>
      <c r="E1765" t="s">
        <v>2967</v>
      </c>
      <c r="F1765" t="s">
        <v>2966</v>
      </c>
      <c r="G1765" t="s">
        <v>2968</v>
      </c>
      <c r="H1765" t="s">
        <v>2966</v>
      </c>
      <c r="I1765" t="s">
        <v>2969</v>
      </c>
      <c r="J1765" t="s">
        <v>2966</v>
      </c>
    </row>
    <row r="1766" spans="1:10">
      <c r="B1766" t="s">
        <v>2970</v>
      </c>
      <c r="C1766">
        <v>0</v>
      </c>
      <c r="D1766">
        <v>0</v>
      </c>
      <c r="E1766">
        <v>0</v>
      </c>
      <c r="F1766">
        <v>0</v>
      </c>
      <c r="G1766">
        <v>0</v>
      </c>
      <c r="H1766">
        <v>0</v>
      </c>
      <c r="I1766">
        <v>0</v>
      </c>
      <c r="J1766">
        <v>0</v>
      </c>
    </row>
    <row r="1767" spans="1:10">
      <c r="B1767" t="s">
        <v>2971</v>
      </c>
      <c r="C1767" t="s">
        <v>212</v>
      </c>
      <c r="D1767" t="s">
        <v>212</v>
      </c>
      <c r="E1767" t="s">
        <v>212</v>
      </c>
      <c r="F1767" t="s">
        <v>212</v>
      </c>
      <c r="G1767" t="s">
        <v>212</v>
      </c>
      <c r="H1767" t="s">
        <v>212</v>
      </c>
      <c r="I1767" t="s">
        <v>212</v>
      </c>
      <c r="J1767" t="s">
        <v>212</v>
      </c>
    </row>
    <row r="1768" spans="1:10">
      <c r="B1768" t="s">
        <v>2972</v>
      </c>
      <c r="C1768" t="s">
        <v>212</v>
      </c>
      <c r="D1768" t="s">
        <v>212</v>
      </c>
      <c r="E1768" t="s">
        <v>212</v>
      </c>
      <c r="F1768" t="s">
        <v>212</v>
      </c>
      <c r="G1768" t="s">
        <v>212</v>
      </c>
      <c r="H1768" t="s">
        <v>212</v>
      </c>
      <c r="I1768" t="s">
        <v>212</v>
      </c>
      <c r="J1768" t="s">
        <v>212</v>
      </c>
    </row>
    <row r="1769" spans="1:10">
      <c r="B1769" t="s">
        <v>2973</v>
      </c>
      <c r="C1769" t="s">
        <v>212</v>
      </c>
      <c r="D1769" t="s">
        <v>212</v>
      </c>
      <c r="E1769" t="s">
        <v>212</v>
      </c>
      <c r="F1769" t="s">
        <v>212</v>
      </c>
      <c r="G1769" t="s">
        <v>212</v>
      </c>
      <c r="H1769" t="s">
        <v>212</v>
      </c>
      <c r="I1769" t="s">
        <v>212</v>
      </c>
      <c r="J1769" t="s">
        <v>212</v>
      </c>
    </row>
    <row r="1770" spans="1:10">
      <c r="B1770" t="s">
        <v>820</v>
      </c>
      <c r="C1770" t="s">
        <v>212</v>
      </c>
      <c r="D1770" t="s">
        <v>212</v>
      </c>
      <c r="E1770" t="s">
        <v>212</v>
      </c>
      <c r="F1770" t="s">
        <v>212</v>
      </c>
      <c r="G1770" t="s">
        <v>212</v>
      </c>
      <c r="H1770" t="s">
        <v>212</v>
      </c>
      <c r="I1770" t="s">
        <v>212</v>
      </c>
      <c r="J1770" t="s">
        <v>212</v>
      </c>
    </row>
    <row r="1771" spans="1:10">
      <c r="B1771" t="s">
        <v>2974</v>
      </c>
      <c r="C1771" t="s">
        <v>212</v>
      </c>
      <c r="D1771" t="s">
        <v>212</v>
      </c>
      <c r="E1771" t="s">
        <v>212</v>
      </c>
      <c r="F1771" t="s">
        <v>212</v>
      </c>
      <c r="G1771" t="s">
        <v>212</v>
      </c>
      <c r="H1771" t="s">
        <v>212</v>
      </c>
      <c r="I1771" t="s">
        <v>212</v>
      </c>
      <c r="J1771" t="s">
        <v>212</v>
      </c>
    </row>
    <row r="1772" spans="1:10">
      <c r="B1772" t="s">
        <v>2975</v>
      </c>
      <c r="C1772" t="s">
        <v>212</v>
      </c>
      <c r="D1772" t="s">
        <v>212</v>
      </c>
      <c r="E1772" t="s">
        <v>212</v>
      </c>
      <c r="F1772" t="s">
        <v>212</v>
      </c>
      <c r="G1772" t="s">
        <v>212</v>
      </c>
      <c r="H1772" t="s">
        <v>212</v>
      </c>
      <c r="I1772" t="s">
        <v>212</v>
      </c>
      <c r="J1772" t="s">
        <v>212</v>
      </c>
    </row>
    <row r="1773" spans="1:10">
      <c r="B1773" t="s">
        <v>2976</v>
      </c>
      <c r="C1773" t="s">
        <v>212</v>
      </c>
      <c r="D1773" t="s">
        <v>212</v>
      </c>
      <c r="E1773" t="s">
        <v>212</v>
      </c>
      <c r="F1773" t="s">
        <v>212</v>
      </c>
      <c r="G1773" t="s">
        <v>212</v>
      </c>
      <c r="H1773" t="s">
        <v>212</v>
      </c>
      <c r="I1773" t="s">
        <v>212</v>
      </c>
      <c r="J1773" t="s">
        <v>212</v>
      </c>
    </row>
    <row r="1774" spans="1:10">
      <c r="B1774" t="s">
        <v>2977</v>
      </c>
      <c r="C1774" t="s">
        <v>212</v>
      </c>
      <c r="D1774" t="s">
        <v>212</v>
      </c>
      <c r="E1774" t="s">
        <v>212</v>
      </c>
      <c r="F1774" t="s">
        <v>212</v>
      </c>
      <c r="G1774" t="s">
        <v>212</v>
      </c>
      <c r="H1774" t="s">
        <v>212</v>
      </c>
      <c r="I1774" t="s">
        <v>212</v>
      </c>
      <c r="J1774" t="s">
        <v>212</v>
      </c>
    </row>
    <row r="1775" spans="1:10">
      <c r="B1775" t="s">
        <v>2978</v>
      </c>
      <c r="C1775" t="s">
        <v>212</v>
      </c>
      <c r="D1775" t="s">
        <v>212</v>
      </c>
      <c r="E1775" t="s">
        <v>212</v>
      </c>
      <c r="F1775" t="s">
        <v>212</v>
      </c>
      <c r="G1775" t="s">
        <v>212</v>
      </c>
      <c r="H1775" t="s">
        <v>212</v>
      </c>
      <c r="I1775" t="s">
        <v>212</v>
      </c>
      <c r="J1775" t="s">
        <v>212</v>
      </c>
    </row>
    <row r="1776" spans="1:10">
      <c r="B1776" t="s">
        <v>2979</v>
      </c>
      <c r="C1776" t="s">
        <v>212</v>
      </c>
      <c r="D1776" t="s">
        <v>212</v>
      </c>
      <c r="E1776" t="s">
        <v>212</v>
      </c>
      <c r="F1776" t="s">
        <v>212</v>
      </c>
      <c r="G1776" t="s">
        <v>212</v>
      </c>
      <c r="H1776" t="s">
        <v>212</v>
      </c>
      <c r="I1776" t="s">
        <v>212</v>
      </c>
      <c r="J1776" t="s">
        <v>212</v>
      </c>
    </row>
    <row r="1777" spans="1:10">
      <c r="B1777" t="s">
        <v>2980</v>
      </c>
      <c r="C1777" t="s">
        <v>212</v>
      </c>
      <c r="D1777" t="s">
        <v>212</v>
      </c>
      <c r="E1777" t="s">
        <v>212</v>
      </c>
      <c r="F1777" t="s">
        <v>212</v>
      </c>
      <c r="G1777" t="s">
        <v>212</v>
      </c>
      <c r="H1777" t="s">
        <v>212</v>
      </c>
      <c r="I1777" t="s">
        <v>212</v>
      </c>
      <c r="J1777" t="s">
        <v>212</v>
      </c>
    </row>
    <row r="1779" spans="1:10">
      <c r="B1779" t="s">
        <v>2981</v>
      </c>
      <c r="C1779">
        <v>0</v>
      </c>
      <c r="E1779">
        <v>0</v>
      </c>
      <c r="G1779">
        <v>0</v>
      </c>
      <c r="I1779">
        <v>0</v>
      </c>
    </row>
    <row r="1780" spans="1:10">
      <c r="B1780" t="s">
        <v>2982</v>
      </c>
      <c r="C1780">
        <v>0</v>
      </c>
      <c r="D1780">
        <v>0</v>
      </c>
      <c r="E1780">
        <v>0</v>
      </c>
      <c r="F1780">
        <v>0</v>
      </c>
      <c r="G1780">
        <v>0</v>
      </c>
      <c r="H1780">
        <v>0</v>
      </c>
      <c r="I1780">
        <v>0</v>
      </c>
      <c r="J1780">
        <v>0</v>
      </c>
    </row>
    <row r="1781" spans="1:10">
      <c r="B1781" t="s">
        <v>2983</v>
      </c>
      <c r="C1781">
        <v>0</v>
      </c>
      <c r="D1781">
        <v>0</v>
      </c>
      <c r="E1781">
        <v>0</v>
      </c>
      <c r="F1781">
        <v>0</v>
      </c>
      <c r="G1781">
        <v>0</v>
      </c>
      <c r="H1781">
        <v>0</v>
      </c>
      <c r="I1781">
        <v>0</v>
      </c>
      <c r="J1781">
        <v>0</v>
      </c>
    </row>
    <row r="1784" spans="1:10">
      <c r="A1784" t="s">
        <v>1914</v>
      </c>
    </row>
    <row r="1785" spans="1:10">
      <c r="A1785" t="s">
        <v>1915</v>
      </c>
      <c r="B1785" t="s">
        <v>2964</v>
      </c>
    </row>
    <row r="1786" spans="1:10">
      <c r="A1786" t="s">
        <v>1917</v>
      </c>
      <c r="B1786" t="s">
        <v>2883</v>
      </c>
    </row>
    <row r="1787" spans="1:10">
      <c r="C1787" t="s">
        <v>2965</v>
      </c>
      <c r="D1787" t="s">
        <v>2966</v>
      </c>
      <c r="E1787" t="s">
        <v>2967</v>
      </c>
      <c r="F1787" t="s">
        <v>2966</v>
      </c>
      <c r="G1787" t="s">
        <v>2968</v>
      </c>
      <c r="H1787" t="s">
        <v>2966</v>
      </c>
      <c r="I1787" t="s">
        <v>2969</v>
      </c>
      <c r="J1787" t="s">
        <v>2966</v>
      </c>
    </row>
    <row r="1788" spans="1:10">
      <c r="B1788" t="s">
        <v>2970</v>
      </c>
      <c r="C1788">
        <v>0</v>
      </c>
      <c r="D1788">
        <v>0</v>
      </c>
      <c r="E1788">
        <v>0</v>
      </c>
      <c r="F1788">
        <v>0</v>
      </c>
      <c r="G1788">
        <v>0</v>
      </c>
      <c r="H1788">
        <v>0</v>
      </c>
      <c r="I1788">
        <v>0</v>
      </c>
      <c r="J1788">
        <v>0</v>
      </c>
    </row>
    <row r="1789" spans="1:10">
      <c r="B1789" t="s">
        <v>2971</v>
      </c>
      <c r="C1789" t="s">
        <v>212</v>
      </c>
      <c r="D1789" t="s">
        <v>212</v>
      </c>
      <c r="E1789" t="s">
        <v>212</v>
      </c>
      <c r="F1789" t="s">
        <v>212</v>
      </c>
      <c r="G1789" t="s">
        <v>212</v>
      </c>
      <c r="H1789" t="s">
        <v>212</v>
      </c>
      <c r="I1789" t="s">
        <v>212</v>
      </c>
      <c r="J1789" t="s">
        <v>212</v>
      </c>
    </row>
    <row r="1790" spans="1:10">
      <c r="B1790" t="s">
        <v>2972</v>
      </c>
      <c r="C1790" t="s">
        <v>212</v>
      </c>
      <c r="D1790" t="s">
        <v>212</v>
      </c>
      <c r="E1790" t="s">
        <v>212</v>
      </c>
      <c r="F1790" t="s">
        <v>212</v>
      </c>
      <c r="G1790" t="s">
        <v>212</v>
      </c>
      <c r="H1790" t="s">
        <v>212</v>
      </c>
      <c r="I1790" t="s">
        <v>212</v>
      </c>
      <c r="J1790" t="s">
        <v>212</v>
      </c>
    </row>
    <row r="1791" spans="1:10">
      <c r="B1791" t="s">
        <v>2973</v>
      </c>
      <c r="C1791" t="s">
        <v>212</v>
      </c>
      <c r="D1791" t="s">
        <v>212</v>
      </c>
      <c r="E1791" t="s">
        <v>212</v>
      </c>
      <c r="F1791" t="s">
        <v>212</v>
      </c>
      <c r="G1791" t="s">
        <v>212</v>
      </c>
      <c r="H1791" t="s">
        <v>212</v>
      </c>
      <c r="I1791" t="s">
        <v>212</v>
      </c>
      <c r="J1791" t="s">
        <v>212</v>
      </c>
    </row>
    <row r="1792" spans="1:10">
      <c r="B1792" t="s">
        <v>820</v>
      </c>
      <c r="C1792" t="s">
        <v>212</v>
      </c>
      <c r="D1792" t="s">
        <v>212</v>
      </c>
      <c r="E1792" t="s">
        <v>212</v>
      </c>
      <c r="F1792" t="s">
        <v>212</v>
      </c>
      <c r="G1792" t="s">
        <v>212</v>
      </c>
      <c r="H1792" t="s">
        <v>212</v>
      </c>
      <c r="I1792" t="s">
        <v>212</v>
      </c>
      <c r="J1792" t="s">
        <v>212</v>
      </c>
    </row>
    <row r="1793" spans="1:10">
      <c r="B1793" t="s">
        <v>2974</v>
      </c>
      <c r="C1793" t="s">
        <v>212</v>
      </c>
      <c r="D1793" t="s">
        <v>212</v>
      </c>
      <c r="E1793" t="s">
        <v>212</v>
      </c>
      <c r="F1793" t="s">
        <v>212</v>
      </c>
      <c r="G1793" t="s">
        <v>212</v>
      </c>
      <c r="H1793" t="s">
        <v>212</v>
      </c>
      <c r="I1793" t="s">
        <v>212</v>
      </c>
      <c r="J1793" t="s">
        <v>212</v>
      </c>
    </row>
    <row r="1794" spans="1:10">
      <c r="B1794" t="s">
        <v>2975</v>
      </c>
      <c r="C1794" t="s">
        <v>212</v>
      </c>
      <c r="D1794" t="s">
        <v>212</v>
      </c>
      <c r="E1794" t="s">
        <v>212</v>
      </c>
      <c r="F1794" t="s">
        <v>212</v>
      </c>
      <c r="G1794" t="s">
        <v>212</v>
      </c>
      <c r="H1794" t="s">
        <v>212</v>
      </c>
      <c r="I1794" t="s">
        <v>212</v>
      </c>
      <c r="J1794" t="s">
        <v>212</v>
      </c>
    </row>
    <row r="1795" spans="1:10">
      <c r="B1795" t="s">
        <v>2976</v>
      </c>
      <c r="C1795" t="s">
        <v>212</v>
      </c>
      <c r="D1795" t="s">
        <v>212</v>
      </c>
      <c r="E1795" t="s">
        <v>212</v>
      </c>
      <c r="F1795" t="s">
        <v>212</v>
      </c>
      <c r="G1795" t="s">
        <v>212</v>
      </c>
      <c r="H1795" t="s">
        <v>212</v>
      </c>
      <c r="I1795" t="s">
        <v>212</v>
      </c>
      <c r="J1795" t="s">
        <v>212</v>
      </c>
    </row>
    <row r="1796" spans="1:10">
      <c r="B1796" t="s">
        <v>2977</v>
      </c>
      <c r="C1796" t="s">
        <v>212</v>
      </c>
      <c r="D1796" t="s">
        <v>212</v>
      </c>
      <c r="E1796" t="s">
        <v>212</v>
      </c>
      <c r="F1796" t="s">
        <v>212</v>
      </c>
      <c r="G1796" t="s">
        <v>212</v>
      </c>
      <c r="H1796" t="s">
        <v>212</v>
      </c>
      <c r="I1796" t="s">
        <v>212</v>
      </c>
      <c r="J1796" t="s">
        <v>212</v>
      </c>
    </row>
    <row r="1797" spans="1:10">
      <c r="B1797" t="s">
        <v>2978</v>
      </c>
      <c r="C1797" t="s">
        <v>212</v>
      </c>
      <c r="D1797" t="s">
        <v>212</v>
      </c>
      <c r="E1797" t="s">
        <v>212</v>
      </c>
      <c r="F1797" t="s">
        <v>212</v>
      </c>
      <c r="G1797" t="s">
        <v>212</v>
      </c>
      <c r="H1797" t="s">
        <v>212</v>
      </c>
      <c r="I1797" t="s">
        <v>212</v>
      </c>
      <c r="J1797" t="s">
        <v>212</v>
      </c>
    </row>
    <row r="1798" spans="1:10">
      <c r="B1798" t="s">
        <v>2979</v>
      </c>
      <c r="C1798" t="s">
        <v>212</v>
      </c>
      <c r="D1798" t="s">
        <v>212</v>
      </c>
      <c r="E1798" t="s">
        <v>212</v>
      </c>
      <c r="F1798" t="s">
        <v>212</v>
      </c>
      <c r="G1798" t="s">
        <v>212</v>
      </c>
      <c r="H1798" t="s">
        <v>212</v>
      </c>
      <c r="I1798" t="s">
        <v>212</v>
      </c>
      <c r="J1798" t="s">
        <v>212</v>
      </c>
    </row>
    <row r="1799" spans="1:10">
      <c r="B1799" t="s">
        <v>2980</v>
      </c>
      <c r="C1799" t="s">
        <v>212</v>
      </c>
      <c r="D1799" t="s">
        <v>212</v>
      </c>
      <c r="E1799" t="s">
        <v>212</v>
      </c>
      <c r="F1799" t="s">
        <v>212</v>
      </c>
      <c r="G1799" t="s">
        <v>212</v>
      </c>
      <c r="H1799" t="s">
        <v>212</v>
      </c>
      <c r="I1799" t="s">
        <v>212</v>
      </c>
      <c r="J1799" t="s">
        <v>212</v>
      </c>
    </row>
    <row r="1801" spans="1:10">
      <c r="B1801" t="s">
        <v>2981</v>
      </c>
      <c r="C1801">
        <v>0</v>
      </c>
      <c r="E1801">
        <v>0</v>
      </c>
      <c r="G1801">
        <v>0</v>
      </c>
      <c r="I1801">
        <v>0</v>
      </c>
    </row>
    <row r="1802" spans="1:10">
      <c r="B1802" t="s">
        <v>2982</v>
      </c>
      <c r="C1802">
        <v>0</v>
      </c>
      <c r="D1802">
        <v>0</v>
      </c>
      <c r="E1802">
        <v>0</v>
      </c>
      <c r="F1802">
        <v>0</v>
      </c>
      <c r="G1802">
        <v>0</v>
      </c>
      <c r="H1802">
        <v>0</v>
      </c>
      <c r="I1802">
        <v>0</v>
      </c>
      <c r="J1802">
        <v>0</v>
      </c>
    </row>
    <row r="1803" spans="1:10">
      <c r="B1803" t="s">
        <v>2983</v>
      </c>
      <c r="C1803">
        <v>0</v>
      </c>
      <c r="D1803">
        <v>0</v>
      </c>
      <c r="E1803">
        <v>0</v>
      </c>
      <c r="F1803">
        <v>0</v>
      </c>
      <c r="G1803">
        <v>0</v>
      </c>
      <c r="H1803">
        <v>0</v>
      </c>
      <c r="I1803">
        <v>0</v>
      </c>
      <c r="J1803">
        <v>0</v>
      </c>
    </row>
    <row r="1806" spans="1:10">
      <c r="A1806" t="s">
        <v>1914</v>
      </c>
    </row>
    <row r="1807" spans="1:10">
      <c r="A1807" t="s">
        <v>1915</v>
      </c>
      <c r="B1807" t="s">
        <v>2964</v>
      </c>
    </row>
    <row r="1808" spans="1:10">
      <c r="A1808" t="s">
        <v>1917</v>
      </c>
      <c r="B1808" t="s">
        <v>2884</v>
      </c>
    </row>
    <row r="1809" spans="2:10">
      <c r="C1809" t="s">
        <v>2965</v>
      </c>
      <c r="D1809" t="s">
        <v>2966</v>
      </c>
      <c r="E1809" t="s">
        <v>2967</v>
      </c>
      <c r="F1809" t="s">
        <v>2966</v>
      </c>
      <c r="G1809" t="s">
        <v>2968</v>
      </c>
      <c r="H1809" t="s">
        <v>2966</v>
      </c>
      <c r="I1809" t="s">
        <v>2969</v>
      </c>
      <c r="J1809" t="s">
        <v>2966</v>
      </c>
    </row>
    <row r="1810" spans="2:10">
      <c r="B1810" t="s">
        <v>2970</v>
      </c>
      <c r="C1810">
        <v>0</v>
      </c>
      <c r="D1810">
        <v>0</v>
      </c>
      <c r="E1810">
        <v>0</v>
      </c>
      <c r="F1810">
        <v>0</v>
      </c>
      <c r="G1810">
        <v>0</v>
      </c>
      <c r="H1810">
        <v>0</v>
      </c>
      <c r="I1810">
        <v>0</v>
      </c>
      <c r="J1810">
        <v>0</v>
      </c>
    </row>
    <row r="1811" spans="2:10">
      <c r="B1811" t="s">
        <v>2971</v>
      </c>
      <c r="C1811" t="s">
        <v>212</v>
      </c>
      <c r="D1811" t="s">
        <v>212</v>
      </c>
      <c r="E1811" t="s">
        <v>212</v>
      </c>
      <c r="F1811" t="s">
        <v>212</v>
      </c>
      <c r="G1811" t="s">
        <v>212</v>
      </c>
      <c r="H1811" t="s">
        <v>212</v>
      </c>
      <c r="I1811" t="s">
        <v>212</v>
      </c>
      <c r="J1811" t="s">
        <v>212</v>
      </c>
    </row>
    <row r="1812" spans="2:10">
      <c r="B1812" t="s">
        <v>2972</v>
      </c>
      <c r="C1812" t="s">
        <v>212</v>
      </c>
      <c r="D1812" t="s">
        <v>212</v>
      </c>
      <c r="E1812" t="s">
        <v>212</v>
      </c>
      <c r="F1812" t="s">
        <v>212</v>
      </c>
      <c r="G1812" t="s">
        <v>212</v>
      </c>
      <c r="H1812" t="s">
        <v>212</v>
      </c>
      <c r="I1812" t="s">
        <v>212</v>
      </c>
      <c r="J1812" t="s">
        <v>212</v>
      </c>
    </row>
    <row r="1813" spans="2:10">
      <c r="B1813" t="s">
        <v>2973</v>
      </c>
      <c r="C1813" t="s">
        <v>212</v>
      </c>
      <c r="D1813" t="s">
        <v>212</v>
      </c>
      <c r="E1813" t="s">
        <v>212</v>
      </c>
      <c r="F1813" t="s">
        <v>212</v>
      </c>
      <c r="G1813" t="s">
        <v>212</v>
      </c>
      <c r="H1813" t="s">
        <v>212</v>
      </c>
      <c r="I1813" t="s">
        <v>212</v>
      </c>
      <c r="J1813" t="s">
        <v>212</v>
      </c>
    </row>
    <row r="1814" spans="2:10">
      <c r="B1814" t="s">
        <v>820</v>
      </c>
      <c r="C1814" t="s">
        <v>212</v>
      </c>
      <c r="D1814" t="s">
        <v>212</v>
      </c>
      <c r="E1814" t="s">
        <v>212</v>
      </c>
      <c r="F1814" t="s">
        <v>212</v>
      </c>
      <c r="G1814" t="s">
        <v>212</v>
      </c>
      <c r="H1814" t="s">
        <v>212</v>
      </c>
      <c r="I1814" t="s">
        <v>212</v>
      </c>
      <c r="J1814" t="s">
        <v>212</v>
      </c>
    </row>
    <row r="1815" spans="2:10">
      <c r="B1815" t="s">
        <v>2974</v>
      </c>
      <c r="C1815" t="s">
        <v>212</v>
      </c>
      <c r="D1815" t="s">
        <v>212</v>
      </c>
      <c r="E1815" t="s">
        <v>212</v>
      </c>
      <c r="F1815" t="s">
        <v>212</v>
      </c>
      <c r="G1815" t="s">
        <v>212</v>
      </c>
      <c r="H1815" t="s">
        <v>212</v>
      </c>
      <c r="I1815" t="s">
        <v>212</v>
      </c>
      <c r="J1815" t="s">
        <v>212</v>
      </c>
    </row>
    <row r="1816" spans="2:10">
      <c r="B1816" t="s">
        <v>2975</v>
      </c>
      <c r="C1816" t="s">
        <v>212</v>
      </c>
      <c r="D1816" t="s">
        <v>212</v>
      </c>
      <c r="E1816" t="s">
        <v>212</v>
      </c>
      <c r="F1816" t="s">
        <v>212</v>
      </c>
      <c r="G1816" t="s">
        <v>212</v>
      </c>
      <c r="H1816" t="s">
        <v>212</v>
      </c>
      <c r="I1816" t="s">
        <v>212</v>
      </c>
      <c r="J1816" t="s">
        <v>212</v>
      </c>
    </row>
    <row r="1817" spans="2:10">
      <c r="B1817" t="s">
        <v>2976</v>
      </c>
      <c r="C1817" t="s">
        <v>212</v>
      </c>
      <c r="D1817" t="s">
        <v>212</v>
      </c>
      <c r="E1817" t="s">
        <v>212</v>
      </c>
      <c r="F1817" t="s">
        <v>212</v>
      </c>
      <c r="G1817" t="s">
        <v>212</v>
      </c>
      <c r="H1817" t="s">
        <v>212</v>
      </c>
      <c r="I1817" t="s">
        <v>212</v>
      </c>
      <c r="J1817" t="s">
        <v>212</v>
      </c>
    </row>
    <row r="1818" spans="2:10">
      <c r="B1818" t="s">
        <v>2977</v>
      </c>
      <c r="C1818" t="s">
        <v>212</v>
      </c>
      <c r="D1818" t="s">
        <v>212</v>
      </c>
      <c r="E1818" t="s">
        <v>212</v>
      </c>
      <c r="F1818" t="s">
        <v>212</v>
      </c>
      <c r="G1818" t="s">
        <v>212</v>
      </c>
      <c r="H1818" t="s">
        <v>212</v>
      </c>
      <c r="I1818" t="s">
        <v>212</v>
      </c>
      <c r="J1818" t="s">
        <v>212</v>
      </c>
    </row>
    <row r="1819" spans="2:10">
      <c r="B1819" t="s">
        <v>2978</v>
      </c>
      <c r="C1819" t="s">
        <v>212</v>
      </c>
      <c r="D1819" t="s">
        <v>212</v>
      </c>
      <c r="E1819" t="s">
        <v>212</v>
      </c>
      <c r="F1819" t="s">
        <v>212</v>
      </c>
      <c r="G1819" t="s">
        <v>212</v>
      </c>
      <c r="H1819" t="s">
        <v>212</v>
      </c>
      <c r="I1819" t="s">
        <v>212</v>
      </c>
      <c r="J1819" t="s">
        <v>212</v>
      </c>
    </row>
    <row r="1820" spans="2:10">
      <c r="B1820" t="s">
        <v>2979</v>
      </c>
      <c r="C1820" t="s">
        <v>212</v>
      </c>
      <c r="D1820" t="s">
        <v>212</v>
      </c>
      <c r="E1820" t="s">
        <v>212</v>
      </c>
      <c r="F1820" t="s">
        <v>212</v>
      </c>
      <c r="G1820" t="s">
        <v>212</v>
      </c>
      <c r="H1820" t="s">
        <v>212</v>
      </c>
      <c r="I1820" t="s">
        <v>212</v>
      </c>
      <c r="J1820" t="s">
        <v>212</v>
      </c>
    </row>
    <row r="1821" spans="2:10">
      <c r="B1821" t="s">
        <v>2980</v>
      </c>
      <c r="C1821" t="s">
        <v>212</v>
      </c>
      <c r="D1821" t="s">
        <v>212</v>
      </c>
      <c r="E1821" t="s">
        <v>212</v>
      </c>
      <c r="F1821" t="s">
        <v>212</v>
      </c>
      <c r="G1821" t="s">
        <v>212</v>
      </c>
      <c r="H1821" t="s">
        <v>212</v>
      </c>
      <c r="I1821" t="s">
        <v>212</v>
      </c>
      <c r="J1821" t="s">
        <v>212</v>
      </c>
    </row>
    <row r="1823" spans="2:10">
      <c r="B1823" t="s">
        <v>2981</v>
      </c>
      <c r="C1823">
        <v>0</v>
      </c>
      <c r="E1823">
        <v>0</v>
      </c>
      <c r="G1823">
        <v>0</v>
      </c>
      <c r="I1823">
        <v>0</v>
      </c>
    </row>
    <row r="1824" spans="2:10">
      <c r="B1824" t="s">
        <v>2982</v>
      </c>
      <c r="C1824">
        <v>0</v>
      </c>
      <c r="D1824">
        <v>0</v>
      </c>
      <c r="E1824">
        <v>0</v>
      </c>
      <c r="F1824">
        <v>0</v>
      </c>
      <c r="G1824">
        <v>0</v>
      </c>
      <c r="H1824">
        <v>0</v>
      </c>
      <c r="I1824">
        <v>0</v>
      </c>
      <c r="J1824">
        <v>0</v>
      </c>
    </row>
    <row r="1825" spans="1:10">
      <c r="B1825" t="s">
        <v>2983</v>
      </c>
      <c r="C1825">
        <v>0</v>
      </c>
      <c r="D1825">
        <v>0</v>
      </c>
      <c r="E1825">
        <v>0</v>
      </c>
      <c r="F1825">
        <v>0</v>
      </c>
      <c r="G1825">
        <v>0</v>
      </c>
      <c r="H1825">
        <v>0</v>
      </c>
      <c r="I1825">
        <v>0</v>
      </c>
      <c r="J1825">
        <v>0</v>
      </c>
    </row>
    <row r="1828" spans="1:10">
      <c r="A1828" t="s">
        <v>1914</v>
      </c>
    </row>
    <row r="1829" spans="1:10">
      <c r="A1829" t="s">
        <v>1915</v>
      </c>
      <c r="B1829" t="s">
        <v>2964</v>
      </c>
    </row>
    <row r="1830" spans="1:10">
      <c r="A1830" t="s">
        <v>1917</v>
      </c>
      <c r="B1830" t="s">
        <v>2885</v>
      </c>
    </row>
    <row r="1831" spans="1:10">
      <c r="C1831" t="s">
        <v>2965</v>
      </c>
      <c r="D1831" t="s">
        <v>2966</v>
      </c>
      <c r="E1831" t="s">
        <v>2967</v>
      </c>
      <c r="F1831" t="s">
        <v>2966</v>
      </c>
      <c r="G1831" t="s">
        <v>2968</v>
      </c>
      <c r="H1831" t="s">
        <v>2966</v>
      </c>
      <c r="I1831" t="s">
        <v>2969</v>
      </c>
      <c r="J1831" t="s">
        <v>2966</v>
      </c>
    </row>
    <row r="1832" spans="1:10">
      <c r="B1832" t="s">
        <v>2970</v>
      </c>
      <c r="C1832">
        <v>0</v>
      </c>
      <c r="D1832">
        <v>0</v>
      </c>
      <c r="E1832">
        <v>0</v>
      </c>
      <c r="F1832">
        <v>0</v>
      </c>
      <c r="G1832">
        <v>0</v>
      </c>
      <c r="H1832">
        <v>0</v>
      </c>
      <c r="I1832">
        <v>0</v>
      </c>
      <c r="J1832">
        <v>0</v>
      </c>
    </row>
    <row r="1833" spans="1:10">
      <c r="B1833" t="s">
        <v>2971</v>
      </c>
      <c r="C1833" t="s">
        <v>212</v>
      </c>
      <c r="D1833" t="s">
        <v>212</v>
      </c>
      <c r="E1833" t="s">
        <v>212</v>
      </c>
      <c r="F1833" t="s">
        <v>212</v>
      </c>
      <c r="G1833" t="s">
        <v>212</v>
      </c>
      <c r="H1833" t="s">
        <v>212</v>
      </c>
      <c r="I1833" t="s">
        <v>212</v>
      </c>
      <c r="J1833" t="s">
        <v>212</v>
      </c>
    </row>
    <row r="1834" spans="1:10">
      <c r="B1834" t="s">
        <v>2972</v>
      </c>
      <c r="C1834" t="s">
        <v>212</v>
      </c>
      <c r="D1834" t="s">
        <v>212</v>
      </c>
      <c r="E1834" t="s">
        <v>212</v>
      </c>
      <c r="F1834" t="s">
        <v>212</v>
      </c>
      <c r="G1834" t="s">
        <v>212</v>
      </c>
      <c r="H1834" t="s">
        <v>212</v>
      </c>
      <c r="I1834" t="s">
        <v>212</v>
      </c>
      <c r="J1834" t="s">
        <v>212</v>
      </c>
    </row>
    <row r="1835" spans="1:10">
      <c r="B1835" t="s">
        <v>2973</v>
      </c>
      <c r="C1835" t="s">
        <v>212</v>
      </c>
      <c r="D1835" t="s">
        <v>212</v>
      </c>
      <c r="E1835" t="s">
        <v>212</v>
      </c>
      <c r="F1835" t="s">
        <v>212</v>
      </c>
      <c r="G1835" t="s">
        <v>212</v>
      </c>
      <c r="H1835" t="s">
        <v>212</v>
      </c>
      <c r="I1835" t="s">
        <v>212</v>
      </c>
      <c r="J1835" t="s">
        <v>212</v>
      </c>
    </row>
    <row r="1836" spans="1:10">
      <c r="B1836" t="s">
        <v>820</v>
      </c>
      <c r="C1836" t="s">
        <v>212</v>
      </c>
      <c r="D1836" t="s">
        <v>212</v>
      </c>
      <c r="E1836" t="s">
        <v>212</v>
      </c>
      <c r="F1836" t="s">
        <v>212</v>
      </c>
      <c r="G1836" t="s">
        <v>212</v>
      </c>
      <c r="H1836" t="s">
        <v>212</v>
      </c>
      <c r="I1836" t="s">
        <v>212</v>
      </c>
      <c r="J1836" t="s">
        <v>212</v>
      </c>
    </row>
    <row r="1837" spans="1:10">
      <c r="B1837" t="s">
        <v>2974</v>
      </c>
      <c r="C1837" t="s">
        <v>212</v>
      </c>
      <c r="D1837" t="s">
        <v>212</v>
      </c>
      <c r="E1837" t="s">
        <v>212</v>
      </c>
      <c r="F1837" t="s">
        <v>212</v>
      </c>
      <c r="G1837" t="s">
        <v>212</v>
      </c>
      <c r="H1837" t="s">
        <v>212</v>
      </c>
      <c r="I1837" t="s">
        <v>212</v>
      </c>
      <c r="J1837" t="s">
        <v>212</v>
      </c>
    </row>
    <row r="1838" spans="1:10">
      <c r="B1838" t="s">
        <v>2975</v>
      </c>
      <c r="C1838" t="s">
        <v>212</v>
      </c>
      <c r="D1838" t="s">
        <v>212</v>
      </c>
      <c r="E1838" t="s">
        <v>212</v>
      </c>
      <c r="F1838" t="s">
        <v>212</v>
      </c>
      <c r="G1838" t="s">
        <v>212</v>
      </c>
      <c r="H1838" t="s">
        <v>212</v>
      </c>
      <c r="I1838" t="s">
        <v>212</v>
      </c>
      <c r="J1838" t="s">
        <v>212</v>
      </c>
    </row>
    <row r="1839" spans="1:10">
      <c r="B1839" t="s">
        <v>2976</v>
      </c>
      <c r="C1839" t="s">
        <v>212</v>
      </c>
      <c r="D1839" t="s">
        <v>212</v>
      </c>
      <c r="E1839" t="s">
        <v>212</v>
      </c>
      <c r="F1839" t="s">
        <v>212</v>
      </c>
      <c r="G1839" t="s">
        <v>212</v>
      </c>
      <c r="H1839" t="s">
        <v>212</v>
      </c>
      <c r="I1839" t="s">
        <v>212</v>
      </c>
      <c r="J1839" t="s">
        <v>212</v>
      </c>
    </row>
    <row r="1840" spans="1:10">
      <c r="B1840" t="s">
        <v>2977</v>
      </c>
      <c r="C1840" t="s">
        <v>212</v>
      </c>
      <c r="D1840" t="s">
        <v>212</v>
      </c>
      <c r="E1840" t="s">
        <v>212</v>
      </c>
      <c r="F1840" t="s">
        <v>212</v>
      </c>
      <c r="G1840" t="s">
        <v>212</v>
      </c>
      <c r="H1840" t="s">
        <v>212</v>
      </c>
      <c r="I1840" t="s">
        <v>212</v>
      </c>
      <c r="J1840" t="s">
        <v>212</v>
      </c>
    </row>
    <row r="1841" spans="1:10">
      <c r="B1841" t="s">
        <v>2978</v>
      </c>
      <c r="C1841" t="s">
        <v>212</v>
      </c>
      <c r="D1841" t="s">
        <v>212</v>
      </c>
      <c r="E1841" t="s">
        <v>212</v>
      </c>
      <c r="F1841" t="s">
        <v>212</v>
      </c>
      <c r="G1841" t="s">
        <v>212</v>
      </c>
      <c r="H1841" t="s">
        <v>212</v>
      </c>
      <c r="I1841" t="s">
        <v>212</v>
      </c>
      <c r="J1841" t="s">
        <v>212</v>
      </c>
    </row>
    <row r="1842" spans="1:10">
      <c r="B1842" t="s">
        <v>2979</v>
      </c>
      <c r="C1842" t="s">
        <v>212</v>
      </c>
      <c r="D1842" t="s">
        <v>212</v>
      </c>
      <c r="E1842" t="s">
        <v>212</v>
      </c>
      <c r="F1842" t="s">
        <v>212</v>
      </c>
      <c r="G1842" t="s">
        <v>212</v>
      </c>
      <c r="H1842" t="s">
        <v>212</v>
      </c>
      <c r="I1842" t="s">
        <v>212</v>
      </c>
      <c r="J1842" t="s">
        <v>212</v>
      </c>
    </row>
    <row r="1843" spans="1:10">
      <c r="B1843" t="s">
        <v>2980</v>
      </c>
      <c r="C1843" t="s">
        <v>212</v>
      </c>
      <c r="D1843" t="s">
        <v>212</v>
      </c>
      <c r="E1843" t="s">
        <v>212</v>
      </c>
      <c r="F1843" t="s">
        <v>212</v>
      </c>
      <c r="G1843" t="s">
        <v>212</v>
      </c>
      <c r="H1843" t="s">
        <v>212</v>
      </c>
      <c r="I1843" t="s">
        <v>212</v>
      </c>
      <c r="J1843" t="s">
        <v>212</v>
      </c>
    </row>
    <row r="1845" spans="1:10">
      <c r="B1845" t="s">
        <v>2981</v>
      </c>
      <c r="C1845">
        <v>0</v>
      </c>
      <c r="E1845">
        <v>0</v>
      </c>
      <c r="G1845">
        <v>0</v>
      </c>
      <c r="I1845">
        <v>0</v>
      </c>
    </row>
    <row r="1846" spans="1:10">
      <c r="B1846" t="s">
        <v>2982</v>
      </c>
      <c r="C1846">
        <v>0</v>
      </c>
      <c r="D1846">
        <v>0</v>
      </c>
      <c r="E1846">
        <v>0</v>
      </c>
      <c r="F1846">
        <v>0</v>
      </c>
      <c r="G1846">
        <v>0</v>
      </c>
      <c r="H1846">
        <v>0</v>
      </c>
      <c r="I1846">
        <v>0</v>
      </c>
      <c r="J1846">
        <v>0</v>
      </c>
    </row>
    <row r="1847" spans="1:10">
      <c r="B1847" t="s">
        <v>2983</v>
      </c>
      <c r="C1847">
        <v>0</v>
      </c>
      <c r="D1847">
        <v>0</v>
      </c>
      <c r="E1847">
        <v>0</v>
      </c>
      <c r="F1847">
        <v>0</v>
      </c>
      <c r="G1847">
        <v>0</v>
      </c>
      <c r="H1847">
        <v>0</v>
      </c>
      <c r="I1847">
        <v>0</v>
      </c>
      <c r="J1847">
        <v>0</v>
      </c>
    </row>
    <row r="1850" spans="1:10">
      <c r="A1850" t="s">
        <v>1914</v>
      </c>
    </row>
    <row r="1851" spans="1:10">
      <c r="A1851" t="s">
        <v>1915</v>
      </c>
      <c r="B1851" t="s">
        <v>2964</v>
      </c>
    </row>
    <row r="1852" spans="1:10">
      <c r="A1852" t="s">
        <v>1917</v>
      </c>
      <c r="B1852" t="s">
        <v>2886</v>
      </c>
    </row>
    <row r="1853" spans="1:10">
      <c r="C1853" t="s">
        <v>2965</v>
      </c>
      <c r="D1853" t="s">
        <v>2966</v>
      </c>
      <c r="E1853" t="s">
        <v>2967</v>
      </c>
      <c r="F1853" t="s">
        <v>2966</v>
      </c>
      <c r="G1853" t="s">
        <v>2968</v>
      </c>
      <c r="H1853" t="s">
        <v>2966</v>
      </c>
      <c r="I1853" t="s">
        <v>2969</v>
      </c>
      <c r="J1853" t="s">
        <v>2966</v>
      </c>
    </row>
    <row r="1854" spans="1:10">
      <c r="B1854" t="s">
        <v>2970</v>
      </c>
      <c r="C1854">
        <v>0</v>
      </c>
      <c r="D1854">
        <v>0</v>
      </c>
      <c r="E1854">
        <v>0</v>
      </c>
      <c r="F1854">
        <v>0</v>
      </c>
      <c r="G1854">
        <v>0</v>
      </c>
      <c r="H1854">
        <v>0</v>
      </c>
      <c r="I1854">
        <v>0</v>
      </c>
      <c r="J1854">
        <v>0</v>
      </c>
    </row>
    <row r="1855" spans="1:10">
      <c r="B1855" t="s">
        <v>2971</v>
      </c>
      <c r="C1855" t="s">
        <v>212</v>
      </c>
      <c r="D1855" t="s">
        <v>212</v>
      </c>
      <c r="E1855" t="s">
        <v>212</v>
      </c>
      <c r="F1855" t="s">
        <v>212</v>
      </c>
      <c r="G1855" t="s">
        <v>212</v>
      </c>
      <c r="H1855" t="s">
        <v>212</v>
      </c>
      <c r="I1855" t="s">
        <v>212</v>
      </c>
      <c r="J1855" t="s">
        <v>212</v>
      </c>
    </row>
    <row r="1856" spans="1:10">
      <c r="B1856" t="s">
        <v>2972</v>
      </c>
      <c r="C1856" t="s">
        <v>212</v>
      </c>
      <c r="D1856" t="s">
        <v>212</v>
      </c>
      <c r="E1856" t="s">
        <v>212</v>
      </c>
      <c r="F1856" t="s">
        <v>212</v>
      </c>
      <c r="G1856" t="s">
        <v>212</v>
      </c>
      <c r="H1856" t="s">
        <v>212</v>
      </c>
      <c r="I1856" t="s">
        <v>212</v>
      </c>
      <c r="J1856" t="s">
        <v>212</v>
      </c>
    </row>
    <row r="1857" spans="1:10">
      <c r="B1857" t="s">
        <v>2973</v>
      </c>
      <c r="C1857" t="s">
        <v>212</v>
      </c>
      <c r="D1857" t="s">
        <v>212</v>
      </c>
      <c r="E1857" t="s">
        <v>212</v>
      </c>
      <c r="F1857" t="s">
        <v>212</v>
      </c>
      <c r="G1857" t="s">
        <v>212</v>
      </c>
      <c r="H1857" t="s">
        <v>212</v>
      </c>
      <c r="I1857" t="s">
        <v>212</v>
      </c>
      <c r="J1857" t="s">
        <v>212</v>
      </c>
    </row>
    <row r="1858" spans="1:10">
      <c r="B1858" t="s">
        <v>820</v>
      </c>
      <c r="C1858" t="s">
        <v>212</v>
      </c>
      <c r="D1858" t="s">
        <v>212</v>
      </c>
      <c r="E1858" t="s">
        <v>212</v>
      </c>
      <c r="F1858" t="s">
        <v>212</v>
      </c>
      <c r="G1858" t="s">
        <v>212</v>
      </c>
      <c r="H1858" t="s">
        <v>212</v>
      </c>
      <c r="I1858" t="s">
        <v>212</v>
      </c>
      <c r="J1858" t="s">
        <v>212</v>
      </c>
    </row>
    <row r="1859" spans="1:10">
      <c r="B1859" t="s">
        <v>2974</v>
      </c>
      <c r="C1859" t="s">
        <v>212</v>
      </c>
      <c r="D1859" t="s">
        <v>212</v>
      </c>
      <c r="E1859" t="s">
        <v>212</v>
      </c>
      <c r="F1859" t="s">
        <v>212</v>
      </c>
      <c r="G1859" t="s">
        <v>212</v>
      </c>
      <c r="H1859" t="s">
        <v>212</v>
      </c>
      <c r="I1859" t="s">
        <v>212</v>
      </c>
      <c r="J1859" t="s">
        <v>212</v>
      </c>
    </row>
    <row r="1860" spans="1:10">
      <c r="B1860" t="s">
        <v>2975</v>
      </c>
      <c r="C1860" t="s">
        <v>212</v>
      </c>
      <c r="D1860" t="s">
        <v>212</v>
      </c>
      <c r="E1860" t="s">
        <v>212</v>
      </c>
      <c r="F1860" t="s">
        <v>212</v>
      </c>
      <c r="G1860" t="s">
        <v>212</v>
      </c>
      <c r="H1860" t="s">
        <v>212</v>
      </c>
      <c r="I1860" t="s">
        <v>212</v>
      </c>
      <c r="J1860" t="s">
        <v>212</v>
      </c>
    </row>
    <row r="1861" spans="1:10">
      <c r="B1861" t="s">
        <v>2976</v>
      </c>
      <c r="C1861" t="s">
        <v>212</v>
      </c>
      <c r="D1861" t="s">
        <v>212</v>
      </c>
      <c r="E1861" t="s">
        <v>212</v>
      </c>
      <c r="F1861" t="s">
        <v>212</v>
      </c>
      <c r="G1861" t="s">
        <v>212</v>
      </c>
      <c r="H1861" t="s">
        <v>212</v>
      </c>
      <c r="I1861" t="s">
        <v>212</v>
      </c>
      <c r="J1861" t="s">
        <v>212</v>
      </c>
    </row>
    <row r="1862" spans="1:10">
      <c r="B1862" t="s">
        <v>2977</v>
      </c>
      <c r="C1862" t="s">
        <v>212</v>
      </c>
      <c r="D1862" t="s">
        <v>212</v>
      </c>
      <c r="E1862" t="s">
        <v>212</v>
      </c>
      <c r="F1862" t="s">
        <v>212</v>
      </c>
      <c r="G1862" t="s">
        <v>212</v>
      </c>
      <c r="H1862" t="s">
        <v>212</v>
      </c>
      <c r="I1862" t="s">
        <v>212</v>
      </c>
      <c r="J1862" t="s">
        <v>212</v>
      </c>
    </row>
    <row r="1863" spans="1:10">
      <c r="B1863" t="s">
        <v>2978</v>
      </c>
      <c r="C1863" t="s">
        <v>212</v>
      </c>
      <c r="D1863" t="s">
        <v>212</v>
      </c>
      <c r="E1863" t="s">
        <v>212</v>
      </c>
      <c r="F1863" t="s">
        <v>212</v>
      </c>
      <c r="G1863" t="s">
        <v>212</v>
      </c>
      <c r="H1863" t="s">
        <v>212</v>
      </c>
      <c r="I1863" t="s">
        <v>212</v>
      </c>
      <c r="J1863" t="s">
        <v>212</v>
      </c>
    </row>
    <row r="1864" spans="1:10">
      <c r="B1864" t="s">
        <v>2979</v>
      </c>
      <c r="C1864" t="s">
        <v>212</v>
      </c>
      <c r="D1864" t="s">
        <v>212</v>
      </c>
      <c r="E1864" t="s">
        <v>212</v>
      </c>
      <c r="F1864" t="s">
        <v>212</v>
      </c>
      <c r="G1864" t="s">
        <v>212</v>
      </c>
      <c r="H1864" t="s">
        <v>212</v>
      </c>
      <c r="I1864" t="s">
        <v>212</v>
      </c>
      <c r="J1864" t="s">
        <v>212</v>
      </c>
    </row>
    <row r="1865" spans="1:10">
      <c r="B1865" t="s">
        <v>2980</v>
      </c>
      <c r="C1865" t="s">
        <v>212</v>
      </c>
      <c r="D1865" t="s">
        <v>212</v>
      </c>
      <c r="E1865" t="s">
        <v>212</v>
      </c>
      <c r="F1865" t="s">
        <v>212</v>
      </c>
      <c r="G1865" t="s">
        <v>212</v>
      </c>
      <c r="H1865" t="s">
        <v>212</v>
      </c>
      <c r="I1865" t="s">
        <v>212</v>
      </c>
      <c r="J1865" t="s">
        <v>212</v>
      </c>
    </row>
    <row r="1867" spans="1:10">
      <c r="B1867" t="s">
        <v>2981</v>
      </c>
      <c r="C1867">
        <v>0</v>
      </c>
      <c r="E1867">
        <v>0</v>
      </c>
      <c r="G1867">
        <v>0</v>
      </c>
      <c r="I1867">
        <v>0</v>
      </c>
    </row>
    <row r="1868" spans="1:10">
      <c r="B1868" t="s">
        <v>2982</v>
      </c>
      <c r="C1868">
        <v>0</v>
      </c>
      <c r="D1868">
        <v>0</v>
      </c>
      <c r="E1868">
        <v>0</v>
      </c>
      <c r="F1868">
        <v>0</v>
      </c>
      <c r="G1868">
        <v>0</v>
      </c>
      <c r="H1868">
        <v>0</v>
      </c>
      <c r="I1868">
        <v>0</v>
      </c>
      <c r="J1868">
        <v>0</v>
      </c>
    </row>
    <row r="1869" spans="1:10">
      <c r="B1869" t="s">
        <v>2983</v>
      </c>
      <c r="C1869">
        <v>0</v>
      </c>
      <c r="D1869">
        <v>0</v>
      </c>
      <c r="E1869">
        <v>0</v>
      </c>
      <c r="F1869">
        <v>0</v>
      </c>
      <c r="G1869">
        <v>0</v>
      </c>
      <c r="H1869">
        <v>0</v>
      </c>
      <c r="I1869">
        <v>0</v>
      </c>
      <c r="J1869">
        <v>0</v>
      </c>
    </row>
    <row r="1872" spans="1:10">
      <c r="A1872" t="s">
        <v>1914</v>
      </c>
    </row>
    <row r="1873" spans="1:10">
      <c r="A1873" t="s">
        <v>1915</v>
      </c>
      <c r="B1873" t="s">
        <v>2964</v>
      </c>
    </row>
    <row r="1874" spans="1:10">
      <c r="A1874" t="s">
        <v>1917</v>
      </c>
      <c r="B1874" t="s">
        <v>2887</v>
      </c>
    </row>
    <row r="1875" spans="1:10">
      <c r="C1875" t="s">
        <v>2965</v>
      </c>
      <c r="D1875" t="s">
        <v>2966</v>
      </c>
      <c r="E1875" t="s">
        <v>2967</v>
      </c>
      <c r="F1875" t="s">
        <v>2966</v>
      </c>
      <c r="G1875" t="s">
        <v>2968</v>
      </c>
      <c r="H1875" t="s">
        <v>2966</v>
      </c>
      <c r="I1875" t="s">
        <v>2969</v>
      </c>
      <c r="J1875" t="s">
        <v>2966</v>
      </c>
    </row>
    <row r="1876" spans="1:10">
      <c r="B1876" t="s">
        <v>2970</v>
      </c>
      <c r="C1876">
        <v>0</v>
      </c>
      <c r="D1876">
        <v>0</v>
      </c>
      <c r="E1876">
        <v>0</v>
      </c>
      <c r="F1876">
        <v>0</v>
      </c>
      <c r="G1876">
        <v>0</v>
      </c>
      <c r="H1876">
        <v>0</v>
      </c>
      <c r="I1876">
        <v>0</v>
      </c>
      <c r="J1876">
        <v>0</v>
      </c>
    </row>
    <row r="1877" spans="1:10">
      <c r="B1877" t="s">
        <v>2971</v>
      </c>
      <c r="C1877" t="s">
        <v>212</v>
      </c>
      <c r="D1877" t="s">
        <v>212</v>
      </c>
      <c r="E1877" t="s">
        <v>212</v>
      </c>
      <c r="F1877" t="s">
        <v>212</v>
      </c>
      <c r="G1877" t="s">
        <v>212</v>
      </c>
      <c r="H1877" t="s">
        <v>212</v>
      </c>
      <c r="I1877" t="s">
        <v>212</v>
      </c>
      <c r="J1877" t="s">
        <v>212</v>
      </c>
    </row>
    <row r="1878" spans="1:10">
      <c r="B1878" t="s">
        <v>2972</v>
      </c>
      <c r="C1878" t="s">
        <v>212</v>
      </c>
      <c r="D1878" t="s">
        <v>212</v>
      </c>
      <c r="E1878" t="s">
        <v>212</v>
      </c>
      <c r="F1878" t="s">
        <v>212</v>
      </c>
      <c r="G1878" t="s">
        <v>212</v>
      </c>
      <c r="H1878" t="s">
        <v>212</v>
      </c>
      <c r="I1878" t="s">
        <v>212</v>
      </c>
      <c r="J1878" t="s">
        <v>212</v>
      </c>
    </row>
    <row r="1879" spans="1:10">
      <c r="B1879" t="s">
        <v>2973</v>
      </c>
      <c r="C1879" t="s">
        <v>212</v>
      </c>
      <c r="D1879" t="s">
        <v>212</v>
      </c>
      <c r="E1879" t="s">
        <v>212</v>
      </c>
      <c r="F1879" t="s">
        <v>212</v>
      </c>
      <c r="G1879" t="s">
        <v>212</v>
      </c>
      <c r="H1879" t="s">
        <v>212</v>
      </c>
      <c r="I1879" t="s">
        <v>212</v>
      </c>
      <c r="J1879" t="s">
        <v>212</v>
      </c>
    </row>
    <row r="1880" spans="1:10">
      <c r="B1880" t="s">
        <v>820</v>
      </c>
      <c r="C1880" t="s">
        <v>212</v>
      </c>
      <c r="D1880" t="s">
        <v>212</v>
      </c>
      <c r="E1880" t="s">
        <v>212</v>
      </c>
      <c r="F1880" t="s">
        <v>212</v>
      </c>
      <c r="G1880" t="s">
        <v>212</v>
      </c>
      <c r="H1880" t="s">
        <v>212</v>
      </c>
      <c r="I1880" t="s">
        <v>212</v>
      </c>
      <c r="J1880" t="s">
        <v>212</v>
      </c>
    </row>
    <row r="1881" spans="1:10">
      <c r="B1881" t="s">
        <v>2974</v>
      </c>
      <c r="C1881" t="s">
        <v>212</v>
      </c>
      <c r="D1881" t="s">
        <v>212</v>
      </c>
      <c r="E1881" t="s">
        <v>212</v>
      </c>
      <c r="F1881" t="s">
        <v>212</v>
      </c>
      <c r="G1881" t="s">
        <v>212</v>
      </c>
      <c r="H1881" t="s">
        <v>212</v>
      </c>
      <c r="I1881" t="s">
        <v>212</v>
      </c>
      <c r="J1881" t="s">
        <v>212</v>
      </c>
    </row>
    <row r="1882" spans="1:10">
      <c r="B1882" t="s">
        <v>2975</v>
      </c>
      <c r="C1882" t="s">
        <v>212</v>
      </c>
      <c r="D1882" t="s">
        <v>212</v>
      </c>
      <c r="E1882" t="s">
        <v>212</v>
      </c>
      <c r="F1882" t="s">
        <v>212</v>
      </c>
      <c r="G1882" t="s">
        <v>212</v>
      </c>
      <c r="H1882" t="s">
        <v>212</v>
      </c>
      <c r="I1882" t="s">
        <v>212</v>
      </c>
      <c r="J1882" t="s">
        <v>212</v>
      </c>
    </row>
    <row r="1883" spans="1:10">
      <c r="B1883" t="s">
        <v>2976</v>
      </c>
      <c r="C1883" t="s">
        <v>212</v>
      </c>
      <c r="D1883" t="s">
        <v>212</v>
      </c>
      <c r="E1883" t="s">
        <v>212</v>
      </c>
      <c r="F1883" t="s">
        <v>212</v>
      </c>
      <c r="G1883" t="s">
        <v>212</v>
      </c>
      <c r="H1883" t="s">
        <v>212</v>
      </c>
      <c r="I1883" t="s">
        <v>212</v>
      </c>
      <c r="J1883" t="s">
        <v>212</v>
      </c>
    </row>
    <row r="1884" spans="1:10">
      <c r="B1884" t="s">
        <v>2977</v>
      </c>
      <c r="C1884" t="s">
        <v>212</v>
      </c>
      <c r="D1884" t="s">
        <v>212</v>
      </c>
      <c r="E1884" t="s">
        <v>212</v>
      </c>
      <c r="F1884" t="s">
        <v>212</v>
      </c>
      <c r="G1884" t="s">
        <v>212</v>
      </c>
      <c r="H1884" t="s">
        <v>212</v>
      </c>
      <c r="I1884" t="s">
        <v>212</v>
      </c>
      <c r="J1884" t="s">
        <v>212</v>
      </c>
    </row>
    <row r="1885" spans="1:10">
      <c r="B1885" t="s">
        <v>2978</v>
      </c>
      <c r="C1885" t="s">
        <v>212</v>
      </c>
      <c r="D1885" t="s">
        <v>212</v>
      </c>
      <c r="E1885" t="s">
        <v>212</v>
      </c>
      <c r="F1885" t="s">
        <v>212</v>
      </c>
      <c r="G1885" t="s">
        <v>212</v>
      </c>
      <c r="H1885" t="s">
        <v>212</v>
      </c>
      <c r="I1885" t="s">
        <v>212</v>
      </c>
      <c r="J1885" t="s">
        <v>212</v>
      </c>
    </row>
    <row r="1886" spans="1:10">
      <c r="B1886" t="s">
        <v>2979</v>
      </c>
      <c r="C1886" t="s">
        <v>212</v>
      </c>
      <c r="D1886" t="s">
        <v>212</v>
      </c>
      <c r="E1886" t="s">
        <v>212</v>
      </c>
      <c r="F1886" t="s">
        <v>212</v>
      </c>
      <c r="G1886" t="s">
        <v>212</v>
      </c>
      <c r="H1886" t="s">
        <v>212</v>
      </c>
      <c r="I1886" t="s">
        <v>212</v>
      </c>
      <c r="J1886" t="s">
        <v>212</v>
      </c>
    </row>
    <row r="1887" spans="1:10">
      <c r="B1887" t="s">
        <v>2980</v>
      </c>
      <c r="C1887" t="s">
        <v>212</v>
      </c>
      <c r="D1887" t="s">
        <v>212</v>
      </c>
      <c r="E1887" t="s">
        <v>212</v>
      </c>
      <c r="F1887" t="s">
        <v>212</v>
      </c>
      <c r="G1887" t="s">
        <v>212</v>
      </c>
      <c r="H1887" t="s">
        <v>212</v>
      </c>
      <c r="I1887" t="s">
        <v>212</v>
      </c>
      <c r="J1887" t="s">
        <v>212</v>
      </c>
    </row>
    <row r="1889" spans="1:10">
      <c r="B1889" t="s">
        <v>2981</v>
      </c>
      <c r="C1889">
        <v>0</v>
      </c>
      <c r="E1889">
        <v>0</v>
      </c>
      <c r="G1889">
        <v>0</v>
      </c>
      <c r="I1889">
        <v>0</v>
      </c>
    </row>
    <row r="1890" spans="1:10">
      <c r="B1890" t="s">
        <v>2982</v>
      </c>
      <c r="C1890">
        <v>0</v>
      </c>
      <c r="D1890">
        <v>0</v>
      </c>
      <c r="E1890">
        <v>0</v>
      </c>
      <c r="F1890">
        <v>0</v>
      </c>
      <c r="G1890">
        <v>0</v>
      </c>
      <c r="H1890">
        <v>0</v>
      </c>
      <c r="I1890">
        <v>0</v>
      </c>
      <c r="J1890">
        <v>0</v>
      </c>
    </row>
    <row r="1891" spans="1:10">
      <c r="B1891" t="s">
        <v>2983</v>
      </c>
      <c r="C1891">
        <v>0</v>
      </c>
      <c r="D1891">
        <v>0</v>
      </c>
      <c r="E1891">
        <v>0</v>
      </c>
      <c r="F1891">
        <v>0</v>
      </c>
      <c r="G1891">
        <v>0</v>
      </c>
      <c r="H1891">
        <v>0</v>
      </c>
      <c r="I1891">
        <v>0</v>
      </c>
      <c r="J1891">
        <v>0</v>
      </c>
    </row>
    <row r="1894" spans="1:10">
      <c r="A1894" t="s">
        <v>1914</v>
      </c>
    </row>
    <row r="1895" spans="1:10">
      <c r="A1895" t="s">
        <v>1915</v>
      </c>
      <c r="B1895" t="s">
        <v>2964</v>
      </c>
    </row>
    <row r="1896" spans="1:10">
      <c r="A1896" t="s">
        <v>1917</v>
      </c>
      <c r="B1896" t="s">
        <v>2888</v>
      </c>
    </row>
    <row r="1897" spans="1:10">
      <c r="C1897" t="s">
        <v>2965</v>
      </c>
      <c r="D1897" t="s">
        <v>2966</v>
      </c>
      <c r="E1897" t="s">
        <v>2967</v>
      </c>
      <c r="F1897" t="s">
        <v>2966</v>
      </c>
      <c r="G1897" t="s">
        <v>2968</v>
      </c>
      <c r="H1897" t="s">
        <v>2966</v>
      </c>
      <c r="I1897" t="s">
        <v>2969</v>
      </c>
      <c r="J1897" t="s">
        <v>2966</v>
      </c>
    </row>
    <row r="1898" spans="1:10">
      <c r="B1898" t="s">
        <v>2970</v>
      </c>
      <c r="C1898">
        <v>0</v>
      </c>
      <c r="D1898">
        <v>0</v>
      </c>
      <c r="E1898">
        <v>0</v>
      </c>
      <c r="F1898">
        <v>0</v>
      </c>
      <c r="G1898">
        <v>0</v>
      </c>
      <c r="H1898">
        <v>0</v>
      </c>
      <c r="I1898">
        <v>0</v>
      </c>
      <c r="J1898">
        <v>0</v>
      </c>
    </row>
    <row r="1899" spans="1:10">
      <c r="B1899" t="s">
        <v>2971</v>
      </c>
      <c r="C1899" t="s">
        <v>212</v>
      </c>
      <c r="D1899" t="s">
        <v>212</v>
      </c>
      <c r="E1899" t="s">
        <v>212</v>
      </c>
      <c r="F1899" t="s">
        <v>212</v>
      </c>
      <c r="G1899" t="s">
        <v>212</v>
      </c>
      <c r="H1899" t="s">
        <v>212</v>
      </c>
      <c r="I1899" t="s">
        <v>212</v>
      </c>
      <c r="J1899" t="s">
        <v>212</v>
      </c>
    </row>
    <row r="1900" spans="1:10">
      <c r="B1900" t="s">
        <v>2972</v>
      </c>
      <c r="C1900" t="s">
        <v>212</v>
      </c>
      <c r="D1900" t="s">
        <v>212</v>
      </c>
      <c r="E1900" t="s">
        <v>212</v>
      </c>
      <c r="F1900" t="s">
        <v>212</v>
      </c>
      <c r="G1900" t="s">
        <v>212</v>
      </c>
      <c r="H1900" t="s">
        <v>212</v>
      </c>
      <c r="I1900" t="s">
        <v>212</v>
      </c>
      <c r="J1900" t="s">
        <v>212</v>
      </c>
    </row>
    <row r="1901" spans="1:10">
      <c r="B1901" t="s">
        <v>2973</v>
      </c>
      <c r="C1901" t="s">
        <v>212</v>
      </c>
      <c r="D1901" t="s">
        <v>212</v>
      </c>
      <c r="E1901" t="s">
        <v>212</v>
      </c>
      <c r="F1901" t="s">
        <v>212</v>
      </c>
      <c r="G1901" t="s">
        <v>212</v>
      </c>
      <c r="H1901" t="s">
        <v>212</v>
      </c>
      <c r="I1901" t="s">
        <v>212</v>
      </c>
      <c r="J1901" t="s">
        <v>212</v>
      </c>
    </row>
    <row r="1902" spans="1:10">
      <c r="B1902" t="s">
        <v>820</v>
      </c>
      <c r="C1902" t="s">
        <v>212</v>
      </c>
      <c r="D1902" t="s">
        <v>212</v>
      </c>
      <c r="E1902" t="s">
        <v>212</v>
      </c>
      <c r="F1902" t="s">
        <v>212</v>
      </c>
      <c r="G1902" t="s">
        <v>212</v>
      </c>
      <c r="H1902" t="s">
        <v>212</v>
      </c>
      <c r="I1902" t="s">
        <v>212</v>
      </c>
      <c r="J1902" t="s">
        <v>212</v>
      </c>
    </row>
    <row r="1903" spans="1:10">
      <c r="B1903" t="s">
        <v>2974</v>
      </c>
      <c r="C1903" t="s">
        <v>212</v>
      </c>
      <c r="D1903" t="s">
        <v>212</v>
      </c>
      <c r="E1903" t="s">
        <v>212</v>
      </c>
      <c r="F1903" t="s">
        <v>212</v>
      </c>
      <c r="G1903" t="s">
        <v>212</v>
      </c>
      <c r="H1903" t="s">
        <v>212</v>
      </c>
      <c r="I1903" t="s">
        <v>212</v>
      </c>
      <c r="J1903" t="s">
        <v>212</v>
      </c>
    </row>
    <row r="1904" spans="1:10">
      <c r="B1904" t="s">
        <v>2975</v>
      </c>
      <c r="C1904" t="s">
        <v>212</v>
      </c>
      <c r="D1904" t="s">
        <v>212</v>
      </c>
      <c r="E1904" t="s">
        <v>212</v>
      </c>
      <c r="F1904" t="s">
        <v>212</v>
      </c>
      <c r="G1904" t="s">
        <v>212</v>
      </c>
      <c r="H1904" t="s">
        <v>212</v>
      </c>
      <c r="I1904" t="s">
        <v>212</v>
      </c>
      <c r="J1904" t="s">
        <v>212</v>
      </c>
    </row>
    <row r="1905" spans="1:10">
      <c r="B1905" t="s">
        <v>2976</v>
      </c>
      <c r="C1905" t="s">
        <v>212</v>
      </c>
      <c r="D1905" t="s">
        <v>212</v>
      </c>
      <c r="E1905" t="s">
        <v>212</v>
      </c>
      <c r="F1905" t="s">
        <v>212</v>
      </c>
      <c r="G1905" t="s">
        <v>212</v>
      </c>
      <c r="H1905" t="s">
        <v>212</v>
      </c>
      <c r="I1905" t="s">
        <v>212</v>
      </c>
      <c r="J1905" t="s">
        <v>212</v>
      </c>
    </row>
    <row r="1906" spans="1:10">
      <c r="B1906" t="s">
        <v>2977</v>
      </c>
      <c r="C1906" t="s">
        <v>212</v>
      </c>
      <c r="D1906" t="s">
        <v>212</v>
      </c>
      <c r="E1906" t="s">
        <v>212</v>
      </c>
      <c r="F1906" t="s">
        <v>212</v>
      </c>
      <c r="G1906" t="s">
        <v>212</v>
      </c>
      <c r="H1906" t="s">
        <v>212</v>
      </c>
      <c r="I1906" t="s">
        <v>212</v>
      </c>
      <c r="J1906" t="s">
        <v>212</v>
      </c>
    </row>
    <row r="1907" spans="1:10">
      <c r="B1907" t="s">
        <v>2978</v>
      </c>
      <c r="C1907" t="s">
        <v>212</v>
      </c>
      <c r="D1907" t="s">
        <v>212</v>
      </c>
      <c r="E1907" t="s">
        <v>212</v>
      </c>
      <c r="F1907" t="s">
        <v>212</v>
      </c>
      <c r="G1907" t="s">
        <v>212</v>
      </c>
      <c r="H1907" t="s">
        <v>212</v>
      </c>
      <c r="I1907" t="s">
        <v>212</v>
      </c>
      <c r="J1907" t="s">
        <v>212</v>
      </c>
    </row>
    <row r="1908" spans="1:10">
      <c r="B1908" t="s">
        <v>2979</v>
      </c>
      <c r="C1908" t="s">
        <v>212</v>
      </c>
      <c r="D1908" t="s">
        <v>212</v>
      </c>
      <c r="E1908" t="s">
        <v>212</v>
      </c>
      <c r="F1908" t="s">
        <v>212</v>
      </c>
      <c r="G1908" t="s">
        <v>212</v>
      </c>
      <c r="H1908" t="s">
        <v>212</v>
      </c>
      <c r="I1908" t="s">
        <v>212</v>
      </c>
      <c r="J1908" t="s">
        <v>212</v>
      </c>
    </row>
    <row r="1909" spans="1:10">
      <c r="B1909" t="s">
        <v>2980</v>
      </c>
      <c r="C1909" t="s">
        <v>212</v>
      </c>
      <c r="D1909" t="s">
        <v>212</v>
      </c>
      <c r="E1909" t="s">
        <v>212</v>
      </c>
      <c r="F1909" t="s">
        <v>212</v>
      </c>
      <c r="G1909" t="s">
        <v>212</v>
      </c>
      <c r="H1909" t="s">
        <v>212</v>
      </c>
      <c r="I1909" t="s">
        <v>212</v>
      </c>
      <c r="J1909" t="s">
        <v>212</v>
      </c>
    </row>
    <row r="1911" spans="1:10">
      <c r="B1911" t="s">
        <v>2981</v>
      </c>
      <c r="C1911">
        <v>0</v>
      </c>
      <c r="E1911">
        <v>0</v>
      </c>
      <c r="G1911">
        <v>0</v>
      </c>
      <c r="I1911">
        <v>0</v>
      </c>
    </row>
    <row r="1912" spans="1:10">
      <c r="B1912" t="s">
        <v>2982</v>
      </c>
      <c r="C1912">
        <v>0</v>
      </c>
      <c r="D1912">
        <v>0</v>
      </c>
      <c r="E1912">
        <v>0</v>
      </c>
      <c r="F1912">
        <v>0</v>
      </c>
      <c r="G1912">
        <v>0</v>
      </c>
      <c r="H1912">
        <v>0</v>
      </c>
      <c r="I1912">
        <v>0</v>
      </c>
      <c r="J1912">
        <v>0</v>
      </c>
    </row>
    <row r="1913" spans="1:10">
      <c r="B1913" t="s">
        <v>2983</v>
      </c>
      <c r="C1913">
        <v>0</v>
      </c>
      <c r="D1913">
        <v>0</v>
      </c>
      <c r="E1913">
        <v>0</v>
      </c>
      <c r="F1913">
        <v>0</v>
      </c>
      <c r="G1913">
        <v>0</v>
      </c>
      <c r="H1913">
        <v>0</v>
      </c>
      <c r="I1913">
        <v>0</v>
      </c>
      <c r="J1913">
        <v>0</v>
      </c>
    </row>
    <row r="1916" spans="1:10">
      <c r="A1916" t="s">
        <v>1914</v>
      </c>
    </row>
    <row r="1917" spans="1:10">
      <c r="A1917" t="s">
        <v>1915</v>
      </c>
      <c r="B1917" t="s">
        <v>2964</v>
      </c>
    </row>
    <row r="1918" spans="1:10">
      <c r="A1918" t="s">
        <v>1917</v>
      </c>
      <c r="B1918" t="s">
        <v>2889</v>
      </c>
    </row>
    <row r="1919" spans="1:10">
      <c r="C1919" t="s">
        <v>2965</v>
      </c>
      <c r="D1919" t="s">
        <v>2966</v>
      </c>
      <c r="E1919" t="s">
        <v>2967</v>
      </c>
      <c r="F1919" t="s">
        <v>2966</v>
      </c>
      <c r="G1919" t="s">
        <v>2968</v>
      </c>
      <c r="H1919" t="s">
        <v>2966</v>
      </c>
      <c r="I1919" t="s">
        <v>2969</v>
      </c>
      <c r="J1919" t="s">
        <v>2966</v>
      </c>
    </row>
    <row r="1920" spans="1:10">
      <c r="B1920" t="s">
        <v>2970</v>
      </c>
      <c r="C1920">
        <v>0</v>
      </c>
      <c r="D1920">
        <v>0</v>
      </c>
      <c r="E1920">
        <v>0</v>
      </c>
      <c r="F1920">
        <v>0</v>
      </c>
      <c r="G1920">
        <v>0</v>
      </c>
      <c r="H1920">
        <v>0</v>
      </c>
      <c r="I1920">
        <v>0</v>
      </c>
      <c r="J1920">
        <v>0</v>
      </c>
    </row>
    <row r="1921" spans="2:10">
      <c r="B1921" t="s">
        <v>2971</v>
      </c>
      <c r="C1921" t="s">
        <v>212</v>
      </c>
      <c r="D1921" t="s">
        <v>212</v>
      </c>
      <c r="E1921" t="s">
        <v>212</v>
      </c>
      <c r="F1921" t="s">
        <v>212</v>
      </c>
      <c r="G1921" t="s">
        <v>212</v>
      </c>
      <c r="H1921" t="s">
        <v>212</v>
      </c>
      <c r="I1921" t="s">
        <v>212</v>
      </c>
      <c r="J1921" t="s">
        <v>212</v>
      </c>
    </row>
    <row r="1922" spans="2:10">
      <c r="B1922" t="s">
        <v>2972</v>
      </c>
      <c r="C1922" t="s">
        <v>212</v>
      </c>
      <c r="D1922" t="s">
        <v>212</v>
      </c>
      <c r="E1922" t="s">
        <v>212</v>
      </c>
      <c r="F1922" t="s">
        <v>212</v>
      </c>
      <c r="G1922" t="s">
        <v>212</v>
      </c>
      <c r="H1922" t="s">
        <v>212</v>
      </c>
      <c r="I1922" t="s">
        <v>212</v>
      </c>
      <c r="J1922" t="s">
        <v>212</v>
      </c>
    </row>
    <row r="1923" spans="2:10">
      <c r="B1923" t="s">
        <v>2973</v>
      </c>
      <c r="C1923" t="s">
        <v>212</v>
      </c>
      <c r="D1923" t="s">
        <v>212</v>
      </c>
      <c r="E1923" t="s">
        <v>212</v>
      </c>
      <c r="F1923" t="s">
        <v>212</v>
      </c>
      <c r="G1923" t="s">
        <v>212</v>
      </c>
      <c r="H1923" t="s">
        <v>212</v>
      </c>
      <c r="I1923" t="s">
        <v>212</v>
      </c>
      <c r="J1923" t="s">
        <v>212</v>
      </c>
    </row>
    <row r="1924" spans="2:10">
      <c r="B1924" t="s">
        <v>820</v>
      </c>
      <c r="C1924" t="s">
        <v>212</v>
      </c>
      <c r="D1924" t="s">
        <v>212</v>
      </c>
      <c r="E1924" t="s">
        <v>212</v>
      </c>
      <c r="F1924" t="s">
        <v>212</v>
      </c>
      <c r="G1924" t="s">
        <v>212</v>
      </c>
      <c r="H1924" t="s">
        <v>212</v>
      </c>
      <c r="I1924" t="s">
        <v>212</v>
      </c>
      <c r="J1924" t="s">
        <v>212</v>
      </c>
    </row>
    <row r="1925" spans="2:10">
      <c r="B1925" t="s">
        <v>2974</v>
      </c>
      <c r="C1925" t="s">
        <v>212</v>
      </c>
      <c r="D1925" t="s">
        <v>212</v>
      </c>
      <c r="E1925" t="s">
        <v>212</v>
      </c>
      <c r="F1925" t="s">
        <v>212</v>
      </c>
      <c r="G1925" t="s">
        <v>212</v>
      </c>
      <c r="H1925" t="s">
        <v>212</v>
      </c>
      <c r="I1925" t="s">
        <v>212</v>
      </c>
      <c r="J1925" t="s">
        <v>212</v>
      </c>
    </row>
    <row r="1926" spans="2:10">
      <c r="B1926" t="s">
        <v>2975</v>
      </c>
      <c r="C1926" t="s">
        <v>212</v>
      </c>
      <c r="D1926" t="s">
        <v>212</v>
      </c>
      <c r="E1926" t="s">
        <v>212</v>
      </c>
      <c r="F1926" t="s">
        <v>212</v>
      </c>
      <c r="G1926" t="s">
        <v>212</v>
      </c>
      <c r="H1926" t="s">
        <v>212</v>
      </c>
      <c r="I1926" t="s">
        <v>212</v>
      </c>
      <c r="J1926" t="s">
        <v>212</v>
      </c>
    </row>
    <row r="1927" spans="2:10">
      <c r="B1927" t="s">
        <v>2976</v>
      </c>
      <c r="C1927" t="s">
        <v>212</v>
      </c>
      <c r="D1927" t="s">
        <v>212</v>
      </c>
      <c r="E1927" t="s">
        <v>212</v>
      </c>
      <c r="F1927" t="s">
        <v>212</v>
      </c>
      <c r="G1927" t="s">
        <v>212</v>
      </c>
      <c r="H1927" t="s">
        <v>212</v>
      </c>
      <c r="I1927" t="s">
        <v>212</v>
      </c>
      <c r="J1927" t="s">
        <v>212</v>
      </c>
    </row>
    <row r="1928" spans="2:10">
      <c r="B1928" t="s">
        <v>2977</v>
      </c>
      <c r="C1928" t="s">
        <v>212</v>
      </c>
      <c r="D1928" t="s">
        <v>212</v>
      </c>
      <c r="E1928" t="s">
        <v>212</v>
      </c>
      <c r="F1928" t="s">
        <v>212</v>
      </c>
      <c r="G1928" t="s">
        <v>212</v>
      </c>
      <c r="H1928" t="s">
        <v>212</v>
      </c>
      <c r="I1928" t="s">
        <v>212</v>
      </c>
      <c r="J1928" t="s">
        <v>212</v>
      </c>
    </row>
    <row r="1929" spans="2:10">
      <c r="B1929" t="s">
        <v>2978</v>
      </c>
      <c r="C1929" t="s">
        <v>212</v>
      </c>
      <c r="D1929" t="s">
        <v>212</v>
      </c>
      <c r="E1929" t="s">
        <v>212</v>
      </c>
      <c r="F1929" t="s">
        <v>212</v>
      </c>
      <c r="G1929" t="s">
        <v>212</v>
      </c>
      <c r="H1929" t="s">
        <v>212</v>
      </c>
      <c r="I1929" t="s">
        <v>212</v>
      </c>
      <c r="J1929" t="s">
        <v>212</v>
      </c>
    </row>
    <row r="1930" spans="2:10">
      <c r="B1930" t="s">
        <v>2979</v>
      </c>
      <c r="C1930" t="s">
        <v>212</v>
      </c>
      <c r="D1930" t="s">
        <v>212</v>
      </c>
      <c r="E1930" t="s">
        <v>212</v>
      </c>
      <c r="F1930" t="s">
        <v>212</v>
      </c>
      <c r="G1930" t="s">
        <v>212</v>
      </c>
      <c r="H1930" t="s">
        <v>212</v>
      </c>
      <c r="I1930" t="s">
        <v>212</v>
      </c>
      <c r="J1930" t="s">
        <v>212</v>
      </c>
    </row>
    <row r="1931" spans="2:10">
      <c r="B1931" t="s">
        <v>2980</v>
      </c>
      <c r="C1931" t="s">
        <v>212</v>
      </c>
      <c r="D1931" t="s">
        <v>212</v>
      </c>
      <c r="E1931" t="s">
        <v>212</v>
      </c>
      <c r="F1931" t="s">
        <v>212</v>
      </c>
      <c r="G1931" t="s">
        <v>212</v>
      </c>
      <c r="H1931" t="s">
        <v>212</v>
      </c>
      <c r="I1931" t="s">
        <v>212</v>
      </c>
      <c r="J1931" t="s">
        <v>212</v>
      </c>
    </row>
    <row r="1933" spans="2:10">
      <c r="B1933" t="s">
        <v>2981</v>
      </c>
      <c r="C1933">
        <v>0</v>
      </c>
      <c r="E1933">
        <v>0</v>
      </c>
      <c r="G1933">
        <v>0</v>
      </c>
      <c r="I1933">
        <v>0</v>
      </c>
    </row>
    <row r="1934" spans="2:10">
      <c r="B1934" t="s">
        <v>2982</v>
      </c>
      <c r="C1934">
        <v>0</v>
      </c>
      <c r="D1934">
        <v>0</v>
      </c>
      <c r="E1934">
        <v>0</v>
      </c>
      <c r="F1934">
        <v>0</v>
      </c>
      <c r="G1934">
        <v>0</v>
      </c>
      <c r="H1934">
        <v>0</v>
      </c>
      <c r="I1934">
        <v>0</v>
      </c>
      <c r="J1934">
        <v>0</v>
      </c>
    </row>
    <row r="1935" spans="2:10">
      <c r="B1935" t="s">
        <v>2983</v>
      </c>
      <c r="C1935">
        <v>0</v>
      </c>
      <c r="D1935">
        <v>0</v>
      </c>
      <c r="E1935">
        <v>0</v>
      </c>
      <c r="F1935">
        <v>0</v>
      </c>
      <c r="G1935">
        <v>0</v>
      </c>
      <c r="H1935">
        <v>0</v>
      </c>
      <c r="I1935">
        <v>0</v>
      </c>
      <c r="J1935">
        <v>0</v>
      </c>
    </row>
    <row r="1938" spans="1:10">
      <c r="A1938" t="s">
        <v>1914</v>
      </c>
    </row>
    <row r="1939" spans="1:10">
      <c r="A1939" t="s">
        <v>1915</v>
      </c>
      <c r="B1939" t="s">
        <v>2964</v>
      </c>
    </row>
    <row r="1940" spans="1:10">
      <c r="A1940" t="s">
        <v>1917</v>
      </c>
      <c r="B1940" t="s">
        <v>2890</v>
      </c>
    </row>
    <row r="1941" spans="1:10">
      <c r="C1941" t="s">
        <v>2965</v>
      </c>
      <c r="D1941" t="s">
        <v>2966</v>
      </c>
      <c r="E1941" t="s">
        <v>2967</v>
      </c>
      <c r="F1941" t="s">
        <v>2966</v>
      </c>
      <c r="G1941" t="s">
        <v>2968</v>
      </c>
      <c r="H1941" t="s">
        <v>2966</v>
      </c>
      <c r="I1941" t="s">
        <v>2969</v>
      </c>
      <c r="J1941" t="s">
        <v>2966</v>
      </c>
    </row>
    <row r="1942" spans="1:10">
      <c r="B1942" t="s">
        <v>2970</v>
      </c>
      <c r="C1942">
        <v>0</v>
      </c>
      <c r="D1942">
        <v>0</v>
      </c>
      <c r="E1942">
        <v>0</v>
      </c>
      <c r="F1942">
        <v>0</v>
      </c>
      <c r="G1942">
        <v>0</v>
      </c>
      <c r="H1942">
        <v>0</v>
      </c>
      <c r="I1942">
        <v>0</v>
      </c>
      <c r="J1942">
        <v>0</v>
      </c>
    </row>
    <row r="1943" spans="1:10">
      <c r="B1943" t="s">
        <v>2971</v>
      </c>
      <c r="C1943" t="s">
        <v>212</v>
      </c>
      <c r="D1943" t="s">
        <v>212</v>
      </c>
      <c r="E1943" t="s">
        <v>212</v>
      </c>
      <c r="F1943" t="s">
        <v>212</v>
      </c>
      <c r="G1943" t="s">
        <v>212</v>
      </c>
      <c r="H1943" t="s">
        <v>212</v>
      </c>
      <c r="I1943" t="s">
        <v>212</v>
      </c>
      <c r="J1943" t="s">
        <v>212</v>
      </c>
    </row>
    <row r="1944" spans="1:10">
      <c r="B1944" t="s">
        <v>2972</v>
      </c>
      <c r="C1944" t="s">
        <v>212</v>
      </c>
      <c r="D1944" t="s">
        <v>212</v>
      </c>
      <c r="E1944" t="s">
        <v>212</v>
      </c>
      <c r="F1944" t="s">
        <v>212</v>
      </c>
      <c r="G1944" t="s">
        <v>212</v>
      </c>
      <c r="H1944" t="s">
        <v>212</v>
      </c>
      <c r="I1944" t="s">
        <v>212</v>
      </c>
      <c r="J1944" t="s">
        <v>212</v>
      </c>
    </row>
    <row r="1945" spans="1:10">
      <c r="B1945" t="s">
        <v>2973</v>
      </c>
      <c r="C1945" t="s">
        <v>212</v>
      </c>
      <c r="D1945" t="s">
        <v>212</v>
      </c>
      <c r="E1945" t="s">
        <v>212</v>
      </c>
      <c r="F1945" t="s">
        <v>212</v>
      </c>
      <c r="G1945" t="s">
        <v>212</v>
      </c>
      <c r="H1945" t="s">
        <v>212</v>
      </c>
      <c r="I1945" t="s">
        <v>212</v>
      </c>
      <c r="J1945" t="s">
        <v>212</v>
      </c>
    </row>
    <row r="1946" spans="1:10">
      <c r="B1946" t="s">
        <v>820</v>
      </c>
      <c r="C1946" t="s">
        <v>212</v>
      </c>
      <c r="D1946" t="s">
        <v>212</v>
      </c>
      <c r="E1946" t="s">
        <v>212</v>
      </c>
      <c r="F1946" t="s">
        <v>212</v>
      </c>
      <c r="G1946" t="s">
        <v>212</v>
      </c>
      <c r="H1946" t="s">
        <v>212</v>
      </c>
      <c r="I1946" t="s">
        <v>212</v>
      </c>
      <c r="J1946" t="s">
        <v>212</v>
      </c>
    </row>
    <row r="1947" spans="1:10">
      <c r="B1947" t="s">
        <v>2974</v>
      </c>
      <c r="C1947" t="s">
        <v>212</v>
      </c>
      <c r="D1947" t="s">
        <v>212</v>
      </c>
      <c r="E1947" t="s">
        <v>212</v>
      </c>
      <c r="F1947" t="s">
        <v>212</v>
      </c>
      <c r="G1947" t="s">
        <v>212</v>
      </c>
      <c r="H1947" t="s">
        <v>212</v>
      </c>
      <c r="I1947" t="s">
        <v>212</v>
      </c>
      <c r="J1947" t="s">
        <v>212</v>
      </c>
    </row>
    <row r="1948" spans="1:10">
      <c r="B1948" t="s">
        <v>2975</v>
      </c>
      <c r="C1948" t="s">
        <v>212</v>
      </c>
      <c r="D1948" t="s">
        <v>212</v>
      </c>
      <c r="E1948" t="s">
        <v>212</v>
      </c>
      <c r="F1948" t="s">
        <v>212</v>
      </c>
      <c r="G1948" t="s">
        <v>212</v>
      </c>
      <c r="H1948" t="s">
        <v>212</v>
      </c>
      <c r="I1948" t="s">
        <v>212</v>
      </c>
      <c r="J1948" t="s">
        <v>212</v>
      </c>
    </row>
    <row r="1949" spans="1:10">
      <c r="B1949" t="s">
        <v>2976</v>
      </c>
      <c r="C1949" t="s">
        <v>212</v>
      </c>
      <c r="D1949" t="s">
        <v>212</v>
      </c>
      <c r="E1949" t="s">
        <v>212</v>
      </c>
      <c r="F1949" t="s">
        <v>212</v>
      </c>
      <c r="G1949" t="s">
        <v>212</v>
      </c>
      <c r="H1949" t="s">
        <v>212</v>
      </c>
      <c r="I1949" t="s">
        <v>212</v>
      </c>
      <c r="J1949" t="s">
        <v>212</v>
      </c>
    </row>
    <row r="1950" spans="1:10">
      <c r="B1950" t="s">
        <v>2977</v>
      </c>
      <c r="C1950" t="s">
        <v>212</v>
      </c>
      <c r="D1950" t="s">
        <v>212</v>
      </c>
      <c r="E1950" t="s">
        <v>212</v>
      </c>
      <c r="F1950" t="s">
        <v>212</v>
      </c>
      <c r="G1950" t="s">
        <v>212</v>
      </c>
      <c r="H1950" t="s">
        <v>212</v>
      </c>
      <c r="I1950" t="s">
        <v>212</v>
      </c>
      <c r="J1950" t="s">
        <v>212</v>
      </c>
    </row>
    <row r="1951" spans="1:10">
      <c r="B1951" t="s">
        <v>2978</v>
      </c>
      <c r="C1951" t="s">
        <v>212</v>
      </c>
      <c r="D1951" t="s">
        <v>212</v>
      </c>
      <c r="E1951" t="s">
        <v>212</v>
      </c>
      <c r="F1951" t="s">
        <v>212</v>
      </c>
      <c r="G1951" t="s">
        <v>212</v>
      </c>
      <c r="H1951" t="s">
        <v>212</v>
      </c>
      <c r="I1951" t="s">
        <v>212</v>
      </c>
      <c r="J1951" t="s">
        <v>212</v>
      </c>
    </row>
    <row r="1952" spans="1:10">
      <c r="B1952" t="s">
        <v>2979</v>
      </c>
      <c r="C1952" t="s">
        <v>212</v>
      </c>
      <c r="D1952" t="s">
        <v>212</v>
      </c>
      <c r="E1952" t="s">
        <v>212</v>
      </c>
      <c r="F1952" t="s">
        <v>212</v>
      </c>
      <c r="G1952" t="s">
        <v>212</v>
      </c>
      <c r="H1952" t="s">
        <v>212</v>
      </c>
      <c r="I1952" t="s">
        <v>212</v>
      </c>
      <c r="J1952" t="s">
        <v>212</v>
      </c>
    </row>
    <row r="1953" spans="1:10">
      <c r="B1953" t="s">
        <v>2980</v>
      </c>
      <c r="C1953" t="s">
        <v>212</v>
      </c>
      <c r="D1953" t="s">
        <v>212</v>
      </c>
      <c r="E1953" t="s">
        <v>212</v>
      </c>
      <c r="F1953" t="s">
        <v>212</v>
      </c>
      <c r="G1953" t="s">
        <v>212</v>
      </c>
      <c r="H1953" t="s">
        <v>212</v>
      </c>
      <c r="I1953" t="s">
        <v>212</v>
      </c>
      <c r="J1953" t="s">
        <v>212</v>
      </c>
    </row>
    <row r="1955" spans="1:10">
      <c r="B1955" t="s">
        <v>2981</v>
      </c>
      <c r="C1955">
        <v>0</v>
      </c>
      <c r="E1955">
        <v>0</v>
      </c>
      <c r="G1955">
        <v>0</v>
      </c>
      <c r="I1955">
        <v>0</v>
      </c>
    </row>
    <row r="1956" spans="1:10">
      <c r="B1956" t="s">
        <v>2982</v>
      </c>
      <c r="C1956">
        <v>0</v>
      </c>
      <c r="D1956">
        <v>0</v>
      </c>
      <c r="E1956">
        <v>0</v>
      </c>
      <c r="F1956">
        <v>0</v>
      </c>
      <c r="G1956">
        <v>0</v>
      </c>
      <c r="H1956">
        <v>0</v>
      </c>
      <c r="I1956">
        <v>0</v>
      </c>
      <c r="J1956">
        <v>0</v>
      </c>
    </row>
    <row r="1957" spans="1:10">
      <c r="B1957" t="s">
        <v>2983</v>
      </c>
      <c r="C1957">
        <v>0</v>
      </c>
      <c r="D1957">
        <v>0</v>
      </c>
      <c r="E1957">
        <v>0</v>
      </c>
      <c r="F1957">
        <v>0</v>
      </c>
      <c r="G1957">
        <v>0</v>
      </c>
      <c r="H1957">
        <v>0</v>
      </c>
      <c r="I1957">
        <v>0</v>
      </c>
      <c r="J1957">
        <v>0</v>
      </c>
    </row>
    <row r="1960" spans="1:10">
      <c r="A1960" t="s">
        <v>1914</v>
      </c>
    </row>
    <row r="1961" spans="1:10">
      <c r="A1961" t="s">
        <v>1915</v>
      </c>
      <c r="B1961" t="s">
        <v>2964</v>
      </c>
    </row>
    <row r="1962" spans="1:10">
      <c r="A1962" t="s">
        <v>1917</v>
      </c>
      <c r="B1962" t="s">
        <v>2891</v>
      </c>
    </row>
    <row r="1963" spans="1:10">
      <c r="C1963" t="s">
        <v>2965</v>
      </c>
      <c r="D1963" t="s">
        <v>2966</v>
      </c>
      <c r="E1963" t="s">
        <v>2967</v>
      </c>
      <c r="F1963" t="s">
        <v>2966</v>
      </c>
      <c r="G1963" t="s">
        <v>2968</v>
      </c>
      <c r="H1963" t="s">
        <v>2966</v>
      </c>
      <c r="I1963" t="s">
        <v>2969</v>
      </c>
      <c r="J1963" t="s">
        <v>2966</v>
      </c>
    </row>
    <row r="1964" spans="1:10">
      <c r="B1964" t="s">
        <v>2970</v>
      </c>
      <c r="C1964">
        <v>0</v>
      </c>
      <c r="D1964">
        <v>0</v>
      </c>
      <c r="E1964">
        <v>0</v>
      </c>
      <c r="F1964">
        <v>0</v>
      </c>
      <c r="G1964">
        <v>0</v>
      </c>
      <c r="H1964">
        <v>0</v>
      </c>
      <c r="I1964">
        <v>0</v>
      </c>
      <c r="J1964">
        <v>0</v>
      </c>
    </row>
    <row r="1965" spans="1:10">
      <c r="B1965" t="s">
        <v>2971</v>
      </c>
      <c r="C1965" t="s">
        <v>212</v>
      </c>
      <c r="D1965" t="s">
        <v>212</v>
      </c>
      <c r="E1965" t="s">
        <v>212</v>
      </c>
      <c r="F1965" t="s">
        <v>212</v>
      </c>
      <c r="G1965" t="s">
        <v>212</v>
      </c>
      <c r="H1965" t="s">
        <v>212</v>
      </c>
      <c r="I1965" t="s">
        <v>212</v>
      </c>
      <c r="J1965" t="s">
        <v>212</v>
      </c>
    </row>
    <row r="1966" spans="1:10">
      <c r="B1966" t="s">
        <v>2972</v>
      </c>
      <c r="C1966" t="s">
        <v>212</v>
      </c>
      <c r="D1966" t="s">
        <v>212</v>
      </c>
      <c r="E1966" t="s">
        <v>212</v>
      </c>
      <c r="F1966" t="s">
        <v>212</v>
      </c>
      <c r="G1966" t="s">
        <v>212</v>
      </c>
      <c r="H1966" t="s">
        <v>212</v>
      </c>
      <c r="I1966" t="s">
        <v>212</v>
      </c>
      <c r="J1966" t="s">
        <v>212</v>
      </c>
    </row>
    <row r="1967" spans="1:10">
      <c r="B1967" t="s">
        <v>2973</v>
      </c>
      <c r="C1967" t="s">
        <v>212</v>
      </c>
      <c r="D1967" t="s">
        <v>212</v>
      </c>
      <c r="E1967" t="s">
        <v>212</v>
      </c>
      <c r="F1967" t="s">
        <v>212</v>
      </c>
      <c r="G1967" t="s">
        <v>212</v>
      </c>
      <c r="H1967" t="s">
        <v>212</v>
      </c>
      <c r="I1967" t="s">
        <v>212</v>
      </c>
      <c r="J1967" t="s">
        <v>212</v>
      </c>
    </row>
    <row r="1968" spans="1:10">
      <c r="B1968" t="s">
        <v>820</v>
      </c>
      <c r="C1968" t="s">
        <v>212</v>
      </c>
      <c r="D1968" t="s">
        <v>212</v>
      </c>
      <c r="E1968" t="s">
        <v>212</v>
      </c>
      <c r="F1968" t="s">
        <v>212</v>
      </c>
      <c r="G1968" t="s">
        <v>212</v>
      </c>
      <c r="H1968" t="s">
        <v>212</v>
      </c>
      <c r="I1968" t="s">
        <v>212</v>
      </c>
      <c r="J1968" t="s">
        <v>212</v>
      </c>
    </row>
    <row r="1969" spans="1:10">
      <c r="B1969" t="s">
        <v>2974</v>
      </c>
      <c r="C1969" t="s">
        <v>212</v>
      </c>
      <c r="D1969" t="s">
        <v>212</v>
      </c>
      <c r="E1969" t="s">
        <v>212</v>
      </c>
      <c r="F1969" t="s">
        <v>212</v>
      </c>
      <c r="G1969" t="s">
        <v>212</v>
      </c>
      <c r="H1969" t="s">
        <v>212</v>
      </c>
      <c r="I1969" t="s">
        <v>212</v>
      </c>
      <c r="J1969" t="s">
        <v>212</v>
      </c>
    </row>
    <row r="1970" spans="1:10">
      <c r="B1970" t="s">
        <v>2975</v>
      </c>
      <c r="C1970" t="s">
        <v>212</v>
      </c>
      <c r="D1970" t="s">
        <v>212</v>
      </c>
      <c r="E1970" t="s">
        <v>212</v>
      </c>
      <c r="F1970" t="s">
        <v>212</v>
      </c>
      <c r="G1970" t="s">
        <v>212</v>
      </c>
      <c r="H1970" t="s">
        <v>212</v>
      </c>
      <c r="I1970" t="s">
        <v>212</v>
      </c>
      <c r="J1970" t="s">
        <v>212</v>
      </c>
    </row>
    <row r="1971" spans="1:10">
      <c r="B1971" t="s">
        <v>2976</v>
      </c>
      <c r="C1971" t="s">
        <v>212</v>
      </c>
      <c r="D1971" t="s">
        <v>212</v>
      </c>
      <c r="E1971" t="s">
        <v>212</v>
      </c>
      <c r="F1971" t="s">
        <v>212</v>
      </c>
      <c r="G1971" t="s">
        <v>212</v>
      </c>
      <c r="H1971" t="s">
        <v>212</v>
      </c>
      <c r="I1971" t="s">
        <v>212</v>
      </c>
      <c r="J1971" t="s">
        <v>212</v>
      </c>
    </row>
    <row r="1972" spans="1:10">
      <c r="B1972" t="s">
        <v>2977</v>
      </c>
      <c r="C1972" t="s">
        <v>212</v>
      </c>
      <c r="D1972" t="s">
        <v>212</v>
      </c>
      <c r="E1972" t="s">
        <v>212</v>
      </c>
      <c r="F1972" t="s">
        <v>212</v>
      </c>
      <c r="G1972" t="s">
        <v>212</v>
      </c>
      <c r="H1972" t="s">
        <v>212</v>
      </c>
      <c r="I1972" t="s">
        <v>212</v>
      </c>
      <c r="J1972" t="s">
        <v>212</v>
      </c>
    </row>
    <row r="1973" spans="1:10">
      <c r="B1973" t="s">
        <v>2978</v>
      </c>
      <c r="C1973" t="s">
        <v>212</v>
      </c>
      <c r="D1973" t="s">
        <v>212</v>
      </c>
      <c r="E1973" t="s">
        <v>212</v>
      </c>
      <c r="F1973" t="s">
        <v>212</v>
      </c>
      <c r="G1973" t="s">
        <v>212</v>
      </c>
      <c r="H1973" t="s">
        <v>212</v>
      </c>
      <c r="I1973" t="s">
        <v>212</v>
      </c>
      <c r="J1973" t="s">
        <v>212</v>
      </c>
    </row>
    <row r="1974" spans="1:10">
      <c r="B1974" t="s">
        <v>2979</v>
      </c>
      <c r="C1974" t="s">
        <v>212</v>
      </c>
      <c r="D1974" t="s">
        <v>212</v>
      </c>
      <c r="E1974" t="s">
        <v>212</v>
      </c>
      <c r="F1974" t="s">
        <v>212</v>
      </c>
      <c r="G1974" t="s">
        <v>212</v>
      </c>
      <c r="H1974" t="s">
        <v>212</v>
      </c>
      <c r="I1974" t="s">
        <v>212</v>
      </c>
      <c r="J1974" t="s">
        <v>212</v>
      </c>
    </row>
    <row r="1975" spans="1:10">
      <c r="B1975" t="s">
        <v>2980</v>
      </c>
      <c r="C1975" t="s">
        <v>212</v>
      </c>
      <c r="D1975" t="s">
        <v>212</v>
      </c>
      <c r="E1975" t="s">
        <v>212</v>
      </c>
      <c r="F1975" t="s">
        <v>212</v>
      </c>
      <c r="G1975" t="s">
        <v>212</v>
      </c>
      <c r="H1975" t="s">
        <v>212</v>
      </c>
      <c r="I1975" t="s">
        <v>212</v>
      </c>
      <c r="J1975" t="s">
        <v>212</v>
      </c>
    </row>
    <row r="1977" spans="1:10">
      <c r="B1977" t="s">
        <v>2981</v>
      </c>
      <c r="C1977">
        <v>0</v>
      </c>
      <c r="E1977">
        <v>0</v>
      </c>
      <c r="G1977">
        <v>0</v>
      </c>
      <c r="I1977">
        <v>0</v>
      </c>
    </row>
    <row r="1978" spans="1:10">
      <c r="B1978" t="s">
        <v>2982</v>
      </c>
      <c r="C1978">
        <v>0</v>
      </c>
      <c r="D1978">
        <v>0</v>
      </c>
      <c r="E1978">
        <v>0</v>
      </c>
      <c r="F1978">
        <v>0</v>
      </c>
      <c r="G1978">
        <v>0</v>
      </c>
      <c r="H1978">
        <v>0</v>
      </c>
      <c r="I1978">
        <v>0</v>
      </c>
      <c r="J1978">
        <v>0</v>
      </c>
    </row>
    <row r="1979" spans="1:10">
      <c r="B1979" t="s">
        <v>2983</v>
      </c>
      <c r="C1979">
        <v>0</v>
      </c>
      <c r="D1979">
        <v>0</v>
      </c>
      <c r="E1979">
        <v>0</v>
      </c>
      <c r="F1979">
        <v>0</v>
      </c>
      <c r="G1979">
        <v>0</v>
      </c>
      <c r="H1979">
        <v>0</v>
      </c>
      <c r="I1979">
        <v>0</v>
      </c>
      <c r="J1979">
        <v>0</v>
      </c>
    </row>
    <row r="1982" spans="1:10">
      <c r="A1982" t="s">
        <v>1914</v>
      </c>
    </row>
    <row r="1983" spans="1:10">
      <c r="A1983" t="s">
        <v>1915</v>
      </c>
      <c r="B1983" t="s">
        <v>2964</v>
      </c>
    </row>
    <row r="1984" spans="1:10">
      <c r="A1984" t="s">
        <v>1917</v>
      </c>
      <c r="B1984" t="s">
        <v>2892</v>
      </c>
    </row>
    <row r="1985" spans="2:10">
      <c r="C1985" t="s">
        <v>2965</v>
      </c>
      <c r="D1985" t="s">
        <v>2966</v>
      </c>
      <c r="E1985" t="s">
        <v>2967</v>
      </c>
      <c r="F1985" t="s">
        <v>2966</v>
      </c>
      <c r="G1985" t="s">
        <v>2968</v>
      </c>
      <c r="H1985" t="s">
        <v>2966</v>
      </c>
      <c r="I1985" t="s">
        <v>2969</v>
      </c>
      <c r="J1985" t="s">
        <v>2966</v>
      </c>
    </row>
    <row r="1986" spans="2:10">
      <c r="B1986" t="s">
        <v>2970</v>
      </c>
      <c r="C1986">
        <v>0</v>
      </c>
      <c r="D1986">
        <v>0</v>
      </c>
      <c r="E1986">
        <v>0</v>
      </c>
      <c r="F1986">
        <v>0</v>
      </c>
      <c r="G1986">
        <v>0</v>
      </c>
      <c r="H1986">
        <v>0</v>
      </c>
      <c r="I1986">
        <v>0</v>
      </c>
      <c r="J1986">
        <v>0</v>
      </c>
    </row>
    <row r="1987" spans="2:10">
      <c r="B1987" t="s">
        <v>2971</v>
      </c>
      <c r="C1987" t="s">
        <v>212</v>
      </c>
      <c r="D1987" t="s">
        <v>212</v>
      </c>
      <c r="E1987" t="s">
        <v>212</v>
      </c>
      <c r="F1987" t="s">
        <v>212</v>
      </c>
      <c r="G1987" t="s">
        <v>212</v>
      </c>
      <c r="H1987" t="s">
        <v>212</v>
      </c>
      <c r="I1987" t="s">
        <v>212</v>
      </c>
      <c r="J1987" t="s">
        <v>212</v>
      </c>
    </row>
    <row r="1988" spans="2:10">
      <c r="B1988" t="s">
        <v>2972</v>
      </c>
      <c r="C1988" t="s">
        <v>212</v>
      </c>
      <c r="D1988" t="s">
        <v>212</v>
      </c>
      <c r="E1988" t="s">
        <v>212</v>
      </c>
      <c r="F1988" t="s">
        <v>212</v>
      </c>
      <c r="G1988" t="s">
        <v>212</v>
      </c>
      <c r="H1988" t="s">
        <v>212</v>
      </c>
      <c r="I1988" t="s">
        <v>212</v>
      </c>
      <c r="J1988" t="s">
        <v>212</v>
      </c>
    </row>
    <row r="1989" spans="2:10">
      <c r="B1989" t="s">
        <v>2973</v>
      </c>
      <c r="C1989" t="s">
        <v>212</v>
      </c>
      <c r="D1989" t="s">
        <v>212</v>
      </c>
      <c r="E1989" t="s">
        <v>212</v>
      </c>
      <c r="F1989" t="s">
        <v>212</v>
      </c>
      <c r="G1989" t="s">
        <v>212</v>
      </c>
      <c r="H1989" t="s">
        <v>212</v>
      </c>
      <c r="I1989" t="s">
        <v>212</v>
      </c>
      <c r="J1989" t="s">
        <v>212</v>
      </c>
    </row>
    <row r="1990" spans="2:10">
      <c r="B1990" t="s">
        <v>820</v>
      </c>
      <c r="C1990" t="s">
        <v>212</v>
      </c>
      <c r="D1990" t="s">
        <v>212</v>
      </c>
      <c r="E1990" t="s">
        <v>212</v>
      </c>
      <c r="F1990" t="s">
        <v>212</v>
      </c>
      <c r="G1990" t="s">
        <v>212</v>
      </c>
      <c r="H1990" t="s">
        <v>212</v>
      </c>
      <c r="I1990" t="s">
        <v>212</v>
      </c>
      <c r="J1990" t="s">
        <v>212</v>
      </c>
    </row>
    <row r="1991" spans="2:10">
      <c r="B1991" t="s">
        <v>2974</v>
      </c>
      <c r="C1991" t="s">
        <v>212</v>
      </c>
      <c r="D1991" t="s">
        <v>212</v>
      </c>
      <c r="E1991" t="s">
        <v>212</v>
      </c>
      <c r="F1991" t="s">
        <v>212</v>
      </c>
      <c r="G1991" t="s">
        <v>212</v>
      </c>
      <c r="H1991" t="s">
        <v>212</v>
      </c>
      <c r="I1991" t="s">
        <v>212</v>
      </c>
      <c r="J1991" t="s">
        <v>212</v>
      </c>
    </row>
    <row r="1992" spans="2:10">
      <c r="B1992" t="s">
        <v>2975</v>
      </c>
      <c r="C1992" t="s">
        <v>212</v>
      </c>
      <c r="D1992" t="s">
        <v>212</v>
      </c>
      <c r="E1992" t="s">
        <v>212</v>
      </c>
      <c r="F1992" t="s">
        <v>212</v>
      </c>
      <c r="G1992" t="s">
        <v>212</v>
      </c>
      <c r="H1992" t="s">
        <v>212</v>
      </c>
      <c r="I1992" t="s">
        <v>212</v>
      </c>
      <c r="J1992" t="s">
        <v>212</v>
      </c>
    </row>
    <row r="1993" spans="2:10">
      <c r="B1993" t="s">
        <v>2976</v>
      </c>
      <c r="C1993" t="s">
        <v>212</v>
      </c>
      <c r="D1993" t="s">
        <v>212</v>
      </c>
      <c r="E1993" t="s">
        <v>212</v>
      </c>
      <c r="F1993" t="s">
        <v>212</v>
      </c>
      <c r="G1993" t="s">
        <v>212</v>
      </c>
      <c r="H1993" t="s">
        <v>212</v>
      </c>
      <c r="I1993" t="s">
        <v>212</v>
      </c>
      <c r="J1993" t="s">
        <v>212</v>
      </c>
    </row>
    <row r="1994" spans="2:10">
      <c r="B1994" t="s">
        <v>2977</v>
      </c>
      <c r="C1994" t="s">
        <v>212</v>
      </c>
      <c r="D1994" t="s">
        <v>212</v>
      </c>
      <c r="E1994" t="s">
        <v>212</v>
      </c>
      <c r="F1994" t="s">
        <v>212</v>
      </c>
      <c r="G1994" t="s">
        <v>212</v>
      </c>
      <c r="H1994" t="s">
        <v>212</v>
      </c>
      <c r="I1994" t="s">
        <v>212</v>
      </c>
      <c r="J1994" t="s">
        <v>212</v>
      </c>
    </row>
    <row r="1995" spans="2:10">
      <c r="B1995" t="s">
        <v>2978</v>
      </c>
      <c r="C1995" t="s">
        <v>212</v>
      </c>
      <c r="D1995" t="s">
        <v>212</v>
      </c>
      <c r="E1995" t="s">
        <v>212</v>
      </c>
      <c r="F1995" t="s">
        <v>212</v>
      </c>
      <c r="G1995" t="s">
        <v>212</v>
      </c>
      <c r="H1995" t="s">
        <v>212</v>
      </c>
      <c r="I1995" t="s">
        <v>212</v>
      </c>
      <c r="J1995" t="s">
        <v>212</v>
      </c>
    </row>
    <row r="1996" spans="2:10">
      <c r="B1996" t="s">
        <v>2979</v>
      </c>
      <c r="C1996" t="s">
        <v>212</v>
      </c>
      <c r="D1996" t="s">
        <v>212</v>
      </c>
      <c r="E1996" t="s">
        <v>212</v>
      </c>
      <c r="F1996" t="s">
        <v>212</v>
      </c>
      <c r="G1996" t="s">
        <v>212</v>
      </c>
      <c r="H1996" t="s">
        <v>212</v>
      </c>
      <c r="I1996" t="s">
        <v>212</v>
      </c>
      <c r="J1996" t="s">
        <v>212</v>
      </c>
    </row>
    <row r="1997" spans="2:10">
      <c r="B1997" t="s">
        <v>2980</v>
      </c>
      <c r="C1997" t="s">
        <v>212</v>
      </c>
      <c r="D1997" t="s">
        <v>212</v>
      </c>
      <c r="E1997" t="s">
        <v>212</v>
      </c>
      <c r="F1997" t="s">
        <v>212</v>
      </c>
      <c r="G1997" t="s">
        <v>212</v>
      </c>
      <c r="H1997" t="s">
        <v>212</v>
      </c>
      <c r="I1997" t="s">
        <v>212</v>
      </c>
      <c r="J1997" t="s">
        <v>212</v>
      </c>
    </row>
    <row r="1999" spans="2:10">
      <c r="B1999" t="s">
        <v>2981</v>
      </c>
      <c r="C1999">
        <v>0</v>
      </c>
      <c r="E1999">
        <v>0</v>
      </c>
      <c r="G1999">
        <v>0</v>
      </c>
      <c r="I1999">
        <v>0</v>
      </c>
    </row>
    <row r="2000" spans="2:10">
      <c r="B2000" t="s">
        <v>2982</v>
      </c>
      <c r="C2000">
        <v>0</v>
      </c>
      <c r="D2000">
        <v>0</v>
      </c>
      <c r="E2000">
        <v>0</v>
      </c>
      <c r="F2000">
        <v>0</v>
      </c>
      <c r="G2000">
        <v>0</v>
      </c>
      <c r="H2000">
        <v>0</v>
      </c>
      <c r="I2000">
        <v>0</v>
      </c>
      <c r="J2000">
        <v>0</v>
      </c>
    </row>
    <row r="2001" spans="1:10">
      <c r="B2001" t="s">
        <v>2983</v>
      </c>
      <c r="C2001">
        <v>0</v>
      </c>
      <c r="D2001">
        <v>0</v>
      </c>
      <c r="E2001">
        <v>0</v>
      </c>
      <c r="F2001">
        <v>0</v>
      </c>
      <c r="G2001">
        <v>0</v>
      </c>
      <c r="H2001">
        <v>0</v>
      </c>
      <c r="I2001">
        <v>0</v>
      </c>
      <c r="J2001">
        <v>0</v>
      </c>
    </row>
    <row r="2004" spans="1:10">
      <c r="A2004" t="s">
        <v>1914</v>
      </c>
    </row>
    <row r="2005" spans="1:10">
      <c r="A2005" t="s">
        <v>1915</v>
      </c>
      <c r="B2005" t="s">
        <v>2964</v>
      </c>
    </row>
    <row r="2006" spans="1:10">
      <c r="A2006" t="s">
        <v>1917</v>
      </c>
      <c r="B2006" t="s">
        <v>2893</v>
      </c>
    </row>
    <row r="2007" spans="1:10">
      <c r="C2007" t="s">
        <v>2965</v>
      </c>
      <c r="D2007" t="s">
        <v>2966</v>
      </c>
      <c r="E2007" t="s">
        <v>2967</v>
      </c>
      <c r="F2007" t="s">
        <v>2966</v>
      </c>
      <c r="G2007" t="s">
        <v>2968</v>
      </c>
      <c r="H2007" t="s">
        <v>2966</v>
      </c>
      <c r="I2007" t="s">
        <v>2969</v>
      </c>
      <c r="J2007" t="s">
        <v>2966</v>
      </c>
    </row>
    <row r="2008" spans="1:10">
      <c r="B2008" t="s">
        <v>2970</v>
      </c>
      <c r="C2008">
        <v>0</v>
      </c>
      <c r="D2008">
        <v>0</v>
      </c>
      <c r="E2008">
        <v>0</v>
      </c>
      <c r="F2008">
        <v>0</v>
      </c>
      <c r="G2008">
        <v>0</v>
      </c>
      <c r="H2008">
        <v>0</v>
      </c>
      <c r="I2008">
        <v>0</v>
      </c>
      <c r="J2008">
        <v>0</v>
      </c>
    </row>
    <row r="2009" spans="1:10">
      <c r="B2009" t="s">
        <v>2971</v>
      </c>
      <c r="C2009" t="s">
        <v>212</v>
      </c>
      <c r="D2009" t="s">
        <v>212</v>
      </c>
      <c r="E2009" t="s">
        <v>212</v>
      </c>
      <c r="F2009" t="s">
        <v>212</v>
      </c>
      <c r="G2009" t="s">
        <v>212</v>
      </c>
      <c r="H2009" t="s">
        <v>212</v>
      </c>
      <c r="I2009" t="s">
        <v>212</v>
      </c>
      <c r="J2009" t="s">
        <v>212</v>
      </c>
    </row>
    <row r="2010" spans="1:10">
      <c r="B2010" t="s">
        <v>2972</v>
      </c>
      <c r="C2010" t="s">
        <v>212</v>
      </c>
      <c r="D2010" t="s">
        <v>212</v>
      </c>
      <c r="E2010" t="s">
        <v>212</v>
      </c>
      <c r="F2010" t="s">
        <v>212</v>
      </c>
      <c r="G2010" t="s">
        <v>212</v>
      </c>
      <c r="H2010" t="s">
        <v>212</v>
      </c>
      <c r="I2010" t="s">
        <v>212</v>
      </c>
      <c r="J2010" t="s">
        <v>212</v>
      </c>
    </row>
    <row r="2011" spans="1:10">
      <c r="B2011" t="s">
        <v>2973</v>
      </c>
      <c r="C2011" t="s">
        <v>212</v>
      </c>
      <c r="D2011" t="s">
        <v>212</v>
      </c>
      <c r="E2011" t="s">
        <v>212</v>
      </c>
      <c r="F2011" t="s">
        <v>212</v>
      </c>
      <c r="G2011" t="s">
        <v>212</v>
      </c>
      <c r="H2011" t="s">
        <v>212</v>
      </c>
      <c r="I2011" t="s">
        <v>212</v>
      </c>
      <c r="J2011" t="s">
        <v>212</v>
      </c>
    </row>
    <row r="2012" spans="1:10">
      <c r="B2012" t="s">
        <v>820</v>
      </c>
      <c r="C2012" t="s">
        <v>212</v>
      </c>
      <c r="D2012" t="s">
        <v>212</v>
      </c>
      <c r="E2012" t="s">
        <v>212</v>
      </c>
      <c r="F2012" t="s">
        <v>212</v>
      </c>
      <c r="G2012" t="s">
        <v>212</v>
      </c>
      <c r="H2012" t="s">
        <v>212</v>
      </c>
      <c r="I2012" t="s">
        <v>212</v>
      </c>
      <c r="J2012" t="s">
        <v>212</v>
      </c>
    </row>
    <row r="2013" spans="1:10">
      <c r="B2013" t="s">
        <v>2974</v>
      </c>
      <c r="C2013" t="s">
        <v>212</v>
      </c>
      <c r="D2013" t="s">
        <v>212</v>
      </c>
      <c r="E2013" t="s">
        <v>212</v>
      </c>
      <c r="F2013" t="s">
        <v>212</v>
      </c>
      <c r="G2013" t="s">
        <v>212</v>
      </c>
      <c r="H2013" t="s">
        <v>212</v>
      </c>
      <c r="I2013" t="s">
        <v>212</v>
      </c>
      <c r="J2013" t="s">
        <v>212</v>
      </c>
    </row>
    <row r="2014" spans="1:10">
      <c r="B2014" t="s">
        <v>2975</v>
      </c>
      <c r="C2014" t="s">
        <v>212</v>
      </c>
      <c r="D2014" t="s">
        <v>212</v>
      </c>
      <c r="E2014" t="s">
        <v>212</v>
      </c>
      <c r="F2014" t="s">
        <v>212</v>
      </c>
      <c r="G2014" t="s">
        <v>212</v>
      </c>
      <c r="H2014" t="s">
        <v>212</v>
      </c>
      <c r="I2014" t="s">
        <v>212</v>
      </c>
      <c r="J2014" t="s">
        <v>212</v>
      </c>
    </row>
    <row r="2015" spans="1:10">
      <c r="B2015" t="s">
        <v>2976</v>
      </c>
      <c r="C2015" t="s">
        <v>212</v>
      </c>
      <c r="D2015" t="s">
        <v>212</v>
      </c>
      <c r="E2015" t="s">
        <v>212</v>
      </c>
      <c r="F2015" t="s">
        <v>212</v>
      </c>
      <c r="G2015" t="s">
        <v>212</v>
      </c>
      <c r="H2015" t="s">
        <v>212</v>
      </c>
      <c r="I2015" t="s">
        <v>212</v>
      </c>
      <c r="J2015" t="s">
        <v>212</v>
      </c>
    </row>
    <row r="2016" spans="1:10">
      <c r="B2016" t="s">
        <v>2977</v>
      </c>
      <c r="C2016" t="s">
        <v>212</v>
      </c>
      <c r="D2016" t="s">
        <v>212</v>
      </c>
      <c r="E2016" t="s">
        <v>212</v>
      </c>
      <c r="F2016" t="s">
        <v>212</v>
      </c>
      <c r="G2016" t="s">
        <v>212</v>
      </c>
      <c r="H2016" t="s">
        <v>212</v>
      </c>
      <c r="I2016" t="s">
        <v>212</v>
      </c>
      <c r="J2016" t="s">
        <v>212</v>
      </c>
    </row>
    <row r="2017" spans="1:10">
      <c r="B2017" t="s">
        <v>2978</v>
      </c>
      <c r="C2017" t="s">
        <v>212</v>
      </c>
      <c r="D2017" t="s">
        <v>212</v>
      </c>
      <c r="E2017" t="s">
        <v>212</v>
      </c>
      <c r="F2017" t="s">
        <v>212</v>
      </c>
      <c r="G2017" t="s">
        <v>212</v>
      </c>
      <c r="H2017" t="s">
        <v>212</v>
      </c>
      <c r="I2017" t="s">
        <v>212</v>
      </c>
      <c r="J2017" t="s">
        <v>212</v>
      </c>
    </row>
    <row r="2018" spans="1:10">
      <c r="B2018" t="s">
        <v>2979</v>
      </c>
      <c r="C2018" t="s">
        <v>212</v>
      </c>
      <c r="D2018" t="s">
        <v>212</v>
      </c>
      <c r="E2018" t="s">
        <v>212</v>
      </c>
      <c r="F2018" t="s">
        <v>212</v>
      </c>
      <c r="G2018" t="s">
        <v>212</v>
      </c>
      <c r="H2018" t="s">
        <v>212</v>
      </c>
      <c r="I2018" t="s">
        <v>212</v>
      </c>
      <c r="J2018" t="s">
        <v>212</v>
      </c>
    </row>
    <row r="2019" spans="1:10">
      <c r="B2019" t="s">
        <v>2980</v>
      </c>
      <c r="C2019" t="s">
        <v>212</v>
      </c>
      <c r="D2019" t="s">
        <v>212</v>
      </c>
      <c r="E2019" t="s">
        <v>212</v>
      </c>
      <c r="F2019" t="s">
        <v>212</v>
      </c>
      <c r="G2019" t="s">
        <v>212</v>
      </c>
      <c r="H2019" t="s">
        <v>212</v>
      </c>
      <c r="I2019" t="s">
        <v>212</v>
      </c>
      <c r="J2019" t="s">
        <v>212</v>
      </c>
    </row>
    <row r="2021" spans="1:10">
      <c r="B2021" t="s">
        <v>2981</v>
      </c>
      <c r="C2021">
        <v>0</v>
      </c>
      <c r="E2021">
        <v>0</v>
      </c>
      <c r="G2021">
        <v>0</v>
      </c>
      <c r="I2021">
        <v>0</v>
      </c>
    </row>
    <row r="2022" spans="1:10">
      <c r="B2022" t="s">
        <v>2982</v>
      </c>
      <c r="C2022">
        <v>0</v>
      </c>
      <c r="D2022">
        <v>0</v>
      </c>
      <c r="E2022">
        <v>0</v>
      </c>
      <c r="F2022">
        <v>0</v>
      </c>
      <c r="G2022">
        <v>0</v>
      </c>
      <c r="H2022">
        <v>0</v>
      </c>
      <c r="I2022">
        <v>0</v>
      </c>
      <c r="J2022">
        <v>0</v>
      </c>
    </row>
    <row r="2023" spans="1:10">
      <c r="B2023" t="s">
        <v>2983</v>
      </c>
      <c r="C2023">
        <v>0</v>
      </c>
      <c r="D2023">
        <v>0</v>
      </c>
      <c r="E2023">
        <v>0</v>
      </c>
      <c r="F2023">
        <v>0</v>
      </c>
      <c r="G2023">
        <v>0</v>
      </c>
      <c r="H2023">
        <v>0</v>
      </c>
      <c r="I2023">
        <v>0</v>
      </c>
      <c r="J2023">
        <v>0</v>
      </c>
    </row>
    <row r="2026" spans="1:10">
      <c r="A2026" t="s">
        <v>1914</v>
      </c>
    </row>
    <row r="2027" spans="1:10">
      <c r="A2027" t="s">
        <v>1915</v>
      </c>
      <c r="B2027" t="s">
        <v>2964</v>
      </c>
    </row>
    <row r="2028" spans="1:10">
      <c r="A2028" t="s">
        <v>1917</v>
      </c>
      <c r="B2028" t="s">
        <v>2894</v>
      </c>
    </row>
    <row r="2029" spans="1:10">
      <c r="C2029" t="s">
        <v>2965</v>
      </c>
      <c r="D2029" t="s">
        <v>2966</v>
      </c>
      <c r="E2029" t="s">
        <v>2967</v>
      </c>
      <c r="F2029" t="s">
        <v>2966</v>
      </c>
      <c r="G2029" t="s">
        <v>2968</v>
      </c>
      <c r="H2029" t="s">
        <v>2966</v>
      </c>
      <c r="I2029" t="s">
        <v>2969</v>
      </c>
      <c r="J2029" t="s">
        <v>2966</v>
      </c>
    </row>
    <row r="2030" spans="1:10">
      <c r="B2030" t="s">
        <v>2970</v>
      </c>
      <c r="C2030">
        <v>0</v>
      </c>
      <c r="D2030">
        <v>0</v>
      </c>
      <c r="E2030">
        <v>0</v>
      </c>
      <c r="F2030">
        <v>0</v>
      </c>
      <c r="G2030">
        <v>0</v>
      </c>
      <c r="H2030">
        <v>0</v>
      </c>
      <c r="I2030">
        <v>0</v>
      </c>
      <c r="J2030">
        <v>0</v>
      </c>
    </row>
    <row r="2031" spans="1:10">
      <c r="B2031" t="s">
        <v>2971</v>
      </c>
      <c r="C2031" t="s">
        <v>212</v>
      </c>
      <c r="D2031" t="s">
        <v>212</v>
      </c>
      <c r="E2031" t="s">
        <v>212</v>
      </c>
      <c r="F2031" t="s">
        <v>212</v>
      </c>
      <c r="G2031" t="s">
        <v>212</v>
      </c>
      <c r="H2031" t="s">
        <v>212</v>
      </c>
      <c r="I2031" t="s">
        <v>212</v>
      </c>
      <c r="J2031" t="s">
        <v>212</v>
      </c>
    </row>
    <row r="2032" spans="1:10">
      <c r="B2032" t="s">
        <v>2972</v>
      </c>
      <c r="C2032" t="s">
        <v>212</v>
      </c>
      <c r="D2032" t="s">
        <v>212</v>
      </c>
      <c r="E2032" t="s">
        <v>212</v>
      </c>
      <c r="F2032" t="s">
        <v>212</v>
      </c>
      <c r="G2032" t="s">
        <v>212</v>
      </c>
      <c r="H2032" t="s">
        <v>212</v>
      </c>
      <c r="I2032" t="s">
        <v>212</v>
      </c>
      <c r="J2032" t="s">
        <v>212</v>
      </c>
    </row>
    <row r="2033" spans="1:10">
      <c r="B2033" t="s">
        <v>2973</v>
      </c>
      <c r="C2033" t="s">
        <v>212</v>
      </c>
      <c r="D2033" t="s">
        <v>212</v>
      </c>
      <c r="E2033" t="s">
        <v>212</v>
      </c>
      <c r="F2033" t="s">
        <v>212</v>
      </c>
      <c r="G2033" t="s">
        <v>212</v>
      </c>
      <c r="H2033" t="s">
        <v>212</v>
      </c>
      <c r="I2033" t="s">
        <v>212</v>
      </c>
      <c r="J2033" t="s">
        <v>212</v>
      </c>
    </row>
    <row r="2034" spans="1:10">
      <c r="B2034" t="s">
        <v>820</v>
      </c>
      <c r="C2034" t="s">
        <v>212</v>
      </c>
      <c r="D2034" t="s">
        <v>212</v>
      </c>
      <c r="E2034" t="s">
        <v>212</v>
      </c>
      <c r="F2034" t="s">
        <v>212</v>
      </c>
      <c r="G2034" t="s">
        <v>212</v>
      </c>
      <c r="H2034" t="s">
        <v>212</v>
      </c>
      <c r="I2034" t="s">
        <v>212</v>
      </c>
      <c r="J2034" t="s">
        <v>212</v>
      </c>
    </row>
    <row r="2035" spans="1:10">
      <c r="B2035" t="s">
        <v>2974</v>
      </c>
      <c r="C2035" t="s">
        <v>212</v>
      </c>
      <c r="D2035" t="s">
        <v>212</v>
      </c>
      <c r="E2035" t="s">
        <v>212</v>
      </c>
      <c r="F2035" t="s">
        <v>212</v>
      </c>
      <c r="G2035" t="s">
        <v>212</v>
      </c>
      <c r="H2035" t="s">
        <v>212</v>
      </c>
      <c r="I2035" t="s">
        <v>212</v>
      </c>
      <c r="J2035" t="s">
        <v>212</v>
      </c>
    </row>
    <row r="2036" spans="1:10">
      <c r="B2036" t="s">
        <v>2975</v>
      </c>
      <c r="C2036" t="s">
        <v>212</v>
      </c>
      <c r="D2036" t="s">
        <v>212</v>
      </c>
      <c r="E2036" t="s">
        <v>212</v>
      </c>
      <c r="F2036" t="s">
        <v>212</v>
      </c>
      <c r="G2036" t="s">
        <v>212</v>
      </c>
      <c r="H2036" t="s">
        <v>212</v>
      </c>
      <c r="I2036" t="s">
        <v>212</v>
      </c>
      <c r="J2036" t="s">
        <v>212</v>
      </c>
    </row>
    <row r="2037" spans="1:10">
      <c r="B2037" t="s">
        <v>2976</v>
      </c>
      <c r="C2037" t="s">
        <v>212</v>
      </c>
      <c r="D2037" t="s">
        <v>212</v>
      </c>
      <c r="E2037" t="s">
        <v>212</v>
      </c>
      <c r="F2037" t="s">
        <v>212</v>
      </c>
      <c r="G2037" t="s">
        <v>212</v>
      </c>
      <c r="H2037" t="s">
        <v>212</v>
      </c>
      <c r="I2037" t="s">
        <v>212</v>
      </c>
      <c r="J2037" t="s">
        <v>212</v>
      </c>
    </row>
    <row r="2038" spans="1:10">
      <c r="B2038" t="s">
        <v>2977</v>
      </c>
      <c r="C2038" t="s">
        <v>212</v>
      </c>
      <c r="D2038" t="s">
        <v>212</v>
      </c>
      <c r="E2038" t="s">
        <v>212</v>
      </c>
      <c r="F2038" t="s">
        <v>212</v>
      </c>
      <c r="G2038" t="s">
        <v>212</v>
      </c>
      <c r="H2038" t="s">
        <v>212</v>
      </c>
      <c r="I2038" t="s">
        <v>212</v>
      </c>
      <c r="J2038" t="s">
        <v>212</v>
      </c>
    </row>
    <row r="2039" spans="1:10">
      <c r="B2039" t="s">
        <v>2978</v>
      </c>
      <c r="C2039" t="s">
        <v>212</v>
      </c>
      <c r="D2039" t="s">
        <v>212</v>
      </c>
      <c r="E2039" t="s">
        <v>212</v>
      </c>
      <c r="F2039" t="s">
        <v>212</v>
      </c>
      <c r="G2039" t="s">
        <v>212</v>
      </c>
      <c r="H2039" t="s">
        <v>212</v>
      </c>
      <c r="I2039" t="s">
        <v>212</v>
      </c>
      <c r="J2039" t="s">
        <v>212</v>
      </c>
    </row>
    <row r="2040" spans="1:10">
      <c r="B2040" t="s">
        <v>2979</v>
      </c>
      <c r="C2040" t="s">
        <v>212</v>
      </c>
      <c r="D2040" t="s">
        <v>212</v>
      </c>
      <c r="E2040" t="s">
        <v>212</v>
      </c>
      <c r="F2040" t="s">
        <v>212</v>
      </c>
      <c r="G2040" t="s">
        <v>212</v>
      </c>
      <c r="H2040" t="s">
        <v>212</v>
      </c>
      <c r="I2040" t="s">
        <v>212</v>
      </c>
      <c r="J2040" t="s">
        <v>212</v>
      </c>
    </row>
    <row r="2041" spans="1:10">
      <c r="B2041" t="s">
        <v>2980</v>
      </c>
      <c r="C2041" t="s">
        <v>212</v>
      </c>
      <c r="D2041" t="s">
        <v>212</v>
      </c>
      <c r="E2041" t="s">
        <v>212</v>
      </c>
      <c r="F2041" t="s">
        <v>212</v>
      </c>
      <c r="G2041" t="s">
        <v>212</v>
      </c>
      <c r="H2041" t="s">
        <v>212</v>
      </c>
      <c r="I2041" t="s">
        <v>212</v>
      </c>
      <c r="J2041" t="s">
        <v>212</v>
      </c>
    </row>
    <row r="2043" spans="1:10">
      <c r="B2043" t="s">
        <v>2981</v>
      </c>
      <c r="C2043">
        <v>0</v>
      </c>
      <c r="E2043">
        <v>0</v>
      </c>
      <c r="G2043">
        <v>0</v>
      </c>
      <c r="I2043">
        <v>0</v>
      </c>
    </row>
    <row r="2044" spans="1:10">
      <c r="B2044" t="s">
        <v>2982</v>
      </c>
      <c r="C2044">
        <v>0</v>
      </c>
      <c r="D2044">
        <v>0</v>
      </c>
      <c r="E2044">
        <v>0</v>
      </c>
      <c r="F2044">
        <v>0</v>
      </c>
      <c r="G2044">
        <v>0</v>
      </c>
      <c r="H2044">
        <v>0</v>
      </c>
      <c r="I2044">
        <v>0</v>
      </c>
      <c r="J2044">
        <v>0</v>
      </c>
    </row>
    <row r="2045" spans="1:10">
      <c r="B2045" t="s">
        <v>2983</v>
      </c>
      <c r="C2045">
        <v>0</v>
      </c>
      <c r="D2045">
        <v>0</v>
      </c>
      <c r="E2045">
        <v>0</v>
      </c>
      <c r="F2045">
        <v>0</v>
      </c>
      <c r="G2045">
        <v>0</v>
      </c>
      <c r="H2045">
        <v>0</v>
      </c>
      <c r="I2045">
        <v>0</v>
      </c>
      <c r="J2045">
        <v>0</v>
      </c>
    </row>
    <row r="2048" spans="1:10">
      <c r="A2048" t="s">
        <v>1914</v>
      </c>
    </row>
    <row r="2049" spans="1:12">
      <c r="A2049" t="s">
        <v>1915</v>
      </c>
      <c r="B2049" t="s">
        <v>2984</v>
      </c>
    </row>
    <row r="2050" spans="1:12">
      <c r="A2050" t="s">
        <v>1917</v>
      </c>
      <c r="B2050" t="s">
        <v>2086</v>
      </c>
    </row>
    <row r="2051" spans="1:12">
      <c r="C2051" t="s">
        <v>2985</v>
      </c>
      <c r="D2051" t="s">
        <v>2986</v>
      </c>
      <c r="E2051" t="s">
        <v>2987</v>
      </c>
      <c r="F2051" t="s">
        <v>2988</v>
      </c>
      <c r="G2051" t="s">
        <v>2989</v>
      </c>
      <c r="H2051" t="s">
        <v>2990</v>
      </c>
      <c r="I2051" t="s">
        <v>2991</v>
      </c>
      <c r="J2051" t="s">
        <v>2992</v>
      </c>
      <c r="K2051" t="s">
        <v>2988</v>
      </c>
      <c r="L2051" t="s">
        <v>2989</v>
      </c>
    </row>
    <row r="2052" spans="1:12">
      <c r="B2052" t="s">
        <v>2970</v>
      </c>
      <c r="C2052">
        <v>0.5</v>
      </c>
      <c r="D2052">
        <v>477.85</v>
      </c>
      <c r="E2052" t="s">
        <v>3004</v>
      </c>
      <c r="F2052">
        <v>6.85</v>
      </c>
      <c r="G2052">
        <v>6.4</v>
      </c>
      <c r="H2052">
        <v>10.210000000000001</v>
      </c>
      <c r="I2052">
        <v>1054.42</v>
      </c>
      <c r="J2052" t="s">
        <v>2962</v>
      </c>
      <c r="K2052">
        <v>6.4</v>
      </c>
      <c r="L2052">
        <v>6.4</v>
      </c>
    </row>
    <row r="2053" spans="1:12">
      <c r="B2053" t="s">
        <v>2971</v>
      </c>
      <c r="C2053" t="s">
        <v>212</v>
      </c>
      <c r="D2053" t="s">
        <v>212</v>
      </c>
      <c r="E2053" t="s">
        <v>212</v>
      </c>
      <c r="F2053" t="s">
        <v>212</v>
      </c>
      <c r="G2053" t="s">
        <v>212</v>
      </c>
      <c r="H2053" t="s">
        <v>212</v>
      </c>
      <c r="I2053" t="s">
        <v>212</v>
      </c>
      <c r="J2053" t="s">
        <v>212</v>
      </c>
      <c r="K2053" t="s">
        <v>212</v>
      </c>
      <c r="L2053" t="s">
        <v>212</v>
      </c>
    </row>
    <row r="2054" spans="1:12">
      <c r="B2054" t="s">
        <v>2972</v>
      </c>
      <c r="C2054" t="s">
        <v>212</v>
      </c>
      <c r="D2054" t="s">
        <v>212</v>
      </c>
      <c r="E2054" t="s">
        <v>212</v>
      </c>
      <c r="F2054" t="s">
        <v>212</v>
      </c>
      <c r="G2054" t="s">
        <v>212</v>
      </c>
      <c r="H2054" t="s">
        <v>212</v>
      </c>
      <c r="I2054" t="s">
        <v>212</v>
      </c>
      <c r="J2054" t="s">
        <v>212</v>
      </c>
      <c r="K2054" t="s">
        <v>212</v>
      </c>
      <c r="L2054" t="s">
        <v>212</v>
      </c>
    </row>
    <row r="2055" spans="1:12">
      <c r="B2055" t="s">
        <v>2973</v>
      </c>
      <c r="C2055" t="s">
        <v>212</v>
      </c>
      <c r="D2055" t="s">
        <v>212</v>
      </c>
      <c r="E2055" t="s">
        <v>212</v>
      </c>
      <c r="F2055" t="s">
        <v>212</v>
      </c>
      <c r="G2055" t="s">
        <v>212</v>
      </c>
      <c r="H2055" t="s">
        <v>212</v>
      </c>
      <c r="I2055" t="s">
        <v>212</v>
      </c>
      <c r="J2055" t="s">
        <v>212</v>
      </c>
      <c r="K2055" t="s">
        <v>212</v>
      </c>
      <c r="L2055" t="s">
        <v>212</v>
      </c>
    </row>
    <row r="2056" spans="1:12">
      <c r="B2056" t="s">
        <v>820</v>
      </c>
      <c r="C2056" t="s">
        <v>212</v>
      </c>
      <c r="D2056" t="s">
        <v>212</v>
      </c>
      <c r="E2056" t="s">
        <v>212</v>
      </c>
      <c r="F2056" t="s">
        <v>212</v>
      </c>
      <c r="G2056" t="s">
        <v>212</v>
      </c>
      <c r="H2056" t="s">
        <v>212</v>
      </c>
      <c r="I2056" t="s">
        <v>212</v>
      </c>
      <c r="J2056" t="s">
        <v>212</v>
      </c>
      <c r="K2056" t="s">
        <v>212</v>
      </c>
      <c r="L2056" t="s">
        <v>212</v>
      </c>
    </row>
    <row r="2057" spans="1:12">
      <c r="B2057" t="s">
        <v>2974</v>
      </c>
      <c r="C2057" t="s">
        <v>212</v>
      </c>
      <c r="D2057" t="s">
        <v>212</v>
      </c>
      <c r="E2057" t="s">
        <v>212</v>
      </c>
      <c r="F2057" t="s">
        <v>212</v>
      </c>
      <c r="G2057" t="s">
        <v>212</v>
      </c>
      <c r="H2057" t="s">
        <v>212</v>
      </c>
      <c r="I2057" t="s">
        <v>212</v>
      </c>
      <c r="J2057" t="s">
        <v>212</v>
      </c>
      <c r="K2057" t="s">
        <v>212</v>
      </c>
      <c r="L2057" t="s">
        <v>212</v>
      </c>
    </row>
    <row r="2058" spans="1:12">
      <c r="B2058" t="s">
        <v>2975</v>
      </c>
      <c r="C2058" t="s">
        <v>212</v>
      </c>
      <c r="D2058" t="s">
        <v>212</v>
      </c>
      <c r="E2058" t="s">
        <v>212</v>
      </c>
      <c r="F2058" t="s">
        <v>212</v>
      </c>
      <c r="G2058" t="s">
        <v>212</v>
      </c>
      <c r="H2058" t="s">
        <v>212</v>
      </c>
      <c r="I2058" t="s">
        <v>212</v>
      </c>
      <c r="J2058" t="s">
        <v>212</v>
      </c>
      <c r="K2058" t="s">
        <v>212</v>
      </c>
      <c r="L2058" t="s">
        <v>212</v>
      </c>
    </row>
    <row r="2059" spans="1:12">
      <c r="B2059" t="s">
        <v>2976</v>
      </c>
      <c r="C2059" t="s">
        <v>212</v>
      </c>
      <c r="D2059" t="s">
        <v>212</v>
      </c>
      <c r="E2059" t="s">
        <v>212</v>
      </c>
      <c r="F2059" t="s">
        <v>212</v>
      </c>
      <c r="G2059" t="s">
        <v>212</v>
      </c>
      <c r="H2059" t="s">
        <v>212</v>
      </c>
      <c r="I2059" t="s">
        <v>212</v>
      </c>
      <c r="J2059" t="s">
        <v>212</v>
      </c>
      <c r="K2059" t="s">
        <v>212</v>
      </c>
      <c r="L2059" t="s">
        <v>212</v>
      </c>
    </row>
    <row r="2060" spans="1:12">
      <c r="B2060" t="s">
        <v>2977</v>
      </c>
      <c r="C2060" t="s">
        <v>212</v>
      </c>
      <c r="D2060" t="s">
        <v>212</v>
      </c>
      <c r="E2060" t="s">
        <v>212</v>
      </c>
      <c r="F2060" t="s">
        <v>212</v>
      </c>
      <c r="G2060" t="s">
        <v>212</v>
      </c>
      <c r="H2060" t="s">
        <v>212</v>
      </c>
      <c r="I2060" t="s">
        <v>212</v>
      </c>
      <c r="J2060" t="s">
        <v>212</v>
      </c>
      <c r="K2060" t="s">
        <v>212</v>
      </c>
      <c r="L2060" t="s">
        <v>212</v>
      </c>
    </row>
    <row r="2061" spans="1:12">
      <c r="B2061" t="s">
        <v>2978</v>
      </c>
      <c r="C2061" t="s">
        <v>212</v>
      </c>
      <c r="D2061" t="s">
        <v>212</v>
      </c>
      <c r="E2061" t="s">
        <v>212</v>
      </c>
      <c r="F2061" t="s">
        <v>212</v>
      </c>
      <c r="G2061" t="s">
        <v>212</v>
      </c>
      <c r="H2061" t="s">
        <v>212</v>
      </c>
      <c r="I2061" t="s">
        <v>212</v>
      </c>
      <c r="J2061" t="s">
        <v>212</v>
      </c>
      <c r="K2061" t="s">
        <v>212</v>
      </c>
      <c r="L2061" t="s">
        <v>212</v>
      </c>
    </row>
    <row r="2062" spans="1:12">
      <c r="B2062" t="s">
        <v>2979</v>
      </c>
      <c r="C2062" t="s">
        <v>212</v>
      </c>
      <c r="D2062" t="s">
        <v>212</v>
      </c>
      <c r="E2062" t="s">
        <v>212</v>
      </c>
      <c r="F2062" t="s">
        <v>212</v>
      </c>
      <c r="G2062" t="s">
        <v>212</v>
      </c>
      <c r="H2062" t="s">
        <v>212</v>
      </c>
      <c r="I2062" t="s">
        <v>212</v>
      </c>
      <c r="J2062" t="s">
        <v>212</v>
      </c>
      <c r="K2062" t="s">
        <v>212</v>
      </c>
      <c r="L2062" t="s">
        <v>212</v>
      </c>
    </row>
    <row r="2063" spans="1:12">
      <c r="B2063" t="s">
        <v>2980</v>
      </c>
      <c r="C2063" t="s">
        <v>212</v>
      </c>
      <c r="D2063" t="s">
        <v>212</v>
      </c>
      <c r="E2063" t="s">
        <v>212</v>
      </c>
      <c r="F2063" t="s">
        <v>212</v>
      </c>
      <c r="G2063" t="s">
        <v>212</v>
      </c>
      <c r="H2063" t="s">
        <v>212</v>
      </c>
      <c r="I2063" t="s">
        <v>212</v>
      </c>
      <c r="J2063" t="s">
        <v>212</v>
      </c>
      <c r="K2063" t="s">
        <v>212</v>
      </c>
      <c r="L2063" t="s">
        <v>212</v>
      </c>
    </row>
    <row r="2065" spans="1:12">
      <c r="B2065" t="s">
        <v>2981</v>
      </c>
      <c r="C2065">
        <v>0.5</v>
      </c>
      <c r="H2065">
        <v>10.210000000000001</v>
      </c>
    </row>
    <row r="2066" spans="1:12">
      <c r="B2066" t="s">
        <v>2982</v>
      </c>
      <c r="C2066">
        <v>0.5</v>
      </c>
      <c r="D2066">
        <v>477.85</v>
      </c>
      <c r="F2066">
        <v>6.85</v>
      </c>
      <c r="G2066">
        <v>6.4</v>
      </c>
      <c r="H2066">
        <v>10.210000000000001</v>
      </c>
      <c r="I2066">
        <v>1054.42</v>
      </c>
      <c r="K2066">
        <v>6.4</v>
      </c>
      <c r="L2066">
        <v>6.4</v>
      </c>
    </row>
    <row r="2067" spans="1:12">
      <c r="B2067" t="s">
        <v>2983</v>
      </c>
      <c r="C2067">
        <v>0.5</v>
      </c>
      <c r="D2067">
        <v>477.85</v>
      </c>
      <c r="F2067">
        <v>6.85</v>
      </c>
      <c r="G2067">
        <v>6.4</v>
      </c>
      <c r="H2067">
        <v>10.210000000000001</v>
      </c>
      <c r="I2067">
        <v>1054.42</v>
      </c>
      <c r="K2067">
        <v>6.4</v>
      </c>
      <c r="L2067">
        <v>6.4</v>
      </c>
    </row>
    <row r="2070" spans="1:12">
      <c r="A2070" t="s">
        <v>1914</v>
      </c>
    </row>
    <row r="2071" spans="1:12">
      <c r="A2071" t="s">
        <v>1915</v>
      </c>
      <c r="B2071" t="s">
        <v>2984</v>
      </c>
    </row>
    <row r="2072" spans="1:12">
      <c r="A2072" t="s">
        <v>1917</v>
      </c>
      <c r="B2072" t="s">
        <v>2087</v>
      </c>
    </row>
    <row r="2073" spans="1:12">
      <c r="C2073" t="s">
        <v>2985</v>
      </c>
      <c r="D2073" t="s">
        <v>2986</v>
      </c>
      <c r="E2073" t="s">
        <v>2987</v>
      </c>
      <c r="F2073" t="s">
        <v>2988</v>
      </c>
      <c r="G2073" t="s">
        <v>2989</v>
      </c>
      <c r="H2073" t="s">
        <v>2990</v>
      </c>
      <c r="I2073" t="s">
        <v>2991</v>
      </c>
      <c r="J2073" t="s">
        <v>2992</v>
      </c>
      <c r="K2073" t="s">
        <v>2988</v>
      </c>
      <c r="L2073" t="s">
        <v>2989</v>
      </c>
    </row>
    <row r="2074" spans="1:12">
      <c r="B2074" t="s">
        <v>2970</v>
      </c>
      <c r="C2074">
        <v>0.36</v>
      </c>
      <c r="D2074">
        <v>325.04000000000002</v>
      </c>
      <c r="E2074" t="s">
        <v>3004</v>
      </c>
      <c r="F2074">
        <v>6.85</v>
      </c>
      <c r="G2074">
        <v>6.4</v>
      </c>
      <c r="H2074">
        <v>6.48</v>
      </c>
      <c r="I2074">
        <v>669.62</v>
      </c>
      <c r="J2074" t="s">
        <v>2962</v>
      </c>
      <c r="K2074">
        <v>6.4</v>
      </c>
      <c r="L2074">
        <v>6.4</v>
      </c>
    </row>
    <row r="2075" spans="1:12">
      <c r="B2075" t="s">
        <v>2971</v>
      </c>
      <c r="C2075" t="s">
        <v>212</v>
      </c>
      <c r="D2075" t="s">
        <v>212</v>
      </c>
      <c r="E2075" t="s">
        <v>212</v>
      </c>
      <c r="F2075" t="s">
        <v>212</v>
      </c>
      <c r="G2075" t="s">
        <v>212</v>
      </c>
      <c r="H2075" t="s">
        <v>212</v>
      </c>
      <c r="I2075" t="s">
        <v>212</v>
      </c>
      <c r="J2075" t="s">
        <v>212</v>
      </c>
      <c r="K2075" t="s">
        <v>212</v>
      </c>
      <c r="L2075" t="s">
        <v>212</v>
      </c>
    </row>
    <row r="2076" spans="1:12">
      <c r="B2076" t="s">
        <v>2972</v>
      </c>
      <c r="C2076" t="s">
        <v>212</v>
      </c>
      <c r="D2076" t="s">
        <v>212</v>
      </c>
      <c r="E2076" t="s">
        <v>212</v>
      </c>
      <c r="F2076" t="s">
        <v>212</v>
      </c>
      <c r="G2076" t="s">
        <v>212</v>
      </c>
      <c r="H2076" t="s">
        <v>212</v>
      </c>
      <c r="I2076" t="s">
        <v>212</v>
      </c>
      <c r="J2076" t="s">
        <v>212</v>
      </c>
      <c r="K2076" t="s">
        <v>212</v>
      </c>
      <c r="L2076" t="s">
        <v>212</v>
      </c>
    </row>
    <row r="2077" spans="1:12">
      <c r="B2077" t="s">
        <v>2973</v>
      </c>
      <c r="C2077" t="s">
        <v>212</v>
      </c>
      <c r="D2077" t="s">
        <v>212</v>
      </c>
      <c r="E2077" t="s">
        <v>212</v>
      </c>
      <c r="F2077" t="s">
        <v>212</v>
      </c>
      <c r="G2077" t="s">
        <v>212</v>
      </c>
      <c r="H2077" t="s">
        <v>212</v>
      </c>
      <c r="I2077" t="s">
        <v>212</v>
      </c>
      <c r="J2077" t="s">
        <v>212</v>
      </c>
      <c r="K2077" t="s">
        <v>212</v>
      </c>
      <c r="L2077" t="s">
        <v>212</v>
      </c>
    </row>
    <row r="2078" spans="1:12">
      <c r="B2078" t="s">
        <v>820</v>
      </c>
      <c r="C2078" t="s">
        <v>212</v>
      </c>
      <c r="D2078" t="s">
        <v>212</v>
      </c>
      <c r="E2078" t="s">
        <v>212</v>
      </c>
      <c r="F2078" t="s">
        <v>212</v>
      </c>
      <c r="G2078" t="s">
        <v>212</v>
      </c>
      <c r="H2078" t="s">
        <v>212</v>
      </c>
      <c r="I2078" t="s">
        <v>212</v>
      </c>
      <c r="J2078" t="s">
        <v>212</v>
      </c>
      <c r="K2078" t="s">
        <v>212</v>
      </c>
      <c r="L2078" t="s">
        <v>212</v>
      </c>
    </row>
    <row r="2079" spans="1:12">
      <c r="B2079" t="s">
        <v>2974</v>
      </c>
      <c r="C2079" t="s">
        <v>212</v>
      </c>
      <c r="D2079" t="s">
        <v>212</v>
      </c>
      <c r="E2079" t="s">
        <v>212</v>
      </c>
      <c r="F2079" t="s">
        <v>212</v>
      </c>
      <c r="G2079" t="s">
        <v>212</v>
      </c>
      <c r="H2079" t="s">
        <v>212</v>
      </c>
      <c r="I2079" t="s">
        <v>212</v>
      </c>
      <c r="J2079" t="s">
        <v>212</v>
      </c>
      <c r="K2079" t="s">
        <v>212</v>
      </c>
      <c r="L2079" t="s">
        <v>212</v>
      </c>
    </row>
    <row r="2080" spans="1:12">
      <c r="B2080" t="s">
        <v>2975</v>
      </c>
      <c r="C2080" t="s">
        <v>212</v>
      </c>
      <c r="D2080" t="s">
        <v>212</v>
      </c>
      <c r="E2080" t="s">
        <v>212</v>
      </c>
      <c r="F2080" t="s">
        <v>212</v>
      </c>
      <c r="G2080" t="s">
        <v>212</v>
      </c>
      <c r="H2080" t="s">
        <v>212</v>
      </c>
      <c r="I2080" t="s">
        <v>212</v>
      </c>
      <c r="J2080" t="s">
        <v>212</v>
      </c>
      <c r="K2080" t="s">
        <v>212</v>
      </c>
      <c r="L2080" t="s">
        <v>212</v>
      </c>
    </row>
    <row r="2081" spans="1:12">
      <c r="B2081" t="s">
        <v>2976</v>
      </c>
      <c r="C2081" t="s">
        <v>212</v>
      </c>
      <c r="D2081" t="s">
        <v>212</v>
      </c>
      <c r="E2081" t="s">
        <v>212</v>
      </c>
      <c r="F2081" t="s">
        <v>212</v>
      </c>
      <c r="G2081" t="s">
        <v>212</v>
      </c>
      <c r="H2081" t="s">
        <v>212</v>
      </c>
      <c r="I2081" t="s">
        <v>212</v>
      </c>
      <c r="J2081" t="s">
        <v>212</v>
      </c>
      <c r="K2081" t="s">
        <v>212</v>
      </c>
      <c r="L2081" t="s">
        <v>212</v>
      </c>
    </row>
    <row r="2082" spans="1:12">
      <c r="B2082" t="s">
        <v>2977</v>
      </c>
      <c r="C2082" t="s">
        <v>212</v>
      </c>
      <c r="D2082" t="s">
        <v>212</v>
      </c>
      <c r="E2082" t="s">
        <v>212</v>
      </c>
      <c r="F2082" t="s">
        <v>212</v>
      </c>
      <c r="G2082" t="s">
        <v>212</v>
      </c>
      <c r="H2082" t="s">
        <v>212</v>
      </c>
      <c r="I2082" t="s">
        <v>212</v>
      </c>
      <c r="J2082" t="s">
        <v>212</v>
      </c>
      <c r="K2082" t="s">
        <v>212</v>
      </c>
      <c r="L2082" t="s">
        <v>212</v>
      </c>
    </row>
    <row r="2083" spans="1:12">
      <c r="B2083" t="s">
        <v>2978</v>
      </c>
      <c r="C2083" t="s">
        <v>212</v>
      </c>
      <c r="D2083" t="s">
        <v>212</v>
      </c>
      <c r="E2083" t="s">
        <v>212</v>
      </c>
      <c r="F2083" t="s">
        <v>212</v>
      </c>
      <c r="G2083" t="s">
        <v>212</v>
      </c>
      <c r="H2083" t="s">
        <v>212</v>
      </c>
      <c r="I2083" t="s">
        <v>212</v>
      </c>
      <c r="J2083" t="s">
        <v>212</v>
      </c>
      <c r="K2083" t="s">
        <v>212</v>
      </c>
      <c r="L2083" t="s">
        <v>212</v>
      </c>
    </row>
    <row r="2084" spans="1:12">
      <c r="B2084" t="s">
        <v>2979</v>
      </c>
      <c r="C2084" t="s">
        <v>212</v>
      </c>
      <c r="D2084" t="s">
        <v>212</v>
      </c>
      <c r="E2084" t="s">
        <v>212</v>
      </c>
      <c r="F2084" t="s">
        <v>212</v>
      </c>
      <c r="G2084" t="s">
        <v>212</v>
      </c>
      <c r="H2084" t="s">
        <v>212</v>
      </c>
      <c r="I2084" t="s">
        <v>212</v>
      </c>
      <c r="J2084" t="s">
        <v>212</v>
      </c>
      <c r="K2084" t="s">
        <v>212</v>
      </c>
      <c r="L2084" t="s">
        <v>212</v>
      </c>
    </row>
    <row r="2085" spans="1:12">
      <c r="B2085" t="s">
        <v>2980</v>
      </c>
      <c r="C2085" t="s">
        <v>212</v>
      </c>
      <c r="D2085" t="s">
        <v>212</v>
      </c>
      <c r="E2085" t="s">
        <v>212</v>
      </c>
      <c r="F2085" t="s">
        <v>212</v>
      </c>
      <c r="G2085" t="s">
        <v>212</v>
      </c>
      <c r="H2085" t="s">
        <v>212</v>
      </c>
      <c r="I2085" t="s">
        <v>212</v>
      </c>
      <c r="J2085" t="s">
        <v>212</v>
      </c>
      <c r="K2085" t="s">
        <v>212</v>
      </c>
      <c r="L2085" t="s">
        <v>212</v>
      </c>
    </row>
    <row r="2087" spans="1:12">
      <c r="B2087" t="s">
        <v>2981</v>
      </c>
      <c r="C2087">
        <v>0.36</v>
      </c>
      <c r="H2087">
        <v>6.48</v>
      </c>
    </row>
    <row r="2088" spans="1:12">
      <c r="B2088" t="s">
        <v>2982</v>
      </c>
      <c r="C2088">
        <v>0.36</v>
      </c>
      <c r="D2088">
        <v>325.04000000000002</v>
      </c>
      <c r="F2088">
        <v>6.85</v>
      </c>
      <c r="G2088">
        <v>6.4</v>
      </c>
      <c r="H2088">
        <v>6.48</v>
      </c>
      <c r="I2088">
        <v>669.62</v>
      </c>
      <c r="K2088">
        <v>6.4</v>
      </c>
      <c r="L2088">
        <v>6.4</v>
      </c>
    </row>
    <row r="2089" spans="1:12">
      <c r="B2089" t="s">
        <v>2983</v>
      </c>
      <c r="C2089">
        <v>0.36</v>
      </c>
      <c r="D2089">
        <v>325.04000000000002</v>
      </c>
      <c r="F2089">
        <v>6.85</v>
      </c>
      <c r="G2089">
        <v>6.4</v>
      </c>
      <c r="H2089">
        <v>6.48</v>
      </c>
      <c r="I2089">
        <v>669.62</v>
      </c>
      <c r="K2089">
        <v>6.4</v>
      </c>
      <c r="L2089">
        <v>6.4</v>
      </c>
    </row>
    <row r="2092" spans="1:12">
      <c r="A2092" t="s">
        <v>1914</v>
      </c>
    </row>
    <row r="2093" spans="1:12">
      <c r="A2093" t="s">
        <v>1915</v>
      </c>
      <c r="B2093" t="s">
        <v>2984</v>
      </c>
    </row>
    <row r="2094" spans="1:12">
      <c r="A2094" t="s">
        <v>1917</v>
      </c>
      <c r="B2094" t="s">
        <v>2088</v>
      </c>
    </row>
    <row r="2095" spans="1:12">
      <c r="C2095" t="s">
        <v>2985</v>
      </c>
      <c r="D2095" t="s">
        <v>2986</v>
      </c>
      <c r="E2095" t="s">
        <v>2987</v>
      </c>
      <c r="F2095" t="s">
        <v>2988</v>
      </c>
      <c r="G2095" t="s">
        <v>2989</v>
      </c>
      <c r="H2095" t="s">
        <v>2990</v>
      </c>
      <c r="I2095" t="s">
        <v>2991</v>
      </c>
      <c r="J2095" t="s">
        <v>2992</v>
      </c>
      <c r="K2095" t="s">
        <v>2988</v>
      </c>
      <c r="L2095" t="s">
        <v>2989</v>
      </c>
    </row>
    <row r="2096" spans="1:12">
      <c r="B2096" t="s">
        <v>2970</v>
      </c>
      <c r="C2096">
        <v>0.53</v>
      </c>
      <c r="D2096">
        <v>507.51</v>
      </c>
      <c r="E2096" t="s">
        <v>3004</v>
      </c>
      <c r="F2096">
        <v>6.85</v>
      </c>
      <c r="G2096">
        <v>6.4</v>
      </c>
      <c r="H2096">
        <v>10.210000000000001</v>
      </c>
      <c r="I2096">
        <v>1054.42</v>
      </c>
      <c r="J2096" t="s">
        <v>2962</v>
      </c>
      <c r="K2096">
        <v>6.4</v>
      </c>
      <c r="L2096">
        <v>6.4</v>
      </c>
    </row>
    <row r="2097" spans="2:12">
      <c r="B2097" t="s">
        <v>2971</v>
      </c>
      <c r="C2097" t="s">
        <v>212</v>
      </c>
      <c r="D2097" t="s">
        <v>212</v>
      </c>
      <c r="E2097" t="s">
        <v>212</v>
      </c>
      <c r="F2097" t="s">
        <v>212</v>
      </c>
      <c r="G2097" t="s">
        <v>212</v>
      </c>
      <c r="H2097" t="s">
        <v>212</v>
      </c>
      <c r="I2097" t="s">
        <v>212</v>
      </c>
      <c r="J2097" t="s">
        <v>212</v>
      </c>
      <c r="K2097" t="s">
        <v>212</v>
      </c>
      <c r="L2097" t="s">
        <v>212</v>
      </c>
    </row>
    <row r="2098" spans="2:12">
      <c r="B2098" t="s">
        <v>2972</v>
      </c>
      <c r="C2098" t="s">
        <v>212</v>
      </c>
      <c r="D2098" t="s">
        <v>212</v>
      </c>
      <c r="E2098" t="s">
        <v>212</v>
      </c>
      <c r="F2098" t="s">
        <v>212</v>
      </c>
      <c r="G2098" t="s">
        <v>212</v>
      </c>
      <c r="H2098" t="s">
        <v>212</v>
      </c>
      <c r="I2098" t="s">
        <v>212</v>
      </c>
      <c r="J2098" t="s">
        <v>212</v>
      </c>
      <c r="K2098" t="s">
        <v>212</v>
      </c>
      <c r="L2098" t="s">
        <v>212</v>
      </c>
    </row>
    <row r="2099" spans="2:12">
      <c r="B2099" t="s">
        <v>2973</v>
      </c>
      <c r="C2099" t="s">
        <v>212</v>
      </c>
      <c r="D2099" t="s">
        <v>212</v>
      </c>
      <c r="E2099" t="s">
        <v>212</v>
      </c>
      <c r="F2099" t="s">
        <v>212</v>
      </c>
      <c r="G2099" t="s">
        <v>212</v>
      </c>
      <c r="H2099" t="s">
        <v>212</v>
      </c>
      <c r="I2099" t="s">
        <v>212</v>
      </c>
      <c r="J2099" t="s">
        <v>212</v>
      </c>
      <c r="K2099" t="s">
        <v>212</v>
      </c>
      <c r="L2099" t="s">
        <v>212</v>
      </c>
    </row>
    <row r="2100" spans="2:12">
      <c r="B2100" t="s">
        <v>820</v>
      </c>
      <c r="C2100" t="s">
        <v>212</v>
      </c>
      <c r="D2100" t="s">
        <v>212</v>
      </c>
      <c r="E2100" t="s">
        <v>212</v>
      </c>
      <c r="F2100" t="s">
        <v>212</v>
      </c>
      <c r="G2100" t="s">
        <v>212</v>
      </c>
      <c r="H2100" t="s">
        <v>212</v>
      </c>
      <c r="I2100" t="s">
        <v>212</v>
      </c>
      <c r="J2100" t="s">
        <v>212</v>
      </c>
      <c r="K2100" t="s">
        <v>212</v>
      </c>
      <c r="L2100" t="s">
        <v>212</v>
      </c>
    </row>
    <row r="2101" spans="2:12">
      <c r="B2101" t="s">
        <v>2974</v>
      </c>
      <c r="C2101" t="s">
        <v>212</v>
      </c>
      <c r="D2101" t="s">
        <v>212</v>
      </c>
      <c r="E2101" t="s">
        <v>212</v>
      </c>
      <c r="F2101" t="s">
        <v>212</v>
      </c>
      <c r="G2101" t="s">
        <v>212</v>
      </c>
      <c r="H2101" t="s">
        <v>212</v>
      </c>
      <c r="I2101" t="s">
        <v>212</v>
      </c>
      <c r="J2101" t="s">
        <v>212</v>
      </c>
      <c r="K2101" t="s">
        <v>212</v>
      </c>
      <c r="L2101" t="s">
        <v>212</v>
      </c>
    </row>
    <row r="2102" spans="2:12">
      <c r="B2102" t="s">
        <v>2975</v>
      </c>
      <c r="C2102" t="s">
        <v>212</v>
      </c>
      <c r="D2102" t="s">
        <v>212</v>
      </c>
      <c r="E2102" t="s">
        <v>212</v>
      </c>
      <c r="F2102" t="s">
        <v>212</v>
      </c>
      <c r="G2102" t="s">
        <v>212</v>
      </c>
      <c r="H2102" t="s">
        <v>212</v>
      </c>
      <c r="I2102" t="s">
        <v>212</v>
      </c>
      <c r="J2102" t="s">
        <v>212</v>
      </c>
      <c r="K2102" t="s">
        <v>212</v>
      </c>
      <c r="L2102" t="s">
        <v>212</v>
      </c>
    </row>
    <row r="2103" spans="2:12">
      <c r="B2103" t="s">
        <v>2976</v>
      </c>
      <c r="C2103" t="s">
        <v>212</v>
      </c>
      <c r="D2103" t="s">
        <v>212</v>
      </c>
      <c r="E2103" t="s">
        <v>212</v>
      </c>
      <c r="F2103" t="s">
        <v>212</v>
      </c>
      <c r="G2103" t="s">
        <v>212</v>
      </c>
      <c r="H2103" t="s">
        <v>212</v>
      </c>
      <c r="I2103" t="s">
        <v>212</v>
      </c>
      <c r="J2103" t="s">
        <v>212</v>
      </c>
      <c r="K2103" t="s">
        <v>212</v>
      </c>
      <c r="L2103" t="s">
        <v>212</v>
      </c>
    </row>
    <row r="2104" spans="2:12">
      <c r="B2104" t="s">
        <v>2977</v>
      </c>
      <c r="C2104" t="s">
        <v>212</v>
      </c>
      <c r="D2104" t="s">
        <v>212</v>
      </c>
      <c r="E2104" t="s">
        <v>212</v>
      </c>
      <c r="F2104" t="s">
        <v>212</v>
      </c>
      <c r="G2104" t="s">
        <v>212</v>
      </c>
      <c r="H2104" t="s">
        <v>212</v>
      </c>
      <c r="I2104" t="s">
        <v>212</v>
      </c>
      <c r="J2104" t="s">
        <v>212</v>
      </c>
      <c r="K2104" t="s">
        <v>212</v>
      </c>
      <c r="L2104" t="s">
        <v>212</v>
      </c>
    </row>
    <row r="2105" spans="2:12">
      <c r="B2105" t="s">
        <v>2978</v>
      </c>
      <c r="C2105" t="s">
        <v>212</v>
      </c>
      <c r="D2105" t="s">
        <v>212</v>
      </c>
      <c r="E2105" t="s">
        <v>212</v>
      </c>
      <c r="F2105" t="s">
        <v>212</v>
      </c>
      <c r="G2105" t="s">
        <v>212</v>
      </c>
      <c r="H2105" t="s">
        <v>212</v>
      </c>
      <c r="I2105" t="s">
        <v>212</v>
      </c>
      <c r="J2105" t="s">
        <v>212</v>
      </c>
      <c r="K2105" t="s">
        <v>212</v>
      </c>
      <c r="L2105" t="s">
        <v>212</v>
      </c>
    </row>
    <row r="2106" spans="2:12">
      <c r="B2106" t="s">
        <v>2979</v>
      </c>
      <c r="C2106" t="s">
        <v>212</v>
      </c>
      <c r="D2106" t="s">
        <v>212</v>
      </c>
      <c r="E2106" t="s">
        <v>212</v>
      </c>
      <c r="F2106" t="s">
        <v>212</v>
      </c>
      <c r="G2106" t="s">
        <v>212</v>
      </c>
      <c r="H2106" t="s">
        <v>212</v>
      </c>
      <c r="I2106" t="s">
        <v>212</v>
      </c>
      <c r="J2106" t="s">
        <v>212</v>
      </c>
      <c r="K2106" t="s">
        <v>212</v>
      </c>
      <c r="L2106" t="s">
        <v>212</v>
      </c>
    </row>
    <row r="2107" spans="2:12">
      <c r="B2107" t="s">
        <v>2980</v>
      </c>
      <c r="C2107" t="s">
        <v>212</v>
      </c>
      <c r="D2107" t="s">
        <v>212</v>
      </c>
      <c r="E2107" t="s">
        <v>212</v>
      </c>
      <c r="F2107" t="s">
        <v>212</v>
      </c>
      <c r="G2107" t="s">
        <v>212</v>
      </c>
      <c r="H2107" t="s">
        <v>212</v>
      </c>
      <c r="I2107" t="s">
        <v>212</v>
      </c>
      <c r="J2107" t="s">
        <v>212</v>
      </c>
      <c r="K2107" t="s">
        <v>212</v>
      </c>
      <c r="L2107" t="s">
        <v>212</v>
      </c>
    </row>
    <row r="2109" spans="2:12">
      <c r="B2109" t="s">
        <v>2981</v>
      </c>
      <c r="C2109">
        <v>0.53</v>
      </c>
      <c r="H2109">
        <v>10.210000000000001</v>
      </c>
    </row>
    <row r="2110" spans="2:12">
      <c r="B2110" t="s">
        <v>2982</v>
      </c>
      <c r="C2110">
        <v>0.53</v>
      </c>
      <c r="D2110">
        <v>507.51</v>
      </c>
      <c r="F2110">
        <v>6.85</v>
      </c>
      <c r="G2110">
        <v>6.4</v>
      </c>
      <c r="H2110">
        <v>10.210000000000001</v>
      </c>
      <c r="I2110">
        <v>1054.42</v>
      </c>
      <c r="K2110">
        <v>6.4</v>
      </c>
      <c r="L2110">
        <v>6.4</v>
      </c>
    </row>
    <row r="2111" spans="2:12">
      <c r="B2111" t="s">
        <v>2983</v>
      </c>
      <c r="C2111">
        <v>0.53</v>
      </c>
      <c r="D2111">
        <v>507.51</v>
      </c>
      <c r="F2111">
        <v>6.85</v>
      </c>
      <c r="G2111">
        <v>6.4</v>
      </c>
      <c r="H2111">
        <v>10.210000000000001</v>
      </c>
      <c r="I2111">
        <v>1054.42</v>
      </c>
      <c r="K2111">
        <v>6.4</v>
      </c>
      <c r="L2111">
        <v>6.4</v>
      </c>
    </row>
    <row r="2114" spans="1:12">
      <c r="A2114" t="s">
        <v>1914</v>
      </c>
    </row>
    <row r="2115" spans="1:12">
      <c r="A2115" t="s">
        <v>1915</v>
      </c>
      <c r="B2115" t="s">
        <v>2984</v>
      </c>
    </row>
    <row r="2116" spans="1:12">
      <c r="A2116" t="s">
        <v>1917</v>
      </c>
      <c r="B2116" t="s">
        <v>2089</v>
      </c>
    </row>
    <row r="2117" spans="1:12">
      <c r="C2117" t="s">
        <v>2985</v>
      </c>
      <c r="D2117" t="s">
        <v>2986</v>
      </c>
      <c r="E2117" t="s">
        <v>2987</v>
      </c>
      <c r="F2117" t="s">
        <v>2988</v>
      </c>
      <c r="G2117" t="s">
        <v>2989</v>
      </c>
      <c r="H2117" t="s">
        <v>2990</v>
      </c>
      <c r="I2117" t="s">
        <v>2991</v>
      </c>
      <c r="J2117" t="s">
        <v>2992</v>
      </c>
      <c r="K2117" t="s">
        <v>2988</v>
      </c>
      <c r="L2117" t="s">
        <v>2989</v>
      </c>
    </row>
    <row r="2118" spans="1:12">
      <c r="B2118" t="s">
        <v>2970</v>
      </c>
      <c r="C2118">
        <v>0.38</v>
      </c>
      <c r="D2118">
        <v>330.67</v>
      </c>
      <c r="E2118" t="s">
        <v>3004</v>
      </c>
      <c r="F2118">
        <v>6.85</v>
      </c>
      <c r="G2118">
        <v>6.4</v>
      </c>
      <c r="H2118">
        <v>6.48</v>
      </c>
      <c r="I2118">
        <v>669.62</v>
      </c>
      <c r="J2118" t="s">
        <v>2962</v>
      </c>
      <c r="K2118">
        <v>6.4</v>
      </c>
      <c r="L2118">
        <v>6.4</v>
      </c>
    </row>
    <row r="2119" spans="1:12">
      <c r="B2119" t="s">
        <v>2971</v>
      </c>
      <c r="C2119" t="s">
        <v>212</v>
      </c>
      <c r="D2119" t="s">
        <v>212</v>
      </c>
      <c r="E2119" t="s">
        <v>212</v>
      </c>
      <c r="F2119" t="s">
        <v>212</v>
      </c>
      <c r="G2119" t="s">
        <v>212</v>
      </c>
      <c r="H2119" t="s">
        <v>212</v>
      </c>
      <c r="I2119" t="s">
        <v>212</v>
      </c>
      <c r="J2119" t="s">
        <v>212</v>
      </c>
      <c r="K2119" t="s">
        <v>212</v>
      </c>
      <c r="L2119" t="s">
        <v>212</v>
      </c>
    </row>
    <row r="2120" spans="1:12">
      <c r="B2120" t="s">
        <v>2972</v>
      </c>
      <c r="C2120" t="s">
        <v>212</v>
      </c>
      <c r="D2120" t="s">
        <v>212</v>
      </c>
      <c r="E2120" t="s">
        <v>212</v>
      </c>
      <c r="F2120" t="s">
        <v>212</v>
      </c>
      <c r="G2120" t="s">
        <v>212</v>
      </c>
      <c r="H2120" t="s">
        <v>212</v>
      </c>
      <c r="I2120" t="s">
        <v>212</v>
      </c>
      <c r="J2120" t="s">
        <v>212</v>
      </c>
      <c r="K2120" t="s">
        <v>212</v>
      </c>
      <c r="L2120" t="s">
        <v>212</v>
      </c>
    </row>
    <row r="2121" spans="1:12">
      <c r="B2121" t="s">
        <v>2973</v>
      </c>
      <c r="C2121" t="s">
        <v>212</v>
      </c>
      <c r="D2121" t="s">
        <v>212</v>
      </c>
      <c r="E2121" t="s">
        <v>212</v>
      </c>
      <c r="F2121" t="s">
        <v>212</v>
      </c>
      <c r="G2121" t="s">
        <v>212</v>
      </c>
      <c r="H2121" t="s">
        <v>212</v>
      </c>
      <c r="I2121" t="s">
        <v>212</v>
      </c>
      <c r="J2121" t="s">
        <v>212</v>
      </c>
      <c r="K2121" t="s">
        <v>212</v>
      </c>
      <c r="L2121" t="s">
        <v>212</v>
      </c>
    </row>
    <row r="2122" spans="1:12">
      <c r="B2122" t="s">
        <v>820</v>
      </c>
      <c r="C2122" t="s">
        <v>212</v>
      </c>
      <c r="D2122" t="s">
        <v>212</v>
      </c>
      <c r="E2122" t="s">
        <v>212</v>
      </c>
      <c r="F2122" t="s">
        <v>212</v>
      </c>
      <c r="G2122" t="s">
        <v>212</v>
      </c>
      <c r="H2122" t="s">
        <v>212</v>
      </c>
      <c r="I2122" t="s">
        <v>212</v>
      </c>
      <c r="J2122" t="s">
        <v>212</v>
      </c>
      <c r="K2122" t="s">
        <v>212</v>
      </c>
      <c r="L2122" t="s">
        <v>212</v>
      </c>
    </row>
    <row r="2123" spans="1:12">
      <c r="B2123" t="s">
        <v>2974</v>
      </c>
      <c r="C2123" t="s">
        <v>212</v>
      </c>
      <c r="D2123" t="s">
        <v>212</v>
      </c>
      <c r="E2123" t="s">
        <v>212</v>
      </c>
      <c r="F2123" t="s">
        <v>212</v>
      </c>
      <c r="G2123" t="s">
        <v>212</v>
      </c>
      <c r="H2123" t="s">
        <v>212</v>
      </c>
      <c r="I2123" t="s">
        <v>212</v>
      </c>
      <c r="J2123" t="s">
        <v>212</v>
      </c>
      <c r="K2123" t="s">
        <v>212</v>
      </c>
      <c r="L2123" t="s">
        <v>212</v>
      </c>
    </row>
    <row r="2124" spans="1:12">
      <c r="B2124" t="s">
        <v>2975</v>
      </c>
      <c r="C2124" t="s">
        <v>212</v>
      </c>
      <c r="D2124" t="s">
        <v>212</v>
      </c>
      <c r="E2124" t="s">
        <v>212</v>
      </c>
      <c r="F2124" t="s">
        <v>212</v>
      </c>
      <c r="G2124" t="s">
        <v>212</v>
      </c>
      <c r="H2124" t="s">
        <v>212</v>
      </c>
      <c r="I2124" t="s">
        <v>212</v>
      </c>
      <c r="J2124" t="s">
        <v>212</v>
      </c>
      <c r="K2124" t="s">
        <v>212</v>
      </c>
      <c r="L2124" t="s">
        <v>212</v>
      </c>
    </row>
    <row r="2125" spans="1:12">
      <c r="B2125" t="s">
        <v>2976</v>
      </c>
      <c r="C2125" t="s">
        <v>212</v>
      </c>
      <c r="D2125" t="s">
        <v>212</v>
      </c>
      <c r="E2125" t="s">
        <v>212</v>
      </c>
      <c r="F2125" t="s">
        <v>212</v>
      </c>
      <c r="G2125" t="s">
        <v>212</v>
      </c>
      <c r="H2125" t="s">
        <v>212</v>
      </c>
      <c r="I2125" t="s">
        <v>212</v>
      </c>
      <c r="J2125" t="s">
        <v>212</v>
      </c>
      <c r="K2125" t="s">
        <v>212</v>
      </c>
      <c r="L2125" t="s">
        <v>212</v>
      </c>
    </row>
    <row r="2126" spans="1:12">
      <c r="B2126" t="s">
        <v>2977</v>
      </c>
      <c r="C2126" t="s">
        <v>212</v>
      </c>
      <c r="D2126" t="s">
        <v>212</v>
      </c>
      <c r="E2126" t="s">
        <v>212</v>
      </c>
      <c r="F2126" t="s">
        <v>212</v>
      </c>
      <c r="G2126" t="s">
        <v>212</v>
      </c>
      <c r="H2126" t="s">
        <v>212</v>
      </c>
      <c r="I2126" t="s">
        <v>212</v>
      </c>
      <c r="J2126" t="s">
        <v>212</v>
      </c>
      <c r="K2126" t="s">
        <v>212</v>
      </c>
      <c r="L2126" t="s">
        <v>212</v>
      </c>
    </row>
    <row r="2127" spans="1:12">
      <c r="B2127" t="s">
        <v>2978</v>
      </c>
      <c r="C2127" t="s">
        <v>212</v>
      </c>
      <c r="D2127" t="s">
        <v>212</v>
      </c>
      <c r="E2127" t="s">
        <v>212</v>
      </c>
      <c r="F2127" t="s">
        <v>212</v>
      </c>
      <c r="G2127" t="s">
        <v>212</v>
      </c>
      <c r="H2127" t="s">
        <v>212</v>
      </c>
      <c r="I2127" t="s">
        <v>212</v>
      </c>
      <c r="J2127" t="s">
        <v>212</v>
      </c>
      <c r="K2127" t="s">
        <v>212</v>
      </c>
      <c r="L2127" t="s">
        <v>212</v>
      </c>
    </row>
    <row r="2128" spans="1:12">
      <c r="B2128" t="s">
        <v>2979</v>
      </c>
      <c r="C2128" t="s">
        <v>212</v>
      </c>
      <c r="D2128" t="s">
        <v>212</v>
      </c>
      <c r="E2128" t="s">
        <v>212</v>
      </c>
      <c r="F2128" t="s">
        <v>212</v>
      </c>
      <c r="G2128" t="s">
        <v>212</v>
      </c>
      <c r="H2128" t="s">
        <v>212</v>
      </c>
      <c r="I2128" t="s">
        <v>212</v>
      </c>
      <c r="J2128" t="s">
        <v>212</v>
      </c>
      <c r="K2128" t="s">
        <v>212</v>
      </c>
      <c r="L2128" t="s">
        <v>212</v>
      </c>
    </row>
    <row r="2129" spans="1:12">
      <c r="B2129" t="s">
        <v>2980</v>
      </c>
      <c r="C2129" t="s">
        <v>212</v>
      </c>
      <c r="D2129" t="s">
        <v>212</v>
      </c>
      <c r="E2129" t="s">
        <v>212</v>
      </c>
      <c r="F2129" t="s">
        <v>212</v>
      </c>
      <c r="G2129" t="s">
        <v>212</v>
      </c>
      <c r="H2129" t="s">
        <v>212</v>
      </c>
      <c r="I2129" t="s">
        <v>212</v>
      </c>
      <c r="J2129" t="s">
        <v>212</v>
      </c>
      <c r="K2129" t="s">
        <v>212</v>
      </c>
      <c r="L2129" t="s">
        <v>212</v>
      </c>
    </row>
    <row r="2131" spans="1:12">
      <c r="B2131" t="s">
        <v>2981</v>
      </c>
      <c r="C2131">
        <v>0.38</v>
      </c>
      <c r="H2131">
        <v>6.48</v>
      </c>
    </row>
    <row r="2132" spans="1:12">
      <c r="B2132" t="s">
        <v>2982</v>
      </c>
      <c r="C2132">
        <v>0.38</v>
      </c>
      <c r="D2132">
        <v>330.67</v>
      </c>
      <c r="F2132">
        <v>6.85</v>
      </c>
      <c r="G2132">
        <v>6.4</v>
      </c>
      <c r="H2132">
        <v>6.48</v>
      </c>
      <c r="I2132">
        <v>669.62</v>
      </c>
      <c r="K2132">
        <v>6.4</v>
      </c>
      <c r="L2132">
        <v>6.4</v>
      </c>
    </row>
    <row r="2133" spans="1:12">
      <c r="B2133" t="s">
        <v>2983</v>
      </c>
      <c r="C2133">
        <v>0.38</v>
      </c>
      <c r="D2133">
        <v>330.67</v>
      </c>
      <c r="F2133">
        <v>6.85</v>
      </c>
      <c r="G2133">
        <v>6.4</v>
      </c>
      <c r="H2133">
        <v>6.48</v>
      </c>
      <c r="I2133">
        <v>669.62</v>
      </c>
      <c r="K2133">
        <v>6.4</v>
      </c>
      <c r="L2133">
        <v>6.4</v>
      </c>
    </row>
    <row r="2136" spans="1:12">
      <c r="A2136" t="s">
        <v>1914</v>
      </c>
    </row>
    <row r="2137" spans="1:12">
      <c r="A2137" t="s">
        <v>1915</v>
      </c>
      <c r="B2137" t="s">
        <v>2984</v>
      </c>
    </row>
    <row r="2138" spans="1:12">
      <c r="A2138" t="s">
        <v>1917</v>
      </c>
      <c r="B2138" t="s">
        <v>2090</v>
      </c>
    </row>
    <row r="2139" spans="1:12">
      <c r="C2139" t="s">
        <v>2985</v>
      </c>
      <c r="D2139" t="s">
        <v>2986</v>
      </c>
      <c r="E2139" t="s">
        <v>2987</v>
      </c>
      <c r="F2139" t="s">
        <v>2988</v>
      </c>
      <c r="G2139" t="s">
        <v>2989</v>
      </c>
      <c r="H2139" t="s">
        <v>2990</v>
      </c>
      <c r="I2139" t="s">
        <v>2991</v>
      </c>
      <c r="J2139" t="s">
        <v>2992</v>
      </c>
      <c r="K2139" t="s">
        <v>2988</v>
      </c>
      <c r="L2139" t="s">
        <v>2989</v>
      </c>
    </row>
    <row r="2140" spans="1:12">
      <c r="B2140" t="s">
        <v>2970</v>
      </c>
      <c r="C2140">
        <v>162.41999999999999</v>
      </c>
      <c r="D2140">
        <v>32666.95</v>
      </c>
      <c r="E2140" t="s">
        <v>3005</v>
      </c>
      <c r="F2140">
        <v>8.07</v>
      </c>
      <c r="G2140">
        <v>7.54</v>
      </c>
      <c r="H2140">
        <v>52.66</v>
      </c>
      <c r="I2140">
        <v>5437.87</v>
      </c>
      <c r="J2140" t="s">
        <v>2962</v>
      </c>
      <c r="K2140">
        <v>6.4</v>
      </c>
      <c r="L2140">
        <v>6.4</v>
      </c>
    </row>
    <row r="2141" spans="1:12">
      <c r="B2141" t="s">
        <v>2971</v>
      </c>
      <c r="C2141" t="s">
        <v>212</v>
      </c>
      <c r="D2141" t="s">
        <v>212</v>
      </c>
      <c r="E2141" t="s">
        <v>212</v>
      </c>
      <c r="F2141" t="s">
        <v>212</v>
      </c>
      <c r="G2141" t="s">
        <v>212</v>
      </c>
      <c r="H2141" t="s">
        <v>212</v>
      </c>
      <c r="I2141" t="s">
        <v>212</v>
      </c>
      <c r="J2141" t="s">
        <v>212</v>
      </c>
      <c r="K2141" t="s">
        <v>212</v>
      </c>
      <c r="L2141" t="s">
        <v>212</v>
      </c>
    </row>
    <row r="2142" spans="1:12">
      <c r="B2142" t="s">
        <v>2972</v>
      </c>
      <c r="C2142" t="s">
        <v>212</v>
      </c>
      <c r="D2142" t="s">
        <v>212</v>
      </c>
      <c r="E2142" t="s">
        <v>212</v>
      </c>
      <c r="F2142" t="s">
        <v>212</v>
      </c>
      <c r="G2142" t="s">
        <v>212</v>
      </c>
      <c r="H2142" t="s">
        <v>212</v>
      </c>
      <c r="I2142" t="s">
        <v>212</v>
      </c>
      <c r="J2142" t="s">
        <v>212</v>
      </c>
      <c r="K2142" t="s">
        <v>212</v>
      </c>
      <c r="L2142" t="s">
        <v>212</v>
      </c>
    </row>
    <row r="2143" spans="1:12">
      <c r="B2143" t="s">
        <v>2973</v>
      </c>
      <c r="C2143" t="s">
        <v>212</v>
      </c>
      <c r="D2143" t="s">
        <v>212</v>
      </c>
      <c r="E2143" t="s">
        <v>212</v>
      </c>
      <c r="F2143" t="s">
        <v>212</v>
      </c>
      <c r="G2143" t="s">
        <v>212</v>
      </c>
      <c r="H2143" t="s">
        <v>212</v>
      </c>
      <c r="I2143" t="s">
        <v>212</v>
      </c>
      <c r="J2143" t="s">
        <v>212</v>
      </c>
      <c r="K2143" t="s">
        <v>212</v>
      </c>
      <c r="L2143" t="s">
        <v>212</v>
      </c>
    </row>
    <row r="2144" spans="1:12">
      <c r="B2144" t="s">
        <v>820</v>
      </c>
      <c r="C2144" t="s">
        <v>212</v>
      </c>
      <c r="D2144" t="s">
        <v>212</v>
      </c>
      <c r="E2144" t="s">
        <v>212</v>
      </c>
      <c r="F2144" t="s">
        <v>212</v>
      </c>
      <c r="G2144" t="s">
        <v>212</v>
      </c>
      <c r="H2144" t="s">
        <v>212</v>
      </c>
      <c r="I2144" t="s">
        <v>212</v>
      </c>
      <c r="J2144" t="s">
        <v>212</v>
      </c>
      <c r="K2144" t="s">
        <v>212</v>
      </c>
      <c r="L2144" t="s">
        <v>212</v>
      </c>
    </row>
    <row r="2145" spans="1:12">
      <c r="B2145" t="s">
        <v>2974</v>
      </c>
      <c r="C2145" t="s">
        <v>212</v>
      </c>
      <c r="D2145" t="s">
        <v>212</v>
      </c>
      <c r="E2145" t="s">
        <v>212</v>
      </c>
      <c r="F2145" t="s">
        <v>212</v>
      </c>
      <c r="G2145" t="s">
        <v>212</v>
      </c>
      <c r="H2145" t="s">
        <v>212</v>
      </c>
      <c r="I2145" t="s">
        <v>212</v>
      </c>
      <c r="J2145" t="s">
        <v>212</v>
      </c>
      <c r="K2145" t="s">
        <v>212</v>
      </c>
      <c r="L2145" t="s">
        <v>212</v>
      </c>
    </row>
    <row r="2146" spans="1:12">
      <c r="B2146" t="s">
        <v>2975</v>
      </c>
      <c r="C2146" t="s">
        <v>212</v>
      </c>
      <c r="D2146" t="s">
        <v>212</v>
      </c>
      <c r="E2146" t="s">
        <v>212</v>
      </c>
      <c r="F2146" t="s">
        <v>212</v>
      </c>
      <c r="G2146" t="s">
        <v>212</v>
      </c>
      <c r="H2146" t="s">
        <v>212</v>
      </c>
      <c r="I2146" t="s">
        <v>212</v>
      </c>
      <c r="J2146" t="s">
        <v>212</v>
      </c>
      <c r="K2146" t="s">
        <v>212</v>
      </c>
      <c r="L2146" t="s">
        <v>212</v>
      </c>
    </row>
    <row r="2147" spans="1:12">
      <c r="B2147" t="s">
        <v>2976</v>
      </c>
      <c r="C2147" t="s">
        <v>212</v>
      </c>
      <c r="D2147" t="s">
        <v>212</v>
      </c>
      <c r="E2147" t="s">
        <v>212</v>
      </c>
      <c r="F2147" t="s">
        <v>212</v>
      </c>
      <c r="G2147" t="s">
        <v>212</v>
      </c>
      <c r="H2147" t="s">
        <v>212</v>
      </c>
      <c r="I2147" t="s">
        <v>212</v>
      </c>
      <c r="J2147" t="s">
        <v>212</v>
      </c>
      <c r="K2147" t="s">
        <v>212</v>
      </c>
      <c r="L2147" t="s">
        <v>212</v>
      </c>
    </row>
    <row r="2148" spans="1:12">
      <c r="B2148" t="s">
        <v>2977</v>
      </c>
      <c r="C2148" t="s">
        <v>212</v>
      </c>
      <c r="D2148" t="s">
        <v>212</v>
      </c>
      <c r="E2148" t="s">
        <v>212</v>
      </c>
      <c r="F2148" t="s">
        <v>212</v>
      </c>
      <c r="G2148" t="s">
        <v>212</v>
      </c>
      <c r="H2148" t="s">
        <v>212</v>
      </c>
      <c r="I2148" t="s">
        <v>212</v>
      </c>
      <c r="J2148" t="s">
        <v>212</v>
      </c>
      <c r="K2148" t="s">
        <v>212</v>
      </c>
      <c r="L2148" t="s">
        <v>212</v>
      </c>
    </row>
    <row r="2149" spans="1:12">
      <c r="B2149" t="s">
        <v>2978</v>
      </c>
      <c r="C2149" t="s">
        <v>212</v>
      </c>
      <c r="D2149" t="s">
        <v>212</v>
      </c>
      <c r="E2149" t="s">
        <v>212</v>
      </c>
      <c r="F2149" t="s">
        <v>212</v>
      </c>
      <c r="G2149" t="s">
        <v>212</v>
      </c>
      <c r="H2149" t="s">
        <v>212</v>
      </c>
      <c r="I2149" t="s">
        <v>212</v>
      </c>
      <c r="J2149" t="s">
        <v>212</v>
      </c>
      <c r="K2149" t="s">
        <v>212</v>
      </c>
      <c r="L2149" t="s">
        <v>212</v>
      </c>
    </row>
    <row r="2150" spans="1:12">
      <c r="B2150" t="s">
        <v>2979</v>
      </c>
      <c r="C2150" t="s">
        <v>212</v>
      </c>
      <c r="D2150" t="s">
        <v>212</v>
      </c>
      <c r="E2150" t="s">
        <v>212</v>
      </c>
      <c r="F2150" t="s">
        <v>212</v>
      </c>
      <c r="G2150" t="s">
        <v>212</v>
      </c>
      <c r="H2150" t="s">
        <v>212</v>
      </c>
      <c r="I2150" t="s">
        <v>212</v>
      </c>
      <c r="J2150" t="s">
        <v>212</v>
      </c>
      <c r="K2150" t="s">
        <v>212</v>
      </c>
      <c r="L2150" t="s">
        <v>212</v>
      </c>
    </row>
    <row r="2151" spans="1:12">
      <c r="B2151" t="s">
        <v>2980</v>
      </c>
      <c r="C2151" t="s">
        <v>212</v>
      </c>
      <c r="D2151" t="s">
        <v>212</v>
      </c>
      <c r="E2151" t="s">
        <v>212</v>
      </c>
      <c r="F2151" t="s">
        <v>212</v>
      </c>
      <c r="G2151" t="s">
        <v>212</v>
      </c>
      <c r="H2151" t="s">
        <v>212</v>
      </c>
      <c r="I2151" t="s">
        <v>212</v>
      </c>
      <c r="J2151" t="s">
        <v>212</v>
      </c>
      <c r="K2151" t="s">
        <v>212</v>
      </c>
      <c r="L2151" t="s">
        <v>212</v>
      </c>
    </row>
    <row r="2153" spans="1:12">
      <c r="B2153" t="s">
        <v>2981</v>
      </c>
      <c r="C2153">
        <v>162.41999999999999</v>
      </c>
      <c r="H2153">
        <v>52.66</v>
      </c>
    </row>
    <row r="2154" spans="1:12">
      <c r="B2154" t="s">
        <v>2982</v>
      </c>
      <c r="C2154">
        <v>162.41999999999999</v>
      </c>
      <c r="D2154">
        <v>32666.95</v>
      </c>
      <c r="F2154">
        <v>8.07</v>
      </c>
      <c r="G2154">
        <v>7.54</v>
      </c>
      <c r="H2154">
        <v>52.66</v>
      </c>
      <c r="I2154">
        <v>5437.87</v>
      </c>
      <c r="K2154">
        <v>6.4</v>
      </c>
      <c r="L2154">
        <v>6.4</v>
      </c>
    </row>
    <row r="2155" spans="1:12">
      <c r="B2155" t="s">
        <v>2983</v>
      </c>
      <c r="C2155">
        <v>162.41999999999999</v>
      </c>
      <c r="D2155">
        <v>32666.95</v>
      </c>
      <c r="F2155">
        <v>8.07</v>
      </c>
      <c r="G2155">
        <v>7.54</v>
      </c>
      <c r="H2155">
        <v>52.66</v>
      </c>
      <c r="I2155">
        <v>5437.87</v>
      </c>
      <c r="K2155">
        <v>6.4</v>
      </c>
      <c r="L2155">
        <v>6.4</v>
      </c>
    </row>
    <row r="2158" spans="1:12">
      <c r="A2158" t="s">
        <v>1914</v>
      </c>
    </row>
    <row r="2159" spans="1:12">
      <c r="A2159" t="s">
        <v>1915</v>
      </c>
      <c r="B2159" t="s">
        <v>2984</v>
      </c>
    </row>
    <row r="2160" spans="1:12">
      <c r="A2160" t="s">
        <v>1917</v>
      </c>
      <c r="B2160" t="s">
        <v>2091</v>
      </c>
    </row>
    <row r="2161" spans="2:12">
      <c r="C2161" t="s">
        <v>2985</v>
      </c>
      <c r="D2161" t="s">
        <v>2986</v>
      </c>
      <c r="E2161" t="s">
        <v>2987</v>
      </c>
      <c r="F2161" t="s">
        <v>2988</v>
      </c>
      <c r="G2161" t="s">
        <v>2989</v>
      </c>
      <c r="H2161" t="s">
        <v>2990</v>
      </c>
      <c r="I2161" t="s">
        <v>2991</v>
      </c>
      <c r="J2161" t="s">
        <v>2992</v>
      </c>
      <c r="K2161" t="s">
        <v>2988</v>
      </c>
      <c r="L2161" t="s">
        <v>2989</v>
      </c>
    </row>
    <row r="2162" spans="2:12">
      <c r="B2162" t="s">
        <v>2970</v>
      </c>
      <c r="C2162">
        <v>0.42</v>
      </c>
      <c r="D2162">
        <v>338.43</v>
      </c>
      <c r="E2162" t="s">
        <v>3006</v>
      </c>
      <c r="F2162">
        <v>5.7</v>
      </c>
      <c r="G2162">
        <v>5.41</v>
      </c>
      <c r="H2162">
        <v>0</v>
      </c>
      <c r="I2162">
        <v>0</v>
      </c>
      <c r="J2162" t="s">
        <v>2993</v>
      </c>
      <c r="K2162">
        <v>5.08</v>
      </c>
      <c r="L2162">
        <v>4.55</v>
      </c>
    </row>
    <row r="2163" spans="2:12">
      <c r="B2163" t="s">
        <v>2971</v>
      </c>
      <c r="C2163" t="s">
        <v>212</v>
      </c>
      <c r="D2163" t="s">
        <v>212</v>
      </c>
      <c r="E2163" t="s">
        <v>212</v>
      </c>
      <c r="F2163" t="s">
        <v>212</v>
      </c>
      <c r="G2163" t="s">
        <v>212</v>
      </c>
      <c r="H2163" t="s">
        <v>212</v>
      </c>
      <c r="I2163" t="s">
        <v>212</v>
      </c>
      <c r="J2163" t="s">
        <v>212</v>
      </c>
      <c r="K2163" t="s">
        <v>212</v>
      </c>
      <c r="L2163" t="s">
        <v>212</v>
      </c>
    </row>
    <row r="2164" spans="2:12">
      <c r="B2164" t="s">
        <v>2972</v>
      </c>
      <c r="C2164" t="s">
        <v>212</v>
      </c>
      <c r="D2164" t="s">
        <v>212</v>
      </c>
      <c r="E2164" t="s">
        <v>212</v>
      </c>
      <c r="F2164" t="s">
        <v>212</v>
      </c>
      <c r="G2164" t="s">
        <v>212</v>
      </c>
      <c r="H2164" t="s">
        <v>212</v>
      </c>
      <c r="I2164" t="s">
        <v>212</v>
      </c>
      <c r="J2164" t="s">
        <v>212</v>
      </c>
      <c r="K2164" t="s">
        <v>212</v>
      </c>
      <c r="L2164" t="s">
        <v>212</v>
      </c>
    </row>
    <row r="2165" spans="2:12">
      <c r="B2165" t="s">
        <v>2973</v>
      </c>
      <c r="C2165" t="s">
        <v>212</v>
      </c>
      <c r="D2165" t="s">
        <v>212</v>
      </c>
      <c r="E2165" t="s">
        <v>212</v>
      </c>
      <c r="F2165" t="s">
        <v>212</v>
      </c>
      <c r="G2165" t="s">
        <v>212</v>
      </c>
      <c r="H2165" t="s">
        <v>212</v>
      </c>
      <c r="I2165" t="s">
        <v>212</v>
      </c>
      <c r="J2165" t="s">
        <v>212</v>
      </c>
      <c r="K2165" t="s">
        <v>212</v>
      </c>
      <c r="L2165" t="s">
        <v>212</v>
      </c>
    </row>
    <row r="2166" spans="2:12">
      <c r="B2166" t="s">
        <v>820</v>
      </c>
      <c r="C2166" t="s">
        <v>212</v>
      </c>
      <c r="D2166" t="s">
        <v>212</v>
      </c>
      <c r="E2166" t="s">
        <v>212</v>
      </c>
      <c r="F2166" t="s">
        <v>212</v>
      </c>
      <c r="G2166" t="s">
        <v>212</v>
      </c>
      <c r="H2166" t="s">
        <v>212</v>
      </c>
      <c r="I2166" t="s">
        <v>212</v>
      </c>
      <c r="J2166" t="s">
        <v>212</v>
      </c>
      <c r="K2166" t="s">
        <v>212</v>
      </c>
      <c r="L2166" t="s">
        <v>212</v>
      </c>
    </row>
    <row r="2167" spans="2:12">
      <c r="B2167" t="s">
        <v>2974</v>
      </c>
      <c r="C2167" t="s">
        <v>212</v>
      </c>
      <c r="D2167" t="s">
        <v>212</v>
      </c>
      <c r="E2167" t="s">
        <v>212</v>
      </c>
      <c r="F2167" t="s">
        <v>212</v>
      </c>
      <c r="G2167" t="s">
        <v>212</v>
      </c>
      <c r="H2167" t="s">
        <v>212</v>
      </c>
      <c r="I2167" t="s">
        <v>212</v>
      </c>
      <c r="J2167" t="s">
        <v>212</v>
      </c>
      <c r="K2167" t="s">
        <v>212</v>
      </c>
      <c r="L2167" t="s">
        <v>212</v>
      </c>
    </row>
    <row r="2168" spans="2:12">
      <c r="B2168" t="s">
        <v>2975</v>
      </c>
      <c r="C2168" t="s">
        <v>212</v>
      </c>
      <c r="D2168" t="s">
        <v>212</v>
      </c>
      <c r="E2168" t="s">
        <v>212</v>
      </c>
      <c r="F2168" t="s">
        <v>212</v>
      </c>
      <c r="G2168" t="s">
        <v>212</v>
      </c>
      <c r="H2168" t="s">
        <v>212</v>
      </c>
      <c r="I2168" t="s">
        <v>212</v>
      </c>
      <c r="J2168" t="s">
        <v>212</v>
      </c>
      <c r="K2168" t="s">
        <v>212</v>
      </c>
      <c r="L2168" t="s">
        <v>212</v>
      </c>
    </row>
    <row r="2169" spans="2:12">
      <c r="B2169" t="s">
        <v>2976</v>
      </c>
      <c r="C2169" t="s">
        <v>212</v>
      </c>
      <c r="D2169" t="s">
        <v>212</v>
      </c>
      <c r="E2169" t="s">
        <v>212</v>
      </c>
      <c r="F2169" t="s">
        <v>212</v>
      </c>
      <c r="G2169" t="s">
        <v>212</v>
      </c>
      <c r="H2169" t="s">
        <v>212</v>
      </c>
      <c r="I2169" t="s">
        <v>212</v>
      </c>
      <c r="J2169" t="s">
        <v>212</v>
      </c>
      <c r="K2169" t="s">
        <v>212</v>
      </c>
      <c r="L2169" t="s">
        <v>212</v>
      </c>
    </row>
    <row r="2170" spans="2:12">
      <c r="B2170" t="s">
        <v>2977</v>
      </c>
      <c r="C2170" t="s">
        <v>212</v>
      </c>
      <c r="D2170" t="s">
        <v>212</v>
      </c>
      <c r="E2170" t="s">
        <v>212</v>
      </c>
      <c r="F2170" t="s">
        <v>212</v>
      </c>
      <c r="G2170" t="s">
        <v>212</v>
      </c>
      <c r="H2170" t="s">
        <v>212</v>
      </c>
      <c r="I2170" t="s">
        <v>212</v>
      </c>
      <c r="J2170" t="s">
        <v>212</v>
      </c>
      <c r="K2170" t="s">
        <v>212</v>
      </c>
      <c r="L2170" t="s">
        <v>212</v>
      </c>
    </row>
    <row r="2171" spans="2:12">
      <c r="B2171" t="s">
        <v>2978</v>
      </c>
      <c r="C2171" t="s">
        <v>212</v>
      </c>
      <c r="D2171" t="s">
        <v>212</v>
      </c>
      <c r="E2171" t="s">
        <v>212</v>
      </c>
      <c r="F2171" t="s">
        <v>212</v>
      </c>
      <c r="G2171" t="s">
        <v>212</v>
      </c>
      <c r="H2171" t="s">
        <v>212</v>
      </c>
      <c r="I2171" t="s">
        <v>212</v>
      </c>
      <c r="J2171" t="s">
        <v>212</v>
      </c>
      <c r="K2171" t="s">
        <v>212</v>
      </c>
      <c r="L2171" t="s">
        <v>212</v>
      </c>
    </row>
    <row r="2172" spans="2:12">
      <c r="B2172" t="s">
        <v>2979</v>
      </c>
      <c r="C2172" t="s">
        <v>212</v>
      </c>
      <c r="D2172" t="s">
        <v>212</v>
      </c>
      <c r="E2172" t="s">
        <v>212</v>
      </c>
      <c r="F2172" t="s">
        <v>212</v>
      </c>
      <c r="G2172" t="s">
        <v>212</v>
      </c>
      <c r="H2172" t="s">
        <v>212</v>
      </c>
      <c r="I2172" t="s">
        <v>212</v>
      </c>
      <c r="J2172" t="s">
        <v>212</v>
      </c>
      <c r="K2172" t="s">
        <v>212</v>
      </c>
      <c r="L2172" t="s">
        <v>212</v>
      </c>
    </row>
    <row r="2173" spans="2:12">
      <c r="B2173" t="s">
        <v>2980</v>
      </c>
      <c r="C2173" t="s">
        <v>212</v>
      </c>
      <c r="D2173" t="s">
        <v>212</v>
      </c>
      <c r="E2173" t="s">
        <v>212</v>
      </c>
      <c r="F2173" t="s">
        <v>212</v>
      </c>
      <c r="G2173" t="s">
        <v>212</v>
      </c>
      <c r="H2173" t="s">
        <v>212</v>
      </c>
      <c r="I2173" t="s">
        <v>212</v>
      </c>
      <c r="J2173" t="s">
        <v>212</v>
      </c>
      <c r="K2173" t="s">
        <v>212</v>
      </c>
      <c r="L2173" t="s">
        <v>212</v>
      </c>
    </row>
    <row r="2175" spans="2:12">
      <c r="B2175" t="s">
        <v>2981</v>
      </c>
      <c r="C2175">
        <v>0.42</v>
      </c>
      <c r="H2175">
        <v>0</v>
      </c>
    </row>
    <row r="2176" spans="2:12">
      <c r="B2176" t="s">
        <v>2982</v>
      </c>
      <c r="C2176">
        <v>0.42</v>
      </c>
      <c r="D2176">
        <v>338.43</v>
      </c>
      <c r="F2176">
        <v>5.7</v>
      </c>
      <c r="G2176">
        <v>5.41</v>
      </c>
      <c r="H2176">
        <v>0</v>
      </c>
      <c r="I2176">
        <v>0</v>
      </c>
      <c r="K2176">
        <v>5.08</v>
      </c>
      <c r="L2176">
        <v>4.55</v>
      </c>
    </row>
    <row r="2177" spans="1:12">
      <c r="B2177" t="s">
        <v>2983</v>
      </c>
      <c r="C2177">
        <v>0.42</v>
      </c>
      <c r="D2177">
        <v>338.43</v>
      </c>
      <c r="F2177">
        <v>5.7</v>
      </c>
      <c r="G2177">
        <v>5.41</v>
      </c>
      <c r="H2177">
        <v>0</v>
      </c>
      <c r="I2177">
        <v>0</v>
      </c>
      <c r="K2177">
        <v>5.08</v>
      </c>
      <c r="L2177">
        <v>4.55</v>
      </c>
    </row>
    <row r="2180" spans="1:12">
      <c r="A2180" t="s">
        <v>1914</v>
      </c>
    </row>
    <row r="2181" spans="1:12">
      <c r="A2181" t="s">
        <v>1915</v>
      </c>
      <c r="B2181" t="s">
        <v>2984</v>
      </c>
    </row>
    <row r="2182" spans="1:12">
      <c r="A2182" t="s">
        <v>1917</v>
      </c>
      <c r="B2182" t="s">
        <v>2092</v>
      </c>
    </row>
    <row r="2183" spans="1:12">
      <c r="C2183" t="s">
        <v>2985</v>
      </c>
      <c r="D2183" t="s">
        <v>2986</v>
      </c>
      <c r="E2183" t="s">
        <v>2987</v>
      </c>
      <c r="F2183" t="s">
        <v>2988</v>
      </c>
      <c r="G2183" t="s">
        <v>2989</v>
      </c>
      <c r="H2183" t="s">
        <v>2990</v>
      </c>
      <c r="I2183" t="s">
        <v>2991</v>
      </c>
      <c r="J2183" t="s">
        <v>2992</v>
      </c>
      <c r="K2183" t="s">
        <v>2988</v>
      </c>
      <c r="L2183" t="s">
        <v>2989</v>
      </c>
    </row>
    <row r="2184" spans="1:12">
      <c r="B2184" t="s">
        <v>2970</v>
      </c>
      <c r="C2184">
        <v>0.28000000000000003</v>
      </c>
      <c r="D2184">
        <v>214.26</v>
      </c>
      <c r="E2184" t="s">
        <v>3006</v>
      </c>
      <c r="F2184">
        <v>5.7</v>
      </c>
      <c r="G2184">
        <v>5.41</v>
      </c>
      <c r="H2184">
        <v>0</v>
      </c>
      <c r="I2184">
        <v>0</v>
      </c>
      <c r="J2184" t="s">
        <v>2993</v>
      </c>
      <c r="K2184">
        <v>5.08</v>
      </c>
      <c r="L2184">
        <v>4.55</v>
      </c>
    </row>
    <row r="2185" spans="1:12">
      <c r="B2185" t="s">
        <v>2971</v>
      </c>
      <c r="C2185" t="s">
        <v>212</v>
      </c>
      <c r="D2185" t="s">
        <v>212</v>
      </c>
      <c r="E2185" t="s">
        <v>212</v>
      </c>
      <c r="F2185" t="s">
        <v>212</v>
      </c>
      <c r="G2185" t="s">
        <v>212</v>
      </c>
      <c r="H2185" t="s">
        <v>212</v>
      </c>
      <c r="I2185" t="s">
        <v>212</v>
      </c>
      <c r="J2185" t="s">
        <v>212</v>
      </c>
      <c r="K2185" t="s">
        <v>212</v>
      </c>
      <c r="L2185" t="s">
        <v>212</v>
      </c>
    </row>
    <row r="2186" spans="1:12">
      <c r="B2186" t="s">
        <v>2972</v>
      </c>
      <c r="C2186" t="s">
        <v>212</v>
      </c>
      <c r="D2186" t="s">
        <v>212</v>
      </c>
      <c r="E2186" t="s">
        <v>212</v>
      </c>
      <c r="F2186" t="s">
        <v>212</v>
      </c>
      <c r="G2186" t="s">
        <v>212</v>
      </c>
      <c r="H2186" t="s">
        <v>212</v>
      </c>
      <c r="I2186" t="s">
        <v>212</v>
      </c>
      <c r="J2186" t="s">
        <v>212</v>
      </c>
      <c r="K2186" t="s">
        <v>212</v>
      </c>
      <c r="L2186" t="s">
        <v>212</v>
      </c>
    </row>
    <row r="2187" spans="1:12">
      <c r="B2187" t="s">
        <v>2973</v>
      </c>
      <c r="C2187" t="s">
        <v>212</v>
      </c>
      <c r="D2187" t="s">
        <v>212</v>
      </c>
      <c r="E2187" t="s">
        <v>212</v>
      </c>
      <c r="F2187" t="s">
        <v>212</v>
      </c>
      <c r="G2187" t="s">
        <v>212</v>
      </c>
      <c r="H2187" t="s">
        <v>212</v>
      </c>
      <c r="I2187" t="s">
        <v>212</v>
      </c>
      <c r="J2187" t="s">
        <v>212</v>
      </c>
      <c r="K2187" t="s">
        <v>212</v>
      </c>
      <c r="L2187" t="s">
        <v>212</v>
      </c>
    </row>
    <row r="2188" spans="1:12">
      <c r="B2188" t="s">
        <v>820</v>
      </c>
      <c r="C2188" t="s">
        <v>212</v>
      </c>
      <c r="D2188" t="s">
        <v>212</v>
      </c>
      <c r="E2188" t="s">
        <v>212</v>
      </c>
      <c r="F2188" t="s">
        <v>212</v>
      </c>
      <c r="G2188" t="s">
        <v>212</v>
      </c>
      <c r="H2188" t="s">
        <v>212</v>
      </c>
      <c r="I2188" t="s">
        <v>212</v>
      </c>
      <c r="J2188" t="s">
        <v>212</v>
      </c>
      <c r="K2188" t="s">
        <v>212</v>
      </c>
      <c r="L2188" t="s">
        <v>212</v>
      </c>
    </row>
    <row r="2189" spans="1:12">
      <c r="B2189" t="s">
        <v>2974</v>
      </c>
      <c r="C2189" t="s">
        <v>212</v>
      </c>
      <c r="D2189" t="s">
        <v>212</v>
      </c>
      <c r="E2189" t="s">
        <v>212</v>
      </c>
      <c r="F2189" t="s">
        <v>212</v>
      </c>
      <c r="G2189" t="s">
        <v>212</v>
      </c>
      <c r="H2189" t="s">
        <v>212</v>
      </c>
      <c r="I2189" t="s">
        <v>212</v>
      </c>
      <c r="J2189" t="s">
        <v>212</v>
      </c>
      <c r="K2189" t="s">
        <v>212</v>
      </c>
      <c r="L2189" t="s">
        <v>212</v>
      </c>
    </row>
    <row r="2190" spans="1:12">
      <c r="B2190" t="s">
        <v>2975</v>
      </c>
      <c r="C2190" t="s">
        <v>212</v>
      </c>
      <c r="D2190" t="s">
        <v>212</v>
      </c>
      <c r="E2190" t="s">
        <v>212</v>
      </c>
      <c r="F2190" t="s">
        <v>212</v>
      </c>
      <c r="G2190" t="s">
        <v>212</v>
      </c>
      <c r="H2190" t="s">
        <v>212</v>
      </c>
      <c r="I2190" t="s">
        <v>212</v>
      </c>
      <c r="J2190" t="s">
        <v>212</v>
      </c>
      <c r="K2190" t="s">
        <v>212</v>
      </c>
      <c r="L2190" t="s">
        <v>212</v>
      </c>
    </row>
    <row r="2191" spans="1:12">
      <c r="B2191" t="s">
        <v>2976</v>
      </c>
      <c r="C2191" t="s">
        <v>212</v>
      </c>
      <c r="D2191" t="s">
        <v>212</v>
      </c>
      <c r="E2191" t="s">
        <v>212</v>
      </c>
      <c r="F2191" t="s">
        <v>212</v>
      </c>
      <c r="G2191" t="s">
        <v>212</v>
      </c>
      <c r="H2191" t="s">
        <v>212</v>
      </c>
      <c r="I2191" t="s">
        <v>212</v>
      </c>
      <c r="J2191" t="s">
        <v>212</v>
      </c>
      <c r="K2191" t="s">
        <v>212</v>
      </c>
      <c r="L2191" t="s">
        <v>212</v>
      </c>
    </row>
    <row r="2192" spans="1:12">
      <c r="B2192" t="s">
        <v>2977</v>
      </c>
      <c r="C2192" t="s">
        <v>212</v>
      </c>
      <c r="D2192" t="s">
        <v>212</v>
      </c>
      <c r="E2192" t="s">
        <v>212</v>
      </c>
      <c r="F2192" t="s">
        <v>212</v>
      </c>
      <c r="G2192" t="s">
        <v>212</v>
      </c>
      <c r="H2192" t="s">
        <v>212</v>
      </c>
      <c r="I2192" t="s">
        <v>212</v>
      </c>
      <c r="J2192" t="s">
        <v>212</v>
      </c>
      <c r="K2192" t="s">
        <v>212</v>
      </c>
      <c r="L2192" t="s">
        <v>212</v>
      </c>
    </row>
    <row r="2193" spans="1:12">
      <c r="B2193" t="s">
        <v>2978</v>
      </c>
      <c r="C2193" t="s">
        <v>212</v>
      </c>
      <c r="D2193" t="s">
        <v>212</v>
      </c>
      <c r="E2193" t="s">
        <v>212</v>
      </c>
      <c r="F2193" t="s">
        <v>212</v>
      </c>
      <c r="G2193" t="s">
        <v>212</v>
      </c>
      <c r="H2193" t="s">
        <v>212</v>
      </c>
      <c r="I2193" t="s">
        <v>212</v>
      </c>
      <c r="J2193" t="s">
        <v>212</v>
      </c>
      <c r="K2193" t="s">
        <v>212</v>
      </c>
      <c r="L2193" t="s">
        <v>212</v>
      </c>
    </row>
    <row r="2194" spans="1:12">
      <c r="B2194" t="s">
        <v>2979</v>
      </c>
      <c r="C2194" t="s">
        <v>212</v>
      </c>
      <c r="D2194" t="s">
        <v>212</v>
      </c>
      <c r="E2194" t="s">
        <v>212</v>
      </c>
      <c r="F2194" t="s">
        <v>212</v>
      </c>
      <c r="G2194" t="s">
        <v>212</v>
      </c>
      <c r="H2194" t="s">
        <v>212</v>
      </c>
      <c r="I2194" t="s">
        <v>212</v>
      </c>
      <c r="J2194" t="s">
        <v>212</v>
      </c>
      <c r="K2194" t="s">
        <v>212</v>
      </c>
      <c r="L2194" t="s">
        <v>212</v>
      </c>
    </row>
    <row r="2195" spans="1:12">
      <c r="B2195" t="s">
        <v>2980</v>
      </c>
      <c r="C2195" t="s">
        <v>212</v>
      </c>
      <c r="D2195" t="s">
        <v>212</v>
      </c>
      <c r="E2195" t="s">
        <v>212</v>
      </c>
      <c r="F2195" t="s">
        <v>212</v>
      </c>
      <c r="G2195" t="s">
        <v>212</v>
      </c>
      <c r="H2195" t="s">
        <v>212</v>
      </c>
      <c r="I2195" t="s">
        <v>212</v>
      </c>
      <c r="J2195" t="s">
        <v>212</v>
      </c>
      <c r="K2195" t="s">
        <v>212</v>
      </c>
      <c r="L2195" t="s">
        <v>212</v>
      </c>
    </row>
    <row r="2197" spans="1:12">
      <c r="B2197" t="s">
        <v>2981</v>
      </c>
      <c r="C2197">
        <v>0.28000000000000003</v>
      </c>
      <c r="H2197">
        <v>0</v>
      </c>
    </row>
    <row r="2198" spans="1:12">
      <c r="B2198" t="s">
        <v>2982</v>
      </c>
      <c r="C2198">
        <v>0.28000000000000003</v>
      </c>
      <c r="D2198">
        <v>214.26</v>
      </c>
      <c r="F2198">
        <v>5.7</v>
      </c>
      <c r="G2198">
        <v>5.41</v>
      </c>
      <c r="H2198">
        <v>0</v>
      </c>
      <c r="I2198">
        <v>0</v>
      </c>
      <c r="K2198">
        <v>5.08</v>
      </c>
      <c r="L2198">
        <v>4.55</v>
      </c>
    </row>
    <row r="2199" spans="1:12">
      <c r="B2199" t="s">
        <v>2983</v>
      </c>
      <c r="C2199">
        <v>0.28000000000000003</v>
      </c>
      <c r="D2199">
        <v>214.26</v>
      </c>
      <c r="F2199">
        <v>5.7</v>
      </c>
      <c r="G2199">
        <v>5.41</v>
      </c>
      <c r="H2199">
        <v>0</v>
      </c>
      <c r="I2199">
        <v>0</v>
      </c>
      <c r="K2199">
        <v>5.08</v>
      </c>
      <c r="L2199">
        <v>4.55</v>
      </c>
    </row>
    <row r="2202" spans="1:12">
      <c r="A2202" t="s">
        <v>1914</v>
      </c>
    </row>
    <row r="2203" spans="1:12">
      <c r="A2203" t="s">
        <v>1915</v>
      </c>
      <c r="B2203" t="s">
        <v>2984</v>
      </c>
    </row>
    <row r="2204" spans="1:12">
      <c r="A2204" t="s">
        <v>1917</v>
      </c>
      <c r="B2204" t="s">
        <v>2093</v>
      </c>
    </row>
    <row r="2205" spans="1:12">
      <c r="C2205" t="s">
        <v>2985</v>
      </c>
      <c r="D2205" t="s">
        <v>2986</v>
      </c>
      <c r="E2205" t="s">
        <v>2987</v>
      </c>
      <c r="F2205" t="s">
        <v>2988</v>
      </c>
      <c r="G2205" t="s">
        <v>2989</v>
      </c>
      <c r="H2205" t="s">
        <v>2990</v>
      </c>
      <c r="I2205" t="s">
        <v>2991</v>
      </c>
      <c r="J2205" t="s">
        <v>2992</v>
      </c>
      <c r="K2205" t="s">
        <v>2988</v>
      </c>
      <c r="L2205" t="s">
        <v>2989</v>
      </c>
    </row>
    <row r="2206" spans="1:12">
      <c r="B2206" t="s">
        <v>2970</v>
      </c>
      <c r="C2206">
        <v>0.52</v>
      </c>
      <c r="D2206">
        <v>398.25</v>
      </c>
      <c r="E2206" t="s">
        <v>3007</v>
      </c>
      <c r="F2206">
        <v>4.88</v>
      </c>
      <c r="G2206">
        <v>4.88</v>
      </c>
      <c r="H2206">
        <v>0</v>
      </c>
      <c r="I2206">
        <v>0</v>
      </c>
      <c r="J2206" t="s">
        <v>2993</v>
      </c>
      <c r="K2206">
        <v>5.08</v>
      </c>
      <c r="L2206">
        <v>4.55</v>
      </c>
    </row>
    <row r="2207" spans="1:12">
      <c r="B2207" t="s">
        <v>2971</v>
      </c>
      <c r="C2207" t="s">
        <v>212</v>
      </c>
      <c r="D2207" t="s">
        <v>212</v>
      </c>
      <c r="E2207" t="s">
        <v>212</v>
      </c>
      <c r="F2207" t="s">
        <v>212</v>
      </c>
      <c r="G2207" t="s">
        <v>212</v>
      </c>
      <c r="H2207" t="s">
        <v>212</v>
      </c>
      <c r="I2207" t="s">
        <v>212</v>
      </c>
      <c r="J2207" t="s">
        <v>212</v>
      </c>
      <c r="K2207" t="s">
        <v>212</v>
      </c>
      <c r="L2207" t="s">
        <v>212</v>
      </c>
    </row>
    <row r="2208" spans="1:12">
      <c r="B2208" t="s">
        <v>2972</v>
      </c>
      <c r="C2208" t="s">
        <v>212</v>
      </c>
      <c r="D2208" t="s">
        <v>212</v>
      </c>
      <c r="E2208" t="s">
        <v>212</v>
      </c>
      <c r="F2208" t="s">
        <v>212</v>
      </c>
      <c r="G2208" t="s">
        <v>212</v>
      </c>
      <c r="H2208" t="s">
        <v>212</v>
      </c>
      <c r="I2208" t="s">
        <v>212</v>
      </c>
      <c r="J2208" t="s">
        <v>212</v>
      </c>
      <c r="K2208" t="s">
        <v>212</v>
      </c>
      <c r="L2208" t="s">
        <v>212</v>
      </c>
    </row>
    <row r="2209" spans="1:12">
      <c r="B2209" t="s">
        <v>2973</v>
      </c>
      <c r="C2209" t="s">
        <v>212</v>
      </c>
      <c r="D2209" t="s">
        <v>212</v>
      </c>
      <c r="E2209" t="s">
        <v>212</v>
      </c>
      <c r="F2209" t="s">
        <v>212</v>
      </c>
      <c r="G2209" t="s">
        <v>212</v>
      </c>
      <c r="H2209" t="s">
        <v>212</v>
      </c>
      <c r="I2209" t="s">
        <v>212</v>
      </c>
      <c r="J2209" t="s">
        <v>212</v>
      </c>
      <c r="K2209" t="s">
        <v>212</v>
      </c>
      <c r="L2209" t="s">
        <v>212</v>
      </c>
    </row>
    <row r="2210" spans="1:12">
      <c r="B2210" t="s">
        <v>820</v>
      </c>
      <c r="C2210" t="s">
        <v>212</v>
      </c>
      <c r="D2210" t="s">
        <v>212</v>
      </c>
      <c r="E2210" t="s">
        <v>212</v>
      </c>
      <c r="F2210" t="s">
        <v>212</v>
      </c>
      <c r="G2210" t="s">
        <v>212</v>
      </c>
      <c r="H2210" t="s">
        <v>212</v>
      </c>
      <c r="I2210" t="s">
        <v>212</v>
      </c>
      <c r="J2210" t="s">
        <v>212</v>
      </c>
      <c r="K2210" t="s">
        <v>212</v>
      </c>
      <c r="L2210" t="s">
        <v>212</v>
      </c>
    </row>
    <row r="2211" spans="1:12">
      <c r="B2211" t="s">
        <v>2974</v>
      </c>
      <c r="C2211" t="s">
        <v>212</v>
      </c>
      <c r="D2211" t="s">
        <v>212</v>
      </c>
      <c r="E2211" t="s">
        <v>212</v>
      </c>
      <c r="F2211" t="s">
        <v>212</v>
      </c>
      <c r="G2211" t="s">
        <v>212</v>
      </c>
      <c r="H2211" t="s">
        <v>212</v>
      </c>
      <c r="I2211" t="s">
        <v>212</v>
      </c>
      <c r="J2211" t="s">
        <v>212</v>
      </c>
      <c r="K2211" t="s">
        <v>212</v>
      </c>
      <c r="L2211" t="s">
        <v>212</v>
      </c>
    </row>
    <row r="2212" spans="1:12">
      <c r="B2212" t="s">
        <v>2975</v>
      </c>
      <c r="C2212" t="s">
        <v>212</v>
      </c>
      <c r="D2212" t="s">
        <v>212</v>
      </c>
      <c r="E2212" t="s">
        <v>212</v>
      </c>
      <c r="F2212" t="s">
        <v>212</v>
      </c>
      <c r="G2212" t="s">
        <v>212</v>
      </c>
      <c r="H2212" t="s">
        <v>212</v>
      </c>
      <c r="I2212" t="s">
        <v>212</v>
      </c>
      <c r="J2212" t="s">
        <v>212</v>
      </c>
      <c r="K2212" t="s">
        <v>212</v>
      </c>
      <c r="L2212" t="s">
        <v>212</v>
      </c>
    </row>
    <row r="2213" spans="1:12">
      <c r="B2213" t="s">
        <v>2976</v>
      </c>
      <c r="C2213" t="s">
        <v>212</v>
      </c>
      <c r="D2213" t="s">
        <v>212</v>
      </c>
      <c r="E2213" t="s">
        <v>212</v>
      </c>
      <c r="F2213" t="s">
        <v>212</v>
      </c>
      <c r="G2213" t="s">
        <v>212</v>
      </c>
      <c r="H2213" t="s">
        <v>212</v>
      </c>
      <c r="I2213" t="s">
        <v>212</v>
      </c>
      <c r="J2213" t="s">
        <v>212</v>
      </c>
      <c r="K2213" t="s">
        <v>212</v>
      </c>
      <c r="L2213" t="s">
        <v>212</v>
      </c>
    </row>
    <row r="2214" spans="1:12">
      <c r="B2214" t="s">
        <v>2977</v>
      </c>
      <c r="C2214" t="s">
        <v>212</v>
      </c>
      <c r="D2214" t="s">
        <v>212</v>
      </c>
      <c r="E2214" t="s">
        <v>212</v>
      </c>
      <c r="F2214" t="s">
        <v>212</v>
      </c>
      <c r="G2214" t="s">
        <v>212</v>
      </c>
      <c r="H2214" t="s">
        <v>212</v>
      </c>
      <c r="I2214" t="s">
        <v>212</v>
      </c>
      <c r="J2214" t="s">
        <v>212</v>
      </c>
      <c r="K2214" t="s">
        <v>212</v>
      </c>
      <c r="L2214" t="s">
        <v>212</v>
      </c>
    </row>
    <row r="2215" spans="1:12">
      <c r="B2215" t="s">
        <v>2978</v>
      </c>
      <c r="C2215" t="s">
        <v>212</v>
      </c>
      <c r="D2215" t="s">
        <v>212</v>
      </c>
      <c r="E2215" t="s">
        <v>212</v>
      </c>
      <c r="F2215" t="s">
        <v>212</v>
      </c>
      <c r="G2215" t="s">
        <v>212</v>
      </c>
      <c r="H2215" t="s">
        <v>212</v>
      </c>
      <c r="I2215" t="s">
        <v>212</v>
      </c>
      <c r="J2215" t="s">
        <v>212</v>
      </c>
      <c r="K2215" t="s">
        <v>212</v>
      </c>
      <c r="L2215" t="s">
        <v>212</v>
      </c>
    </row>
    <row r="2216" spans="1:12">
      <c r="B2216" t="s">
        <v>2979</v>
      </c>
      <c r="C2216" t="s">
        <v>212</v>
      </c>
      <c r="D2216" t="s">
        <v>212</v>
      </c>
      <c r="E2216" t="s">
        <v>212</v>
      </c>
      <c r="F2216" t="s">
        <v>212</v>
      </c>
      <c r="G2216" t="s">
        <v>212</v>
      </c>
      <c r="H2216" t="s">
        <v>212</v>
      </c>
      <c r="I2216" t="s">
        <v>212</v>
      </c>
      <c r="J2216" t="s">
        <v>212</v>
      </c>
      <c r="K2216" t="s">
        <v>212</v>
      </c>
      <c r="L2216" t="s">
        <v>212</v>
      </c>
    </row>
    <row r="2217" spans="1:12">
      <c r="B2217" t="s">
        <v>2980</v>
      </c>
      <c r="C2217" t="s">
        <v>212</v>
      </c>
      <c r="D2217" t="s">
        <v>212</v>
      </c>
      <c r="E2217" t="s">
        <v>212</v>
      </c>
      <c r="F2217" t="s">
        <v>212</v>
      </c>
      <c r="G2217" t="s">
        <v>212</v>
      </c>
      <c r="H2217" t="s">
        <v>212</v>
      </c>
      <c r="I2217" t="s">
        <v>212</v>
      </c>
      <c r="J2217" t="s">
        <v>212</v>
      </c>
      <c r="K2217" t="s">
        <v>212</v>
      </c>
      <c r="L2217" t="s">
        <v>212</v>
      </c>
    </row>
    <row r="2219" spans="1:12">
      <c r="B2219" t="s">
        <v>2981</v>
      </c>
      <c r="C2219">
        <v>0.52</v>
      </c>
      <c r="H2219">
        <v>0</v>
      </c>
    </row>
    <row r="2220" spans="1:12">
      <c r="B2220" t="s">
        <v>2982</v>
      </c>
      <c r="C2220">
        <v>0.52</v>
      </c>
      <c r="D2220">
        <v>398.25</v>
      </c>
      <c r="F2220">
        <v>4.88</v>
      </c>
      <c r="G2220">
        <v>4.88</v>
      </c>
      <c r="H2220">
        <v>0</v>
      </c>
      <c r="I2220">
        <v>0</v>
      </c>
      <c r="K2220">
        <v>5.08</v>
      </c>
      <c r="L2220">
        <v>4.55</v>
      </c>
    </row>
    <row r="2221" spans="1:12">
      <c r="B2221" t="s">
        <v>2983</v>
      </c>
      <c r="C2221">
        <v>0.52</v>
      </c>
      <c r="D2221">
        <v>398.25</v>
      </c>
      <c r="F2221">
        <v>4.88</v>
      </c>
      <c r="G2221">
        <v>4.88</v>
      </c>
      <c r="H2221">
        <v>0</v>
      </c>
      <c r="I2221">
        <v>0</v>
      </c>
      <c r="K2221">
        <v>5.08</v>
      </c>
      <c r="L2221">
        <v>4.55</v>
      </c>
    </row>
    <row r="2224" spans="1:12">
      <c r="A2224" t="s">
        <v>1914</v>
      </c>
    </row>
    <row r="2225" spans="1:12">
      <c r="A2225" t="s">
        <v>1915</v>
      </c>
      <c r="B2225" t="s">
        <v>2984</v>
      </c>
    </row>
    <row r="2226" spans="1:12">
      <c r="A2226" t="s">
        <v>1917</v>
      </c>
      <c r="B2226" t="s">
        <v>2094</v>
      </c>
    </row>
    <row r="2227" spans="1:12">
      <c r="C2227" t="s">
        <v>2985</v>
      </c>
      <c r="D2227" t="s">
        <v>2986</v>
      </c>
      <c r="E2227" t="s">
        <v>2987</v>
      </c>
      <c r="F2227" t="s">
        <v>2988</v>
      </c>
      <c r="G2227" t="s">
        <v>2989</v>
      </c>
      <c r="H2227" t="s">
        <v>2990</v>
      </c>
      <c r="I2227" t="s">
        <v>2991</v>
      </c>
      <c r="J2227" t="s">
        <v>2992</v>
      </c>
      <c r="K2227" t="s">
        <v>2988</v>
      </c>
      <c r="L2227" t="s">
        <v>2989</v>
      </c>
    </row>
    <row r="2228" spans="1:12">
      <c r="B2228" t="s">
        <v>2970</v>
      </c>
      <c r="C2228">
        <v>0.28000000000000003</v>
      </c>
      <c r="D2228">
        <v>210.39</v>
      </c>
      <c r="E2228" t="s">
        <v>3006</v>
      </c>
      <c r="F2228">
        <v>5.7</v>
      </c>
      <c r="G2228">
        <v>5.41</v>
      </c>
      <c r="H2228">
        <v>0</v>
      </c>
      <c r="I2228">
        <v>0</v>
      </c>
      <c r="J2228" t="s">
        <v>2993</v>
      </c>
      <c r="K2228">
        <v>5.08</v>
      </c>
      <c r="L2228">
        <v>4.55</v>
      </c>
    </row>
    <row r="2229" spans="1:12">
      <c r="B2229" t="s">
        <v>2971</v>
      </c>
      <c r="C2229" t="s">
        <v>212</v>
      </c>
      <c r="D2229" t="s">
        <v>212</v>
      </c>
      <c r="E2229" t="s">
        <v>212</v>
      </c>
      <c r="F2229" t="s">
        <v>212</v>
      </c>
      <c r="G2229" t="s">
        <v>212</v>
      </c>
      <c r="H2229" t="s">
        <v>212</v>
      </c>
      <c r="I2229" t="s">
        <v>212</v>
      </c>
      <c r="J2229" t="s">
        <v>212</v>
      </c>
      <c r="K2229" t="s">
        <v>212</v>
      </c>
      <c r="L2229" t="s">
        <v>212</v>
      </c>
    </row>
    <row r="2230" spans="1:12">
      <c r="B2230" t="s">
        <v>2972</v>
      </c>
      <c r="C2230" t="s">
        <v>212</v>
      </c>
      <c r="D2230" t="s">
        <v>212</v>
      </c>
      <c r="E2230" t="s">
        <v>212</v>
      </c>
      <c r="F2230" t="s">
        <v>212</v>
      </c>
      <c r="G2230" t="s">
        <v>212</v>
      </c>
      <c r="H2230" t="s">
        <v>212</v>
      </c>
      <c r="I2230" t="s">
        <v>212</v>
      </c>
      <c r="J2230" t="s">
        <v>212</v>
      </c>
      <c r="K2230" t="s">
        <v>212</v>
      </c>
      <c r="L2230" t="s">
        <v>212</v>
      </c>
    </row>
    <row r="2231" spans="1:12">
      <c r="B2231" t="s">
        <v>2973</v>
      </c>
      <c r="C2231" t="s">
        <v>212</v>
      </c>
      <c r="D2231" t="s">
        <v>212</v>
      </c>
      <c r="E2231" t="s">
        <v>212</v>
      </c>
      <c r="F2231" t="s">
        <v>212</v>
      </c>
      <c r="G2231" t="s">
        <v>212</v>
      </c>
      <c r="H2231" t="s">
        <v>212</v>
      </c>
      <c r="I2231" t="s">
        <v>212</v>
      </c>
      <c r="J2231" t="s">
        <v>212</v>
      </c>
      <c r="K2231" t="s">
        <v>212</v>
      </c>
      <c r="L2231" t="s">
        <v>212</v>
      </c>
    </row>
    <row r="2232" spans="1:12">
      <c r="B2232" t="s">
        <v>820</v>
      </c>
      <c r="C2232" t="s">
        <v>212</v>
      </c>
      <c r="D2232" t="s">
        <v>212</v>
      </c>
      <c r="E2232" t="s">
        <v>212</v>
      </c>
      <c r="F2232" t="s">
        <v>212</v>
      </c>
      <c r="G2232" t="s">
        <v>212</v>
      </c>
      <c r="H2232" t="s">
        <v>212</v>
      </c>
      <c r="I2232" t="s">
        <v>212</v>
      </c>
      <c r="J2232" t="s">
        <v>212</v>
      </c>
      <c r="K2232" t="s">
        <v>212</v>
      </c>
      <c r="L2232" t="s">
        <v>212</v>
      </c>
    </row>
    <row r="2233" spans="1:12">
      <c r="B2233" t="s">
        <v>2974</v>
      </c>
      <c r="C2233" t="s">
        <v>212</v>
      </c>
      <c r="D2233" t="s">
        <v>212</v>
      </c>
      <c r="E2233" t="s">
        <v>212</v>
      </c>
      <c r="F2233" t="s">
        <v>212</v>
      </c>
      <c r="G2233" t="s">
        <v>212</v>
      </c>
      <c r="H2233" t="s">
        <v>212</v>
      </c>
      <c r="I2233" t="s">
        <v>212</v>
      </c>
      <c r="J2233" t="s">
        <v>212</v>
      </c>
      <c r="K2233" t="s">
        <v>212</v>
      </c>
      <c r="L2233" t="s">
        <v>212</v>
      </c>
    </row>
    <row r="2234" spans="1:12">
      <c r="B2234" t="s">
        <v>2975</v>
      </c>
      <c r="C2234" t="s">
        <v>212</v>
      </c>
      <c r="D2234" t="s">
        <v>212</v>
      </c>
      <c r="E2234" t="s">
        <v>212</v>
      </c>
      <c r="F2234" t="s">
        <v>212</v>
      </c>
      <c r="G2234" t="s">
        <v>212</v>
      </c>
      <c r="H2234" t="s">
        <v>212</v>
      </c>
      <c r="I2234" t="s">
        <v>212</v>
      </c>
      <c r="J2234" t="s">
        <v>212</v>
      </c>
      <c r="K2234" t="s">
        <v>212</v>
      </c>
      <c r="L2234" t="s">
        <v>212</v>
      </c>
    </row>
    <row r="2235" spans="1:12">
      <c r="B2235" t="s">
        <v>2976</v>
      </c>
      <c r="C2235" t="s">
        <v>212</v>
      </c>
      <c r="D2235" t="s">
        <v>212</v>
      </c>
      <c r="E2235" t="s">
        <v>212</v>
      </c>
      <c r="F2235" t="s">
        <v>212</v>
      </c>
      <c r="G2235" t="s">
        <v>212</v>
      </c>
      <c r="H2235" t="s">
        <v>212</v>
      </c>
      <c r="I2235" t="s">
        <v>212</v>
      </c>
      <c r="J2235" t="s">
        <v>212</v>
      </c>
      <c r="K2235" t="s">
        <v>212</v>
      </c>
      <c r="L2235" t="s">
        <v>212</v>
      </c>
    </row>
    <row r="2236" spans="1:12">
      <c r="B2236" t="s">
        <v>2977</v>
      </c>
      <c r="C2236" t="s">
        <v>212</v>
      </c>
      <c r="D2236" t="s">
        <v>212</v>
      </c>
      <c r="E2236" t="s">
        <v>212</v>
      </c>
      <c r="F2236" t="s">
        <v>212</v>
      </c>
      <c r="G2236" t="s">
        <v>212</v>
      </c>
      <c r="H2236" t="s">
        <v>212</v>
      </c>
      <c r="I2236" t="s">
        <v>212</v>
      </c>
      <c r="J2236" t="s">
        <v>212</v>
      </c>
      <c r="K2236" t="s">
        <v>212</v>
      </c>
      <c r="L2236" t="s">
        <v>212</v>
      </c>
    </row>
    <row r="2237" spans="1:12">
      <c r="B2237" t="s">
        <v>2978</v>
      </c>
      <c r="C2237" t="s">
        <v>212</v>
      </c>
      <c r="D2237" t="s">
        <v>212</v>
      </c>
      <c r="E2237" t="s">
        <v>212</v>
      </c>
      <c r="F2237" t="s">
        <v>212</v>
      </c>
      <c r="G2237" t="s">
        <v>212</v>
      </c>
      <c r="H2237" t="s">
        <v>212</v>
      </c>
      <c r="I2237" t="s">
        <v>212</v>
      </c>
      <c r="J2237" t="s">
        <v>212</v>
      </c>
      <c r="K2237" t="s">
        <v>212</v>
      </c>
      <c r="L2237" t="s">
        <v>212</v>
      </c>
    </row>
    <row r="2238" spans="1:12">
      <c r="B2238" t="s">
        <v>2979</v>
      </c>
      <c r="C2238" t="s">
        <v>212</v>
      </c>
      <c r="D2238" t="s">
        <v>212</v>
      </c>
      <c r="E2238" t="s">
        <v>212</v>
      </c>
      <c r="F2238" t="s">
        <v>212</v>
      </c>
      <c r="G2238" t="s">
        <v>212</v>
      </c>
      <c r="H2238" t="s">
        <v>212</v>
      </c>
      <c r="I2238" t="s">
        <v>212</v>
      </c>
      <c r="J2238" t="s">
        <v>212</v>
      </c>
      <c r="K2238" t="s">
        <v>212</v>
      </c>
      <c r="L2238" t="s">
        <v>212</v>
      </c>
    </row>
    <row r="2239" spans="1:12">
      <c r="B2239" t="s">
        <v>2980</v>
      </c>
      <c r="C2239" t="s">
        <v>212</v>
      </c>
      <c r="D2239" t="s">
        <v>212</v>
      </c>
      <c r="E2239" t="s">
        <v>212</v>
      </c>
      <c r="F2239" t="s">
        <v>212</v>
      </c>
      <c r="G2239" t="s">
        <v>212</v>
      </c>
      <c r="H2239" t="s">
        <v>212</v>
      </c>
      <c r="I2239" t="s">
        <v>212</v>
      </c>
      <c r="J2239" t="s">
        <v>212</v>
      </c>
      <c r="K2239" t="s">
        <v>212</v>
      </c>
      <c r="L2239" t="s">
        <v>212</v>
      </c>
    </row>
    <row r="2241" spans="1:12">
      <c r="B2241" t="s">
        <v>2981</v>
      </c>
      <c r="C2241">
        <v>0.28000000000000003</v>
      </c>
      <c r="H2241">
        <v>0</v>
      </c>
    </row>
    <row r="2242" spans="1:12">
      <c r="B2242" t="s">
        <v>2982</v>
      </c>
      <c r="C2242">
        <v>0.28000000000000003</v>
      </c>
      <c r="D2242">
        <v>210.39</v>
      </c>
      <c r="F2242">
        <v>5.7</v>
      </c>
      <c r="G2242">
        <v>5.41</v>
      </c>
      <c r="H2242">
        <v>0</v>
      </c>
      <c r="I2242">
        <v>0</v>
      </c>
      <c r="K2242">
        <v>5.08</v>
      </c>
      <c r="L2242">
        <v>4.55</v>
      </c>
    </row>
    <row r="2243" spans="1:12">
      <c r="B2243" t="s">
        <v>2983</v>
      </c>
      <c r="C2243">
        <v>0.28000000000000003</v>
      </c>
      <c r="D2243">
        <v>210.39</v>
      </c>
      <c r="F2243">
        <v>5.7</v>
      </c>
      <c r="G2243">
        <v>5.41</v>
      </c>
      <c r="H2243">
        <v>0</v>
      </c>
      <c r="I2243">
        <v>0</v>
      </c>
      <c r="K2243">
        <v>5.08</v>
      </c>
      <c r="L2243">
        <v>4.55</v>
      </c>
    </row>
    <row r="2246" spans="1:12">
      <c r="A2246" t="s">
        <v>1914</v>
      </c>
    </row>
    <row r="2247" spans="1:12">
      <c r="A2247" t="s">
        <v>1915</v>
      </c>
      <c r="B2247" t="s">
        <v>2984</v>
      </c>
    </row>
    <row r="2248" spans="1:12">
      <c r="A2248" t="s">
        <v>1917</v>
      </c>
      <c r="B2248" t="s">
        <v>2095</v>
      </c>
    </row>
    <row r="2249" spans="1:12">
      <c r="C2249" t="s">
        <v>2985</v>
      </c>
      <c r="D2249" t="s">
        <v>2986</v>
      </c>
      <c r="E2249" t="s">
        <v>2987</v>
      </c>
      <c r="F2249" t="s">
        <v>2988</v>
      </c>
      <c r="G2249" t="s">
        <v>2989</v>
      </c>
      <c r="H2249" t="s">
        <v>2990</v>
      </c>
      <c r="I2249" t="s">
        <v>2991</v>
      </c>
      <c r="J2249" t="s">
        <v>2992</v>
      </c>
      <c r="K2249" t="s">
        <v>2988</v>
      </c>
      <c r="L2249" t="s">
        <v>2989</v>
      </c>
    </row>
    <row r="2250" spans="1:12">
      <c r="B2250" t="s">
        <v>2970</v>
      </c>
      <c r="C2250">
        <v>18.63</v>
      </c>
      <c r="D2250">
        <v>5932.88</v>
      </c>
      <c r="E2250" t="s">
        <v>3008</v>
      </c>
      <c r="F2250">
        <v>8</v>
      </c>
      <c r="G2250">
        <v>7.45</v>
      </c>
      <c r="H2250">
        <v>0</v>
      </c>
      <c r="I2250">
        <v>0</v>
      </c>
      <c r="J2250" t="s">
        <v>2993</v>
      </c>
      <c r="K2250">
        <v>5.08</v>
      </c>
      <c r="L2250">
        <v>4.55</v>
      </c>
    </row>
    <row r="2251" spans="1:12">
      <c r="B2251" t="s">
        <v>2971</v>
      </c>
      <c r="C2251" t="s">
        <v>212</v>
      </c>
      <c r="D2251" t="s">
        <v>212</v>
      </c>
      <c r="E2251" t="s">
        <v>212</v>
      </c>
      <c r="F2251" t="s">
        <v>212</v>
      </c>
      <c r="G2251" t="s">
        <v>212</v>
      </c>
      <c r="H2251" t="s">
        <v>212</v>
      </c>
      <c r="I2251" t="s">
        <v>212</v>
      </c>
      <c r="J2251" t="s">
        <v>212</v>
      </c>
      <c r="K2251" t="s">
        <v>212</v>
      </c>
      <c r="L2251" t="s">
        <v>212</v>
      </c>
    </row>
    <row r="2252" spans="1:12">
      <c r="B2252" t="s">
        <v>2972</v>
      </c>
      <c r="C2252" t="s">
        <v>212</v>
      </c>
      <c r="D2252" t="s">
        <v>212</v>
      </c>
      <c r="E2252" t="s">
        <v>212</v>
      </c>
      <c r="F2252" t="s">
        <v>212</v>
      </c>
      <c r="G2252" t="s">
        <v>212</v>
      </c>
      <c r="H2252" t="s">
        <v>212</v>
      </c>
      <c r="I2252" t="s">
        <v>212</v>
      </c>
      <c r="J2252" t="s">
        <v>212</v>
      </c>
      <c r="K2252" t="s">
        <v>212</v>
      </c>
      <c r="L2252" t="s">
        <v>212</v>
      </c>
    </row>
    <row r="2253" spans="1:12">
      <c r="B2253" t="s">
        <v>2973</v>
      </c>
      <c r="C2253" t="s">
        <v>212</v>
      </c>
      <c r="D2253" t="s">
        <v>212</v>
      </c>
      <c r="E2253" t="s">
        <v>212</v>
      </c>
      <c r="F2253" t="s">
        <v>212</v>
      </c>
      <c r="G2253" t="s">
        <v>212</v>
      </c>
      <c r="H2253" t="s">
        <v>212</v>
      </c>
      <c r="I2253" t="s">
        <v>212</v>
      </c>
      <c r="J2253" t="s">
        <v>212</v>
      </c>
      <c r="K2253" t="s">
        <v>212</v>
      </c>
      <c r="L2253" t="s">
        <v>212</v>
      </c>
    </row>
    <row r="2254" spans="1:12">
      <c r="B2254" t="s">
        <v>820</v>
      </c>
      <c r="C2254" t="s">
        <v>212</v>
      </c>
      <c r="D2254" t="s">
        <v>212</v>
      </c>
      <c r="E2254" t="s">
        <v>212</v>
      </c>
      <c r="F2254" t="s">
        <v>212</v>
      </c>
      <c r="G2254" t="s">
        <v>212</v>
      </c>
      <c r="H2254" t="s">
        <v>212</v>
      </c>
      <c r="I2254" t="s">
        <v>212</v>
      </c>
      <c r="J2254" t="s">
        <v>212</v>
      </c>
      <c r="K2254" t="s">
        <v>212</v>
      </c>
      <c r="L2254" t="s">
        <v>212</v>
      </c>
    </row>
    <row r="2255" spans="1:12">
      <c r="B2255" t="s">
        <v>2974</v>
      </c>
      <c r="C2255" t="s">
        <v>212</v>
      </c>
      <c r="D2255" t="s">
        <v>212</v>
      </c>
      <c r="E2255" t="s">
        <v>212</v>
      </c>
      <c r="F2255" t="s">
        <v>212</v>
      </c>
      <c r="G2255" t="s">
        <v>212</v>
      </c>
      <c r="H2255" t="s">
        <v>212</v>
      </c>
      <c r="I2255" t="s">
        <v>212</v>
      </c>
      <c r="J2255" t="s">
        <v>212</v>
      </c>
      <c r="K2255" t="s">
        <v>212</v>
      </c>
      <c r="L2255" t="s">
        <v>212</v>
      </c>
    </row>
    <row r="2256" spans="1:12">
      <c r="B2256" t="s">
        <v>2975</v>
      </c>
      <c r="C2256" t="s">
        <v>212</v>
      </c>
      <c r="D2256" t="s">
        <v>212</v>
      </c>
      <c r="E2256" t="s">
        <v>212</v>
      </c>
      <c r="F2256" t="s">
        <v>212</v>
      </c>
      <c r="G2256" t="s">
        <v>212</v>
      </c>
      <c r="H2256" t="s">
        <v>212</v>
      </c>
      <c r="I2256" t="s">
        <v>212</v>
      </c>
      <c r="J2256" t="s">
        <v>212</v>
      </c>
      <c r="K2256" t="s">
        <v>212</v>
      </c>
      <c r="L2256" t="s">
        <v>212</v>
      </c>
    </row>
    <row r="2257" spans="1:12">
      <c r="B2257" t="s">
        <v>2976</v>
      </c>
      <c r="C2257" t="s">
        <v>212</v>
      </c>
      <c r="D2257" t="s">
        <v>212</v>
      </c>
      <c r="E2257" t="s">
        <v>212</v>
      </c>
      <c r="F2257" t="s">
        <v>212</v>
      </c>
      <c r="G2257" t="s">
        <v>212</v>
      </c>
      <c r="H2257" t="s">
        <v>212</v>
      </c>
      <c r="I2257" t="s">
        <v>212</v>
      </c>
      <c r="J2257" t="s">
        <v>212</v>
      </c>
      <c r="K2257" t="s">
        <v>212</v>
      </c>
      <c r="L2257" t="s">
        <v>212</v>
      </c>
    </row>
    <row r="2258" spans="1:12">
      <c r="B2258" t="s">
        <v>2977</v>
      </c>
      <c r="C2258" t="s">
        <v>212</v>
      </c>
      <c r="D2258" t="s">
        <v>212</v>
      </c>
      <c r="E2258" t="s">
        <v>212</v>
      </c>
      <c r="F2258" t="s">
        <v>212</v>
      </c>
      <c r="G2258" t="s">
        <v>212</v>
      </c>
      <c r="H2258" t="s">
        <v>212</v>
      </c>
      <c r="I2258" t="s">
        <v>212</v>
      </c>
      <c r="J2258" t="s">
        <v>212</v>
      </c>
      <c r="K2258" t="s">
        <v>212</v>
      </c>
      <c r="L2258" t="s">
        <v>212</v>
      </c>
    </row>
    <row r="2259" spans="1:12">
      <c r="B2259" t="s">
        <v>2978</v>
      </c>
      <c r="C2259" t="s">
        <v>212</v>
      </c>
      <c r="D2259" t="s">
        <v>212</v>
      </c>
      <c r="E2259" t="s">
        <v>212</v>
      </c>
      <c r="F2259" t="s">
        <v>212</v>
      </c>
      <c r="G2259" t="s">
        <v>212</v>
      </c>
      <c r="H2259" t="s">
        <v>212</v>
      </c>
      <c r="I2259" t="s">
        <v>212</v>
      </c>
      <c r="J2259" t="s">
        <v>212</v>
      </c>
      <c r="K2259" t="s">
        <v>212</v>
      </c>
      <c r="L2259" t="s">
        <v>212</v>
      </c>
    </row>
    <row r="2260" spans="1:12">
      <c r="B2260" t="s">
        <v>2979</v>
      </c>
      <c r="C2260" t="s">
        <v>212</v>
      </c>
      <c r="D2260" t="s">
        <v>212</v>
      </c>
      <c r="E2260" t="s">
        <v>212</v>
      </c>
      <c r="F2260" t="s">
        <v>212</v>
      </c>
      <c r="G2260" t="s">
        <v>212</v>
      </c>
      <c r="H2260" t="s">
        <v>212</v>
      </c>
      <c r="I2260" t="s">
        <v>212</v>
      </c>
      <c r="J2260" t="s">
        <v>212</v>
      </c>
      <c r="K2260" t="s">
        <v>212</v>
      </c>
      <c r="L2260" t="s">
        <v>212</v>
      </c>
    </row>
    <row r="2261" spans="1:12">
      <c r="B2261" t="s">
        <v>2980</v>
      </c>
      <c r="C2261" t="s">
        <v>212</v>
      </c>
      <c r="D2261" t="s">
        <v>212</v>
      </c>
      <c r="E2261" t="s">
        <v>212</v>
      </c>
      <c r="F2261" t="s">
        <v>212</v>
      </c>
      <c r="G2261" t="s">
        <v>212</v>
      </c>
      <c r="H2261" t="s">
        <v>212</v>
      </c>
      <c r="I2261" t="s">
        <v>212</v>
      </c>
      <c r="J2261" t="s">
        <v>212</v>
      </c>
      <c r="K2261" t="s">
        <v>212</v>
      </c>
      <c r="L2261" t="s">
        <v>212</v>
      </c>
    </row>
    <row r="2263" spans="1:12">
      <c r="B2263" t="s">
        <v>2981</v>
      </c>
      <c r="C2263">
        <v>18.63</v>
      </c>
      <c r="H2263">
        <v>0</v>
      </c>
    </row>
    <row r="2264" spans="1:12">
      <c r="B2264" t="s">
        <v>2982</v>
      </c>
      <c r="C2264">
        <v>18.63</v>
      </c>
      <c r="D2264">
        <v>5932.88</v>
      </c>
      <c r="F2264">
        <v>8</v>
      </c>
      <c r="G2264">
        <v>7.45</v>
      </c>
      <c r="H2264">
        <v>0</v>
      </c>
      <c r="I2264">
        <v>0</v>
      </c>
      <c r="K2264">
        <v>5.08</v>
      </c>
      <c r="L2264">
        <v>4.55</v>
      </c>
    </row>
    <row r="2265" spans="1:12">
      <c r="B2265" t="s">
        <v>2983</v>
      </c>
      <c r="C2265">
        <v>18.63</v>
      </c>
      <c r="D2265">
        <v>5932.88</v>
      </c>
      <c r="F2265">
        <v>8</v>
      </c>
      <c r="G2265">
        <v>7.45</v>
      </c>
      <c r="H2265">
        <v>0</v>
      </c>
      <c r="I2265">
        <v>0</v>
      </c>
      <c r="K2265">
        <v>5.08</v>
      </c>
      <c r="L2265">
        <v>4.55</v>
      </c>
    </row>
    <row r="2268" spans="1:12">
      <c r="A2268" t="s">
        <v>1914</v>
      </c>
    </row>
    <row r="2269" spans="1:12">
      <c r="A2269" t="s">
        <v>1915</v>
      </c>
      <c r="B2269" t="s">
        <v>2984</v>
      </c>
    </row>
    <row r="2270" spans="1:12">
      <c r="A2270" t="s">
        <v>1917</v>
      </c>
      <c r="B2270" t="s">
        <v>2096</v>
      </c>
    </row>
    <row r="2271" spans="1:12">
      <c r="C2271" t="s">
        <v>2985</v>
      </c>
      <c r="D2271" t="s">
        <v>2986</v>
      </c>
      <c r="E2271" t="s">
        <v>2987</v>
      </c>
      <c r="F2271" t="s">
        <v>2988</v>
      </c>
      <c r="G2271" t="s">
        <v>2989</v>
      </c>
      <c r="H2271" t="s">
        <v>2990</v>
      </c>
      <c r="I2271" t="s">
        <v>2991</v>
      </c>
      <c r="J2271" t="s">
        <v>2992</v>
      </c>
      <c r="K2271" t="s">
        <v>2988</v>
      </c>
      <c r="L2271" t="s">
        <v>2989</v>
      </c>
    </row>
    <row r="2272" spans="1:12">
      <c r="B2272" t="s">
        <v>2970</v>
      </c>
      <c r="C2272">
        <v>3.55</v>
      </c>
      <c r="D2272">
        <v>1831.3</v>
      </c>
      <c r="E2272" t="s">
        <v>3009</v>
      </c>
      <c r="F2272">
        <v>8.3000000000000007</v>
      </c>
      <c r="G2272">
        <v>8.2200000000000006</v>
      </c>
      <c r="H2272">
        <v>10.210000000000001</v>
      </c>
      <c r="I2272">
        <v>1054.42</v>
      </c>
      <c r="J2272" t="s">
        <v>2962</v>
      </c>
      <c r="K2272">
        <v>6.4</v>
      </c>
      <c r="L2272">
        <v>6.4</v>
      </c>
    </row>
    <row r="2273" spans="2:12">
      <c r="B2273" t="s">
        <v>2971</v>
      </c>
      <c r="C2273" t="s">
        <v>212</v>
      </c>
      <c r="D2273" t="s">
        <v>212</v>
      </c>
      <c r="E2273" t="s">
        <v>212</v>
      </c>
      <c r="F2273" t="s">
        <v>212</v>
      </c>
      <c r="G2273" t="s">
        <v>212</v>
      </c>
      <c r="H2273" t="s">
        <v>212</v>
      </c>
      <c r="I2273" t="s">
        <v>212</v>
      </c>
      <c r="J2273" t="s">
        <v>212</v>
      </c>
      <c r="K2273" t="s">
        <v>212</v>
      </c>
      <c r="L2273" t="s">
        <v>212</v>
      </c>
    </row>
    <row r="2274" spans="2:12">
      <c r="B2274" t="s">
        <v>2972</v>
      </c>
      <c r="C2274" t="s">
        <v>212</v>
      </c>
      <c r="D2274" t="s">
        <v>212</v>
      </c>
      <c r="E2274" t="s">
        <v>212</v>
      </c>
      <c r="F2274" t="s">
        <v>212</v>
      </c>
      <c r="G2274" t="s">
        <v>212</v>
      </c>
      <c r="H2274" t="s">
        <v>212</v>
      </c>
      <c r="I2274" t="s">
        <v>212</v>
      </c>
      <c r="J2274" t="s">
        <v>212</v>
      </c>
      <c r="K2274" t="s">
        <v>212</v>
      </c>
      <c r="L2274" t="s">
        <v>212</v>
      </c>
    </row>
    <row r="2275" spans="2:12">
      <c r="B2275" t="s">
        <v>2973</v>
      </c>
      <c r="C2275" t="s">
        <v>212</v>
      </c>
      <c r="D2275" t="s">
        <v>212</v>
      </c>
      <c r="E2275" t="s">
        <v>212</v>
      </c>
      <c r="F2275" t="s">
        <v>212</v>
      </c>
      <c r="G2275" t="s">
        <v>212</v>
      </c>
      <c r="H2275" t="s">
        <v>212</v>
      </c>
      <c r="I2275" t="s">
        <v>212</v>
      </c>
      <c r="J2275" t="s">
        <v>212</v>
      </c>
      <c r="K2275" t="s">
        <v>212</v>
      </c>
      <c r="L2275" t="s">
        <v>212</v>
      </c>
    </row>
    <row r="2276" spans="2:12">
      <c r="B2276" t="s">
        <v>820</v>
      </c>
      <c r="C2276" t="s">
        <v>212</v>
      </c>
      <c r="D2276" t="s">
        <v>212</v>
      </c>
      <c r="E2276" t="s">
        <v>212</v>
      </c>
      <c r="F2276" t="s">
        <v>212</v>
      </c>
      <c r="G2276" t="s">
        <v>212</v>
      </c>
      <c r="H2276" t="s">
        <v>212</v>
      </c>
      <c r="I2276" t="s">
        <v>212</v>
      </c>
      <c r="J2276" t="s">
        <v>212</v>
      </c>
      <c r="K2276" t="s">
        <v>212</v>
      </c>
      <c r="L2276" t="s">
        <v>212</v>
      </c>
    </row>
    <row r="2277" spans="2:12">
      <c r="B2277" t="s">
        <v>2974</v>
      </c>
      <c r="C2277" t="s">
        <v>212</v>
      </c>
      <c r="D2277" t="s">
        <v>212</v>
      </c>
      <c r="E2277" t="s">
        <v>212</v>
      </c>
      <c r="F2277" t="s">
        <v>212</v>
      </c>
      <c r="G2277" t="s">
        <v>212</v>
      </c>
      <c r="H2277" t="s">
        <v>212</v>
      </c>
      <c r="I2277" t="s">
        <v>212</v>
      </c>
      <c r="J2277" t="s">
        <v>212</v>
      </c>
      <c r="K2277" t="s">
        <v>212</v>
      </c>
      <c r="L2277" t="s">
        <v>212</v>
      </c>
    </row>
    <row r="2278" spans="2:12">
      <c r="B2278" t="s">
        <v>2975</v>
      </c>
      <c r="C2278" t="s">
        <v>212</v>
      </c>
      <c r="D2278" t="s">
        <v>212</v>
      </c>
      <c r="E2278" t="s">
        <v>212</v>
      </c>
      <c r="F2278" t="s">
        <v>212</v>
      </c>
      <c r="G2278" t="s">
        <v>212</v>
      </c>
      <c r="H2278" t="s">
        <v>212</v>
      </c>
      <c r="I2278" t="s">
        <v>212</v>
      </c>
      <c r="J2278" t="s">
        <v>212</v>
      </c>
      <c r="K2278" t="s">
        <v>212</v>
      </c>
      <c r="L2278" t="s">
        <v>212</v>
      </c>
    </row>
    <row r="2279" spans="2:12">
      <c r="B2279" t="s">
        <v>2976</v>
      </c>
      <c r="C2279" t="s">
        <v>212</v>
      </c>
      <c r="D2279" t="s">
        <v>212</v>
      </c>
      <c r="E2279" t="s">
        <v>212</v>
      </c>
      <c r="F2279" t="s">
        <v>212</v>
      </c>
      <c r="G2279" t="s">
        <v>212</v>
      </c>
      <c r="H2279" t="s">
        <v>212</v>
      </c>
      <c r="I2279" t="s">
        <v>212</v>
      </c>
      <c r="J2279" t="s">
        <v>212</v>
      </c>
      <c r="K2279" t="s">
        <v>212</v>
      </c>
      <c r="L2279" t="s">
        <v>212</v>
      </c>
    </row>
    <row r="2280" spans="2:12">
      <c r="B2280" t="s">
        <v>2977</v>
      </c>
      <c r="C2280" t="s">
        <v>212</v>
      </c>
      <c r="D2280" t="s">
        <v>212</v>
      </c>
      <c r="E2280" t="s">
        <v>212</v>
      </c>
      <c r="F2280" t="s">
        <v>212</v>
      </c>
      <c r="G2280" t="s">
        <v>212</v>
      </c>
      <c r="H2280" t="s">
        <v>212</v>
      </c>
      <c r="I2280" t="s">
        <v>212</v>
      </c>
      <c r="J2280" t="s">
        <v>212</v>
      </c>
      <c r="K2280" t="s">
        <v>212</v>
      </c>
      <c r="L2280" t="s">
        <v>212</v>
      </c>
    </row>
    <row r="2281" spans="2:12">
      <c r="B2281" t="s">
        <v>2978</v>
      </c>
      <c r="C2281" t="s">
        <v>212</v>
      </c>
      <c r="D2281" t="s">
        <v>212</v>
      </c>
      <c r="E2281" t="s">
        <v>212</v>
      </c>
      <c r="F2281" t="s">
        <v>212</v>
      </c>
      <c r="G2281" t="s">
        <v>212</v>
      </c>
      <c r="H2281" t="s">
        <v>212</v>
      </c>
      <c r="I2281" t="s">
        <v>212</v>
      </c>
      <c r="J2281" t="s">
        <v>212</v>
      </c>
      <c r="K2281" t="s">
        <v>212</v>
      </c>
      <c r="L2281" t="s">
        <v>212</v>
      </c>
    </row>
    <row r="2282" spans="2:12">
      <c r="B2282" t="s">
        <v>2979</v>
      </c>
      <c r="C2282" t="s">
        <v>212</v>
      </c>
      <c r="D2282" t="s">
        <v>212</v>
      </c>
      <c r="E2282" t="s">
        <v>212</v>
      </c>
      <c r="F2282" t="s">
        <v>212</v>
      </c>
      <c r="G2282" t="s">
        <v>212</v>
      </c>
      <c r="H2282" t="s">
        <v>212</v>
      </c>
      <c r="I2282" t="s">
        <v>212</v>
      </c>
      <c r="J2282" t="s">
        <v>212</v>
      </c>
      <c r="K2282" t="s">
        <v>212</v>
      </c>
      <c r="L2282" t="s">
        <v>212</v>
      </c>
    </row>
    <row r="2283" spans="2:12">
      <c r="B2283" t="s">
        <v>2980</v>
      </c>
      <c r="C2283" t="s">
        <v>212</v>
      </c>
      <c r="D2283" t="s">
        <v>212</v>
      </c>
      <c r="E2283" t="s">
        <v>212</v>
      </c>
      <c r="F2283" t="s">
        <v>212</v>
      </c>
      <c r="G2283" t="s">
        <v>212</v>
      </c>
      <c r="H2283" t="s">
        <v>212</v>
      </c>
      <c r="I2283" t="s">
        <v>212</v>
      </c>
      <c r="J2283" t="s">
        <v>212</v>
      </c>
      <c r="K2283" t="s">
        <v>212</v>
      </c>
      <c r="L2283" t="s">
        <v>212</v>
      </c>
    </row>
    <row r="2285" spans="2:12">
      <c r="B2285" t="s">
        <v>2981</v>
      </c>
      <c r="C2285">
        <v>3.55</v>
      </c>
      <c r="H2285">
        <v>10.210000000000001</v>
      </c>
    </row>
    <row r="2286" spans="2:12">
      <c r="B2286" t="s">
        <v>2982</v>
      </c>
      <c r="C2286">
        <v>3.55</v>
      </c>
      <c r="D2286">
        <v>1831.3</v>
      </c>
      <c r="F2286">
        <v>8.3000000000000007</v>
      </c>
      <c r="G2286">
        <v>8.2200000000000006</v>
      </c>
      <c r="H2286">
        <v>10.210000000000001</v>
      </c>
      <c r="I2286">
        <v>1054.42</v>
      </c>
      <c r="K2286">
        <v>6.4</v>
      </c>
      <c r="L2286">
        <v>6.4</v>
      </c>
    </row>
    <row r="2287" spans="2:12">
      <c r="B2287" t="s">
        <v>2983</v>
      </c>
      <c r="C2287">
        <v>3.55</v>
      </c>
      <c r="D2287">
        <v>1831.3</v>
      </c>
      <c r="F2287">
        <v>8.3000000000000007</v>
      </c>
      <c r="G2287">
        <v>8.2200000000000006</v>
      </c>
      <c r="H2287">
        <v>10.210000000000001</v>
      </c>
      <c r="I2287">
        <v>1054.42</v>
      </c>
      <c r="K2287">
        <v>6.4</v>
      </c>
      <c r="L2287">
        <v>6.4</v>
      </c>
    </row>
    <row r="2290" spans="1:12">
      <c r="A2290" t="s">
        <v>1914</v>
      </c>
    </row>
    <row r="2291" spans="1:12">
      <c r="A2291" t="s">
        <v>1915</v>
      </c>
      <c r="B2291" t="s">
        <v>2984</v>
      </c>
    </row>
    <row r="2292" spans="1:12">
      <c r="A2292" t="s">
        <v>1917</v>
      </c>
      <c r="B2292" t="s">
        <v>2097</v>
      </c>
    </row>
    <row r="2293" spans="1:12">
      <c r="C2293" t="s">
        <v>2985</v>
      </c>
      <c r="D2293" t="s">
        <v>2986</v>
      </c>
      <c r="E2293" t="s">
        <v>2987</v>
      </c>
      <c r="F2293" t="s">
        <v>2988</v>
      </c>
      <c r="G2293" t="s">
        <v>2989</v>
      </c>
      <c r="H2293" t="s">
        <v>2990</v>
      </c>
      <c r="I2293" t="s">
        <v>2991</v>
      </c>
      <c r="J2293" t="s">
        <v>2992</v>
      </c>
      <c r="K2293" t="s">
        <v>2988</v>
      </c>
      <c r="L2293" t="s">
        <v>2989</v>
      </c>
    </row>
    <row r="2294" spans="1:12">
      <c r="B2294" t="s">
        <v>2970</v>
      </c>
      <c r="C2294">
        <v>1.64</v>
      </c>
      <c r="D2294">
        <v>982.4</v>
      </c>
      <c r="E2294" t="s">
        <v>3009</v>
      </c>
      <c r="F2294">
        <v>8.3000000000000007</v>
      </c>
      <c r="G2294">
        <v>8.2200000000000006</v>
      </c>
      <c r="H2294">
        <v>6.48</v>
      </c>
      <c r="I2294">
        <v>669.62</v>
      </c>
      <c r="J2294" t="s">
        <v>2962</v>
      </c>
      <c r="K2294">
        <v>6.4</v>
      </c>
      <c r="L2294">
        <v>6.4</v>
      </c>
    </row>
    <row r="2295" spans="1:12">
      <c r="B2295" t="s">
        <v>2971</v>
      </c>
      <c r="C2295" t="s">
        <v>212</v>
      </c>
      <c r="D2295" t="s">
        <v>212</v>
      </c>
      <c r="E2295" t="s">
        <v>212</v>
      </c>
      <c r="F2295" t="s">
        <v>212</v>
      </c>
      <c r="G2295" t="s">
        <v>212</v>
      </c>
      <c r="H2295" t="s">
        <v>212</v>
      </c>
      <c r="I2295" t="s">
        <v>212</v>
      </c>
      <c r="J2295" t="s">
        <v>212</v>
      </c>
      <c r="K2295" t="s">
        <v>212</v>
      </c>
      <c r="L2295" t="s">
        <v>212</v>
      </c>
    </row>
    <row r="2296" spans="1:12">
      <c r="B2296" t="s">
        <v>2972</v>
      </c>
      <c r="C2296" t="s">
        <v>212</v>
      </c>
      <c r="D2296" t="s">
        <v>212</v>
      </c>
      <c r="E2296" t="s">
        <v>212</v>
      </c>
      <c r="F2296" t="s">
        <v>212</v>
      </c>
      <c r="G2296" t="s">
        <v>212</v>
      </c>
      <c r="H2296" t="s">
        <v>212</v>
      </c>
      <c r="I2296" t="s">
        <v>212</v>
      </c>
      <c r="J2296" t="s">
        <v>212</v>
      </c>
      <c r="K2296" t="s">
        <v>212</v>
      </c>
      <c r="L2296" t="s">
        <v>212</v>
      </c>
    </row>
    <row r="2297" spans="1:12">
      <c r="B2297" t="s">
        <v>2973</v>
      </c>
      <c r="C2297" t="s">
        <v>212</v>
      </c>
      <c r="D2297" t="s">
        <v>212</v>
      </c>
      <c r="E2297" t="s">
        <v>212</v>
      </c>
      <c r="F2297" t="s">
        <v>212</v>
      </c>
      <c r="G2297" t="s">
        <v>212</v>
      </c>
      <c r="H2297" t="s">
        <v>212</v>
      </c>
      <c r="I2297" t="s">
        <v>212</v>
      </c>
      <c r="J2297" t="s">
        <v>212</v>
      </c>
      <c r="K2297" t="s">
        <v>212</v>
      </c>
      <c r="L2297" t="s">
        <v>212</v>
      </c>
    </row>
    <row r="2298" spans="1:12">
      <c r="B2298" t="s">
        <v>820</v>
      </c>
      <c r="C2298" t="s">
        <v>212</v>
      </c>
      <c r="D2298" t="s">
        <v>212</v>
      </c>
      <c r="E2298" t="s">
        <v>212</v>
      </c>
      <c r="F2298" t="s">
        <v>212</v>
      </c>
      <c r="G2298" t="s">
        <v>212</v>
      </c>
      <c r="H2298" t="s">
        <v>212</v>
      </c>
      <c r="I2298" t="s">
        <v>212</v>
      </c>
      <c r="J2298" t="s">
        <v>212</v>
      </c>
      <c r="K2298" t="s">
        <v>212</v>
      </c>
      <c r="L2298" t="s">
        <v>212</v>
      </c>
    </row>
    <row r="2299" spans="1:12">
      <c r="B2299" t="s">
        <v>2974</v>
      </c>
      <c r="C2299" t="s">
        <v>212</v>
      </c>
      <c r="D2299" t="s">
        <v>212</v>
      </c>
      <c r="E2299" t="s">
        <v>212</v>
      </c>
      <c r="F2299" t="s">
        <v>212</v>
      </c>
      <c r="G2299" t="s">
        <v>212</v>
      </c>
      <c r="H2299" t="s">
        <v>212</v>
      </c>
      <c r="I2299" t="s">
        <v>212</v>
      </c>
      <c r="J2299" t="s">
        <v>212</v>
      </c>
      <c r="K2299" t="s">
        <v>212</v>
      </c>
      <c r="L2299" t="s">
        <v>212</v>
      </c>
    </row>
    <row r="2300" spans="1:12">
      <c r="B2300" t="s">
        <v>2975</v>
      </c>
      <c r="C2300" t="s">
        <v>212</v>
      </c>
      <c r="D2300" t="s">
        <v>212</v>
      </c>
      <c r="E2300" t="s">
        <v>212</v>
      </c>
      <c r="F2300" t="s">
        <v>212</v>
      </c>
      <c r="G2300" t="s">
        <v>212</v>
      </c>
      <c r="H2300" t="s">
        <v>212</v>
      </c>
      <c r="I2300" t="s">
        <v>212</v>
      </c>
      <c r="J2300" t="s">
        <v>212</v>
      </c>
      <c r="K2300" t="s">
        <v>212</v>
      </c>
      <c r="L2300" t="s">
        <v>212</v>
      </c>
    </row>
    <row r="2301" spans="1:12">
      <c r="B2301" t="s">
        <v>2976</v>
      </c>
      <c r="C2301" t="s">
        <v>212</v>
      </c>
      <c r="D2301" t="s">
        <v>212</v>
      </c>
      <c r="E2301" t="s">
        <v>212</v>
      </c>
      <c r="F2301" t="s">
        <v>212</v>
      </c>
      <c r="G2301" t="s">
        <v>212</v>
      </c>
      <c r="H2301" t="s">
        <v>212</v>
      </c>
      <c r="I2301" t="s">
        <v>212</v>
      </c>
      <c r="J2301" t="s">
        <v>212</v>
      </c>
      <c r="K2301" t="s">
        <v>212</v>
      </c>
      <c r="L2301" t="s">
        <v>212</v>
      </c>
    </row>
    <row r="2302" spans="1:12">
      <c r="B2302" t="s">
        <v>2977</v>
      </c>
      <c r="C2302" t="s">
        <v>212</v>
      </c>
      <c r="D2302" t="s">
        <v>212</v>
      </c>
      <c r="E2302" t="s">
        <v>212</v>
      </c>
      <c r="F2302" t="s">
        <v>212</v>
      </c>
      <c r="G2302" t="s">
        <v>212</v>
      </c>
      <c r="H2302" t="s">
        <v>212</v>
      </c>
      <c r="I2302" t="s">
        <v>212</v>
      </c>
      <c r="J2302" t="s">
        <v>212</v>
      </c>
      <c r="K2302" t="s">
        <v>212</v>
      </c>
      <c r="L2302" t="s">
        <v>212</v>
      </c>
    </row>
    <row r="2303" spans="1:12">
      <c r="B2303" t="s">
        <v>2978</v>
      </c>
      <c r="C2303" t="s">
        <v>212</v>
      </c>
      <c r="D2303" t="s">
        <v>212</v>
      </c>
      <c r="E2303" t="s">
        <v>212</v>
      </c>
      <c r="F2303" t="s">
        <v>212</v>
      </c>
      <c r="G2303" t="s">
        <v>212</v>
      </c>
      <c r="H2303" t="s">
        <v>212</v>
      </c>
      <c r="I2303" t="s">
        <v>212</v>
      </c>
      <c r="J2303" t="s">
        <v>212</v>
      </c>
      <c r="K2303" t="s">
        <v>212</v>
      </c>
      <c r="L2303" t="s">
        <v>212</v>
      </c>
    </row>
    <row r="2304" spans="1:12">
      <c r="B2304" t="s">
        <v>2979</v>
      </c>
      <c r="C2304" t="s">
        <v>212</v>
      </c>
      <c r="D2304" t="s">
        <v>212</v>
      </c>
      <c r="E2304" t="s">
        <v>212</v>
      </c>
      <c r="F2304" t="s">
        <v>212</v>
      </c>
      <c r="G2304" t="s">
        <v>212</v>
      </c>
      <c r="H2304" t="s">
        <v>212</v>
      </c>
      <c r="I2304" t="s">
        <v>212</v>
      </c>
      <c r="J2304" t="s">
        <v>212</v>
      </c>
      <c r="K2304" t="s">
        <v>212</v>
      </c>
      <c r="L2304" t="s">
        <v>212</v>
      </c>
    </row>
    <row r="2305" spans="1:12">
      <c r="B2305" t="s">
        <v>2980</v>
      </c>
      <c r="C2305" t="s">
        <v>212</v>
      </c>
      <c r="D2305" t="s">
        <v>212</v>
      </c>
      <c r="E2305" t="s">
        <v>212</v>
      </c>
      <c r="F2305" t="s">
        <v>212</v>
      </c>
      <c r="G2305" t="s">
        <v>212</v>
      </c>
      <c r="H2305" t="s">
        <v>212</v>
      </c>
      <c r="I2305" t="s">
        <v>212</v>
      </c>
      <c r="J2305" t="s">
        <v>212</v>
      </c>
      <c r="K2305" t="s">
        <v>212</v>
      </c>
      <c r="L2305" t="s">
        <v>212</v>
      </c>
    </row>
    <row r="2307" spans="1:12">
      <c r="B2307" t="s">
        <v>2981</v>
      </c>
      <c r="C2307">
        <v>1.64</v>
      </c>
      <c r="H2307">
        <v>6.48</v>
      </c>
    </row>
    <row r="2308" spans="1:12">
      <c r="B2308" t="s">
        <v>2982</v>
      </c>
      <c r="C2308">
        <v>1.64</v>
      </c>
      <c r="D2308">
        <v>982.4</v>
      </c>
      <c r="F2308">
        <v>8.3000000000000007</v>
      </c>
      <c r="G2308">
        <v>8.2200000000000006</v>
      </c>
      <c r="H2308">
        <v>6.48</v>
      </c>
      <c r="I2308">
        <v>669.62</v>
      </c>
      <c r="K2308">
        <v>6.4</v>
      </c>
      <c r="L2308">
        <v>6.4</v>
      </c>
    </row>
    <row r="2309" spans="1:12">
      <c r="B2309" t="s">
        <v>2983</v>
      </c>
      <c r="C2309">
        <v>1.64</v>
      </c>
      <c r="D2309">
        <v>982.4</v>
      </c>
      <c r="F2309">
        <v>8.3000000000000007</v>
      </c>
      <c r="G2309">
        <v>8.2200000000000006</v>
      </c>
      <c r="H2309">
        <v>6.48</v>
      </c>
      <c r="I2309">
        <v>669.62</v>
      </c>
      <c r="K2309">
        <v>6.4</v>
      </c>
      <c r="L2309">
        <v>6.4</v>
      </c>
    </row>
    <row r="2312" spans="1:12">
      <c r="A2312" t="s">
        <v>1914</v>
      </c>
    </row>
    <row r="2313" spans="1:12">
      <c r="A2313" t="s">
        <v>1915</v>
      </c>
      <c r="B2313" t="s">
        <v>2984</v>
      </c>
    </row>
    <row r="2314" spans="1:12">
      <c r="A2314" t="s">
        <v>1917</v>
      </c>
      <c r="B2314" t="s">
        <v>2098</v>
      </c>
    </row>
    <row r="2315" spans="1:12">
      <c r="C2315" t="s">
        <v>2985</v>
      </c>
      <c r="D2315" t="s">
        <v>2986</v>
      </c>
      <c r="E2315" t="s">
        <v>2987</v>
      </c>
      <c r="F2315" t="s">
        <v>2988</v>
      </c>
      <c r="G2315" t="s">
        <v>2989</v>
      </c>
      <c r="H2315" t="s">
        <v>2990</v>
      </c>
      <c r="I2315" t="s">
        <v>2991</v>
      </c>
      <c r="J2315" t="s">
        <v>2992</v>
      </c>
      <c r="K2315" t="s">
        <v>2988</v>
      </c>
      <c r="L2315" t="s">
        <v>2989</v>
      </c>
    </row>
    <row r="2316" spans="1:12">
      <c r="B2316" t="s">
        <v>2970</v>
      </c>
      <c r="C2316">
        <v>4.41</v>
      </c>
      <c r="D2316">
        <v>2372.79</v>
      </c>
      <c r="E2316" t="s">
        <v>3009</v>
      </c>
      <c r="F2316">
        <v>8.3000000000000007</v>
      </c>
      <c r="G2316">
        <v>8.2200000000000006</v>
      </c>
      <c r="H2316">
        <v>10.210000000000001</v>
      </c>
      <c r="I2316">
        <v>1054.42</v>
      </c>
      <c r="J2316" t="s">
        <v>2962</v>
      </c>
      <c r="K2316">
        <v>6.4</v>
      </c>
      <c r="L2316">
        <v>6.4</v>
      </c>
    </row>
    <row r="2317" spans="1:12">
      <c r="B2317" t="s">
        <v>2971</v>
      </c>
      <c r="C2317" t="s">
        <v>212</v>
      </c>
      <c r="D2317" t="s">
        <v>212</v>
      </c>
      <c r="E2317" t="s">
        <v>212</v>
      </c>
      <c r="F2317" t="s">
        <v>212</v>
      </c>
      <c r="G2317" t="s">
        <v>212</v>
      </c>
      <c r="H2317" t="s">
        <v>212</v>
      </c>
      <c r="I2317" t="s">
        <v>212</v>
      </c>
      <c r="J2317" t="s">
        <v>212</v>
      </c>
      <c r="K2317" t="s">
        <v>212</v>
      </c>
      <c r="L2317" t="s">
        <v>212</v>
      </c>
    </row>
    <row r="2318" spans="1:12">
      <c r="B2318" t="s">
        <v>2972</v>
      </c>
      <c r="C2318" t="s">
        <v>212</v>
      </c>
      <c r="D2318" t="s">
        <v>212</v>
      </c>
      <c r="E2318" t="s">
        <v>212</v>
      </c>
      <c r="F2318" t="s">
        <v>212</v>
      </c>
      <c r="G2318" t="s">
        <v>212</v>
      </c>
      <c r="H2318" t="s">
        <v>212</v>
      </c>
      <c r="I2318" t="s">
        <v>212</v>
      </c>
      <c r="J2318" t="s">
        <v>212</v>
      </c>
      <c r="K2318" t="s">
        <v>212</v>
      </c>
      <c r="L2318" t="s">
        <v>212</v>
      </c>
    </row>
    <row r="2319" spans="1:12">
      <c r="B2319" t="s">
        <v>2973</v>
      </c>
      <c r="C2319" t="s">
        <v>212</v>
      </c>
      <c r="D2319" t="s">
        <v>212</v>
      </c>
      <c r="E2319" t="s">
        <v>212</v>
      </c>
      <c r="F2319" t="s">
        <v>212</v>
      </c>
      <c r="G2319" t="s">
        <v>212</v>
      </c>
      <c r="H2319" t="s">
        <v>212</v>
      </c>
      <c r="I2319" t="s">
        <v>212</v>
      </c>
      <c r="J2319" t="s">
        <v>212</v>
      </c>
      <c r="K2319" t="s">
        <v>212</v>
      </c>
      <c r="L2319" t="s">
        <v>212</v>
      </c>
    </row>
    <row r="2320" spans="1:12">
      <c r="B2320" t="s">
        <v>820</v>
      </c>
      <c r="C2320" t="s">
        <v>212</v>
      </c>
      <c r="D2320" t="s">
        <v>212</v>
      </c>
      <c r="E2320" t="s">
        <v>212</v>
      </c>
      <c r="F2320" t="s">
        <v>212</v>
      </c>
      <c r="G2320" t="s">
        <v>212</v>
      </c>
      <c r="H2320" t="s">
        <v>212</v>
      </c>
      <c r="I2320" t="s">
        <v>212</v>
      </c>
      <c r="J2320" t="s">
        <v>212</v>
      </c>
      <c r="K2320" t="s">
        <v>212</v>
      </c>
      <c r="L2320" t="s">
        <v>212</v>
      </c>
    </row>
    <row r="2321" spans="1:12">
      <c r="B2321" t="s">
        <v>2974</v>
      </c>
      <c r="C2321" t="s">
        <v>212</v>
      </c>
      <c r="D2321" t="s">
        <v>212</v>
      </c>
      <c r="E2321" t="s">
        <v>212</v>
      </c>
      <c r="F2321" t="s">
        <v>212</v>
      </c>
      <c r="G2321" t="s">
        <v>212</v>
      </c>
      <c r="H2321" t="s">
        <v>212</v>
      </c>
      <c r="I2321" t="s">
        <v>212</v>
      </c>
      <c r="J2321" t="s">
        <v>212</v>
      </c>
      <c r="K2321" t="s">
        <v>212</v>
      </c>
      <c r="L2321" t="s">
        <v>212</v>
      </c>
    </row>
    <row r="2322" spans="1:12">
      <c r="B2322" t="s">
        <v>2975</v>
      </c>
      <c r="C2322" t="s">
        <v>212</v>
      </c>
      <c r="D2322" t="s">
        <v>212</v>
      </c>
      <c r="E2322" t="s">
        <v>212</v>
      </c>
      <c r="F2322" t="s">
        <v>212</v>
      </c>
      <c r="G2322" t="s">
        <v>212</v>
      </c>
      <c r="H2322" t="s">
        <v>212</v>
      </c>
      <c r="I2322" t="s">
        <v>212</v>
      </c>
      <c r="J2322" t="s">
        <v>212</v>
      </c>
      <c r="K2322" t="s">
        <v>212</v>
      </c>
      <c r="L2322" t="s">
        <v>212</v>
      </c>
    </row>
    <row r="2323" spans="1:12">
      <c r="B2323" t="s">
        <v>2976</v>
      </c>
      <c r="C2323" t="s">
        <v>212</v>
      </c>
      <c r="D2323" t="s">
        <v>212</v>
      </c>
      <c r="E2323" t="s">
        <v>212</v>
      </c>
      <c r="F2323" t="s">
        <v>212</v>
      </c>
      <c r="G2323" t="s">
        <v>212</v>
      </c>
      <c r="H2323" t="s">
        <v>212</v>
      </c>
      <c r="I2323" t="s">
        <v>212</v>
      </c>
      <c r="J2323" t="s">
        <v>212</v>
      </c>
      <c r="K2323" t="s">
        <v>212</v>
      </c>
      <c r="L2323" t="s">
        <v>212</v>
      </c>
    </row>
    <row r="2324" spans="1:12">
      <c r="B2324" t="s">
        <v>2977</v>
      </c>
      <c r="C2324" t="s">
        <v>212</v>
      </c>
      <c r="D2324" t="s">
        <v>212</v>
      </c>
      <c r="E2324" t="s">
        <v>212</v>
      </c>
      <c r="F2324" t="s">
        <v>212</v>
      </c>
      <c r="G2324" t="s">
        <v>212</v>
      </c>
      <c r="H2324" t="s">
        <v>212</v>
      </c>
      <c r="I2324" t="s">
        <v>212</v>
      </c>
      <c r="J2324" t="s">
        <v>212</v>
      </c>
      <c r="K2324" t="s">
        <v>212</v>
      </c>
      <c r="L2324" t="s">
        <v>212</v>
      </c>
    </row>
    <row r="2325" spans="1:12">
      <c r="B2325" t="s">
        <v>2978</v>
      </c>
      <c r="C2325" t="s">
        <v>212</v>
      </c>
      <c r="D2325" t="s">
        <v>212</v>
      </c>
      <c r="E2325" t="s">
        <v>212</v>
      </c>
      <c r="F2325" t="s">
        <v>212</v>
      </c>
      <c r="G2325" t="s">
        <v>212</v>
      </c>
      <c r="H2325" t="s">
        <v>212</v>
      </c>
      <c r="I2325" t="s">
        <v>212</v>
      </c>
      <c r="J2325" t="s">
        <v>212</v>
      </c>
      <c r="K2325" t="s">
        <v>212</v>
      </c>
      <c r="L2325" t="s">
        <v>212</v>
      </c>
    </row>
    <row r="2326" spans="1:12">
      <c r="B2326" t="s">
        <v>2979</v>
      </c>
      <c r="C2326" t="s">
        <v>212</v>
      </c>
      <c r="D2326" t="s">
        <v>212</v>
      </c>
      <c r="E2326" t="s">
        <v>212</v>
      </c>
      <c r="F2326" t="s">
        <v>212</v>
      </c>
      <c r="G2326" t="s">
        <v>212</v>
      </c>
      <c r="H2326" t="s">
        <v>212</v>
      </c>
      <c r="I2326" t="s">
        <v>212</v>
      </c>
      <c r="J2326" t="s">
        <v>212</v>
      </c>
      <c r="K2326" t="s">
        <v>212</v>
      </c>
      <c r="L2326" t="s">
        <v>212</v>
      </c>
    </row>
    <row r="2327" spans="1:12">
      <c r="B2327" t="s">
        <v>2980</v>
      </c>
      <c r="C2327" t="s">
        <v>212</v>
      </c>
      <c r="D2327" t="s">
        <v>212</v>
      </c>
      <c r="E2327" t="s">
        <v>212</v>
      </c>
      <c r="F2327" t="s">
        <v>212</v>
      </c>
      <c r="G2327" t="s">
        <v>212</v>
      </c>
      <c r="H2327" t="s">
        <v>212</v>
      </c>
      <c r="I2327" t="s">
        <v>212</v>
      </c>
      <c r="J2327" t="s">
        <v>212</v>
      </c>
      <c r="K2327" t="s">
        <v>212</v>
      </c>
      <c r="L2327" t="s">
        <v>212</v>
      </c>
    </row>
    <row r="2329" spans="1:12">
      <c r="B2329" t="s">
        <v>2981</v>
      </c>
      <c r="C2329">
        <v>4.41</v>
      </c>
      <c r="H2329">
        <v>10.210000000000001</v>
      </c>
    </row>
    <row r="2330" spans="1:12">
      <c r="B2330" t="s">
        <v>2982</v>
      </c>
      <c r="C2330">
        <v>4.41</v>
      </c>
      <c r="D2330">
        <v>2372.79</v>
      </c>
      <c r="F2330">
        <v>8.3000000000000007</v>
      </c>
      <c r="G2330">
        <v>8.2200000000000006</v>
      </c>
      <c r="H2330">
        <v>10.210000000000001</v>
      </c>
      <c r="I2330">
        <v>1054.42</v>
      </c>
      <c r="K2330">
        <v>6.4</v>
      </c>
      <c r="L2330">
        <v>6.4</v>
      </c>
    </row>
    <row r="2331" spans="1:12">
      <c r="B2331" t="s">
        <v>2983</v>
      </c>
      <c r="C2331">
        <v>4.41</v>
      </c>
      <c r="D2331">
        <v>2372.79</v>
      </c>
      <c r="F2331">
        <v>8.3000000000000007</v>
      </c>
      <c r="G2331">
        <v>8.2200000000000006</v>
      </c>
      <c r="H2331">
        <v>10.210000000000001</v>
      </c>
      <c r="I2331">
        <v>1054.42</v>
      </c>
      <c r="K2331">
        <v>6.4</v>
      </c>
      <c r="L2331">
        <v>6.4</v>
      </c>
    </row>
    <row r="2334" spans="1:12">
      <c r="A2334" t="s">
        <v>1914</v>
      </c>
    </row>
    <row r="2335" spans="1:12">
      <c r="A2335" t="s">
        <v>1915</v>
      </c>
      <c r="B2335" t="s">
        <v>2984</v>
      </c>
    </row>
    <row r="2336" spans="1:12">
      <c r="A2336" t="s">
        <v>1917</v>
      </c>
      <c r="B2336" t="s">
        <v>2099</v>
      </c>
    </row>
    <row r="2337" spans="2:12">
      <c r="C2337" t="s">
        <v>2985</v>
      </c>
      <c r="D2337" t="s">
        <v>2986</v>
      </c>
      <c r="E2337" t="s">
        <v>2987</v>
      </c>
      <c r="F2337" t="s">
        <v>2988</v>
      </c>
      <c r="G2337" t="s">
        <v>2989</v>
      </c>
      <c r="H2337" t="s">
        <v>2990</v>
      </c>
      <c r="I2337" t="s">
        <v>2991</v>
      </c>
      <c r="J2337" t="s">
        <v>2992</v>
      </c>
      <c r="K2337" t="s">
        <v>2988</v>
      </c>
      <c r="L2337" t="s">
        <v>2989</v>
      </c>
    </row>
    <row r="2338" spans="2:12">
      <c r="B2338" t="s">
        <v>2970</v>
      </c>
      <c r="C2338">
        <v>2.34</v>
      </c>
      <c r="D2338">
        <v>1143.72</v>
      </c>
      <c r="E2338" t="s">
        <v>3010</v>
      </c>
      <c r="F2338">
        <v>8.4</v>
      </c>
      <c r="G2338">
        <v>8.24</v>
      </c>
      <c r="H2338">
        <v>6.48</v>
      </c>
      <c r="I2338">
        <v>669.62</v>
      </c>
      <c r="J2338" t="s">
        <v>2962</v>
      </c>
      <c r="K2338">
        <v>6.4</v>
      </c>
      <c r="L2338">
        <v>6.4</v>
      </c>
    </row>
    <row r="2339" spans="2:12">
      <c r="B2339" t="s">
        <v>2971</v>
      </c>
      <c r="C2339" t="s">
        <v>212</v>
      </c>
      <c r="D2339" t="s">
        <v>212</v>
      </c>
      <c r="E2339" t="s">
        <v>212</v>
      </c>
      <c r="F2339" t="s">
        <v>212</v>
      </c>
      <c r="G2339" t="s">
        <v>212</v>
      </c>
      <c r="H2339" t="s">
        <v>212</v>
      </c>
      <c r="I2339" t="s">
        <v>212</v>
      </c>
      <c r="J2339" t="s">
        <v>212</v>
      </c>
      <c r="K2339" t="s">
        <v>212</v>
      </c>
      <c r="L2339" t="s">
        <v>212</v>
      </c>
    </row>
    <row r="2340" spans="2:12">
      <c r="B2340" t="s">
        <v>2972</v>
      </c>
      <c r="C2340" t="s">
        <v>212</v>
      </c>
      <c r="D2340" t="s">
        <v>212</v>
      </c>
      <c r="E2340" t="s">
        <v>212</v>
      </c>
      <c r="F2340" t="s">
        <v>212</v>
      </c>
      <c r="G2340" t="s">
        <v>212</v>
      </c>
      <c r="H2340" t="s">
        <v>212</v>
      </c>
      <c r="I2340" t="s">
        <v>212</v>
      </c>
      <c r="J2340" t="s">
        <v>212</v>
      </c>
      <c r="K2340" t="s">
        <v>212</v>
      </c>
      <c r="L2340" t="s">
        <v>212</v>
      </c>
    </row>
    <row r="2341" spans="2:12">
      <c r="B2341" t="s">
        <v>2973</v>
      </c>
      <c r="C2341" t="s">
        <v>212</v>
      </c>
      <c r="D2341" t="s">
        <v>212</v>
      </c>
      <c r="E2341" t="s">
        <v>212</v>
      </c>
      <c r="F2341" t="s">
        <v>212</v>
      </c>
      <c r="G2341" t="s">
        <v>212</v>
      </c>
      <c r="H2341" t="s">
        <v>212</v>
      </c>
      <c r="I2341" t="s">
        <v>212</v>
      </c>
      <c r="J2341" t="s">
        <v>212</v>
      </c>
      <c r="K2341" t="s">
        <v>212</v>
      </c>
      <c r="L2341" t="s">
        <v>212</v>
      </c>
    </row>
    <row r="2342" spans="2:12">
      <c r="B2342" t="s">
        <v>820</v>
      </c>
      <c r="C2342" t="s">
        <v>212</v>
      </c>
      <c r="D2342" t="s">
        <v>212</v>
      </c>
      <c r="E2342" t="s">
        <v>212</v>
      </c>
      <c r="F2342" t="s">
        <v>212</v>
      </c>
      <c r="G2342" t="s">
        <v>212</v>
      </c>
      <c r="H2342" t="s">
        <v>212</v>
      </c>
      <c r="I2342" t="s">
        <v>212</v>
      </c>
      <c r="J2342" t="s">
        <v>212</v>
      </c>
      <c r="K2342" t="s">
        <v>212</v>
      </c>
      <c r="L2342" t="s">
        <v>212</v>
      </c>
    </row>
    <row r="2343" spans="2:12">
      <c r="B2343" t="s">
        <v>2974</v>
      </c>
      <c r="C2343" t="s">
        <v>212</v>
      </c>
      <c r="D2343" t="s">
        <v>212</v>
      </c>
      <c r="E2343" t="s">
        <v>212</v>
      </c>
      <c r="F2343" t="s">
        <v>212</v>
      </c>
      <c r="G2343" t="s">
        <v>212</v>
      </c>
      <c r="H2343" t="s">
        <v>212</v>
      </c>
      <c r="I2343" t="s">
        <v>212</v>
      </c>
      <c r="J2343" t="s">
        <v>212</v>
      </c>
      <c r="K2343" t="s">
        <v>212</v>
      </c>
      <c r="L2343" t="s">
        <v>212</v>
      </c>
    </row>
    <row r="2344" spans="2:12">
      <c r="B2344" t="s">
        <v>2975</v>
      </c>
      <c r="C2344" t="s">
        <v>212</v>
      </c>
      <c r="D2344" t="s">
        <v>212</v>
      </c>
      <c r="E2344" t="s">
        <v>212</v>
      </c>
      <c r="F2344" t="s">
        <v>212</v>
      </c>
      <c r="G2344" t="s">
        <v>212</v>
      </c>
      <c r="H2344" t="s">
        <v>212</v>
      </c>
      <c r="I2344" t="s">
        <v>212</v>
      </c>
      <c r="J2344" t="s">
        <v>212</v>
      </c>
      <c r="K2344" t="s">
        <v>212</v>
      </c>
      <c r="L2344" t="s">
        <v>212</v>
      </c>
    </row>
    <row r="2345" spans="2:12">
      <c r="B2345" t="s">
        <v>2976</v>
      </c>
      <c r="C2345" t="s">
        <v>212</v>
      </c>
      <c r="D2345" t="s">
        <v>212</v>
      </c>
      <c r="E2345" t="s">
        <v>212</v>
      </c>
      <c r="F2345" t="s">
        <v>212</v>
      </c>
      <c r="G2345" t="s">
        <v>212</v>
      </c>
      <c r="H2345" t="s">
        <v>212</v>
      </c>
      <c r="I2345" t="s">
        <v>212</v>
      </c>
      <c r="J2345" t="s">
        <v>212</v>
      </c>
      <c r="K2345" t="s">
        <v>212</v>
      </c>
      <c r="L2345" t="s">
        <v>212</v>
      </c>
    </row>
    <row r="2346" spans="2:12">
      <c r="B2346" t="s">
        <v>2977</v>
      </c>
      <c r="C2346" t="s">
        <v>212</v>
      </c>
      <c r="D2346" t="s">
        <v>212</v>
      </c>
      <c r="E2346" t="s">
        <v>212</v>
      </c>
      <c r="F2346" t="s">
        <v>212</v>
      </c>
      <c r="G2346" t="s">
        <v>212</v>
      </c>
      <c r="H2346" t="s">
        <v>212</v>
      </c>
      <c r="I2346" t="s">
        <v>212</v>
      </c>
      <c r="J2346" t="s">
        <v>212</v>
      </c>
      <c r="K2346" t="s">
        <v>212</v>
      </c>
      <c r="L2346" t="s">
        <v>212</v>
      </c>
    </row>
    <row r="2347" spans="2:12">
      <c r="B2347" t="s">
        <v>2978</v>
      </c>
      <c r="C2347" t="s">
        <v>212</v>
      </c>
      <c r="D2347" t="s">
        <v>212</v>
      </c>
      <c r="E2347" t="s">
        <v>212</v>
      </c>
      <c r="F2347" t="s">
        <v>212</v>
      </c>
      <c r="G2347" t="s">
        <v>212</v>
      </c>
      <c r="H2347" t="s">
        <v>212</v>
      </c>
      <c r="I2347" t="s">
        <v>212</v>
      </c>
      <c r="J2347" t="s">
        <v>212</v>
      </c>
      <c r="K2347" t="s">
        <v>212</v>
      </c>
      <c r="L2347" t="s">
        <v>212</v>
      </c>
    </row>
    <row r="2348" spans="2:12">
      <c r="B2348" t="s">
        <v>2979</v>
      </c>
      <c r="C2348" t="s">
        <v>212</v>
      </c>
      <c r="D2348" t="s">
        <v>212</v>
      </c>
      <c r="E2348" t="s">
        <v>212</v>
      </c>
      <c r="F2348" t="s">
        <v>212</v>
      </c>
      <c r="G2348" t="s">
        <v>212</v>
      </c>
      <c r="H2348" t="s">
        <v>212</v>
      </c>
      <c r="I2348" t="s">
        <v>212</v>
      </c>
      <c r="J2348" t="s">
        <v>212</v>
      </c>
      <c r="K2348" t="s">
        <v>212</v>
      </c>
      <c r="L2348" t="s">
        <v>212</v>
      </c>
    </row>
    <row r="2349" spans="2:12">
      <c r="B2349" t="s">
        <v>2980</v>
      </c>
      <c r="C2349" t="s">
        <v>212</v>
      </c>
      <c r="D2349" t="s">
        <v>212</v>
      </c>
      <c r="E2349" t="s">
        <v>212</v>
      </c>
      <c r="F2349" t="s">
        <v>212</v>
      </c>
      <c r="G2349" t="s">
        <v>212</v>
      </c>
      <c r="H2349" t="s">
        <v>212</v>
      </c>
      <c r="I2349" t="s">
        <v>212</v>
      </c>
      <c r="J2349" t="s">
        <v>212</v>
      </c>
      <c r="K2349" t="s">
        <v>212</v>
      </c>
      <c r="L2349" t="s">
        <v>212</v>
      </c>
    </row>
    <row r="2351" spans="2:12">
      <c r="B2351" t="s">
        <v>2981</v>
      </c>
      <c r="C2351">
        <v>2.34</v>
      </c>
      <c r="H2351">
        <v>6.48</v>
      </c>
    </row>
    <row r="2352" spans="2:12">
      <c r="B2352" t="s">
        <v>2982</v>
      </c>
      <c r="C2352">
        <v>2.34</v>
      </c>
      <c r="D2352">
        <v>1143.72</v>
      </c>
      <c r="F2352">
        <v>8.4</v>
      </c>
      <c r="G2352">
        <v>8.24</v>
      </c>
      <c r="H2352">
        <v>6.48</v>
      </c>
      <c r="I2352">
        <v>669.62</v>
      </c>
      <c r="K2352">
        <v>6.4</v>
      </c>
      <c r="L2352">
        <v>6.4</v>
      </c>
    </row>
    <row r="2353" spans="1:12">
      <c r="B2353" t="s">
        <v>2983</v>
      </c>
      <c r="C2353">
        <v>2.34</v>
      </c>
      <c r="D2353">
        <v>1143.72</v>
      </c>
      <c r="F2353">
        <v>8.4</v>
      </c>
      <c r="G2353">
        <v>8.24</v>
      </c>
      <c r="H2353">
        <v>6.48</v>
      </c>
      <c r="I2353">
        <v>669.62</v>
      </c>
      <c r="K2353">
        <v>6.4</v>
      </c>
      <c r="L2353">
        <v>6.4</v>
      </c>
    </row>
    <row r="2356" spans="1:12">
      <c r="A2356" t="s">
        <v>1914</v>
      </c>
    </row>
    <row r="2357" spans="1:12">
      <c r="A2357" t="s">
        <v>1915</v>
      </c>
      <c r="B2357" t="s">
        <v>2984</v>
      </c>
    </row>
    <row r="2358" spans="1:12">
      <c r="A2358" t="s">
        <v>1917</v>
      </c>
      <c r="B2358" t="s">
        <v>2100</v>
      </c>
    </row>
    <row r="2359" spans="1:12">
      <c r="C2359" t="s">
        <v>2985</v>
      </c>
      <c r="D2359" t="s">
        <v>2986</v>
      </c>
      <c r="E2359" t="s">
        <v>2987</v>
      </c>
      <c r="F2359" t="s">
        <v>2988</v>
      </c>
      <c r="G2359" t="s">
        <v>2989</v>
      </c>
      <c r="H2359" t="s">
        <v>2990</v>
      </c>
      <c r="I2359" t="s">
        <v>2991</v>
      </c>
      <c r="J2359" t="s">
        <v>2992</v>
      </c>
      <c r="K2359" t="s">
        <v>2988</v>
      </c>
      <c r="L2359" t="s">
        <v>2989</v>
      </c>
    </row>
    <row r="2360" spans="1:12">
      <c r="B2360" t="s">
        <v>2970</v>
      </c>
      <c r="C2360">
        <v>112.44</v>
      </c>
      <c r="D2360">
        <v>10331.530000000001</v>
      </c>
      <c r="E2360" t="s">
        <v>3011</v>
      </c>
      <c r="F2360">
        <v>8.35</v>
      </c>
      <c r="G2360">
        <v>8.23</v>
      </c>
      <c r="H2360">
        <v>52.66</v>
      </c>
      <c r="I2360">
        <v>5437.87</v>
      </c>
      <c r="J2360" t="s">
        <v>2962</v>
      </c>
      <c r="K2360">
        <v>6.4</v>
      </c>
      <c r="L2360">
        <v>6.4</v>
      </c>
    </row>
    <row r="2361" spans="1:12">
      <c r="B2361" t="s">
        <v>2971</v>
      </c>
      <c r="C2361" t="s">
        <v>212</v>
      </c>
      <c r="D2361" t="s">
        <v>212</v>
      </c>
      <c r="E2361" t="s">
        <v>212</v>
      </c>
      <c r="F2361" t="s">
        <v>212</v>
      </c>
      <c r="G2361" t="s">
        <v>212</v>
      </c>
      <c r="H2361" t="s">
        <v>212</v>
      </c>
      <c r="I2361" t="s">
        <v>212</v>
      </c>
      <c r="J2361" t="s">
        <v>212</v>
      </c>
      <c r="K2361" t="s">
        <v>212</v>
      </c>
      <c r="L2361" t="s">
        <v>212</v>
      </c>
    </row>
    <row r="2362" spans="1:12">
      <c r="B2362" t="s">
        <v>2972</v>
      </c>
      <c r="C2362" t="s">
        <v>212</v>
      </c>
      <c r="D2362" t="s">
        <v>212</v>
      </c>
      <c r="E2362" t="s">
        <v>212</v>
      </c>
      <c r="F2362" t="s">
        <v>212</v>
      </c>
      <c r="G2362" t="s">
        <v>212</v>
      </c>
      <c r="H2362" t="s">
        <v>212</v>
      </c>
      <c r="I2362" t="s">
        <v>212</v>
      </c>
      <c r="J2362" t="s">
        <v>212</v>
      </c>
      <c r="K2362" t="s">
        <v>212</v>
      </c>
      <c r="L2362" t="s">
        <v>212</v>
      </c>
    </row>
    <row r="2363" spans="1:12">
      <c r="B2363" t="s">
        <v>2973</v>
      </c>
      <c r="C2363" t="s">
        <v>212</v>
      </c>
      <c r="D2363" t="s">
        <v>212</v>
      </c>
      <c r="E2363" t="s">
        <v>212</v>
      </c>
      <c r="F2363" t="s">
        <v>212</v>
      </c>
      <c r="G2363" t="s">
        <v>212</v>
      </c>
      <c r="H2363" t="s">
        <v>212</v>
      </c>
      <c r="I2363" t="s">
        <v>212</v>
      </c>
      <c r="J2363" t="s">
        <v>212</v>
      </c>
      <c r="K2363" t="s">
        <v>212</v>
      </c>
      <c r="L2363" t="s">
        <v>212</v>
      </c>
    </row>
    <row r="2364" spans="1:12">
      <c r="B2364" t="s">
        <v>820</v>
      </c>
      <c r="C2364" t="s">
        <v>212</v>
      </c>
      <c r="D2364" t="s">
        <v>212</v>
      </c>
      <c r="E2364" t="s">
        <v>212</v>
      </c>
      <c r="F2364" t="s">
        <v>212</v>
      </c>
      <c r="G2364" t="s">
        <v>212</v>
      </c>
      <c r="H2364" t="s">
        <v>212</v>
      </c>
      <c r="I2364" t="s">
        <v>212</v>
      </c>
      <c r="J2364" t="s">
        <v>212</v>
      </c>
      <c r="K2364" t="s">
        <v>212</v>
      </c>
      <c r="L2364" t="s">
        <v>212</v>
      </c>
    </row>
    <row r="2365" spans="1:12">
      <c r="B2365" t="s">
        <v>2974</v>
      </c>
      <c r="C2365" t="s">
        <v>212</v>
      </c>
      <c r="D2365" t="s">
        <v>212</v>
      </c>
      <c r="E2365" t="s">
        <v>212</v>
      </c>
      <c r="F2365" t="s">
        <v>212</v>
      </c>
      <c r="G2365" t="s">
        <v>212</v>
      </c>
      <c r="H2365" t="s">
        <v>212</v>
      </c>
      <c r="I2365" t="s">
        <v>212</v>
      </c>
      <c r="J2365" t="s">
        <v>212</v>
      </c>
      <c r="K2365" t="s">
        <v>212</v>
      </c>
      <c r="L2365" t="s">
        <v>212</v>
      </c>
    </row>
    <row r="2366" spans="1:12">
      <c r="B2366" t="s">
        <v>2975</v>
      </c>
      <c r="C2366" t="s">
        <v>212</v>
      </c>
      <c r="D2366" t="s">
        <v>212</v>
      </c>
      <c r="E2366" t="s">
        <v>212</v>
      </c>
      <c r="F2366" t="s">
        <v>212</v>
      </c>
      <c r="G2366" t="s">
        <v>212</v>
      </c>
      <c r="H2366" t="s">
        <v>212</v>
      </c>
      <c r="I2366" t="s">
        <v>212</v>
      </c>
      <c r="J2366" t="s">
        <v>212</v>
      </c>
      <c r="K2366" t="s">
        <v>212</v>
      </c>
      <c r="L2366" t="s">
        <v>212</v>
      </c>
    </row>
    <row r="2367" spans="1:12">
      <c r="B2367" t="s">
        <v>2976</v>
      </c>
      <c r="C2367" t="s">
        <v>212</v>
      </c>
      <c r="D2367" t="s">
        <v>212</v>
      </c>
      <c r="E2367" t="s">
        <v>212</v>
      </c>
      <c r="F2367" t="s">
        <v>212</v>
      </c>
      <c r="G2367" t="s">
        <v>212</v>
      </c>
      <c r="H2367" t="s">
        <v>212</v>
      </c>
      <c r="I2367" t="s">
        <v>212</v>
      </c>
      <c r="J2367" t="s">
        <v>212</v>
      </c>
      <c r="K2367" t="s">
        <v>212</v>
      </c>
      <c r="L2367" t="s">
        <v>212</v>
      </c>
    </row>
    <row r="2368" spans="1:12">
      <c r="B2368" t="s">
        <v>2977</v>
      </c>
      <c r="C2368" t="s">
        <v>212</v>
      </c>
      <c r="D2368" t="s">
        <v>212</v>
      </c>
      <c r="E2368" t="s">
        <v>212</v>
      </c>
      <c r="F2368" t="s">
        <v>212</v>
      </c>
      <c r="G2368" t="s">
        <v>212</v>
      </c>
      <c r="H2368" t="s">
        <v>212</v>
      </c>
      <c r="I2368" t="s">
        <v>212</v>
      </c>
      <c r="J2368" t="s">
        <v>212</v>
      </c>
      <c r="K2368" t="s">
        <v>212</v>
      </c>
      <c r="L2368" t="s">
        <v>212</v>
      </c>
    </row>
    <row r="2369" spans="1:12">
      <c r="B2369" t="s">
        <v>2978</v>
      </c>
      <c r="C2369" t="s">
        <v>212</v>
      </c>
      <c r="D2369" t="s">
        <v>212</v>
      </c>
      <c r="E2369" t="s">
        <v>212</v>
      </c>
      <c r="F2369" t="s">
        <v>212</v>
      </c>
      <c r="G2369" t="s">
        <v>212</v>
      </c>
      <c r="H2369" t="s">
        <v>212</v>
      </c>
      <c r="I2369" t="s">
        <v>212</v>
      </c>
      <c r="J2369" t="s">
        <v>212</v>
      </c>
      <c r="K2369" t="s">
        <v>212</v>
      </c>
      <c r="L2369" t="s">
        <v>212</v>
      </c>
    </row>
    <row r="2370" spans="1:12">
      <c r="B2370" t="s">
        <v>2979</v>
      </c>
      <c r="C2370" t="s">
        <v>212</v>
      </c>
      <c r="D2370" t="s">
        <v>212</v>
      </c>
      <c r="E2370" t="s">
        <v>212</v>
      </c>
      <c r="F2370" t="s">
        <v>212</v>
      </c>
      <c r="G2370" t="s">
        <v>212</v>
      </c>
      <c r="H2370" t="s">
        <v>212</v>
      </c>
      <c r="I2370" t="s">
        <v>212</v>
      </c>
      <c r="J2370" t="s">
        <v>212</v>
      </c>
      <c r="K2370" t="s">
        <v>212</v>
      </c>
      <c r="L2370" t="s">
        <v>212</v>
      </c>
    </row>
    <row r="2371" spans="1:12">
      <c r="B2371" t="s">
        <v>2980</v>
      </c>
      <c r="C2371" t="s">
        <v>212</v>
      </c>
      <c r="D2371" t="s">
        <v>212</v>
      </c>
      <c r="E2371" t="s">
        <v>212</v>
      </c>
      <c r="F2371" t="s">
        <v>212</v>
      </c>
      <c r="G2371" t="s">
        <v>212</v>
      </c>
      <c r="H2371" t="s">
        <v>212</v>
      </c>
      <c r="I2371" t="s">
        <v>212</v>
      </c>
      <c r="J2371" t="s">
        <v>212</v>
      </c>
      <c r="K2371" t="s">
        <v>212</v>
      </c>
      <c r="L2371" t="s">
        <v>212</v>
      </c>
    </row>
    <row r="2373" spans="1:12">
      <c r="B2373" t="s">
        <v>2981</v>
      </c>
      <c r="C2373">
        <v>112.44</v>
      </c>
      <c r="H2373">
        <v>52.66</v>
      </c>
    </row>
    <row r="2374" spans="1:12">
      <c r="B2374" t="s">
        <v>2982</v>
      </c>
      <c r="C2374">
        <v>112.44</v>
      </c>
      <c r="D2374">
        <v>10331.530000000001</v>
      </c>
      <c r="F2374">
        <v>8.35</v>
      </c>
      <c r="G2374">
        <v>8.23</v>
      </c>
      <c r="H2374">
        <v>52.66</v>
      </c>
      <c r="I2374">
        <v>5437.87</v>
      </c>
      <c r="K2374">
        <v>6.4</v>
      </c>
      <c r="L2374">
        <v>6.4</v>
      </c>
    </row>
    <row r="2375" spans="1:12">
      <c r="B2375" t="s">
        <v>2983</v>
      </c>
      <c r="C2375">
        <v>112.44</v>
      </c>
      <c r="D2375">
        <v>10331.530000000001</v>
      </c>
      <c r="F2375">
        <v>8.35</v>
      </c>
      <c r="G2375">
        <v>8.23</v>
      </c>
      <c r="H2375">
        <v>52.66</v>
      </c>
      <c r="I2375">
        <v>5437.87</v>
      </c>
      <c r="K2375">
        <v>6.4</v>
      </c>
      <c r="L2375">
        <v>6.4</v>
      </c>
    </row>
    <row r="2378" spans="1:12">
      <c r="A2378" t="s">
        <v>1914</v>
      </c>
    </row>
    <row r="2379" spans="1:12">
      <c r="A2379" t="s">
        <v>1915</v>
      </c>
      <c r="B2379" t="s">
        <v>2984</v>
      </c>
    </row>
    <row r="2380" spans="1:12">
      <c r="A2380" t="s">
        <v>1917</v>
      </c>
      <c r="B2380" t="s">
        <v>2101</v>
      </c>
    </row>
    <row r="2381" spans="1:12">
      <c r="C2381" t="s">
        <v>2985</v>
      </c>
      <c r="D2381" t="s">
        <v>2986</v>
      </c>
      <c r="E2381" t="s">
        <v>2987</v>
      </c>
      <c r="F2381" t="s">
        <v>2988</v>
      </c>
      <c r="G2381" t="s">
        <v>2989</v>
      </c>
      <c r="H2381" t="s">
        <v>2990</v>
      </c>
      <c r="I2381" t="s">
        <v>2991</v>
      </c>
      <c r="J2381" t="s">
        <v>2992</v>
      </c>
      <c r="K2381" t="s">
        <v>2988</v>
      </c>
      <c r="L2381" t="s">
        <v>2989</v>
      </c>
    </row>
    <row r="2382" spans="1:12">
      <c r="B2382" t="s">
        <v>2970</v>
      </c>
      <c r="C2382">
        <v>0.25</v>
      </c>
      <c r="D2382">
        <v>253.95</v>
      </c>
      <c r="E2382" t="s">
        <v>3012</v>
      </c>
      <c r="F2382">
        <v>6.05</v>
      </c>
      <c r="G2382">
        <v>5.72</v>
      </c>
      <c r="H2382">
        <v>0</v>
      </c>
      <c r="I2382">
        <v>0</v>
      </c>
      <c r="J2382" t="s">
        <v>2993</v>
      </c>
      <c r="K2382">
        <v>5.08</v>
      </c>
      <c r="L2382">
        <v>4.55</v>
      </c>
    </row>
    <row r="2383" spans="1:12">
      <c r="B2383" t="s">
        <v>2971</v>
      </c>
      <c r="C2383" t="s">
        <v>212</v>
      </c>
      <c r="D2383" t="s">
        <v>212</v>
      </c>
      <c r="E2383" t="s">
        <v>212</v>
      </c>
      <c r="F2383" t="s">
        <v>212</v>
      </c>
      <c r="G2383" t="s">
        <v>212</v>
      </c>
      <c r="H2383" t="s">
        <v>212</v>
      </c>
      <c r="I2383" t="s">
        <v>212</v>
      </c>
      <c r="J2383" t="s">
        <v>212</v>
      </c>
      <c r="K2383" t="s">
        <v>212</v>
      </c>
      <c r="L2383" t="s">
        <v>212</v>
      </c>
    </row>
    <row r="2384" spans="1:12">
      <c r="B2384" t="s">
        <v>2972</v>
      </c>
      <c r="C2384" t="s">
        <v>212</v>
      </c>
      <c r="D2384" t="s">
        <v>212</v>
      </c>
      <c r="E2384" t="s">
        <v>212</v>
      </c>
      <c r="F2384" t="s">
        <v>212</v>
      </c>
      <c r="G2384" t="s">
        <v>212</v>
      </c>
      <c r="H2384" t="s">
        <v>212</v>
      </c>
      <c r="I2384" t="s">
        <v>212</v>
      </c>
      <c r="J2384" t="s">
        <v>212</v>
      </c>
      <c r="K2384" t="s">
        <v>212</v>
      </c>
      <c r="L2384" t="s">
        <v>212</v>
      </c>
    </row>
    <row r="2385" spans="1:12">
      <c r="B2385" t="s">
        <v>2973</v>
      </c>
      <c r="C2385" t="s">
        <v>212</v>
      </c>
      <c r="D2385" t="s">
        <v>212</v>
      </c>
      <c r="E2385" t="s">
        <v>212</v>
      </c>
      <c r="F2385" t="s">
        <v>212</v>
      </c>
      <c r="G2385" t="s">
        <v>212</v>
      </c>
      <c r="H2385" t="s">
        <v>212</v>
      </c>
      <c r="I2385" t="s">
        <v>212</v>
      </c>
      <c r="J2385" t="s">
        <v>212</v>
      </c>
      <c r="K2385" t="s">
        <v>212</v>
      </c>
      <c r="L2385" t="s">
        <v>212</v>
      </c>
    </row>
    <row r="2386" spans="1:12">
      <c r="B2386" t="s">
        <v>820</v>
      </c>
      <c r="C2386" t="s">
        <v>212</v>
      </c>
      <c r="D2386" t="s">
        <v>212</v>
      </c>
      <c r="E2386" t="s">
        <v>212</v>
      </c>
      <c r="F2386" t="s">
        <v>212</v>
      </c>
      <c r="G2386" t="s">
        <v>212</v>
      </c>
      <c r="H2386" t="s">
        <v>212</v>
      </c>
      <c r="I2386" t="s">
        <v>212</v>
      </c>
      <c r="J2386" t="s">
        <v>212</v>
      </c>
      <c r="K2386" t="s">
        <v>212</v>
      </c>
      <c r="L2386" t="s">
        <v>212</v>
      </c>
    </row>
    <row r="2387" spans="1:12">
      <c r="B2387" t="s">
        <v>2974</v>
      </c>
      <c r="C2387" t="s">
        <v>212</v>
      </c>
      <c r="D2387" t="s">
        <v>212</v>
      </c>
      <c r="E2387" t="s">
        <v>212</v>
      </c>
      <c r="F2387" t="s">
        <v>212</v>
      </c>
      <c r="G2387" t="s">
        <v>212</v>
      </c>
      <c r="H2387" t="s">
        <v>212</v>
      </c>
      <c r="I2387" t="s">
        <v>212</v>
      </c>
      <c r="J2387" t="s">
        <v>212</v>
      </c>
      <c r="K2387" t="s">
        <v>212</v>
      </c>
      <c r="L2387" t="s">
        <v>212</v>
      </c>
    </row>
    <row r="2388" spans="1:12">
      <c r="B2388" t="s">
        <v>2975</v>
      </c>
      <c r="C2388" t="s">
        <v>212</v>
      </c>
      <c r="D2388" t="s">
        <v>212</v>
      </c>
      <c r="E2388" t="s">
        <v>212</v>
      </c>
      <c r="F2388" t="s">
        <v>212</v>
      </c>
      <c r="G2388" t="s">
        <v>212</v>
      </c>
      <c r="H2388" t="s">
        <v>212</v>
      </c>
      <c r="I2388" t="s">
        <v>212</v>
      </c>
      <c r="J2388" t="s">
        <v>212</v>
      </c>
      <c r="K2388" t="s">
        <v>212</v>
      </c>
      <c r="L2388" t="s">
        <v>212</v>
      </c>
    </row>
    <row r="2389" spans="1:12">
      <c r="B2389" t="s">
        <v>2976</v>
      </c>
      <c r="C2389" t="s">
        <v>212</v>
      </c>
      <c r="D2389" t="s">
        <v>212</v>
      </c>
      <c r="E2389" t="s">
        <v>212</v>
      </c>
      <c r="F2389" t="s">
        <v>212</v>
      </c>
      <c r="G2389" t="s">
        <v>212</v>
      </c>
      <c r="H2389" t="s">
        <v>212</v>
      </c>
      <c r="I2389" t="s">
        <v>212</v>
      </c>
      <c r="J2389" t="s">
        <v>212</v>
      </c>
      <c r="K2389" t="s">
        <v>212</v>
      </c>
      <c r="L2389" t="s">
        <v>212</v>
      </c>
    </row>
    <row r="2390" spans="1:12">
      <c r="B2390" t="s">
        <v>2977</v>
      </c>
      <c r="C2390" t="s">
        <v>212</v>
      </c>
      <c r="D2390" t="s">
        <v>212</v>
      </c>
      <c r="E2390" t="s">
        <v>212</v>
      </c>
      <c r="F2390" t="s">
        <v>212</v>
      </c>
      <c r="G2390" t="s">
        <v>212</v>
      </c>
      <c r="H2390" t="s">
        <v>212</v>
      </c>
      <c r="I2390" t="s">
        <v>212</v>
      </c>
      <c r="J2390" t="s">
        <v>212</v>
      </c>
      <c r="K2390" t="s">
        <v>212</v>
      </c>
      <c r="L2390" t="s">
        <v>212</v>
      </c>
    </row>
    <row r="2391" spans="1:12">
      <c r="B2391" t="s">
        <v>2978</v>
      </c>
      <c r="C2391" t="s">
        <v>212</v>
      </c>
      <c r="D2391" t="s">
        <v>212</v>
      </c>
      <c r="E2391" t="s">
        <v>212</v>
      </c>
      <c r="F2391" t="s">
        <v>212</v>
      </c>
      <c r="G2391" t="s">
        <v>212</v>
      </c>
      <c r="H2391" t="s">
        <v>212</v>
      </c>
      <c r="I2391" t="s">
        <v>212</v>
      </c>
      <c r="J2391" t="s">
        <v>212</v>
      </c>
      <c r="K2391" t="s">
        <v>212</v>
      </c>
      <c r="L2391" t="s">
        <v>212</v>
      </c>
    </row>
    <row r="2392" spans="1:12">
      <c r="B2392" t="s">
        <v>2979</v>
      </c>
      <c r="C2392" t="s">
        <v>212</v>
      </c>
      <c r="D2392" t="s">
        <v>212</v>
      </c>
      <c r="E2392" t="s">
        <v>212</v>
      </c>
      <c r="F2392" t="s">
        <v>212</v>
      </c>
      <c r="G2392" t="s">
        <v>212</v>
      </c>
      <c r="H2392" t="s">
        <v>212</v>
      </c>
      <c r="I2392" t="s">
        <v>212</v>
      </c>
      <c r="J2392" t="s">
        <v>212</v>
      </c>
      <c r="K2392" t="s">
        <v>212</v>
      </c>
      <c r="L2392" t="s">
        <v>212</v>
      </c>
    </row>
    <row r="2393" spans="1:12">
      <c r="B2393" t="s">
        <v>2980</v>
      </c>
      <c r="C2393" t="s">
        <v>212</v>
      </c>
      <c r="D2393" t="s">
        <v>212</v>
      </c>
      <c r="E2393" t="s">
        <v>212</v>
      </c>
      <c r="F2393" t="s">
        <v>212</v>
      </c>
      <c r="G2393" t="s">
        <v>212</v>
      </c>
      <c r="H2393" t="s">
        <v>212</v>
      </c>
      <c r="I2393" t="s">
        <v>212</v>
      </c>
      <c r="J2393" t="s">
        <v>212</v>
      </c>
      <c r="K2393" t="s">
        <v>212</v>
      </c>
      <c r="L2393" t="s">
        <v>212</v>
      </c>
    </row>
    <row r="2395" spans="1:12">
      <c r="B2395" t="s">
        <v>2981</v>
      </c>
      <c r="C2395">
        <v>0.25</v>
      </c>
      <c r="H2395">
        <v>0</v>
      </c>
    </row>
    <row r="2396" spans="1:12">
      <c r="B2396" t="s">
        <v>2982</v>
      </c>
      <c r="C2396">
        <v>0.25</v>
      </c>
      <c r="D2396">
        <v>253.95</v>
      </c>
      <c r="F2396">
        <v>6.05</v>
      </c>
      <c r="G2396">
        <v>5.72</v>
      </c>
      <c r="H2396">
        <v>0</v>
      </c>
      <c r="I2396">
        <v>0</v>
      </c>
      <c r="K2396">
        <v>5.08</v>
      </c>
      <c r="L2396">
        <v>4.55</v>
      </c>
    </row>
    <row r="2397" spans="1:12">
      <c r="B2397" t="s">
        <v>2983</v>
      </c>
      <c r="C2397">
        <v>0.25</v>
      </c>
      <c r="D2397">
        <v>253.95</v>
      </c>
      <c r="F2397">
        <v>6.05</v>
      </c>
      <c r="G2397">
        <v>5.72</v>
      </c>
      <c r="H2397">
        <v>0</v>
      </c>
      <c r="I2397">
        <v>0</v>
      </c>
      <c r="K2397">
        <v>5.08</v>
      </c>
      <c r="L2397">
        <v>4.55</v>
      </c>
    </row>
    <row r="2400" spans="1:12">
      <c r="A2400" t="s">
        <v>1914</v>
      </c>
    </row>
    <row r="2401" spans="1:12">
      <c r="A2401" t="s">
        <v>1915</v>
      </c>
      <c r="B2401" t="s">
        <v>2984</v>
      </c>
    </row>
    <row r="2402" spans="1:12">
      <c r="A2402" t="s">
        <v>1917</v>
      </c>
      <c r="B2402" t="s">
        <v>2102</v>
      </c>
    </row>
    <row r="2403" spans="1:12">
      <c r="C2403" t="s">
        <v>2985</v>
      </c>
      <c r="D2403" t="s">
        <v>2986</v>
      </c>
      <c r="E2403" t="s">
        <v>2987</v>
      </c>
      <c r="F2403" t="s">
        <v>2988</v>
      </c>
      <c r="G2403" t="s">
        <v>2989</v>
      </c>
      <c r="H2403" t="s">
        <v>2990</v>
      </c>
      <c r="I2403" t="s">
        <v>2991</v>
      </c>
      <c r="J2403" t="s">
        <v>2992</v>
      </c>
      <c r="K2403" t="s">
        <v>2988</v>
      </c>
      <c r="L2403" t="s">
        <v>2989</v>
      </c>
    </row>
    <row r="2404" spans="1:12">
      <c r="B2404" t="s">
        <v>2970</v>
      </c>
      <c r="C2404">
        <v>0.17</v>
      </c>
      <c r="D2404">
        <v>166.17</v>
      </c>
      <c r="E2404" t="s">
        <v>3012</v>
      </c>
      <c r="F2404">
        <v>6.05</v>
      </c>
      <c r="G2404">
        <v>5.72</v>
      </c>
      <c r="H2404">
        <v>0</v>
      </c>
      <c r="I2404">
        <v>0</v>
      </c>
      <c r="J2404" t="s">
        <v>2993</v>
      </c>
      <c r="K2404">
        <v>5.08</v>
      </c>
      <c r="L2404">
        <v>4.55</v>
      </c>
    </row>
    <row r="2405" spans="1:12">
      <c r="B2405" t="s">
        <v>2971</v>
      </c>
      <c r="C2405" t="s">
        <v>212</v>
      </c>
      <c r="D2405" t="s">
        <v>212</v>
      </c>
      <c r="E2405" t="s">
        <v>212</v>
      </c>
      <c r="F2405" t="s">
        <v>212</v>
      </c>
      <c r="G2405" t="s">
        <v>212</v>
      </c>
      <c r="H2405" t="s">
        <v>212</v>
      </c>
      <c r="I2405" t="s">
        <v>212</v>
      </c>
      <c r="J2405" t="s">
        <v>212</v>
      </c>
      <c r="K2405" t="s">
        <v>212</v>
      </c>
      <c r="L2405" t="s">
        <v>212</v>
      </c>
    </row>
    <row r="2406" spans="1:12">
      <c r="B2406" t="s">
        <v>2972</v>
      </c>
      <c r="C2406" t="s">
        <v>212</v>
      </c>
      <c r="D2406" t="s">
        <v>212</v>
      </c>
      <c r="E2406" t="s">
        <v>212</v>
      </c>
      <c r="F2406" t="s">
        <v>212</v>
      </c>
      <c r="G2406" t="s">
        <v>212</v>
      </c>
      <c r="H2406" t="s">
        <v>212</v>
      </c>
      <c r="I2406" t="s">
        <v>212</v>
      </c>
      <c r="J2406" t="s">
        <v>212</v>
      </c>
      <c r="K2406" t="s">
        <v>212</v>
      </c>
      <c r="L2406" t="s">
        <v>212</v>
      </c>
    </row>
    <row r="2407" spans="1:12">
      <c r="B2407" t="s">
        <v>2973</v>
      </c>
      <c r="C2407" t="s">
        <v>212</v>
      </c>
      <c r="D2407" t="s">
        <v>212</v>
      </c>
      <c r="E2407" t="s">
        <v>212</v>
      </c>
      <c r="F2407" t="s">
        <v>212</v>
      </c>
      <c r="G2407" t="s">
        <v>212</v>
      </c>
      <c r="H2407" t="s">
        <v>212</v>
      </c>
      <c r="I2407" t="s">
        <v>212</v>
      </c>
      <c r="J2407" t="s">
        <v>212</v>
      </c>
      <c r="K2407" t="s">
        <v>212</v>
      </c>
      <c r="L2407" t="s">
        <v>212</v>
      </c>
    </row>
    <row r="2408" spans="1:12">
      <c r="B2408" t="s">
        <v>820</v>
      </c>
      <c r="C2408" t="s">
        <v>212</v>
      </c>
      <c r="D2408" t="s">
        <v>212</v>
      </c>
      <c r="E2408" t="s">
        <v>212</v>
      </c>
      <c r="F2408" t="s">
        <v>212</v>
      </c>
      <c r="G2408" t="s">
        <v>212</v>
      </c>
      <c r="H2408" t="s">
        <v>212</v>
      </c>
      <c r="I2408" t="s">
        <v>212</v>
      </c>
      <c r="J2408" t="s">
        <v>212</v>
      </c>
      <c r="K2408" t="s">
        <v>212</v>
      </c>
      <c r="L2408" t="s">
        <v>212</v>
      </c>
    </row>
    <row r="2409" spans="1:12">
      <c r="B2409" t="s">
        <v>2974</v>
      </c>
      <c r="C2409" t="s">
        <v>212</v>
      </c>
      <c r="D2409" t="s">
        <v>212</v>
      </c>
      <c r="E2409" t="s">
        <v>212</v>
      </c>
      <c r="F2409" t="s">
        <v>212</v>
      </c>
      <c r="G2409" t="s">
        <v>212</v>
      </c>
      <c r="H2409" t="s">
        <v>212</v>
      </c>
      <c r="I2409" t="s">
        <v>212</v>
      </c>
      <c r="J2409" t="s">
        <v>212</v>
      </c>
      <c r="K2409" t="s">
        <v>212</v>
      </c>
      <c r="L2409" t="s">
        <v>212</v>
      </c>
    </row>
    <row r="2410" spans="1:12">
      <c r="B2410" t="s">
        <v>2975</v>
      </c>
      <c r="C2410" t="s">
        <v>212</v>
      </c>
      <c r="D2410" t="s">
        <v>212</v>
      </c>
      <c r="E2410" t="s">
        <v>212</v>
      </c>
      <c r="F2410" t="s">
        <v>212</v>
      </c>
      <c r="G2410" t="s">
        <v>212</v>
      </c>
      <c r="H2410" t="s">
        <v>212</v>
      </c>
      <c r="I2410" t="s">
        <v>212</v>
      </c>
      <c r="J2410" t="s">
        <v>212</v>
      </c>
      <c r="K2410" t="s">
        <v>212</v>
      </c>
      <c r="L2410" t="s">
        <v>212</v>
      </c>
    </row>
    <row r="2411" spans="1:12">
      <c r="B2411" t="s">
        <v>2976</v>
      </c>
      <c r="C2411" t="s">
        <v>212</v>
      </c>
      <c r="D2411" t="s">
        <v>212</v>
      </c>
      <c r="E2411" t="s">
        <v>212</v>
      </c>
      <c r="F2411" t="s">
        <v>212</v>
      </c>
      <c r="G2411" t="s">
        <v>212</v>
      </c>
      <c r="H2411" t="s">
        <v>212</v>
      </c>
      <c r="I2411" t="s">
        <v>212</v>
      </c>
      <c r="J2411" t="s">
        <v>212</v>
      </c>
      <c r="K2411" t="s">
        <v>212</v>
      </c>
      <c r="L2411" t="s">
        <v>212</v>
      </c>
    </row>
    <row r="2412" spans="1:12">
      <c r="B2412" t="s">
        <v>2977</v>
      </c>
      <c r="C2412" t="s">
        <v>212</v>
      </c>
      <c r="D2412" t="s">
        <v>212</v>
      </c>
      <c r="E2412" t="s">
        <v>212</v>
      </c>
      <c r="F2412" t="s">
        <v>212</v>
      </c>
      <c r="G2412" t="s">
        <v>212</v>
      </c>
      <c r="H2412" t="s">
        <v>212</v>
      </c>
      <c r="I2412" t="s">
        <v>212</v>
      </c>
      <c r="J2412" t="s">
        <v>212</v>
      </c>
      <c r="K2412" t="s">
        <v>212</v>
      </c>
      <c r="L2412" t="s">
        <v>212</v>
      </c>
    </row>
    <row r="2413" spans="1:12">
      <c r="B2413" t="s">
        <v>2978</v>
      </c>
      <c r="C2413" t="s">
        <v>212</v>
      </c>
      <c r="D2413" t="s">
        <v>212</v>
      </c>
      <c r="E2413" t="s">
        <v>212</v>
      </c>
      <c r="F2413" t="s">
        <v>212</v>
      </c>
      <c r="G2413" t="s">
        <v>212</v>
      </c>
      <c r="H2413" t="s">
        <v>212</v>
      </c>
      <c r="I2413" t="s">
        <v>212</v>
      </c>
      <c r="J2413" t="s">
        <v>212</v>
      </c>
      <c r="K2413" t="s">
        <v>212</v>
      </c>
      <c r="L2413" t="s">
        <v>212</v>
      </c>
    </row>
    <row r="2414" spans="1:12">
      <c r="B2414" t="s">
        <v>2979</v>
      </c>
      <c r="C2414" t="s">
        <v>212</v>
      </c>
      <c r="D2414" t="s">
        <v>212</v>
      </c>
      <c r="E2414" t="s">
        <v>212</v>
      </c>
      <c r="F2414" t="s">
        <v>212</v>
      </c>
      <c r="G2414" t="s">
        <v>212</v>
      </c>
      <c r="H2414" t="s">
        <v>212</v>
      </c>
      <c r="I2414" t="s">
        <v>212</v>
      </c>
      <c r="J2414" t="s">
        <v>212</v>
      </c>
      <c r="K2414" t="s">
        <v>212</v>
      </c>
      <c r="L2414" t="s">
        <v>212</v>
      </c>
    </row>
    <row r="2415" spans="1:12">
      <c r="B2415" t="s">
        <v>2980</v>
      </c>
      <c r="C2415" t="s">
        <v>212</v>
      </c>
      <c r="D2415" t="s">
        <v>212</v>
      </c>
      <c r="E2415" t="s">
        <v>212</v>
      </c>
      <c r="F2415" t="s">
        <v>212</v>
      </c>
      <c r="G2415" t="s">
        <v>212</v>
      </c>
      <c r="H2415" t="s">
        <v>212</v>
      </c>
      <c r="I2415" t="s">
        <v>212</v>
      </c>
      <c r="J2415" t="s">
        <v>212</v>
      </c>
      <c r="K2415" t="s">
        <v>212</v>
      </c>
      <c r="L2415" t="s">
        <v>212</v>
      </c>
    </row>
    <row r="2417" spans="1:12">
      <c r="B2417" t="s">
        <v>2981</v>
      </c>
      <c r="C2417">
        <v>0.17</v>
      </c>
      <c r="H2417">
        <v>0</v>
      </c>
    </row>
    <row r="2418" spans="1:12">
      <c r="B2418" t="s">
        <v>2982</v>
      </c>
      <c r="C2418">
        <v>0.17</v>
      </c>
      <c r="D2418">
        <v>166.17</v>
      </c>
      <c r="F2418">
        <v>6.05</v>
      </c>
      <c r="G2418">
        <v>5.72</v>
      </c>
      <c r="H2418">
        <v>0</v>
      </c>
      <c r="I2418">
        <v>0</v>
      </c>
      <c r="K2418">
        <v>5.08</v>
      </c>
      <c r="L2418">
        <v>4.55</v>
      </c>
    </row>
    <row r="2419" spans="1:12">
      <c r="B2419" t="s">
        <v>2983</v>
      </c>
      <c r="C2419">
        <v>0.17</v>
      </c>
      <c r="D2419">
        <v>166.17</v>
      </c>
      <c r="F2419">
        <v>6.05</v>
      </c>
      <c r="G2419">
        <v>5.72</v>
      </c>
      <c r="H2419">
        <v>0</v>
      </c>
      <c r="I2419">
        <v>0</v>
      </c>
      <c r="K2419">
        <v>5.08</v>
      </c>
      <c r="L2419">
        <v>4.55</v>
      </c>
    </row>
    <row r="2422" spans="1:12">
      <c r="A2422" t="s">
        <v>1914</v>
      </c>
    </row>
    <row r="2423" spans="1:12">
      <c r="A2423" t="s">
        <v>1915</v>
      </c>
      <c r="B2423" t="s">
        <v>2984</v>
      </c>
    </row>
    <row r="2424" spans="1:12">
      <c r="A2424" t="s">
        <v>1917</v>
      </c>
      <c r="B2424" t="s">
        <v>2103</v>
      </c>
    </row>
    <row r="2425" spans="1:12">
      <c r="C2425" t="s">
        <v>2985</v>
      </c>
      <c r="D2425" t="s">
        <v>2986</v>
      </c>
      <c r="E2425" t="s">
        <v>2987</v>
      </c>
      <c r="F2425" t="s">
        <v>2988</v>
      </c>
      <c r="G2425" t="s">
        <v>2989</v>
      </c>
      <c r="H2425" t="s">
        <v>2990</v>
      </c>
      <c r="I2425" t="s">
        <v>2991</v>
      </c>
      <c r="J2425" t="s">
        <v>2992</v>
      </c>
      <c r="K2425" t="s">
        <v>2988</v>
      </c>
      <c r="L2425" t="s">
        <v>2989</v>
      </c>
    </row>
    <row r="2426" spans="1:12">
      <c r="B2426" t="s">
        <v>2970</v>
      </c>
      <c r="C2426">
        <v>0.33</v>
      </c>
      <c r="D2426">
        <v>227.75</v>
      </c>
      <c r="E2426" t="s">
        <v>3006</v>
      </c>
      <c r="F2426">
        <v>5.7</v>
      </c>
      <c r="G2426">
        <v>5.41</v>
      </c>
      <c r="H2426">
        <v>0</v>
      </c>
      <c r="I2426">
        <v>0</v>
      </c>
      <c r="J2426" t="s">
        <v>2993</v>
      </c>
      <c r="K2426">
        <v>5.08</v>
      </c>
      <c r="L2426">
        <v>4.55</v>
      </c>
    </row>
    <row r="2427" spans="1:12">
      <c r="B2427" t="s">
        <v>2971</v>
      </c>
      <c r="C2427" t="s">
        <v>212</v>
      </c>
      <c r="D2427" t="s">
        <v>212</v>
      </c>
      <c r="E2427" t="s">
        <v>212</v>
      </c>
      <c r="F2427" t="s">
        <v>212</v>
      </c>
      <c r="G2427" t="s">
        <v>212</v>
      </c>
      <c r="H2427" t="s">
        <v>212</v>
      </c>
      <c r="I2427" t="s">
        <v>212</v>
      </c>
      <c r="J2427" t="s">
        <v>212</v>
      </c>
      <c r="K2427" t="s">
        <v>212</v>
      </c>
      <c r="L2427" t="s">
        <v>212</v>
      </c>
    </row>
    <row r="2428" spans="1:12">
      <c r="B2428" t="s">
        <v>2972</v>
      </c>
      <c r="C2428" t="s">
        <v>212</v>
      </c>
      <c r="D2428" t="s">
        <v>212</v>
      </c>
      <c r="E2428" t="s">
        <v>212</v>
      </c>
      <c r="F2428" t="s">
        <v>212</v>
      </c>
      <c r="G2428" t="s">
        <v>212</v>
      </c>
      <c r="H2428" t="s">
        <v>212</v>
      </c>
      <c r="I2428" t="s">
        <v>212</v>
      </c>
      <c r="J2428" t="s">
        <v>212</v>
      </c>
      <c r="K2428" t="s">
        <v>212</v>
      </c>
      <c r="L2428" t="s">
        <v>212</v>
      </c>
    </row>
    <row r="2429" spans="1:12">
      <c r="B2429" t="s">
        <v>2973</v>
      </c>
      <c r="C2429" t="s">
        <v>212</v>
      </c>
      <c r="D2429" t="s">
        <v>212</v>
      </c>
      <c r="E2429" t="s">
        <v>212</v>
      </c>
      <c r="F2429" t="s">
        <v>212</v>
      </c>
      <c r="G2429" t="s">
        <v>212</v>
      </c>
      <c r="H2429" t="s">
        <v>212</v>
      </c>
      <c r="I2429" t="s">
        <v>212</v>
      </c>
      <c r="J2429" t="s">
        <v>212</v>
      </c>
      <c r="K2429" t="s">
        <v>212</v>
      </c>
      <c r="L2429" t="s">
        <v>212</v>
      </c>
    </row>
    <row r="2430" spans="1:12">
      <c r="B2430" t="s">
        <v>820</v>
      </c>
      <c r="C2430" t="s">
        <v>212</v>
      </c>
      <c r="D2430" t="s">
        <v>212</v>
      </c>
      <c r="E2430" t="s">
        <v>212</v>
      </c>
      <c r="F2430" t="s">
        <v>212</v>
      </c>
      <c r="G2430" t="s">
        <v>212</v>
      </c>
      <c r="H2430" t="s">
        <v>212</v>
      </c>
      <c r="I2430" t="s">
        <v>212</v>
      </c>
      <c r="J2430" t="s">
        <v>212</v>
      </c>
      <c r="K2430" t="s">
        <v>212</v>
      </c>
      <c r="L2430" t="s">
        <v>212</v>
      </c>
    </row>
    <row r="2431" spans="1:12">
      <c r="B2431" t="s">
        <v>2974</v>
      </c>
      <c r="C2431" t="s">
        <v>212</v>
      </c>
      <c r="D2431" t="s">
        <v>212</v>
      </c>
      <c r="E2431" t="s">
        <v>212</v>
      </c>
      <c r="F2431" t="s">
        <v>212</v>
      </c>
      <c r="G2431" t="s">
        <v>212</v>
      </c>
      <c r="H2431" t="s">
        <v>212</v>
      </c>
      <c r="I2431" t="s">
        <v>212</v>
      </c>
      <c r="J2431" t="s">
        <v>212</v>
      </c>
      <c r="K2431" t="s">
        <v>212</v>
      </c>
      <c r="L2431" t="s">
        <v>212</v>
      </c>
    </row>
    <row r="2432" spans="1:12">
      <c r="B2432" t="s">
        <v>2975</v>
      </c>
      <c r="C2432" t="s">
        <v>212</v>
      </c>
      <c r="D2432" t="s">
        <v>212</v>
      </c>
      <c r="E2432" t="s">
        <v>212</v>
      </c>
      <c r="F2432" t="s">
        <v>212</v>
      </c>
      <c r="G2432" t="s">
        <v>212</v>
      </c>
      <c r="H2432" t="s">
        <v>212</v>
      </c>
      <c r="I2432" t="s">
        <v>212</v>
      </c>
      <c r="J2432" t="s">
        <v>212</v>
      </c>
      <c r="K2432" t="s">
        <v>212</v>
      </c>
      <c r="L2432" t="s">
        <v>212</v>
      </c>
    </row>
    <row r="2433" spans="1:12">
      <c r="B2433" t="s">
        <v>2976</v>
      </c>
      <c r="C2433" t="s">
        <v>212</v>
      </c>
      <c r="D2433" t="s">
        <v>212</v>
      </c>
      <c r="E2433" t="s">
        <v>212</v>
      </c>
      <c r="F2433" t="s">
        <v>212</v>
      </c>
      <c r="G2433" t="s">
        <v>212</v>
      </c>
      <c r="H2433" t="s">
        <v>212</v>
      </c>
      <c r="I2433" t="s">
        <v>212</v>
      </c>
      <c r="J2433" t="s">
        <v>212</v>
      </c>
      <c r="K2433" t="s">
        <v>212</v>
      </c>
      <c r="L2433" t="s">
        <v>212</v>
      </c>
    </row>
    <row r="2434" spans="1:12">
      <c r="B2434" t="s">
        <v>2977</v>
      </c>
      <c r="C2434" t="s">
        <v>212</v>
      </c>
      <c r="D2434" t="s">
        <v>212</v>
      </c>
      <c r="E2434" t="s">
        <v>212</v>
      </c>
      <c r="F2434" t="s">
        <v>212</v>
      </c>
      <c r="G2434" t="s">
        <v>212</v>
      </c>
      <c r="H2434" t="s">
        <v>212</v>
      </c>
      <c r="I2434" t="s">
        <v>212</v>
      </c>
      <c r="J2434" t="s">
        <v>212</v>
      </c>
      <c r="K2434" t="s">
        <v>212</v>
      </c>
      <c r="L2434" t="s">
        <v>212</v>
      </c>
    </row>
    <row r="2435" spans="1:12">
      <c r="B2435" t="s">
        <v>2978</v>
      </c>
      <c r="C2435" t="s">
        <v>212</v>
      </c>
      <c r="D2435" t="s">
        <v>212</v>
      </c>
      <c r="E2435" t="s">
        <v>212</v>
      </c>
      <c r="F2435" t="s">
        <v>212</v>
      </c>
      <c r="G2435" t="s">
        <v>212</v>
      </c>
      <c r="H2435" t="s">
        <v>212</v>
      </c>
      <c r="I2435" t="s">
        <v>212</v>
      </c>
      <c r="J2435" t="s">
        <v>212</v>
      </c>
      <c r="K2435" t="s">
        <v>212</v>
      </c>
      <c r="L2435" t="s">
        <v>212</v>
      </c>
    </row>
    <row r="2436" spans="1:12">
      <c r="B2436" t="s">
        <v>2979</v>
      </c>
      <c r="C2436" t="s">
        <v>212</v>
      </c>
      <c r="D2436" t="s">
        <v>212</v>
      </c>
      <c r="E2436" t="s">
        <v>212</v>
      </c>
      <c r="F2436" t="s">
        <v>212</v>
      </c>
      <c r="G2436" t="s">
        <v>212</v>
      </c>
      <c r="H2436" t="s">
        <v>212</v>
      </c>
      <c r="I2436" t="s">
        <v>212</v>
      </c>
      <c r="J2436" t="s">
        <v>212</v>
      </c>
      <c r="K2436" t="s">
        <v>212</v>
      </c>
      <c r="L2436" t="s">
        <v>212</v>
      </c>
    </row>
    <row r="2437" spans="1:12">
      <c r="B2437" t="s">
        <v>2980</v>
      </c>
      <c r="C2437" t="s">
        <v>212</v>
      </c>
      <c r="D2437" t="s">
        <v>212</v>
      </c>
      <c r="E2437" t="s">
        <v>212</v>
      </c>
      <c r="F2437" t="s">
        <v>212</v>
      </c>
      <c r="G2437" t="s">
        <v>212</v>
      </c>
      <c r="H2437" t="s">
        <v>212</v>
      </c>
      <c r="I2437" t="s">
        <v>212</v>
      </c>
      <c r="J2437" t="s">
        <v>212</v>
      </c>
      <c r="K2437" t="s">
        <v>212</v>
      </c>
      <c r="L2437" t="s">
        <v>212</v>
      </c>
    </row>
    <row r="2439" spans="1:12">
      <c r="B2439" t="s">
        <v>2981</v>
      </c>
      <c r="C2439">
        <v>0.33</v>
      </c>
      <c r="H2439">
        <v>0</v>
      </c>
    </row>
    <row r="2440" spans="1:12">
      <c r="B2440" t="s">
        <v>2982</v>
      </c>
      <c r="C2440">
        <v>0.33</v>
      </c>
      <c r="D2440">
        <v>227.75</v>
      </c>
      <c r="F2440">
        <v>5.7</v>
      </c>
      <c r="G2440">
        <v>5.41</v>
      </c>
      <c r="H2440">
        <v>0</v>
      </c>
      <c r="I2440">
        <v>0</v>
      </c>
      <c r="K2440">
        <v>5.08</v>
      </c>
      <c r="L2440">
        <v>4.55</v>
      </c>
    </row>
    <row r="2441" spans="1:12">
      <c r="B2441" t="s">
        <v>2983</v>
      </c>
      <c r="C2441">
        <v>0.33</v>
      </c>
      <c r="D2441">
        <v>227.75</v>
      </c>
      <c r="F2441">
        <v>5.7</v>
      </c>
      <c r="G2441">
        <v>5.41</v>
      </c>
      <c r="H2441">
        <v>0</v>
      </c>
      <c r="I2441">
        <v>0</v>
      </c>
      <c r="K2441">
        <v>5.08</v>
      </c>
      <c r="L2441">
        <v>4.55</v>
      </c>
    </row>
    <row r="2444" spans="1:12">
      <c r="A2444" t="s">
        <v>1914</v>
      </c>
    </row>
    <row r="2445" spans="1:12">
      <c r="A2445" t="s">
        <v>1915</v>
      </c>
      <c r="B2445" t="s">
        <v>2984</v>
      </c>
    </row>
    <row r="2446" spans="1:12">
      <c r="A2446" t="s">
        <v>1917</v>
      </c>
      <c r="B2446" t="s">
        <v>2104</v>
      </c>
    </row>
    <row r="2447" spans="1:12">
      <c r="C2447" t="s">
        <v>2985</v>
      </c>
      <c r="D2447" t="s">
        <v>2986</v>
      </c>
      <c r="E2447" t="s">
        <v>2987</v>
      </c>
      <c r="F2447" t="s">
        <v>2988</v>
      </c>
      <c r="G2447" t="s">
        <v>2989</v>
      </c>
      <c r="H2447" t="s">
        <v>2990</v>
      </c>
      <c r="I2447" t="s">
        <v>2991</v>
      </c>
      <c r="J2447" t="s">
        <v>2992</v>
      </c>
      <c r="K2447" t="s">
        <v>2988</v>
      </c>
      <c r="L2447" t="s">
        <v>2989</v>
      </c>
    </row>
    <row r="2448" spans="1:12">
      <c r="B2448" t="s">
        <v>2970</v>
      </c>
      <c r="C2448">
        <v>0.17</v>
      </c>
      <c r="D2448">
        <v>170.31</v>
      </c>
      <c r="E2448" t="s">
        <v>3012</v>
      </c>
      <c r="F2448">
        <v>6.05</v>
      </c>
      <c r="G2448">
        <v>5.72</v>
      </c>
      <c r="H2448">
        <v>0</v>
      </c>
      <c r="I2448">
        <v>0</v>
      </c>
      <c r="J2448" t="s">
        <v>2993</v>
      </c>
      <c r="K2448">
        <v>5.08</v>
      </c>
      <c r="L2448">
        <v>4.55</v>
      </c>
    </row>
    <row r="2449" spans="2:12">
      <c r="B2449" t="s">
        <v>2971</v>
      </c>
      <c r="C2449" t="s">
        <v>212</v>
      </c>
      <c r="D2449" t="s">
        <v>212</v>
      </c>
      <c r="E2449" t="s">
        <v>212</v>
      </c>
      <c r="F2449" t="s">
        <v>212</v>
      </c>
      <c r="G2449" t="s">
        <v>212</v>
      </c>
      <c r="H2449" t="s">
        <v>212</v>
      </c>
      <c r="I2449" t="s">
        <v>212</v>
      </c>
      <c r="J2449" t="s">
        <v>212</v>
      </c>
      <c r="K2449" t="s">
        <v>212</v>
      </c>
      <c r="L2449" t="s">
        <v>212</v>
      </c>
    </row>
    <row r="2450" spans="2:12">
      <c r="B2450" t="s">
        <v>2972</v>
      </c>
      <c r="C2450" t="s">
        <v>212</v>
      </c>
      <c r="D2450" t="s">
        <v>212</v>
      </c>
      <c r="E2450" t="s">
        <v>212</v>
      </c>
      <c r="F2450" t="s">
        <v>212</v>
      </c>
      <c r="G2450" t="s">
        <v>212</v>
      </c>
      <c r="H2450" t="s">
        <v>212</v>
      </c>
      <c r="I2450" t="s">
        <v>212</v>
      </c>
      <c r="J2450" t="s">
        <v>212</v>
      </c>
      <c r="K2450" t="s">
        <v>212</v>
      </c>
      <c r="L2450" t="s">
        <v>212</v>
      </c>
    </row>
    <row r="2451" spans="2:12">
      <c r="B2451" t="s">
        <v>2973</v>
      </c>
      <c r="C2451" t="s">
        <v>212</v>
      </c>
      <c r="D2451" t="s">
        <v>212</v>
      </c>
      <c r="E2451" t="s">
        <v>212</v>
      </c>
      <c r="F2451" t="s">
        <v>212</v>
      </c>
      <c r="G2451" t="s">
        <v>212</v>
      </c>
      <c r="H2451" t="s">
        <v>212</v>
      </c>
      <c r="I2451" t="s">
        <v>212</v>
      </c>
      <c r="J2451" t="s">
        <v>212</v>
      </c>
      <c r="K2451" t="s">
        <v>212</v>
      </c>
      <c r="L2451" t="s">
        <v>212</v>
      </c>
    </row>
    <row r="2452" spans="2:12">
      <c r="B2452" t="s">
        <v>820</v>
      </c>
      <c r="C2452" t="s">
        <v>212</v>
      </c>
      <c r="D2452" t="s">
        <v>212</v>
      </c>
      <c r="E2452" t="s">
        <v>212</v>
      </c>
      <c r="F2452" t="s">
        <v>212</v>
      </c>
      <c r="G2452" t="s">
        <v>212</v>
      </c>
      <c r="H2452" t="s">
        <v>212</v>
      </c>
      <c r="I2452" t="s">
        <v>212</v>
      </c>
      <c r="J2452" t="s">
        <v>212</v>
      </c>
      <c r="K2452" t="s">
        <v>212</v>
      </c>
      <c r="L2452" t="s">
        <v>212</v>
      </c>
    </row>
    <row r="2453" spans="2:12">
      <c r="B2453" t="s">
        <v>2974</v>
      </c>
      <c r="C2453" t="s">
        <v>212</v>
      </c>
      <c r="D2453" t="s">
        <v>212</v>
      </c>
      <c r="E2453" t="s">
        <v>212</v>
      </c>
      <c r="F2453" t="s">
        <v>212</v>
      </c>
      <c r="G2453" t="s">
        <v>212</v>
      </c>
      <c r="H2453" t="s">
        <v>212</v>
      </c>
      <c r="I2453" t="s">
        <v>212</v>
      </c>
      <c r="J2453" t="s">
        <v>212</v>
      </c>
      <c r="K2453" t="s">
        <v>212</v>
      </c>
      <c r="L2453" t="s">
        <v>212</v>
      </c>
    </row>
    <row r="2454" spans="2:12">
      <c r="B2454" t="s">
        <v>2975</v>
      </c>
      <c r="C2454" t="s">
        <v>212</v>
      </c>
      <c r="D2454" t="s">
        <v>212</v>
      </c>
      <c r="E2454" t="s">
        <v>212</v>
      </c>
      <c r="F2454" t="s">
        <v>212</v>
      </c>
      <c r="G2454" t="s">
        <v>212</v>
      </c>
      <c r="H2454" t="s">
        <v>212</v>
      </c>
      <c r="I2454" t="s">
        <v>212</v>
      </c>
      <c r="J2454" t="s">
        <v>212</v>
      </c>
      <c r="K2454" t="s">
        <v>212</v>
      </c>
      <c r="L2454" t="s">
        <v>212</v>
      </c>
    </row>
    <row r="2455" spans="2:12">
      <c r="B2455" t="s">
        <v>2976</v>
      </c>
      <c r="C2455" t="s">
        <v>212</v>
      </c>
      <c r="D2455" t="s">
        <v>212</v>
      </c>
      <c r="E2455" t="s">
        <v>212</v>
      </c>
      <c r="F2455" t="s">
        <v>212</v>
      </c>
      <c r="G2455" t="s">
        <v>212</v>
      </c>
      <c r="H2455" t="s">
        <v>212</v>
      </c>
      <c r="I2455" t="s">
        <v>212</v>
      </c>
      <c r="J2455" t="s">
        <v>212</v>
      </c>
      <c r="K2455" t="s">
        <v>212</v>
      </c>
      <c r="L2455" t="s">
        <v>212</v>
      </c>
    </row>
    <row r="2456" spans="2:12">
      <c r="B2456" t="s">
        <v>2977</v>
      </c>
      <c r="C2456" t="s">
        <v>212</v>
      </c>
      <c r="D2456" t="s">
        <v>212</v>
      </c>
      <c r="E2456" t="s">
        <v>212</v>
      </c>
      <c r="F2456" t="s">
        <v>212</v>
      </c>
      <c r="G2456" t="s">
        <v>212</v>
      </c>
      <c r="H2456" t="s">
        <v>212</v>
      </c>
      <c r="I2456" t="s">
        <v>212</v>
      </c>
      <c r="J2456" t="s">
        <v>212</v>
      </c>
      <c r="K2456" t="s">
        <v>212</v>
      </c>
      <c r="L2456" t="s">
        <v>212</v>
      </c>
    </row>
    <row r="2457" spans="2:12">
      <c r="B2457" t="s">
        <v>2978</v>
      </c>
      <c r="C2457" t="s">
        <v>212</v>
      </c>
      <c r="D2457" t="s">
        <v>212</v>
      </c>
      <c r="E2457" t="s">
        <v>212</v>
      </c>
      <c r="F2457" t="s">
        <v>212</v>
      </c>
      <c r="G2457" t="s">
        <v>212</v>
      </c>
      <c r="H2457" t="s">
        <v>212</v>
      </c>
      <c r="I2457" t="s">
        <v>212</v>
      </c>
      <c r="J2457" t="s">
        <v>212</v>
      </c>
      <c r="K2457" t="s">
        <v>212</v>
      </c>
      <c r="L2457" t="s">
        <v>212</v>
      </c>
    </row>
    <row r="2458" spans="2:12">
      <c r="B2458" t="s">
        <v>2979</v>
      </c>
      <c r="C2458" t="s">
        <v>212</v>
      </c>
      <c r="D2458" t="s">
        <v>212</v>
      </c>
      <c r="E2458" t="s">
        <v>212</v>
      </c>
      <c r="F2458" t="s">
        <v>212</v>
      </c>
      <c r="G2458" t="s">
        <v>212</v>
      </c>
      <c r="H2458" t="s">
        <v>212</v>
      </c>
      <c r="I2458" t="s">
        <v>212</v>
      </c>
      <c r="J2458" t="s">
        <v>212</v>
      </c>
      <c r="K2458" t="s">
        <v>212</v>
      </c>
      <c r="L2458" t="s">
        <v>212</v>
      </c>
    </row>
    <row r="2459" spans="2:12">
      <c r="B2459" t="s">
        <v>2980</v>
      </c>
      <c r="C2459" t="s">
        <v>212</v>
      </c>
      <c r="D2459" t="s">
        <v>212</v>
      </c>
      <c r="E2459" t="s">
        <v>212</v>
      </c>
      <c r="F2459" t="s">
        <v>212</v>
      </c>
      <c r="G2459" t="s">
        <v>212</v>
      </c>
      <c r="H2459" t="s">
        <v>212</v>
      </c>
      <c r="I2459" t="s">
        <v>212</v>
      </c>
      <c r="J2459" t="s">
        <v>212</v>
      </c>
      <c r="K2459" t="s">
        <v>212</v>
      </c>
      <c r="L2459" t="s">
        <v>212</v>
      </c>
    </row>
    <row r="2461" spans="2:12">
      <c r="B2461" t="s">
        <v>2981</v>
      </c>
      <c r="C2461">
        <v>0.17</v>
      </c>
      <c r="H2461">
        <v>0</v>
      </c>
    </row>
    <row r="2462" spans="2:12">
      <c r="B2462" t="s">
        <v>2982</v>
      </c>
      <c r="C2462">
        <v>0.17</v>
      </c>
      <c r="D2462">
        <v>170.31</v>
      </c>
      <c r="F2462">
        <v>6.05</v>
      </c>
      <c r="G2462">
        <v>5.72</v>
      </c>
      <c r="H2462">
        <v>0</v>
      </c>
      <c r="I2462">
        <v>0</v>
      </c>
      <c r="K2462">
        <v>5.08</v>
      </c>
      <c r="L2462">
        <v>4.55</v>
      </c>
    </row>
    <row r="2463" spans="2:12">
      <c r="B2463" t="s">
        <v>2983</v>
      </c>
      <c r="C2463">
        <v>0.17</v>
      </c>
      <c r="D2463">
        <v>170.31</v>
      </c>
      <c r="F2463">
        <v>6.05</v>
      </c>
      <c r="G2463">
        <v>5.72</v>
      </c>
      <c r="H2463">
        <v>0</v>
      </c>
      <c r="I2463">
        <v>0</v>
      </c>
      <c r="K2463">
        <v>5.08</v>
      </c>
      <c r="L2463">
        <v>4.55</v>
      </c>
    </row>
    <row r="2466" spans="1:12">
      <c r="A2466" t="s">
        <v>1914</v>
      </c>
    </row>
    <row r="2467" spans="1:12">
      <c r="A2467" t="s">
        <v>1915</v>
      </c>
      <c r="B2467" t="s">
        <v>2984</v>
      </c>
    </row>
    <row r="2468" spans="1:12">
      <c r="A2468" t="s">
        <v>1917</v>
      </c>
      <c r="B2468" t="s">
        <v>2105</v>
      </c>
    </row>
    <row r="2469" spans="1:12">
      <c r="C2469" t="s">
        <v>2985</v>
      </c>
      <c r="D2469" t="s">
        <v>2986</v>
      </c>
      <c r="E2469" t="s">
        <v>2987</v>
      </c>
      <c r="F2469" t="s">
        <v>2988</v>
      </c>
      <c r="G2469" t="s">
        <v>2989</v>
      </c>
      <c r="H2469" t="s">
        <v>2990</v>
      </c>
      <c r="I2469" t="s">
        <v>2991</v>
      </c>
      <c r="J2469" t="s">
        <v>2992</v>
      </c>
      <c r="K2469" t="s">
        <v>2988</v>
      </c>
      <c r="L2469" t="s">
        <v>2989</v>
      </c>
    </row>
    <row r="2470" spans="1:12">
      <c r="B2470" t="s">
        <v>2970</v>
      </c>
      <c r="C2470">
        <v>1.05</v>
      </c>
      <c r="D2470">
        <v>2088.15</v>
      </c>
      <c r="E2470" t="s">
        <v>3004</v>
      </c>
      <c r="F2470">
        <v>6.85</v>
      </c>
      <c r="G2470">
        <v>6.4</v>
      </c>
      <c r="H2470">
        <v>0</v>
      </c>
      <c r="I2470">
        <v>0</v>
      </c>
      <c r="J2470" t="s">
        <v>2993</v>
      </c>
      <c r="K2470">
        <v>5.08</v>
      </c>
      <c r="L2470">
        <v>4.55</v>
      </c>
    </row>
    <row r="2471" spans="1:12">
      <c r="B2471" t="s">
        <v>2971</v>
      </c>
      <c r="C2471" t="s">
        <v>212</v>
      </c>
      <c r="D2471" t="s">
        <v>212</v>
      </c>
      <c r="E2471" t="s">
        <v>212</v>
      </c>
      <c r="F2471" t="s">
        <v>212</v>
      </c>
      <c r="G2471" t="s">
        <v>212</v>
      </c>
      <c r="H2471" t="s">
        <v>212</v>
      </c>
      <c r="I2471" t="s">
        <v>212</v>
      </c>
      <c r="J2471" t="s">
        <v>212</v>
      </c>
      <c r="K2471" t="s">
        <v>212</v>
      </c>
      <c r="L2471" t="s">
        <v>212</v>
      </c>
    </row>
    <row r="2472" spans="1:12">
      <c r="B2472" t="s">
        <v>2972</v>
      </c>
      <c r="C2472" t="s">
        <v>212</v>
      </c>
      <c r="D2472" t="s">
        <v>212</v>
      </c>
      <c r="E2472" t="s">
        <v>212</v>
      </c>
      <c r="F2472" t="s">
        <v>212</v>
      </c>
      <c r="G2472" t="s">
        <v>212</v>
      </c>
      <c r="H2472" t="s">
        <v>212</v>
      </c>
      <c r="I2472" t="s">
        <v>212</v>
      </c>
      <c r="J2472" t="s">
        <v>212</v>
      </c>
      <c r="K2472" t="s">
        <v>212</v>
      </c>
      <c r="L2472" t="s">
        <v>212</v>
      </c>
    </row>
    <row r="2473" spans="1:12">
      <c r="B2473" t="s">
        <v>2973</v>
      </c>
      <c r="C2473" t="s">
        <v>212</v>
      </c>
      <c r="D2473" t="s">
        <v>212</v>
      </c>
      <c r="E2473" t="s">
        <v>212</v>
      </c>
      <c r="F2473" t="s">
        <v>212</v>
      </c>
      <c r="G2473" t="s">
        <v>212</v>
      </c>
      <c r="H2473" t="s">
        <v>212</v>
      </c>
      <c r="I2473" t="s">
        <v>212</v>
      </c>
      <c r="J2473" t="s">
        <v>212</v>
      </c>
      <c r="K2473" t="s">
        <v>212</v>
      </c>
      <c r="L2473" t="s">
        <v>212</v>
      </c>
    </row>
    <row r="2474" spans="1:12">
      <c r="B2474" t="s">
        <v>820</v>
      </c>
      <c r="C2474" t="s">
        <v>212</v>
      </c>
      <c r="D2474" t="s">
        <v>212</v>
      </c>
      <c r="E2474" t="s">
        <v>212</v>
      </c>
      <c r="F2474" t="s">
        <v>212</v>
      </c>
      <c r="G2474" t="s">
        <v>212</v>
      </c>
      <c r="H2474" t="s">
        <v>212</v>
      </c>
      <c r="I2474" t="s">
        <v>212</v>
      </c>
      <c r="J2474" t="s">
        <v>212</v>
      </c>
      <c r="K2474" t="s">
        <v>212</v>
      </c>
      <c r="L2474" t="s">
        <v>212</v>
      </c>
    </row>
    <row r="2475" spans="1:12">
      <c r="B2475" t="s">
        <v>2974</v>
      </c>
      <c r="C2475" t="s">
        <v>212</v>
      </c>
      <c r="D2475" t="s">
        <v>212</v>
      </c>
      <c r="E2475" t="s">
        <v>212</v>
      </c>
      <c r="F2475" t="s">
        <v>212</v>
      </c>
      <c r="G2475" t="s">
        <v>212</v>
      </c>
      <c r="H2475" t="s">
        <v>212</v>
      </c>
      <c r="I2475" t="s">
        <v>212</v>
      </c>
      <c r="J2475" t="s">
        <v>212</v>
      </c>
      <c r="K2475" t="s">
        <v>212</v>
      </c>
      <c r="L2475" t="s">
        <v>212</v>
      </c>
    </row>
    <row r="2476" spans="1:12">
      <c r="B2476" t="s">
        <v>2975</v>
      </c>
      <c r="C2476" t="s">
        <v>212</v>
      </c>
      <c r="D2476" t="s">
        <v>212</v>
      </c>
      <c r="E2476" t="s">
        <v>212</v>
      </c>
      <c r="F2476" t="s">
        <v>212</v>
      </c>
      <c r="G2476" t="s">
        <v>212</v>
      </c>
      <c r="H2476" t="s">
        <v>212</v>
      </c>
      <c r="I2476" t="s">
        <v>212</v>
      </c>
      <c r="J2476" t="s">
        <v>212</v>
      </c>
      <c r="K2476" t="s">
        <v>212</v>
      </c>
      <c r="L2476" t="s">
        <v>212</v>
      </c>
    </row>
    <row r="2477" spans="1:12">
      <c r="B2477" t="s">
        <v>2976</v>
      </c>
      <c r="C2477" t="s">
        <v>212</v>
      </c>
      <c r="D2477" t="s">
        <v>212</v>
      </c>
      <c r="E2477" t="s">
        <v>212</v>
      </c>
      <c r="F2477" t="s">
        <v>212</v>
      </c>
      <c r="G2477" t="s">
        <v>212</v>
      </c>
      <c r="H2477" t="s">
        <v>212</v>
      </c>
      <c r="I2477" t="s">
        <v>212</v>
      </c>
      <c r="J2477" t="s">
        <v>212</v>
      </c>
      <c r="K2477" t="s">
        <v>212</v>
      </c>
      <c r="L2477" t="s">
        <v>212</v>
      </c>
    </row>
    <row r="2478" spans="1:12">
      <c r="B2478" t="s">
        <v>2977</v>
      </c>
      <c r="C2478" t="s">
        <v>212</v>
      </c>
      <c r="D2478" t="s">
        <v>212</v>
      </c>
      <c r="E2478" t="s">
        <v>212</v>
      </c>
      <c r="F2478" t="s">
        <v>212</v>
      </c>
      <c r="G2478" t="s">
        <v>212</v>
      </c>
      <c r="H2478" t="s">
        <v>212</v>
      </c>
      <c r="I2478" t="s">
        <v>212</v>
      </c>
      <c r="J2478" t="s">
        <v>212</v>
      </c>
      <c r="K2478" t="s">
        <v>212</v>
      </c>
      <c r="L2478" t="s">
        <v>212</v>
      </c>
    </row>
    <row r="2479" spans="1:12">
      <c r="B2479" t="s">
        <v>2978</v>
      </c>
      <c r="C2479" t="s">
        <v>212</v>
      </c>
      <c r="D2479" t="s">
        <v>212</v>
      </c>
      <c r="E2479" t="s">
        <v>212</v>
      </c>
      <c r="F2479" t="s">
        <v>212</v>
      </c>
      <c r="G2479" t="s">
        <v>212</v>
      </c>
      <c r="H2479" t="s">
        <v>212</v>
      </c>
      <c r="I2479" t="s">
        <v>212</v>
      </c>
      <c r="J2479" t="s">
        <v>212</v>
      </c>
      <c r="K2479" t="s">
        <v>212</v>
      </c>
      <c r="L2479" t="s">
        <v>212</v>
      </c>
    </row>
    <row r="2480" spans="1:12">
      <c r="B2480" t="s">
        <v>2979</v>
      </c>
      <c r="C2480" t="s">
        <v>212</v>
      </c>
      <c r="D2480" t="s">
        <v>212</v>
      </c>
      <c r="E2480" t="s">
        <v>212</v>
      </c>
      <c r="F2480" t="s">
        <v>212</v>
      </c>
      <c r="G2480" t="s">
        <v>212</v>
      </c>
      <c r="H2480" t="s">
        <v>212</v>
      </c>
      <c r="I2480" t="s">
        <v>212</v>
      </c>
      <c r="J2480" t="s">
        <v>212</v>
      </c>
      <c r="K2480" t="s">
        <v>212</v>
      </c>
      <c r="L2480" t="s">
        <v>212</v>
      </c>
    </row>
    <row r="2481" spans="1:12">
      <c r="B2481" t="s">
        <v>2980</v>
      </c>
      <c r="C2481" t="s">
        <v>212</v>
      </c>
      <c r="D2481" t="s">
        <v>212</v>
      </c>
      <c r="E2481" t="s">
        <v>212</v>
      </c>
      <c r="F2481" t="s">
        <v>212</v>
      </c>
      <c r="G2481" t="s">
        <v>212</v>
      </c>
      <c r="H2481" t="s">
        <v>212</v>
      </c>
      <c r="I2481" t="s">
        <v>212</v>
      </c>
      <c r="J2481" t="s">
        <v>212</v>
      </c>
      <c r="K2481" t="s">
        <v>212</v>
      </c>
      <c r="L2481" t="s">
        <v>212</v>
      </c>
    </row>
    <row r="2483" spans="1:12">
      <c r="B2483" t="s">
        <v>2981</v>
      </c>
      <c r="C2483">
        <v>1.05</v>
      </c>
      <c r="H2483">
        <v>0</v>
      </c>
    </row>
    <row r="2484" spans="1:12">
      <c r="B2484" t="s">
        <v>2982</v>
      </c>
      <c r="C2484">
        <v>1.05</v>
      </c>
      <c r="D2484">
        <v>2088.15</v>
      </c>
      <c r="F2484">
        <v>6.85</v>
      </c>
      <c r="G2484">
        <v>6.4</v>
      </c>
      <c r="H2484">
        <v>0</v>
      </c>
      <c r="I2484">
        <v>0</v>
      </c>
      <c r="K2484">
        <v>5.08</v>
      </c>
      <c r="L2484">
        <v>4.55</v>
      </c>
    </row>
    <row r="2485" spans="1:12">
      <c r="B2485" t="s">
        <v>2983</v>
      </c>
      <c r="C2485">
        <v>1.05</v>
      </c>
      <c r="D2485">
        <v>2088.15</v>
      </c>
      <c r="F2485">
        <v>6.85</v>
      </c>
      <c r="G2485">
        <v>6.4</v>
      </c>
      <c r="H2485">
        <v>0</v>
      </c>
      <c r="I2485">
        <v>0</v>
      </c>
      <c r="K2485">
        <v>5.08</v>
      </c>
      <c r="L2485">
        <v>4.55</v>
      </c>
    </row>
    <row r="2488" spans="1:12">
      <c r="A2488" t="s">
        <v>1914</v>
      </c>
    </row>
    <row r="2489" spans="1:12">
      <c r="A2489" t="s">
        <v>1915</v>
      </c>
      <c r="B2489" t="s">
        <v>2984</v>
      </c>
    </row>
    <row r="2490" spans="1:12">
      <c r="A2490" t="s">
        <v>1917</v>
      </c>
      <c r="B2490" t="s">
        <v>2106</v>
      </c>
    </row>
    <row r="2491" spans="1:12">
      <c r="C2491" t="s">
        <v>2985</v>
      </c>
      <c r="D2491" t="s">
        <v>2986</v>
      </c>
      <c r="E2491" t="s">
        <v>2987</v>
      </c>
      <c r="F2491" t="s">
        <v>2988</v>
      </c>
      <c r="G2491" t="s">
        <v>2989</v>
      </c>
      <c r="H2491" t="s">
        <v>2990</v>
      </c>
      <c r="I2491" t="s">
        <v>2991</v>
      </c>
      <c r="J2491" t="s">
        <v>2992</v>
      </c>
      <c r="K2491" t="s">
        <v>2988</v>
      </c>
      <c r="L2491" t="s">
        <v>2989</v>
      </c>
    </row>
    <row r="2492" spans="1:12">
      <c r="B2492" t="s">
        <v>2970</v>
      </c>
      <c r="C2492">
        <v>2.36</v>
      </c>
      <c r="D2492">
        <v>1523.81</v>
      </c>
      <c r="E2492" t="s">
        <v>3013</v>
      </c>
      <c r="F2492">
        <v>8.4499999999999993</v>
      </c>
      <c r="G2492">
        <v>8.25</v>
      </c>
      <c r="H2492">
        <v>10.210000000000001</v>
      </c>
      <c r="I2492">
        <v>1054.42</v>
      </c>
      <c r="J2492" t="s">
        <v>2962</v>
      </c>
      <c r="K2492">
        <v>6.4</v>
      </c>
      <c r="L2492">
        <v>6.4</v>
      </c>
    </row>
    <row r="2493" spans="1:12">
      <c r="B2493" t="s">
        <v>2971</v>
      </c>
      <c r="C2493" t="s">
        <v>212</v>
      </c>
      <c r="D2493" t="s">
        <v>212</v>
      </c>
      <c r="E2493" t="s">
        <v>212</v>
      </c>
      <c r="F2493" t="s">
        <v>212</v>
      </c>
      <c r="G2493" t="s">
        <v>212</v>
      </c>
      <c r="H2493" t="s">
        <v>212</v>
      </c>
      <c r="I2493" t="s">
        <v>212</v>
      </c>
      <c r="J2493" t="s">
        <v>212</v>
      </c>
      <c r="K2493" t="s">
        <v>212</v>
      </c>
      <c r="L2493" t="s">
        <v>212</v>
      </c>
    </row>
    <row r="2494" spans="1:12">
      <c r="B2494" t="s">
        <v>2972</v>
      </c>
      <c r="C2494" t="s">
        <v>212</v>
      </c>
      <c r="D2494" t="s">
        <v>212</v>
      </c>
      <c r="E2494" t="s">
        <v>212</v>
      </c>
      <c r="F2494" t="s">
        <v>212</v>
      </c>
      <c r="G2494" t="s">
        <v>212</v>
      </c>
      <c r="H2494" t="s">
        <v>212</v>
      </c>
      <c r="I2494" t="s">
        <v>212</v>
      </c>
      <c r="J2494" t="s">
        <v>212</v>
      </c>
      <c r="K2494" t="s">
        <v>212</v>
      </c>
      <c r="L2494" t="s">
        <v>212</v>
      </c>
    </row>
    <row r="2495" spans="1:12">
      <c r="B2495" t="s">
        <v>2973</v>
      </c>
      <c r="C2495" t="s">
        <v>212</v>
      </c>
      <c r="D2495" t="s">
        <v>212</v>
      </c>
      <c r="E2495" t="s">
        <v>212</v>
      </c>
      <c r="F2495" t="s">
        <v>212</v>
      </c>
      <c r="G2495" t="s">
        <v>212</v>
      </c>
      <c r="H2495" t="s">
        <v>212</v>
      </c>
      <c r="I2495" t="s">
        <v>212</v>
      </c>
      <c r="J2495" t="s">
        <v>212</v>
      </c>
      <c r="K2495" t="s">
        <v>212</v>
      </c>
      <c r="L2495" t="s">
        <v>212</v>
      </c>
    </row>
    <row r="2496" spans="1:12">
      <c r="B2496" t="s">
        <v>820</v>
      </c>
      <c r="C2496" t="s">
        <v>212</v>
      </c>
      <c r="D2496" t="s">
        <v>212</v>
      </c>
      <c r="E2496" t="s">
        <v>212</v>
      </c>
      <c r="F2496" t="s">
        <v>212</v>
      </c>
      <c r="G2496" t="s">
        <v>212</v>
      </c>
      <c r="H2496" t="s">
        <v>212</v>
      </c>
      <c r="I2496" t="s">
        <v>212</v>
      </c>
      <c r="J2496" t="s">
        <v>212</v>
      </c>
      <c r="K2496" t="s">
        <v>212</v>
      </c>
      <c r="L2496" t="s">
        <v>212</v>
      </c>
    </row>
    <row r="2497" spans="1:12">
      <c r="B2497" t="s">
        <v>2974</v>
      </c>
      <c r="C2497" t="s">
        <v>212</v>
      </c>
      <c r="D2497" t="s">
        <v>212</v>
      </c>
      <c r="E2497" t="s">
        <v>212</v>
      </c>
      <c r="F2497" t="s">
        <v>212</v>
      </c>
      <c r="G2497" t="s">
        <v>212</v>
      </c>
      <c r="H2497" t="s">
        <v>212</v>
      </c>
      <c r="I2497" t="s">
        <v>212</v>
      </c>
      <c r="J2497" t="s">
        <v>212</v>
      </c>
      <c r="K2497" t="s">
        <v>212</v>
      </c>
      <c r="L2497" t="s">
        <v>212</v>
      </c>
    </row>
    <row r="2498" spans="1:12">
      <c r="B2498" t="s">
        <v>2975</v>
      </c>
      <c r="C2498" t="s">
        <v>212</v>
      </c>
      <c r="D2498" t="s">
        <v>212</v>
      </c>
      <c r="E2498" t="s">
        <v>212</v>
      </c>
      <c r="F2498" t="s">
        <v>212</v>
      </c>
      <c r="G2498" t="s">
        <v>212</v>
      </c>
      <c r="H2498" t="s">
        <v>212</v>
      </c>
      <c r="I2498" t="s">
        <v>212</v>
      </c>
      <c r="J2498" t="s">
        <v>212</v>
      </c>
      <c r="K2498" t="s">
        <v>212</v>
      </c>
      <c r="L2498" t="s">
        <v>212</v>
      </c>
    </row>
    <row r="2499" spans="1:12">
      <c r="B2499" t="s">
        <v>2976</v>
      </c>
      <c r="C2499" t="s">
        <v>212</v>
      </c>
      <c r="D2499" t="s">
        <v>212</v>
      </c>
      <c r="E2499" t="s">
        <v>212</v>
      </c>
      <c r="F2499" t="s">
        <v>212</v>
      </c>
      <c r="G2499" t="s">
        <v>212</v>
      </c>
      <c r="H2499" t="s">
        <v>212</v>
      </c>
      <c r="I2499" t="s">
        <v>212</v>
      </c>
      <c r="J2499" t="s">
        <v>212</v>
      </c>
      <c r="K2499" t="s">
        <v>212</v>
      </c>
      <c r="L2499" t="s">
        <v>212</v>
      </c>
    </row>
    <row r="2500" spans="1:12">
      <c r="B2500" t="s">
        <v>2977</v>
      </c>
      <c r="C2500" t="s">
        <v>212</v>
      </c>
      <c r="D2500" t="s">
        <v>212</v>
      </c>
      <c r="E2500" t="s">
        <v>212</v>
      </c>
      <c r="F2500" t="s">
        <v>212</v>
      </c>
      <c r="G2500" t="s">
        <v>212</v>
      </c>
      <c r="H2500" t="s">
        <v>212</v>
      </c>
      <c r="I2500" t="s">
        <v>212</v>
      </c>
      <c r="J2500" t="s">
        <v>212</v>
      </c>
      <c r="K2500" t="s">
        <v>212</v>
      </c>
      <c r="L2500" t="s">
        <v>212</v>
      </c>
    </row>
    <row r="2501" spans="1:12">
      <c r="B2501" t="s">
        <v>2978</v>
      </c>
      <c r="C2501" t="s">
        <v>212</v>
      </c>
      <c r="D2501" t="s">
        <v>212</v>
      </c>
      <c r="E2501" t="s">
        <v>212</v>
      </c>
      <c r="F2501" t="s">
        <v>212</v>
      </c>
      <c r="G2501" t="s">
        <v>212</v>
      </c>
      <c r="H2501" t="s">
        <v>212</v>
      </c>
      <c r="I2501" t="s">
        <v>212</v>
      </c>
      <c r="J2501" t="s">
        <v>212</v>
      </c>
      <c r="K2501" t="s">
        <v>212</v>
      </c>
      <c r="L2501" t="s">
        <v>212</v>
      </c>
    </row>
    <row r="2502" spans="1:12">
      <c r="B2502" t="s">
        <v>2979</v>
      </c>
      <c r="C2502" t="s">
        <v>212</v>
      </c>
      <c r="D2502" t="s">
        <v>212</v>
      </c>
      <c r="E2502" t="s">
        <v>212</v>
      </c>
      <c r="F2502" t="s">
        <v>212</v>
      </c>
      <c r="G2502" t="s">
        <v>212</v>
      </c>
      <c r="H2502" t="s">
        <v>212</v>
      </c>
      <c r="I2502" t="s">
        <v>212</v>
      </c>
      <c r="J2502" t="s">
        <v>212</v>
      </c>
      <c r="K2502" t="s">
        <v>212</v>
      </c>
      <c r="L2502" t="s">
        <v>212</v>
      </c>
    </row>
    <row r="2503" spans="1:12">
      <c r="B2503" t="s">
        <v>2980</v>
      </c>
      <c r="C2503" t="s">
        <v>212</v>
      </c>
      <c r="D2503" t="s">
        <v>212</v>
      </c>
      <c r="E2503" t="s">
        <v>212</v>
      </c>
      <c r="F2503" t="s">
        <v>212</v>
      </c>
      <c r="G2503" t="s">
        <v>212</v>
      </c>
      <c r="H2503" t="s">
        <v>212</v>
      </c>
      <c r="I2503" t="s">
        <v>212</v>
      </c>
      <c r="J2503" t="s">
        <v>212</v>
      </c>
      <c r="K2503" t="s">
        <v>212</v>
      </c>
      <c r="L2503" t="s">
        <v>212</v>
      </c>
    </row>
    <row r="2505" spans="1:12">
      <c r="B2505" t="s">
        <v>2981</v>
      </c>
      <c r="C2505">
        <v>2.36</v>
      </c>
      <c r="H2505">
        <v>10.210000000000001</v>
      </c>
    </row>
    <row r="2506" spans="1:12">
      <c r="B2506" t="s">
        <v>2982</v>
      </c>
      <c r="C2506">
        <v>2.36</v>
      </c>
      <c r="D2506">
        <v>1523.81</v>
      </c>
      <c r="F2506">
        <v>8.4499999999999993</v>
      </c>
      <c r="G2506">
        <v>8.25</v>
      </c>
      <c r="H2506">
        <v>10.210000000000001</v>
      </c>
      <c r="I2506">
        <v>1054.42</v>
      </c>
      <c r="K2506">
        <v>6.4</v>
      </c>
      <c r="L2506">
        <v>6.4</v>
      </c>
    </row>
    <row r="2507" spans="1:12">
      <c r="B2507" t="s">
        <v>2983</v>
      </c>
      <c r="C2507">
        <v>2.36</v>
      </c>
      <c r="D2507">
        <v>1523.81</v>
      </c>
      <c r="F2507">
        <v>8.4499999999999993</v>
      </c>
      <c r="G2507">
        <v>8.25</v>
      </c>
      <c r="H2507">
        <v>10.210000000000001</v>
      </c>
      <c r="I2507">
        <v>1054.42</v>
      </c>
      <c r="K2507">
        <v>6.4</v>
      </c>
      <c r="L2507">
        <v>6.4</v>
      </c>
    </row>
    <row r="2510" spans="1:12">
      <c r="A2510" t="s">
        <v>1914</v>
      </c>
    </row>
    <row r="2511" spans="1:12">
      <c r="A2511" t="s">
        <v>1915</v>
      </c>
      <c r="B2511" t="s">
        <v>2984</v>
      </c>
    </row>
    <row r="2512" spans="1:12">
      <c r="A2512" t="s">
        <v>1917</v>
      </c>
      <c r="B2512" t="s">
        <v>2107</v>
      </c>
    </row>
    <row r="2513" spans="2:12">
      <c r="C2513" t="s">
        <v>2985</v>
      </c>
      <c r="D2513" t="s">
        <v>2986</v>
      </c>
      <c r="E2513" t="s">
        <v>2987</v>
      </c>
      <c r="F2513" t="s">
        <v>2988</v>
      </c>
      <c r="G2513" t="s">
        <v>2989</v>
      </c>
      <c r="H2513" t="s">
        <v>2990</v>
      </c>
      <c r="I2513" t="s">
        <v>2991</v>
      </c>
      <c r="J2513" t="s">
        <v>2992</v>
      </c>
      <c r="K2513" t="s">
        <v>2988</v>
      </c>
      <c r="L2513" t="s">
        <v>2989</v>
      </c>
    </row>
    <row r="2514" spans="2:12">
      <c r="B2514" t="s">
        <v>2970</v>
      </c>
      <c r="C2514">
        <v>0.18</v>
      </c>
      <c r="D2514">
        <v>260.14</v>
      </c>
      <c r="E2514" t="s">
        <v>3014</v>
      </c>
      <c r="F2514">
        <v>6.23</v>
      </c>
      <c r="G2514">
        <v>5.88</v>
      </c>
      <c r="H2514">
        <v>6.48</v>
      </c>
      <c r="I2514">
        <v>669.62</v>
      </c>
      <c r="J2514" t="s">
        <v>2962</v>
      </c>
      <c r="K2514">
        <v>6.4</v>
      </c>
      <c r="L2514">
        <v>6.4</v>
      </c>
    </row>
    <row r="2515" spans="2:12">
      <c r="B2515" t="s">
        <v>2971</v>
      </c>
      <c r="C2515" t="s">
        <v>212</v>
      </c>
      <c r="D2515" t="s">
        <v>212</v>
      </c>
      <c r="E2515" t="s">
        <v>212</v>
      </c>
      <c r="F2515" t="s">
        <v>212</v>
      </c>
      <c r="G2515" t="s">
        <v>212</v>
      </c>
      <c r="H2515" t="s">
        <v>212</v>
      </c>
      <c r="I2515" t="s">
        <v>212</v>
      </c>
      <c r="J2515" t="s">
        <v>212</v>
      </c>
      <c r="K2515" t="s">
        <v>212</v>
      </c>
      <c r="L2515" t="s">
        <v>212</v>
      </c>
    </row>
    <row r="2516" spans="2:12">
      <c r="B2516" t="s">
        <v>2972</v>
      </c>
      <c r="C2516" t="s">
        <v>212</v>
      </c>
      <c r="D2516" t="s">
        <v>212</v>
      </c>
      <c r="E2516" t="s">
        <v>212</v>
      </c>
      <c r="F2516" t="s">
        <v>212</v>
      </c>
      <c r="G2516" t="s">
        <v>212</v>
      </c>
      <c r="H2516" t="s">
        <v>212</v>
      </c>
      <c r="I2516" t="s">
        <v>212</v>
      </c>
      <c r="J2516" t="s">
        <v>212</v>
      </c>
      <c r="K2516" t="s">
        <v>212</v>
      </c>
      <c r="L2516" t="s">
        <v>212</v>
      </c>
    </row>
    <row r="2517" spans="2:12">
      <c r="B2517" t="s">
        <v>2973</v>
      </c>
      <c r="C2517" t="s">
        <v>212</v>
      </c>
      <c r="D2517" t="s">
        <v>212</v>
      </c>
      <c r="E2517" t="s">
        <v>212</v>
      </c>
      <c r="F2517" t="s">
        <v>212</v>
      </c>
      <c r="G2517" t="s">
        <v>212</v>
      </c>
      <c r="H2517" t="s">
        <v>212</v>
      </c>
      <c r="I2517" t="s">
        <v>212</v>
      </c>
      <c r="J2517" t="s">
        <v>212</v>
      </c>
      <c r="K2517" t="s">
        <v>212</v>
      </c>
      <c r="L2517" t="s">
        <v>212</v>
      </c>
    </row>
    <row r="2518" spans="2:12">
      <c r="B2518" t="s">
        <v>820</v>
      </c>
      <c r="C2518" t="s">
        <v>212</v>
      </c>
      <c r="D2518" t="s">
        <v>212</v>
      </c>
      <c r="E2518" t="s">
        <v>212</v>
      </c>
      <c r="F2518" t="s">
        <v>212</v>
      </c>
      <c r="G2518" t="s">
        <v>212</v>
      </c>
      <c r="H2518" t="s">
        <v>212</v>
      </c>
      <c r="I2518" t="s">
        <v>212</v>
      </c>
      <c r="J2518" t="s">
        <v>212</v>
      </c>
      <c r="K2518" t="s">
        <v>212</v>
      </c>
      <c r="L2518" t="s">
        <v>212</v>
      </c>
    </row>
    <row r="2519" spans="2:12">
      <c r="B2519" t="s">
        <v>2974</v>
      </c>
      <c r="C2519" t="s">
        <v>212</v>
      </c>
      <c r="D2519" t="s">
        <v>212</v>
      </c>
      <c r="E2519" t="s">
        <v>212</v>
      </c>
      <c r="F2519" t="s">
        <v>212</v>
      </c>
      <c r="G2519" t="s">
        <v>212</v>
      </c>
      <c r="H2519" t="s">
        <v>212</v>
      </c>
      <c r="I2519" t="s">
        <v>212</v>
      </c>
      <c r="J2519" t="s">
        <v>212</v>
      </c>
      <c r="K2519" t="s">
        <v>212</v>
      </c>
      <c r="L2519" t="s">
        <v>212</v>
      </c>
    </row>
    <row r="2520" spans="2:12">
      <c r="B2520" t="s">
        <v>2975</v>
      </c>
      <c r="C2520" t="s">
        <v>212</v>
      </c>
      <c r="D2520" t="s">
        <v>212</v>
      </c>
      <c r="E2520" t="s">
        <v>212</v>
      </c>
      <c r="F2520" t="s">
        <v>212</v>
      </c>
      <c r="G2520" t="s">
        <v>212</v>
      </c>
      <c r="H2520" t="s">
        <v>212</v>
      </c>
      <c r="I2520" t="s">
        <v>212</v>
      </c>
      <c r="J2520" t="s">
        <v>212</v>
      </c>
      <c r="K2520" t="s">
        <v>212</v>
      </c>
      <c r="L2520" t="s">
        <v>212</v>
      </c>
    </row>
    <row r="2521" spans="2:12">
      <c r="B2521" t="s">
        <v>2976</v>
      </c>
      <c r="C2521" t="s">
        <v>212</v>
      </c>
      <c r="D2521" t="s">
        <v>212</v>
      </c>
      <c r="E2521" t="s">
        <v>212</v>
      </c>
      <c r="F2521" t="s">
        <v>212</v>
      </c>
      <c r="G2521" t="s">
        <v>212</v>
      </c>
      <c r="H2521" t="s">
        <v>212</v>
      </c>
      <c r="I2521" t="s">
        <v>212</v>
      </c>
      <c r="J2521" t="s">
        <v>212</v>
      </c>
      <c r="K2521" t="s">
        <v>212</v>
      </c>
      <c r="L2521" t="s">
        <v>212</v>
      </c>
    </row>
    <row r="2522" spans="2:12">
      <c r="B2522" t="s">
        <v>2977</v>
      </c>
      <c r="C2522" t="s">
        <v>212</v>
      </c>
      <c r="D2522" t="s">
        <v>212</v>
      </c>
      <c r="E2522" t="s">
        <v>212</v>
      </c>
      <c r="F2522" t="s">
        <v>212</v>
      </c>
      <c r="G2522" t="s">
        <v>212</v>
      </c>
      <c r="H2522" t="s">
        <v>212</v>
      </c>
      <c r="I2522" t="s">
        <v>212</v>
      </c>
      <c r="J2522" t="s">
        <v>212</v>
      </c>
      <c r="K2522" t="s">
        <v>212</v>
      </c>
      <c r="L2522" t="s">
        <v>212</v>
      </c>
    </row>
    <row r="2523" spans="2:12">
      <c r="B2523" t="s">
        <v>2978</v>
      </c>
      <c r="C2523" t="s">
        <v>212</v>
      </c>
      <c r="D2523" t="s">
        <v>212</v>
      </c>
      <c r="E2523" t="s">
        <v>212</v>
      </c>
      <c r="F2523" t="s">
        <v>212</v>
      </c>
      <c r="G2523" t="s">
        <v>212</v>
      </c>
      <c r="H2523" t="s">
        <v>212</v>
      </c>
      <c r="I2523" t="s">
        <v>212</v>
      </c>
      <c r="J2523" t="s">
        <v>212</v>
      </c>
      <c r="K2523" t="s">
        <v>212</v>
      </c>
      <c r="L2523" t="s">
        <v>212</v>
      </c>
    </row>
    <row r="2524" spans="2:12">
      <c r="B2524" t="s">
        <v>2979</v>
      </c>
      <c r="C2524" t="s">
        <v>212</v>
      </c>
      <c r="D2524" t="s">
        <v>212</v>
      </c>
      <c r="E2524" t="s">
        <v>212</v>
      </c>
      <c r="F2524" t="s">
        <v>212</v>
      </c>
      <c r="G2524" t="s">
        <v>212</v>
      </c>
      <c r="H2524" t="s">
        <v>212</v>
      </c>
      <c r="I2524" t="s">
        <v>212</v>
      </c>
      <c r="J2524" t="s">
        <v>212</v>
      </c>
      <c r="K2524" t="s">
        <v>212</v>
      </c>
      <c r="L2524" t="s">
        <v>212</v>
      </c>
    </row>
    <row r="2525" spans="2:12">
      <c r="B2525" t="s">
        <v>2980</v>
      </c>
      <c r="C2525" t="s">
        <v>212</v>
      </c>
      <c r="D2525" t="s">
        <v>212</v>
      </c>
      <c r="E2525" t="s">
        <v>212</v>
      </c>
      <c r="F2525" t="s">
        <v>212</v>
      </c>
      <c r="G2525" t="s">
        <v>212</v>
      </c>
      <c r="H2525" t="s">
        <v>212</v>
      </c>
      <c r="I2525" t="s">
        <v>212</v>
      </c>
      <c r="J2525" t="s">
        <v>212</v>
      </c>
      <c r="K2525" t="s">
        <v>212</v>
      </c>
      <c r="L2525" t="s">
        <v>212</v>
      </c>
    </row>
    <row r="2527" spans="2:12">
      <c r="B2527" t="s">
        <v>2981</v>
      </c>
      <c r="C2527">
        <v>0.18</v>
      </c>
      <c r="H2527">
        <v>6.48</v>
      </c>
    </row>
    <row r="2528" spans="2:12">
      <c r="B2528" t="s">
        <v>2982</v>
      </c>
      <c r="C2528">
        <v>0.18</v>
      </c>
      <c r="D2528">
        <v>260.14</v>
      </c>
      <c r="F2528">
        <v>6.23</v>
      </c>
      <c r="G2528">
        <v>5.88</v>
      </c>
      <c r="H2528">
        <v>6.48</v>
      </c>
      <c r="I2528">
        <v>669.62</v>
      </c>
      <c r="K2528">
        <v>6.4</v>
      </c>
      <c r="L2528">
        <v>6.4</v>
      </c>
    </row>
    <row r="2529" spans="1:12">
      <c r="B2529" t="s">
        <v>2983</v>
      </c>
      <c r="C2529">
        <v>0.18</v>
      </c>
      <c r="D2529">
        <v>260.14</v>
      </c>
      <c r="F2529">
        <v>6.23</v>
      </c>
      <c r="G2529">
        <v>5.88</v>
      </c>
      <c r="H2529">
        <v>6.48</v>
      </c>
      <c r="I2529">
        <v>669.62</v>
      </c>
      <c r="K2529">
        <v>6.4</v>
      </c>
      <c r="L2529">
        <v>6.4</v>
      </c>
    </row>
    <row r="2532" spans="1:12">
      <c r="A2532" t="s">
        <v>1914</v>
      </c>
    </row>
    <row r="2533" spans="1:12">
      <c r="A2533" t="s">
        <v>1915</v>
      </c>
      <c r="B2533" t="s">
        <v>2984</v>
      </c>
    </row>
    <row r="2534" spans="1:12">
      <c r="A2534" t="s">
        <v>1917</v>
      </c>
      <c r="B2534" t="s">
        <v>2108</v>
      </c>
    </row>
    <row r="2535" spans="1:12">
      <c r="C2535" t="s">
        <v>2985</v>
      </c>
      <c r="D2535" t="s">
        <v>2986</v>
      </c>
      <c r="E2535" t="s">
        <v>2987</v>
      </c>
      <c r="F2535" t="s">
        <v>2988</v>
      </c>
      <c r="G2535" t="s">
        <v>2989</v>
      </c>
      <c r="H2535" t="s">
        <v>2990</v>
      </c>
      <c r="I2535" t="s">
        <v>2991</v>
      </c>
      <c r="J2535" t="s">
        <v>2992</v>
      </c>
      <c r="K2535" t="s">
        <v>2988</v>
      </c>
      <c r="L2535" t="s">
        <v>2989</v>
      </c>
    </row>
    <row r="2536" spans="1:12">
      <c r="B2536" t="s">
        <v>2970</v>
      </c>
      <c r="C2536">
        <v>3.05</v>
      </c>
      <c r="D2536">
        <v>2145.0300000000002</v>
      </c>
      <c r="E2536" t="s">
        <v>3015</v>
      </c>
      <c r="F2536">
        <v>8.23</v>
      </c>
      <c r="G2536">
        <v>8.17</v>
      </c>
      <c r="H2536">
        <v>10.210000000000001</v>
      </c>
      <c r="I2536">
        <v>1054.42</v>
      </c>
      <c r="J2536" t="s">
        <v>2962</v>
      </c>
      <c r="K2536">
        <v>6.4</v>
      </c>
      <c r="L2536">
        <v>6.4</v>
      </c>
    </row>
    <row r="2537" spans="1:12">
      <c r="B2537" t="s">
        <v>2971</v>
      </c>
      <c r="C2537" t="s">
        <v>212</v>
      </c>
      <c r="D2537" t="s">
        <v>212</v>
      </c>
      <c r="E2537" t="s">
        <v>212</v>
      </c>
      <c r="F2537" t="s">
        <v>212</v>
      </c>
      <c r="G2537" t="s">
        <v>212</v>
      </c>
      <c r="H2537" t="s">
        <v>212</v>
      </c>
      <c r="I2537" t="s">
        <v>212</v>
      </c>
      <c r="J2537" t="s">
        <v>212</v>
      </c>
      <c r="K2537" t="s">
        <v>212</v>
      </c>
      <c r="L2537" t="s">
        <v>212</v>
      </c>
    </row>
    <row r="2538" spans="1:12">
      <c r="B2538" t="s">
        <v>2972</v>
      </c>
      <c r="C2538" t="s">
        <v>212</v>
      </c>
      <c r="D2538" t="s">
        <v>212</v>
      </c>
      <c r="E2538" t="s">
        <v>212</v>
      </c>
      <c r="F2538" t="s">
        <v>212</v>
      </c>
      <c r="G2538" t="s">
        <v>212</v>
      </c>
      <c r="H2538" t="s">
        <v>212</v>
      </c>
      <c r="I2538" t="s">
        <v>212</v>
      </c>
      <c r="J2538" t="s">
        <v>212</v>
      </c>
      <c r="K2538" t="s">
        <v>212</v>
      </c>
      <c r="L2538" t="s">
        <v>212</v>
      </c>
    </row>
    <row r="2539" spans="1:12">
      <c r="B2539" t="s">
        <v>2973</v>
      </c>
      <c r="C2539" t="s">
        <v>212</v>
      </c>
      <c r="D2539" t="s">
        <v>212</v>
      </c>
      <c r="E2539" t="s">
        <v>212</v>
      </c>
      <c r="F2539" t="s">
        <v>212</v>
      </c>
      <c r="G2539" t="s">
        <v>212</v>
      </c>
      <c r="H2539" t="s">
        <v>212</v>
      </c>
      <c r="I2539" t="s">
        <v>212</v>
      </c>
      <c r="J2539" t="s">
        <v>212</v>
      </c>
      <c r="K2539" t="s">
        <v>212</v>
      </c>
      <c r="L2539" t="s">
        <v>212</v>
      </c>
    </row>
    <row r="2540" spans="1:12">
      <c r="B2540" t="s">
        <v>820</v>
      </c>
      <c r="C2540" t="s">
        <v>212</v>
      </c>
      <c r="D2540" t="s">
        <v>212</v>
      </c>
      <c r="E2540" t="s">
        <v>212</v>
      </c>
      <c r="F2540" t="s">
        <v>212</v>
      </c>
      <c r="G2540" t="s">
        <v>212</v>
      </c>
      <c r="H2540" t="s">
        <v>212</v>
      </c>
      <c r="I2540" t="s">
        <v>212</v>
      </c>
      <c r="J2540" t="s">
        <v>212</v>
      </c>
      <c r="K2540" t="s">
        <v>212</v>
      </c>
      <c r="L2540" t="s">
        <v>212</v>
      </c>
    </row>
    <row r="2541" spans="1:12">
      <c r="B2541" t="s">
        <v>2974</v>
      </c>
      <c r="C2541" t="s">
        <v>212</v>
      </c>
      <c r="D2541" t="s">
        <v>212</v>
      </c>
      <c r="E2541" t="s">
        <v>212</v>
      </c>
      <c r="F2541" t="s">
        <v>212</v>
      </c>
      <c r="G2541" t="s">
        <v>212</v>
      </c>
      <c r="H2541" t="s">
        <v>212</v>
      </c>
      <c r="I2541" t="s">
        <v>212</v>
      </c>
      <c r="J2541" t="s">
        <v>212</v>
      </c>
      <c r="K2541" t="s">
        <v>212</v>
      </c>
      <c r="L2541" t="s">
        <v>212</v>
      </c>
    </row>
    <row r="2542" spans="1:12">
      <c r="B2542" t="s">
        <v>2975</v>
      </c>
      <c r="C2542" t="s">
        <v>212</v>
      </c>
      <c r="D2542" t="s">
        <v>212</v>
      </c>
      <c r="E2542" t="s">
        <v>212</v>
      </c>
      <c r="F2542" t="s">
        <v>212</v>
      </c>
      <c r="G2542" t="s">
        <v>212</v>
      </c>
      <c r="H2542" t="s">
        <v>212</v>
      </c>
      <c r="I2542" t="s">
        <v>212</v>
      </c>
      <c r="J2542" t="s">
        <v>212</v>
      </c>
      <c r="K2542" t="s">
        <v>212</v>
      </c>
      <c r="L2542" t="s">
        <v>212</v>
      </c>
    </row>
    <row r="2543" spans="1:12">
      <c r="B2543" t="s">
        <v>2976</v>
      </c>
      <c r="C2543" t="s">
        <v>212</v>
      </c>
      <c r="D2543" t="s">
        <v>212</v>
      </c>
      <c r="E2543" t="s">
        <v>212</v>
      </c>
      <c r="F2543" t="s">
        <v>212</v>
      </c>
      <c r="G2543" t="s">
        <v>212</v>
      </c>
      <c r="H2543" t="s">
        <v>212</v>
      </c>
      <c r="I2543" t="s">
        <v>212</v>
      </c>
      <c r="J2543" t="s">
        <v>212</v>
      </c>
      <c r="K2543" t="s">
        <v>212</v>
      </c>
      <c r="L2543" t="s">
        <v>212</v>
      </c>
    </row>
    <row r="2544" spans="1:12">
      <c r="B2544" t="s">
        <v>2977</v>
      </c>
      <c r="C2544" t="s">
        <v>212</v>
      </c>
      <c r="D2544" t="s">
        <v>212</v>
      </c>
      <c r="E2544" t="s">
        <v>212</v>
      </c>
      <c r="F2544" t="s">
        <v>212</v>
      </c>
      <c r="G2544" t="s">
        <v>212</v>
      </c>
      <c r="H2544" t="s">
        <v>212</v>
      </c>
      <c r="I2544" t="s">
        <v>212</v>
      </c>
      <c r="J2544" t="s">
        <v>212</v>
      </c>
      <c r="K2544" t="s">
        <v>212</v>
      </c>
      <c r="L2544" t="s">
        <v>212</v>
      </c>
    </row>
    <row r="2545" spans="1:12">
      <c r="B2545" t="s">
        <v>2978</v>
      </c>
      <c r="C2545" t="s">
        <v>212</v>
      </c>
      <c r="D2545" t="s">
        <v>212</v>
      </c>
      <c r="E2545" t="s">
        <v>212</v>
      </c>
      <c r="F2545" t="s">
        <v>212</v>
      </c>
      <c r="G2545" t="s">
        <v>212</v>
      </c>
      <c r="H2545" t="s">
        <v>212</v>
      </c>
      <c r="I2545" t="s">
        <v>212</v>
      </c>
      <c r="J2545" t="s">
        <v>212</v>
      </c>
      <c r="K2545" t="s">
        <v>212</v>
      </c>
      <c r="L2545" t="s">
        <v>212</v>
      </c>
    </row>
    <row r="2546" spans="1:12">
      <c r="B2546" t="s">
        <v>2979</v>
      </c>
      <c r="C2546" t="s">
        <v>212</v>
      </c>
      <c r="D2546" t="s">
        <v>212</v>
      </c>
      <c r="E2546" t="s">
        <v>212</v>
      </c>
      <c r="F2546" t="s">
        <v>212</v>
      </c>
      <c r="G2546" t="s">
        <v>212</v>
      </c>
      <c r="H2546" t="s">
        <v>212</v>
      </c>
      <c r="I2546" t="s">
        <v>212</v>
      </c>
      <c r="J2546" t="s">
        <v>212</v>
      </c>
      <c r="K2546" t="s">
        <v>212</v>
      </c>
      <c r="L2546" t="s">
        <v>212</v>
      </c>
    </row>
    <row r="2547" spans="1:12">
      <c r="B2547" t="s">
        <v>2980</v>
      </c>
      <c r="C2547" t="s">
        <v>212</v>
      </c>
      <c r="D2547" t="s">
        <v>212</v>
      </c>
      <c r="E2547" t="s">
        <v>212</v>
      </c>
      <c r="F2547" t="s">
        <v>212</v>
      </c>
      <c r="G2547" t="s">
        <v>212</v>
      </c>
      <c r="H2547" t="s">
        <v>212</v>
      </c>
      <c r="I2547" t="s">
        <v>212</v>
      </c>
      <c r="J2547" t="s">
        <v>212</v>
      </c>
      <c r="K2547" t="s">
        <v>212</v>
      </c>
      <c r="L2547" t="s">
        <v>212</v>
      </c>
    </row>
    <row r="2549" spans="1:12">
      <c r="B2549" t="s">
        <v>2981</v>
      </c>
      <c r="C2549">
        <v>3.05</v>
      </c>
      <c r="H2549">
        <v>10.210000000000001</v>
      </c>
    </row>
    <row r="2550" spans="1:12">
      <c r="B2550" t="s">
        <v>2982</v>
      </c>
      <c r="C2550">
        <v>3.05</v>
      </c>
      <c r="D2550">
        <v>2145.0300000000002</v>
      </c>
      <c r="F2550">
        <v>8.23</v>
      </c>
      <c r="G2550">
        <v>8.17</v>
      </c>
      <c r="H2550">
        <v>10.210000000000001</v>
      </c>
      <c r="I2550">
        <v>1054.42</v>
      </c>
      <c r="K2550">
        <v>6.4</v>
      </c>
      <c r="L2550">
        <v>6.4</v>
      </c>
    </row>
    <row r="2551" spans="1:12">
      <c r="B2551" t="s">
        <v>2983</v>
      </c>
      <c r="C2551">
        <v>3.05</v>
      </c>
      <c r="D2551">
        <v>2145.0300000000002</v>
      </c>
      <c r="F2551">
        <v>8.23</v>
      </c>
      <c r="G2551">
        <v>8.17</v>
      </c>
      <c r="H2551">
        <v>10.210000000000001</v>
      </c>
      <c r="I2551">
        <v>1054.42</v>
      </c>
      <c r="K2551">
        <v>6.4</v>
      </c>
      <c r="L2551">
        <v>6.4</v>
      </c>
    </row>
    <row r="2554" spans="1:12">
      <c r="A2554" t="s">
        <v>1914</v>
      </c>
    </row>
    <row r="2555" spans="1:12">
      <c r="A2555" t="s">
        <v>1915</v>
      </c>
      <c r="B2555" t="s">
        <v>2984</v>
      </c>
    </row>
    <row r="2556" spans="1:12">
      <c r="A2556" t="s">
        <v>1917</v>
      </c>
      <c r="B2556" t="s">
        <v>2109</v>
      </c>
    </row>
    <row r="2557" spans="1:12">
      <c r="C2557" t="s">
        <v>2985</v>
      </c>
      <c r="D2557" t="s">
        <v>2986</v>
      </c>
      <c r="E2557" t="s">
        <v>2987</v>
      </c>
      <c r="F2557" t="s">
        <v>2988</v>
      </c>
      <c r="G2557" t="s">
        <v>2989</v>
      </c>
      <c r="H2557" t="s">
        <v>2990</v>
      </c>
      <c r="I2557" t="s">
        <v>2991</v>
      </c>
      <c r="J2557" t="s">
        <v>2992</v>
      </c>
      <c r="K2557" t="s">
        <v>2988</v>
      </c>
      <c r="L2557" t="s">
        <v>2989</v>
      </c>
    </row>
    <row r="2558" spans="1:12">
      <c r="B2558" t="s">
        <v>2970</v>
      </c>
      <c r="C2558">
        <v>1.66</v>
      </c>
      <c r="D2558">
        <v>1141.3599999999999</v>
      </c>
      <c r="E2558" t="s">
        <v>3013</v>
      </c>
      <c r="F2558">
        <v>8.4499999999999993</v>
      </c>
      <c r="G2558">
        <v>8.25</v>
      </c>
      <c r="H2558">
        <v>6.48</v>
      </c>
      <c r="I2558">
        <v>669.62</v>
      </c>
      <c r="J2558" t="s">
        <v>2962</v>
      </c>
      <c r="K2558">
        <v>6.4</v>
      </c>
      <c r="L2558">
        <v>6.4</v>
      </c>
    </row>
    <row r="2559" spans="1:12">
      <c r="B2559" t="s">
        <v>2971</v>
      </c>
      <c r="C2559" t="s">
        <v>212</v>
      </c>
      <c r="D2559" t="s">
        <v>212</v>
      </c>
      <c r="E2559" t="s">
        <v>212</v>
      </c>
      <c r="F2559" t="s">
        <v>212</v>
      </c>
      <c r="G2559" t="s">
        <v>212</v>
      </c>
      <c r="H2559" t="s">
        <v>212</v>
      </c>
      <c r="I2559" t="s">
        <v>212</v>
      </c>
      <c r="J2559" t="s">
        <v>212</v>
      </c>
      <c r="K2559" t="s">
        <v>212</v>
      </c>
      <c r="L2559" t="s">
        <v>212</v>
      </c>
    </row>
    <row r="2560" spans="1:12">
      <c r="B2560" t="s">
        <v>2972</v>
      </c>
      <c r="C2560" t="s">
        <v>212</v>
      </c>
      <c r="D2560" t="s">
        <v>212</v>
      </c>
      <c r="E2560" t="s">
        <v>212</v>
      </c>
      <c r="F2560" t="s">
        <v>212</v>
      </c>
      <c r="G2560" t="s">
        <v>212</v>
      </c>
      <c r="H2560" t="s">
        <v>212</v>
      </c>
      <c r="I2560" t="s">
        <v>212</v>
      </c>
      <c r="J2560" t="s">
        <v>212</v>
      </c>
      <c r="K2560" t="s">
        <v>212</v>
      </c>
      <c r="L2560" t="s">
        <v>212</v>
      </c>
    </row>
    <row r="2561" spans="1:12">
      <c r="B2561" t="s">
        <v>2973</v>
      </c>
      <c r="C2561" t="s">
        <v>212</v>
      </c>
      <c r="D2561" t="s">
        <v>212</v>
      </c>
      <c r="E2561" t="s">
        <v>212</v>
      </c>
      <c r="F2561" t="s">
        <v>212</v>
      </c>
      <c r="G2561" t="s">
        <v>212</v>
      </c>
      <c r="H2561" t="s">
        <v>212</v>
      </c>
      <c r="I2561" t="s">
        <v>212</v>
      </c>
      <c r="J2561" t="s">
        <v>212</v>
      </c>
      <c r="K2561" t="s">
        <v>212</v>
      </c>
      <c r="L2561" t="s">
        <v>212</v>
      </c>
    </row>
    <row r="2562" spans="1:12">
      <c r="B2562" t="s">
        <v>820</v>
      </c>
      <c r="C2562" t="s">
        <v>212</v>
      </c>
      <c r="D2562" t="s">
        <v>212</v>
      </c>
      <c r="E2562" t="s">
        <v>212</v>
      </c>
      <c r="F2562" t="s">
        <v>212</v>
      </c>
      <c r="G2562" t="s">
        <v>212</v>
      </c>
      <c r="H2562" t="s">
        <v>212</v>
      </c>
      <c r="I2562" t="s">
        <v>212</v>
      </c>
      <c r="J2562" t="s">
        <v>212</v>
      </c>
      <c r="K2562" t="s">
        <v>212</v>
      </c>
      <c r="L2562" t="s">
        <v>212</v>
      </c>
    </row>
    <row r="2563" spans="1:12">
      <c r="B2563" t="s">
        <v>2974</v>
      </c>
      <c r="C2563" t="s">
        <v>212</v>
      </c>
      <c r="D2563" t="s">
        <v>212</v>
      </c>
      <c r="E2563" t="s">
        <v>212</v>
      </c>
      <c r="F2563" t="s">
        <v>212</v>
      </c>
      <c r="G2563" t="s">
        <v>212</v>
      </c>
      <c r="H2563" t="s">
        <v>212</v>
      </c>
      <c r="I2563" t="s">
        <v>212</v>
      </c>
      <c r="J2563" t="s">
        <v>212</v>
      </c>
      <c r="K2563" t="s">
        <v>212</v>
      </c>
      <c r="L2563" t="s">
        <v>212</v>
      </c>
    </row>
    <row r="2564" spans="1:12">
      <c r="B2564" t="s">
        <v>2975</v>
      </c>
      <c r="C2564" t="s">
        <v>212</v>
      </c>
      <c r="D2564" t="s">
        <v>212</v>
      </c>
      <c r="E2564" t="s">
        <v>212</v>
      </c>
      <c r="F2564" t="s">
        <v>212</v>
      </c>
      <c r="G2564" t="s">
        <v>212</v>
      </c>
      <c r="H2564" t="s">
        <v>212</v>
      </c>
      <c r="I2564" t="s">
        <v>212</v>
      </c>
      <c r="J2564" t="s">
        <v>212</v>
      </c>
      <c r="K2564" t="s">
        <v>212</v>
      </c>
      <c r="L2564" t="s">
        <v>212</v>
      </c>
    </row>
    <row r="2565" spans="1:12">
      <c r="B2565" t="s">
        <v>2976</v>
      </c>
      <c r="C2565" t="s">
        <v>212</v>
      </c>
      <c r="D2565" t="s">
        <v>212</v>
      </c>
      <c r="E2565" t="s">
        <v>212</v>
      </c>
      <c r="F2565" t="s">
        <v>212</v>
      </c>
      <c r="G2565" t="s">
        <v>212</v>
      </c>
      <c r="H2565" t="s">
        <v>212</v>
      </c>
      <c r="I2565" t="s">
        <v>212</v>
      </c>
      <c r="J2565" t="s">
        <v>212</v>
      </c>
      <c r="K2565" t="s">
        <v>212</v>
      </c>
      <c r="L2565" t="s">
        <v>212</v>
      </c>
    </row>
    <row r="2566" spans="1:12">
      <c r="B2566" t="s">
        <v>2977</v>
      </c>
      <c r="C2566" t="s">
        <v>212</v>
      </c>
      <c r="D2566" t="s">
        <v>212</v>
      </c>
      <c r="E2566" t="s">
        <v>212</v>
      </c>
      <c r="F2566" t="s">
        <v>212</v>
      </c>
      <c r="G2566" t="s">
        <v>212</v>
      </c>
      <c r="H2566" t="s">
        <v>212</v>
      </c>
      <c r="I2566" t="s">
        <v>212</v>
      </c>
      <c r="J2566" t="s">
        <v>212</v>
      </c>
      <c r="K2566" t="s">
        <v>212</v>
      </c>
      <c r="L2566" t="s">
        <v>212</v>
      </c>
    </row>
    <row r="2567" spans="1:12">
      <c r="B2567" t="s">
        <v>2978</v>
      </c>
      <c r="C2567" t="s">
        <v>212</v>
      </c>
      <c r="D2567" t="s">
        <v>212</v>
      </c>
      <c r="E2567" t="s">
        <v>212</v>
      </c>
      <c r="F2567" t="s">
        <v>212</v>
      </c>
      <c r="G2567" t="s">
        <v>212</v>
      </c>
      <c r="H2567" t="s">
        <v>212</v>
      </c>
      <c r="I2567" t="s">
        <v>212</v>
      </c>
      <c r="J2567" t="s">
        <v>212</v>
      </c>
      <c r="K2567" t="s">
        <v>212</v>
      </c>
      <c r="L2567" t="s">
        <v>212</v>
      </c>
    </row>
    <row r="2568" spans="1:12">
      <c r="B2568" t="s">
        <v>2979</v>
      </c>
      <c r="C2568" t="s">
        <v>212</v>
      </c>
      <c r="D2568" t="s">
        <v>212</v>
      </c>
      <c r="E2568" t="s">
        <v>212</v>
      </c>
      <c r="F2568" t="s">
        <v>212</v>
      </c>
      <c r="G2568" t="s">
        <v>212</v>
      </c>
      <c r="H2568" t="s">
        <v>212</v>
      </c>
      <c r="I2568" t="s">
        <v>212</v>
      </c>
      <c r="J2568" t="s">
        <v>212</v>
      </c>
      <c r="K2568" t="s">
        <v>212</v>
      </c>
      <c r="L2568" t="s">
        <v>212</v>
      </c>
    </row>
    <row r="2569" spans="1:12">
      <c r="B2569" t="s">
        <v>2980</v>
      </c>
      <c r="C2569" t="s">
        <v>212</v>
      </c>
      <c r="D2569" t="s">
        <v>212</v>
      </c>
      <c r="E2569" t="s">
        <v>212</v>
      </c>
      <c r="F2569" t="s">
        <v>212</v>
      </c>
      <c r="G2569" t="s">
        <v>212</v>
      </c>
      <c r="H2569" t="s">
        <v>212</v>
      </c>
      <c r="I2569" t="s">
        <v>212</v>
      </c>
      <c r="J2569" t="s">
        <v>212</v>
      </c>
      <c r="K2569" t="s">
        <v>212</v>
      </c>
      <c r="L2569" t="s">
        <v>212</v>
      </c>
    </row>
    <row r="2571" spans="1:12">
      <c r="B2571" t="s">
        <v>2981</v>
      </c>
      <c r="C2571">
        <v>1.66</v>
      </c>
      <c r="H2571">
        <v>6.48</v>
      </c>
    </row>
    <row r="2572" spans="1:12">
      <c r="B2572" t="s">
        <v>2982</v>
      </c>
      <c r="C2572">
        <v>1.66</v>
      </c>
      <c r="D2572">
        <v>1141.3599999999999</v>
      </c>
      <c r="F2572">
        <v>8.4499999999999993</v>
      </c>
      <c r="G2572">
        <v>8.25</v>
      </c>
      <c r="H2572">
        <v>6.48</v>
      </c>
      <c r="I2572">
        <v>669.62</v>
      </c>
      <c r="K2572">
        <v>6.4</v>
      </c>
      <c r="L2572">
        <v>6.4</v>
      </c>
    </row>
    <row r="2573" spans="1:12">
      <c r="B2573" t="s">
        <v>2983</v>
      </c>
      <c r="C2573">
        <v>1.66</v>
      </c>
      <c r="D2573">
        <v>1141.3599999999999</v>
      </c>
      <c r="F2573">
        <v>8.4499999999999993</v>
      </c>
      <c r="G2573">
        <v>8.25</v>
      </c>
      <c r="H2573">
        <v>6.48</v>
      </c>
      <c r="I2573">
        <v>669.62</v>
      </c>
      <c r="K2573">
        <v>6.4</v>
      </c>
      <c r="L2573">
        <v>6.4</v>
      </c>
    </row>
    <row r="2576" spans="1:12">
      <c r="A2576" t="s">
        <v>1914</v>
      </c>
    </row>
    <row r="2577" spans="1:12">
      <c r="A2577" t="s">
        <v>1915</v>
      </c>
      <c r="B2577" t="s">
        <v>2984</v>
      </c>
    </row>
    <row r="2578" spans="1:12">
      <c r="A2578" t="s">
        <v>1917</v>
      </c>
      <c r="B2578" t="s">
        <v>2110</v>
      </c>
    </row>
    <row r="2579" spans="1:12">
      <c r="C2579" t="s">
        <v>2985</v>
      </c>
      <c r="D2579" t="s">
        <v>2986</v>
      </c>
      <c r="E2579" t="s">
        <v>2987</v>
      </c>
      <c r="F2579" t="s">
        <v>2988</v>
      </c>
      <c r="G2579" t="s">
        <v>2989</v>
      </c>
      <c r="H2579" t="s">
        <v>2990</v>
      </c>
      <c r="I2579" t="s">
        <v>2991</v>
      </c>
      <c r="J2579" t="s">
        <v>2992</v>
      </c>
      <c r="K2579" t="s">
        <v>2988</v>
      </c>
      <c r="L2579" t="s">
        <v>2989</v>
      </c>
    </row>
    <row r="2580" spans="1:12">
      <c r="B2580" t="s">
        <v>2970</v>
      </c>
      <c r="C2580">
        <v>117.48</v>
      </c>
      <c r="D2580">
        <v>24387.7</v>
      </c>
      <c r="E2580" t="s">
        <v>3003</v>
      </c>
      <c r="F2580">
        <v>5.85</v>
      </c>
      <c r="G2580">
        <v>5.85</v>
      </c>
      <c r="H2580">
        <v>52.66</v>
      </c>
      <c r="I2580">
        <v>5437.87</v>
      </c>
      <c r="J2580" t="s">
        <v>2962</v>
      </c>
      <c r="K2580">
        <v>6.4</v>
      </c>
      <c r="L2580">
        <v>6.4</v>
      </c>
    </row>
    <row r="2581" spans="1:12">
      <c r="B2581" t="s">
        <v>2971</v>
      </c>
      <c r="C2581" t="s">
        <v>212</v>
      </c>
      <c r="D2581" t="s">
        <v>212</v>
      </c>
      <c r="E2581" t="s">
        <v>212</v>
      </c>
      <c r="F2581" t="s">
        <v>212</v>
      </c>
      <c r="G2581" t="s">
        <v>212</v>
      </c>
      <c r="H2581" t="s">
        <v>212</v>
      </c>
      <c r="I2581" t="s">
        <v>212</v>
      </c>
      <c r="J2581" t="s">
        <v>212</v>
      </c>
      <c r="K2581" t="s">
        <v>212</v>
      </c>
      <c r="L2581" t="s">
        <v>212</v>
      </c>
    </row>
    <row r="2582" spans="1:12">
      <c r="B2582" t="s">
        <v>2972</v>
      </c>
      <c r="C2582" t="s">
        <v>212</v>
      </c>
      <c r="D2582" t="s">
        <v>212</v>
      </c>
      <c r="E2582" t="s">
        <v>212</v>
      </c>
      <c r="F2582" t="s">
        <v>212</v>
      </c>
      <c r="G2582" t="s">
        <v>212</v>
      </c>
      <c r="H2582" t="s">
        <v>212</v>
      </c>
      <c r="I2582" t="s">
        <v>212</v>
      </c>
      <c r="J2582" t="s">
        <v>212</v>
      </c>
      <c r="K2582" t="s">
        <v>212</v>
      </c>
      <c r="L2582" t="s">
        <v>212</v>
      </c>
    </row>
    <row r="2583" spans="1:12">
      <c r="B2583" t="s">
        <v>2973</v>
      </c>
      <c r="C2583" t="s">
        <v>212</v>
      </c>
      <c r="D2583" t="s">
        <v>212</v>
      </c>
      <c r="E2583" t="s">
        <v>212</v>
      </c>
      <c r="F2583" t="s">
        <v>212</v>
      </c>
      <c r="G2583" t="s">
        <v>212</v>
      </c>
      <c r="H2583" t="s">
        <v>212</v>
      </c>
      <c r="I2583" t="s">
        <v>212</v>
      </c>
      <c r="J2583" t="s">
        <v>212</v>
      </c>
      <c r="K2583" t="s">
        <v>212</v>
      </c>
      <c r="L2583" t="s">
        <v>212</v>
      </c>
    </row>
    <row r="2584" spans="1:12">
      <c r="B2584" t="s">
        <v>820</v>
      </c>
      <c r="C2584" t="s">
        <v>212</v>
      </c>
      <c r="D2584" t="s">
        <v>212</v>
      </c>
      <c r="E2584" t="s">
        <v>212</v>
      </c>
      <c r="F2584" t="s">
        <v>212</v>
      </c>
      <c r="G2584" t="s">
        <v>212</v>
      </c>
      <c r="H2584" t="s">
        <v>212</v>
      </c>
      <c r="I2584" t="s">
        <v>212</v>
      </c>
      <c r="J2584" t="s">
        <v>212</v>
      </c>
      <c r="K2584" t="s">
        <v>212</v>
      </c>
      <c r="L2584" t="s">
        <v>212</v>
      </c>
    </row>
    <row r="2585" spans="1:12">
      <c r="B2585" t="s">
        <v>2974</v>
      </c>
      <c r="C2585" t="s">
        <v>212</v>
      </c>
      <c r="D2585" t="s">
        <v>212</v>
      </c>
      <c r="E2585" t="s">
        <v>212</v>
      </c>
      <c r="F2585" t="s">
        <v>212</v>
      </c>
      <c r="G2585" t="s">
        <v>212</v>
      </c>
      <c r="H2585" t="s">
        <v>212</v>
      </c>
      <c r="I2585" t="s">
        <v>212</v>
      </c>
      <c r="J2585" t="s">
        <v>212</v>
      </c>
      <c r="K2585" t="s">
        <v>212</v>
      </c>
      <c r="L2585" t="s">
        <v>212</v>
      </c>
    </row>
    <row r="2586" spans="1:12">
      <c r="B2586" t="s">
        <v>2975</v>
      </c>
      <c r="C2586" t="s">
        <v>212</v>
      </c>
      <c r="D2586" t="s">
        <v>212</v>
      </c>
      <c r="E2586" t="s">
        <v>212</v>
      </c>
      <c r="F2586" t="s">
        <v>212</v>
      </c>
      <c r="G2586" t="s">
        <v>212</v>
      </c>
      <c r="H2586" t="s">
        <v>212</v>
      </c>
      <c r="I2586" t="s">
        <v>212</v>
      </c>
      <c r="J2586" t="s">
        <v>212</v>
      </c>
      <c r="K2586" t="s">
        <v>212</v>
      </c>
      <c r="L2586" t="s">
        <v>212</v>
      </c>
    </row>
    <row r="2587" spans="1:12">
      <c r="B2587" t="s">
        <v>2976</v>
      </c>
      <c r="C2587" t="s">
        <v>212</v>
      </c>
      <c r="D2587" t="s">
        <v>212</v>
      </c>
      <c r="E2587" t="s">
        <v>212</v>
      </c>
      <c r="F2587" t="s">
        <v>212</v>
      </c>
      <c r="G2587" t="s">
        <v>212</v>
      </c>
      <c r="H2587" t="s">
        <v>212</v>
      </c>
      <c r="I2587" t="s">
        <v>212</v>
      </c>
      <c r="J2587" t="s">
        <v>212</v>
      </c>
      <c r="K2587" t="s">
        <v>212</v>
      </c>
      <c r="L2587" t="s">
        <v>212</v>
      </c>
    </row>
    <row r="2588" spans="1:12">
      <c r="B2588" t="s">
        <v>2977</v>
      </c>
      <c r="C2588" t="s">
        <v>212</v>
      </c>
      <c r="D2588" t="s">
        <v>212</v>
      </c>
      <c r="E2588" t="s">
        <v>212</v>
      </c>
      <c r="F2588" t="s">
        <v>212</v>
      </c>
      <c r="G2588" t="s">
        <v>212</v>
      </c>
      <c r="H2588" t="s">
        <v>212</v>
      </c>
      <c r="I2588" t="s">
        <v>212</v>
      </c>
      <c r="J2588" t="s">
        <v>212</v>
      </c>
      <c r="K2588" t="s">
        <v>212</v>
      </c>
      <c r="L2588" t="s">
        <v>212</v>
      </c>
    </row>
    <row r="2589" spans="1:12">
      <c r="B2589" t="s">
        <v>2978</v>
      </c>
      <c r="C2589" t="s">
        <v>212</v>
      </c>
      <c r="D2589" t="s">
        <v>212</v>
      </c>
      <c r="E2589" t="s">
        <v>212</v>
      </c>
      <c r="F2589" t="s">
        <v>212</v>
      </c>
      <c r="G2589" t="s">
        <v>212</v>
      </c>
      <c r="H2589" t="s">
        <v>212</v>
      </c>
      <c r="I2589" t="s">
        <v>212</v>
      </c>
      <c r="J2589" t="s">
        <v>212</v>
      </c>
      <c r="K2589" t="s">
        <v>212</v>
      </c>
      <c r="L2589" t="s">
        <v>212</v>
      </c>
    </row>
    <row r="2590" spans="1:12">
      <c r="B2590" t="s">
        <v>2979</v>
      </c>
      <c r="C2590" t="s">
        <v>212</v>
      </c>
      <c r="D2590" t="s">
        <v>212</v>
      </c>
      <c r="E2590" t="s">
        <v>212</v>
      </c>
      <c r="F2590" t="s">
        <v>212</v>
      </c>
      <c r="G2590" t="s">
        <v>212</v>
      </c>
      <c r="H2590" t="s">
        <v>212</v>
      </c>
      <c r="I2590" t="s">
        <v>212</v>
      </c>
      <c r="J2590" t="s">
        <v>212</v>
      </c>
      <c r="K2590" t="s">
        <v>212</v>
      </c>
      <c r="L2590" t="s">
        <v>212</v>
      </c>
    </row>
    <row r="2591" spans="1:12">
      <c r="B2591" t="s">
        <v>2980</v>
      </c>
      <c r="C2591" t="s">
        <v>212</v>
      </c>
      <c r="D2591" t="s">
        <v>212</v>
      </c>
      <c r="E2591" t="s">
        <v>212</v>
      </c>
      <c r="F2591" t="s">
        <v>212</v>
      </c>
      <c r="G2591" t="s">
        <v>212</v>
      </c>
      <c r="H2591" t="s">
        <v>212</v>
      </c>
      <c r="I2591" t="s">
        <v>212</v>
      </c>
      <c r="J2591" t="s">
        <v>212</v>
      </c>
      <c r="K2591" t="s">
        <v>212</v>
      </c>
      <c r="L2591" t="s">
        <v>212</v>
      </c>
    </row>
    <row r="2593" spans="1:12">
      <c r="B2593" t="s">
        <v>2981</v>
      </c>
      <c r="C2593">
        <v>117.48</v>
      </c>
      <c r="H2593">
        <v>52.66</v>
      </c>
    </row>
    <row r="2594" spans="1:12">
      <c r="B2594" t="s">
        <v>2982</v>
      </c>
      <c r="C2594">
        <v>117.48</v>
      </c>
      <c r="D2594">
        <v>24387.7</v>
      </c>
      <c r="F2594">
        <v>5.85</v>
      </c>
      <c r="G2594">
        <v>5.85</v>
      </c>
      <c r="H2594">
        <v>52.66</v>
      </c>
      <c r="I2594">
        <v>5437.87</v>
      </c>
      <c r="K2594">
        <v>6.4</v>
      </c>
      <c r="L2594">
        <v>6.4</v>
      </c>
    </row>
    <row r="2595" spans="1:12">
      <c r="B2595" t="s">
        <v>2983</v>
      </c>
      <c r="C2595">
        <v>117.48</v>
      </c>
      <c r="D2595">
        <v>24387.7</v>
      </c>
      <c r="F2595">
        <v>5.85</v>
      </c>
      <c r="G2595">
        <v>5.85</v>
      </c>
      <c r="H2595">
        <v>52.66</v>
      </c>
      <c r="I2595">
        <v>5437.87</v>
      </c>
      <c r="K2595">
        <v>6.4</v>
      </c>
      <c r="L2595">
        <v>6.4</v>
      </c>
    </row>
    <row r="2598" spans="1:12">
      <c r="A2598" t="s">
        <v>1914</v>
      </c>
    </row>
    <row r="2599" spans="1:12">
      <c r="A2599" t="s">
        <v>1915</v>
      </c>
      <c r="B2599" t="s">
        <v>2984</v>
      </c>
    </row>
    <row r="2600" spans="1:12">
      <c r="A2600" t="s">
        <v>1917</v>
      </c>
      <c r="B2600" t="s">
        <v>2111</v>
      </c>
    </row>
    <row r="2601" spans="1:12">
      <c r="C2601" t="s">
        <v>2985</v>
      </c>
      <c r="D2601" t="s">
        <v>2986</v>
      </c>
      <c r="E2601" t="s">
        <v>2987</v>
      </c>
      <c r="F2601" t="s">
        <v>2988</v>
      </c>
      <c r="G2601" t="s">
        <v>2989</v>
      </c>
      <c r="H2601" t="s">
        <v>2990</v>
      </c>
      <c r="I2601" t="s">
        <v>2991</v>
      </c>
      <c r="J2601" t="s">
        <v>2992</v>
      </c>
      <c r="K2601" t="s">
        <v>2988</v>
      </c>
      <c r="L2601" t="s">
        <v>2989</v>
      </c>
    </row>
    <row r="2602" spans="1:12">
      <c r="B2602" t="s">
        <v>2970</v>
      </c>
      <c r="C2602">
        <v>0</v>
      </c>
      <c r="D2602">
        <v>0</v>
      </c>
      <c r="E2602" t="s">
        <v>2993</v>
      </c>
      <c r="F2602">
        <v>5.08</v>
      </c>
      <c r="G2602">
        <v>4.55</v>
      </c>
      <c r="H2602">
        <v>0</v>
      </c>
      <c r="I2602">
        <v>0</v>
      </c>
      <c r="J2602" t="s">
        <v>2993</v>
      </c>
      <c r="K2602">
        <v>5.08</v>
      </c>
      <c r="L2602">
        <v>4.55</v>
      </c>
    </row>
    <row r="2603" spans="1:12">
      <c r="B2603" t="s">
        <v>2971</v>
      </c>
      <c r="C2603" t="s">
        <v>212</v>
      </c>
      <c r="D2603" t="s">
        <v>212</v>
      </c>
      <c r="E2603" t="s">
        <v>212</v>
      </c>
      <c r="F2603" t="s">
        <v>212</v>
      </c>
      <c r="G2603" t="s">
        <v>212</v>
      </c>
      <c r="H2603" t="s">
        <v>212</v>
      </c>
      <c r="I2603" t="s">
        <v>212</v>
      </c>
      <c r="J2603" t="s">
        <v>212</v>
      </c>
      <c r="K2603" t="s">
        <v>212</v>
      </c>
      <c r="L2603" t="s">
        <v>212</v>
      </c>
    </row>
    <row r="2604" spans="1:12">
      <c r="B2604" t="s">
        <v>2972</v>
      </c>
      <c r="C2604" t="s">
        <v>212</v>
      </c>
      <c r="D2604" t="s">
        <v>212</v>
      </c>
      <c r="E2604" t="s">
        <v>212</v>
      </c>
      <c r="F2604" t="s">
        <v>212</v>
      </c>
      <c r="G2604" t="s">
        <v>212</v>
      </c>
      <c r="H2604" t="s">
        <v>212</v>
      </c>
      <c r="I2604" t="s">
        <v>212</v>
      </c>
      <c r="J2604" t="s">
        <v>212</v>
      </c>
      <c r="K2604" t="s">
        <v>212</v>
      </c>
      <c r="L2604" t="s">
        <v>212</v>
      </c>
    </row>
    <row r="2605" spans="1:12">
      <c r="B2605" t="s">
        <v>2973</v>
      </c>
      <c r="C2605" t="s">
        <v>212</v>
      </c>
      <c r="D2605" t="s">
        <v>212</v>
      </c>
      <c r="E2605" t="s">
        <v>212</v>
      </c>
      <c r="F2605" t="s">
        <v>212</v>
      </c>
      <c r="G2605" t="s">
        <v>212</v>
      </c>
      <c r="H2605" t="s">
        <v>212</v>
      </c>
      <c r="I2605" t="s">
        <v>212</v>
      </c>
      <c r="J2605" t="s">
        <v>212</v>
      </c>
      <c r="K2605" t="s">
        <v>212</v>
      </c>
      <c r="L2605" t="s">
        <v>212</v>
      </c>
    </row>
    <row r="2606" spans="1:12">
      <c r="B2606" t="s">
        <v>820</v>
      </c>
      <c r="C2606" t="s">
        <v>212</v>
      </c>
      <c r="D2606" t="s">
        <v>212</v>
      </c>
      <c r="E2606" t="s">
        <v>212</v>
      </c>
      <c r="F2606" t="s">
        <v>212</v>
      </c>
      <c r="G2606" t="s">
        <v>212</v>
      </c>
      <c r="H2606" t="s">
        <v>212</v>
      </c>
      <c r="I2606" t="s">
        <v>212</v>
      </c>
      <c r="J2606" t="s">
        <v>212</v>
      </c>
      <c r="K2606" t="s">
        <v>212</v>
      </c>
      <c r="L2606" t="s">
        <v>212</v>
      </c>
    </row>
    <row r="2607" spans="1:12">
      <c r="B2607" t="s">
        <v>2974</v>
      </c>
      <c r="C2607" t="s">
        <v>212</v>
      </c>
      <c r="D2607" t="s">
        <v>212</v>
      </c>
      <c r="E2607" t="s">
        <v>212</v>
      </c>
      <c r="F2607" t="s">
        <v>212</v>
      </c>
      <c r="G2607" t="s">
        <v>212</v>
      </c>
      <c r="H2607" t="s">
        <v>212</v>
      </c>
      <c r="I2607" t="s">
        <v>212</v>
      </c>
      <c r="J2607" t="s">
        <v>212</v>
      </c>
      <c r="K2607" t="s">
        <v>212</v>
      </c>
      <c r="L2607" t="s">
        <v>212</v>
      </c>
    </row>
    <row r="2608" spans="1:12">
      <c r="B2608" t="s">
        <v>2975</v>
      </c>
      <c r="C2608" t="s">
        <v>212</v>
      </c>
      <c r="D2608" t="s">
        <v>212</v>
      </c>
      <c r="E2608" t="s">
        <v>212</v>
      </c>
      <c r="F2608" t="s">
        <v>212</v>
      </c>
      <c r="G2608" t="s">
        <v>212</v>
      </c>
      <c r="H2608" t="s">
        <v>212</v>
      </c>
      <c r="I2608" t="s">
        <v>212</v>
      </c>
      <c r="J2608" t="s">
        <v>212</v>
      </c>
      <c r="K2608" t="s">
        <v>212</v>
      </c>
      <c r="L2608" t="s">
        <v>212</v>
      </c>
    </row>
    <row r="2609" spans="1:12">
      <c r="B2609" t="s">
        <v>2976</v>
      </c>
      <c r="C2609" t="s">
        <v>212</v>
      </c>
      <c r="D2609" t="s">
        <v>212</v>
      </c>
      <c r="E2609" t="s">
        <v>212</v>
      </c>
      <c r="F2609" t="s">
        <v>212</v>
      </c>
      <c r="G2609" t="s">
        <v>212</v>
      </c>
      <c r="H2609" t="s">
        <v>212</v>
      </c>
      <c r="I2609" t="s">
        <v>212</v>
      </c>
      <c r="J2609" t="s">
        <v>212</v>
      </c>
      <c r="K2609" t="s">
        <v>212</v>
      </c>
      <c r="L2609" t="s">
        <v>212</v>
      </c>
    </row>
    <row r="2610" spans="1:12">
      <c r="B2610" t="s">
        <v>2977</v>
      </c>
      <c r="C2610" t="s">
        <v>212</v>
      </c>
      <c r="D2610" t="s">
        <v>212</v>
      </c>
      <c r="E2610" t="s">
        <v>212</v>
      </c>
      <c r="F2610" t="s">
        <v>212</v>
      </c>
      <c r="G2610" t="s">
        <v>212</v>
      </c>
      <c r="H2610" t="s">
        <v>212</v>
      </c>
      <c r="I2610" t="s">
        <v>212</v>
      </c>
      <c r="J2610" t="s">
        <v>212</v>
      </c>
      <c r="K2610" t="s">
        <v>212</v>
      </c>
      <c r="L2610" t="s">
        <v>212</v>
      </c>
    </row>
    <row r="2611" spans="1:12">
      <c r="B2611" t="s">
        <v>2978</v>
      </c>
      <c r="C2611" t="s">
        <v>212</v>
      </c>
      <c r="D2611" t="s">
        <v>212</v>
      </c>
      <c r="E2611" t="s">
        <v>212</v>
      </c>
      <c r="F2611" t="s">
        <v>212</v>
      </c>
      <c r="G2611" t="s">
        <v>212</v>
      </c>
      <c r="H2611" t="s">
        <v>212</v>
      </c>
      <c r="I2611" t="s">
        <v>212</v>
      </c>
      <c r="J2611" t="s">
        <v>212</v>
      </c>
      <c r="K2611" t="s">
        <v>212</v>
      </c>
      <c r="L2611" t="s">
        <v>212</v>
      </c>
    </row>
    <row r="2612" spans="1:12">
      <c r="B2612" t="s">
        <v>2979</v>
      </c>
      <c r="C2612" t="s">
        <v>212</v>
      </c>
      <c r="D2612" t="s">
        <v>212</v>
      </c>
      <c r="E2612" t="s">
        <v>212</v>
      </c>
      <c r="F2612" t="s">
        <v>212</v>
      </c>
      <c r="G2612" t="s">
        <v>212</v>
      </c>
      <c r="H2612" t="s">
        <v>212</v>
      </c>
      <c r="I2612" t="s">
        <v>212</v>
      </c>
      <c r="J2612" t="s">
        <v>212</v>
      </c>
      <c r="K2612" t="s">
        <v>212</v>
      </c>
      <c r="L2612" t="s">
        <v>212</v>
      </c>
    </row>
    <row r="2613" spans="1:12">
      <c r="B2613" t="s">
        <v>2980</v>
      </c>
      <c r="C2613" t="s">
        <v>212</v>
      </c>
      <c r="D2613" t="s">
        <v>212</v>
      </c>
      <c r="E2613" t="s">
        <v>212</v>
      </c>
      <c r="F2613" t="s">
        <v>212</v>
      </c>
      <c r="G2613" t="s">
        <v>212</v>
      </c>
      <c r="H2613" t="s">
        <v>212</v>
      </c>
      <c r="I2613" t="s">
        <v>212</v>
      </c>
      <c r="J2613" t="s">
        <v>212</v>
      </c>
      <c r="K2613" t="s">
        <v>212</v>
      </c>
      <c r="L2613" t="s">
        <v>212</v>
      </c>
    </row>
    <row r="2615" spans="1:12">
      <c r="B2615" t="s">
        <v>2981</v>
      </c>
      <c r="C2615">
        <v>0</v>
      </c>
      <c r="H2615">
        <v>0</v>
      </c>
    </row>
    <row r="2616" spans="1:12">
      <c r="B2616" t="s">
        <v>2982</v>
      </c>
      <c r="C2616">
        <v>0</v>
      </c>
      <c r="D2616">
        <v>0</v>
      </c>
      <c r="F2616">
        <v>5.08</v>
      </c>
      <c r="G2616">
        <v>4.55</v>
      </c>
      <c r="H2616">
        <v>0</v>
      </c>
      <c r="I2616">
        <v>0</v>
      </c>
      <c r="K2616">
        <v>5.08</v>
      </c>
      <c r="L2616">
        <v>4.55</v>
      </c>
    </row>
    <row r="2617" spans="1:12">
      <c r="B2617" t="s">
        <v>2983</v>
      </c>
      <c r="C2617">
        <v>0</v>
      </c>
      <c r="D2617">
        <v>0</v>
      </c>
      <c r="F2617">
        <v>5.08</v>
      </c>
      <c r="G2617">
        <v>4.55</v>
      </c>
      <c r="H2617">
        <v>0</v>
      </c>
      <c r="I2617">
        <v>0</v>
      </c>
      <c r="K2617">
        <v>5.08</v>
      </c>
      <c r="L2617">
        <v>4.55</v>
      </c>
    </row>
    <row r="2620" spans="1:12">
      <c r="A2620" t="s">
        <v>1914</v>
      </c>
    </row>
    <row r="2621" spans="1:12">
      <c r="A2621" t="s">
        <v>1915</v>
      </c>
      <c r="B2621" t="s">
        <v>2984</v>
      </c>
    </row>
    <row r="2622" spans="1:12">
      <c r="A2622" t="s">
        <v>1917</v>
      </c>
      <c r="B2622" t="s">
        <v>2112</v>
      </c>
    </row>
    <row r="2623" spans="1:12">
      <c r="C2623" t="s">
        <v>2985</v>
      </c>
      <c r="D2623" t="s">
        <v>2986</v>
      </c>
      <c r="E2623" t="s">
        <v>2987</v>
      </c>
      <c r="F2623" t="s">
        <v>2988</v>
      </c>
      <c r="G2623" t="s">
        <v>2989</v>
      </c>
      <c r="H2623" t="s">
        <v>2990</v>
      </c>
      <c r="I2623" t="s">
        <v>2991</v>
      </c>
      <c r="J2623" t="s">
        <v>2992</v>
      </c>
      <c r="K2623" t="s">
        <v>2988</v>
      </c>
      <c r="L2623" t="s">
        <v>2989</v>
      </c>
    </row>
    <row r="2624" spans="1:12">
      <c r="B2624" t="s">
        <v>2970</v>
      </c>
      <c r="C2624">
        <v>0</v>
      </c>
      <c r="D2624">
        <v>0</v>
      </c>
      <c r="E2624" t="s">
        <v>2993</v>
      </c>
      <c r="F2624">
        <v>5.08</v>
      </c>
      <c r="G2624">
        <v>4.55</v>
      </c>
      <c r="H2624">
        <v>0</v>
      </c>
      <c r="I2624">
        <v>0</v>
      </c>
      <c r="J2624" t="s">
        <v>2993</v>
      </c>
      <c r="K2624">
        <v>5.08</v>
      </c>
      <c r="L2624">
        <v>4.55</v>
      </c>
    </row>
    <row r="2625" spans="2:12">
      <c r="B2625" t="s">
        <v>2971</v>
      </c>
      <c r="C2625" t="s">
        <v>212</v>
      </c>
      <c r="D2625" t="s">
        <v>212</v>
      </c>
      <c r="E2625" t="s">
        <v>212</v>
      </c>
      <c r="F2625" t="s">
        <v>212</v>
      </c>
      <c r="G2625" t="s">
        <v>212</v>
      </c>
      <c r="H2625" t="s">
        <v>212</v>
      </c>
      <c r="I2625" t="s">
        <v>212</v>
      </c>
      <c r="J2625" t="s">
        <v>212</v>
      </c>
      <c r="K2625" t="s">
        <v>212</v>
      </c>
      <c r="L2625" t="s">
        <v>212</v>
      </c>
    </row>
    <row r="2626" spans="2:12">
      <c r="B2626" t="s">
        <v>2972</v>
      </c>
      <c r="C2626" t="s">
        <v>212</v>
      </c>
      <c r="D2626" t="s">
        <v>212</v>
      </c>
      <c r="E2626" t="s">
        <v>212</v>
      </c>
      <c r="F2626" t="s">
        <v>212</v>
      </c>
      <c r="G2626" t="s">
        <v>212</v>
      </c>
      <c r="H2626" t="s">
        <v>212</v>
      </c>
      <c r="I2626" t="s">
        <v>212</v>
      </c>
      <c r="J2626" t="s">
        <v>212</v>
      </c>
      <c r="K2626" t="s">
        <v>212</v>
      </c>
      <c r="L2626" t="s">
        <v>212</v>
      </c>
    </row>
    <row r="2627" spans="2:12">
      <c r="B2627" t="s">
        <v>2973</v>
      </c>
      <c r="C2627" t="s">
        <v>212</v>
      </c>
      <c r="D2627" t="s">
        <v>212</v>
      </c>
      <c r="E2627" t="s">
        <v>212</v>
      </c>
      <c r="F2627" t="s">
        <v>212</v>
      </c>
      <c r="G2627" t="s">
        <v>212</v>
      </c>
      <c r="H2627" t="s">
        <v>212</v>
      </c>
      <c r="I2627" t="s">
        <v>212</v>
      </c>
      <c r="J2627" t="s">
        <v>212</v>
      </c>
      <c r="K2627" t="s">
        <v>212</v>
      </c>
      <c r="L2627" t="s">
        <v>212</v>
      </c>
    </row>
    <row r="2628" spans="2:12">
      <c r="B2628" t="s">
        <v>820</v>
      </c>
      <c r="C2628" t="s">
        <v>212</v>
      </c>
      <c r="D2628" t="s">
        <v>212</v>
      </c>
      <c r="E2628" t="s">
        <v>212</v>
      </c>
      <c r="F2628" t="s">
        <v>212</v>
      </c>
      <c r="G2628" t="s">
        <v>212</v>
      </c>
      <c r="H2628" t="s">
        <v>212</v>
      </c>
      <c r="I2628" t="s">
        <v>212</v>
      </c>
      <c r="J2628" t="s">
        <v>212</v>
      </c>
      <c r="K2628" t="s">
        <v>212</v>
      </c>
      <c r="L2628" t="s">
        <v>212</v>
      </c>
    </row>
    <row r="2629" spans="2:12">
      <c r="B2629" t="s">
        <v>2974</v>
      </c>
      <c r="C2629" t="s">
        <v>212</v>
      </c>
      <c r="D2629" t="s">
        <v>212</v>
      </c>
      <c r="E2629" t="s">
        <v>212</v>
      </c>
      <c r="F2629" t="s">
        <v>212</v>
      </c>
      <c r="G2629" t="s">
        <v>212</v>
      </c>
      <c r="H2629" t="s">
        <v>212</v>
      </c>
      <c r="I2629" t="s">
        <v>212</v>
      </c>
      <c r="J2629" t="s">
        <v>212</v>
      </c>
      <c r="K2629" t="s">
        <v>212</v>
      </c>
      <c r="L2629" t="s">
        <v>212</v>
      </c>
    </row>
    <row r="2630" spans="2:12">
      <c r="B2630" t="s">
        <v>2975</v>
      </c>
      <c r="C2630" t="s">
        <v>212</v>
      </c>
      <c r="D2630" t="s">
        <v>212</v>
      </c>
      <c r="E2630" t="s">
        <v>212</v>
      </c>
      <c r="F2630" t="s">
        <v>212</v>
      </c>
      <c r="G2630" t="s">
        <v>212</v>
      </c>
      <c r="H2630" t="s">
        <v>212</v>
      </c>
      <c r="I2630" t="s">
        <v>212</v>
      </c>
      <c r="J2630" t="s">
        <v>212</v>
      </c>
      <c r="K2630" t="s">
        <v>212</v>
      </c>
      <c r="L2630" t="s">
        <v>212</v>
      </c>
    </row>
    <row r="2631" spans="2:12">
      <c r="B2631" t="s">
        <v>2976</v>
      </c>
      <c r="C2631" t="s">
        <v>212</v>
      </c>
      <c r="D2631" t="s">
        <v>212</v>
      </c>
      <c r="E2631" t="s">
        <v>212</v>
      </c>
      <c r="F2631" t="s">
        <v>212</v>
      </c>
      <c r="G2631" t="s">
        <v>212</v>
      </c>
      <c r="H2631" t="s">
        <v>212</v>
      </c>
      <c r="I2631" t="s">
        <v>212</v>
      </c>
      <c r="J2631" t="s">
        <v>212</v>
      </c>
      <c r="K2631" t="s">
        <v>212</v>
      </c>
      <c r="L2631" t="s">
        <v>212</v>
      </c>
    </row>
    <row r="2632" spans="2:12">
      <c r="B2632" t="s">
        <v>2977</v>
      </c>
      <c r="C2632" t="s">
        <v>212</v>
      </c>
      <c r="D2632" t="s">
        <v>212</v>
      </c>
      <c r="E2632" t="s">
        <v>212</v>
      </c>
      <c r="F2632" t="s">
        <v>212</v>
      </c>
      <c r="G2632" t="s">
        <v>212</v>
      </c>
      <c r="H2632" t="s">
        <v>212</v>
      </c>
      <c r="I2632" t="s">
        <v>212</v>
      </c>
      <c r="J2632" t="s">
        <v>212</v>
      </c>
      <c r="K2632" t="s">
        <v>212</v>
      </c>
      <c r="L2632" t="s">
        <v>212</v>
      </c>
    </row>
    <row r="2633" spans="2:12">
      <c r="B2633" t="s">
        <v>2978</v>
      </c>
      <c r="C2633" t="s">
        <v>212</v>
      </c>
      <c r="D2633" t="s">
        <v>212</v>
      </c>
      <c r="E2633" t="s">
        <v>212</v>
      </c>
      <c r="F2633" t="s">
        <v>212</v>
      </c>
      <c r="G2633" t="s">
        <v>212</v>
      </c>
      <c r="H2633" t="s">
        <v>212</v>
      </c>
      <c r="I2633" t="s">
        <v>212</v>
      </c>
      <c r="J2633" t="s">
        <v>212</v>
      </c>
      <c r="K2633" t="s">
        <v>212</v>
      </c>
      <c r="L2633" t="s">
        <v>212</v>
      </c>
    </row>
    <row r="2634" spans="2:12">
      <c r="B2634" t="s">
        <v>2979</v>
      </c>
      <c r="C2634" t="s">
        <v>212</v>
      </c>
      <c r="D2634" t="s">
        <v>212</v>
      </c>
      <c r="E2634" t="s">
        <v>212</v>
      </c>
      <c r="F2634" t="s">
        <v>212</v>
      </c>
      <c r="G2634" t="s">
        <v>212</v>
      </c>
      <c r="H2634" t="s">
        <v>212</v>
      </c>
      <c r="I2634" t="s">
        <v>212</v>
      </c>
      <c r="J2634" t="s">
        <v>212</v>
      </c>
      <c r="K2634" t="s">
        <v>212</v>
      </c>
      <c r="L2634" t="s">
        <v>212</v>
      </c>
    </row>
    <row r="2635" spans="2:12">
      <c r="B2635" t="s">
        <v>2980</v>
      </c>
      <c r="C2635" t="s">
        <v>212</v>
      </c>
      <c r="D2635" t="s">
        <v>212</v>
      </c>
      <c r="E2635" t="s">
        <v>212</v>
      </c>
      <c r="F2635" t="s">
        <v>212</v>
      </c>
      <c r="G2635" t="s">
        <v>212</v>
      </c>
      <c r="H2635" t="s">
        <v>212</v>
      </c>
      <c r="I2635" t="s">
        <v>212</v>
      </c>
      <c r="J2635" t="s">
        <v>212</v>
      </c>
      <c r="K2635" t="s">
        <v>212</v>
      </c>
      <c r="L2635" t="s">
        <v>212</v>
      </c>
    </row>
    <row r="2637" spans="2:12">
      <c r="B2637" t="s">
        <v>2981</v>
      </c>
      <c r="C2637">
        <v>0</v>
      </c>
      <c r="H2637">
        <v>0</v>
      </c>
    </row>
    <row r="2638" spans="2:12">
      <c r="B2638" t="s">
        <v>2982</v>
      </c>
      <c r="C2638">
        <v>0</v>
      </c>
      <c r="D2638">
        <v>0</v>
      </c>
      <c r="F2638">
        <v>5.08</v>
      </c>
      <c r="G2638">
        <v>4.55</v>
      </c>
      <c r="H2638">
        <v>0</v>
      </c>
      <c r="I2638">
        <v>0</v>
      </c>
      <c r="K2638">
        <v>5.08</v>
      </c>
      <c r="L2638">
        <v>4.55</v>
      </c>
    </row>
    <row r="2639" spans="2:12">
      <c r="B2639" t="s">
        <v>2983</v>
      </c>
      <c r="C2639">
        <v>0</v>
      </c>
      <c r="D2639">
        <v>0</v>
      </c>
      <c r="F2639">
        <v>5.08</v>
      </c>
      <c r="G2639">
        <v>4.55</v>
      </c>
      <c r="H2639">
        <v>0</v>
      </c>
      <c r="I2639">
        <v>0</v>
      </c>
      <c r="K2639">
        <v>5.08</v>
      </c>
      <c r="L2639">
        <v>4.55</v>
      </c>
    </row>
    <row r="2642" spans="1:12">
      <c r="A2642" t="s">
        <v>1914</v>
      </c>
    </row>
    <row r="2643" spans="1:12">
      <c r="A2643" t="s">
        <v>1915</v>
      </c>
      <c r="B2643" t="s">
        <v>2984</v>
      </c>
    </row>
    <row r="2644" spans="1:12">
      <c r="A2644" t="s">
        <v>1917</v>
      </c>
      <c r="B2644" t="s">
        <v>2113</v>
      </c>
    </row>
    <row r="2645" spans="1:12">
      <c r="C2645" t="s">
        <v>2985</v>
      </c>
      <c r="D2645" t="s">
        <v>2986</v>
      </c>
      <c r="E2645" t="s">
        <v>2987</v>
      </c>
      <c r="F2645" t="s">
        <v>2988</v>
      </c>
      <c r="G2645" t="s">
        <v>2989</v>
      </c>
      <c r="H2645" t="s">
        <v>2990</v>
      </c>
      <c r="I2645" t="s">
        <v>2991</v>
      </c>
      <c r="J2645" t="s">
        <v>2992</v>
      </c>
      <c r="K2645" t="s">
        <v>2988</v>
      </c>
      <c r="L2645" t="s">
        <v>2989</v>
      </c>
    </row>
    <row r="2646" spans="1:12">
      <c r="B2646" t="s">
        <v>2970</v>
      </c>
      <c r="C2646">
        <v>0</v>
      </c>
      <c r="D2646">
        <v>0</v>
      </c>
      <c r="E2646" t="s">
        <v>2993</v>
      </c>
      <c r="F2646">
        <v>5.08</v>
      </c>
      <c r="G2646">
        <v>4.55</v>
      </c>
      <c r="H2646">
        <v>0</v>
      </c>
      <c r="I2646">
        <v>0</v>
      </c>
      <c r="J2646" t="s">
        <v>2993</v>
      </c>
      <c r="K2646">
        <v>5.08</v>
      </c>
      <c r="L2646">
        <v>4.55</v>
      </c>
    </row>
    <row r="2647" spans="1:12">
      <c r="B2647" t="s">
        <v>2971</v>
      </c>
      <c r="C2647" t="s">
        <v>212</v>
      </c>
      <c r="D2647" t="s">
        <v>212</v>
      </c>
      <c r="E2647" t="s">
        <v>212</v>
      </c>
      <c r="F2647" t="s">
        <v>212</v>
      </c>
      <c r="G2647" t="s">
        <v>212</v>
      </c>
      <c r="H2647" t="s">
        <v>212</v>
      </c>
      <c r="I2647" t="s">
        <v>212</v>
      </c>
      <c r="J2647" t="s">
        <v>212</v>
      </c>
      <c r="K2647" t="s">
        <v>212</v>
      </c>
      <c r="L2647" t="s">
        <v>212</v>
      </c>
    </row>
    <row r="2648" spans="1:12">
      <c r="B2648" t="s">
        <v>2972</v>
      </c>
      <c r="C2648" t="s">
        <v>212</v>
      </c>
      <c r="D2648" t="s">
        <v>212</v>
      </c>
      <c r="E2648" t="s">
        <v>212</v>
      </c>
      <c r="F2648" t="s">
        <v>212</v>
      </c>
      <c r="G2648" t="s">
        <v>212</v>
      </c>
      <c r="H2648" t="s">
        <v>212</v>
      </c>
      <c r="I2648" t="s">
        <v>212</v>
      </c>
      <c r="J2648" t="s">
        <v>212</v>
      </c>
      <c r="K2648" t="s">
        <v>212</v>
      </c>
      <c r="L2648" t="s">
        <v>212</v>
      </c>
    </row>
    <row r="2649" spans="1:12">
      <c r="B2649" t="s">
        <v>2973</v>
      </c>
      <c r="C2649" t="s">
        <v>212</v>
      </c>
      <c r="D2649" t="s">
        <v>212</v>
      </c>
      <c r="E2649" t="s">
        <v>212</v>
      </c>
      <c r="F2649" t="s">
        <v>212</v>
      </c>
      <c r="G2649" t="s">
        <v>212</v>
      </c>
      <c r="H2649" t="s">
        <v>212</v>
      </c>
      <c r="I2649" t="s">
        <v>212</v>
      </c>
      <c r="J2649" t="s">
        <v>212</v>
      </c>
      <c r="K2649" t="s">
        <v>212</v>
      </c>
      <c r="L2649" t="s">
        <v>212</v>
      </c>
    </row>
    <row r="2650" spans="1:12">
      <c r="B2650" t="s">
        <v>820</v>
      </c>
      <c r="C2650" t="s">
        <v>212</v>
      </c>
      <c r="D2650" t="s">
        <v>212</v>
      </c>
      <c r="E2650" t="s">
        <v>212</v>
      </c>
      <c r="F2650" t="s">
        <v>212</v>
      </c>
      <c r="G2650" t="s">
        <v>212</v>
      </c>
      <c r="H2650" t="s">
        <v>212</v>
      </c>
      <c r="I2650" t="s">
        <v>212</v>
      </c>
      <c r="J2650" t="s">
        <v>212</v>
      </c>
      <c r="K2650" t="s">
        <v>212</v>
      </c>
      <c r="L2650" t="s">
        <v>212</v>
      </c>
    </row>
    <row r="2651" spans="1:12">
      <c r="B2651" t="s">
        <v>2974</v>
      </c>
      <c r="C2651" t="s">
        <v>212</v>
      </c>
      <c r="D2651" t="s">
        <v>212</v>
      </c>
      <c r="E2651" t="s">
        <v>212</v>
      </c>
      <c r="F2651" t="s">
        <v>212</v>
      </c>
      <c r="G2651" t="s">
        <v>212</v>
      </c>
      <c r="H2651" t="s">
        <v>212</v>
      </c>
      <c r="I2651" t="s">
        <v>212</v>
      </c>
      <c r="J2651" t="s">
        <v>212</v>
      </c>
      <c r="K2651" t="s">
        <v>212</v>
      </c>
      <c r="L2651" t="s">
        <v>212</v>
      </c>
    </row>
    <row r="2652" spans="1:12">
      <c r="B2652" t="s">
        <v>2975</v>
      </c>
      <c r="C2652" t="s">
        <v>212</v>
      </c>
      <c r="D2652" t="s">
        <v>212</v>
      </c>
      <c r="E2652" t="s">
        <v>212</v>
      </c>
      <c r="F2652" t="s">
        <v>212</v>
      </c>
      <c r="G2652" t="s">
        <v>212</v>
      </c>
      <c r="H2652" t="s">
        <v>212</v>
      </c>
      <c r="I2652" t="s">
        <v>212</v>
      </c>
      <c r="J2652" t="s">
        <v>212</v>
      </c>
      <c r="K2652" t="s">
        <v>212</v>
      </c>
      <c r="L2652" t="s">
        <v>212</v>
      </c>
    </row>
    <row r="2653" spans="1:12">
      <c r="B2653" t="s">
        <v>2976</v>
      </c>
      <c r="C2653" t="s">
        <v>212</v>
      </c>
      <c r="D2653" t="s">
        <v>212</v>
      </c>
      <c r="E2653" t="s">
        <v>212</v>
      </c>
      <c r="F2653" t="s">
        <v>212</v>
      </c>
      <c r="G2653" t="s">
        <v>212</v>
      </c>
      <c r="H2653" t="s">
        <v>212</v>
      </c>
      <c r="I2653" t="s">
        <v>212</v>
      </c>
      <c r="J2653" t="s">
        <v>212</v>
      </c>
      <c r="K2653" t="s">
        <v>212</v>
      </c>
      <c r="L2653" t="s">
        <v>212</v>
      </c>
    </row>
    <row r="2654" spans="1:12">
      <c r="B2654" t="s">
        <v>2977</v>
      </c>
      <c r="C2654" t="s">
        <v>212</v>
      </c>
      <c r="D2654" t="s">
        <v>212</v>
      </c>
      <c r="E2654" t="s">
        <v>212</v>
      </c>
      <c r="F2654" t="s">
        <v>212</v>
      </c>
      <c r="G2654" t="s">
        <v>212</v>
      </c>
      <c r="H2654" t="s">
        <v>212</v>
      </c>
      <c r="I2654" t="s">
        <v>212</v>
      </c>
      <c r="J2654" t="s">
        <v>212</v>
      </c>
      <c r="K2654" t="s">
        <v>212</v>
      </c>
      <c r="L2654" t="s">
        <v>212</v>
      </c>
    </row>
    <row r="2655" spans="1:12">
      <c r="B2655" t="s">
        <v>2978</v>
      </c>
      <c r="C2655" t="s">
        <v>212</v>
      </c>
      <c r="D2655" t="s">
        <v>212</v>
      </c>
      <c r="E2655" t="s">
        <v>212</v>
      </c>
      <c r="F2655" t="s">
        <v>212</v>
      </c>
      <c r="G2655" t="s">
        <v>212</v>
      </c>
      <c r="H2655" t="s">
        <v>212</v>
      </c>
      <c r="I2655" t="s">
        <v>212</v>
      </c>
      <c r="J2655" t="s">
        <v>212</v>
      </c>
      <c r="K2655" t="s">
        <v>212</v>
      </c>
      <c r="L2655" t="s">
        <v>212</v>
      </c>
    </row>
    <row r="2656" spans="1:12">
      <c r="B2656" t="s">
        <v>2979</v>
      </c>
      <c r="C2656" t="s">
        <v>212</v>
      </c>
      <c r="D2656" t="s">
        <v>212</v>
      </c>
      <c r="E2656" t="s">
        <v>212</v>
      </c>
      <c r="F2656" t="s">
        <v>212</v>
      </c>
      <c r="G2656" t="s">
        <v>212</v>
      </c>
      <c r="H2656" t="s">
        <v>212</v>
      </c>
      <c r="I2656" t="s">
        <v>212</v>
      </c>
      <c r="J2656" t="s">
        <v>212</v>
      </c>
      <c r="K2656" t="s">
        <v>212</v>
      </c>
      <c r="L2656" t="s">
        <v>212</v>
      </c>
    </row>
    <row r="2657" spans="1:12">
      <c r="B2657" t="s">
        <v>2980</v>
      </c>
      <c r="C2657" t="s">
        <v>212</v>
      </c>
      <c r="D2657" t="s">
        <v>212</v>
      </c>
      <c r="E2657" t="s">
        <v>212</v>
      </c>
      <c r="F2657" t="s">
        <v>212</v>
      </c>
      <c r="G2657" t="s">
        <v>212</v>
      </c>
      <c r="H2657" t="s">
        <v>212</v>
      </c>
      <c r="I2657" t="s">
        <v>212</v>
      </c>
      <c r="J2657" t="s">
        <v>212</v>
      </c>
      <c r="K2657" t="s">
        <v>212</v>
      </c>
      <c r="L2657" t="s">
        <v>212</v>
      </c>
    </row>
    <row r="2659" spans="1:12">
      <c r="B2659" t="s">
        <v>2981</v>
      </c>
      <c r="C2659">
        <v>0</v>
      </c>
      <c r="H2659">
        <v>0</v>
      </c>
    </row>
    <row r="2660" spans="1:12">
      <c r="B2660" t="s">
        <v>2982</v>
      </c>
      <c r="C2660">
        <v>0</v>
      </c>
      <c r="D2660">
        <v>0</v>
      </c>
      <c r="F2660">
        <v>5.08</v>
      </c>
      <c r="G2660">
        <v>4.55</v>
      </c>
      <c r="H2660">
        <v>0</v>
      </c>
      <c r="I2660">
        <v>0</v>
      </c>
      <c r="K2660">
        <v>5.08</v>
      </c>
      <c r="L2660">
        <v>4.55</v>
      </c>
    </row>
    <row r="2661" spans="1:12">
      <c r="B2661" t="s">
        <v>2983</v>
      </c>
      <c r="C2661">
        <v>0</v>
      </c>
      <c r="D2661">
        <v>0</v>
      </c>
      <c r="F2661">
        <v>5.08</v>
      </c>
      <c r="G2661">
        <v>4.55</v>
      </c>
      <c r="H2661">
        <v>0</v>
      </c>
      <c r="I2661">
        <v>0</v>
      </c>
      <c r="K2661">
        <v>5.08</v>
      </c>
      <c r="L2661">
        <v>4.55</v>
      </c>
    </row>
    <row r="2664" spans="1:12">
      <c r="A2664" t="s">
        <v>1914</v>
      </c>
    </row>
    <row r="2665" spans="1:12">
      <c r="A2665" t="s">
        <v>1915</v>
      </c>
      <c r="B2665" t="s">
        <v>2984</v>
      </c>
    </row>
    <row r="2666" spans="1:12">
      <c r="A2666" t="s">
        <v>1917</v>
      </c>
      <c r="B2666" t="s">
        <v>2114</v>
      </c>
    </row>
    <row r="2667" spans="1:12">
      <c r="C2667" t="s">
        <v>2985</v>
      </c>
      <c r="D2667" t="s">
        <v>2986</v>
      </c>
      <c r="E2667" t="s">
        <v>2987</v>
      </c>
      <c r="F2667" t="s">
        <v>2988</v>
      </c>
      <c r="G2667" t="s">
        <v>2989</v>
      </c>
      <c r="H2667" t="s">
        <v>2990</v>
      </c>
      <c r="I2667" t="s">
        <v>2991</v>
      </c>
      <c r="J2667" t="s">
        <v>2992</v>
      </c>
      <c r="K2667" t="s">
        <v>2988</v>
      </c>
      <c r="L2667" t="s">
        <v>2989</v>
      </c>
    </row>
    <row r="2668" spans="1:12">
      <c r="B2668" t="s">
        <v>2970</v>
      </c>
      <c r="C2668">
        <v>0</v>
      </c>
      <c r="D2668">
        <v>0</v>
      </c>
      <c r="E2668" t="s">
        <v>2993</v>
      </c>
      <c r="F2668">
        <v>5.08</v>
      </c>
      <c r="G2668">
        <v>4.55</v>
      </c>
      <c r="H2668">
        <v>0</v>
      </c>
      <c r="I2668">
        <v>0</v>
      </c>
      <c r="J2668" t="s">
        <v>2993</v>
      </c>
      <c r="K2668">
        <v>5.08</v>
      </c>
      <c r="L2668">
        <v>4.55</v>
      </c>
    </row>
    <row r="2669" spans="1:12">
      <c r="B2669" t="s">
        <v>2971</v>
      </c>
      <c r="C2669" t="s">
        <v>212</v>
      </c>
      <c r="D2669" t="s">
        <v>212</v>
      </c>
      <c r="E2669" t="s">
        <v>212</v>
      </c>
      <c r="F2669" t="s">
        <v>212</v>
      </c>
      <c r="G2669" t="s">
        <v>212</v>
      </c>
      <c r="H2669" t="s">
        <v>212</v>
      </c>
      <c r="I2669" t="s">
        <v>212</v>
      </c>
      <c r="J2669" t="s">
        <v>212</v>
      </c>
      <c r="K2669" t="s">
        <v>212</v>
      </c>
      <c r="L2669" t="s">
        <v>212</v>
      </c>
    </row>
    <row r="2670" spans="1:12">
      <c r="B2670" t="s">
        <v>2972</v>
      </c>
      <c r="C2670" t="s">
        <v>212</v>
      </c>
      <c r="D2670" t="s">
        <v>212</v>
      </c>
      <c r="E2670" t="s">
        <v>212</v>
      </c>
      <c r="F2670" t="s">
        <v>212</v>
      </c>
      <c r="G2670" t="s">
        <v>212</v>
      </c>
      <c r="H2670" t="s">
        <v>212</v>
      </c>
      <c r="I2670" t="s">
        <v>212</v>
      </c>
      <c r="J2670" t="s">
        <v>212</v>
      </c>
      <c r="K2670" t="s">
        <v>212</v>
      </c>
      <c r="L2670" t="s">
        <v>212</v>
      </c>
    </row>
    <row r="2671" spans="1:12">
      <c r="B2671" t="s">
        <v>2973</v>
      </c>
      <c r="C2671" t="s">
        <v>212</v>
      </c>
      <c r="D2671" t="s">
        <v>212</v>
      </c>
      <c r="E2671" t="s">
        <v>212</v>
      </c>
      <c r="F2671" t="s">
        <v>212</v>
      </c>
      <c r="G2671" t="s">
        <v>212</v>
      </c>
      <c r="H2671" t="s">
        <v>212</v>
      </c>
      <c r="I2671" t="s">
        <v>212</v>
      </c>
      <c r="J2671" t="s">
        <v>212</v>
      </c>
      <c r="K2671" t="s">
        <v>212</v>
      </c>
      <c r="L2671" t="s">
        <v>212</v>
      </c>
    </row>
    <row r="2672" spans="1:12">
      <c r="B2672" t="s">
        <v>820</v>
      </c>
      <c r="C2672" t="s">
        <v>212</v>
      </c>
      <c r="D2672" t="s">
        <v>212</v>
      </c>
      <c r="E2672" t="s">
        <v>212</v>
      </c>
      <c r="F2672" t="s">
        <v>212</v>
      </c>
      <c r="G2672" t="s">
        <v>212</v>
      </c>
      <c r="H2672" t="s">
        <v>212</v>
      </c>
      <c r="I2672" t="s">
        <v>212</v>
      </c>
      <c r="J2672" t="s">
        <v>212</v>
      </c>
      <c r="K2672" t="s">
        <v>212</v>
      </c>
      <c r="L2672" t="s">
        <v>212</v>
      </c>
    </row>
    <row r="2673" spans="1:12">
      <c r="B2673" t="s">
        <v>2974</v>
      </c>
      <c r="C2673" t="s">
        <v>212</v>
      </c>
      <c r="D2673" t="s">
        <v>212</v>
      </c>
      <c r="E2673" t="s">
        <v>212</v>
      </c>
      <c r="F2673" t="s">
        <v>212</v>
      </c>
      <c r="G2673" t="s">
        <v>212</v>
      </c>
      <c r="H2673" t="s">
        <v>212</v>
      </c>
      <c r="I2673" t="s">
        <v>212</v>
      </c>
      <c r="J2673" t="s">
        <v>212</v>
      </c>
      <c r="K2673" t="s">
        <v>212</v>
      </c>
      <c r="L2673" t="s">
        <v>212</v>
      </c>
    </row>
    <row r="2674" spans="1:12">
      <c r="B2674" t="s">
        <v>2975</v>
      </c>
      <c r="C2674" t="s">
        <v>212</v>
      </c>
      <c r="D2674" t="s">
        <v>212</v>
      </c>
      <c r="E2674" t="s">
        <v>212</v>
      </c>
      <c r="F2674" t="s">
        <v>212</v>
      </c>
      <c r="G2674" t="s">
        <v>212</v>
      </c>
      <c r="H2674" t="s">
        <v>212</v>
      </c>
      <c r="I2674" t="s">
        <v>212</v>
      </c>
      <c r="J2674" t="s">
        <v>212</v>
      </c>
      <c r="K2674" t="s">
        <v>212</v>
      </c>
      <c r="L2674" t="s">
        <v>212</v>
      </c>
    </row>
    <row r="2675" spans="1:12">
      <c r="B2675" t="s">
        <v>2976</v>
      </c>
      <c r="C2675" t="s">
        <v>212</v>
      </c>
      <c r="D2675" t="s">
        <v>212</v>
      </c>
      <c r="E2675" t="s">
        <v>212</v>
      </c>
      <c r="F2675" t="s">
        <v>212</v>
      </c>
      <c r="G2675" t="s">
        <v>212</v>
      </c>
      <c r="H2675" t="s">
        <v>212</v>
      </c>
      <c r="I2675" t="s">
        <v>212</v>
      </c>
      <c r="J2675" t="s">
        <v>212</v>
      </c>
      <c r="K2675" t="s">
        <v>212</v>
      </c>
      <c r="L2675" t="s">
        <v>212</v>
      </c>
    </row>
    <row r="2676" spans="1:12">
      <c r="B2676" t="s">
        <v>2977</v>
      </c>
      <c r="C2676" t="s">
        <v>212</v>
      </c>
      <c r="D2676" t="s">
        <v>212</v>
      </c>
      <c r="E2676" t="s">
        <v>212</v>
      </c>
      <c r="F2676" t="s">
        <v>212</v>
      </c>
      <c r="G2676" t="s">
        <v>212</v>
      </c>
      <c r="H2676" t="s">
        <v>212</v>
      </c>
      <c r="I2676" t="s">
        <v>212</v>
      </c>
      <c r="J2676" t="s">
        <v>212</v>
      </c>
      <c r="K2676" t="s">
        <v>212</v>
      </c>
      <c r="L2676" t="s">
        <v>212</v>
      </c>
    </row>
    <row r="2677" spans="1:12">
      <c r="B2677" t="s">
        <v>2978</v>
      </c>
      <c r="C2677" t="s">
        <v>212</v>
      </c>
      <c r="D2677" t="s">
        <v>212</v>
      </c>
      <c r="E2677" t="s">
        <v>212</v>
      </c>
      <c r="F2677" t="s">
        <v>212</v>
      </c>
      <c r="G2677" t="s">
        <v>212</v>
      </c>
      <c r="H2677" t="s">
        <v>212</v>
      </c>
      <c r="I2677" t="s">
        <v>212</v>
      </c>
      <c r="J2677" t="s">
        <v>212</v>
      </c>
      <c r="K2677" t="s">
        <v>212</v>
      </c>
      <c r="L2677" t="s">
        <v>212</v>
      </c>
    </row>
    <row r="2678" spans="1:12">
      <c r="B2678" t="s">
        <v>2979</v>
      </c>
      <c r="C2678" t="s">
        <v>212</v>
      </c>
      <c r="D2678" t="s">
        <v>212</v>
      </c>
      <c r="E2678" t="s">
        <v>212</v>
      </c>
      <c r="F2678" t="s">
        <v>212</v>
      </c>
      <c r="G2678" t="s">
        <v>212</v>
      </c>
      <c r="H2678" t="s">
        <v>212</v>
      </c>
      <c r="I2678" t="s">
        <v>212</v>
      </c>
      <c r="J2678" t="s">
        <v>212</v>
      </c>
      <c r="K2678" t="s">
        <v>212</v>
      </c>
      <c r="L2678" t="s">
        <v>212</v>
      </c>
    </row>
    <row r="2679" spans="1:12">
      <c r="B2679" t="s">
        <v>2980</v>
      </c>
      <c r="C2679" t="s">
        <v>212</v>
      </c>
      <c r="D2679" t="s">
        <v>212</v>
      </c>
      <c r="E2679" t="s">
        <v>212</v>
      </c>
      <c r="F2679" t="s">
        <v>212</v>
      </c>
      <c r="G2679" t="s">
        <v>212</v>
      </c>
      <c r="H2679" t="s">
        <v>212</v>
      </c>
      <c r="I2679" t="s">
        <v>212</v>
      </c>
      <c r="J2679" t="s">
        <v>212</v>
      </c>
      <c r="K2679" t="s">
        <v>212</v>
      </c>
      <c r="L2679" t="s">
        <v>212</v>
      </c>
    </row>
    <row r="2681" spans="1:12">
      <c r="B2681" t="s">
        <v>2981</v>
      </c>
      <c r="C2681">
        <v>0</v>
      </c>
      <c r="H2681">
        <v>0</v>
      </c>
    </row>
    <row r="2682" spans="1:12">
      <c r="B2682" t="s">
        <v>2982</v>
      </c>
      <c r="C2682">
        <v>0</v>
      </c>
      <c r="D2682">
        <v>0</v>
      </c>
      <c r="F2682">
        <v>5.08</v>
      </c>
      <c r="G2682">
        <v>4.55</v>
      </c>
      <c r="H2682">
        <v>0</v>
      </c>
      <c r="I2682">
        <v>0</v>
      </c>
      <c r="K2682">
        <v>5.08</v>
      </c>
      <c r="L2682">
        <v>4.55</v>
      </c>
    </row>
    <row r="2683" spans="1:12">
      <c r="B2683" t="s">
        <v>2983</v>
      </c>
      <c r="C2683">
        <v>0</v>
      </c>
      <c r="D2683">
        <v>0</v>
      </c>
      <c r="F2683">
        <v>5.08</v>
      </c>
      <c r="G2683">
        <v>4.55</v>
      </c>
      <c r="H2683">
        <v>0</v>
      </c>
      <c r="I2683">
        <v>0</v>
      </c>
      <c r="K2683">
        <v>5.08</v>
      </c>
      <c r="L2683">
        <v>4.55</v>
      </c>
    </row>
    <row r="2686" spans="1:12">
      <c r="A2686" t="s">
        <v>1914</v>
      </c>
    </row>
    <row r="2687" spans="1:12">
      <c r="A2687" t="s">
        <v>1915</v>
      </c>
      <c r="B2687" t="s">
        <v>2984</v>
      </c>
    </row>
    <row r="2688" spans="1:12">
      <c r="A2688" t="s">
        <v>1917</v>
      </c>
      <c r="B2688" t="s">
        <v>2115</v>
      </c>
    </row>
    <row r="2689" spans="2:12">
      <c r="C2689" t="s">
        <v>2985</v>
      </c>
      <c r="D2689" t="s">
        <v>2986</v>
      </c>
      <c r="E2689" t="s">
        <v>2987</v>
      </c>
      <c r="F2689" t="s">
        <v>2988</v>
      </c>
      <c r="G2689" t="s">
        <v>2989</v>
      </c>
      <c r="H2689" t="s">
        <v>2990</v>
      </c>
      <c r="I2689" t="s">
        <v>2991</v>
      </c>
      <c r="J2689" t="s">
        <v>2992</v>
      </c>
      <c r="K2689" t="s">
        <v>2988</v>
      </c>
      <c r="L2689" t="s">
        <v>2989</v>
      </c>
    </row>
    <row r="2690" spans="2:12">
      <c r="B2690" t="s">
        <v>2970</v>
      </c>
      <c r="C2690">
        <v>2.42</v>
      </c>
      <c r="D2690">
        <v>3163.34</v>
      </c>
      <c r="E2690" t="s">
        <v>3016</v>
      </c>
      <c r="F2690">
        <v>6.63</v>
      </c>
      <c r="G2690">
        <v>6.22</v>
      </c>
      <c r="H2690">
        <v>0</v>
      </c>
      <c r="I2690">
        <v>0</v>
      </c>
      <c r="J2690" t="s">
        <v>2993</v>
      </c>
      <c r="K2690">
        <v>5.08</v>
      </c>
      <c r="L2690">
        <v>4.55</v>
      </c>
    </row>
    <row r="2691" spans="2:12">
      <c r="B2691" t="s">
        <v>2971</v>
      </c>
      <c r="C2691" t="s">
        <v>212</v>
      </c>
      <c r="D2691" t="s">
        <v>212</v>
      </c>
      <c r="E2691" t="s">
        <v>212</v>
      </c>
      <c r="F2691" t="s">
        <v>212</v>
      </c>
      <c r="G2691" t="s">
        <v>212</v>
      </c>
      <c r="H2691" t="s">
        <v>212</v>
      </c>
      <c r="I2691" t="s">
        <v>212</v>
      </c>
      <c r="J2691" t="s">
        <v>212</v>
      </c>
      <c r="K2691" t="s">
        <v>212</v>
      </c>
      <c r="L2691" t="s">
        <v>212</v>
      </c>
    </row>
    <row r="2692" spans="2:12">
      <c r="B2692" t="s">
        <v>2972</v>
      </c>
      <c r="C2692" t="s">
        <v>212</v>
      </c>
      <c r="D2692" t="s">
        <v>212</v>
      </c>
      <c r="E2692" t="s">
        <v>212</v>
      </c>
      <c r="F2692" t="s">
        <v>212</v>
      </c>
      <c r="G2692" t="s">
        <v>212</v>
      </c>
      <c r="H2692" t="s">
        <v>212</v>
      </c>
      <c r="I2692" t="s">
        <v>212</v>
      </c>
      <c r="J2692" t="s">
        <v>212</v>
      </c>
      <c r="K2692" t="s">
        <v>212</v>
      </c>
      <c r="L2692" t="s">
        <v>212</v>
      </c>
    </row>
    <row r="2693" spans="2:12">
      <c r="B2693" t="s">
        <v>2973</v>
      </c>
      <c r="C2693" t="s">
        <v>212</v>
      </c>
      <c r="D2693" t="s">
        <v>212</v>
      </c>
      <c r="E2693" t="s">
        <v>212</v>
      </c>
      <c r="F2693" t="s">
        <v>212</v>
      </c>
      <c r="G2693" t="s">
        <v>212</v>
      </c>
      <c r="H2693" t="s">
        <v>212</v>
      </c>
      <c r="I2693" t="s">
        <v>212</v>
      </c>
      <c r="J2693" t="s">
        <v>212</v>
      </c>
      <c r="K2693" t="s">
        <v>212</v>
      </c>
      <c r="L2693" t="s">
        <v>212</v>
      </c>
    </row>
    <row r="2694" spans="2:12">
      <c r="B2694" t="s">
        <v>820</v>
      </c>
      <c r="C2694" t="s">
        <v>212</v>
      </c>
      <c r="D2694" t="s">
        <v>212</v>
      </c>
      <c r="E2694" t="s">
        <v>212</v>
      </c>
      <c r="F2694" t="s">
        <v>212</v>
      </c>
      <c r="G2694" t="s">
        <v>212</v>
      </c>
      <c r="H2694" t="s">
        <v>212</v>
      </c>
      <c r="I2694" t="s">
        <v>212</v>
      </c>
      <c r="J2694" t="s">
        <v>212</v>
      </c>
      <c r="K2694" t="s">
        <v>212</v>
      </c>
      <c r="L2694" t="s">
        <v>212</v>
      </c>
    </row>
    <row r="2695" spans="2:12">
      <c r="B2695" t="s">
        <v>2974</v>
      </c>
      <c r="C2695" t="s">
        <v>212</v>
      </c>
      <c r="D2695" t="s">
        <v>212</v>
      </c>
      <c r="E2695" t="s">
        <v>212</v>
      </c>
      <c r="F2695" t="s">
        <v>212</v>
      </c>
      <c r="G2695" t="s">
        <v>212</v>
      </c>
      <c r="H2695" t="s">
        <v>212</v>
      </c>
      <c r="I2695" t="s">
        <v>212</v>
      </c>
      <c r="J2695" t="s">
        <v>212</v>
      </c>
      <c r="K2695" t="s">
        <v>212</v>
      </c>
      <c r="L2695" t="s">
        <v>212</v>
      </c>
    </row>
    <row r="2696" spans="2:12">
      <c r="B2696" t="s">
        <v>2975</v>
      </c>
      <c r="C2696" t="s">
        <v>212</v>
      </c>
      <c r="D2696" t="s">
        <v>212</v>
      </c>
      <c r="E2696" t="s">
        <v>212</v>
      </c>
      <c r="F2696" t="s">
        <v>212</v>
      </c>
      <c r="G2696" t="s">
        <v>212</v>
      </c>
      <c r="H2696" t="s">
        <v>212</v>
      </c>
      <c r="I2696" t="s">
        <v>212</v>
      </c>
      <c r="J2696" t="s">
        <v>212</v>
      </c>
      <c r="K2696" t="s">
        <v>212</v>
      </c>
      <c r="L2696" t="s">
        <v>212</v>
      </c>
    </row>
    <row r="2697" spans="2:12">
      <c r="B2697" t="s">
        <v>2976</v>
      </c>
      <c r="C2697" t="s">
        <v>212</v>
      </c>
      <c r="D2697" t="s">
        <v>212</v>
      </c>
      <c r="E2697" t="s">
        <v>212</v>
      </c>
      <c r="F2697" t="s">
        <v>212</v>
      </c>
      <c r="G2697" t="s">
        <v>212</v>
      </c>
      <c r="H2697" t="s">
        <v>212</v>
      </c>
      <c r="I2697" t="s">
        <v>212</v>
      </c>
      <c r="J2697" t="s">
        <v>212</v>
      </c>
      <c r="K2697" t="s">
        <v>212</v>
      </c>
      <c r="L2697" t="s">
        <v>212</v>
      </c>
    </row>
    <row r="2698" spans="2:12">
      <c r="B2698" t="s">
        <v>2977</v>
      </c>
      <c r="C2698" t="s">
        <v>212</v>
      </c>
      <c r="D2698" t="s">
        <v>212</v>
      </c>
      <c r="E2698" t="s">
        <v>212</v>
      </c>
      <c r="F2698" t="s">
        <v>212</v>
      </c>
      <c r="G2698" t="s">
        <v>212</v>
      </c>
      <c r="H2698" t="s">
        <v>212</v>
      </c>
      <c r="I2698" t="s">
        <v>212</v>
      </c>
      <c r="J2698" t="s">
        <v>212</v>
      </c>
      <c r="K2698" t="s">
        <v>212</v>
      </c>
      <c r="L2698" t="s">
        <v>212</v>
      </c>
    </row>
    <row r="2699" spans="2:12">
      <c r="B2699" t="s">
        <v>2978</v>
      </c>
      <c r="C2699" t="s">
        <v>212</v>
      </c>
      <c r="D2699" t="s">
        <v>212</v>
      </c>
      <c r="E2699" t="s">
        <v>212</v>
      </c>
      <c r="F2699" t="s">
        <v>212</v>
      </c>
      <c r="G2699" t="s">
        <v>212</v>
      </c>
      <c r="H2699" t="s">
        <v>212</v>
      </c>
      <c r="I2699" t="s">
        <v>212</v>
      </c>
      <c r="J2699" t="s">
        <v>212</v>
      </c>
      <c r="K2699" t="s">
        <v>212</v>
      </c>
      <c r="L2699" t="s">
        <v>212</v>
      </c>
    </row>
    <row r="2700" spans="2:12">
      <c r="B2700" t="s">
        <v>2979</v>
      </c>
      <c r="C2700" t="s">
        <v>212</v>
      </c>
      <c r="D2700" t="s">
        <v>212</v>
      </c>
      <c r="E2700" t="s">
        <v>212</v>
      </c>
      <c r="F2700" t="s">
        <v>212</v>
      </c>
      <c r="G2700" t="s">
        <v>212</v>
      </c>
      <c r="H2700" t="s">
        <v>212</v>
      </c>
      <c r="I2700" t="s">
        <v>212</v>
      </c>
      <c r="J2700" t="s">
        <v>212</v>
      </c>
      <c r="K2700" t="s">
        <v>212</v>
      </c>
      <c r="L2700" t="s">
        <v>212</v>
      </c>
    </row>
    <row r="2701" spans="2:12">
      <c r="B2701" t="s">
        <v>2980</v>
      </c>
      <c r="C2701" t="s">
        <v>212</v>
      </c>
      <c r="D2701" t="s">
        <v>212</v>
      </c>
      <c r="E2701" t="s">
        <v>212</v>
      </c>
      <c r="F2701" t="s">
        <v>212</v>
      </c>
      <c r="G2701" t="s">
        <v>212</v>
      </c>
      <c r="H2701" t="s">
        <v>212</v>
      </c>
      <c r="I2701" t="s">
        <v>212</v>
      </c>
      <c r="J2701" t="s">
        <v>212</v>
      </c>
      <c r="K2701" t="s">
        <v>212</v>
      </c>
      <c r="L2701" t="s">
        <v>212</v>
      </c>
    </row>
    <row r="2703" spans="2:12">
      <c r="B2703" t="s">
        <v>2981</v>
      </c>
      <c r="C2703">
        <v>2.42</v>
      </c>
      <c r="H2703">
        <v>0</v>
      </c>
    </row>
    <row r="2704" spans="2:12">
      <c r="B2704" t="s">
        <v>2982</v>
      </c>
      <c r="C2704">
        <v>2.42</v>
      </c>
      <c r="D2704">
        <v>3163.34</v>
      </c>
      <c r="F2704">
        <v>6.63</v>
      </c>
      <c r="G2704">
        <v>6.22</v>
      </c>
      <c r="H2704">
        <v>0</v>
      </c>
      <c r="I2704">
        <v>0</v>
      </c>
      <c r="K2704">
        <v>5.08</v>
      </c>
      <c r="L2704">
        <v>4.55</v>
      </c>
    </row>
    <row r="2705" spans="1:12">
      <c r="B2705" t="s">
        <v>2983</v>
      </c>
      <c r="C2705">
        <v>2.42</v>
      </c>
      <c r="D2705">
        <v>3163.34</v>
      </c>
      <c r="F2705">
        <v>6.63</v>
      </c>
      <c r="G2705">
        <v>6.22</v>
      </c>
      <c r="H2705">
        <v>0</v>
      </c>
      <c r="I2705">
        <v>0</v>
      </c>
      <c r="K2705">
        <v>5.08</v>
      </c>
      <c r="L2705">
        <v>4.55</v>
      </c>
    </row>
    <row r="2708" spans="1:12">
      <c r="A2708" t="s">
        <v>1914</v>
      </c>
    </row>
    <row r="2709" spans="1:12">
      <c r="A2709" t="s">
        <v>1915</v>
      </c>
      <c r="B2709" t="s">
        <v>2984</v>
      </c>
    </row>
    <row r="2710" spans="1:12">
      <c r="A2710" t="s">
        <v>1917</v>
      </c>
      <c r="B2710" t="s">
        <v>2880</v>
      </c>
    </row>
    <row r="2711" spans="1:12">
      <c r="C2711" t="s">
        <v>2985</v>
      </c>
      <c r="D2711" t="s">
        <v>2986</v>
      </c>
      <c r="E2711" t="s">
        <v>2987</v>
      </c>
      <c r="F2711" t="s">
        <v>2988</v>
      </c>
      <c r="G2711" t="s">
        <v>2989</v>
      </c>
      <c r="H2711" t="s">
        <v>2990</v>
      </c>
      <c r="I2711" t="s">
        <v>2991</v>
      </c>
      <c r="J2711" t="s">
        <v>2992</v>
      </c>
      <c r="K2711" t="s">
        <v>2988</v>
      </c>
      <c r="L2711" t="s">
        <v>2989</v>
      </c>
    </row>
    <row r="2712" spans="1:12">
      <c r="B2712" t="s">
        <v>2970</v>
      </c>
      <c r="C2712">
        <v>2.96</v>
      </c>
      <c r="D2712">
        <v>1308.8699999999999</v>
      </c>
      <c r="E2712" t="s">
        <v>3017</v>
      </c>
      <c r="F2712">
        <v>6.4</v>
      </c>
      <c r="G2712">
        <v>6.03</v>
      </c>
      <c r="H2712">
        <v>0</v>
      </c>
      <c r="I2712">
        <v>0</v>
      </c>
      <c r="J2712" t="s">
        <v>2993</v>
      </c>
      <c r="K2712">
        <v>5.08</v>
      </c>
      <c r="L2712">
        <v>4.55</v>
      </c>
    </row>
    <row r="2713" spans="1:12">
      <c r="B2713" t="s">
        <v>2971</v>
      </c>
      <c r="C2713" t="s">
        <v>212</v>
      </c>
      <c r="D2713" t="s">
        <v>212</v>
      </c>
      <c r="E2713" t="s">
        <v>212</v>
      </c>
      <c r="F2713" t="s">
        <v>212</v>
      </c>
      <c r="G2713" t="s">
        <v>212</v>
      </c>
      <c r="H2713" t="s">
        <v>212</v>
      </c>
      <c r="I2713" t="s">
        <v>212</v>
      </c>
      <c r="J2713" t="s">
        <v>212</v>
      </c>
      <c r="K2713" t="s">
        <v>212</v>
      </c>
      <c r="L2713" t="s">
        <v>212</v>
      </c>
    </row>
    <row r="2714" spans="1:12">
      <c r="B2714" t="s">
        <v>2972</v>
      </c>
      <c r="C2714" t="s">
        <v>212</v>
      </c>
      <c r="D2714" t="s">
        <v>212</v>
      </c>
      <c r="E2714" t="s">
        <v>212</v>
      </c>
      <c r="F2714" t="s">
        <v>212</v>
      </c>
      <c r="G2714" t="s">
        <v>212</v>
      </c>
      <c r="H2714" t="s">
        <v>212</v>
      </c>
      <c r="I2714" t="s">
        <v>212</v>
      </c>
      <c r="J2714" t="s">
        <v>212</v>
      </c>
      <c r="K2714" t="s">
        <v>212</v>
      </c>
      <c r="L2714" t="s">
        <v>212</v>
      </c>
    </row>
    <row r="2715" spans="1:12">
      <c r="B2715" t="s">
        <v>2973</v>
      </c>
      <c r="C2715" t="s">
        <v>212</v>
      </c>
      <c r="D2715" t="s">
        <v>212</v>
      </c>
      <c r="E2715" t="s">
        <v>212</v>
      </c>
      <c r="F2715" t="s">
        <v>212</v>
      </c>
      <c r="G2715" t="s">
        <v>212</v>
      </c>
      <c r="H2715" t="s">
        <v>212</v>
      </c>
      <c r="I2715" t="s">
        <v>212</v>
      </c>
      <c r="J2715" t="s">
        <v>212</v>
      </c>
      <c r="K2715" t="s">
        <v>212</v>
      </c>
      <c r="L2715" t="s">
        <v>212</v>
      </c>
    </row>
    <row r="2716" spans="1:12">
      <c r="B2716" t="s">
        <v>820</v>
      </c>
      <c r="C2716" t="s">
        <v>212</v>
      </c>
      <c r="D2716" t="s">
        <v>212</v>
      </c>
      <c r="E2716" t="s">
        <v>212</v>
      </c>
      <c r="F2716" t="s">
        <v>212</v>
      </c>
      <c r="G2716" t="s">
        <v>212</v>
      </c>
      <c r="H2716" t="s">
        <v>212</v>
      </c>
      <c r="I2716" t="s">
        <v>212</v>
      </c>
      <c r="J2716" t="s">
        <v>212</v>
      </c>
      <c r="K2716" t="s">
        <v>212</v>
      </c>
      <c r="L2716" t="s">
        <v>212</v>
      </c>
    </row>
    <row r="2717" spans="1:12">
      <c r="B2717" t="s">
        <v>2974</v>
      </c>
      <c r="C2717" t="s">
        <v>212</v>
      </c>
      <c r="D2717" t="s">
        <v>212</v>
      </c>
      <c r="E2717" t="s">
        <v>212</v>
      </c>
      <c r="F2717" t="s">
        <v>212</v>
      </c>
      <c r="G2717" t="s">
        <v>212</v>
      </c>
      <c r="H2717" t="s">
        <v>212</v>
      </c>
      <c r="I2717" t="s">
        <v>212</v>
      </c>
      <c r="J2717" t="s">
        <v>212</v>
      </c>
      <c r="K2717" t="s">
        <v>212</v>
      </c>
      <c r="L2717" t="s">
        <v>212</v>
      </c>
    </row>
    <row r="2718" spans="1:12">
      <c r="B2718" t="s">
        <v>2975</v>
      </c>
      <c r="C2718" t="s">
        <v>212</v>
      </c>
      <c r="D2718" t="s">
        <v>212</v>
      </c>
      <c r="E2718" t="s">
        <v>212</v>
      </c>
      <c r="F2718" t="s">
        <v>212</v>
      </c>
      <c r="G2718" t="s">
        <v>212</v>
      </c>
      <c r="H2718" t="s">
        <v>212</v>
      </c>
      <c r="I2718" t="s">
        <v>212</v>
      </c>
      <c r="J2718" t="s">
        <v>212</v>
      </c>
      <c r="K2718" t="s">
        <v>212</v>
      </c>
      <c r="L2718" t="s">
        <v>212</v>
      </c>
    </row>
    <row r="2719" spans="1:12">
      <c r="B2719" t="s">
        <v>2976</v>
      </c>
      <c r="C2719" t="s">
        <v>212</v>
      </c>
      <c r="D2719" t="s">
        <v>212</v>
      </c>
      <c r="E2719" t="s">
        <v>212</v>
      </c>
      <c r="F2719" t="s">
        <v>212</v>
      </c>
      <c r="G2719" t="s">
        <v>212</v>
      </c>
      <c r="H2719" t="s">
        <v>212</v>
      </c>
      <c r="I2719" t="s">
        <v>212</v>
      </c>
      <c r="J2719" t="s">
        <v>212</v>
      </c>
      <c r="K2719" t="s">
        <v>212</v>
      </c>
      <c r="L2719" t="s">
        <v>212</v>
      </c>
    </row>
    <row r="2720" spans="1:12">
      <c r="B2720" t="s">
        <v>2977</v>
      </c>
      <c r="C2720" t="s">
        <v>212</v>
      </c>
      <c r="D2720" t="s">
        <v>212</v>
      </c>
      <c r="E2720" t="s">
        <v>212</v>
      </c>
      <c r="F2720" t="s">
        <v>212</v>
      </c>
      <c r="G2720" t="s">
        <v>212</v>
      </c>
      <c r="H2720" t="s">
        <v>212</v>
      </c>
      <c r="I2720" t="s">
        <v>212</v>
      </c>
      <c r="J2720" t="s">
        <v>212</v>
      </c>
      <c r="K2720" t="s">
        <v>212</v>
      </c>
      <c r="L2720" t="s">
        <v>212</v>
      </c>
    </row>
    <row r="2721" spans="1:12">
      <c r="B2721" t="s">
        <v>2978</v>
      </c>
      <c r="C2721" t="s">
        <v>212</v>
      </c>
      <c r="D2721" t="s">
        <v>212</v>
      </c>
      <c r="E2721" t="s">
        <v>212</v>
      </c>
      <c r="F2721" t="s">
        <v>212</v>
      </c>
      <c r="G2721" t="s">
        <v>212</v>
      </c>
      <c r="H2721" t="s">
        <v>212</v>
      </c>
      <c r="I2721" t="s">
        <v>212</v>
      </c>
      <c r="J2721" t="s">
        <v>212</v>
      </c>
      <c r="K2721" t="s">
        <v>212</v>
      </c>
      <c r="L2721" t="s">
        <v>212</v>
      </c>
    </row>
    <row r="2722" spans="1:12">
      <c r="B2722" t="s">
        <v>2979</v>
      </c>
      <c r="C2722" t="s">
        <v>212</v>
      </c>
      <c r="D2722" t="s">
        <v>212</v>
      </c>
      <c r="E2722" t="s">
        <v>212</v>
      </c>
      <c r="F2722" t="s">
        <v>212</v>
      </c>
      <c r="G2722" t="s">
        <v>212</v>
      </c>
      <c r="H2722" t="s">
        <v>212</v>
      </c>
      <c r="I2722" t="s">
        <v>212</v>
      </c>
      <c r="J2722" t="s">
        <v>212</v>
      </c>
      <c r="K2722" t="s">
        <v>212</v>
      </c>
      <c r="L2722" t="s">
        <v>212</v>
      </c>
    </row>
    <row r="2723" spans="1:12">
      <c r="B2723" t="s">
        <v>2980</v>
      </c>
      <c r="C2723" t="s">
        <v>212</v>
      </c>
      <c r="D2723" t="s">
        <v>212</v>
      </c>
      <c r="E2723" t="s">
        <v>212</v>
      </c>
      <c r="F2723" t="s">
        <v>212</v>
      </c>
      <c r="G2723" t="s">
        <v>212</v>
      </c>
      <c r="H2723" t="s">
        <v>212</v>
      </c>
      <c r="I2723" t="s">
        <v>212</v>
      </c>
      <c r="J2723" t="s">
        <v>212</v>
      </c>
      <c r="K2723" t="s">
        <v>212</v>
      </c>
      <c r="L2723" t="s">
        <v>212</v>
      </c>
    </row>
    <row r="2725" spans="1:12">
      <c r="B2725" t="s">
        <v>2981</v>
      </c>
      <c r="C2725">
        <v>2.96</v>
      </c>
      <c r="H2725">
        <v>0</v>
      </c>
    </row>
    <row r="2726" spans="1:12">
      <c r="B2726" t="s">
        <v>2982</v>
      </c>
      <c r="C2726">
        <v>2.96</v>
      </c>
      <c r="D2726">
        <v>1308.8699999999999</v>
      </c>
      <c r="F2726">
        <v>6.4</v>
      </c>
      <c r="G2726">
        <v>6.03</v>
      </c>
      <c r="H2726">
        <v>0</v>
      </c>
      <c r="I2726">
        <v>0</v>
      </c>
      <c r="K2726">
        <v>5.08</v>
      </c>
      <c r="L2726">
        <v>4.55</v>
      </c>
    </row>
    <row r="2727" spans="1:12">
      <c r="B2727" t="s">
        <v>2983</v>
      </c>
      <c r="C2727">
        <v>2.96</v>
      </c>
      <c r="D2727">
        <v>1308.8699999999999</v>
      </c>
      <c r="F2727">
        <v>6.4</v>
      </c>
      <c r="G2727">
        <v>6.03</v>
      </c>
      <c r="H2727">
        <v>0</v>
      </c>
      <c r="I2727">
        <v>0</v>
      </c>
      <c r="K2727">
        <v>5.08</v>
      </c>
      <c r="L2727">
        <v>4.55</v>
      </c>
    </row>
    <row r="2730" spans="1:12">
      <c r="A2730" t="s">
        <v>1914</v>
      </c>
    </row>
    <row r="2731" spans="1:12">
      <c r="A2731" t="s">
        <v>1915</v>
      </c>
      <c r="B2731" t="s">
        <v>2984</v>
      </c>
    </row>
    <row r="2732" spans="1:12">
      <c r="A2732" t="s">
        <v>1917</v>
      </c>
      <c r="B2732" t="s">
        <v>2881</v>
      </c>
    </row>
    <row r="2733" spans="1:12">
      <c r="C2733" t="s">
        <v>2985</v>
      </c>
      <c r="D2733" t="s">
        <v>2986</v>
      </c>
      <c r="E2733" t="s">
        <v>2987</v>
      </c>
      <c r="F2733" t="s">
        <v>2988</v>
      </c>
      <c r="G2733" t="s">
        <v>2989</v>
      </c>
      <c r="H2733" t="s">
        <v>2990</v>
      </c>
      <c r="I2733" t="s">
        <v>2991</v>
      </c>
      <c r="J2733" t="s">
        <v>2992</v>
      </c>
      <c r="K2733" t="s">
        <v>2988</v>
      </c>
      <c r="L2733" t="s">
        <v>2989</v>
      </c>
    </row>
    <row r="2734" spans="1:12">
      <c r="B2734" t="s">
        <v>2970</v>
      </c>
      <c r="C2734">
        <v>2.0699999999999998</v>
      </c>
      <c r="D2734">
        <v>1003.48</v>
      </c>
      <c r="E2734" t="s">
        <v>3017</v>
      </c>
      <c r="F2734">
        <v>6.4</v>
      </c>
      <c r="G2734">
        <v>6.03</v>
      </c>
      <c r="H2734">
        <v>0</v>
      </c>
      <c r="I2734">
        <v>0</v>
      </c>
      <c r="J2734" t="s">
        <v>2993</v>
      </c>
      <c r="K2734">
        <v>5.08</v>
      </c>
      <c r="L2734">
        <v>4.55</v>
      </c>
    </row>
    <row r="2735" spans="1:12">
      <c r="B2735" t="s">
        <v>2971</v>
      </c>
      <c r="C2735" t="s">
        <v>212</v>
      </c>
      <c r="D2735" t="s">
        <v>212</v>
      </c>
      <c r="E2735" t="s">
        <v>212</v>
      </c>
      <c r="F2735" t="s">
        <v>212</v>
      </c>
      <c r="G2735" t="s">
        <v>212</v>
      </c>
      <c r="H2735" t="s">
        <v>212</v>
      </c>
      <c r="I2735" t="s">
        <v>212</v>
      </c>
      <c r="J2735" t="s">
        <v>212</v>
      </c>
      <c r="K2735" t="s">
        <v>212</v>
      </c>
      <c r="L2735" t="s">
        <v>212</v>
      </c>
    </row>
    <row r="2736" spans="1:12">
      <c r="B2736" t="s">
        <v>2972</v>
      </c>
      <c r="C2736" t="s">
        <v>212</v>
      </c>
      <c r="D2736" t="s">
        <v>212</v>
      </c>
      <c r="E2736" t="s">
        <v>212</v>
      </c>
      <c r="F2736" t="s">
        <v>212</v>
      </c>
      <c r="G2736" t="s">
        <v>212</v>
      </c>
      <c r="H2736" t="s">
        <v>212</v>
      </c>
      <c r="I2736" t="s">
        <v>212</v>
      </c>
      <c r="J2736" t="s">
        <v>212</v>
      </c>
      <c r="K2736" t="s">
        <v>212</v>
      </c>
      <c r="L2736" t="s">
        <v>212</v>
      </c>
    </row>
    <row r="2737" spans="1:12">
      <c r="B2737" t="s">
        <v>2973</v>
      </c>
      <c r="C2737" t="s">
        <v>212</v>
      </c>
      <c r="D2737" t="s">
        <v>212</v>
      </c>
      <c r="E2737" t="s">
        <v>212</v>
      </c>
      <c r="F2737" t="s">
        <v>212</v>
      </c>
      <c r="G2737" t="s">
        <v>212</v>
      </c>
      <c r="H2737" t="s">
        <v>212</v>
      </c>
      <c r="I2737" t="s">
        <v>212</v>
      </c>
      <c r="J2737" t="s">
        <v>212</v>
      </c>
      <c r="K2737" t="s">
        <v>212</v>
      </c>
      <c r="L2737" t="s">
        <v>212</v>
      </c>
    </row>
    <row r="2738" spans="1:12">
      <c r="B2738" t="s">
        <v>820</v>
      </c>
      <c r="C2738" t="s">
        <v>212</v>
      </c>
      <c r="D2738" t="s">
        <v>212</v>
      </c>
      <c r="E2738" t="s">
        <v>212</v>
      </c>
      <c r="F2738" t="s">
        <v>212</v>
      </c>
      <c r="G2738" t="s">
        <v>212</v>
      </c>
      <c r="H2738" t="s">
        <v>212</v>
      </c>
      <c r="I2738" t="s">
        <v>212</v>
      </c>
      <c r="J2738" t="s">
        <v>212</v>
      </c>
      <c r="K2738" t="s">
        <v>212</v>
      </c>
      <c r="L2738" t="s">
        <v>212</v>
      </c>
    </row>
    <row r="2739" spans="1:12">
      <c r="B2739" t="s">
        <v>2974</v>
      </c>
      <c r="C2739" t="s">
        <v>212</v>
      </c>
      <c r="D2739" t="s">
        <v>212</v>
      </c>
      <c r="E2739" t="s">
        <v>212</v>
      </c>
      <c r="F2739" t="s">
        <v>212</v>
      </c>
      <c r="G2739" t="s">
        <v>212</v>
      </c>
      <c r="H2739" t="s">
        <v>212</v>
      </c>
      <c r="I2739" t="s">
        <v>212</v>
      </c>
      <c r="J2739" t="s">
        <v>212</v>
      </c>
      <c r="K2739" t="s">
        <v>212</v>
      </c>
      <c r="L2739" t="s">
        <v>212</v>
      </c>
    </row>
    <row r="2740" spans="1:12">
      <c r="B2740" t="s">
        <v>2975</v>
      </c>
      <c r="C2740" t="s">
        <v>212</v>
      </c>
      <c r="D2740" t="s">
        <v>212</v>
      </c>
      <c r="E2740" t="s">
        <v>212</v>
      </c>
      <c r="F2740" t="s">
        <v>212</v>
      </c>
      <c r="G2740" t="s">
        <v>212</v>
      </c>
      <c r="H2740" t="s">
        <v>212</v>
      </c>
      <c r="I2740" t="s">
        <v>212</v>
      </c>
      <c r="J2740" t="s">
        <v>212</v>
      </c>
      <c r="K2740" t="s">
        <v>212</v>
      </c>
      <c r="L2740" t="s">
        <v>212</v>
      </c>
    </row>
    <row r="2741" spans="1:12">
      <c r="B2741" t="s">
        <v>2976</v>
      </c>
      <c r="C2741" t="s">
        <v>212</v>
      </c>
      <c r="D2741" t="s">
        <v>212</v>
      </c>
      <c r="E2741" t="s">
        <v>212</v>
      </c>
      <c r="F2741" t="s">
        <v>212</v>
      </c>
      <c r="G2741" t="s">
        <v>212</v>
      </c>
      <c r="H2741" t="s">
        <v>212</v>
      </c>
      <c r="I2741" t="s">
        <v>212</v>
      </c>
      <c r="J2741" t="s">
        <v>212</v>
      </c>
      <c r="K2741" t="s">
        <v>212</v>
      </c>
      <c r="L2741" t="s">
        <v>212</v>
      </c>
    </row>
    <row r="2742" spans="1:12">
      <c r="B2742" t="s">
        <v>2977</v>
      </c>
      <c r="C2742" t="s">
        <v>212</v>
      </c>
      <c r="D2742" t="s">
        <v>212</v>
      </c>
      <c r="E2742" t="s">
        <v>212</v>
      </c>
      <c r="F2742" t="s">
        <v>212</v>
      </c>
      <c r="G2742" t="s">
        <v>212</v>
      </c>
      <c r="H2742" t="s">
        <v>212</v>
      </c>
      <c r="I2742" t="s">
        <v>212</v>
      </c>
      <c r="J2742" t="s">
        <v>212</v>
      </c>
      <c r="K2742" t="s">
        <v>212</v>
      </c>
      <c r="L2742" t="s">
        <v>212</v>
      </c>
    </row>
    <row r="2743" spans="1:12">
      <c r="B2743" t="s">
        <v>2978</v>
      </c>
      <c r="C2743" t="s">
        <v>212</v>
      </c>
      <c r="D2743" t="s">
        <v>212</v>
      </c>
      <c r="E2743" t="s">
        <v>212</v>
      </c>
      <c r="F2743" t="s">
        <v>212</v>
      </c>
      <c r="G2743" t="s">
        <v>212</v>
      </c>
      <c r="H2743" t="s">
        <v>212</v>
      </c>
      <c r="I2743" t="s">
        <v>212</v>
      </c>
      <c r="J2743" t="s">
        <v>212</v>
      </c>
      <c r="K2743" t="s">
        <v>212</v>
      </c>
      <c r="L2743" t="s">
        <v>212</v>
      </c>
    </row>
    <row r="2744" spans="1:12">
      <c r="B2744" t="s">
        <v>2979</v>
      </c>
      <c r="C2744" t="s">
        <v>212</v>
      </c>
      <c r="D2744" t="s">
        <v>212</v>
      </c>
      <c r="E2744" t="s">
        <v>212</v>
      </c>
      <c r="F2744" t="s">
        <v>212</v>
      </c>
      <c r="G2744" t="s">
        <v>212</v>
      </c>
      <c r="H2744" t="s">
        <v>212</v>
      </c>
      <c r="I2744" t="s">
        <v>212</v>
      </c>
      <c r="J2744" t="s">
        <v>212</v>
      </c>
      <c r="K2744" t="s">
        <v>212</v>
      </c>
      <c r="L2744" t="s">
        <v>212</v>
      </c>
    </row>
    <row r="2745" spans="1:12">
      <c r="B2745" t="s">
        <v>2980</v>
      </c>
      <c r="C2745" t="s">
        <v>212</v>
      </c>
      <c r="D2745" t="s">
        <v>212</v>
      </c>
      <c r="E2745" t="s">
        <v>212</v>
      </c>
      <c r="F2745" t="s">
        <v>212</v>
      </c>
      <c r="G2745" t="s">
        <v>212</v>
      </c>
      <c r="H2745" t="s">
        <v>212</v>
      </c>
      <c r="I2745" t="s">
        <v>212</v>
      </c>
      <c r="J2745" t="s">
        <v>212</v>
      </c>
      <c r="K2745" t="s">
        <v>212</v>
      </c>
      <c r="L2745" t="s">
        <v>212</v>
      </c>
    </row>
    <row r="2747" spans="1:12">
      <c r="B2747" t="s">
        <v>2981</v>
      </c>
      <c r="C2747">
        <v>2.0699999999999998</v>
      </c>
      <c r="H2747">
        <v>0</v>
      </c>
    </row>
    <row r="2748" spans="1:12">
      <c r="B2748" t="s">
        <v>2982</v>
      </c>
      <c r="C2748">
        <v>2.0699999999999998</v>
      </c>
      <c r="D2748">
        <v>1003.48</v>
      </c>
      <c r="F2748">
        <v>6.4</v>
      </c>
      <c r="G2748">
        <v>6.03</v>
      </c>
      <c r="H2748">
        <v>0</v>
      </c>
      <c r="I2748">
        <v>0</v>
      </c>
      <c r="K2748">
        <v>5.08</v>
      </c>
      <c r="L2748">
        <v>4.55</v>
      </c>
    </row>
    <row r="2749" spans="1:12">
      <c r="B2749" t="s">
        <v>2983</v>
      </c>
      <c r="C2749">
        <v>2.0699999999999998</v>
      </c>
      <c r="D2749">
        <v>1003.48</v>
      </c>
      <c r="F2749">
        <v>6.4</v>
      </c>
      <c r="G2749">
        <v>6.03</v>
      </c>
      <c r="H2749">
        <v>0</v>
      </c>
      <c r="I2749">
        <v>0</v>
      </c>
      <c r="K2749">
        <v>5.08</v>
      </c>
      <c r="L2749">
        <v>4.55</v>
      </c>
    </row>
    <row r="2752" spans="1:12">
      <c r="A2752" t="s">
        <v>1914</v>
      </c>
    </row>
    <row r="2753" spans="1:12">
      <c r="A2753" t="s">
        <v>1915</v>
      </c>
      <c r="B2753" t="s">
        <v>2984</v>
      </c>
    </row>
    <row r="2754" spans="1:12">
      <c r="A2754" t="s">
        <v>1917</v>
      </c>
      <c r="B2754" t="s">
        <v>2882</v>
      </c>
    </row>
    <row r="2755" spans="1:12">
      <c r="C2755" t="s">
        <v>2985</v>
      </c>
      <c r="D2755" t="s">
        <v>2986</v>
      </c>
      <c r="E2755" t="s">
        <v>2987</v>
      </c>
      <c r="F2755" t="s">
        <v>2988</v>
      </c>
      <c r="G2755" t="s">
        <v>2989</v>
      </c>
      <c r="H2755" t="s">
        <v>2990</v>
      </c>
      <c r="I2755" t="s">
        <v>2991</v>
      </c>
      <c r="J2755" t="s">
        <v>2992</v>
      </c>
      <c r="K2755" t="s">
        <v>2988</v>
      </c>
      <c r="L2755" t="s">
        <v>2989</v>
      </c>
    </row>
    <row r="2756" spans="1:12">
      <c r="B2756" t="s">
        <v>2970</v>
      </c>
      <c r="C2756">
        <v>3.7</v>
      </c>
      <c r="D2756">
        <v>1767.34</v>
      </c>
      <c r="E2756" t="s">
        <v>3018</v>
      </c>
      <c r="F2756">
        <v>5.88</v>
      </c>
      <c r="G2756">
        <v>5.57</v>
      </c>
      <c r="H2756">
        <v>0</v>
      </c>
      <c r="I2756">
        <v>0</v>
      </c>
      <c r="J2756" t="s">
        <v>2993</v>
      </c>
      <c r="K2756">
        <v>5.08</v>
      </c>
      <c r="L2756">
        <v>4.55</v>
      </c>
    </row>
    <row r="2757" spans="1:12">
      <c r="B2757" t="s">
        <v>2971</v>
      </c>
      <c r="C2757" t="s">
        <v>212</v>
      </c>
      <c r="D2757" t="s">
        <v>212</v>
      </c>
      <c r="E2757" t="s">
        <v>212</v>
      </c>
      <c r="F2757" t="s">
        <v>212</v>
      </c>
      <c r="G2757" t="s">
        <v>212</v>
      </c>
      <c r="H2757" t="s">
        <v>212</v>
      </c>
      <c r="I2757" t="s">
        <v>212</v>
      </c>
      <c r="J2757" t="s">
        <v>212</v>
      </c>
      <c r="K2757" t="s">
        <v>212</v>
      </c>
      <c r="L2757" t="s">
        <v>212</v>
      </c>
    </row>
    <row r="2758" spans="1:12">
      <c r="B2758" t="s">
        <v>2972</v>
      </c>
      <c r="C2758" t="s">
        <v>212</v>
      </c>
      <c r="D2758" t="s">
        <v>212</v>
      </c>
      <c r="E2758" t="s">
        <v>212</v>
      </c>
      <c r="F2758" t="s">
        <v>212</v>
      </c>
      <c r="G2758" t="s">
        <v>212</v>
      </c>
      <c r="H2758" t="s">
        <v>212</v>
      </c>
      <c r="I2758" t="s">
        <v>212</v>
      </c>
      <c r="J2758" t="s">
        <v>212</v>
      </c>
      <c r="K2758" t="s">
        <v>212</v>
      </c>
      <c r="L2758" t="s">
        <v>212</v>
      </c>
    </row>
    <row r="2759" spans="1:12">
      <c r="B2759" t="s">
        <v>2973</v>
      </c>
      <c r="C2759" t="s">
        <v>212</v>
      </c>
      <c r="D2759" t="s">
        <v>212</v>
      </c>
      <c r="E2759" t="s">
        <v>212</v>
      </c>
      <c r="F2759" t="s">
        <v>212</v>
      </c>
      <c r="G2759" t="s">
        <v>212</v>
      </c>
      <c r="H2759" t="s">
        <v>212</v>
      </c>
      <c r="I2759" t="s">
        <v>212</v>
      </c>
      <c r="J2759" t="s">
        <v>212</v>
      </c>
      <c r="K2759" t="s">
        <v>212</v>
      </c>
      <c r="L2759" t="s">
        <v>212</v>
      </c>
    </row>
    <row r="2760" spans="1:12">
      <c r="B2760" t="s">
        <v>820</v>
      </c>
      <c r="C2760" t="s">
        <v>212</v>
      </c>
      <c r="D2760" t="s">
        <v>212</v>
      </c>
      <c r="E2760" t="s">
        <v>212</v>
      </c>
      <c r="F2760" t="s">
        <v>212</v>
      </c>
      <c r="G2760" t="s">
        <v>212</v>
      </c>
      <c r="H2760" t="s">
        <v>212</v>
      </c>
      <c r="I2760" t="s">
        <v>212</v>
      </c>
      <c r="J2760" t="s">
        <v>212</v>
      </c>
      <c r="K2760" t="s">
        <v>212</v>
      </c>
      <c r="L2760" t="s">
        <v>212</v>
      </c>
    </row>
    <row r="2761" spans="1:12">
      <c r="B2761" t="s">
        <v>2974</v>
      </c>
      <c r="C2761" t="s">
        <v>212</v>
      </c>
      <c r="D2761" t="s">
        <v>212</v>
      </c>
      <c r="E2761" t="s">
        <v>212</v>
      </c>
      <c r="F2761" t="s">
        <v>212</v>
      </c>
      <c r="G2761" t="s">
        <v>212</v>
      </c>
      <c r="H2761" t="s">
        <v>212</v>
      </c>
      <c r="I2761" t="s">
        <v>212</v>
      </c>
      <c r="J2761" t="s">
        <v>212</v>
      </c>
      <c r="K2761" t="s">
        <v>212</v>
      </c>
      <c r="L2761" t="s">
        <v>212</v>
      </c>
    </row>
    <row r="2762" spans="1:12">
      <c r="B2762" t="s">
        <v>2975</v>
      </c>
      <c r="C2762" t="s">
        <v>212</v>
      </c>
      <c r="D2762" t="s">
        <v>212</v>
      </c>
      <c r="E2762" t="s">
        <v>212</v>
      </c>
      <c r="F2762" t="s">
        <v>212</v>
      </c>
      <c r="G2762" t="s">
        <v>212</v>
      </c>
      <c r="H2762" t="s">
        <v>212</v>
      </c>
      <c r="I2762" t="s">
        <v>212</v>
      </c>
      <c r="J2762" t="s">
        <v>212</v>
      </c>
      <c r="K2762" t="s">
        <v>212</v>
      </c>
      <c r="L2762" t="s">
        <v>212</v>
      </c>
    </row>
    <row r="2763" spans="1:12">
      <c r="B2763" t="s">
        <v>2976</v>
      </c>
      <c r="C2763" t="s">
        <v>212</v>
      </c>
      <c r="D2763" t="s">
        <v>212</v>
      </c>
      <c r="E2763" t="s">
        <v>212</v>
      </c>
      <c r="F2763" t="s">
        <v>212</v>
      </c>
      <c r="G2763" t="s">
        <v>212</v>
      </c>
      <c r="H2763" t="s">
        <v>212</v>
      </c>
      <c r="I2763" t="s">
        <v>212</v>
      </c>
      <c r="J2763" t="s">
        <v>212</v>
      </c>
      <c r="K2763" t="s">
        <v>212</v>
      </c>
      <c r="L2763" t="s">
        <v>212</v>
      </c>
    </row>
    <row r="2764" spans="1:12">
      <c r="B2764" t="s">
        <v>2977</v>
      </c>
      <c r="C2764" t="s">
        <v>212</v>
      </c>
      <c r="D2764" t="s">
        <v>212</v>
      </c>
      <c r="E2764" t="s">
        <v>212</v>
      </c>
      <c r="F2764" t="s">
        <v>212</v>
      </c>
      <c r="G2764" t="s">
        <v>212</v>
      </c>
      <c r="H2764" t="s">
        <v>212</v>
      </c>
      <c r="I2764" t="s">
        <v>212</v>
      </c>
      <c r="J2764" t="s">
        <v>212</v>
      </c>
      <c r="K2764" t="s">
        <v>212</v>
      </c>
      <c r="L2764" t="s">
        <v>212</v>
      </c>
    </row>
    <row r="2765" spans="1:12">
      <c r="B2765" t="s">
        <v>2978</v>
      </c>
      <c r="C2765" t="s">
        <v>212</v>
      </c>
      <c r="D2765" t="s">
        <v>212</v>
      </c>
      <c r="E2765" t="s">
        <v>212</v>
      </c>
      <c r="F2765" t="s">
        <v>212</v>
      </c>
      <c r="G2765" t="s">
        <v>212</v>
      </c>
      <c r="H2765" t="s">
        <v>212</v>
      </c>
      <c r="I2765" t="s">
        <v>212</v>
      </c>
      <c r="J2765" t="s">
        <v>212</v>
      </c>
      <c r="K2765" t="s">
        <v>212</v>
      </c>
      <c r="L2765" t="s">
        <v>212</v>
      </c>
    </row>
    <row r="2766" spans="1:12">
      <c r="B2766" t="s">
        <v>2979</v>
      </c>
      <c r="C2766" t="s">
        <v>212</v>
      </c>
      <c r="D2766" t="s">
        <v>212</v>
      </c>
      <c r="E2766" t="s">
        <v>212</v>
      </c>
      <c r="F2766" t="s">
        <v>212</v>
      </c>
      <c r="G2766" t="s">
        <v>212</v>
      </c>
      <c r="H2766" t="s">
        <v>212</v>
      </c>
      <c r="I2766" t="s">
        <v>212</v>
      </c>
      <c r="J2766" t="s">
        <v>212</v>
      </c>
      <c r="K2766" t="s">
        <v>212</v>
      </c>
      <c r="L2766" t="s">
        <v>212</v>
      </c>
    </row>
    <row r="2767" spans="1:12">
      <c r="B2767" t="s">
        <v>2980</v>
      </c>
      <c r="C2767" t="s">
        <v>212</v>
      </c>
      <c r="D2767" t="s">
        <v>212</v>
      </c>
      <c r="E2767" t="s">
        <v>212</v>
      </c>
      <c r="F2767" t="s">
        <v>212</v>
      </c>
      <c r="G2767" t="s">
        <v>212</v>
      </c>
      <c r="H2767" t="s">
        <v>212</v>
      </c>
      <c r="I2767" t="s">
        <v>212</v>
      </c>
      <c r="J2767" t="s">
        <v>212</v>
      </c>
      <c r="K2767" t="s">
        <v>212</v>
      </c>
      <c r="L2767" t="s">
        <v>212</v>
      </c>
    </row>
    <row r="2769" spans="1:12">
      <c r="B2769" t="s">
        <v>2981</v>
      </c>
      <c r="C2769">
        <v>3.7</v>
      </c>
      <c r="H2769">
        <v>0</v>
      </c>
    </row>
    <row r="2770" spans="1:12">
      <c r="B2770" t="s">
        <v>2982</v>
      </c>
      <c r="C2770">
        <v>3.7</v>
      </c>
      <c r="D2770">
        <v>1767.34</v>
      </c>
      <c r="F2770">
        <v>5.88</v>
      </c>
      <c r="G2770">
        <v>5.57</v>
      </c>
      <c r="H2770">
        <v>0</v>
      </c>
      <c r="I2770">
        <v>0</v>
      </c>
      <c r="K2770">
        <v>5.08</v>
      </c>
      <c r="L2770">
        <v>4.55</v>
      </c>
    </row>
    <row r="2771" spans="1:12">
      <c r="B2771" t="s">
        <v>2983</v>
      </c>
      <c r="C2771">
        <v>3.7</v>
      </c>
      <c r="D2771">
        <v>1767.34</v>
      </c>
      <c r="F2771">
        <v>5.88</v>
      </c>
      <c r="G2771">
        <v>5.57</v>
      </c>
      <c r="H2771">
        <v>0</v>
      </c>
      <c r="I2771">
        <v>0</v>
      </c>
      <c r="K2771">
        <v>5.08</v>
      </c>
      <c r="L2771">
        <v>4.55</v>
      </c>
    </row>
    <row r="2774" spans="1:12">
      <c r="A2774" t="s">
        <v>1914</v>
      </c>
    </row>
    <row r="2775" spans="1:12">
      <c r="A2775" t="s">
        <v>1915</v>
      </c>
      <c r="B2775" t="s">
        <v>2984</v>
      </c>
    </row>
    <row r="2776" spans="1:12">
      <c r="A2776" t="s">
        <v>1917</v>
      </c>
      <c r="B2776" t="s">
        <v>2883</v>
      </c>
    </row>
    <row r="2777" spans="1:12">
      <c r="C2777" t="s">
        <v>2985</v>
      </c>
      <c r="D2777" t="s">
        <v>2986</v>
      </c>
      <c r="E2777" t="s">
        <v>2987</v>
      </c>
      <c r="F2777" t="s">
        <v>2988</v>
      </c>
      <c r="G2777" t="s">
        <v>2989</v>
      </c>
      <c r="H2777" t="s">
        <v>2990</v>
      </c>
      <c r="I2777" t="s">
        <v>2991</v>
      </c>
      <c r="J2777" t="s">
        <v>2992</v>
      </c>
      <c r="K2777" t="s">
        <v>2988</v>
      </c>
      <c r="L2777" t="s">
        <v>2989</v>
      </c>
    </row>
    <row r="2778" spans="1:12">
      <c r="B2778" t="s">
        <v>2970</v>
      </c>
      <c r="C2778">
        <v>2.13</v>
      </c>
      <c r="D2778">
        <v>1106.99</v>
      </c>
      <c r="E2778" t="s">
        <v>3017</v>
      </c>
      <c r="F2778">
        <v>6.4</v>
      </c>
      <c r="G2778">
        <v>6.03</v>
      </c>
      <c r="H2778">
        <v>0</v>
      </c>
      <c r="I2778">
        <v>0</v>
      </c>
      <c r="J2778" t="s">
        <v>2993</v>
      </c>
      <c r="K2778">
        <v>5.08</v>
      </c>
      <c r="L2778">
        <v>4.55</v>
      </c>
    </row>
    <row r="2779" spans="1:12">
      <c r="B2779" t="s">
        <v>2971</v>
      </c>
      <c r="C2779" t="s">
        <v>212</v>
      </c>
      <c r="D2779" t="s">
        <v>212</v>
      </c>
      <c r="E2779" t="s">
        <v>212</v>
      </c>
      <c r="F2779" t="s">
        <v>212</v>
      </c>
      <c r="G2779" t="s">
        <v>212</v>
      </c>
      <c r="H2779" t="s">
        <v>212</v>
      </c>
      <c r="I2779" t="s">
        <v>212</v>
      </c>
      <c r="J2779" t="s">
        <v>212</v>
      </c>
      <c r="K2779" t="s">
        <v>212</v>
      </c>
      <c r="L2779" t="s">
        <v>212</v>
      </c>
    </row>
    <row r="2780" spans="1:12">
      <c r="B2780" t="s">
        <v>2972</v>
      </c>
      <c r="C2780" t="s">
        <v>212</v>
      </c>
      <c r="D2780" t="s">
        <v>212</v>
      </c>
      <c r="E2780" t="s">
        <v>212</v>
      </c>
      <c r="F2780" t="s">
        <v>212</v>
      </c>
      <c r="G2780" t="s">
        <v>212</v>
      </c>
      <c r="H2780" t="s">
        <v>212</v>
      </c>
      <c r="I2780" t="s">
        <v>212</v>
      </c>
      <c r="J2780" t="s">
        <v>212</v>
      </c>
      <c r="K2780" t="s">
        <v>212</v>
      </c>
      <c r="L2780" t="s">
        <v>212</v>
      </c>
    </row>
    <row r="2781" spans="1:12">
      <c r="B2781" t="s">
        <v>2973</v>
      </c>
      <c r="C2781" t="s">
        <v>212</v>
      </c>
      <c r="D2781" t="s">
        <v>212</v>
      </c>
      <c r="E2781" t="s">
        <v>212</v>
      </c>
      <c r="F2781" t="s">
        <v>212</v>
      </c>
      <c r="G2781" t="s">
        <v>212</v>
      </c>
      <c r="H2781" t="s">
        <v>212</v>
      </c>
      <c r="I2781" t="s">
        <v>212</v>
      </c>
      <c r="J2781" t="s">
        <v>212</v>
      </c>
      <c r="K2781" t="s">
        <v>212</v>
      </c>
      <c r="L2781" t="s">
        <v>212</v>
      </c>
    </row>
    <row r="2782" spans="1:12">
      <c r="B2782" t="s">
        <v>820</v>
      </c>
      <c r="C2782" t="s">
        <v>212</v>
      </c>
      <c r="D2782" t="s">
        <v>212</v>
      </c>
      <c r="E2782" t="s">
        <v>212</v>
      </c>
      <c r="F2782" t="s">
        <v>212</v>
      </c>
      <c r="G2782" t="s">
        <v>212</v>
      </c>
      <c r="H2782" t="s">
        <v>212</v>
      </c>
      <c r="I2782" t="s">
        <v>212</v>
      </c>
      <c r="J2782" t="s">
        <v>212</v>
      </c>
      <c r="K2782" t="s">
        <v>212</v>
      </c>
      <c r="L2782" t="s">
        <v>212</v>
      </c>
    </row>
    <row r="2783" spans="1:12">
      <c r="B2783" t="s">
        <v>2974</v>
      </c>
      <c r="C2783" t="s">
        <v>212</v>
      </c>
      <c r="D2783" t="s">
        <v>212</v>
      </c>
      <c r="E2783" t="s">
        <v>212</v>
      </c>
      <c r="F2783" t="s">
        <v>212</v>
      </c>
      <c r="G2783" t="s">
        <v>212</v>
      </c>
      <c r="H2783" t="s">
        <v>212</v>
      </c>
      <c r="I2783" t="s">
        <v>212</v>
      </c>
      <c r="J2783" t="s">
        <v>212</v>
      </c>
      <c r="K2783" t="s">
        <v>212</v>
      </c>
      <c r="L2783" t="s">
        <v>212</v>
      </c>
    </row>
    <row r="2784" spans="1:12">
      <c r="B2784" t="s">
        <v>2975</v>
      </c>
      <c r="C2784" t="s">
        <v>212</v>
      </c>
      <c r="D2784" t="s">
        <v>212</v>
      </c>
      <c r="E2784" t="s">
        <v>212</v>
      </c>
      <c r="F2784" t="s">
        <v>212</v>
      </c>
      <c r="G2784" t="s">
        <v>212</v>
      </c>
      <c r="H2784" t="s">
        <v>212</v>
      </c>
      <c r="I2784" t="s">
        <v>212</v>
      </c>
      <c r="J2784" t="s">
        <v>212</v>
      </c>
      <c r="K2784" t="s">
        <v>212</v>
      </c>
      <c r="L2784" t="s">
        <v>212</v>
      </c>
    </row>
    <row r="2785" spans="1:12">
      <c r="B2785" t="s">
        <v>2976</v>
      </c>
      <c r="C2785" t="s">
        <v>212</v>
      </c>
      <c r="D2785" t="s">
        <v>212</v>
      </c>
      <c r="E2785" t="s">
        <v>212</v>
      </c>
      <c r="F2785" t="s">
        <v>212</v>
      </c>
      <c r="G2785" t="s">
        <v>212</v>
      </c>
      <c r="H2785" t="s">
        <v>212</v>
      </c>
      <c r="I2785" t="s">
        <v>212</v>
      </c>
      <c r="J2785" t="s">
        <v>212</v>
      </c>
      <c r="K2785" t="s">
        <v>212</v>
      </c>
      <c r="L2785" t="s">
        <v>212</v>
      </c>
    </row>
    <row r="2786" spans="1:12">
      <c r="B2786" t="s">
        <v>2977</v>
      </c>
      <c r="C2786" t="s">
        <v>212</v>
      </c>
      <c r="D2786" t="s">
        <v>212</v>
      </c>
      <c r="E2786" t="s">
        <v>212</v>
      </c>
      <c r="F2786" t="s">
        <v>212</v>
      </c>
      <c r="G2786" t="s">
        <v>212</v>
      </c>
      <c r="H2786" t="s">
        <v>212</v>
      </c>
      <c r="I2786" t="s">
        <v>212</v>
      </c>
      <c r="J2786" t="s">
        <v>212</v>
      </c>
      <c r="K2786" t="s">
        <v>212</v>
      </c>
      <c r="L2786" t="s">
        <v>212</v>
      </c>
    </row>
    <row r="2787" spans="1:12">
      <c r="B2787" t="s">
        <v>2978</v>
      </c>
      <c r="C2787" t="s">
        <v>212</v>
      </c>
      <c r="D2787" t="s">
        <v>212</v>
      </c>
      <c r="E2787" t="s">
        <v>212</v>
      </c>
      <c r="F2787" t="s">
        <v>212</v>
      </c>
      <c r="G2787" t="s">
        <v>212</v>
      </c>
      <c r="H2787" t="s">
        <v>212</v>
      </c>
      <c r="I2787" t="s">
        <v>212</v>
      </c>
      <c r="J2787" t="s">
        <v>212</v>
      </c>
      <c r="K2787" t="s">
        <v>212</v>
      </c>
      <c r="L2787" t="s">
        <v>212</v>
      </c>
    </row>
    <row r="2788" spans="1:12">
      <c r="B2788" t="s">
        <v>2979</v>
      </c>
      <c r="C2788" t="s">
        <v>212</v>
      </c>
      <c r="D2788" t="s">
        <v>212</v>
      </c>
      <c r="E2788" t="s">
        <v>212</v>
      </c>
      <c r="F2788" t="s">
        <v>212</v>
      </c>
      <c r="G2788" t="s">
        <v>212</v>
      </c>
      <c r="H2788" t="s">
        <v>212</v>
      </c>
      <c r="I2788" t="s">
        <v>212</v>
      </c>
      <c r="J2788" t="s">
        <v>212</v>
      </c>
      <c r="K2788" t="s">
        <v>212</v>
      </c>
      <c r="L2788" t="s">
        <v>212</v>
      </c>
    </row>
    <row r="2789" spans="1:12">
      <c r="B2789" t="s">
        <v>2980</v>
      </c>
      <c r="C2789" t="s">
        <v>212</v>
      </c>
      <c r="D2789" t="s">
        <v>212</v>
      </c>
      <c r="E2789" t="s">
        <v>212</v>
      </c>
      <c r="F2789" t="s">
        <v>212</v>
      </c>
      <c r="G2789" t="s">
        <v>212</v>
      </c>
      <c r="H2789" t="s">
        <v>212</v>
      </c>
      <c r="I2789" t="s">
        <v>212</v>
      </c>
      <c r="J2789" t="s">
        <v>212</v>
      </c>
      <c r="K2789" t="s">
        <v>212</v>
      </c>
      <c r="L2789" t="s">
        <v>212</v>
      </c>
    </row>
    <row r="2791" spans="1:12">
      <c r="B2791" t="s">
        <v>2981</v>
      </c>
      <c r="C2791">
        <v>2.13</v>
      </c>
      <c r="H2791">
        <v>0</v>
      </c>
    </row>
    <row r="2792" spans="1:12">
      <c r="B2792" t="s">
        <v>2982</v>
      </c>
      <c r="C2792">
        <v>2.13</v>
      </c>
      <c r="D2792">
        <v>1106.99</v>
      </c>
      <c r="F2792">
        <v>6.4</v>
      </c>
      <c r="G2792">
        <v>6.03</v>
      </c>
      <c r="H2792">
        <v>0</v>
      </c>
      <c r="I2792">
        <v>0</v>
      </c>
      <c r="K2792">
        <v>5.08</v>
      </c>
      <c r="L2792">
        <v>4.55</v>
      </c>
    </row>
    <row r="2793" spans="1:12">
      <c r="B2793" t="s">
        <v>2983</v>
      </c>
      <c r="C2793">
        <v>2.13</v>
      </c>
      <c r="D2793">
        <v>1106.99</v>
      </c>
      <c r="F2793">
        <v>6.4</v>
      </c>
      <c r="G2793">
        <v>6.03</v>
      </c>
      <c r="H2793">
        <v>0</v>
      </c>
      <c r="I2793">
        <v>0</v>
      </c>
      <c r="K2793">
        <v>5.08</v>
      </c>
      <c r="L2793">
        <v>4.55</v>
      </c>
    </row>
    <row r="2796" spans="1:12">
      <c r="A2796" t="s">
        <v>1914</v>
      </c>
    </row>
    <row r="2797" spans="1:12">
      <c r="A2797" t="s">
        <v>1915</v>
      </c>
      <c r="B2797" t="s">
        <v>2984</v>
      </c>
    </row>
    <row r="2798" spans="1:12">
      <c r="A2798" t="s">
        <v>1917</v>
      </c>
      <c r="B2798" t="s">
        <v>2884</v>
      </c>
    </row>
    <row r="2799" spans="1:12">
      <c r="C2799" t="s">
        <v>2985</v>
      </c>
      <c r="D2799" t="s">
        <v>2986</v>
      </c>
      <c r="E2799" t="s">
        <v>2987</v>
      </c>
      <c r="F2799" t="s">
        <v>2988</v>
      </c>
      <c r="G2799" t="s">
        <v>2989</v>
      </c>
      <c r="H2799" t="s">
        <v>2990</v>
      </c>
      <c r="I2799" t="s">
        <v>2991</v>
      </c>
      <c r="J2799" t="s">
        <v>2992</v>
      </c>
      <c r="K2799" t="s">
        <v>2988</v>
      </c>
      <c r="L2799" t="s">
        <v>2989</v>
      </c>
    </row>
    <row r="2800" spans="1:12">
      <c r="B2800" t="s">
        <v>2970</v>
      </c>
      <c r="C2800">
        <v>151.61000000000001</v>
      </c>
      <c r="D2800">
        <v>17881.72</v>
      </c>
      <c r="E2800" t="s">
        <v>3007</v>
      </c>
      <c r="F2800">
        <v>4.88</v>
      </c>
      <c r="G2800">
        <v>4.88</v>
      </c>
      <c r="H2800">
        <v>0</v>
      </c>
      <c r="I2800">
        <v>0</v>
      </c>
      <c r="J2800" t="s">
        <v>2993</v>
      </c>
      <c r="K2800">
        <v>5.08</v>
      </c>
      <c r="L2800">
        <v>4.55</v>
      </c>
    </row>
    <row r="2801" spans="2:12">
      <c r="B2801" t="s">
        <v>2971</v>
      </c>
      <c r="C2801" t="s">
        <v>212</v>
      </c>
      <c r="D2801" t="s">
        <v>212</v>
      </c>
      <c r="E2801" t="s">
        <v>212</v>
      </c>
      <c r="F2801" t="s">
        <v>212</v>
      </c>
      <c r="G2801" t="s">
        <v>212</v>
      </c>
      <c r="H2801" t="s">
        <v>212</v>
      </c>
      <c r="I2801" t="s">
        <v>212</v>
      </c>
      <c r="J2801" t="s">
        <v>212</v>
      </c>
      <c r="K2801" t="s">
        <v>212</v>
      </c>
      <c r="L2801" t="s">
        <v>212</v>
      </c>
    </row>
    <row r="2802" spans="2:12">
      <c r="B2802" t="s">
        <v>2972</v>
      </c>
      <c r="C2802" t="s">
        <v>212</v>
      </c>
      <c r="D2802" t="s">
        <v>212</v>
      </c>
      <c r="E2802" t="s">
        <v>212</v>
      </c>
      <c r="F2802" t="s">
        <v>212</v>
      </c>
      <c r="G2802" t="s">
        <v>212</v>
      </c>
      <c r="H2802" t="s">
        <v>212</v>
      </c>
      <c r="I2802" t="s">
        <v>212</v>
      </c>
      <c r="J2802" t="s">
        <v>212</v>
      </c>
      <c r="K2802" t="s">
        <v>212</v>
      </c>
      <c r="L2802" t="s">
        <v>212</v>
      </c>
    </row>
    <row r="2803" spans="2:12">
      <c r="B2803" t="s">
        <v>2973</v>
      </c>
      <c r="C2803" t="s">
        <v>212</v>
      </c>
      <c r="D2803" t="s">
        <v>212</v>
      </c>
      <c r="E2803" t="s">
        <v>212</v>
      </c>
      <c r="F2803" t="s">
        <v>212</v>
      </c>
      <c r="G2803" t="s">
        <v>212</v>
      </c>
      <c r="H2803" t="s">
        <v>212</v>
      </c>
      <c r="I2803" t="s">
        <v>212</v>
      </c>
      <c r="J2803" t="s">
        <v>212</v>
      </c>
      <c r="K2803" t="s">
        <v>212</v>
      </c>
      <c r="L2803" t="s">
        <v>212</v>
      </c>
    </row>
    <row r="2804" spans="2:12">
      <c r="B2804" t="s">
        <v>820</v>
      </c>
      <c r="C2804" t="s">
        <v>212</v>
      </c>
      <c r="D2804" t="s">
        <v>212</v>
      </c>
      <c r="E2804" t="s">
        <v>212</v>
      </c>
      <c r="F2804" t="s">
        <v>212</v>
      </c>
      <c r="G2804" t="s">
        <v>212</v>
      </c>
      <c r="H2804" t="s">
        <v>212</v>
      </c>
      <c r="I2804" t="s">
        <v>212</v>
      </c>
      <c r="J2804" t="s">
        <v>212</v>
      </c>
      <c r="K2804" t="s">
        <v>212</v>
      </c>
      <c r="L2804" t="s">
        <v>212</v>
      </c>
    </row>
    <row r="2805" spans="2:12">
      <c r="B2805" t="s">
        <v>2974</v>
      </c>
      <c r="C2805" t="s">
        <v>212</v>
      </c>
      <c r="D2805" t="s">
        <v>212</v>
      </c>
      <c r="E2805" t="s">
        <v>212</v>
      </c>
      <c r="F2805" t="s">
        <v>212</v>
      </c>
      <c r="G2805" t="s">
        <v>212</v>
      </c>
      <c r="H2805" t="s">
        <v>212</v>
      </c>
      <c r="I2805" t="s">
        <v>212</v>
      </c>
      <c r="J2805" t="s">
        <v>212</v>
      </c>
      <c r="K2805" t="s">
        <v>212</v>
      </c>
      <c r="L2805" t="s">
        <v>212</v>
      </c>
    </row>
    <row r="2806" spans="2:12">
      <c r="B2806" t="s">
        <v>2975</v>
      </c>
      <c r="C2806" t="s">
        <v>212</v>
      </c>
      <c r="D2806" t="s">
        <v>212</v>
      </c>
      <c r="E2806" t="s">
        <v>212</v>
      </c>
      <c r="F2806" t="s">
        <v>212</v>
      </c>
      <c r="G2806" t="s">
        <v>212</v>
      </c>
      <c r="H2806" t="s">
        <v>212</v>
      </c>
      <c r="I2806" t="s">
        <v>212</v>
      </c>
      <c r="J2806" t="s">
        <v>212</v>
      </c>
      <c r="K2806" t="s">
        <v>212</v>
      </c>
      <c r="L2806" t="s">
        <v>212</v>
      </c>
    </row>
    <row r="2807" spans="2:12">
      <c r="B2807" t="s">
        <v>2976</v>
      </c>
      <c r="C2807" t="s">
        <v>212</v>
      </c>
      <c r="D2807" t="s">
        <v>212</v>
      </c>
      <c r="E2807" t="s">
        <v>212</v>
      </c>
      <c r="F2807" t="s">
        <v>212</v>
      </c>
      <c r="G2807" t="s">
        <v>212</v>
      </c>
      <c r="H2807" t="s">
        <v>212</v>
      </c>
      <c r="I2807" t="s">
        <v>212</v>
      </c>
      <c r="J2807" t="s">
        <v>212</v>
      </c>
      <c r="K2807" t="s">
        <v>212</v>
      </c>
      <c r="L2807" t="s">
        <v>212</v>
      </c>
    </row>
    <row r="2808" spans="2:12">
      <c r="B2808" t="s">
        <v>2977</v>
      </c>
      <c r="C2808" t="s">
        <v>212</v>
      </c>
      <c r="D2808" t="s">
        <v>212</v>
      </c>
      <c r="E2808" t="s">
        <v>212</v>
      </c>
      <c r="F2808" t="s">
        <v>212</v>
      </c>
      <c r="G2808" t="s">
        <v>212</v>
      </c>
      <c r="H2808" t="s">
        <v>212</v>
      </c>
      <c r="I2808" t="s">
        <v>212</v>
      </c>
      <c r="J2808" t="s">
        <v>212</v>
      </c>
      <c r="K2808" t="s">
        <v>212</v>
      </c>
      <c r="L2808" t="s">
        <v>212</v>
      </c>
    </row>
    <row r="2809" spans="2:12">
      <c r="B2809" t="s">
        <v>2978</v>
      </c>
      <c r="C2809" t="s">
        <v>212</v>
      </c>
      <c r="D2809" t="s">
        <v>212</v>
      </c>
      <c r="E2809" t="s">
        <v>212</v>
      </c>
      <c r="F2809" t="s">
        <v>212</v>
      </c>
      <c r="G2809" t="s">
        <v>212</v>
      </c>
      <c r="H2809" t="s">
        <v>212</v>
      </c>
      <c r="I2809" t="s">
        <v>212</v>
      </c>
      <c r="J2809" t="s">
        <v>212</v>
      </c>
      <c r="K2809" t="s">
        <v>212</v>
      </c>
      <c r="L2809" t="s">
        <v>212</v>
      </c>
    </row>
    <row r="2810" spans="2:12">
      <c r="B2810" t="s">
        <v>2979</v>
      </c>
      <c r="C2810" t="s">
        <v>212</v>
      </c>
      <c r="D2810" t="s">
        <v>212</v>
      </c>
      <c r="E2810" t="s">
        <v>212</v>
      </c>
      <c r="F2810" t="s">
        <v>212</v>
      </c>
      <c r="G2810" t="s">
        <v>212</v>
      </c>
      <c r="H2810" t="s">
        <v>212</v>
      </c>
      <c r="I2810" t="s">
        <v>212</v>
      </c>
      <c r="J2810" t="s">
        <v>212</v>
      </c>
      <c r="K2810" t="s">
        <v>212</v>
      </c>
      <c r="L2810" t="s">
        <v>212</v>
      </c>
    </row>
    <row r="2811" spans="2:12">
      <c r="B2811" t="s">
        <v>2980</v>
      </c>
      <c r="C2811" t="s">
        <v>212</v>
      </c>
      <c r="D2811" t="s">
        <v>212</v>
      </c>
      <c r="E2811" t="s">
        <v>212</v>
      </c>
      <c r="F2811" t="s">
        <v>212</v>
      </c>
      <c r="G2811" t="s">
        <v>212</v>
      </c>
      <c r="H2811" t="s">
        <v>212</v>
      </c>
      <c r="I2811" t="s">
        <v>212</v>
      </c>
      <c r="J2811" t="s">
        <v>212</v>
      </c>
      <c r="K2811" t="s">
        <v>212</v>
      </c>
      <c r="L2811" t="s">
        <v>212</v>
      </c>
    </row>
    <row r="2813" spans="2:12">
      <c r="B2813" t="s">
        <v>2981</v>
      </c>
      <c r="C2813">
        <v>151.61000000000001</v>
      </c>
      <c r="H2813">
        <v>0</v>
      </c>
    </row>
    <row r="2814" spans="2:12">
      <c r="B2814" t="s">
        <v>2982</v>
      </c>
      <c r="C2814">
        <v>151.61000000000001</v>
      </c>
      <c r="D2814">
        <v>17881.72</v>
      </c>
      <c r="F2814">
        <v>4.88</v>
      </c>
      <c r="G2814">
        <v>4.88</v>
      </c>
      <c r="H2814">
        <v>0</v>
      </c>
      <c r="I2814">
        <v>0</v>
      </c>
      <c r="K2814">
        <v>5.08</v>
      </c>
      <c r="L2814">
        <v>4.55</v>
      </c>
    </row>
    <row r="2815" spans="2:12">
      <c r="B2815" t="s">
        <v>2983</v>
      </c>
      <c r="C2815">
        <v>151.61000000000001</v>
      </c>
      <c r="D2815">
        <v>17881.72</v>
      </c>
      <c r="F2815">
        <v>4.88</v>
      </c>
      <c r="G2815">
        <v>4.88</v>
      </c>
      <c r="H2815">
        <v>0</v>
      </c>
      <c r="I2815">
        <v>0</v>
      </c>
      <c r="K2815">
        <v>5.08</v>
      </c>
      <c r="L2815">
        <v>4.55</v>
      </c>
    </row>
    <row r="2818" spans="1:12">
      <c r="A2818" t="s">
        <v>1914</v>
      </c>
    </row>
    <row r="2819" spans="1:12">
      <c r="A2819" t="s">
        <v>1915</v>
      </c>
      <c r="B2819" t="s">
        <v>2984</v>
      </c>
    </row>
    <row r="2820" spans="1:12">
      <c r="A2820" t="s">
        <v>1917</v>
      </c>
      <c r="B2820" t="s">
        <v>2885</v>
      </c>
    </row>
    <row r="2821" spans="1:12">
      <c r="C2821" t="s">
        <v>2985</v>
      </c>
      <c r="D2821" t="s">
        <v>2986</v>
      </c>
      <c r="E2821" t="s">
        <v>2987</v>
      </c>
      <c r="F2821" t="s">
        <v>2988</v>
      </c>
      <c r="G2821" t="s">
        <v>2989</v>
      </c>
      <c r="H2821" t="s">
        <v>2990</v>
      </c>
      <c r="I2821" t="s">
        <v>2991</v>
      </c>
      <c r="J2821" t="s">
        <v>2992</v>
      </c>
      <c r="K2821" t="s">
        <v>2988</v>
      </c>
      <c r="L2821" t="s">
        <v>2989</v>
      </c>
    </row>
    <row r="2822" spans="1:12">
      <c r="B2822" t="s">
        <v>2970</v>
      </c>
      <c r="C2822">
        <v>3.98</v>
      </c>
      <c r="D2822">
        <v>1212.25</v>
      </c>
      <c r="E2822" t="s">
        <v>3004</v>
      </c>
      <c r="F2822">
        <v>6.85</v>
      </c>
      <c r="G2822">
        <v>6.4</v>
      </c>
      <c r="H2822">
        <v>0</v>
      </c>
      <c r="I2822">
        <v>0</v>
      </c>
      <c r="J2822" t="s">
        <v>2993</v>
      </c>
      <c r="K2822">
        <v>5.08</v>
      </c>
      <c r="L2822">
        <v>4.55</v>
      </c>
    </row>
    <row r="2823" spans="1:12">
      <c r="B2823" t="s">
        <v>2971</v>
      </c>
      <c r="C2823" t="s">
        <v>212</v>
      </c>
      <c r="D2823" t="s">
        <v>212</v>
      </c>
      <c r="E2823" t="s">
        <v>212</v>
      </c>
      <c r="F2823" t="s">
        <v>212</v>
      </c>
      <c r="G2823" t="s">
        <v>212</v>
      </c>
      <c r="H2823" t="s">
        <v>212</v>
      </c>
      <c r="I2823" t="s">
        <v>212</v>
      </c>
      <c r="J2823" t="s">
        <v>212</v>
      </c>
      <c r="K2823" t="s">
        <v>212</v>
      </c>
      <c r="L2823" t="s">
        <v>212</v>
      </c>
    </row>
    <row r="2824" spans="1:12">
      <c r="B2824" t="s">
        <v>2972</v>
      </c>
      <c r="C2824" t="s">
        <v>212</v>
      </c>
      <c r="D2824" t="s">
        <v>212</v>
      </c>
      <c r="E2824" t="s">
        <v>212</v>
      </c>
      <c r="F2824" t="s">
        <v>212</v>
      </c>
      <c r="G2824" t="s">
        <v>212</v>
      </c>
      <c r="H2824" t="s">
        <v>212</v>
      </c>
      <c r="I2824" t="s">
        <v>212</v>
      </c>
      <c r="J2824" t="s">
        <v>212</v>
      </c>
      <c r="K2824" t="s">
        <v>212</v>
      </c>
      <c r="L2824" t="s">
        <v>212</v>
      </c>
    </row>
    <row r="2825" spans="1:12">
      <c r="B2825" t="s">
        <v>2973</v>
      </c>
      <c r="C2825" t="s">
        <v>212</v>
      </c>
      <c r="D2825" t="s">
        <v>212</v>
      </c>
      <c r="E2825" t="s">
        <v>212</v>
      </c>
      <c r="F2825" t="s">
        <v>212</v>
      </c>
      <c r="G2825" t="s">
        <v>212</v>
      </c>
      <c r="H2825" t="s">
        <v>212</v>
      </c>
      <c r="I2825" t="s">
        <v>212</v>
      </c>
      <c r="J2825" t="s">
        <v>212</v>
      </c>
      <c r="K2825" t="s">
        <v>212</v>
      </c>
      <c r="L2825" t="s">
        <v>212</v>
      </c>
    </row>
    <row r="2826" spans="1:12">
      <c r="B2826" t="s">
        <v>820</v>
      </c>
      <c r="C2826" t="s">
        <v>212</v>
      </c>
      <c r="D2826" t="s">
        <v>212</v>
      </c>
      <c r="E2826" t="s">
        <v>212</v>
      </c>
      <c r="F2826" t="s">
        <v>212</v>
      </c>
      <c r="G2826" t="s">
        <v>212</v>
      </c>
      <c r="H2826" t="s">
        <v>212</v>
      </c>
      <c r="I2826" t="s">
        <v>212</v>
      </c>
      <c r="J2826" t="s">
        <v>212</v>
      </c>
      <c r="K2826" t="s">
        <v>212</v>
      </c>
      <c r="L2826" t="s">
        <v>212</v>
      </c>
    </row>
    <row r="2827" spans="1:12">
      <c r="B2827" t="s">
        <v>2974</v>
      </c>
      <c r="C2827" t="s">
        <v>212</v>
      </c>
      <c r="D2827" t="s">
        <v>212</v>
      </c>
      <c r="E2827" t="s">
        <v>212</v>
      </c>
      <c r="F2827" t="s">
        <v>212</v>
      </c>
      <c r="G2827" t="s">
        <v>212</v>
      </c>
      <c r="H2827" t="s">
        <v>212</v>
      </c>
      <c r="I2827" t="s">
        <v>212</v>
      </c>
      <c r="J2827" t="s">
        <v>212</v>
      </c>
      <c r="K2827" t="s">
        <v>212</v>
      </c>
      <c r="L2827" t="s">
        <v>212</v>
      </c>
    </row>
    <row r="2828" spans="1:12">
      <c r="B2828" t="s">
        <v>2975</v>
      </c>
      <c r="C2828" t="s">
        <v>212</v>
      </c>
      <c r="D2828" t="s">
        <v>212</v>
      </c>
      <c r="E2828" t="s">
        <v>212</v>
      </c>
      <c r="F2828" t="s">
        <v>212</v>
      </c>
      <c r="G2828" t="s">
        <v>212</v>
      </c>
      <c r="H2828" t="s">
        <v>212</v>
      </c>
      <c r="I2828" t="s">
        <v>212</v>
      </c>
      <c r="J2828" t="s">
        <v>212</v>
      </c>
      <c r="K2828" t="s">
        <v>212</v>
      </c>
      <c r="L2828" t="s">
        <v>212</v>
      </c>
    </row>
    <row r="2829" spans="1:12">
      <c r="B2829" t="s">
        <v>2976</v>
      </c>
      <c r="C2829" t="s">
        <v>212</v>
      </c>
      <c r="D2829" t="s">
        <v>212</v>
      </c>
      <c r="E2829" t="s">
        <v>212</v>
      </c>
      <c r="F2829" t="s">
        <v>212</v>
      </c>
      <c r="G2829" t="s">
        <v>212</v>
      </c>
      <c r="H2829" t="s">
        <v>212</v>
      </c>
      <c r="I2829" t="s">
        <v>212</v>
      </c>
      <c r="J2829" t="s">
        <v>212</v>
      </c>
      <c r="K2829" t="s">
        <v>212</v>
      </c>
      <c r="L2829" t="s">
        <v>212</v>
      </c>
    </row>
    <row r="2830" spans="1:12">
      <c r="B2830" t="s">
        <v>2977</v>
      </c>
      <c r="C2830" t="s">
        <v>212</v>
      </c>
      <c r="D2830" t="s">
        <v>212</v>
      </c>
      <c r="E2830" t="s">
        <v>212</v>
      </c>
      <c r="F2830" t="s">
        <v>212</v>
      </c>
      <c r="G2830" t="s">
        <v>212</v>
      </c>
      <c r="H2830" t="s">
        <v>212</v>
      </c>
      <c r="I2830" t="s">
        <v>212</v>
      </c>
      <c r="J2830" t="s">
        <v>212</v>
      </c>
      <c r="K2830" t="s">
        <v>212</v>
      </c>
      <c r="L2830" t="s">
        <v>212</v>
      </c>
    </row>
    <row r="2831" spans="1:12">
      <c r="B2831" t="s">
        <v>2978</v>
      </c>
      <c r="C2831" t="s">
        <v>212</v>
      </c>
      <c r="D2831" t="s">
        <v>212</v>
      </c>
      <c r="E2831" t="s">
        <v>212</v>
      </c>
      <c r="F2831" t="s">
        <v>212</v>
      </c>
      <c r="G2831" t="s">
        <v>212</v>
      </c>
      <c r="H2831" t="s">
        <v>212</v>
      </c>
      <c r="I2831" t="s">
        <v>212</v>
      </c>
      <c r="J2831" t="s">
        <v>212</v>
      </c>
      <c r="K2831" t="s">
        <v>212</v>
      </c>
      <c r="L2831" t="s">
        <v>212</v>
      </c>
    </row>
    <row r="2832" spans="1:12">
      <c r="B2832" t="s">
        <v>2979</v>
      </c>
      <c r="C2832" t="s">
        <v>212</v>
      </c>
      <c r="D2832" t="s">
        <v>212</v>
      </c>
      <c r="E2832" t="s">
        <v>212</v>
      </c>
      <c r="F2832" t="s">
        <v>212</v>
      </c>
      <c r="G2832" t="s">
        <v>212</v>
      </c>
      <c r="H2832" t="s">
        <v>212</v>
      </c>
      <c r="I2832" t="s">
        <v>212</v>
      </c>
      <c r="J2832" t="s">
        <v>212</v>
      </c>
      <c r="K2832" t="s">
        <v>212</v>
      </c>
      <c r="L2832" t="s">
        <v>212</v>
      </c>
    </row>
    <row r="2833" spans="1:12">
      <c r="B2833" t="s">
        <v>2980</v>
      </c>
      <c r="C2833" t="s">
        <v>212</v>
      </c>
      <c r="D2833" t="s">
        <v>212</v>
      </c>
      <c r="E2833" t="s">
        <v>212</v>
      </c>
      <c r="F2833" t="s">
        <v>212</v>
      </c>
      <c r="G2833" t="s">
        <v>212</v>
      </c>
      <c r="H2833" t="s">
        <v>212</v>
      </c>
      <c r="I2833" t="s">
        <v>212</v>
      </c>
      <c r="J2833" t="s">
        <v>212</v>
      </c>
      <c r="K2833" t="s">
        <v>212</v>
      </c>
      <c r="L2833" t="s">
        <v>212</v>
      </c>
    </row>
    <row r="2835" spans="1:12">
      <c r="B2835" t="s">
        <v>2981</v>
      </c>
      <c r="C2835">
        <v>3.98</v>
      </c>
      <c r="H2835">
        <v>0</v>
      </c>
    </row>
    <row r="2836" spans="1:12">
      <c r="B2836" t="s">
        <v>2982</v>
      </c>
      <c r="C2836">
        <v>3.98</v>
      </c>
      <c r="D2836">
        <v>1212.25</v>
      </c>
      <c r="F2836">
        <v>6.85</v>
      </c>
      <c r="G2836">
        <v>6.4</v>
      </c>
      <c r="H2836">
        <v>0</v>
      </c>
      <c r="I2836">
        <v>0</v>
      </c>
      <c r="K2836">
        <v>5.08</v>
      </c>
      <c r="L2836">
        <v>4.55</v>
      </c>
    </row>
    <row r="2837" spans="1:12">
      <c r="B2837" t="s">
        <v>2983</v>
      </c>
      <c r="C2837">
        <v>3.98</v>
      </c>
      <c r="D2837">
        <v>1212.25</v>
      </c>
      <c r="F2837">
        <v>6.85</v>
      </c>
      <c r="G2837">
        <v>6.4</v>
      </c>
      <c r="H2837">
        <v>0</v>
      </c>
      <c r="I2837">
        <v>0</v>
      </c>
      <c r="K2837">
        <v>5.08</v>
      </c>
      <c r="L2837">
        <v>4.55</v>
      </c>
    </row>
    <row r="2840" spans="1:12">
      <c r="A2840" t="s">
        <v>1914</v>
      </c>
    </row>
    <row r="2841" spans="1:12">
      <c r="A2841" t="s">
        <v>1915</v>
      </c>
      <c r="B2841" t="s">
        <v>2984</v>
      </c>
    </row>
    <row r="2842" spans="1:12">
      <c r="A2842" t="s">
        <v>1917</v>
      </c>
      <c r="B2842" t="s">
        <v>2886</v>
      </c>
    </row>
    <row r="2843" spans="1:12">
      <c r="C2843" t="s">
        <v>2985</v>
      </c>
      <c r="D2843" t="s">
        <v>2986</v>
      </c>
      <c r="E2843" t="s">
        <v>2987</v>
      </c>
      <c r="F2843" t="s">
        <v>2988</v>
      </c>
      <c r="G2843" t="s">
        <v>2989</v>
      </c>
      <c r="H2843" t="s">
        <v>2990</v>
      </c>
      <c r="I2843" t="s">
        <v>2991</v>
      </c>
      <c r="J2843" t="s">
        <v>2992</v>
      </c>
      <c r="K2843" t="s">
        <v>2988</v>
      </c>
      <c r="L2843" t="s">
        <v>2989</v>
      </c>
    </row>
    <row r="2844" spans="1:12">
      <c r="B2844" t="s">
        <v>2970</v>
      </c>
      <c r="C2844">
        <v>2.2200000000000002</v>
      </c>
      <c r="D2844">
        <v>847.29</v>
      </c>
      <c r="E2844" t="s">
        <v>3004</v>
      </c>
      <c r="F2844">
        <v>6.85</v>
      </c>
      <c r="G2844">
        <v>6.4</v>
      </c>
      <c r="H2844">
        <v>0</v>
      </c>
      <c r="I2844">
        <v>0</v>
      </c>
      <c r="J2844" t="s">
        <v>2993</v>
      </c>
      <c r="K2844">
        <v>5.08</v>
      </c>
      <c r="L2844">
        <v>4.55</v>
      </c>
    </row>
    <row r="2845" spans="1:12">
      <c r="B2845" t="s">
        <v>2971</v>
      </c>
      <c r="C2845" t="s">
        <v>212</v>
      </c>
      <c r="D2845" t="s">
        <v>212</v>
      </c>
      <c r="E2845" t="s">
        <v>212</v>
      </c>
      <c r="F2845" t="s">
        <v>212</v>
      </c>
      <c r="G2845" t="s">
        <v>212</v>
      </c>
      <c r="H2845" t="s">
        <v>212</v>
      </c>
      <c r="I2845" t="s">
        <v>212</v>
      </c>
      <c r="J2845" t="s">
        <v>212</v>
      </c>
      <c r="K2845" t="s">
        <v>212</v>
      </c>
      <c r="L2845" t="s">
        <v>212</v>
      </c>
    </row>
    <row r="2846" spans="1:12">
      <c r="B2846" t="s">
        <v>2972</v>
      </c>
      <c r="C2846" t="s">
        <v>212</v>
      </c>
      <c r="D2846" t="s">
        <v>212</v>
      </c>
      <c r="E2846" t="s">
        <v>212</v>
      </c>
      <c r="F2846" t="s">
        <v>212</v>
      </c>
      <c r="G2846" t="s">
        <v>212</v>
      </c>
      <c r="H2846" t="s">
        <v>212</v>
      </c>
      <c r="I2846" t="s">
        <v>212</v>
      </c>
      <c r="J2846" t="s">
        <v>212</v>
      </c>
      <c r="K2846" t="s">
        <v>212</v>
      </c>
      <c r="L2846" t="s">
        <v>212</v>
      </c>
    </row>
    <row r="2847" spans="1:12">
      <c r="B2847" t="s">
        <v>2973</v>
      </c>
      <c r="C2847" t="s">
        <v>212</v>
      </c>
      <c r="D2847" t="s">
        <v>212</v>
      </c>
      <c r="E2847" t="s">
        <v>212</v>
      </c>
      <c r="F2847" t="s">
        <v>212</v>
      </c>
      <c r="G2847" t="s">
        <v>212</v>
      </c>
      <c r="H2847" t="s">
        <v>212</v>
      </c>
      <c r="I2847" t="s">
        <v>212</v>
      </c>
      <c r="J2847" t="s">
        <v>212</v>
      </c>
      <c r="K2847" t="s">
        <v>212</v>
      </c>
      <c r="L2847" t="s">
        <v>212</v>
      </c>
    </row>
    <row r="2848" spans="1:12">
      <c r="B2848" t="s">
        <v>820</v>
      </c>
      <c r="C2848" t="s">
        <v>212</v>
      </c>
      <c r="D2848" t="s">
        <v>212</v>
      </c>
      <c r="E2848" t="s">
        <v>212</v>
      </c>
      <c r="F2848" t="s">
        <v>212</v>
      </c>
      <c r="G2848" t="s">
        <v>212</v>
      </c>
      <c r="H2848" t="s">
        <v>212</v>
      </c>
      <c r="I2848" t="s">
        <v>212</v>
      </c>
      <c r="J2848" t="s">
        <v>212</v>
      </c>
      <c r="K2848" t="s">
        <v>212</v>
      </c>
      <c r="L2848" t="s">
        <v>212</v>
      </c>
    </row>
    <row r="2849" spans="1:12">
      <c r="B2849" t="s">
        <v>2974</v>
      </c>
      <c r="C2849" t="s">
        <v>212</v>
      </c>
      <c r="D2849" t="s">
        <v>212</v>
      </c>
      <c r="E2849" t="s">
        <v>212</v>
      </c>
      <c r="F2849" t="s">
        <v>212</v>
      </c>
      <c r="G2849" t="s">
        <v>212</v>
      </c>
      <c r="H2849" t="s">
        <v>212</v>
      </c>
      <c r="I2849" t="s">
        <v>212</v>
      </c>
      <c r="J2849" t="s">
        <v>212</v>
      </c>
      <c r="K2849" t="s">
        <v>212</v>
      </c>
      <c r="L2849" t="s">
        <v>212</v>
      </c>
    </row>
    <row r="2850" spans="1:12">
      <c r="B2850" t="s">
        <v>2975</v>
      </c>
      <c r="C2850" t="s">
        <v>212</v>
      </c>
      <c r="D2850" t="s">
        <v>212</v>
      </c>
      <c r="E2850" t="s">
        <v>212</v>
      </c>
      <c r="F2850" t="s">
        <v>212</v>
      </c>
      <c r="G2850" t="s">
        <v>212</v>
      </c>
      <c r="H2850" t="s">
        <v>212</v>
      </c>
      <c r="I2850" t="s">
        <v>212</v>
      </c>
      <c r="J2850" t="s">
        <v>212</v>
      </c>
      <c r="K2850" t="s">
        <v>212</v>
      </c>
      <c r="L2850" t="s">
        <v>212</v>
      </c>
    </row>
    <row r="2851" spans="1:12">
      <c r="B2851" t="s">
        <v>2976</v>
      </c>
      <c r="C2851" t="s">
        <v>212</v>
      </c>
      <c r="D2851" t="s">
        <v>212</v>
      </c>
      <c r="E2851" t="s">
        <v>212</v>
      </c>
      <c r="F2851" t="s">
        <v>212</v>
      </c>
      <c r="G2851" t="s">
        <v>212</v>
      </c>
      <c r="H2851" t="s">
        <v>212</v>
      </c>
      <c r="I2851" t="s">
        <v>212</v>
      </c>
      <c r="J2851" t="s">
        <v>212</v>
      </c>
      <c r="K2851" t="s">
        <v>212</v>
      </c>
      <c r="L2851" t="s">
        <v>212</v>
      </c>
    </row>
    <row r="2852" spans="1:12">
      <c r="B2852" t="s">
        <v>2977</v>
      </c>
      <c r="C2852" t="s">
        <v>212</v>
      </c>
      <c r="D2852" t="s">
        <v>212</v>
      </c>
      <c r="E2852" t="s">
        <v>212</v>
      </c>
      <c r="F2852" t="s">
        <v>212</v>
      </c>
      <c r="G2852" t="s">
        <v>212</v>
      </c>
      <c r="H2852" t="s">
        <v>212</v>
      </c>
      <c r="I2852" t="s">
        <v>212</v>
      </c>
      <c r="J2852" t="s">
        <v>212</v>
      </c>
      <c r="K2852" t="s">
        <v>212</v>
      </c>
      <c r="L2852" t="s">
        <v>212</v>
      </c>
    </row>
    <row r="2853" spans="1:12">
      <c r="B2853" t="s">
        <v>2978</v>
      </c>
      <c r="C2853" t="s">
        <v>212</v>
      </c>
      <c r="D2853" t="s">
        <v>212</v>
      </c>
      <c r="E2853" t="s">
        <v>212</v>
      </c>
      <c r="F2853" t="s">
        <v>212</v>
      </c>
      <c r="G2853" t="s">
        <v>212</v>
      </c>
      <c r="H2853" t="s">
        <v>212</v>
      </c>
      <c r="I2853" t="s">
        <v>212</v>
      </c>
      <c r="J2853" t="s">
        <v>212</v>
      </c>
      <c r="K2853" t="s">
        <v>212</v>
      </c>
      <c r="L2853" t="s">
        <v>212</v>
      </c>
    </row>
    <row r="2854" spans="1:12">
      <c r="B2854" t="s">
        <v>2979</v>
      </c>
      <c r="C2854" t="s">
        <v>212</v>
      </c>
      <c r="D2854" t="s">
        <v>212</v>
      </c>
      <c r="E2854" t="s">
        <v>212</v>
      </c>
      <c r="F2854" t="s">
        <v>212</v>
      </c>
      <c r="G2854" t="s">
        <v>212</v>
      </c>
      <c r="H2854" t="s">
        <v>212</v>
      </c>
      <c r="I2854" t="s">
        <v>212</v>
      </c>
      <c r="J2854" t="s">
        <v>212</v>
      </c>
      <c r="K2854" t="s">
        <v>212</v>
      </c>
      <c r="L2854" t="s">
        <v>212</v>
      </c>
    </row>
    <row r="2855" spans="1:12">
      <c r="B2855" t="s">
        <v>2980</v>
      </c>
      <c r="C2855" t="s">
        <v>212</v>
      </c>
      <c r="D2855" t="s">
        <v>212</v>
      </c>
      <c r="E2855" t="s">
        <v>212</v>
      </c>
      <c r="F2855" t="s">
        <v>212</v>
      </c>
      <c r="G2855" t="s">
        <v>212</v>
      </c>
      <c r="H2855" t="s">
        <v>212</v>
      </c>
      <c r="I2855" t="s">
        <v>212</v>
      </c>
      <c r="J2855" t="s">
        <v>212</v>
      </c>
      <c r="K2855" t="s">
        <v>212</v>
      </c>
      <c r="L2855" t="s">
        <v>212</v>
      </c>
    </row>
    <row r="2857" spans="1:12">
      <c r="B2857" t="s">
        <v>2981</v>
      </c>
      <c r="C2857">
        <v>2.2200000000000002</v>
      </c>
      <c r="H2857">
        <v>0</v>
      </c>
    </row>
    <row r="2858" spans="1:12">
      <c r="B2858" t="s">
        <v>2982</v>
      </c>
      <c r="C2858">
        <v>2.2200000000000002</v>
      </c>
      <c r="D2858">
        <v>847.29</v>
      </c>
      <c r="F2858">
        <v>6.85</v>
      </c>
      <c r="G2858">
        <v>6.4</v>
      </c>
      <c r="H2858">
        <v>0</v>
      </c>
      <c r="I2858">
        <v>0</v>
      </c>
      <c r="K2858">
        <v>5.08</v>
      </c>
      <c r="L2858">
        <v>4.55</v>
      </c>
    </row>
    <row r="2859" spans="1:12">
      <c r="B2859" t="s">
        <v>2983</v>
      </c>
      <c r="C2859">
        <v>2.2200000000000002</v>
      </c>
      <c r="D2859">
        <v>847.29</v>
      </c>
      <c r="F2859">
        <v>6.85</v>
      </c>
      <c r="G2859">
        <v>6.4</v>
      </c>
      <c r="H2859">
        <v>0</v>
      </c>
      <c r="I2859">
        <v>0</v>
      </c>
      <c r="K2859">
        <v>5.08</v>
      </c>
      <c r="L2859">
        <v>4.55</v>
      </c>
    </row>
    <row r="2862" spans="1:12">
      <c r="A2862" t="s">
        <v>1914</v>
      </c>
    </row>
    <row r="2863" spans="1:12">
      <c r="A2863" t="s">
        <v>1915</v>
      </c>
      <c r="B2863" t="s">
        <v>2984</v>
      </c>
    </row>
    <row r="2864" spans="1:12">
      <c r="A2864" t="s">
        <v>1917</v>
      </c>
      <c r="B2864" t="s">
        <v>2887</v>
      </c>
    </row>
    <row r="2865" spans="2:12">
      <c r="C2865" t="s">
        <v>2985</v>
      </c>
      <c r="D2865" t="s">
        <v>2986</v>
      </c>
      <c r="E2865" t="s">
        <v>2987</v>
      </c>
      <c r="F2865" t="s">
        <v>2988</v>
      </c>
      <c r="G2865" t="s">
        <v>2989</v>
      </c>
      <c r="H2865" t="s">
        <v>2990</v>
      </c>
      <c r="I2865" t="s">
        <v>2991</v>
      </c>
      <c r="J2865" t="s">
        <v>2992</v>
      </c>
      <c r="K2865" t="s">
        <v>2988</v>
      </c>
      <c r="L2865" t="s">
        <v>2989</v>
      </c>
    </row>
    <row r="2866" spans="2:12">
      <c r="B2866" t="s">
        <v>2970</v>
      </c>
      <c r="C2866">
        <v>4.5</v>
      </c>
      <c r="D2866">
        <v>1272.99</v>
      </c>
      <c r="E2866" t="s">
        <v>3019</v>
      </c>
      <c r="F2866">
        <v>8.5</v>
      </c>
      <c r="G2866">
        <v>8.26</v>
      </c>
      <c r="H2866">
        <v>0</v>
      </c>
      <c r="I2866">
        <v>0</v>
      </c>
      <c r="J2866" t="s">
        <v>2993</v>
      </c>
      <c r="K2866">
        <v>5.08</v>
      </c>
      <c r="L2866">
        <v>4.55</v>
      </c>
    </row>
    <row r="2867" spans="2:12">
      <c r="B2867" t="s">
        <v>2971</v>
      </c>
      <c r="C2867" t="s">
        <v>212</v>
      </c>
      <c r="D2867" t="s">
        <v>212</v>
      </c>
      <c r="E2867" t="s">
        <v>212</v>
      </c>
      <c r="F2867" t="s">
        <v>212</v>
      </c>
      <c r="G2867" t="s">
        <v>212</v>
      </c>
      <c r="H2867" t="s">
        <v>212</v>
      </c>
      <c r="I2867" t="s">
        <v>212</v>
      </c>
      <c r="J2867" t="s">
        <v>212</v>
      </c>
      <c r="K2867" t="s">
        <v>212</v>
      </c>
      <c r="L2867" t="s">
        <v>212</v>
      </c>
    </row>
    <row r="2868" spans="2:12">
      <c r="B2868" t="s">
        <v>2972</v>
      </c>
      <c r="C2868" t="s">
        <v>212</v>
      </c>
      <c r="D2868" t="s">
        <v>212</v>
      </c>
      <c r="E2868" t="s">
        <v>212</v>
      </c>
      <c r="F2868" t="s">
        <v>212</v>
      </c>
      <c r="G2868" t="s">
        <v>212</v>
      </c>
      <c r="H2868" t="s">
        <v>212</v>
      </c>
      <c r="I2868" t="s">
        <v>212</v>
      </c>
      <c r="J2868" t="s">
        <v>212</v>
      </c>
      <c r="K2868" t="s">
        <v>212</v>
      </c>
      <c r="L2868" t="s">
        <v>212</v>
      </c>
    </row>
    <row r="2869" spans="2:12">
      <c r="B2869" t="s">
        <v>2973</v>
      </c>
      <c r="C2869" t="s">
        <v>212</v>
      </c>
      <c r="D2869" t="s">
        <v>212</v>
      </c>
      <c r="E2869" t="s">
        <v>212</v>
      </c>
      <c r="F2869" t="s">
        <v>212</v>
      </c>
      <c r="G2869" t="s">
        <v>212</v>
      </c>
      <c r="H2869" t="s">
        <v>212</v>
      </c>
      <c r="I2869" t="s">
        <v>212</v>
      </c>
      <c r="J2869" t="s">
        <v>212</v>
      </c>
      <c r="K2869" t="s">
        <v>212</v>
      </c>
      <c r="L2869" t="s">
        <v>212</v>
      </c>
    </row>
    <row r="2870" spans="2:12">
      <c r="B2870" t="s">
        <v>820</v>
      </c>
      <c r="C2870" t="s">
        <v>212</v>
      </c>
      <c r="D2870" t="s">
        <v>212</v>
      </c>
      <c r="E2870" t="s">
        <v>212</v>
      </c>
      <c r="F2870" t="s">
        <v>212</v>
      </c>
      <c r="G2870" t="s">
        <v>212</v>
      </c>
      <c r="H2870" t="s">
        <v>212</v>
      </c>
      <c r="I2870" t="s">
        <v>212</v>
      </c>
      <c r="J2870" t="s">
        <v>212</v>
      </c>
      <c r="K2870" t="s">
        <v>212</v>
      </c>
      <c r="L2870" t="s">
        <v>212</v>
      </c>
    </row>
    <row r="2871" spans="2:12">
      <c r="B2871" t="s">
        <v>2974</v>
      </c>
      <c r="C2871" t="s">
        <v>212</v>
      </c>
      <c r="D2871" t="s">
        <v>212</v>
      </c>
      <c r="E2871" t="s">
        <v>212</v>
      </c>
      <c r="F2871" t="s">
        <v>212</v>
      </c>
      <c r="G2871" t="s">
        <v>212</v>
      </c>
      <c r="H2871" t="s">
        <v>212</v>
      </c>
      <c r="I2871" t="s">
        <v>212</v>
      </c>
      <c r="J2871" t="s">
        <v>212</v>
      </c>
      <c r="K2871" t="s">
        <v>212</v>
      </c>
      <c r="L2871" t="s">
        <v>212</v>
      </c>
    </row>
    <row r="2872" spans="2:12">
      <c r="B2872" t="s">
        <v>2975</v>
      </c>
      <c r="C2872" t="s">
        <v>212</v>
      </c>
      <c r="D2872" t="s">
        <v>212</v>
      </c>
      <c r="E2872" t="s">
        <v>212</v>
      </c>
      <c r="F2872" t="s">
        <v>212</v>
      </c>
      <c r="G2872" t="s">
        <v>212</v>
      </c>
      <c r="H2872" t="s">
        <v>212</v>
      </c>
      <c r="I2872" t="s">
        <v>212</v>
      </c>
      <c r="J2872" t="s">
        <v>212</v>
      </c>
      <c r="K2872" t="s">
        <v>212</v>
      </c>
      <c r="L2872" t="s">
        <v>212</v>
      </c>
    </row>
    <row r="2873" spans="2:12">
      <c r="B2873" t="s">
        <v>2976</v>
      </c>
      <c r="C2873" t="s">
        <v>212</v>
      </c>
      <c r="D2873" t="s">
        <v>212</v>
      </c>
      <c r="E2873" t="s">
        <v>212</v>
      </c>
      <c r="F2873" t="s">
        <v>212</v>
      </c>
      <c r="G2873" t="s">
        <v>212</v>
      </c>
      <c r="H2873" t="s">
        <v>212</v>
      </c>
      <c r="I2873" t="s">
        <v>212</v>
      </c>
      <c r="J2873" t="s">
        <v>212</v>
      </c>
      <c r="K2873" t="s">
        <v>212</v>
      </c>
      <c r="L2873" t="s">
        <v>212</v>
      </c>
    </row>
    <row r="2874" spans="2:12">
      <c r="B2874" t="s">
        <v>2977</v>
      </c>
      <c r="C2874" t="s">
        <v>212</v>
      </c>
      <c r="D2874" t="s">
        <v>212</v>
      </c>
      <c r="E2874" t="s">
        <v>212</v>
      </c>
      <c r="F2874" t="s">
        <v>212</v>
      </c>
      <c r="G2874" t="s">
        <v>212</v>
      </c>
      <c r="H2874" t="s">
        <v>212</v>
      </c>
      <c r="I2874" t="s">
        <v>212</v>
      </c>
      <c r="J2874" t="s">
        <v>212</v>
      </c>
      <c r="K2874" t="s">
        <v>212</v>
      </c>
      <c r="L2874" t="s">
        <v>212</v>
      </c>
    </row>
    <row r="2875" spans="2:12">
      <c r="B2875" t="s">
        <v>2978</v>
      </c>
      <c r="C2875" t="s">
        <v>212</v>
      </c>
      <c r="D2875" t="s">
        <v>212</v>
      </c>
      <c r="E2875" t="s">
        <v>212</v>
      </c>
      <c r="F2875" t="s">
        <v>212</v>
      </c>
      <c r="G2875" t="s">
        <v>212</v>
      </c>
      <c r="H2875" t="s">
        <v>212</v>
      </c>
      <c r="I2875" t="s">
        <v>212</v>
      </c>
      <c r="J2875" t="s">
        <v>212</v>
      </c>
      <c r="K2875" t="s">
        <v>212</v>
      </c>
      <c r="L2875" t="s">
        <v>212</v>
      </c>
    </row>
    <row r="2876" spans="2:12">
      <c r="B2876" t="s">
        <v>2979</v>
      </c>
      <c r="C2876" t="s">
        <v>212</v>
      </c>
      <c r="D2876" t="s">
        <v>212</v>
      </c>
      <c r="E2876" t="s">
        <v>212</v>
      </c>
      <c r="F2876" t="s">
        <v>212</v>
      </c>
      <c r="G2876" t="s">
        <v>212</v>
      </c>
      <c r="H2876" t="s">
        <v>212</v>
      </c>
      <c r="I2876" t="s">
        <v>212</v>
      </c>
      <c r="J2876" t="s">
        <v>212</v>
      </c>
      <c r="K2876" t="s">
        <v>212</v>
      </c>
      <c r="L2876" t="s">
        <v>212</v>
      </c>
    </row>
    <row r="2877" spans="2:12">
      <c r="B2877" t="s">
        <v>2980</v>
      </c>
      <c r="C2877" t="s">
        <v>212</v>
      </c>
      <c r="D2877" t="s">
        <v>212</v>
      </c>
      <c r="E2877" t="s">
        <v>212</v>
      </c>
      <c r="F2877" t="s">
        <v>212</v>
      </c>
      <c r="G2877" t="s">
        <v>212</v>
      </c>
      <c r="H2877" t="s">
        <v>212</v>
      </c>
      <c r="I2877" t="s">
        <v>212</v>
      </c>
      <c r="J2877" t="s">
        <v>212</v>
      </c>
      <c r="K2877" t="s">
        <v>212</v>
      </c>
      <c r="L2877" t="s">
        <v>212</v>
      </c>
    </row>
    <row r="2879" spans="2:12">
      <c r="B2879" t="s">
        <v>2981</v>
      </c>
      <c r="C2879">
        <v>4.5</v>
      </c>
      <c r="H2879">
        <v>0</v>
      </c>
    </row>
    <row r="2880" spans="2:12">
      <c r="B2880" t="s">
        <v>2982</v>
      </c>
      <c r="C2880">
        <v>4.5</v>
      </c>
      <c r="D2880">
        <v>1272.99</v>
      </c>
      <c r="F2880">
        <v>8.5</v>
      </c>
      <c r="G2880">
        <v>8.26</v>
      </c>
      <c r="H2880">
        <v>0</v>
      </c>
      <c r="I2880">
        <v>0</v>
      </c>
      <c r="K2880">
        <v>5.08</v>
      </c>
      <c r="L2880">
        <v>4.55</v>
      </c>
    </row>
    <row r="2881" spans="1:12">
      <c r="B2881" t="s">
        <v>2983</v>
      </c>
      <c r="C2881">
        <v>4.5</v>
      </c>
      <c r="D2881">
        <v>1272.99</v>
      </c>
      <c r="F2881">
        <v>8.5</v>
      </c>
      <c r="G2881">
        <v>8.26</v>
      </c>
      <c r="H2881">
        <v>0</v>
      </c>
      <c r="I2881">
        <v>0</v>
      </c>
      <c r="K2881">
        <v>5.08</v>
      </c>
      <c r="L2881">
        <v>4.55</v>
      </c>
    </row>
    <row r="2884" spans="1:12">
      <c r="A2884" t="s">
        <v>1914</v>
      </c>
    </row>
    <row r="2885" spans="1:12">
      <c r="A2885" t="s">
        <v>1915</v>
      </c>
      <c r="B2885" t="s">
        <v>2984</v>
      </c>
    </row>
    <row r="2886" spans="1:12">
      <c r="A2886" t="s">
        <v>1917</v>
      </c>
      <c r="B2886" t="s">
        <v>2888</v>
      </c>
    </row>
    <row r="2887" spans="1:12">
      <c r="C2887" t="s">
        <v>2985</v>
      </c>
      <c r="D2887" t="s">
        <v>2986</v>
      </c>
      <c r="E2887" t="s">
        <v>2987</v>
      </c>
      <c r="F2887" t="s">
        <v>2988</v>
      </c>
      <c r="G2887" t="s">
        <v>2989</v>
      </c>
      <c r="H2887" t="s">
        <v>2990</v>
      </c>
      <c r="I2887" t="s">
        <v>2991</v>
      </c>
      <c r="J2887" t="s">
        <v>2992</v>
      </c>
      <c r="K2887" t="s">
        <v>2988</v>
      </c>
      <c r="L2887" t="s">
        <v>2989</v>
      </c>
    </row>
    <row r="2888" spans="1:12">
      <c r="B2888" t="s">
        <v>2970</v>
      </c>
      <c r="C2888">
        <v>2.5099999999999998</v>
      </c>
      <c r="D2888">
        <v>842.8</v>
      </c>
      <c r="E2888" t="s">
        <v>3004</v>
      </c>
      <c r="F2888">
        <v>6.85</v>
      </c>
      <c r="G2888">
        <v>6.4</v>
      </c>
      <c r="H2888">
        <v>0</v>
      </c>
      <c r="I2888">
        <v>0</v>
      </c>
      <c r="J2888" t="s">
        <v>2993</v>
      </c>
      <c r="K2888">
        <v>5.08</v>
      </c>
      <c r="L2888">
        <v>4.55</v>
      </c>
    </row>
    <row r="2889" spans="1:12">
      <c r="B2889" t="s">
        <v>2971</v>
      </c>
      <c r="C2889" t="s">
        <v>212</v>
      </c>
      <c r="D2889" t="s">
        <v>212</v>
      </c>
      <c r="E2889" t="s">
        <v>212</v>
      </c>
      <c r="F2889" t="s">
        <v>212</v>
      </c>
      <c r="G2889" t="s">
        <v>212</v>
      </c>
      <c r="H2889" t="s">
        <v>212</v>
      </c>
      <c r="I2889" t="s">
        <v>212</v>
      </c>
      <c r="J2889" t="s">
        <v>212</v>
      </c>
      <c r="K2889" t="s">
        <v>212</v>
      </c>
      <c r="L2889" t="s">
        <v>212</v>
      </c>
    </row>
    <row r="2890" spans="1:12">
      <c r="B2890" t="s">
        <v>2972</v>
      </c>
      <c r="C2890" t="s">
        <v>212</v>
      </c>
      <c r="D2890" t="s">
        <v>212</v>
      </c>
      <c r="E2890" t="s">
        <v>212</v>
      </c>
      <c r="F2890" t="s">
        <v>212</v>
      </c>
      <c r="G2890" t="s">
        <v>212</v>
      </c>
      <c r="H2890" t="s">
        <v>212</v>
      </c>
      <c r="I2890" t="s">
        <v>212</v>
      </c>
      <c r="J2890" t="s">
        <v>212</v>
      </c>
      <c r="K2890" t="s">
        <v>212</v>
      </c>
      <c r="L2890" t="s">
        <v>212</v>
      </c>
    </row>
    <row r="2891" spans="1:12">
      <c r="B2891" t="s">
        <v>2973</v>
      </c>
      <c r="C2891" t="s">
        <v>212</v>
      </c>
      <c r="D2891" t="s">
        <v>212</v>
      </c>
      <c r="E2891" t="s">
        <v>212</v>
      </c>
      <c r="F2891" t="s">
        <v>212</v>
      </c>
      <c r="G2891" t="s">
        <v>212</v>
      </c>
      <c r="H2891" t="s">
        <v>212</v>
      </c>
      <c r="I2891" t="s">
        <v>212</v>
      </c>
      <c r="J2891" t="s">
        <v>212</v>
      </c>
      <c r="K2891" t="s">
        <v>212</v>
      </c>
      <c r="L2891" t="s">
        <v>212</v>
      </c>
    </row>
    <row r="2892" spans="1:12">
      <c r="B2892" t="s">
        <v>820</v>
      </c>
      <c r="C2892" t="s">
        <v>212</v>
      </c>
      <c r="D2892" t="s">
        <v>212</v>
      </c>
      <c r="E2892" t="s">
        <v>212</v>
      </c>
      <c r="F2892" t="s">
        <v>212</v>
      </c>
      <c r="G2892" t="s">
        <v>212</v>
      </c>
      <c r="H2892" t="s">
        <v>212</v>
      </c>
      <c r="I2892" t="s">
        <v>212</v>
      </c>
      <c r="J2892" t="s">
        <v>212</v>
      </c>
      <c r="K2892" t="s">
        <v>212</v>
      </c>
      <c r="L2892" t="s">
        <v>212</v>
      </c>
    </row>
    <row r="2893" spans="1:12">
      <c r="B2893" t="s">
        <v>2974</v>
      </c>
      <c r="C2893" t="s">
        <v>212</v>
      </c>
      <c r="D2893" t="s">
        <v>212</v>
      </c>
      <c r="E2893" t="s">
        <v>212</v>
      </c>
      <c r="F2893" t="s">
        <v>212</v>
      </c>
      <c r="G2893" t="s">
        <v>212</v>
      </c>
      <c r="H2893" t="s">
        <v>212</v>
      </c>
      <c r="I2893" t="s">
        <v>212</v>
      </c>
      <c r="J2893" t="s">
        <v>212</v>
      </c>
      <c r="K2893" t="s">
        <v>212</v>
      </c>
      <c r="L2893" t="s">
        <v>212</v>
      </c>
    </row>
    <row r="2894" spans="1:12">
      <c r="B2894" t="s">
        <v>2975</v>
      </c>
      <c r="C2894" t="s">
        <v>212</v>
      </c>
      <c r="D2894" t="s">
        <v>212</v>
      </c>
      <c r="E2894" t="s">
        <v>212</v>
      </c>
      <c r="F2894" t="s">
        <v>212</v>
      </c>
      <c r="G2894" t="s">
        <v>212</v>
      </c>
      <c r="H2894" t="s">
        <v>212</v>
      </c>
      <c r="I2894" t="s">
        <v>212</v>
      </c>
      <c r="J2894" t="s">
        <v>212</v>
      </c>
      <c r="K2894" t="s">
        <v>212</v>
      </c>
      <c r="L2894" t="s">
        <v>212</v>
      </c>
    </row>
    <row r="2895" spans="1:12">
      <c r="B2895" t="s">
        <v>2976</v>
      </c>
      <c r="C2895" t="s">
        <v>212</v>
      </c>
      <c r="D2895" t="s">
        <v>212</v>
      </c>
      <c r="E2895" t="s">
        <v>212</v>
      </c>
      <c r="F2895" t="s">
        <v>212</v>
      </c>
      <c r="G2895" t="s">
        <v>212</v>
      </c>
      <c r="H2895" t="s">
        <v>212</v>
      </c>
      <c r="I2895" t="s">
        <v>212</v>
      </c>
      <c r="J2895" t="s">
        <v>212</v>
      </c>
      <c r="K2895" t="s">
        <v>212</v>
      </c>
      <c r="L2895" t="s">
        <v>212</v>
      </c>
    </row>
    <row r="2896" spans="1:12">
      <c r="B2896" t="s">
        <v>2977</v>
      </c>
      <c r="C2896" t="s">
        <v>212</v>
      </c>
      <c r="D2896" t="s">
        <v>212</v>
      </c>
      <c r="E2896" t="s">
        <v>212</v>
      </c>
      <c r="F2896" t="s">
        <v>212</v>
      </c>
      <c r="G2896" t="s">
        <v>212</v>
      </c>
      <c r="H2896" t="s">
        <v>212</v>
      </c>
      <c r="I2896" t="s">
        <v>212</v>
      </c>
      <c r="J2896" t="s">
        <v>212</v>
      </c>
      <c r="K2896" t="s">
        <v>212</v>
      </c>
      <c r="L2896" t="s">
        <v>212</v>
      </c>
    </row>
    <row r="2897" spans="1:12">
      <c r="B2897" t="s">
        <v>2978</v>
      </c>
      <c r="C2897" t="s">
        <v>212</v>
      </c>
      <c r="D2897" t="s">
        <v>212</v>
      </c>
      <c r="E2897" t="s">
        <v>212</v>
      </c>
      <c r="F2897" t="s">
        <v>212</v>
      </c>
      <c r="G2897" t="s">
        <v>212</v>
      </c>
      <c r="H2897" t="s">
        <v>212</v>
      </c>
      <c r="I2897" t="s">
        <v>212</v>
      </c>
      <c r="J2897" t="s">
        <v>212</v>
      </c>
      <c r="K2897" t="s">
        <v>212</v>
      </c>
      <c r="L2897" t="s">
        <v>212</v>
      </c>
    </row>
    <row r="2898" spans="1:12">
      <c r="B2898" t="s">
        <v>2979</v>
      </c>
      <c r="C2898" t="s">
        <v>212</v>
      </c>
      <c r="D2898" t="s">
        <v>212</v>
      </c>
      <c r="E2898" t="s">
        <v>212</v>
      </c>
      <c r="F2898" t="s">
        <v>212</v>
      </c>
      <c r="G2898" t="s">
        <v>212</v>
      </c>
      <c r="H2898" t="s">
        <v>212</v>
      </c>
      <c r="I2898" t="s">
        <v>212</v>
      </c>
      <c r="J2898" t="s">
        <v>212</v>
      </c>
      <c r="K2898" t="s">
        <v>212</v>
      </c>
      <c r="L2898" t="s">
        <v>212</v>
      </c>
    </row>
    <row r="2899" spans="1:12">
      <c r="B2899" t="s">
        <v>2980</v>
      </c>
      <c r="C2899" t="s">
        <v>212</v>
      </c>
      <c r="D2899" t="s">
        <v>212</v>
      </c>
      <c r="E2899" t="s">
        <v>212</v>
      </c>
      <c r="F2899" t="s">
        <v>212</v>
      </c>
      <c r="G2899" t="s">
        <v>212</v>
      </c>
      <c r="H2899" t="s">
        <v>212</v>
      </c>
      <c r="I2899" t="s">
        <v>212</v>
      </c>
      <c r="J2899" t="s">
        <v>212</v>
      </c>
      <c r="K2899" t="s">
        <v>212</v>
      </c>
      <c r="L2899" t="s">
        <v>212</v>
      </c>
    </row>
    <row r="2901" spans="1:12">
      <c r="B2901" t="s">
        <v>2981</v>
      </c>
      <c r="C2901">
        <v>2.5099999999999998</v>
      </c>
      <c r="H2901">
        <v>0</v>
      </c>
    </row>
    <row r="2902" spans="1:12">
      <c r="B2902" t="s">
        <v>2982</v>
      </c>
      <c r="C2902">
        <v>2.5099999999999998</v>
      </c>
      <c r="D2902">
        <v>842.8</v>
      </c>
      <c r="F2902">
        <v>6.85</v>
      </c>
      <c r="G2902">
        <v>6.4</v>
      </c>
      <c r="H2902">
        <v>0</v>
      </c>
      <c r="I2902">
        <v>0</v>
      </c>
      <c r="K2902">
        <v>5.08</v>
      </c>
      <c r="L2902">
        <v>4.55</v>
      </c>
    </row>
    <row r="2903" spans="1:12">
      <c r="B2903" t="s">
        <v>2983</v>
      </c>
      <c r="C2903">
        <v>2.5099999999999998</v>
      </c>
      <c r="D2903">
        <v>842.8</v>
      </c>
      <c r="F2903">
        <v>6.85</v>
      </c>
      <c r="G2903">
        <v>6.4</v>
      </c>
      <c r="H2903">
        <v>0</v>
      </c>
      <c r="I2903">
        <v>0</v>
      </c>
      <c r="K2903">
        <v>5.08</v>
      </c>
      <c r="L2903">
        <v>4.55</v>
      </c>
    </row>
    <row r="2906" spans="1:12">
      <c r="A2906" t="s">
        <v>1914</v>
      </c>
    </row>
    <row r="2907" spans="1:12">
      <c r="A2907" t="s">
        <v>1915</v>
      </c>
      <c r="B2907" t="s">
        <v>2984</v>
      </c>
    </row>
    <row r="2908" spans="1:12">
      <c r="A2908" t="s">
        <v>1917</v>
      </c>
      <c r="B2908" t="s">
        <v>2889</v>
      </c>
    </row>
    <row r="2909" spans="1:12">
      <c r="C2909" t="s">
        <v>2985</v>
      </c>
      <c r="D2909" t="s">
        <v>2986</v>
      </c>
      <c r="E2909" t="s">
        <v>2987</v>
      </c>
      <c r="F2909" t="s">
        <v>2988</v>
      </c>
      <c r="G2909" t="s">
        <v>2989</v>
      </c>
      <c r="H2909" t="s">
        <v>2990</v>
      </c>
      <c r="I2909" t="s">
        <v>2991</v>
      </c>
      <c r="J2909" t="s">
        <v>2992</v>
      </c>
      <c r="K2909" t="s">
        <v>2988</v>
      </c>
      <c r="L2909" t="s">
        <v>2989</v>
      </c>
    </row>
    <row r="2910" spans="1:12">
      <c r="B2910" t="s">
        <v>2970</v>
      </c>
      <c r="C2910">
        <v>161.76</v>
      </c>
      <c r="D2910">
        <v>18227.759999999998</v>
      </c>
      <c r="E2910" t="s">
        <v>3009</v>
      </c>
      <c r="F2910">
        <v>8.3000000000000007</v>
      </c>
      <c r="G2910">
        <v>8.2200000000000006</v>
      </c>
      <c r="H2910">
        <v>0</v>
      </c>
      <c r="I2910">
        <v>0</v>
      </c>
      <c r="J2910" t="s">
        <v>2993</v>
      </c>
      <c r="K2910">
        <v>5.08</v>
      </c>
      <c r="L2910">
        <v>4.55</v>
      </c>
    </row>
    <row r="2911" spans="1:12">
      <c r="B2911" t="s">
        <v>2971</v>
      </c>
      <c r="C2911" t="s">
        <v>212</v>
      </c>
      <c r="D2911" t="s">
        <v>212</v>
      </c>
      <c r="E2911" t="s">
        <v>212</v>
      </c>
      <c r="F2911" t="s">
        <v>212</v>
      </c>
      <c r="G2911" t="s">
        <v>212</v>
      </c>
      <c r="H2911" t="s">
        <v>212</v>
      </c>
      <c r="I2911" t="s">
        <v>212</v>
      </c>
      <c r="J2911" t="s">
        <v>212</v>
      </c>
      <c r="K2911" t="s">
        <v>212</v>
      </c>
      <c r="L2911" t="s">
        <v>212</v>
      </c>
    </row>
    <row r="2912" spans="1:12">
      <c r="B2912" t="s">
        <v>2972</v>
      </c>
      <c r="C2912" t="s">
        <v>212</v>
      </c>
      <c r="D2912" t="s">
        <v>212</v>
      </c>
      <c r="E2912" t="s">
        <v>212</v>
      </c>
      <c r="F2912" t="s">
        <v>212</v>
      </c>
      <c r="G2912" t="s">
        <v>212</v>
      </c>
      <c r="H2912" t="s">
        <v>212</v>
      </c>
      <c r="I2912" t="s">
        <v>212</v>
      </c>
      <c r="J2912" t="s">
        <v>212</v>
      </c>
      <c r="K2912" t="s">
        <v>212</v>
      </c>
      <c r="L2912" t="s">
        <v>212</v>
      </c>
    </row>
    <row r="2913" spans="1:12">
      <c r="B2913" t="s">
        <v>2973</v>
      </c>
      <c r="C2913" t="s">
        <v>212</v>
      </c>
      <c r="D2913" t="s">
        <v>212</v>
      </c>
      <c r="E2913" t="s">
        <v>212</v>
      </c>
      <c r="F2913" t="s">
        <v>212</v>
      </c>
      <c r="G2913" t="s">
        <v>212</v>
      </c>
      <c r="H2913" t="s">
        <v>212</v>
      </c>
      <c r="I2913" t="s">
        <v>212</v>
      </c>
      <c r="J2913" t="s">
        <v>212</v>
      </c>
      <c r="K2913" t="s">
        <v>212</v>
      </c>
      <c r="L2913" t="s">
        <v>212</v>
      </c>
    </row>
    <row r="2914" spans="1:12">
      <c r="B2914" t="s">
        <v>820</v>
      </c>
      <c r="C2914" t="s">
        <v>212</v>
      </c>
      <c r="D2914" t="s">
        <v>212</v>
      </c>
      <c r="E2914" t="s">
        <v>212</v>
      </c>
      <c r="F2914" t="s">
        <v>212</v>
      </c>
      <c r="G2914" t="s">
        <v>212</v>
      </c>
      <c r="H2914" t="s">
        <v>212</v>
      </c>
      <c r="I2914" t="s">
        <v>212</v>
      </c>
      <c r="J2914" t="s">
        <v>212</v>
      </c>
      <c r="K2914" t="s">
        <v>212</v>
      </c>
      <c r="L2914" t="s">
        <v>212</v>
      </c>
    </row>
    <row r="2915" spans="1:12">
      <c r="B2915" t="s">
        <v>2974</v>
      </c>
      <c r="C2915" t="s">
        <v>212</v>
      </c>
      <c r="D2915" t="s">
        <v>212</v>
      </c>
      <c r="E2915" t="s">
        <v>212</v>
      </c>
      <c r="F2915" t="s">
        <v>212</v>
      </c>
      <c r="G2915" t="s">
        <v>212</v>
      </c>
      <c r="H2915" t="s">
        <v>212</v>
      </c>
      <c r="I2915" t="s">
        <v>212</v>
      </c>
      <c r="J2915" t="s">
        <v>212</v>
      </c>
      <c r="K2915" t="s">
        <v>212</v>
      </c>
      <c r="L2915" t="s">
        <v>212</v>
      </c>
    </row>
    <row r="2916" spans="1:12">
      <c r="B2916" t="s">
        <v>2975</v>
      </c>
      <c r="C2916" t="s">
        <v>212</v>
      </c>
      <c r="D2916" t="s">
        <v>212</v>
      </c>
      <c r="E2916" t="s">
        <v>212</v>
      </c>
      <c r="F2916" t="s">
        <v>212</v>
      </c>
      <c r="G2916" t="s">
        <v>212</v>
      </c>
      <c r="H2916" t="s">
        <v>212</v>
      </c>
      <c r="I2916" t="s">
        <v>212</v>
      </c>
      <c r="J2916" t="s">
        <v>212</v>
      </c>
      <c r="K2916" t="s">
        <v>212</v>
      </c>
      <c r="L2916" t="s">
        <v>212</v>
      </c>
    </row>
    <row r="2917" spans="1:12">
      <c r="B2917" t="s">
        <v>2976</v>
      </c>
      <c r="C2917" t="s">
        <v>212</v>
      </c>
      <c r="D2917" t="s">
        <v>212</v>
      </c>
      <c r="E2917" t="s">
        <v>212</v>
      </c>
      <c r="F2917" t="s">
        <v>212</v>
      </c>
      <c r="G2917" t="s">
        <v>212</v>
      </c>
      <c r="H2917" t="s">
        <v>212</v>
      </c>
      <c r="I2917" t="s">
        <v>212</v>
      </c>
      <c r="J2917" t="s">
        <v>212</v>
      </c>
      <c r="K2917" t="s">
        <v>212</v>
      </c>
      <c r="L2917" t="s">
        <v>212</v>
      </c>
    </row>
    <row r="2918" spans="1:12">
      <c r="B2918" t="s">
        <v>2977</v>
      </c>
      <c r="C2918" t="s">
        <v>212</v>
      </c>
      <c r="D2918" t="s">
        <v>212</v>
      </c>
      <c r="E2918" t="s">
        <v>212</v>
      </c>
      <c r="F2918" t="s">
        <v>212</v>
      </c>
      <c r="G2918" t="s">
        <v>212</v>
      </c>
      <c r="H2918" t="s">
        <v>212</v>
      </c>
      <c r="I2918" t="s">
        <v>212</v>
      </c>
      <c r="J2918" t="s">
        <v>212</v>
      </c>
      <c r="K2918" t="s">
        <v>212</v>
      </c>
      <c r="L2918" t="s">
        <v>212</v>
      </c>
    </row>
    <row r="2919" spans="1:12">
      <c r="B2919" t="s">
        <v>2978</v>
      </c>
      <c r="C2919" t="s">
        <v>212</v>
      </c>
      <c r="D2919" t="s">
        <v>212</v>
      </c>
      <c r="E2919" t="s">
        <v>212</v>
      </c>
      <c r="F2919" t="s">
        <v>212</v>
      </c>
      <c r="G2919" t="s">
        <v>212</v>
      </c>
      <c r="H2919" t="s">
        <v>212</v>
      </c>
      <c r="I2919" t="s">
        <v>212</v>
      </c>
      <c r="J2919" t="s">
        <v>212</v>
      </c>
      <c r="K2919" t="s">
        <v>212</v>
      </c>
      <c r="L2919" t="s">
        <v>212</v>
      </c>
    </row>
    <row r="2920" spans="1:12">
      <c r="B2920" t="s">
        <v>2979</v>
      </c>
      <c r="C2920" t="s">
        <v>212</v>
      </c>
      <c r="D2920" t="s">
        <v>212</v>
      </c>
      <c r="E2920" t="s">
        <v>212</v>
      </c>
      <c r="F2920" t="s">
        <v>212</v>
      </c>
      <c r="G2920" t="s">
        <v>212</v>
      </c>
      <c r="H2920" t="s">
        <v>212</v>
      </c>
      <c r="I2920" t="s">
        <v>212</v>
      </c>
      <c r="J2920" t="s">
        <v>212</v>
      </c>
      <c r="K2920" t="s">
        <v>212</v>
      </c>
      <c r="L2920" t="s">
        <v>212</v>
      </c>
    </row>
    <row r="2921" spans="1:12">
      <c r="B2921" t="s">
        <v>2980</v>
      </c>
      <c r="C2921" t="s">
        <v>212</v>
      </c>
      <c r="D2921" t="s">
        <v>212</v>
      </c>
      <c r="E2921" t="s">
        <v>212</v>
      </c>
      <c r="F2921" t="s">
        <v>212</v>
      </c>
      <c r="G2921" t="s">
        <v>212</v>
      </c>
      <c r="H2921" t="s">
        <v>212</v>
      </c>
      <c r="I2921" t="s">
        <v>212</v>
      </c>
      <c r="J2921" t="s">
        <v>212</v>
      </c>
      <c r="K2921" t="s">
        <v>212</v>
      </c>
      <c r="L2921" t="s">
        <v>212</v>
      </c>
    </row>
    <row r="2923" spans="1:12">
      <c r="B2923" t="s">
        <v>2981</v>
      </c>
      <c r="C2923">
        <v>161.76</v>
      </c>
      <c r="H2923">
        <v>0</v>
      </c>
    </row>
    <row r="2924" spans="1:12">
      <c r="B2924" t="s">
        <v>2982</v>
      </c>
      <c r="C2924">
        <v>161.76</v>
      </c>
      <c r="D2924">
        <v>18227.759999999998</v>
      </c>
      <c r="F2924">
        <v>8.3000000000000007</v>
      </c>
      <c r="G2924">
        <v>8.2200000000000006</v>
      </c>
      <c r="H2924">
        <v>0</v>
      </c>
      <c r="I2924">
        <v>0</v>
      </c>
      <c r="K2924">
        <v>5.08</v>
      </c>
      <c r="L2924">
        <v>4.55</v>
      </c>
    </row>
    <row r="2925" spans="1:12">
      <c r="B2925" t="s">
        <v>2983</v>
      </c>
      <c r="C2925">
        <v>161.76</v>
      </c>
      <c r="D2925">
        <v>18227.759999999998</v>
      </c>
      <c r="F2925">
        <v>8.3000000000000007</v>
      </c>
      <c r="G2925">
        <v>8.2200000000000006</v>
      </c>
      <c r="H2925">
        <v>0</v>
      </c>
      <c r="I2925">
        <v>0</v>
      </c>
      <c r="K2925">
        <v>5.08</v>
      </c>
      <c r="L2925">
        <v>4.55</v>
      </c>
    </row>
    <row r="2928" spans="1:12">
      <c r="A2928" t="s">
        <v>1914</v>
      </c>
    </row>
    <row r="2929" spans="1:12">
      <c r="A2929" t="s">
        <v>1915</v>
      </c>
      <c r="B2929" t="s">
        <v>2984</v>
      </c>
    </row>
    <row r="2930" spans="1:12">
      <c r="A2930" t="s">
        <v>1917</v>
      </c>
      <c r="B2930" t="s">
        <v>2890</v>
      </c>
    </row>
    <row r="2931" spans="1:12">
      <c r="C2931" t="s">
        <v>2985</v>
      </c>
      <c r="D2931" t="s">
        <v>2986</v>
      </c>
      <c r="E2931" t="s">
        <v>2987</v>
      </c>
      <c r="F2931" t="s">
        <v>2988</v>
      </c>
      <c r="G2931" t="s">
        <v>2989</v>
      </c>
      <c r="H2931" t="s">
        <v>2990</v>
      </c>
      <c r="I2931" t="s">
        <v>2991</v>
      </c>
      <c r="J2931" t="s">
        <v>2992</v>
      </c>
      <c r="K2931" t="s">
        <v>2988</v>
      </c>
      <c r="L2931" t="s">
        <v>2989</v>
      </c>
    </row>
    <row r="2932" spans="1:12">
      <c r="B2932" t="s">
        <v>2970</v>
      </c>
      <c r="C2932">
        <v>4.21</v>
      </c>
      <c r="D2932">
        <v>1187.94</v>
      </c>
      <c r="E2932" t="s">
        <v>3016</v>
      </c>
      <c r="F2932">
        <v>6.63</v>
      </c>
      <c r="G2932">
        <v>6.22</v>
      </c>
      <c r="H2932">
        <v>0</v>
      </c>
      <c r="I2932">
        <v>0</v>
      </c>
      <c r="J2932" t="s">
        <v>2993</v>
      </c>
      <c r="K2932">
        <v>5.08</v>
      </c>
      <c r="L2932">
        <v>4.55</v>
      </c>
    </row>
    <row r="2933" spans="1:12">
      <c r="B2933" t="s">
        <v>2971</v>
      </c>
      <c r="C2933" t="s">
        <v>212</v>
      </c>
      <c r="D2933" t="s">
        <v>212</v>
      </c>
      <c r="E2933" t="s">
        <v>212</v>
      </c>
      <c r="F2933" t="s">
        <v>212</v>
      </c>
      <c r="G2933" t="s">
        <v>212</v>
      </c>
      <c r="H2933" t="s">
        <v>212</v>
      </c>
      <c r="I2933" t="s">
        <v>212</v>
      </c>
      <c r="J2933" t="s">
        <v>212</v>
      </c>
      <c r="K2933" t="s">
        <v>212</v>
      </c>
      <c r="L2933" t="s">
        <v>212</v>
      </c>
    </row>
    <row r="2934" spans="1:12">
      <c r="B2934" t="s">
        <v>2972</v>
      </c>
      <c r="C2934" t="s">
        <v>212</v>
      </c>
      <c r="D2934" t="s">
        <v>212</v>
      </c>
      <c r="E2934" t="s">
        <v>212</v>
      </c>
      <c r="F2934" t="s">
        <v>212</v>
      </c>
      <c r="G2934" t="s">
        <v>212</v>
      </c>
      <c r="H2934" t="s">
        <v>212</v>
      </c>
      <c r="I2934" t="s">
        <v>212</v>
      </c>
      <c r="J2934" t="s">
        <v>212</v>
      </c>
      <c r="K2934" t="s">
        <v>212</v>
      </c>
      <c r="L2934" t="s">
        <v>212</v>
      </c>
    </row>
    <row r="2935" spans="1:12">
      <c r="B2935" t="s">
        <v>2973</v>
      </c>
      <c r="C2935" t="s">
        <v>212</v>
      </c>
      <c r="D2935" t="s">
        <v>212</v>
      </c>
      <c r="E2935" t="s">
        <v>212</v>
      </c>
      <c r="F2935" t="s">
        <v>212</v>
      </c>
      <c r="G2935" t="s">
        <v>212</v>
      </c>
      <c r="H2935" t="s">
        <v>212</v>
      </c>
      <c r="I2935" t="s">
        <v>212</v>
      </c>
      <c r="J2935" t="s">
        <v>212</v>
      </c>
      <c r="K2935" t="s">
        <v>212</v>
      </c>
      <c r="L2935" t="s">
        <v>212</v>
      </c>
    </row>
    <row r="2936" spans="1:12">
      <c r="B2936" t="s">
        <v>820</v>
      </c>
      <c r="C2936" t="s">
        <v>212</v>
      </c>
      <c r="D2936" t="s">
        <v>212</v>
      </c>
      <c r="E2936" t="s">
        <v>212</v>
      </c>
      <c r="F2936" t="s">
        <v>212</v>
      </c>
      <c r="G2936" t="s">
        <v>212</v>
      </c>
      <c r="H2936" t="s">
        <v>212</v>
      </c>
      <c r="I2936" t="s">
        <v>212</v>
      </c>
      <c r="J2936" t="s">
        <v>212</v>
      </c>
      <c r="K2936" t="s">
        <v>212</v>
      </c>
      <c r="L2936" t="s">
        <v>212</v>
      </c>
    </row>
    <row r="2937" spans="1:12">
      <c r="B2937" t="s">
        <v>2974</v>
      </c>
      <c r="C2937" t="s">
        <v>212</v>
      </c>
      <c r="D2937" t="s">
        <v>212</v>
      </c>
      <c r="E2937" t="s">
        <v>212</v>
      </c>
      <c r="F2937" t="s">
        <v>212</v>
      </c>
      <c r="G2937" t="s">
        <v>212</v>
      </c>
      <c r="H2937" t="s">
        <v>212</v>
      </c>
      <c r="I2937" t="s">
        <v>212</v>
      </c>
      <c r="J2937" t="s">
        <v>212</v>
      </c>
      <c r="K2937" t="s">
        <v>212</v>
      </c>
      <c r="L2937" t="s">
        <v>212</v>
      </c>
    </row>
    <row r="2938" spans="1:12">
      <c r="B2938" t="s">
        <v>2975</v>
      </c>
      <c r="C2938" t="s">
        <v>212</v>
      </c>
      <c r="D2938" t="s">
        <v>212</v>
      </c>
      <c r="E2938" t="s">
        <v>212</v>
      </c>
      <c r="F2938" t="s">
        <v>212</v>
      </c>
      <c r="G2938" t="s">
        <v>212</v>
      </c>
      <c r="H2938" t="s">
        <v>212</v>
      </c>
      <c r="I2938" t="s">
        <v>212</v>
      </c>
      <c r="J2938" t="s">
        <v>212</v>
      </c>
      <c r="K2938" t="s">
        <v>212</v>
      </c>
      <c r="L2938" t="s">
        <v>212</v>
      </c>
    </row>
    <row r="2939" spans="1:12">
      <c r="B2939" t="s">
        <v>2976</v>
      </c>
      <c r="C2939" t="s">
        <v>212</v>
      </c>
      <c r="D2939" t="s">
        <v>212</v>
      </c>
      <c r="E2939" t="s">
        <v>212</v>
      </c>
      <c r="F2939" t="s">
        <v>212</v>
      </c>
      <c r="G2939" t="s">
        <v>212</v>
      </c>
      <c r="H2939" t="s">
        <v>212</v>
      </c>
      <c r="I2939" t="s">
        <v>212</v>
      </c>
      <c r="J2939" t="s">
        <v>212</v>
      </c>
      <c r="K2939" t="s">
        <v>212</v>
      </c>
      <c r="L2939" t="s">
        <v>212</v>
      </c>
    </row>
    <row r="2940" spans="1:12">
      <c r="B2940" t="s">
        <v>2977</v>
      </c>
      <c r="C2940" t="s">
        <v>212</v>
      </c>
      <c r="D2940" t="s">
        <v>212</v>
      </c>
      <c r="E2940" t="s">
        <v>212</v>
      </c>
      <c r="F2940" t="s">
        <v>212</v>
      </c>
      <c r="G2940" t="s">
        <v>212</v>
      </c>
      <c r="H2940" t="s">
        <v>212</v>
      </c>
      <c r="I2940" t="s">
        <v>212</v>
      </c>
      <c r="J2940" t="s">
        <v>212</v>
      </c>
      <c r="K2940" t="s">
        <v>212</v>
      </c>
      <c r="L2940" t="s">
        <v>212</v>
      </c>
    </row>
    <row r="2941" spans="1:12">
      <c r="B2941" t="s">
        <v>2978</v>
      </c>
      <c r="C2941" t="s">
        <v>212</v>
      </c>
      <c r="D2941" t="s">
        <v>212</v>
      </c>
      <c r="E2941" t="s">
        <v>212</v>
      </c>
      <c r="F2941" t="s">
        <v>212</v>
      </c>
      <c r="G2941" t="s">
        <v>212</v>
      </c>
      <c r="H2941" t="s">
        <v>212</v>
      </c>
      <c r="I2941" t="s">
        <v>212</v>
      </c>
      <c r="J2941" t="s">
        <v>212</v>
      </c>
      <c r="K2941" t="s">
        <v>212</v>
      </c>
      <c r="L2941" t="s">
        <v>212</v>
      </c>
    </row>
    <row r="2942" spans="1:12">
      <c r="B2942" t="s">
        <v>2979</v>
      </c>
      <c r="C2942" t="s">
        <v>212</v>
      </c>
      <c r="D2942" t="s">
        <v>212</v>
      </c>
      <c r="E2942" t="s">
        <v>212</v>
      </c>
      <c r="F2942" t="s">
        <v>212</v>
      </c>
      <c r="G2942" t="s">
        <v>212</v>
      </c>
      <c r="H2942" t="s">
        <v>212</v>
      </c>
      <c r="I2942" t="s">
        <v>212</v>
      </c>
      <c r="J2942" t="s">
        <v>212</v>
      </c>
      <c r="K2942" t="s">
        <v>212</v>
      </c>
      <c r="L2942" t="s">
        <v>212</v>
      </c>
    </row>
    <row r="2943" spans="1:12">
      <c r="B2943" t="s">
        <v>2980</v>
      </c>
      <c r="C2943" t="s">
        <v>212</v>
      </c>
      <c r="D2943" t="s">
        <v>212</v>
      </c>
      <c r="E2943" t="s">
        <v>212</v>
      </c>
      <c r="F2943" t="s">
        <v>212</v>
      </c>
      <c r="G2943" t="s">
        <v>212</v>
      </c>
      <c r="H2943" t="s">
        <v>212</v>
      </c>
      <c r="I2943" t="s">
        <v>212</v>
      </c>
      <c r="J2943" t="s">
        <v>212</v>
      </c>
      <c r="K2943" t="s">
        <v>212</v>
      </c>
      <c r="L2943" t="s">
        <v>212</v>
      </c>
    </row>
    <row r="2945" spans="1:12">
      <c r="B2945" t="s">
        <v>2981</v>
      </c>
      <c r="C2945">
        <v>4.21</v>
      </c>
      <c r="H2945">
        <v>0</v>
      </c>
    </row>
    <row r="2946" spans="1:12">
      <c r="B2946" t="s">
        <v>2982</v>
      </c>
      <c r="C2946">
        <v>4.21</v>
      </c>
      <c r="D2946">
        <v>1187.94</v>
      </c>
      <c r="F2946">
        <v>6.63</v>
      </c>
      <c r="G2946">
        <v>6.22</v>
      </c>
      <c r="H2946">
        <v>0</v>
      </c>
      <c r="I2946">
        <v>0</v>
      </c>
      <c r="K2946">
        <v>5.08</v>
      </c>
      <c r="L2946">
        <v>4.55</v>
      </c>
    </row>
    <row r="2947" spans="1:12">
      <c r="B2947" t="s">
        <v>2983</v>
      </c>
      <c r="C2947">
        <v>4.21</v>
      </c>
      <c r="D2947">
        <v>1187.94</v>
      </c>
      <c r="F2947">
        <v>6.63</v>
      </c>
      <c r="G2947">
        <v>6.22</v>
      </c>
      <c r="H2947">
        <v>0</v>
      </c>
      <c r="I2947">
        <v>0</v>
      </c>
      <c r="K2947">
        <v>5.08</v>
      </c>
      <c r="L2947">
        <v>4.55</v>
      </c>
    </row>
    <row r="2950" spans="1:12">
      <c r="A2950" t="s">
        <v>1914</v>
      </c>
    </row>
    <row r="2951" spans="1:12">
      <c r="A2951" t="s">
        <v>1915</v>
      </c>
      <c r="B2951" t="s">
        <v>2984</v>
      </c>
    </row>
    <row r="2952" spans="1:12">
      <c r="A2952" t="s">
        <v>1917</v>
      </c>
      <c r="B2952" t="s">
        <v>2891</v>
      </c>
    </row>
    <row r="2953" spans="1:12">
      <c r="C2953" t="s">
        <v>2985</v>
      </c>
      <c r="D2953" t="s">
        <v>2986</v>
      </c>
      <c r="E2953" t="s">
        <v>2987</v>
      </c>
      <c r="F2953" t="s">
        <v>2988</v>
      </c>
      <c r="G2953" t="s">
        <v>2989</v>
      </c>
      <c r="H2953" t="s">
        <v>2990</v>
      </c>
      <c r="I2953" t="s">
        <v>2991</v>
      </c>
      <c r="J2953" t="s">
        <v>2992</v>
      </c>
      <c r="K2953" t="s">
        <v>2988</v>
      </c>
      <c r="L2953" t="s">
        <v>2989</v>
      </c>
    </row>
    <row r="2954" spans="1:12">
      <c r="B2954" t="s">
        <v>2970</v>
      </c>
      <c r="C2954">
        <v>2.16</v>
      </c>
      <c r="D2954">
        <v>1121.71</v>
      </c>
      <c r="E2954" t="s">
        <v>3006</v>
      </c>
      <c r="F2954">
        <v>5.7</v>
      </c>
      <c r="G2954">
        <v>5.41</v>
      </c>
      <c r="H2954">
        <v>0</v>
      </c>
      <c r="I2954">
        <v>0</v>
      </c>
      <c r="J2954" t="s">
        <v>2993</v>
      </c>
      <c r="K2954">
        <v>5.08</v>
      </c>
      <c r="L2954">
        <v>4.55</v>
      </c>
    </row>
    <row r="2955" spans="1:12">
      <c r="B2955" t="s">
        <v>2971</v>
      </c>
      <c r="C2955" t="s">
        <v>212</v>
      </c>
      <c r="D2955" t="s">
        <v>212</v>
      </c>
      <c r="E2955" t="s">
        <v>212</v>
      </c>
      <c r="F2955" t="s">
        <v>212</v>
      </c>
      <c r="G2955" t="s">
        <v>212</v>
      </c>
      <c r="H2955" t="s">
        <v>212</v>
      </c>
      <c r="I2955" t="s">
        <v>212</v>
      </c>
      <c r="J2955" t="s">
        <v>212</v>
      </c>
      <c r="K2955" t="s">
        <v>212</v>
      </c>
      <c r="L2955" t="s">
        <v>212</v>
      </c>
    </row>
    <row r="2956" spans="1:12">
      <c r="B2956" t="s">
        <v>2972</v>
      </c>
      <c r="C2956" t="s">
        <v>212</v>
      </c>
      <c r="D2956" t="s">
        <v>212</v>
      </c>
      <c r="E2956" t="s">
        <v>212</v>
      </c>
      <c r="F2956" t="s">
        <v>212</v>
      </c>
      <c r="G2956" t="s">
        <v>212</v>
      </c>
      <c r="H2956" t="s">
        <v>212</v>
      </c>
      <c r="I2956" t="s">
        <v>212</v>
      </c>
      <c r="J2956" t="s">
        <v>212</v>
      </c>
      <c r="K2956" t="s">
        <v>212</v>
      </c>
      <c r="L2956" t="s">
        <v>212</v>
      </c>
    </row>
    <row r="2957" spans="1:12">
      <c r="B2957" t="s">
        <v>2973</v>
      </c>
      <c r="C2957" t="s">
        <v>212</v>
      </c>
      <c r="D2957" t="s">
        <v>212</v>
      </c>
      <c r="E2957" t="s">
        <v>212</v>
      </c>
      <c r="F2957" t="s">
        <v>212</v>
      </c>
      <c r="G2957" t="s">
        <v>212</v>
      </c>
      <c r="H2957" t="s">
        <v>212</v>
      </c>
      <c r="I2957" t="s">
        <v>212</v>
      </c>
      <c r="J2957" t="s">
        <v>212</v>
      </c>
      <c r="K2957" t="s">
        <v>212</v>
      </c>
      <c r="L2957" t="s">
        <v>212</v>
      </c>
    </row>
    <row r="2958" spans="1:12">
      <c r="B2958" t="s">
        <v>820</v>
      </c>
      <c r="C2958" t="s">
        <v>212</v>
      </c>
      <c r="D2958" t="s">
        <v>212</v>
      </c>
      <c r="E2958" t="s">
        <v>212</v>
      </c>
      <c r="F2958" t="s">
        <v>212</v>
      </c>
      <c r="G2958" t="s">
        <v>212</v>
      </c>
      <c r="H2958" t="s">
        <v>212</v>
      </c>
      <c r="I2958" t="s">
        <v>212</v>
      </c>
      <c r="J2958" t="s">
        <v>212</v>
      </c>
      <c r="K2958" t="s">
        <v>212</v>
      </c>
      <c r="L2958" t="s">
        <v>212</v>
      </c>
    </row>
    <row r="2959" spans="1:12">
      <c r="B2959" t="s">
        <v>2974</v>
      </c>
      <c r="C2959" t="s">
        <v>212</v>
      </c>
      <c r="D2959" t="s">
        <v>212</v>
      </c>
      <c r="E2959" t="s">
        <v>212</v>
      </c>
      <c r="F2959" t="s">
        <v>212</v>
      </c>
      <c r="G2959" t="s">
        <v>212</v>
      </c>
      <c r="H2959" t="s">
        <v>212</v>
      </c>
      <c r="I2959" t="s">
        <v>212</v>
      </c>
      <c r="J2959" t="s">
        <v>212</v>
      </c>
      <c r="K2959" t="s">
        <v>212</v>
      </c>
      <c r="L2959" t="s">
        <v>212</v>
      </c>
    </row>
    <row r="2960" spans="1:12">
      <c r="B2960" t="s">
        <v>2975</v>
      </c>
      <c r="C2960" t="s">
        <v>212</v>
      </c>
      <c r="D2960" t="s">
        <v>212</v>
      </c>
      <c r="E2960" t="s">
        <v>212</v>
      </c>
      <c r="F2960" t="s">
        <v>212</v>
      </c>
      <c r="G2960" t="s">
        <v>212</v>
      </c>
      <c r="H2960" t="s">
        <v>212</v>
      </c>
      <c r="I2960" t="s">
        <v>212</v>
      </c>
      <c r="J2960" t="s">
        <v>212</v>
      </c>
      <c r="K2960" t="s">
        <v>212</v>
      </c>
      <c r="L2960" t="s">
        <v>212</v>
      </c>
    </row>
    <row r="2961" spans="1:12">
      <c r="B2961" t="s">
        <v>2976</v>
      </c>
      <c r="C2961" t="s">
        <v>212</v>
      </c>
      <c r="D2961" t="s">
        <v>212</v>
      </c>
      <c r="E2961" t="s">
        <v>212</v>
      </c>
      <c r="F2961" t="s">
        <v>212</v>
      </c>
      <c r="G2961" t="s">
        <v>212</v>
      </c>
      <c r="H2961" t="s">
        <v>212</v>
      </c>
      <c r="I2961" t="s">
        <v>212</v>
      </c>
      <c r="J2961" t="s">
        <v>212</v>
      </c>
      <c r="K2961" t="s">
        <v>212</v>
      </c>
      <c r="L2961" t="s">
        <v>212</v>
      </c>
    </row>
    <row r="2962" spans="1:12">
      <c r="B2962" t="s">
        <v>2977</v>
      </c>
      <c r="C2962" t="s">
        <v>212</v>
      </c>
      <c r="D2962" t="s">
        <v>212</v>
      </c>
      <c r="E2962" t="s">
        <v>212</v>
      </c>
      <c r="F2962" t="s">
        <v>212</v>
      </c>
      <c r="G2962" t="s">
        <v>212</v>
      </c>
      <c r="H2962" t="s">
        <v>212</v>
      </c>
      <c r="I2962" t="s">
        <v>212</v>
      </c>
      <c r="J2962" t="s">
        <v>212</v>
      </c>
      <c r="K2962" t="s">
        <v>212</v>
      </c>
      <c r="L2962" t="s">
        <v>212</v>
      </c>
    </row>
    <row r="2963" spans="1:12">
      <c r="B2963" t="s">
        <v>2978</v>
      </c>
      <c r="C2963" t="s">
        <v>212</v>
      </c>
      <c r="D2963" t="s">
        <v>212</v>
      </c>
      <c r="E2963" t="s">
        <v>212</v>
      </c>
      <c r="F2963" t="s">
        <v>212</v>
      </c>
      <c r="G2963" t="s">
        <v>212</v>
      </c>
      <c r="H2963" t="s">
        <v>212</v>
      </c>
      <c r="I2963" t="s">
        <v>212</v>
      </c>
      <c r="J2963" t="s">
        <v>212</v>
      </c>
      <c r="K2963" t="s">
        <v>212</v>
      </c>
      <c r="L2963" t="s">
        <v>212</v>
      </c>
    </row>
    <row r="2964" spans="1:12">
      <c r="B2964" t="s">
        <v>2979</v>
      </c>
      <c r="C2964" t="s">
        <v>212</v>
      </c>
      <c r="D2964" t="s">
        <v>212</v>
      </c>
      <c r="E2964" t="s">
        <v>212</v>
      </c>
      <c r="F2964" t="s">
        <v>212</v>
      </c>
      <c r="G2964" t="s">
        <v>212</v>
      </c>
      <c r="H2964" t="s">
        <v>212</v>
      </c>
      <c r="I2964" t="s">
        <v>212</v>
      </c>
      <c r="J2964" t="s">
        <v>212</v>
      </c>
      <c r="K2964" t="s">
        <v>212</v>
      </c>
      <c r="L2964" t="s">
        <v>212</v>
      </c>
    </row>
    <row r="2965" spans="1:12">
      <c r="B2965" t="s">
        <v>2980</v>
      </c>
      <c r="C2965" t="s">
        <v>212</v>
      </c>
      <c r="D2965" t="s">
        <v>212</v>
      </c>
      <c r="E2965" t="s">
        <v>212</v>
      </c>
      <c r="F2965" t="s">
        <v>212</v>
      </c>
      <c r="G2965" t="s">
        <v>212</v>
      </c>
      <c r="H2965" t="s">
        <v>212</v>
      </c>
      <c r="I2965" t="s">
        <v>212</v>
      </c>
      <c r="J2965" t="s">
        <v>212</v>
      </c>
      <c r="K2965" t="s">
        <v>212</v>
      </c>
      <c r="L2965" t="s">
        <v>212</v>
      </c>
    </row>
    <row r="2967" spans="1:12">
      <c r="B2967" t="s">
        <v>2981</v>
      </c>
      <c r="C2967">
        <v>2.16</v>
      </c>
      <c r="H2967">
        <v>0</v>
      </c>
    </row>
    <row r="2968" spans="1:12">
      <c r="B2968" t="s">
        <v>2982</v>
      </c>
      <c r="C2968">
        <v>2.16</v>
      </c>
      <c r="D2968">
        <v>1121.71</v>
      </c>
      <c r="F2968">
        <v>5.7</v>
      </c>
      <c r="G2968">
        <v>5.41</v>
      </c>
      <c r="H2968">
        <v>0</v>
      </c>
      <c r="I2968">
        <v>0</v>
      </c>
      <c r="K2968">
        <v>5.08</v>
      </c>
      <c r="L2968">
        <v>4.55</v>
      </c>
    </row>
    <row r="2969" spans="1:12">
      <c r="B2969" t="s">
        <v>2983</v>
      </c>
      <c r="C2969">
        <v>2.16</v>
      </c>
      <c r="D2969">
        <v>1121.71</v>
      </c>
      <c r="F2969">
        <v>5.7</v>
      </c>
      <c r="G2969">
        <v>5.41</v>
      </c>
      <c r="H2969">
        <v>0</v>
      </c>
      <c r="I2969">
        <v>0</v>
      </c>
      <c r="K2969">
        <v>5.08</v>
      </c>
      <c r="L2969">
        <v>4.55</v>
      </c>
    </row>
    <row r="2972" spans="1:12">
      <c r="A2972" t="s">
        <v>1914</v>
      </c>
    </row>
    <row r="2973" spans="1:12">
      <c r="A2973" t="s">
        <v>1915</v>
      </c>
      <c r="B2973" t="s">
        <v>2984</v>
      </c>
    </row>
    <row r="2974" spans="1:12">
      <c r="A2974" t="s">
        <v>1917</v>
      </c>
      <c r="B2974" t="s">
        <v>2892</v>
      </c>
    </row>
    <row r="2975" spans="1:12">
      <c r="C2975" t="s">
        <v>2985</v>
      </c>
      <c r="D2975" t="s">
        <v>2986</v>
      </c>
      <c r="E2975" t="s">
        <v>2987</v>
      </c>
      <c r="F2975" t="s">
        <v>2988</v>
      </c>
      <c r="G2975" t="s">
        <v>2989</v>
      </c>
      <c r="H2975" t="s">
        <v>2990</v>
      </c>
      <c r="I2975" t="s">
        <v>2991</v>
      </c>
      <c r="J2975" t="s">
        <v>2992</v>
      </c>
      <c r="K2975" t="s">
        <v>2988</v>
      </c>
      <c r="L2975" t="s">
        <v>2989</v>
      </c>
    </row>
    <row r="2976" spans="1:12">
      <c r="B2976" t="s">
        <v>2970</v>
      </c>
      <c r="C2976">
        <v>5.04</v>
      </c>
      <c r="D2976">
        <v>1526.29</v>
      </c>
      <c r="E2976" t="s">
        <v>3016</v>
      </c>
      <c r="F2976">
        <v>6.63</v>
      </c>
      <c r="G2976">
        <v>6.22</v>
      </c>
      <c r="H2976">
        <v>0</v>
      </c>
      <c r="I2976">
        <v>0</v>
      </c>
      <c r="J2976" t="s">
        <v>2993</v>
      </c>
      <c r="K2976">
        <v>5.08</v>
      </c>
      <c r="L2976">
        <v>4.55</v>
      </c>
    </row>
    <row r="2977" spans="2:12">
      <c r="B2977" t="s">
        <v>2971</v>
      </c>
      <c r="C2977" t="s">
        <v>212</v>
      </c>
      <c r="D2977" t="s">
        <v>212</v>
      </c>
      <c r="E2977" t="s">
        <v>212</v>
      </c>
      <c r="F2977" t="s">
        <v>212</v>
      </c>
      <c r="G2977" t="s">
        <v>212</v>
      </c>
      <c r="H2977" t="s">
        <v>212</v>
      </c>
      <c r="I2977" t="s">
        <v>212</v>
      </c>
      <c r="J2977" t="s">
        <v>212</v>
      </c>
      <c r="K2977" t="s">
        <v>212</v>
      </c>
      <c r="L2977" t="s">
        <v>212</v>
      </c>
    </row>
    <row r="2978" spans="2:12">
      <c r="B2978" t="s">
        <v>2972</v>
      </c>
      <c r="C2978" t="s">
        <v>212</v>
      </c>
      <c r="D2978" t="s">
        <v>212</v>
      </c>
      <c r="E2978" t="s">
        <v>212</v>
      </c>
      <c r="F2978" t="s">
        <v>212</v>
      </c>
      <c r="G2978" t="s">
        <v>212</v>
      </c>
      <c r="H2978" t="s">
        <v>212</v>
      </c>
      <c r="I2978" t="s">
        <v>212</v>
      </c>
      <c r="J2978" t="s">
        <v>212</v>
      </c>
      <c r="K2978" t="s">
        <v>212</v>
      </c>
      <c r="L2978" t="s">
        <v>212</v>
      </c>
    </row>
    <row r="2979" spans="2:12">
      <c r="B2979" t="s">
        <v>2973</v>
      </c>
      <c r="C2979" t="s">
        <v>212</v>
      </c>
      <c r="D2979" t="s">
        <v>212</v>
      </c>
      <c r="E2979" t="s">
        <v>212</v>
      </c>
      <c r="F2979" t="s">
        <v>212</v>
      </c>
      <c r="G2979" t="s">
        <v>212</v>
      </c>
      <c r="H2979" t="s">
        <v>212</v>
      </c>
      <c r="I2979" t="s">
        <v>212</v>
      </c>
      <c r="J2979" t="s">
        <v>212</v>
      </c>
      <c r="K2979" t="s">
        <v>212</v>
      </c>
      <c r="L2979" t="s">
        <v>212</v>
      </c>
    </row>
    <row r="2980" spans="2:12">
      <c r="B2980" t="s">
        <v>820</v>
      </c>
      <c r="C2980" t="s">
        <v>212</v>
      </c>
      <c r="D2980" t="s">
        <v>212</v>
      </c>
      <c r="E2980" t="s">
        <v>212</v>
      </c>
      <c r="F2980" t="s">
        <v>212</v>
      </c>
      <c r="G2980" t="s">
        <v>212</v>
      </c>
      <c r="H2980" t="s">
        <v>212</v>
      </c>
      <c r="I2980" t="s">
        <v>212</v>
      </c>
      <c r="J2980" t="s">
        <v>212</v>
      </c>
      <c r="K2980" t="s">
        <v>212</v>
      </c>
      <c r="L2980" t="s">
        <v>212</v>
      </c>
    </row>
    <row r="2981" spans="2:12">
      <c r="B2981" t="s">
        <v>2974</v>
      </c>
      <c r="C2981" t="s">
        <v>212</v>
      </c>
      <c r="D2981" t="s">
        <v>212</v>
      </c>
      <c r="E2981" t="s">
        <v>212</v>
      </c>
      <c r="F2981" t="s">
        <v>212</v>
      </c>
      <c r="G2981" t="s">
        <v>212</v>
      </c>
      <c r="H2981" t="s">
        <v>212</v>
      </c>
      <c r="I2981" t="s">
        <v>212</v>
      </c>
      <c r="J2981" t="s">
        <v>212</v>
      </c>
      <c r="K2981" t="s">
        <v>212</v>
      </c>
      <c r="L2981" t="s">
        <v>212</v>
      </c>
    </row>
    <row r="2982" spans="2:12">
      <c r="B2982" t="s">
        <v>2975</v>
      </c>
      <c r="C2982" t="s">
        <v>212</v>
      </c>
      <c r="D2982" t="s">
        <v>212</v>
      </c>
      <c r="E2982" t="s">
        <v>212</v>
      </c>
      <c r="F2982" t="s">
        <v>212</v>
      </c>
      <c r="G2982" t="s">
        <v>212</v>
      </c>
      <c r="H2982" t="s">
        <v>212</v>
      </c>
      <c r="I2982" t="s">
        <v>212</v>
      </c>
      <c r="J2982" t="s">
        <v>212</v>
      </c>
      <c r="K2982" t="s">
        <v>212</v>
      </c>
      <c r="L2982" t="s">
        <v>212</v>
      </c>
    </row>
    <row r="2983" spans="2:12">
      <c r="B2983" t="s">
        <v>2976</v>
      </c>
      <c r="C2983" t="s">
        <v>212</v>
      </c>
      <c r="D2983" t="s">
        <v>212</v>
      </c>
      <c r="E2983" t="s">
        <v>212</v>
      </c>
      <c r="F2983" t="s">
        <v>212</v>
      </c>
      <c r="G2983" t="s">
        <v>212</v>
      </c>
      <c r="H2983" t="s">
        <v>212</v>
      </c>
      <c r="I2983" t="s">
        <v>212</v>
      </c>
      <c r="J2983" t="s">
        <v>212</v>
      </c>
      <c r="K2983" t="s">
        <v>212</v>
      </c>
      <c r="L2983" t="s">
        <v>212</v>
      </c>
    </row>
    <row r="2984" spans="2:12">
      <c r="B2984" t="s">
        <v>2977</v>
      </c>
      <c r="C2984" t="s">
        <v>212</v>
      </c>
      <c r="D2984" t="s">
        <v>212</v>
      </c>
      <c r="E2984" t="s">
        <v>212</v>
      </c>
      <c r="F2984" t="s">
        <v>212</v>
      </c>
      <c r="G2984" t="s">
        <v>212</v>
      </c>
      <c r="H2984" t="s">
        <v>212</v>
      </c>
      <c r="I2984" t="s">
        <v>212</v>
      </c>
      <c r="J2984" t="s">
        <v>212</v>
      </c>
      <c r="K2984" t="s">
        <v>212</v>
      </c>
      <c r="L2984" t="s">
        <v>212</v>
      </c>
    </row>
    <row r="2985" spans="2:12">
      <c r="B2985" t="s">
        <v>2978</v>
      </c>
      <c r="C2985" t="s">
        <v>212</v>
      </c>
      <c r="D2985" t="s">
        <v>212</v>
      </c>
      <c r="E2985" t="s">
        <v>212</v>
      </c>
      <c r="F2985" t="s">
        <v>212</v>
      </c>
      <c r="G2985" t="s">
        <v>212</v>
      </c>
      <c r="H2985" t="s">
        <v>212</v>
      </c>
      <c r="I2985" t="s">
        <v>212</v>
      </c>
      <c r="J2985" t="s">
        <v>212</v>
      </c>
      <c r="K2985" t="s">
        <v>212</v>
      </c>
      <c r="L2985" t="s">
        <v>212</v>
      </c>
    </row>
    <row r="2986" spans="2:12">
      <c r="B2986" t="s">
        <v>2979</v>
      </c>
      <c r="C2986" t="s">
        <v>212</v>
      </c>
      <c r="D2986" t="s">
        <v>212</v>
      </c>
      <c r="E2986" t="s">
        <v>212</v>
      </c>
      <c r="F2986" t="s">
        <v>212</v>
      </c>
      <c r="G2986" t="s">
        <v>212</v>
      </c>
      <c r="H2986" t="s">
        <v>212</v>
      </c>
      <c r="I2986" t="s">
        <v>212</v>
      </c>
      <c r="J2986" t="s">
        <v>212</v>
      </c>
      <c r="K2986" t="s">
        <v>212</v>
      </c>
      <c r="L2986" t="s">
        <v>212</v>
      </c>
    </row>
    <row r="2987" spans="2:12">
      <c r="B2987" t="s">
        <v>2980</v>
      </c>
      <c r="C2987" t="s">
        <v>212</v>
      </c>
      <c r="D2987" t="s">
        <v>212</v>
      </c>
      <c r="E2987" t="s">
        <v>212</v>
      </c>
      <c r="F2987" t="s">
        <v>212</v>
      </c>
      <c r="G2987" t="s">
        <v>212</v>
      </c>
      <c r="H2987" t="s">
        <v>212</v>
      </c>
      <c r="I2987" t="s">
        <v>212</v>
      </c>
      <c r="J2987" t="s">
        <v>212</v>
      </c>
      <c r="K2987" t="s">
        <v>212</v>
      </c>
      <c r="L2987" t="s">
        <v>212</v>
      </c>
    </row>
    <row r="2989" spans="2:12">
      <c r="B2989" t="s">
        <v>2981</v>
      </c>
      <c r="C2989">
        <v>5.04</v>
      </c>
      <c r="H2989">
        <v>0</v>
      </c>
    </row>
    <row r="2990" spans="2:12">
      <c r="B2990" t="s">
        <v>2982</v>
      </c>
      <c r="C2990">
        <v>5.04</v>
      </c>
      <c r="D2990">
        <v>1526.29</v>
      </c>
      <c r="F2990">
        <v>6.63</v>
      </c>
      <c r="G2990">
        <v>6.22</v>
      </c>
      <c r="H2990">
        <v>0</v>
      </c>
      <c r="I2990">
        <v>0</v>
      </c>
      <c r="K2990">
        <v>5.08</v>
      </c>
      <c r="L2990">
        <v>4.55</v>
      </c>
    </row>
    <row r="2991" spans="2:12">
      <c r="B2991" t="s">
        <v>2983</v>
      </c>
      <c r="C2991">
        <v>5.04</v>
      </c>
      <c r="D2991">
        <v>1526.29</v>
      </c>
      <c r="F2991">
        <v>6.63</v>
      </c>
      <c r="G2991">
        <v>6.22</v>
      </c>
      <c r="H2991">
        <v>0</v>
      </c>
      <c r="I2991">
        <v>0</v>
      </c>
      <c r="K2991">
        <v>5.08</v>
      </c>
      <c r="L2991">
        <v>4.55</v>
      </c>
    </row>
    <row r="2994" spans="1:12">
      <c r="A2994" t="s">
        <v>1914</v>
      </c>
    </row>
    <row r="2995" spans="1:12">
      <c r="A2995" t="s">
        <v>1915</v>
      </c>
      <c r="B2995" t="s">
        <v>2984</v>
      </c>
    </row>
    <row r="2996" spans="1:12">
      <c r="A2996" t="s">
        <v>1917</v>
      </c>
      <c r="B2996" t="s">
        <v>2893</v>
      </c>
    </row>
    <row r="2997" spans="1:12">
      <c r="C2997" t="s">
        <v>2985</v>
      </c>
      <c r="D2997" t="s">
        <v>2986</v>
      </c>
      <c r="E2997" t="s">
        <v>2987</v>
      </c>
      <c r="F2997" t="s">
        <v>2988</v>
      </c>
      <c r="G2997" t="s">
        <v>2989</v>
      </c>
      <c r="H2997" t="s">
        <v>2990</v>
      </c>
      <c r="I2997" t="s">
        <v>2991</v>
      </c>
      <c r="J2997" t="s">
        <v>2992</v>
      </c>
      <c r="K2997" t="s">
        <v>2988</v>
      </c>
      <c r="L2997" t="s">
        <v>2989</v>
      </c>
    </row>
    <row r="2998" spans="1:12">
      <c r="B2998" t="s">
        <v>2970</v>
      </c>
      <c r="C2998">
        <v>2.93</v>
      </c>
      <c r="D2998">
        <v>1107.1300000000001</v>
      </c>
      <c r="E2998" t="s">
        <v>3006</v>
      </c>
      <c r="F2998">
        <v>5.7</v>
      </c>
      <c r="G2998">
        <v>5.41</v>
      </c>
      <c r="H2998">
        <v>0</v>
      </c>
      <c r="I2998">
        <v>0</v>
      </c>
      <c r="J2998" t="s">
        <v>2993</v>
      </c>
      <c r="K2998">
        <v>5.08</v>
      </c>
      <c r="L2998">
        <v>4.55</v>
      </c>
    </row>
    <row r="2999" spans="1:12">
      <c r="B2999" t="s">
        <v>2971</v>
      </c>
      <c r="C2999" t="s">
        <v>212</v>
      </c>
      <c r="D2999" t="s">
        <v>212</v>
      </c>
      <c r="E2999" t="s">
        <v>212</v>
      </c>
      <c r="F2999" t="s">
        <v>212</v>
      </c>
      <c r="G2999" t="s">
        <v>212</v>
      </c>
      <c r="H2999" t="s">
        <v>212</v>
      </c>
      <c r="I2999" t="s">
        <v>212</v>
      </c>
      <c r="J2999" t="s">
        <v>212</v>
      </c>
      <c r="K2999" t="s">
        <v>212</v>
      </c>
      <c r="L2999" t="s">
        <v>212</v>
      </c>
    </row>
    <row r="3000" spans="1:12">
      <c r="B3000" t="s">
        <v>2972</v>
      </c>
      <c r="C3000" t="s">
        <v>212</v>
      </c>
      <c r="D3000" t="s">
        <v>212</v>
      </c>
      <c r="E3000" t="s">
        <v>212</v>
      </c>
      <c r="F3000" t="s">
        <v>212</v>
      </c>
      <c r="G3000" t="s">
        <v>212</v>
      </c>
      <c r="H3000" t="s">
        <v>212</v>
      </c>
      <c r="I3000" t="s">
        <v>212</v>
      </c>
      <c r="J3000" t="s">
        <v>212</v>
      </c>
      <c r="K3000" t="s">
        <v>212</v>
      </c>
      <c r="L3000" t="s">
        <v>212</v>
      </c>
    </row>
    <row r="3001" spans="1:12">
      <c r="B3001" t="s">
        <v>2973</v>
      </c>
      <c r="C3001" t="s">
        <v>212</v>
      </c>
      <c r="D3001" t="s">
        <v>212</v>
      </c>
      <c r="E3001" t="s">
        <v>212</v>
      </c>
      <c r="F3001" t="s">
        <v>212</v>
      </c>
      <c r="G3001" t="s">
        <v>212</v>
      </c>
      <c r="H3001" t="s">
        <v>212</v>
      </c>
      <c r="I3001" t="s">
        <v>212</v>
      </c>
      <c r="J3001" t="s">
        <v>212</v>
      </c>
      <c r="K3001" t="s">
        <v>212</v>
      </c>
      <c r="L3001" t="s">
        <v>212</v>
      </c>
    </row>
    <row r="3002" spans="1:12">
      <c r="B3002" t="s">
        <v>820</v>
      </c>
      <c r="C3002" t="s">
        <v>212</v>
      </c>
      <c r="D3002" t="s">
        <v>212</v>
      </c>
      <c r="E3002" t="s">
        <v>212</v>
      </c>
      <c r="F3002" t="s">
        <v>212</v>
      </c>
      <c r="G3002" t="s">
        <v>212</v>
      </c>
      <c r="H3002" t="s">
        <v>212</v>
      </c>
      <c r="I3002" t="s">
        <v>212</v>
      </c>
      <c r="J3002" t="s">
        <v>212</v>
      </c>
      <c r="K3002" t="s">
        <v>212</v>
      </c>
      <c r="L3002" t="s">
        <v>212</v>
      </c>
    </row>
    <row r="3003" spans="1:12">
      <c r="B3003" t="s">
        <v>2974</v>
      </c>
      <c r="C3003" t="s">
        <v>212</v>
      </c>
      <c r="D3003" t="s">
        <v>212</v>
      </c>
      <c r="E3003" t="s">
        <v>212</v>
      </c>
      <c r="F3003" t="s">
        <v>212</v>
      </c>
      <c r="G3003" t="s">
        <v>212</v>
      </c>
      <c r="H3003" t="s">
        <v>212</v>
      </c>
      <c r="I3003" t="s">
        <v>212</v>
      </c>
      <c r="J3003" t="s">
        <v>212</v>
      </c>
      <c r="K3003" t="s">
        <v>212</v>
      </c>
      <c r="L3003" t="s">
        <v>212</v>
      </c>
    </row>
    <row r="3004" spans="1:12">
      <c r="B3004" t="s">
        <v>2975</v>
      </c>
      <c r="C3004" t="s">
        <v>212</v>
      </c>
      <c r="D3004" t="s">
        <v>212</v>
      </c>
      <c r="E3004" t="s">
        <v>212</v>
      </c>
      <c r="F3004" t="s">
        <v>212</v>
      </c>
      <c r="G3004" t="s">
        <v>212</v>
      </c>
      <c r="H3004" t="s">
        <v>212</v>
      </c>
      <c r="I3004" t="s">
        <v>212</v>
      </c>
      <c r="J3004" t="s">
        <v>212</v>
      </c>
      <c r="K3004" t="s">
        <v>212</v>
      </c>
      <c r="L3004" t="s">
        <v>212</v>
      </c>
    </row>
    <row r="3005" spans="1:12">
      <c r="B3005" t="s">
        <v>2976</v>
      </c>
      <c r="C3005" t="s">
        <v>212</v>
      </c>
      <c r="D3005" t="s">
        <v>212</v>
      </c>
      <c r="E3005" t="s">
        <v>212</v>
      </c>
      <c r="F3005" t="s">
        <v>212</v>
      </c>
      <c r="G3005" t="s">
        <v>212</v>
      </c>
      <c r="H3005" t="s">
        <v>212</v>
      </c>
      <c r="I3005" t="s">
        <v>212</v>
      </c>
      <c r="J3005" t="s">
        <v>212</v>
      </c>
      <c r="K3005" t="s">
        <v>212</v>
      </c>
      <c r="L3005" t="s">
        <v>212</v>
      </c>
    </row>
    <row r="3006" spans="1:12">
      <c r="B3006" t="s">
        <v>2977</v>
      </c>
      <c r="C3006" t="s">
        <v>212</v>
      </c>
      <c r="D3006" t="s">
        <v>212</v>
      </c>
      <c r="E3006" t="s">
        <v>212</v>
      </c>
      <c r="F3006" t="s">
        <v>212</v>
      </c>
      <c r="G3006" t="s">
        <v>212</v>
      </c>
      <c r="H3006" t="s">
        <v>212</v>
      </c>
      <c r="I3006" t="s">
        <v>212</v>
      </c>
      <c r="J3006" t="s">
        <v>212</v>
      </c>
      <c r="K3006" t="s">
        <v>212</v>
      </c>
      <c r="L3006" t="s">
        <v>212</v>
      </c>
    </row>
    <row r="3007" spans="1:12">
      <c r="B3007" t="s">
        <v>2978</v>
      </c>
      <c r="C3007" t="s">
        <v>212</v>
      </c>
      <c r="D3007" t="s">
        <v>212</v>
      </c>
      <c r="E3007" t="s">
        <v>212</v>
      </c>
      <c r="F3007" t="s">
        <v>212</v>
      </c>
      <c r="G3007" t="s">
        <v>212</v>
      </c>
      <c r="H3007" t="s">
        <v>212</v>
      </c>
      <c r="I3007" t="s">
        <v>212</v>
      </c>
      <c r="J3007" t="s">
        <v>212</v>
      </c>
      <c r="K3007" t="s">
        <v>212</v>
      </c>
      <c r="L3007" t="s">
        <v>212</v>
      </c>
    </row>
    <row r="3008" spans="1:12">
      <c r="B3008" t="s">
        <v>2979</v>
      </c>
      <c r="C3008" t="s">
        <v>212</v>
      </c>
      <c r="D3008" t="s">
        <v>212</v>
      </c>
      <c r="E3008" t="s">
        <v>212</v>
      </c>
      <c r="F3008" t="s">
        <v>212</v>
      </c>
      <c r="G3008" t="s">
        <v>212</v>
      </c>
      <c r="H3008" t="s">
        <v>212</v>
      </c>
      <c r="I3008" t="s">
        <v>212</v>
      </c>
      <c r="J3008" t="s">
        <v>212</v>
      </c>
      <c r="K3008" t="s">
        <v>212</v>
      </c>
      <c r="L3008" t="s">
        <v>212</v>
      </c>
    </row>
    <row r="3009" spans="1:12">
      <c r="B3009" t="s">
        <v>2980</v>
      </c>
      <c r="C3009" t="s">
        <v>212</v>
      </c>
      <c r="D3009" t="s">
        <v>212</v>
      </c>
      <c r="E3009" t="s">
        <v>212</v>
      </c>
      <c r="F3009" t="s">
        <v>212</v>
      </c>
      <c r="G3009" t="s">
        <v>212</v>
      </c>
      <c r="H3009" t="s">
        <v>212</v>
      </c>
      <c r="I3009" t="s">
        <v>212</v>
      </c>
      <c r="J3009" t="s">
        <v>212</v>
      </c>
      <c r="K3009" t="s">
        <v>212</v>
      </c>
      <c r="L3009" t="s">
        <v>212</v>
      </c>
    </row>
    <row r="3011" spans="1:12">
      <c r="B3011" t="s">
        <v>2981</v>
      </c>
      <c r="C3011">
        <v>2.93</v>
      </c>
      <c r="H3011">
        <v>0</v>
      </c>
    </row>
    <row r="3012" spans="1:12">
      <c r="B3012" t="s">
        <v>2982</v>
      </c>
      <c r="C3012">
        <v>2.93</v>
      </c>
      <c r="D3012">
        <v>1107.1300000000001</v>
      </c>
      <c r="F3012">
        <v>5.7</v>
      </c>
      <c r="G3012">
        <v>5.41</v>
      </c>
      <c r="H3012">
        <v>0</v>
      </c>
      <c r="I3012">
        <v>0</v>
      </c>
      <c r="K3012">
        <v>5.08</v>
      </c>
      <c r="L3012">
        <v>4.55</v>
      </c>
    </row>
    <row r="3013" spans="1:12">
      <c r="B3013" t="s">
        <v>2983</v>
      </c>
      <c r="C3013">
        <v>2.93</v>
      </c>
      <c r="D3013">
        <v>1107.1300000000001</v>
      </c>
      <c r="F3013">
        <v>5.7</v>
      </c>
      <c r="G3013">
        <v>5.41</v>
      </c>
      <c r="H3013">
        <v>0</v>
      </c>
      <c r="I3013">
        <v>0</v>
      </c>
      <c r="K3013">
        <v>5.08</v>
      </c>
      <c r="L3013">
        <v>4.55</v>
      </c>
    </row>
    <row r="3016" spans="1:12">
      <c r="A3016" t="s">
        <v>1914</v>
      </c>
    </row>
    <row r="3017" spans="1:12">
      <c r="A3017" t="s">
        <v>1915</v>
      </c>
      <c r="B3017" t="s">
        <v>2984</v>
      </c>
    </row>
    <row r="3018" spans="1:12">
      <c r="A3018" t="s">
        <v>1917</v>
      </c>
      <c r="B3018" t="s">
        <v>2894</v>
      </c>
    </row>
    <row r="3019" spans="1:12">
      <c r="C3019" t="s">
        <v>2985</v>
      </c>
      <c r="D3019" t="s">
        <v>2986</v>
      </c>
      <c r="E3019" t="s">
        <v>2987</v>
      </c>
      <c r="F3019" t="s">
        <v>2988</v>
      </c>
      <c r="G3019" t="s">
        <v>2989</v>
      </c>
      <c r="H3019" t="s">
        <v>2990</v>
      </c>
      <c r="I3019" t="s">
        <v>2991</v>
      </c>
      <c r="J3019" t="s">
        <v>2992</v>
      </c>
      <c r="K3019" t="s">
        <v>2988</v>
      </c>
      <c r="L3019" t="s">
        <v>2989</v>
      </c>
    </row>
    <row r="3020" spans="1:12">
      <c r="B3020" t="s">
        <v>2970</v>
      </c>
      <c r="C3020">
        <v>174.94</v>
      </c>
      <c r="D3020">
        <v>19991.95</v>
      </c>
      <c r="E3020" t="s">
        <v>3007</v>
      </c>
      <c r="F3020">
        <v>4.88</v>
      </c>
      <c r="G3020">
        <v>4.88</v>
      </c>
      <c r="H3020">
        <v>0</v>
      </c>
      <c r="I3020">
        <v>0</v>
      </c>
      <c r="J3020" t="s">
        <v>2993</v>
      </c>
      <c r="K3020">
        <v>5.08</v>
      </c>
      <c r="L3020">
        <v>4.55</v>
      </c>
    </row>
    <row r="3021" spans="1:12">
      <c r="B3021" t="s">
        <v>2971</v>
      </c>
      <c r="C3021" t="s">
        <v>212</v>
      </c>
      <c r="D3021" t="s">
        <v>212</v>
      </c>
      <c r="E3021" t="s">
        <v>212</v>
      </c>
      <c r="F3021" t="s">
        <v>212</v>
      </c>
      <c r="G3021" t="s">
        <v>212</v>
      </c>
      <c r="H3021" t="s">
        <v>212</v>
      </c>
      <c r="I3021" t="s">
        <v>212</v>
      </c>
      <c r="J3021" t="s">
        <v>212</v>
      </c>
      <c r="K3021" t="s">
        <v>212</v>
      </c>
      <c r="L3021" t="s">
        <v>212</v>
      </c>
    </row>
    <row r="3022" spans="1:12">
      <c r="B3022" t="s">
        <v>2972</v>
      </c>
      <c r="C3022" t="s">
        <v>212</v>
      </c>
      <c r="D3022" t="s">
        <v>212</v>
      </c>
      <c r="E3022" t="s">
        <v>212</v>
      </c>
      <c r="F3022" t="s">
        <v>212</v>
      </c>
      <c r="G3022" t="s">
        <v>212</v>
      </c>
      <c r="H3022" t="s">
        <v>212</v>
      </c>
      <c r="I3022" t="s">
        <v>212</v>
      </c>
      <c r="J3022" t="s">
        <v>212</v>
      </c>
      <c r="K3022" t="s">
        <v>212</v>
      </c>
      <c r="L3022" t="s">
        <v>212</v>
      </c>
    </row>
    <row r="3023" spans="1:12">
      <c r="B3023" t="s">
        <v>2973</v>
      </c>
      <c r="C3023" t="s">
        <v>212</v>
      </c>
      <c r="D3023" t="s">
        <v>212</v>
      </c>
      <c r="E3023" t="s">
        <v>212</v>
      </c>
      <c r="F3023" t="s">
        <v>212</v>
      </c>
      <c r="G3023" t="s">
        <v>212</v>
      </c>
      <c r="H3023" t="s">
        <v>212</v>
      </c>
      <c r="I3023" t="s">
        <v>212</v>
      </c>
      <c r="J3023" t="s">
        <v>212</v>
      </c>
      <c r="K3023" t="s">
        <v>212</v>
      </c>
      <c r="L3023" t="s">
        <v>212</v>
      </c>
    </row>
    <row r="3024" spans="1:12">
      <c r="B3024" t="s">
        <v>820</v>
      </c>
      <c r="C3024" t="s">
        <v>212</v>
      </c>
      <c r="D3024" t="s">
        <v>212</v>
      </c>
      <c r="E3024" t="s">
        <v>212</v>
      </c>
      <c r="F3024" t="s">
        <v>212</v>
      </c>
      <c r="G3024" t="s">
        <v>212</v>
      </c>
      <c r="H3024" t="s">
        <v>212</v>
      </c>
      <c r="I3024" t="s">
        <v>212</v>
      </c>
      <c r="J3024" t="s">
        <v>212</v>
      </c>
      <c r="K3024" t="s">
        <v>212</v>
      </c>
      <c r="L3024" t="s">
        <v>212</v>
      </c>
    </row>
    <row r="3025" spans="2:12">
      <c r="B3025" t="s">
        <v>2974</v>
      </c>
      <c r="C3025" t="s">
        <v>212</v>
      </c>
      <c r="D3025" t="s">
        <v>212</v>
      </c>
      <c r="E3025" t="s">
        <v>212</v>
      </c>
      <c r="F3025" t="s">
        <v>212</v>
      </c>
      <c r="G3025" t="s">
        <v>212</v>
      </c>
      <c r="H3025" t="s">
        <v>212</v>
      </c>
      <c r="I3025" t="s">
        <v>212</v>
      </c>
      <c r="J3025" t="s">
        <v>212</v>
      </c>
      <c r="K3025" t="s">
        <v>212</v>
      </c>
      <c r="L3025" t="s">
        <v>212</v>
      </c>
    </row>
    <row r="3026" spans="2:12">
      <c r="B3026" t="s">
        <v>2975</v>
      </c>
      <c r="C3026" t="s">
        <v>212</v>
      </c>
      <c r="D3026" t="s">
        <v>212</v>
      </c>
      <c r="E3026" t="s">
        <v>212</v>
      </c>
      <c r="F3026" t="s">
        <v>212</v>
      </c>
      <c r="G3026" t="s">
        <v>212</v>
      </c>
      <c r="H3026" t="s">
        <v>212</v>
      </c>
      <c r="I3026" t="s">
        <v>212</v>
      </c>
      <c r="J3026" t="s">
        <v>212</v>
      </c>
      <c r="K3026" t="s">
        <v>212</v>
      </c>
      <c r="L3026" t="s">
        <v>212</v>
      </c>
    </row>
    <row r="3027" spans="2:12">
      <c r="B3027" t="s">
        <v>2976</v>
      </c>
      <c r="C3027" t="s">
        <v>212</v>
      </c>
      <c r="D3027" t="s">
        <v>212</v>
      </c>
      <c r="E3027" t="s">
        <v>212</v>
      </c>
      <c r="F3027" t="s">
        <v>212</v>
      </c>
      <c r="G3027" t="s">
        <v>212</v>
      </c>
      <c r="H3027" t="s">
        <v>212</v>
      </c>
      <c r="I3027" t="s">
        <v>212</v>
      </c>
      <c r="J3027" t="s">
        <v>212</v>
      </c>
      <c r="K3027" t="s">
        <v>212</v>
      </c>
      <c r="L3027" t="s">
        <v>212</v>
      </c>
    </row>
    <row r="3028" spans="2:12">
      <c r="B3028" t="s">
        <v>2977</v>
      </c>
      <c r="C3028" t="s">
        <v>212</v>
      </c>
      <c r="D3028" t="s">
        <v>212</v>
      </c>
      <c r="E3028" t="s">
        <v>212</v>
      </c>
      <c r="F3028" t="s">
        <v>212</v>
      </c>
      <c r="G3028" t="s">
        <v>212</v>
      </c>
      <c r="H3028" t="s">
        <v>212</v>
      </c>
      <c r="I3028" t="s">
        <v>212</v>
      </c>
      <c r="J3028" t="s">
        <v>212</v>
      </c>
      <c r="K3028" t="s">
        <v>212</v>
      </c>
      <c r="L3028" t="s">
        <v>212</v>
      </c>
    </row>
    <row r="3029" spans="2:12">
      <c r="B3029" t="s">
        <v>2978</v>
      </c>
      <c r="C3029" t="s">
        <v>212</v>
      </c>
      <c r="D3029" t="s">
        <v>212</v>
      </c>
      <c r="E3029" t="s">
        <v>212</v>
      </c>
      <c r="F3029" t="s">
        <v>212</v>
      </c>
      <c r="G3029" t="s">
        <v>212</v>
      </c>
      <c r="H3029" t="s">
        <v>212</v>
      </c>
      <c r="I3029" t="s">
        <v>212</v>
      </c>
      <c r="J3029" t="s">
        <v>212</v>
      </c>
      <c r="K3029" t="s">
        <v>212</v>
      </c>
      <c r="L3029" t="s">
        <v>212</v>
      </c>
    </row>
    <row r="3030" spans="2:12">
      <c r="B3030" t="s">
        <v>2979</v>
      </c>
      <c r="C3030" t="s">
        <v>212</v>
      </c>
      <c r="D3030" t="s">
        <v>212</v>
      </c>
      <c r="E3030" t="s">
        <v>212</v>
      </c>
      <c r="F3030" t="s">
        <v>212</v>
      </c>
      <c r="G3030" t="s">
        <v>212</v>
      </c>
      <c r="H3030" t="s">
        <v>212</v>
      </c>
      <c r="I3030" t="s">
        <v>212</v>
      </c>
      <c r="J3030" t="s">
        <v>212</v>
      </c>
      <c r="K3030" t="s">
        <v>212</v>
      </c>
      <c r="L3030" t="s">
        <v>212</v>
      </c>
    </row>
    <row r="3031" spans="2:12">
      <c r="B3031" t="s">
        <v>2980</v>
      </c>
      <c r="C3031" t="s">
        <v>212</v>
      </c>
      <c r="D3031" t="s">
        <v>212</v>
      </c>
      <c r="E3031" t="s">
        <v>212</v>
      </c>
      <c r="F3031" t="s">
        <v>212</v>
      </c>
      <c r="G3031" t="s">
        <v>212</v>
      </c>
      <c r="H3031" t="s">
        <v>212</v>
      </c>
      <c r="I3031" t="s">
        <v>212</v>
      </c>
      <c r="J3031" t="s">
        <v>212</v>
      </c>
      <c r="K3031" t="s">
        <v>212</v>
      </c>
      <c r="L3031" t="s">
        <v>212</v>
      </c>
    </row>
    <row r="3033" spans="2:12">
      <c r="B3033" t="s">
        <v>2981</v>
      </c>
      <c r="C3033">
        <v>174.94</v>
      </c>
      <c r="H3033">
        <v>0</v>
      </c>
    </row>
    <row r="3034" spans="2:12">
      <c r="B3034" t="s">
        <v>2982</v>
      </c>
      <c r="C3034">
        <v>174.94</v>
      </c>
      <c r="D3034">
        <v>19991.95</v>
      </c>
      <c r="F3034">
        <v>4.88</v>
      </c>
      <c r="G3034">
        <v>4.88</v>
      </c>
      <c r="H3034">
        <v>0</v>
      </c>
      <c r="I3034">
        <v>0</v>
      </c>
      <c r="K3034">
        <v>5.08</v>
      </c>
      <c r="L3034">
        <v>4.55</v>
      </c>
    </row>
    <row r="3035" spans="2:12">
      <c r="B3035" t="s">
        <v>2983</v>
      </c>
      <c r="C3035">
        <v>174.94</v>
      </c>
      <c r="D3035">
        <v>19991.95</v>
      </c>
      <c r="F3035">
        <v>4.88</v>
      </c>
      <c r="G3035">
        <v>4.88</v>
      </c>
      <c r="H3035">
        <v>0</v>
      </c>
      <c r="I3035">
        <v>0</v>
      </c>
      <c r="K3035">
        <v>5.08</v>
      </c>
      <c r="L3035">
        <v>4.55</v>
      </c>
    </row>
  </sheetData>
  <phoneticPr fontId="11" type="noConversion"/>
  <dataValidations disablePrompts="1"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9"/>
  <sheetViews>
    <sheetView tabSelected="1" zoomScale="85" zoomScaleNormal="85" workbookViewId="0">
      <selection activeCell="B5" sqref="B5"/>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5.28515625"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2488</v>
      </c>
      <c r="C1" s="22"/>
      <c r="D1" s="22">
        <v>30</v>
      </c>
      <c r="E1" s="23">
        <v>10</v>
      </c>
    </row>
    <row r="2" spans="2:20" ht="13.5" thickBot="1">
      <c r="B2" s="4" t="s">
        <v>198</v>
      </c>
      <c r="I2" s="7" t="s">
        <v>813</v>
      </c>
      <c r="J2" s="17">
        <v>25</v>
      </c>
    </row>
    <row r="3" spans="2:20" ht="13.5" thickBot="1">
      <c r="I3" s="7" t="s">
        <v>206</v>
      </c>
      <c r="J3" s="12" t="s">
        <v>213</v>
      </c>
    </row>
    <row r="4" spans="2:20">
      <c r="I4" s="7" t="s">
        <v>192</v>
      </c>
      <c r="J4" s="11">
        <v>16</v>
      </c>
    </row>
    <row r="5" spans="2:20">
      <c r="I5" s="7" t="s">
        <v>207</v>
      </c>
      <c r="J5" s="2" t="s">
        <v>2491</v>
      </c>
    </row>
    <row r="6" spans="2:20" ht="13.5" thickBot="1">
      <c r="I6" s="10" t="s">
        <v>205</v>
      </c>
      <c r="J6" s="2" t="s">
        <v>1133</v>
      </c>
      <c r="Q6" s="564" t="s">
        <v>1065</v>
      </c>
      <c r="R6" s="581" t="s">
        <v>656</v>
      </c>
    </row>
    <row r="7" spans="2:20" ht="13.5" thickBot="1">
      <c r="I7" s="610" t="s">
        <v>1122</v>
      </c>
      <c r="J7" s="630" t="s">
        <v>488</v>
      </c>
      <c r="Q7" s="581" t="s">
        <v>1066</v>
      </c>
      <c r="R7" s="49" t="s">
        <v>655</v>
      </c>
    </row>
    <row r="8" spans="2:20">
      <c r="B8" s="9" t="s">
        <v>194</v>
      </c>
      <c r="D8" s="2" t="s">
        <v>193</v>
      </c>
      <c r="E8" s="16" t="s">
        <v>196</v>
      </c>
      <c r="F8" s="3" t="s">
        <v>204</v>
      </c>
      <c r="G8" s="3" t="s">
        <v>197</v>
      </c>
      <c r="I8" s="94" t="s">
        <v>688</v>
      </c>
      <c r="Q8" s="581" t="s">
        <v>1067</v>
      </c>
      <c r="R8" s="49" t="s">
        <v>654</v>
      </c>
    </row>
    <row r="9" spans="2:20" ht="13.5">
      <c r="B9" s="13" t="str">
        <f>"##SET1 "&amp;D9&amp;REPT(" ",fill_1-LEN(D9))&amp;TEXT(E9,F9)&amp;REPT(" ",fill_2-LEN(TEXT(E9,F9)))&amp;"! ["&amp;G9&amp;"]"</f>
        <v>##SET1 StartMonth[]                  1         ! [-]</v>
      </c>
      <c r="D9" t="s">
        <v>214</v>
      </c>
      <c r="E9" s="616">
        <v>1</v>
      </c>
      <c r="F9" s="14" t="s">
        <v>211</v>
      </c>
      <c r="G9" s="14" t="s">
        <v>212</v>
      </c>
      <c r="I9" s="7" t="s">
        <v>6</v>
      </c>
      <c r="J9" s="593" t="s">
        <v>2546</v>
      </c>
      <c r="Q9" s="581" t="s">
        <v>1068</v>
      </c>
      <c r="R9" s="49" t="s">
        <v>653</v>
      </c>
    </row>
    <row r="10" spans="2:20" ht="13.5">
      <c r="B10" s="13" t="str">
        <f>"##SET1 "&amp;D10&amp;REPT(" ",fill_1-LEN(D10))&amp;TEXT(E10,F10)&amp;REPT(" ",fill_2-LEN(TEXT(E10,F10)))&amp;"! ["&amp;G10&amp;"]"</f>
        <v>##SET1 StartDay[]                    1         ! [-]</v>
      </c>
      <c r="D10" t="s">
        <v>215</v>
      </c>
      <c r="E10" s="616">
        <v>1</v>
      </c>
      <c r="F10" s="14" t="s">
        <v>211</v>
      </c>
      <c r="G10" s="14" t="s">
        <v>212</v>
      </c>
      <c r="I10" s="7" t="s">
        <v>838</v>
      </c>
      <c r="J10" s="631" t="s">
        <v>488</v>
      </c>
      <c r="Q10" s="581" t="s">
        <v>1070</v>
      </c>
      <c r="R10" s="49" t="s">
        <v>652</v>
      </c>
    </row>
    <row r="11" spans="2:20" ht="13.5">
      <c r="B11" s="8"/>
      <c r="E11" s="49"/>
      <c r="I11" s="7" t="s">
        <v>2538</v>
      </c>
      <c r="J11" s="631" t="s">
        <v>487</v>
      </c>
      <c r="Q11" s="581" t="s">
        <v>1069</v>
      </c>
      <c r="R11" s="49" t="s">
        <v>651</v>
      </c>
    </row>
    <row r="12" spans="2:20" ht="13.5">
      <c r="B12" s="13" t="str">
        <f>"##SET1 "&amp;D12&amp;REPT(" ",fill_1-LEN(D12))&amp;TEXT(E12,F12)&amp;REPT(" ",fill_2-LEN(TEXT(E12,F12)))&amp;"! ["&amp;G12&amp;"]"</f>
        <v>##SET1 EndMonth[]                    1         ! [-]</v>
      </c>
      <c r="D12" t="s">
        <v>216</v>
      </c>
      <c r="E12" s="616">
        <v>1</v>
      </c>
      <c r="F12" s="14" t="s">
        <v>211</v>
      </c>
      <c r="G12" s="14" t="s">
        <v>212</v>
      </c>
      <c r="I12" s="7" t="s">
        <v>2492</v>
      </c>
      <c r="J12" s="638" t="s">
        <v>488</v>
      </c>
      <c r="M12" s="84" t="s">
        <v>629</v>
      </c>
      <c r="N12" s="65">
        <f>((J15/10.76/J16)^0.5)*J16</f>
        <v>52.802500785657216</v>
      </c>
      <c r="O12" s="65" t="s">
        <v>236</v>
      </c>
      <c r="Q12" s="581" t="s">
        <v>1071</v>
      </c>
      <c r="R12" s="576" t="s">
        <v>651</v>
      </c>
    </row>
    <row r="13" spans="2:20" ht="13.5">
      <c r="B13" s="13" t="str">
        <f>"##SET1 "&amp;D13&amp;REPT(" ",fill_1-LEN(D13))&amp;TEXT(E13,F13)&amp;REPT(" ",fill_2-LEN(TEXT(E13,F13)))&amp;"! ["&amp;G13&amp;"]"</f>
        <v>##SET1 EndDay[]                      1         ! [-]</v>
      </c>
      <c r="D13" t="s">
        <v>217</v>
      </c>
      <c r="E13" s="616">
        <v>1</v>
      </c>
      <c r="F13" s="14" t="s">
        <v>211</v>
      </c>
      <c r="G13" s="14" t="s">
        <v>212</v>
      </c>
      <c r="I13" s="589" t="s">
        <v>1031</v>
      </c>
      <c r="J13" s="638" t="s">
        <v>487</v>
      </c>
      <c r="M13" s="84" t="s">
        <v>630</v>
      </c>
      <c r="N13" s="65">
        <f>N12/J16</f>
        <v>35.201667190438144</v>
      </c>
      <c r="O13" s="65" t="s">
        <v>236</v>
      </c>
      <c r="Q13" s="581" t="s">
        <v>1072</v>
      </c>
      <c r="R13" s="49" t="s">
        <v>612</v>
      </c>
      <c r="T13" t="str">
        <f>RunType</f>
        <v>UFAD</v>
      </c>
    </row>
    <row r="14" spans="2:20" ht="14.25" thickBot="1">
      <c r="B14" s="13" t="str">
        <f>"##SET1 "&amp;D14&amp;REPT(" ",fill_1-LEN(D14))&amp;TEXT(E14,F14)&amp;REPT(" ",fill_2-LEN(TEXT(E14,F14)))&amp;"! ["&amp;G14&amp;"]"</f>
        <v>##SET1 RadiantSimulation[]           No        ! []</v>
      </c>
      <c r="D14" t="s">
        <v>581</v>
      </c>
      <c r="E14" s="617" t="str">
        <f>Radiant_Simulation</f>
        <v>No</v>
      </c>
      <c r="F14" s="14" t="s">
        <v>211</v>
      </c>
      <c r="I14" s="94" t="s">
        <v>681</v>
      </c>
      <c r="M14" s="84" t="s">
        <v>633</v>
      </c>
      <c r="N14" s="65">
        <f>J17/3.28</f>
        <v>4.5731707317073171</v>
      </c>
      <c r="O14" s="65" t="s">
        <v>236</v>
      </c>
      <c r="Q14" s="581" t="s">
        <v>1073</v>
      </c>
      <c r="R14" s="49" t="s">
        <v>650</v>
      </c>
    </row>
    <row r="15" spans="2:20" ht="14.25" thickBot="1">
      <c r="B15" s="13" t="str">
        <f>"##SET1 "&amp;D15&amp;REPT(" ",fill_1-LEN(D15))&amp;TEXT(E15,F15)&amp;REPT(" ",20-LEN(TEXT(E15,F15)))&amp;"! ["&amp;G15&amp;"]"</f>
        <v>##SET1 RunType[]                     UFAD                ! [-]</v>
      </c>
      <c r="D15" t="s">
        <v>210</v>
      </c>
      <c r="E15" s="15" t="str">
        <f>RunType</f>
        <v>UFAD</v>
      </c>
      <c r="F15" s="14" t="s">
        <v>211</v>
      </c>
      <c r="G15" s="14" t="s">
        <v>212</v>
      </c>
      <c r="I15" s="63" t="s">
        <v>627</v>
      </c>
      <c r="J15" s="70">
        <v>20000</v>
      </c>
      <c r="K15" s="4" t="s">
        <v>626</v>
      </c>
      <c r="M15" s="84" t="s">
        <v>634</v>
      </c>
      <c r="N15" s="65">
        <v>0</v>
      </c>
      <c r="O15" s="65" t="s">
        <v>233</v>
      </c>
      <c r="Q15" s="581" t="s">
        <v>1074</v>
      </c>
      <c r="R15" s="49" t="s">
        <v>649</v>
      </c>
    </row>
    <row r="16" spans="2:20" ht="14.25" thickBot="1">
      <c r="B16" s="13" t="str">
        <f>"##SET1 "&amp;D16&amp;REPT(" ",fill_1-LEN(D16))&amp;TEXT(E16,F16)&amp;REPT(" ",20-LEN(TEXT(E16,F16)))&amp;"! ["&amp;G16&amp;"]"</f>
        <v>##SET1 Weather_Location[]            CA_sacramento       ! []</v>
      </c>
      <c r="D16" s="581" t="s">
        <v>30</v>
      </c>
      <c r="E16" s="15" t="str">
        <f>Weather_location</f>
        <v>CA_sacramento</v>
      </c>
      <c r="F16" s="14" t="s">
        <v>211</v>
      </c>
      <c r="I16" s="63" t="s">
        <v>628</v>
      </c>
      <c r="J16" s="71">
        <v>1.5</v>
      </c>
      <c r="M16" s="84" t="s">
        <v>635</v>
      </c>
      <c r="N16" s="65">
        <f>((N15/J16)^0.5)*J16</f>
        <v>0</v>
      </c>
      <c r="O16" s="65" t="s">
        <v>236</v>
      </c>
      <c r="Q16" s="581" t="s">
        <v>1075</v>
      </c>
      <c r="R16" s="49" t="s">
        <v>648</v>
      </c>
    </row>
    <row r="17" spans="2:28" ht="14.25" thickBot="1">
      <c r="B17" s="13" t="str">
        <f>"##SET1 "&amp;D17&amp;REPT(" ",fill_1-LEN(D17))&amp;TEXT(E17,F17)&amp;REPT(" ",20-LEN(TEXT(E17,F17)))&amp;"! ["&amp;G17&amp;"]"</f>
        <v>##SET1 Supply_Plenum[]               Series              ! []</v>
      </c>
      <c r="D17" t="s">
        <v>4</v>
      </c>
      <c r="E17" s="617" t="str">
        <f>J102</f>
        <v>Series</v>
      </c>
      <c r="I17" s="63" t="s">
        <v>631</v>
      </c>
      <c r="J17" s="79">
        <v>15</v>
      </c>
      <c r="K17" s="4" t="s">
        <v>632</v>
      </c>
      <c r="M17" s="84" t="s">
        <v>636</v>
      </c>
      <c r="N17" s="65">
        <f>N16/J16</f>
        <v>0</v>
      </c>
      <c r="O17" s="65" t="s">
        <v>236</v>
      </c>
      <c r="Q17" s="581" t="s">
        <v>1076</v>
      </c>
      <c r="R17" s="49" t="s">
        <v>647</v>
      </c>
    </row>
    <row r="18" spans="2:28" ht="14.25" thickBot="1">
      <c r="B18" s="13" t="str">
        <f t="shared" ref="B18:B28" si="0">"##SET1 "&amp;D18&amp;REPT(" ",fill_1-LEN(D18))&amp;TEXT(E18,F18)&amp;REPT(" ",fill_2-LEN(TEXT(E18,F18)))&amp;"! ["&amp;G18&amp;"]"</f>
        <v>##SET1 UFAD_NumDiffsPerZone_GFE[]    6.250     ! [-]</v>
      </c>
      <c r="D18" s="581" t="s">
        <v>1038</v>
      </c>
      <c r="E18" s="36">
        <v>6.2503545789796995</v>
      </c>
      <c r="F18" s="14" t="s">
        <v>151</v>
      </c>
      <c r="G18" s="636" t="s">
        <v>212</v>
      </c>
      <c r="I18" s="63" t="s">
        <v>658</v>
      </c>
      <c r="J18" s="79">
        <v>0</v>
      </c>
      <c r="K18" s="4" t="s">
        <v>682</v>
      </c>
      <c r="M18" s="84" t="s">
        <v>661</v>
      </c>
      <c r="N18" s="65">
        <f>(Bldg_Width-Perimeter_Depth)*Perimeter_Depth</f>
        <v>140.06934356126902</v>
      </c>
      <c r="O18" s="65" t="s">
        <v>233</v>
      </c>
      <c r="Q18" s="581" t="s">
        <v>1077</v>
      </c>
      <c r="R18" s="49" t="s">
        <v>646</v>
      </c>
    </row>
    <row r="19" spans="2:28" ht="14.25" thickBot="1">
      <c r="B19" s="13" t="str">
        <f t="shared" si="0"/>
        <v>##SET1 UFAD_NumDiffsPerZone_GFW[]    7.648     ! [-]</v>
      </c>
      <c r="D19" s="581" t="s">
        <v>1039</v>
      </c>
      <c r="E19" s="36">
        <v>7.6481743116156622</v>
      </c>
      <c r="F19" s="14" t="s">
        <v>151</v>
      </c>
      <c r="G19" s="584" t="s">
        <v>212</v>
      </c>
      <c r="I19" s="76" t="s">
        <v>17</v>
      </c>
      <c r="J19" s="77">
        <v>0.33</v>
      </c>
      <c r="M19" s="84" t="s">
        <v>662</v>
      </c>
      <c r="N19" s="65">
        <f>(Bldg_Length-Perimeter_Depth)*Perimeter_Depth</f>
        <v>220.56096061257577</v>
      </c>
      <c r="O19" s="65" t="s">
        <v>233</v>
      </c>
      <c r="Q19" s="581" t="s">
        <v>1078</v>
      </c>
      <c r="R19" s="49" t="s">
        <v>645</v>
      </c>
    </row>
    <row r="20" spans="2:28" ht="14.25" thickBot="1">
      <c r="B20" s="13" t="str">
        <f t="shared" si="0"/>
        <v>##SET1 UFAD_NumDiffsPerZone_GFS[]    9.593     ! [-]</v>
      </c>
      <c r="D20" s="581" t="s">
        <v>1040</v>
      </c>
      <c r="E20" s="36">
        <v>9.5925140402263658</v>
      </c>
      <c r="F20" s="14" t="s">
        <v>151</v>
      </c>
      <c r="G20" s="584" t="s">
        <v>212</v>
      </c>
      <c r="I20" s="101" t="s">
        <v>746</v>
      </c>
      <c r="J20" s="630" t="s">
        <v>2</v>
      </c>
      <c r="M20" s="84" t="s">
        <v>663</v>
      </c>
      <c r="N20" s="65">
        <f>(Bldg_Length-2*Perimeter_Depth)*(Bldg_Width-2*Perimeter_Depth)-N15</f>
        <v>1137.4754511318642</v>
      </c>
      <c r="O20" s="65" t="s">
        <v>233</v>
      </c>
      <c r="Q20" s="581" t="s">
        <v>1079</v>
      </c>
      <c r="R20" s="49" t="s">
        <v>644</v>
      </c>
    </row>
    <row r="21" spans="2:28" ht="13.5">
      <c r="B21" s="13" t="str">
        <f t="shared" si="0"/>
        <v>##SET1 UFAD_NumDiffsPerZone_GFN[]    6.864     ! [-]</v>
      </c>
      <c r="D21" s="581" t="s">
        <v>1041</v>
      </c>
      <c r="E21" s="36">
        <v>6.8641014469408672</v>
      </c>
      <c r="F21" s="14" t="s">
        <v>151</v>
      </c>
      <c r="G21" s="32" t="s">
        <v>212</v>
      </c>
      <c r="Q21" s="581" t="s">
        <v>1080</v>
      </c>
      <c r="R21" s="5">
        <v>7</v>
      </c>
    </row>
    <row r="22" spans="2:28" ht="13.5">
      <c r="B22" s="582" t="str">
        <f t="shared" si="0"/>
        <v>##SET1 UFAD_NumDiffsPerZone_MFE[]    11.761    ! [-]</v>
      </c>
      <c r="C22" s="580"/>
      <c r="D22" s="581" t="s">
        <v>1042</v>
      </c>
      <c r="E22" s="583">
        <v>11.760813335708558</v>
      </c>
      <c r="F22" s="14" t="s">
        <v>151</v>
      </c>
      <c r="G22" s="584" t="s">
        <v>212</v>
      </c>
      <c r="L22" s="4" t="s">
        <v>659</v>
      </c>
      <c r="Q22" s="581" t="s">
        <v>1081</v>
      </c>
      <c r="R22" s="5">
        <v>8</v>
      </c>
      <c r="T22" s="98" t="s">
        <v>720</v>
      </c>
      <c r="Y22" s="98" t="s">
        <v>721</v>
      </c>
    </row>
    <row r="23" spans="2:28" ht="14.25" thickBot="1">
      <c r="B23" s="582" t="str">
        <f t="shared" si="0"/>
        <v>##SET1 UFAD_NumDiffsPerZone_MFW[]    11.714    ! [-]</v>
      </c>
      <c r="C23" s="580"/>
      <c r="D23" s="581" t="s">
        <v>1043</v>
      </c>
      <c r="E23" s="583">
        <v>11.714104249517879</v>
      </c>
      <c r="F23" s="14" t="s">
        <v>151</v>
      </c>
      <c r="G23" s="584" t="s">
        <v>212</v>
      </c>
      <c r="I23" s="95" t="s">
        <v>683</v>
      </c>
      <c r="L23" s="4" t="s">
        <v>660</v>
      </c>
      <c r="T23" s="98" t="s">
        <v>664</v>
      </c>
      <c r="U23" s="98" t="s">
        <v>354</v>
      </c>
      <c r="V23" s="98" t="s">
        <v>353</v>
      </c>
      <c r="W23" s="98" t="s">
        <v>352</v>
      </c>
      <c r="Y23" s="98" t="s">
        <v>664</v>
      </c>
      <c r="Z23" s="98" t="s">
        <v>354</v>
      </c>
      <c r="AA23" s="98" t="s">
        <v>353</v>
      </c>
      <c r="AB23" s="98" t="s">
        <v>352</v>
      </c>
    </row>
    <row r="24" spans="2:28" ht="14.25" thickBot="1">
      <c r="B24" s="582" t="str">
        <f t="shared" si="0"/>
        <v>##SET1 UFAD_NumDiffsPerZone_MFS[]    15.550    ! [-]</v>
      </c>
      <c r="C24" s="580"/>
      <c r="D24" s="581" t="s">
        <v>1044</v>
      </c>
      <c r="E24" s="583">
        <v>15.55036104842519</v>
      </c>
      <c r="F24" s="14" t="s">
        <v>151</v>
      </c>
      <c r="G24" s="584" t="s">
        <v>212</v>
      </c>
      <c r="I24" s="607" t="s">
        <v>1109</v>
      </c>
      <c r="J24" s="79">
        <f>J27</f>
        <v>100</v>
      </c>
      <c r="K24" s="4" t="s">
        <v>665</v>
      </c>
      <c r="T24" t="s">
        <v>710</v>
      </c>
      <c r="U24" t="s">
        <v>710</v>
      </c>
      <c r="V24" t="s">
        <v>710</v>
      </c>
      <c r="W24" t="s">
        <v>710</v>
      </c>
      <c r="Y24" s="100" t="s">
        <v>722</v>
      </c>
      <c r="Z24" t="s">
        <v>722</v>
      </c>
      <c r="AA24" s="100" t="s">
        <v>722</v>
      </c>
      <c r="AB24" t="s">
        <v>710</v>
      </c>
    </row>
    <row r="25" spans="2:28" ht="14.25" thickBot="1">
      <c r="B25" s="582" t="str">
        <f t="shared" si="0"/>
        <v>##SET1 UFAD_NumDiffsPerZone_MFN[]    12.840    ! [-]</v>
      </c>
      <c r="C25" s="580"/>
      <c r="D25" s="581" t="s">
        <v>1045</v>
      </c>
      <c r="E25" s="583">
        <v>12.839709692522783</v>
      </c>
      <c r="F25" s="14" t="s">
        <v>151</v>
      </c>
      <c r="G25" s="32" t="s">
        <v>212</v>
      </c>
      <c r="I25" s="607" t="s">
        <v>1110</v>
      </c>
      <c r="J25" s="79">
        <v>1</v>
      </c>
      <c r="K25" s="4" t="s">
        <v>474</v>
      </c>
      <c r="T25" s="30" t="s">
        <v>711</v>
      </c>
      <c r="U25" s="30" t="s">
        <v>711</v>
      </c>
      <c r="V25" s="30" t="s">
        <v>711</v>
      </c>
      <c r="W25" s="74" t="s">
        <v>738</v>
      </c>
      <c r="Y25" s="30" t="s">
        <v>723</v>
      </c>
      <c r="Z25" s="74" t="s">
        <v>724</v>
      </c>
      <c r="AA25" s="74" t="s">
        <v>723</v>
      </c>
      <c r="AB25" s="74" t="s">
        <v>742</v>
      </c>
    </row>
    <row r="26" spans="2:28" ht="14.25" thickBot="1">
      <c r="B26" s="582" t="str">
        <f t="shared" si="0"/>
        <v>##SET1 UFAD_NumDiffsPerZone_TFE[]    12.530    ! [-]</v>
      </c>
      <c r="C26" s="580"/>
      <c r="D26" s="581" t="s">
        <v>1046</v>
      </c>
      <c r="E26" s="583">
        <v>12.529602957795767</v>
      </c>
      <c r="F26" s="14" t="s">
        <v>151</v>
      </c>
      <c r="G26" s="584" t="s">
        <v>212</v>
      </c>
      <c r="I26" s="607" t="s">
        <v>1111</v>
      </c>
      <c r="J26" s="79">
        <v>0.75</v>
      </c>
      <c r="K26" s="4" t="s">
        <v>474</v>
      </c>
      <c r="T26" s="30">
        <v>0</v>
      </c>
      <c r="U26" s="30">
        <v>0.17</v>
      </c>
      <c r="V26" s="30">
        <v>0.3</v>
      </c>
      <c r="W26" s="30">
        <v>0</v>
      </c>
      <c r="Y26" s="30">
        <v>0</v>
      </c>
      <c r="Z26" s="30">
        <v>0.2</v>
      </c>
      <c r="AA26" s="30">
        <v>0.1</v>
      </c>
      <c r="AB26" s="30">
        <v>0</v>
      </c>
    </row>
    <row r="27" spans="2:28" ht="14.25" thickBot="1">
      <c r="B27" s="582" t="str">
        <f t="shared" si="0"/>
        <v>##SET1 UFAD_NumDiffsPerZone_TFW[]    12.671    ! [-]</v>
      </c>
      <c r="C27" s="580"/>
      <c r="D27" s="581" t="s">
        <v>1047</v>
      </c>
      <c r="E27" s="583">
        <v>12.670878110773952</v>
      </c>
      <c r="F27" s="14" t="s">
        <v>151</v>
      </c>
      <c r="G27" s="584" t="s">
        <v>212</v>
      </c>
      <c r="I27" s="78" t="s">
        <v>664</v>
      </c>
      <c r="J27" s="79">
        <v>100</v>
      </c>
      <c r="K27" s="4" t="s">
        <v>665</v>
      </c>
      <c r="S27" s="581" t="s">
        <v>2529</v>
      </c>
      <c r="T27" s="30" t="s">
        <v>712</v>
      </c>
      <c r="U27" s="30" t="s">
        <v>713</v>
      </c>
      <c r="V27" s="30" t="s">
        <v>713</v>
      </c>
      <c r="W27" s="74" t="s">
        <v>739</v>
      </c>
      <c r="Y27" s="30" t="s">
        <v>724</v>
      </c>
      <c r="Z27" s="434" t="s">
        <v>728</v>
      </c>
      <c r="AA27" s="30" t="s">
        <v>724</v>
      </c>
      <c r="AB27" s="74" t="s">
        <v>743</v>
      </c>
    </row>
    <row r="28" spans="2:28" ht="14.25" thickBot="1">
      <c r="B28" s="582" t="str">
        <f t="shared" si="0"/>
        <v>##SET1 UFAD_NumDiffsPerZone_TFS[]    17.032    ! [-]</v>
      </c>
      <c r="C28" s="580"/>
      <c r="D28" s="581" t="s">
        <v>1048</v>
      </c>
      <c r="E28" s="583">
        <v>17.031704771537171</v>
      </c>
      <c r="F28" s="14" t="s">
        <v>151</v>
      </c>
      <c r="G28" s="584" t="s">
        <v>212</v>
      </c>
      <c r="I28" s="78" t="s">
        <v>353</v>
      </c>
      <c r="J28" s="79">
        <v>1</v>
      </c>
      <c r="K28" s="4" t="s">
        <v>474</v>
      </c>
      <c r="P28" s="581" t="s">
        <v>1141</v>
      </c>
      <c r="Q28" s="576" t="s">
        <v>488</v>
      </c>
      <c r="T28" s="30">
        <v>0.33</v>
      </c>
      <c r="U28" s="30">
        <v>1</v>
      </c>
      <c r="V28" s="30">
        <v>0.9</v>
      </c>
      <c r="W28" s="30">
        <v>1</v>
      </c>
      <c r="Y28" s="30">
        <v>0.1</v>
      </c>
      <c r="Z28" s="30">
        <v>0.8</v>
      </c>
      <c r="AA28" s="30">
        <v>0.5</v>
      </c>
      <c r="AB28" s="30">
        <v>1</v>
      </c>
    </row>
    <row r="29" spans="2:28" ht="14.25" thickBot="1">
      <c r="B29" s="582" t="str">
        <f>"##SET1 "&amp;D29&amp;REPT(" ",fill_1-LEN(D29))&amp;TEXT(E29,F29)&amp;REPT(" ",fill_2-LEN(TEXT(E29,F29)))&amp;"! ["&amp;G29&amp;"]"</f>
        <v>##SET1 UFAD_NumDiffsPerZone_TFN[]    13.907    ! [-]</v>
      </c>
      <c r="C29" s="580"/>
      <c r="D29" s="581" t="s">
        <v>1049</v>
      </c>
      <c r="E29" s="583">
        <v>13.906653409037354</v>
      </c>
      <c r="F29" s="14" t="s">
        <v>151</v>
      </c>
      <c r="G29" s="32" t="s">
        <v>212</v>
      </c>
      <c r="I29" s="78" t="s">
        <v>354</v>
      </c>
      <c r="J29" s="79">
        <v>0.75</v>
      </c>
      <c r="K29" s="4" t="s">
        <v>474</v>
      </c>
      <c r="P29" s="581" t="s">
        <v>1139</v>
      </c>
      <c r="Q29" s="576" t="s">
        <v>487</v>
      </c>
      <c r="T29" s="30" t="s">
        <v>714</v>
      </c>
      <c r="U29" s="30" t="s">
        <v>715</v>
      </c>
      <c r="V29" s="30" t="s">
        <v>715</v>
      </c>
      <c r="W29" s="30" t="s">
        <v>715</v>
      </c>
      <c r="Y29" s="30" t="s">
        <v>725</v>
      </c>
      <c r="Z29" s="74" t="s">
        <v>730</v>
      </c>
      <c r="AA29" s="30" t="s">
        <v>728</v>
      </c>
      <c r="AB29" s="30" t="s">
        <v>715</v>
      </c>
    </row>
    <row r="30" spans="2:28" ht="14.25" thickBot="1">
      <c r="B30" s="13" t="str">
        <f>"##SET1 "&amp;D30&amp;REPT(" ",fill_1-LEN(D30))&amp;TEXT(E30,F30)&amp;REPT(" ",20-LEN(TEXT(E30,F30)))&amp;"! ["&amp;G30&amp;"]"</f>
        <v>##SET1 UFAD_PowerPerPlume[]          150.000             ! [-]</v>
      </c>
      <c r="D30" t="s">
        <v>218</v>
      </c>
      <c r="E30" s="618">
        <f t="shared" ref="E30:E35" si="1">J71</f>
        <v>150</v>
      </c>
      <c r="F30" s="14" t="s">
        <v>151</v>
      </c>
      <c r="G30" s="32" t="s">
        <v>212</v>
      </c>
      <c r="I30" s="63"/>
      <c r="J30" s="630"/>
      <c r="P30" s="74" t="s">
        <v>677</v>
      </c>
      <c r="Q30" s="73" t="s">
        <v>487</v>
      </c>
      <c r="T30" s="30">
        <v>0.67</v>
      </c>
      <c r="U30" s="30">
        <v>0.17</v>
      </c>
      <c r="V30" s="30">
        <v>0.3</v>
      </c>
      <c r="W30" s="30">
        <v>0</v>
      </c>
      <c r="Y30" s="30">
        <v>0.2</v>
      </c>
      <c r="Z30" s="30">
        <v>0.2</v>
      </c>
      <c r="AA30" s="30">
        <v>0.9</v>
      </c>
      <c r="AB30" s="30">
        <v>0</v>
      </c>
    </row>
    <row r="31" spans="2:28" ht="14.25" thickBot="1">
      <c r="B31" s="13" t="str">
        <f>"##SET1 "&amp;D31&amp;REPT(" ",fill_1-LEN(D31))&amp;TEXT(E31,F31)&amp;REPT(" ",20-LEN(TEXT(E31,F31)))&amp;"! ["&amp;G31&amp;"]"</f>
        <v>##SET1 UFAD_DiffEffectiveArea[]      autosize            ! [m2]</v>
      </c>
      <c r="D31" t="s">
        <v>219</v>
      </c>
      <c r="E31" s="618" t="str">
        <f>IF(Perim_DiffType="Custom",J72,"autosize")</f>
        <v>autosize</v>
      </c>
      <c r="F31" s="14" t="s">
        <v>149</v>
      </c>
      <c r="G31" s="26" t="str">
        <f>K72</f>
        <v>m2</v>
      </c>
      <c r="I31" s="90" t="s">
        <v>603</v>
      </c>
      <c r="J31" s="630" t="s">
        <v>487</v>
      </c>
      <c r="P31" s="74" t="s">
        <v>678</v>
      </c>
      <c r="Q31" s="564" t="str">
        <f>IF(RunType_Two="UFAD/Radiant","Yes","No")</f>
        <v>No</v>
      </c>
      <c r="T31" s="30" t="s">
        <v>713</v>
      </c>
      <c r="U31" t="s">
        <v>716</v>
      </c>
      <c r="V31" t="s">
        <v>716</v>
      </c>
      <c r="W31" s="4" t="s">
        <v>740</v>
      </c>
      <c r="Y31" s="30" t="s">
        <v>726</v>
      </c>
      <c r="Z31" s="100" t="s">
        <v>731</v>
      </c>
      <c r="AA31" s="74" t="s">
        <v>736</v>
      </c>
      <c r="AB31" s="4" t="s">
        <v>740</v>
      </c>
    </row>
    <row r="32" spans="2:28" ht="13.5">
      <c r="B32" s="582" t="str">
        <f>"##SET1 "&amp;D32&amp;REPT(" ",fill_1-LEN(D32))&amp;TEXT(E32,F32)&amp;REPT(" ",20-LEN(TEXT(E32,F32)))&amp;"! ["&amp;G32&amp;"]"</f>
        <v>##SET1 UFAD_DiffSlotAngle[]          autosize            ! [deg]</v>
      </c>
      <c r="D32" t="s">
        <v>220</v>
      </c>
      <c r="E32" s="618" t="str">
        <f>IF(Perim_DiffType="Custom",J73,"autosize")</f>
        <v>autosize</v>
      </c>
      <c r="F32" s="14" t="s">
        <v>211</v>
      </c>
      <c r="G32" s="26" t="str">
        <f>K73</f>
        <v>deg</v>
      </c>
      <c r="P32" s="74" t="s">
        <v>679</v>
      </c>
      <c r="Q32" s="564" t="str">
        <f>IF(OR(RunType_Two="UFAD/Radiant",RunType_Two="UFAD_NoReturnPlen"),"No","Yes")</f>
        <v>Yes</v>
      </c>
      <c r="T32" s="30">
        <v>1</v>
      </c>
      <c r="U32" s="30" t="s">
        <v>715</v>
      </c>
      <c r="V32" s="30" t="s">
        <v>715</v>
      </c>
      <c r="W32" s="74" t="s">
        <v>738</v>
      </c>
      <c r="Y32" s="30">
        <v>0.95</v>
      </c>
      <c r="Z32" s="30" t="s">
        <v>730</v>
      </c>
      <c r="AA32" s="30">
        <v>0.5</v>
      </c>
      <c r="AB32" s="74" t="s">
        <v>742</v>
      </c>
    </row>
    <row r="33" spans="2:28" ht="13.5">
      <c r="B33" s="13" t="str">
        <f>"##SET1 "&amp;D33&amp;REPT(" ",fill_1-LEN(D33))&amp;TEXT(E33,F33)&amp;REPT(" ",fill_2-LEN(TEXT(E33,F33)))&amp;"! ["&amp;G33&amp;"]"</f>
        <v>##SET1 UFAD_TStatHeight[]            0.20      ! [m]</v>
      </c>
      <c r="D33" t="s">
        <v>221</v>
      </c>
      <c r="E33" s="620">
        <f t="shared" si="1"/>
        <v>0.2</v>
      </c>
      <c r="F33" s="14" t="s">
        <v>150</v>
      </c>
      <c r="G33" s="26" t="str">
        <f>K74</f>
        <v>m</v>
      </c>
      <c r="P33" s="75" t="s">
        <v>680</v>
      </c>
      <c r="Q33" s="72" t="s">
        <v>531</v>
      </c>
      <c r="T33" s="30" t="s">
        <v>717</v>
      </c>
      <c r="U33" s="30">
        <v>0.17</v>
      </c>
      <c r="V33" s="30">
        <v>0.3</v>
      </c>
      <c r="W33" s="30">
        <v>0</v>
      </c>
      <c r="Y33" s="30" t="s">
        <v>727</v>
      </c>
      <c r="Z33" s="30">
        <v>1</v>
      </c>
      <c r="AA33" s="74" t="s">
        <v>730</v>
      </c>
      <c r="AB33" s="30">
        <v>0</v>
      </c>
    </row>
    <row r="34" spans="2:28" ht="14.25" thickBot="1">
      <c r="B34" s="13" t="str">
        <f>"##SET1 "&amp;D34&amp;REPT(" ",fill_1-LEN(D34))&amp;TEXT(E34,F34)&amp;REPT(" ",fill_2-LEN(TEXT(E34,F34)))&amp;"! ["&amp;G34&amp;"]"</f>
        <v>##SET1 UFAD_ComfortHeight[]          0.61      ! [m]</v>
      </c>
      <c r="D34" t="s">
        <v>222</v>
      </c>
      <c r="E34" s="620">
        <f t="shared" si="1"/>
        <v>0.61</v>
      </c>
      <c r="F34" s="14" t="s">
        <v>150</v>
      </c>
      <c r="G34" s="26" t="str">
        <f>K75</f>
        <v>m</v>
      </c>
      <c r="I34" s="95" t="s">
        <v>685</v>
      </c>
      <c r="P34" s="75" t="s">
        <v>573</v>
      </c>
      <c r="Q34" s="80">
        <v>1</v>
      </c>
      <c r="T34" s="30">
        <v>0.5</v>
      </c>
      <c r="U34" s="99"/>
      <c r="V34" s="99"/>
      <c r="W34" s="74" t="s">
        <v>739</v>
      </c>
      <c r="Y34" s="30">
        <v>0.5</v>
      </c>
      <c r="Z34" s="100" t="s">
        <v>733</v>
      </c>
      <c r="AA34" s="30">
        <v>0.1</v>
      </c>
      <c r="AB34" s="74" t="s">
        <v>743</v>
      </c>
    </row>
    <row r="35" spans="2:28" ht="13.5">
      <c r="B35" s="13" t="str">
        <f>"##SET1 "&amp;D35&amp;REPT(" ",fill_1-LEN(D35))&amp;TEXT(E35,F35)&amp;REPT(" ",fill_2-LEN(TEXT(E35,F35)))&amp;"! ["&amp;G35&amp;"]"</f>
        <v>##SET1 UFAD_TempDiffReporting[]      0.001     ! [C]</v>
      </c>
      <c r="D35" s="581" t="s">
        <v>223</v>
      </c>
      <c r="E35" s="621">
        <f t="shared" si="1"/>
        <v>1E-3</v>
      </c>
      <c r="F35" s="14" t="s">
        <v>151</v>
      </c>
      <c r="G35" s="26" t="str">
        <f>K76</f>
        <v>C</v>
      </c>
      <c r="I35" s="104" t="s">
        <v>751</v>
      </c>
      <c r="J35" s="646" t="s">
        <v>2572</v>
      </c>
      <c r="K35" s="2" t="s">
        <v>691</v>
      </c>
      <c r="P35" s="75" t="s">
        <v>574</v>
      </c>
      <c r="Q35" s="81" t="s">
        <v>575</v>
      </c>
      <c r="T35" s="30" t="s">
        <v>715</v>
      </c>
      <c r="U35" s="99"/>
      <c r="V35" s="99"/>
      <c r="W35" s="30">
        <v>1</v>
      </c>
      <c r="Y35" s="30" t="s">
        <v>728</v>
      </c>
      <c r="Z35" s="30" t="s">
        <v>723</v>
      </c>
      <c r="AA35" s="100" t="s">
        <v>731</v>
      </c>
      <c r="AB35" s="30">
        <v>1</v>
      </c>
    </row>
    <row r="36" spans="2:28" ht="14.25" thickBot="1">
      <c r="B36" s="13" t="str">
        <f>"##SET1 "&amp;D36&amp;REPT(" ",fill_1-LEN(D36))&amp;TEXT(E36,F36)&amp;REPT(" ",20-LEN(TEXT(E36,F36)))&amp;"! ["&amp;G36&amp;"]"</f>
        <v>##SET1 UFAD_DiffType[]               LIN2                ! [-]</v>
      </c>
      <c r="D36" t="s">
        <v>224</v>
      </c>
      <c r="E36" s="28" t="str">
        <f>J70</f>
        <v>LIN2</v>
      </c>
      <c r="F36" s="14"/>
      <c r="G36" s="26" t="str">
        <f>K70</f>
        <v>-</v>
      </c>
      <c r="I36" s="105" t="s">
        <v>749</v>
      </c>
      <c r="J36" s="629" t="s">
        <v>2571</v>
      </c>
      <c r="K36" s="2" t="s">
        <v>750</v>
      </c>
      <c r="P36" s="83" t="s">
        <v>27</v>
      </c>
      <c r="Q36" s="82" t="str">
        <f>IF(RunType="OH",IF(J7="Yes","OFF", "ON"),"OFF")</f>
        <v>OFF</v>
      </c>
      <c r="T36" s="30">
        <v>0</v>
      </c>
      <c r="U36" s="99"/>
      <c r="V36" s="99"/>
      <c r="W36" s="30" t="s">
        <v>715</v>
      </c>
      <c r="Y36" s="30">
        <v>0.95</v>
      </c>
      <c r="Z36" s="30">
        <v>0.3</v>
      </c>
      <c r="AA36" s="30" t="s">
        <v>730</v>
      </c>
      <c r="AB36" s="30" t="s">
        <v>715</v>
      </c>
    </row>
    <row r="37" spans="2:28" ht="14.25" thickBot="1">
      <c r="B37" s="13" t="str">
        <f>"##SET1 "&amp;D37&amp;REPT(" ",fill_1-LEN(D37))&amp;TEXT(E37,F37)&amp;REPT(" ",20-LEN(TEXT(E37,F37)))&amp;"! ["&amp;G37&amp;"]"</f>
        <v>##SET1 UFAD_TransitionHeight[]       1.70                ! [m]</v>
      </c>
      <c r="D37" s="581" t="s">
        <v>225</v>
      </c>
      <c r="E37" s="620">
        <f t="shared" ref="E37:E42" si="2">J77</f>
        <v>1.7</v>
      </c>
      <c r="F37" s="14" t="s">
        <v>150</v>
      </c>
      <c r="G37" s="26" t="str">
        <f>K77</f>
        <v>m</v>
      </c>
      <c r="I37" s="590" t="s">
        <v>692</v>
      </c>
      <c r="J37" s="591" t="s">
        <v>531</v>
      </c>
      <c r="K37" s="96"/>
      <c r="P37" s="74" t="s">
        <v>191</v>
      </c>
      <c r="Q37" s="438" t="s">
        <v>200</v>
      </c>
      <c r="T37" t="s">
        <v>716</v>
      </c>
      <c r="U37" s="99"/>
      <c r="V37" s="99"/>
      <c r="W37" s="30">
        <v>0</v>
      </c>
      <c r="Y37" s="30" t="s">
        <v>729</v>
      </c>
      <c r="Z37" s="30" t="s">
        <v>725</v>
      </c>
      <c r="AA37" s="30">
        <v>1</v>
      </c>
      <c r="AB37" s="30">
        <v>0</v>
      </c>
    </row>
    <row r="38" spans="2:28" ht="14.25" thickBot="1">
      <c r="B38" s="13" t="str">
        <f t="shared" ref="B38:B43" si="3">"##SET1 "&amp;D38&amp;REPT(" ",fill_1-LEN(D38))&amp;TEXT(E38,F38)&amp;REPT(" ",fill_2-LEN(TEXT(E38,F38)))&amp;"! ["&amp;G38&amp;"]"</f>
        <v>##SET1 UFAD_CoeffA[]                 0.0000    ! [0]</v>
      </c>
      <c r="D38" t="s">
        <v>226</v>
      </c>
      <c r="E38" s="27">
        <f t="shared" si="2"/>
        <v>0</v>
      </c>
      <c r="F38" s="14" t="s">
        <v>152</v>
      </c>
      <c r="G38" s="26">
        <f>K82</f>
        <v>0</v>
      </c>
      <c r="I38" s="90" t="s">
        <v>690</v>
      </c>
      <c r="J38" s="613" t="s">
        <v>970</v>
      </c>
      <c r="L38" s="2"/>
      <c r="P38" s="75" t="s">
        <v>686</v>
      </c>
      <c r="Q38" s="89" t="s">
        <v>24</v>
      </c>
      <c r="T38" s="30" t="s">
        <v>711</v>
      </c>
      <c r="U38" s="99"/>
      <c r="V38" s="99"/>
      <c r="W38" s="4" t="s">
        <v>741</v>
      </c>
      <c r="Y38" s="30">
        <v>0.3</v>
      </c>
      <c r="Z38" s="30">
        <v>0.4</v>
      </c>
      <c r="AA38" s="100" t="s">
        <v>733</v>
      </c>
      <c r="AB38" s="4" t="s">
        <v>744</v>
      </c>
    </row>
    <row r="39" spans="2:28" ht="14.25" thickBot="1">
      <c r="B39" s="13" t="str">
        <f t="shared" si="3"/>
        <v>##SET1 UFAD_CoeffB[]                 0.0000    ! [0]</v>
      </c>
      <c r="D39" t="s">
        <v>227</v>
      </c>
      <c r="E39" s="27">
        <f t="shared" si="2"/>
        <v>0</v>
      </c>
      <c r="F39" s="14" t="s">
        <v>152</v>
      </c>
      <c r="G39" s="26">
        <f>K83</f>
        <v>0</v>
      </c>
      <c r="I39" s="24" t="s">
        <v>12</v>
      </c>
      <c r="J39" s="122">
        <v>60</v>
      </c>
      <c r="K39" s="20" t="s">
        <v>89</v>
      </c>
      <c r="P39" s="74" t="s">
        <v>687</v>
      </c>
      <c r="Q39" s="89" t="s">
        <v>24</v>
      </c>
      <c r="T39" s="30">
        <v>0</v>
      </c>
      <c r="U39" s="99"/>
      <c r="V39" s="99"/>
      <c r="W39" s="74" t="s">
        <v>738</v>
      </c>
      <c r="Y39" s="74" t="s">
        <v>736</v>
      </c>
      <c r="Z39" s="30" t="s">
        <v>726</v>
      </c>
      <c r="AA39" s="30" t="s">
        <v>723</v>
      </c>
      <c r="AB39" s="74" t="s">
        <v>742</v>
      </c>
    </row>
    <row r="40" spans="2:28" ht="14.25" thickBot="1">
      <c r="B40" s="582" t="str">
        <f t="shared" si="3"/>
        <v>##SET1 UFAD_CoeffC[]                 0.8000    ! [0]</v>
      </c>
      <c r="D40" t="s">
        <v>228</v>
      </c>
      <c r="E40" s="27">
        <f t="shared" si="2"/>
        <v>0.8</v>
      </c>
      <c r="F40" s="14" t="s">
        <v>152</v>
      </c>
      <c r="G40" s="26">
        <f>K84</f>
        <v>0</v>
      </c>
      <c r="I40" s="38" t="s">
        <v>16</v>
      </c>
      <c r="J40" s="633">
        <v>2.4</v>
      </c>
      <c r="K40" s="20" t="s">
        <v>14</v>
      </c>
      <c r="P40" s="74" t="s">
        <v>246</v>
      </c>
      <c r="Q40" t="str">
        <f>IF(J35="OH","OH","UFAD")</f>
        <v>UFAD</v>
      </c>
      <c r="T40" s="30" t="s">
        <v>712</v>
      </c>
      <c r="U40" s="99"/>
      <c r="V40" s="99"/>
      <c r="W40" s="30">
        <v>0</v>
      </c>
      <c r="Y40" s="30">
        <v>0.2</v>
      </c>
      <c r="Z40" s="30">
        <v>0.5</v>
      </c>
      <c r="AA40" s="30">
        <v>0.05</v>
      </c>
      <c r="AB40" s="30">
        <v>0</v>
      </c>
    </row>
    <row r="41" spans="2:28" ht="14.25" thickBot="1">
      <c r="B41" s="13" t="str">
        <f t="shared" si="3"/>
        <v>##SET1 UFAD_CoeffD[]                 0.0000    ! [-]</v>
      </c>
      <c r="D41" t="s">
        <v>229</v>
      </c>
      <c r="E41" s="27">
        <f t="shared" si="2"/>
        <v>0</v>
      </c>
      <c r="F41" s="14" t="s">
        <v>152</v>
      </c>
      <c r="G41" s="636" t="s">
        <v>212</v>
      </c>
      <c r="I41" s="97" t="s">
        <v>705</v>
      </c>
      <c r="J41" s="630" t="s">
        <v>487</v>
      </c>
      <c r="P41" s="75" t="s">
        <v>697</v>
      </c>
      <c r="Q41" s="82">
        <v>0.15</v>
      </c>
      <c r="R41" s="20" t="s">
        <v>29</v>
      </c>
      <c r="T41" s="30">
        <v>7.0000000000000007E-2</v>
      </c>
      <c r="U41" s="99"/>
      <c r="V41" s="99"/>
      <c r="W41" s="74" t="s">
        <v>739</v>
      </c>
      <c r="Y41" s="30" t="s">
        <v>730</v>
      </c>
      <c r="Z41" s="30" t="s">
        <v>728</v>
      </c>
      <c r="AA41" s="30" t="s">
        <v>725</v>
      </c>
      <c r="AB41" s="74" t="s">
        <v>717</v>
      </c>
    </row>
    <row r="42" spans="2:28" ht="14.25" thickBot="1">
      <c r="B42" s="13" t="str">
        <f t="shared" si="3"/>
        <v>##SET1 UFAD_CoeffE[]                 0.0000    ! [-]</v>
      </c>
      <c r="D42" t="s">
        <v>230</v>
      </c>
      <c r="E42" s="27">
        <f t="shared" si="2"/>
        <v>0</v>
      </c>
      <c r="F42" s="14" t="s">
        <v>152</v>
      </c>
      <c r="G42" s="636" t="s">
        <v>212</v>
      </c>
      <c r="I42" s="97" t="s">
        <v>706</v>
      </c>
      <c r="J42" s="632">
        <v>1.5</v>
      </c>
      <c r="K42" s="4" t="s">
        <v>14</v>
      </c>
      <c r="T42" s="30" t="s">
        <v>714</v>
      </c>
      <c r="U42" s="99"/>
      <c r="V42" s="99"/>
      <c r="W42" s="30">
        <v>1</v>
      </c>
      <c r="Y42" s="30">
        <v>0</v>
      </c>
      <c r="Z42" s="30">
        <v>0.35</v>
      </c>
      <c r="AA42" s="30">
        <v>0.1</v>
      </c>
      <c r="AB42" s="30">
        <v>1</v>
      </c>
    </row>
    <row r="43" spans="2:28" ht="14.25" thickBot="1">
      <c r="B43" s="13" t="str">
        <f t="shared" si="3"/>
        <v>##SET1 Return_Plenum[]               Yes       ! []</v>
      </c>
      <c r="D43" s="4" t="s">
        <v>582</v>
      </c>
      <c r="E43" s="620" t="str">
        <f>Return_Plenum</f>
        <v>Yes</v>
      </c>
      <c r="I43" s="63" t="s">
        <v>641</v>
      </c>
      <c r="J43" s="630" t="s">
        <v>971</v>
      </c>
      <c r="L43" s="4"/>
      <c r="P43" s="598" t="s">
        <v>1057</v>
      </c>
      <c r="Q43">
        <v>1</v>
      </c>
      <c r="T43" s="30">
        <v>0.13</v>
      </c>
      <c r="U43" s="99"/>
      <c r="V43" s="99"/>
      <c r="W43" s="30" t="s">
        <v>715</v>
      </c>
      <c r="Y43" s="100" t="s">
        <v>731</v>
      </c>
      <c r="Z43" s="30" t="s">
        <v>730</v>
      </c>
      <c r="AA43" s="30" t="s">
        <v>726</v>
      </c>
      <c r="AB43" s="30" t="s">
        <v>715</v>
      </c>
    </row>
    <row r="44" spans="2:28" ht="13.5" thickBot="1">
      <c r="I44" s="63" t="s">
        <v>502</v>
      </c>
      <c r="J44" s="630" t="s">
        <v>488</v>
      </c>
      <c r="T44" s="30" t="s">
        <v>718</v>
      </c>
      <c r="U44" s="99"/>
      <c r="V44" s="99"/>
      <c r="W44" s="30">
        <v>0</v>
      </c>
      <c r="Y44" s="30" t="s">
        <v>723</v>
      </c>
      <c r="Z44" s="30">
        <v>0.3</v>
      </c>
      <c r="AA44" s="30">
        <v>0.3</v>
      </c>
      <c r="AB44" s="30">
        <v>0</v>
      </c>
    </row>
    <row r="45" spans="2:28" ht="14.25" thickBot="1">
      <c r="B45" s="13" t="str">
        <f>"##SET1 "&amp;D45&amp;REPT(" ",fill_1-LEN(D45))&amp;TEXT(E45,F45)&amp;REPT(" ",fill_2-LEN(TEXT(E45,F45)))&amp;"! ["&amp;G45&amp;"]"</f>
        <v>##SET1 UFAD_Int_NumDiffsPerZone_GF[] 307.0824  ! [-]</v>
      </c>
      <c r="D45" s="581" t="s">
        <v>1050</v>
      </c>
      <c r="E45" s="36">
        <v>307.0824420838336</v>
      </c>
      <c r="F45" s="14" t="s">
        <v>152</v>
      </c>
      <c r="G45" s="636" t="s">
        <v>212</v>
      </c>
      <c r="I45" s="63" t="s">
        <v>668</v>
      </c>
      <c r="J45" s="122">
        <v>75</v>
      </c>
      <c r="K45" s="4" t="s">
        <v>89</v>
      </c>
      <c r="T45" s="30">
        <v>0.2</v>
      </c>
      <c r="U45" s="99"/>
      <c r="V45" s="99"/>
      <c r="W45" t="s">
        <v>716</v>
      </c>
      <c r="Y45" s="30">
        <v>0</v>
      </c>
      <c r="Z45" s="100" t="s">
        <v>734</v>
      </c>
      <c r="AA45" s="30" t="s">
        <v>728</v>
      </c>
      <c r="AB45" s="4" t="s">
        <v>741</v>
      </c>
    </row>
    <row r="46" spans="2:28" ht="14.25" thickBot="1">
      <c r="B46" s="582" t="str">
        <f>"##SET1 "&amp;D46&amp;REPT(" ",fill_1-LEN(D46))&amp;TEXT(E46,F46)&amp;REPT(" ",fill_2-LEN(TEXT(E46,F46)))&amp;"! ["&amp;G46&amp;"]"</f>
        <v>##SET1 UFAD_Int_NumDiffsPerZone_MF[] 307.0824  ! [-]</v>
      </c>
      <c r="C46" s="580"/>
      <c r="D46" s="581" t="s">
        <v>1051</v>
      </c>
      <c r="E46" s="583">
        <v>307.0824420838336</v>
      </c>
      <c r="F46" s="14" t="s">
        <v>152</v>
      </c>
      <c r="G46" s="584" t="s">
        <v>212</v>
      </c>
      <c r="I46" s="63" t="s">
        <v>669</v>
      </c>
      <c r="J46" s="122">
        <v>80</v>
      </c>
      <c r="K46" s="4" t="s">
        <v>89</v>
      </c>
      <c r="T46" s="30" t="s">
        <v>719</v>
      </c>
      <c r="U46" s="99"/>
      <c r="V46" s="99"/>
      <c r="W46" s="74" t="s">
        <v>742</v>
      </c>
      <c r="Y46" s="30" t="s">
        <v>732</v>
      </c>
      <c r="Z46" s="30" t="s">
        <v>730</v>
      </c>
      <c r="AA46" s="30">
        <v>0.15</v>
      </c>
      <c r="AB46" s="74" t="s">
        <v>742</v>
      </c>
    </row>
    <row r="47" spans="2:28" ht="14.25" thickBot="1">
      <c r="B47" s="582" t="str">
        <f>"##SET1 "&amp;D47&amp;REPT(" ",fill_1-LEN(D47))&amp;TEXT(E47,F47)&amp;REPT(" ",fill_2-LEN(TEXT(E47,F47)))&amp;"! ["&amp;G47&amp;"]"</f>
        <v>##SET1 UFAD_Int_NumDiffsPerZone_TF[] 307.0824  ! [-]</v>
      </c>
      <c r="C47" s="580"/>
      <c r="D47" s="581" t="s">
        <v>1052</v>
      </c>
      <c r="E47" s="583">
        <v>307.0824420838336</v>
      </c>
      <c r="F47" s="14" t="s">
        <v>152</v>
      </c>
      <c r="G47" s="584" t="s">
        <v>212</v>
      </c>
      <c r="I47" s="63" t="s">
        <v>672</v>
      </c>
      <c r="J47" s="122">
        <v>70</v>
      </c>
      <c r="K47" s="4" t="s">
        <v>89</v>
      </c>
      <c r="T47" s="30">
        <v>0.1</v>
      </c>
      <c r="U47" s="99"/>
      <c r="V47" s="99"/>
      <c r="W47" s="30">
        <v>0</v>
      </c>
      <c r="Y47" s="30">
        <v>1</v>
      </c>
      <c r="Z47" s="30">
        <v>0</v>
      </c>
      <c r="AA47" s="30" t="s">
        <v>730</v>
      </c>
      <c r="AB47" s="30">
        <v>0</v>
      </c>
    </row>
    <row r="48" spans="2:28" ht="14.25" thickBot="1">
      <c r="B48" s="13" t="str">
        <f>"##SET1 "&amp;D48&amp;REPT(" ",fill_1-LEN(D48))&amp;TEXT(E48,F48)&amp;REPT(" ",20-LEN(TEXT(E48,F48)))&amp;"! ["&amp;G48&amp;"]"</f>
        <v>##SET1 UFAD_Int_PowerPerPlume[]      autocalculate       ! [-]</v>
      </c>
      <c r="D48" t="s">
        <v>448</v>
      </c>
      <c r="E48" s="618" t="str">
        <f>J89</f>
        <v>autocalculate</v>
      </c>
      <c r="F48" s="14"/>
      <c r="G48" s="32" t="s">
        <v>212</v>
      </c>
      <c r="I48" s="63" t="s">
        <v>673</v>
      </c>
      <c r="J48" s="122">
        <v>65</v>
      </c>
      <c r="K48" s="4" t="s">
        <v>89</v>
      </c>
      <c r="T48" s="30" t="s">
        <v>715</v>
      </c>
      <c r="U48" s="99"/>
      <c r="V48" s="99"/>
      <c r="W48" s="74" t="s">
        <v>719</v>
      </c>
      <c r="Y48" s="30" t="s">
        <v>730</v>
      </c>
      <c r="Z48" s="100" t="s">
        <v>735</v>
      </c>
      <c r="AA48" s="30">
        <v>0.05</v>
      </c>
      <c r="AB48" s="74" t="s">
        <v>717</v>
      </c>
    </row>
    <row r="49" spans="2:28" ht="14.25" thickBot="1">
      <c r="B49" s="13" t="str">
        <f>"##SET1 "&amp;D49&amp;REPT(" ",fill_1-LEN(D49))&amp;TEXT(E49,F49)&amp;REPT(" ",20-LEN(TEXT(E49,F49)))&amp;"! ["&amp;G49&amp;"]"</f>
        <v>##SET1 UFAD_Int_DiffEffectiveArea[]  autosize            ! [m2]</v>
      </c>
      <c r="D49" t="s">
        <v>449</v>
      </c>
      <c r="E49" s="619" t="str">
        <f>IF(Int_DiffType="Custom",J90,"autosize")</f>
        <v>autosize</v>
      </c>
      <c r="F49" s="14" t="s">
        <v>149</v>
      </c>
      <c r="G49" s="26" t="str">
        <f>K89</f>
        <v>m2</v>
      </c>
      <c r="I49" s="63" t="s">
        <v>674</v>
      </c>
      <c r="J49" s="630" t="s">
        <v>488</v>
      </c>
      <c r="M49" s="581"/>
      <c r="T49" s="30">
        <v>0</v>
      </c>
      <c r="U49" s="99"/>
      <c r="V49" s="99"/>
      <c r="W49" s="30">
        <v>1</v>
      </c>
      <c r="Y49" s="30">
        <v>0.05</v>
      </c>
      <c r="Z49" s="30" t="s">
        <v>730</v>
      </c>
      <c r="AA49" s="100" t="s">
        <v>734</v>
      </c>
      <c r="AB49" s="30">
        <v>1</v>
      </c>
    </row>
    <row r="50" spans="2:28" ht="14.25" thickBot="1">
      <c r="B50" s="582" t="str">
        <f>"##SET1 "&amp;D50&amp;REPT(" ",fill_1-LEN(D50))&amp;TEXT(E50,F50)&amp;REPT(" ",20-LEN(TEXT(E50,F50)))&amp;"! ["&amp;G50&amp;"]"</f>
        <v>##SET1 UFAD_Int_DiffSlotAngle[]      autosize            ! [deg]</v>
      </c>
      <c r="D50" t="s">
        <v>450</v>
      </c>
      <c r="E50" s="618" t="str">
        <f>IF(Int_DiffType="Custom",J91,"autosize")</f>
        <v>autosize</v>
      </c>
      <c r="F50" s="14" t="s">
        <v>211</v>
      </c>
      <c r="G50" s="26" t="str">
        <f>K90</f>
        <v>deg</v>
      </c>
      <c r="I50" s="392" t="s">
        <v>1115</v>
      </c>
      <c r="J50" s="122">
        <v>65</v>
      </c>
      <c r="M50" s="581"/>
      <c r="W50" s="30" t="s">
        <v>715</v>
      </c>
      <c r="Y50" s="100" t="s">
        <v>733</v>
      </c>
      <c r="Z50" s="30">
        <v>0.3</v>
      </c>
      <c r="AA50" s="30" t="s">
        <v>730</v>
      </c>
      <c r="AB50" s="30" t="s">
        <v>715</v>
      </c>
    </row>
    <row r="51" spans="2:28" ht="14.25" thickBot="1">
      <c r="B51" s="13" t="str">
        <f>"##SET1 "&amp;D51&amp;REPT(" ",fill_1-LEN(D51))&amp;TEXT(E51,F51)&amp;REPT(" ",fill_2-LEN(TEXT(E51,F51)))&amp;"! ["&amp;G51&amp;"]"</f>
        <v>##SET1 UFAD_Int_TStatHeight[]        0.20      ! [m]</v>
      </c>
      <c r="D51" t="s">
        <v>451</v>
      </c>
      <c r="E51" s="620">
        <f>J92</f>
        <v>0.2</v>
      </c>
      <c r="F51" s="14" t="s">
        <v>150</v>
      </c>
      <c r="G51" s="26" t="str">
        <f>K91</f>
        <v>m</v>
      </c>
      <c r="I51" s="63" t="s">
        <v>698</v>
      </c>
      <c r="J51" s="630" t="s">
        <v>488</v>
      </c>
      <c r="W51" s="30">
        <v>0</v>
      </c>
      <c r="Y51" s="30" t="s">
        <v>723</v>
      </c>
      <c r="AA51" s="30">
        <v>0</v>
      </c>
      <c r="AB51" s="30">
        <v>0</v>
      </c>
    </row>
    <row r="52" spans="2:28" ht="14.25" thickBot="1">
      <c r="B52" s="13" t="str">
        <f>"##SET1 "&amp;D52&amp;REPT(" ",fill_1-LEN(D52))&amp;TEXT(E52,F52)&amp;REPT(" ",fill_2-LEN(TEXT(E52,F52)))&amp;"! ["&amp;G52&amp;"]"</f>
        <v>##SET1 UFAD_Int_ComfortHeight[]      0.61      ! [m]</v>
      </c>
      <c r="D52" t="s">
        <v>452</v>
      </c>
      <c r="E52" s="620">
        <f>J93</f>
        <v>0.61</v>
      </c>
      <c r="F52" s="14" t="s">
        <v>150</v>
      </c>
      <c r="G52" s="26" t="str">
        <f>K92</f>
        <v>m</v>
      </c>
      <c r="I52" s="63" t="s">
        <v>700</v>
      </c>
      <c r="J52" s="630" t="s">
        <v>487</v>
      </c>
      <c r="Y52" s="30">
        <v>0</v>
      </c>
      <c r="AA52" s="100" t="s">
        <v>735</v>
      </c>
      <c r="AB52" t="s">
        <v>716</v>
      </c>
    </row>
    <row r="53" spans="2:28" ht="14.25" thickBot="1">
      <c r="B53" s="13" t="str">
        <f>"##SET1 "&amp;D53&amp;REPT(" ",fill_1-LEN(D53))&amp;TEXT(E53,F53)&amp;REPT(" ",fill_2-LEN(TEXT(E53,F53)))&amp;"! ["&amp;G53&amp;"]"</f>
        <v>##SET1 UFAD_Int_TempDiffReporting[]  0.001     ! [C]</v>
      </c>
      <c r="D53" t="s">
        <v>453</v>
      </c>
      <c r="E53" s="621">
        <f>J94</f>
        <v>1E-3</v>
      </c>
      <c r="F53" s="14" t="s">
        <v>151</v>
      </c>
      <c r="G53" s="26" t="str">
        <f>K93</f>
        <v>C</v>
      </c>
      <c r="I53" s="571" t="s">
        <v>993</v>
      </c>
      <c r="J53" s="632">
        <v>0.5</v>
      </c>
      <c r="Y53" s="30" t="s">
        <v>725</v>
      </c>
      <c r="AA53" s="30" t="s">
        <v>730</v>
      </c>
      <c r="AB53" s="30" t="s">
        <v>730</v>
      </c>
    </row>
    <row r="54" spans="2:28" ht="14.25" thickBot="1">
      <c r="B54" s="13" t="str">
        <f>"##SET1 "&amp;D54&amp;REPT(" ",fill_1-LEN(D54))&amp;TEXT(E54,F54)&amp;REPT(" ",20-LEN(TEXT(E54,F54)))&amp;"! ["&amp;G54&amp;"]"</f>
        <v>##SET1 UFAD_Int_DiffType[]           Swirl               ! [-]</v>
      </c>
      <c r="D54" t="s">
        <v>454</v>
      </c>
      <c r="E54" s="622" t="str">
        <f>J88</f>
        <v>Swirl</v>
      </c>
      <c r="F54" s="14"/>
      <c r="G54" s="26" t="str">
        <f>K87</f>
        <v>-</v>
      </c>
      <c r="I54" s="63" t="s">
        <v>703</v>
      </c>
      <c r="J54" s="630" t="s">
        <v>487</v>
      </c>
      <c r="K54" s="2"/>
      <c r="Y54" s="30">
        <v>0.1</v>
      </c>
      <c r="AA54" s="30">
        <v>0.05</v>
      </c>
      <c r="AB54" s="30">
        <v>0</v>
      </c>
    </row>
    <row r="55" spans="2:28" ht="14.25" thickBot="1">
      <c r="B55" s="13" t="str">
        <f>"##SET1 "&amp;D55&amp;REPT(" ",fill_1-LEN(D55))&amp;TEXT(E55,F55)&amp;REPT(" ",20-LEN(TEXT(E55,F55)))&amp;"! ["&amp;G55&amp;"]"</f>
        <v>##SET1 UFAD_Int_TransitionHeight[]   1.70                ! [m]</v>
      </c>
      <c r="D55" t="s">
        <v>455</v>
      </c>
      <c r="E55" s="620">
        <f t="shared" ref="E55:E60" si="4">J95</f>
        <v>1.7</v>
      </c>
      <c r="F55" s="14" t="s">
        <v>150</v>
      </c>
      <c r="G55" s="26" t="str">
        <f t="shared" ref="G55:G60" si="5">K94</f>
        <v>m</v>
      </c>
      <c r="I55" s="63" t="s">
        <v>704</v>
      </c>
      <c r="J55" s="637" t="s">
        <v>487</v>
      </c>
      <c r="Y55" s="30" t="s">
        <v>726</v>
      </c>
      <c r="AB55" s="74"/>
    </row>
    <row r="56" spans="2:28" ht="14.25" thickBot="1">
      <c r="B56" s="13" t="str">
        <f t="shared" ref="B56:B61" si="6">"##SET1 "&amp;D56&amp;REPT(" ",fill_1-LEN(D56))&amp;TEXT(E56,F56)&amp;REPT(" ",fill_2-LEN(TEXT(E56,F56)))&amp;"! ["&amp;G56&amp;"]"</f>
        <v>##SET1 UFAD_Int_CoeffA[]             0.0000    ! [-]</v>
      </c>
      <c r="D56" t="s">
        <v>456</v>
      </c>
      <c r="E56" s="27">
        <f t="shared" si="4"/>
        <v>0</v>
      </c>
      <c r="F56" s="14" t="s">
        <v>152</v>
      </c>
      <c r="G56" s="26" t="str">
        <f t="shared" si="5"/>
        <v>-</v>
      </c>
      <c r="I56" s="63" t="s">
        <v>812</v>
      </c>
      <c r="J56" s="632">
        <v>1.2</v>
      </c>
      <c r="Y56" s="30">
        <v>0.3</v>
      </c>
      <c r="AB56" s="30"/>
    </row>
    <row r="57" spans="2:28" ht="14.25" thickBot="1">
      <c r="B57" s="13" t="str">
        <f t="shared" si="6"/>
        <v>##SET1 UFAD_Int_CoeffB[]             0.0000    ! [-]</v>
      </c>
      <c r="D57" t="s">
        <v>84</v>
      </c>
      <c r="E57" s="27">
        <f t="shared" si="4"/>
        <v>0</v>
      </c>
      <c r="F57" s="14" t="s">
        <v>152</v>
      </c>
      <c r="G57" s="26" t="str">
        <f t="shared" si="5"/>
        <v>-</v>
      </c>
      <c r="I57" s="392" t="s">
        <v>908</v>
      </c>
      <c r="J57" s="630" t="s">
        <v>1056</v>
      </c>
      <c r="Y57" s="30" t="s">
        <v>728</v>
      </c>
      <c r="AB57" s="30"/>
    </row>
    <row r="58" spans="2:28" ht="14.25" thickBot="1">
      <c r="B58" s="13" t="str">
        <f t="shared" si="6"/>
        <v>##SET1 UFAD_Int_CoeffC[]             0.8000    ! [-]</v>
      </c>
      <c r="D58" t="s">
        <v>144</v>
      </c>
      <c r="E58" s="27">
        <f t="shared" si="4"/>
        <v>0.8</v>
      </c>
      <c r="F58" s="14" t="s">
        <v>152</v>
      </c>
      <c r="G58" s="26" t="str">
        <f t="shared" si="5"/>
        <v>-</v>
      </c>
      <c r="I58" s="392" t="s">
        <v>978</v>
      </c>
      <c r="J58" s="630" t="s">
        <v>1032</v>
      </c>
      <c r="Y58" s="30">
        <v>0.1</v>
      </c>
      <c r="AB58" s="30"/>
    </row>
    <row r="59" spans="2:28" ht="14.25" thickBot="1">
      <c r="B59" s="13" t="str">
        <f t="shared" si="6"/>
        <v>##SET1 UFAD_Int_CoeffD[]             0.0000    ! [-]</v>
      </c>
      <c r="D59" t="s">
        <v>145</v>
      </c>
      <c r="E59" s="27">
        <f t="shared" si="4"/>
        <v>0</v>
      </c>
      <c r="F59" s="14" t="s">
        <v>152</v>
      </c>
      <c r="G59" s="26" t="str">
        <f t="shared" si="5"/>
        <v>-</v>
      </c>
      <c r="I59" s="392" t="s">
        <v>979</v>
      </c>
      <c r="J59" s="630" t="s">
        <v>906</v>
      </c>
      <c r="Y59" s="30" t="s">
        <v>730</v>
      </c>
    </row>
    <row r="60" spans="2:28" ht="14.25" thickBot="1">
      <c r="B60" s="13" t="str">
        <f t="shared" si="6"/>
        <v>##SET1 UFAD_Int_CoeffE[]             0.00000   ! [-]</v>
      </c>
      <c r="D60" t="s">
        <v>146</v>
      </c>
      <c r="E60" s="27">
        <f t="shared" si="4"/>
        <v>0</v>
      </c>
      <c r="F60" s="50" t="s">
        <v>149</v>
      </c>
      <c r="G60" s="26" t="str">
        <f t="shared" si="5"/>
        <v>-</v>
      </c>
      <c r="I60" s="392" t="s">
        <v>1117</v>
      </c>
      <c r="J60" s="630" t="s">
        <v>1120</v>
      </c>
      <c r="L60" t="s">
        <v>108</v>
      </c>
      <c r="M60" t="s">
        <v>107</v>
      </c>
      <c r="N60" s="4" t="s">
        <v>571</v>
      </c>
      <c r="O60" s="4"/>
      <c r="Y60" s="30">
        <v>0</v>
      </c>
    </row>
    <row r="61" spans="2:28" ht="14.25" thickBot="1">
      <c r="B61" s="13" t="str">
        <f t="shared" si="6"/>
        <v>##SET1 Internal_Mass[]               Yes       ! []</v>
      </c>
      <c r="D61" t="s">
        <v>524</v>
      </c>
      <c r="E61" s="623" t="str">
        <f>Internal_Mass</f>
        <v>Yes</v>
      </c>
      <c r="F61" s="14" t="s">
        <v>152</v>
      </c>
      <c r="G61" s="26"/>
      <c r="I61" s="392" t="s">
        <v>1082</v>
      </c>
      <c r="J61" s="630" t="s">
        <v>1033</v>
      </c>
      <c r="L61" s="45">
        <f>N61*O61</f>
        <v>0</v>
      </c>
      <c r="M61" s="45">
        <v>1.2972152430617594</v>
      </c>
      <c r="N61" s="88">
        <v>1</v>
      </c>
      <c r="O61" s="46"/>
      <c r="Y61" s="100" t="s">
        <v>734</v>
      </c>
    </row>
    <row r="62" spans="2:28" ht="14.25" thickBot="1">
      <c r="B62" s="33"/>
      <c r="E62" s="27"/>
      <c r="F62" s="14"/>
      <c r="G62" s="26"/>
      <c r="I62" s="392" t="s">
        <v>2568</v>
      </c>
      <c r="J62" s="648">
        <v>0.06</v>
      </c>
      <c r="L62" s="45">
        <f>N62*O62</f>
        <v>0</v>
      </c>
      <c r="M62" s="45">
        <v>1.3606041344431894</v>
      </c>
      <c r="N62" s="88">
        <v>1</v>
      </c>
      <c r="O62" s="46"/>
      <c r="Y62" s="30" t="s">
        <v>730</v>
      </c>
    </row>
    <row r="63" spans="2:28" ht="14.25" thickBot="1">
      <c r="B63" s="13" t="str">
        <f t="shared" ref="B63:B78" si="7">"##SET1 "&amp;D63&amp;REPT(" ",fill_1-LEN(D63))&amp;TEXT(E63,F63)&amp;REPT(" ",fill_2-LEN(TEXT(E63,F63)))&amp;"! ["&amp;G63&amp;"]"</f>
        <v>##SET1 Window_Height_GF[]            1.8276    ! [m]</v>
      </c>
      <c r="D63" t="s">
        <v>10</v>
      </c>
      <c r="E63" s="34">
        <f>IF(RunType="OH",0.27+((3.9624-0)*J19*IF(J7="No",1,E265)),0.52+((3.9624-0)*J19))</f>
        <v>1.8275920000000001</v>
      </c>
      <c r="F63" s="14" t="s">
        <v>152</v>
      </c>
      <c r="G63" s="32" t="s">
        <v>236</v>
      </c>
      <c r="I63" s="392" t="s">
        <v>2569</v>
      </c>
      <c r="J63" s="648">
        <v>0.12</v>
      </c>
      <c r="L63" s="45">
        <f>N63*O63</f>
        <v>0</v>
      </c>
      <c r="M63" s="45">
        <v>0.24721899999999999</v>
      </c>
      <c r="N63" s="88">
        <v>1</v>
      </c>
      <c r="O63" s="46"/>
      <c r="Y63" s="30">
        <v>0</v>
      </c>
    </row>
    <row r="64" spans="2:28" ht="13.5">
      <c r="B64" s="13" t="str">
        <f t="shared" si="7"/>
        <v>##SET1 Window_Height_MF[]            5.9276    ! [m]</v>
      </c>
      <c r="D64" t="s">
        <v>11</v>
      </c>
      <c r="E64" s="34">
        <f>IF(RunType="OH",4.07+((7.9248-3.9624)*J19*IF(J7="No",1,E265)),4.62+((7.9248-3.9624)*J19))</f>
        <v>5.9275920000000006</v>
      </c>
      <c r="F64" s="14" t="s">
        <v>152</v>
      </c>
      <c r="G64" s="32" t="s">
        <v>236</v>
      </c>
      <c r="K64" s="1"/>
      <c r="L64" s="45">
        <f>N64*O64</f>
        <v>0</v>
      </c>
      <c r="M64" s="45">
        <v>1.4276000799306672</v>
      </c>
      <c r="N64" s="88">
        <v>1</v>
      </c>
      <c r="O64" s="46"/>
      <c r="Y64" s="100" t="s">
        <v>735</v>
      </c>
    </row>
    <row r="65" spans="2:25" ht="13.5">
      <c r="B65" s="13" t="str">
        <f t="shared" si="7"/>
        <v>##SET1 Window_Height_TF[]            9.8276    ! [m]</v>
      </c>
      <c r="D65" t="s">
        <v>5</v>
      </c>
      <c r="E65" s="34">
        <f>IF(RunType="OH",8.17+((11.8872-7.9248)*J19*IF(J7="No",1,E265)),8.52+((11.8872-7.9248)*J19))</f>
        <v>9.8275919999999992</v>
      </c>
      <c r="F65" s="14" t="s">
        <v>152</v>
      </c>
      <c r="G65" s="32" t="s">
        <v>236</v>
      </c>
      <c r="I65" s="95" t="s">
        <v>684</v>
      </c>
      <c r="J65" s="2" t="s">
        <v>693</v>
      </c>
      <c r="Y65" s="74" t="s">
        <v>730</v>
      </c>
    </row>
    <row r="66" spans="2:25" ht="14.25" thickBot="1">
      <c r="B66" s="582" t="str">
        <f t="shared" si="7"/>
        <v>##SET1 Area/Person_Core[]            9.3       ! [-]</v>
      </c>
      <c r="C66" s="580"/>
      <c r="D66" s="581" t="s">
        <v>1114</v>
      </c>
      <c r="E66" s="37">
        <f>J24/10.76</f>
        <v>9.2936802973977706</v>
      </c>
      <c r="F66" s="14" t="s">
        <v>162</v>
      </c>
      <c r="G66" s="584" t="s">
        <v>212</v>
      </c>
      <c r="I66" s="25" t="s">
        <v>446</v>
      </c>
      <c r="J66" s="1"/>
      <c r="K66" s="393"/>
      <c r="N66" s="612"/>
      <c r="Y66" s="30">
        <v>0</v>
      </c>
    </row>
    <row r="67" spans="2:25" ht="14.25" thickBot="1">
      <c r="B67" s="13" t="str">
        <f t="shared" si="7"/>
        <v>##SET1 Area/Person[]                 9.3       ! [-]</v>
      </c>
      <c r="D67" s="581" t="s">
        <v>1037</v>
      </c>
      <c r="E67" s="37">
        <f>J27/10.76</f>
        <v>9.2936802973977706</v>
      </c>
      <c r="F67" s="14" t="s">
        <v>162</v>
      </c>
      <c r="G67" s="32" t="s">
        <v>212</v>
      </c>
      <c r="I67" s="639" t="s">
        <v>2530</v>
      </c>
      <c r="J67" s="642">
        <f>VLOOKUP(Perim_DiffType,lists!$B$13:$C$20,2,FALSE)</f>
        <v>225</v>
      </c>
      <c r="K67" s="393" t="s">
        <v>2545</v>
      </c>
      <c r="N67" s="612"/>
    </row>
    <row r="68" spans="2:25" ht="14.25" thickBot="1">
      <c r="B68" s="582" t="str">
        <f t="shared" si="7"/>
        <v>##SET1 Floor_Multiplier[]            1.0       ! [-]</v>
      </c>
      <c r="D68" s="581" t="s">
        <v>1058</v>
      </c>
      <c r="E68" s="624">
        <f>Q43</f>
        <v>1</v>
      </c>
      <c r="F68" s="14" t="s">
        <v>162</v>
      </c>
      <c r="G68" s="584" t="s">
        <v>212</v>
      </c>
      <c r="I68" s="643" t="s">
        <v>2539</v>
      </c>
      <c r="J68" s="632">
        <v>1</v>
      </c>
      <c r="K68" s="393"/>
      <c r="N68" s="612"/>
    </row>
    <row r="69" spans="2:25" ht="14.25" thickBot="1">
      <c r="B69" s="582" t="str">
        <f t="shared" si="7"/>
        <v>##SET1 FloorMultiplier_Flag[]        No        ! [-]</v>
      </c>
      <c r="D69" s="581" t="s">
        <v>1059</v>
      </c>
      <c r="E69" s="624" t="str">
        <f>IF(Q43=1,"No","Yes")</f>
        <v>No</v>
      </c>
      <c r="F69" s="14" t="s">
        <v>162</v>
      </c>
      <c r="G69" s="584" t="s">
        <v>212</v>
      </c>
      <c r="I69" s="643" t="s">
        <v>2537</v>
      </c>
      <c r="J69" s="632">
        <v>0.8</v>
      </c>
      <c r="K69" s="393"/>
      <c r="Y69" s="30"/>
    </row>
    <row r="70" spans="2:25" ht="14.25" thickBot="1">
      <c r="B70" s="582"/>
      <c r="E70" s="27"/>
      <c r="F70" s="14"/>
      <c r="G70" s="32"/>
      <c r="I70" s="102" t="s">
        <v>240</v>
      </c>
      <c r="J70" s="635" t="s">
        <v>2533</v>
      </c>
      <c r="K70" s="1" t="s">
        <v>212</v>
      </c>
      <c r="Y70" s="30"/>
    </row>
    <row r="71" spans="2:25" ht="14.25" thickBot="1">
      <c r="B71" s="582" t="str">
        <f t="shared" si="7"/>
        <v>##SET1 Lighting_Level_Core[]         10.8      ! [W]</v>
      </c>
      <c r="C71" s="580"/>
      <c r="D71" s="581" t="s">
        <v>1113</v>
      </c>
      <c r="E71" s="27">
        <f>J25*10.76</f>
        <v>10.76</v>
      </c>
      <c r="F71" s="14" t="s">
        <v>162</v>
      </c>
      <c r="G71" s="32" t="s">
        <v>232</v>
      </c>
      <c r="I71" s="102" t="s">
        <v>231</v>
      </c>
      <c r="J71" s="651">
        <v>150</v>
      </c>
      <c r="K71" s="20" t="s">
        <v>232</v>
      </c>
      <c r="Y71" s="30"/>
    </row>
    <row r="72" spans="2:25" ht="14.25" thickBot="1">
      <c r="B72" s="582" t="str">
        <f t="shared" si="7"/>
        <v>##SET1 Lighting_Level[]              10.8      ! [W]</v>
      </c>
      <c r="D72" s="581" t="s">
        <v>1036</v>
      </c>
      <c r="E72" s="27">
        <f>J28*10.76</f>
        <v>10.76</v>
      </c>
      <c r="F72" s="14" t="s">
        <v>162</v>
      </c>
      <c r="G72" s="32" t="s">
        <v>232</v>
      </c>
      <c r="I72" s="643" t="s">
        <v>2543</v>
      </c>
      <c r="J72" s="634">
        <v>3.5000000000000003E-2</v>
      </c>
      <c r="K72" s="1" t="s">
        <v>233</v>
      </c>
      <c r="Y72" s="30"/>
    </row>
    <row r="73" spans="2:25" ht="14.25" thickBot="1">
      <c r="B73" s="582" t="str">
        <f t="shared" si="7"/>
        <v>##SET1 Central_HeatingCoil[]         Off       ! [-]</v>
      </c>
      <c r="D73" s="581" t="s">
        <v>1083</v>
      </c>
      <c r="E73" s="620" t="str">
        <f>J61</f>
        <v>Off</v>
      </c>
      <c r="F73" s="14" t="s">
        <v>162</v>
      </c>
      <c r="G73" s="584" t="s">
        <v>212</v>
      </c>
      <c r="I73" s="643" t="s">
        <v>2544</v>
      </c>
      <c r="J73" s="632">
        <v>45</v>
      </c>
      <c r="K73" s="1" t="s">
        <v>234</v>
      </c>
    </row>
    <row r="74" spans="2:25" ht="14.25" thickBot="1">
      <c r="B74" s="582"/>
      <c r="E74" s="27"/>
      <c r="F74" s="14"/>
      <c r="G74" s="32"/>
      <c r="I74" s="102" t="s">
        <v>235</v>
      </c>
      <c r="J74" s="632">
        <v>0.2</v>
      </c>
      <c r="K74" s="1" t="s">
        <v>236</v>
      </c>
    </row>
    <row r="75" spans="2:25" ht="14.25" thickBot="1">
      <c r="B75" s="582"/>
      <c r="E75" s="27"/>
      <c r="F75" s="14"/>
      <c r="G75" s="32"/>
      <c r="I75" s="102" t="s">
        <v>237</v>
      </c>
      <c r="J75" s="632">
        <v>0.61</v>
      </c>
      <c r="K75" s="1" t="s">
        <v>236</v>
      </c>
    </row>
    <row r="76" spans="2:25" ht="14.25" thickBot="1">
      <c r="B76" s="582" t="str">
        <f t="shared" si="7"/>
        <v>##SET1 Equipment_Level_Core[]        8.1       ! [W]</v>
      </c>
      <c r="C76" s="580"/>
      <c r="D76" s="581" t="s">
        <v>1112</v>
      </c>
      <c r="E76" s="27">
        <f>J26*10.76</f>
        <v>8.07</v>
      </c>
      <c r="F76" s="14" t="s">
        <v>162</v>
      </c>
      <c r="G76" s="32" t="s">
        <v>232</v>
      </c>
      <c r="I76" s="102" t="s">
        <v>238</v>
      </c>
      <c r="J76" s="632">
        <v>1E-3</v>
      </c>
      <c r="K76" s="1" t="s">
        <v>239</v>
      </c>
    </row>
    <row r="77" spans="2:25" ht="14.25" thickBot="1">
      <c r="B77" s="13" t="str">
        <f t="shared" si="7"/>
        <v>##SET1 Equipment_Level[]             8.1       ! [W]</v>
      </c>
      <c r="D77" s="581" t="s">
        <v>1035</v>
      </c>
      <c r="E77" s="27">
        <f>J29*10.76</f>
        <v>8.07</v>
      </c>
      <c r="F77" s="14" t="s">
        <v>162</v>
      </c>
      <c r="G77" s="32" t="s">
        <v>232</v>
      </c>
      <c r="I77" s="102" t="s">
        <v>241</v>
      </c>
      <c r="J77" s="632">
        <v>1.7</v>
      </c>
      <c r="K77" s="20" t="s">
        <v>236</v>
      </c>
      <c r="P77" s="581" t="s">
        <v>1116</v>
      </c>
    </row>
    <row r="78" spans="2:25" ht="39.75" thickBot="1">
      <c r="B78" s="582" t="str">
        <f t="shared" si="7"/>
        <v>##SET1 Chiller_SizingFactor[]        1.0       ! [-]</v>
      </c>
      <c r="D78" t="s">
        <v>1121</v>
      </c>
      <c r="E78" s="27">
        <v>1</v>
      </c>
      <c r="F78" s="14" t="s">
        <v>162</v>
      </c>
      <c r="G78" s="584" t="s">
        <v>212</v>
      </c>
      <c r="I78" s="103" t="s">
        <v>242</v>
      </c>
      <c r="J78" s="632">
        <v>0</v>
      </c>
    </row>
    <row r="79" spans="2:25" ht="14.25" thickBot="1">
      <c r="B79" s="13"/>
      <c r="E79" s="27"/>
      <c r="F79" s="14"/>
      <c r="G79" s="32"/>
      <c r="I79" s="102" t="s">
        <v>243</v>
      </c>
      <c r="J79" s="632">
        <v>0</v>
      </c>
    </row>
    <row r="80" spans="2:25" ht="14.25" thickBot="1">
      <c r="B80" s="13"/>
      <c r="E80" s="27"/>
      <c r="F80" s="14"/>
      <c r="G80" s="32"/>
      <c r="I80" s="102" t="s">
        <v>244</v>
      </c>
      <c r="J80" s="632">
        <v>0.8</v>
      </c>
    </row>
    <row r="81" spans="2:15" ht="14.25" thickBot="1">
      <c r="B81" s="13" t="str">
        <f t="shared" ref="B81:B99" si="8">"##SET1 "&amp;D81&amp;REPT(" ",fill_1-LEN(D81))&amp;TEXT(E81,F81)&amp;REPT(" ",fill_2-LEN(TEXT(E81,F81)))&amp;"! ["&amp;G81&amp;"]"</f>
        <v>##SET1 AHU_SAT_SPT[]                 15.56     ! [C]</v>
      </c>
      <c r="D81" t="s">
        <v>173</v>
      </c>
      <c r="E81" s="34">
        <f>CONVERT(AHU_SAT,"F","C")</f>
        <v>15.555555555555555</v>
      </c>
      <c r="F81" s="14" t="s">
        <v>150</v>
      </c>
      <c r="G81" s="32" t="s">
        <v>239</v>
      </c>
      <c r="I81" s="102" t="s">
        <v>147</v>
      </c>
      <c r="J81" s="632">
        <v>0</v>
      </c>
      <c r="L81" t="s">
        <v>108</v>
      </c>
      <c r="M81" t="s">
        <v>107</v>
      </c>
      <c r="N81" s="4" t="s">
        <v>571</v>
      </c>
      <c r="O81" s="4" t="s">
        <v>572</v>
      </c>
    </row>
    <row r="82" spans="2:15" ht="14.25" thickBot="1">
      <c r="B82" s="13" t="str">
        <f t="shared" si="8"/>
        <v>##SET1 AHU_SAT_SPT_Cool[]            15.56     ! [C]</v>
      </c>
      <c r="D82" t="s">
        <v>65</v>
      </c>
      <c r="E82" s="34">
        <f>E81</f>
        <v>15.555555555555555</v>
      </c>
      <c r="F82" s="14" t="s">
        <v>150</v>
      </c>
      <c r="G82" s="32" t="s">
        <v>239</v>
      </c>
      <c r="I82" s="102" t="s">
        <v>148</v>
      </c>
      <c r="J82" s="632">
        <v>0</v>
      </c>
      <c r="K82" s="1"/>
      <c r="L82" s="45">
        <f>N82*O82</f>
        <v>0.8</v>
      </c>
      <c r="M82" s="45">
        <v>13.043286510710759</v>
      </c>
      <c r="N82" s="88">
        <v>1</v>
      </c>
      <c r="O82" s="46">
        <f>J87</f>
        <v>0.8</v>
      </c>
    </row>
    <row r="83" spans="2:15" ht="13.5">
      <c r="B83" s="13" t="str">
        <f t="shared" si="8"/>
        <v>##SET1 AHU_SAT_SPT_Heat[]            21.50     ! [C]</v>
      </c>
      <c r="D83" t="s">
        <v>333</v>
      </c>
      <c r="E83" s="34">
        <v>21.5</v>
      </c>
      <c r="F83" s="14" t="s">
        <v>150</v>
      </c>
      <c r="G83" s="32" t="s">
        <v>239</v>
      </c>
      <c r="K83" s="1"/>
    </row>
    <row r="84" spans="2:15" ht="14.25" thickBot="1">
      <c r="B84" s="13" t="str">
        <f t="shared" si="8"/>
        <v>##SET1 AHU_Design_SP[]               600.00    ! [Pa]</v>
      </c>
      <c r="D84" t="s">
        <v>13</v>
      </c>
      <c r="E84" s="34">
        <f>250*J40</f>
        <v>600</v>
      </c>
      <c r="F84" s="14" t="s">
        <v>150</v>
      </c>
      <c r="G84" s="32" t="s">
        <v>15</v>
      </c>
      <c r="I84" s="25" t="s">
        <v>447</v>
      </c>
      <c r="J84" s="1"/>
      <c r="K84" s="1"/>
    </row>
    <row r="85" spans="2:15" ht="14.25" thickBot="1">
      <c r="B85" s="13" t="str">
        <f t="shared" si="8"/>
        <v>##SET1 CC_Intlet_Temp[]              32.67     ! [C]</v>
      </c>
      <c r="D85" t="s">
        <v>397</v>
      </c>
      <c r="E85" s="34">
        <f>31+E81-13.89</f>
        <v>32.665555555555557</v>
      </c>
      <c r="F85" s="14" t="s">
        <v>150</v>
      </c>
      <c r="G85" s="32" t="s">
        <v>239</v>
      </c>
      <c r="I85" s="647" t="s">
        <v>2530</v>
      </c>
      <c r="J85" s="642">
        <f>VLOOKUP(Int_DiffType,lists!$B$13:$C$20,2,FALSE)</f>
        <v>75</v>
      </c>
      <c r="K85" s="47" t="s">
        <v>748</v>
      </c>
    </row>
    <row r="86" spans="2:15" ht="14.25" thickBot="1">
      <c r="B86" s="13" t="str">
        <f>"##SET1 "&amp;D86&amp;REPT(" ",fill_1-LEN(D86))&amp;TEXT(E86,F86)&amp;REPT(" ",fill_2-LEN(TEXT(E86,F86)))&amp;"! ["&amp;G86&amp;"]"</f>
        <v>##SET1 CC_Outlet_Temp[]              14.56     ! [C]</v>
      </c>
      <c r="D86" t="s">
        <v>396</v>
      </c>
      <c r="E86" s="34">
        <f>E81-1</f>
        <v>14.555555555555555</v>
      </c>
      <c r="F86" s="14" t="s">
        <v>150</v>
      </c>
      <c r="G86" s="32" t="s">
        <v>239</v>
      </c>
      <c r="I86" s="643" t="s">
        <v>2539</v>
      </c>
      <c r="J86" s="632">
        <v>1</v>
      </c>
      <c r="K86" s="393" t="s">
        <v>212</v>
      </c>
    </row>
    <row r="87" spans="2:15" ht="14.25" thickBot="1">
      <c r="B87" s="13" t="str">
        <f t="shared" si="8"/>
        <v>##SET1 Zone_Cool_SAT_Perim[]         20.56     ! [C]</v>
      </c>
      <c r="D87" s="581" t="s">
        <v>341</v>
      </c>
      <c r="E87" s="34">
        <v>20.555555555555557</v>
      </c>
      <c r="F87" s="14" t="s">
        <v>150</v>
      </c>
      <c r="G87" s="32" t="s">
        <v>239</v>
      </c>
      <c r="I87" s="596" t="s">
        <v>1053</v>
      </c>
      <c r="J87" s="632">
        <v>0.8</v>
      </c>
      <c r="K87" s="1" t="s">
        <v>212</v>
      </c>
    </row>
    <row r="88" spans="2:15" ht="14.25" thickBot="1">
      <c r="B88" s="582" t="str">
        <f t="shared" ref="B88:B90" si="9">"##SET1 "&amp;D88&amp;REPT(" ",fill_1-LEN(D88))&amp;TEXT(E88,F88)&amp;REPT(" ",fill_2-LEN(TEXT(E88,F88)))&amp;"! ["&amp;G88&amp;"]"</f>
        <v>##SET1 Zone_Cool_SAT_GF_Perim[]      18.06     ! [C]</v>
      </c>
      <c r="C88" s="580"/>
      <c r="D88" s="581" t="s">
        <v>2994</v>
      </c>
      <c r="E88" s="594">
        <v>18.055555555555557</v>
      </c>
      <c r="F88" s="14" t="s">
        <v>150</v>
      </c>
      <c r="G88" s="32" t="s">
        <v>239</v>
      </c>
      <c r="I88" s="102" t="s">
        <v>240</v>
      </c>
      <c r="J88" s="635" t="s">
        <v>2536</v>
      </c>
      <c r="K88" s="20" t="s">
        <v>232</v>
      </c>
    </row>
    <row r="89" spans="2:15" ht="14.25" thickBot="1">
      <c r="B89" s="582" t="str">
        <f t="shared" si="9"/>
        <v>##SET1 Zone_Cool_SAT_Core[]          18.56     ! [C]</v>
      </c>
      <c r="C89" s="580"/>
      <c r="D89" t="s">
        <v>342</v>
      </c>
      <c r="E89" s="594">
        <v>18.555555555555557</v>
      </c>
      <c r="F89" s="14" t="s">
        <v>150</v>
      </c>
      <c r="G89" s="32" t="s">
        <v>239</v>
      </c>
      <c r="I89" s="102" t="s">
        <v>231</v>
      </c>
      <c r="J89" s="648" t="s">
        <v>23</v>
      </c>
      <c r="K89" s="1" t="s">
        <v>233</v>
      </c>
    </row>
    <row r="90" spans="2:15" ht="14.25" thickBot="1">
      <c r="B90" s="582" t="str">
        <f t="shared" si="9"/>
        <v>##SET1 Zone_Cool_SAT_GF_Core[]       19.06     ! [C]</v>
      </c>
      <c r="D90" s="581" t="s">
        <v>2995</v>
      </c>
      <c r="E90" s="34">
        <v>19.055555555555557</v>
      </c>
      <c r="F90" s="14" t="s">
        <v>150</v>
      </c>
      <c r="G90" s="32" t="s">
        <v>239</v>
      </c>
      <c r="I90" s="643" t="s">
        <v>2543</v>
      </c>
      <c r="J90" s="634">
        <v>3.5000000000000003E-2</v>
      </c>
      <c r="K90" s="1" t="s">
        <v>234</v>
      </c>
    </row>
    <row r="91" spans="2:15" ht="14.25" thickBot="1">
      <c r="B91" s="13" t="str">
        <f>"##SET1 "&amp;D91&amp;REPT(" ",fill_1-LEN(D91))&amp;TEXT(E91,F91)&amp;REPT(" ",20-LEN(TEXT(E91,F91)))&amp;"! ["&amp;G91&amp;"]"</f>
        <v>##SET1 Internal_Schedule[]           0.00                ! []</v>
      </c>
      <c r="D91" s="4" t="s">
        <v>709</v>
      </c>
      <c r="E91" s="623">
        <f>J30</f>
        <v>0</v>
      </c>
      <c r="F91" s="14" t="s">
        <v>150</v>
      </c>
      <c r="G91" s="32"/>
      <c r="I91" s="643" t="s">
        <v>2544</v>
      </c>
      <c r="J91" s="632">
        <v>45</v>
      </c>
      <c r="K91" s="1" t="s">
        <v>236</v>
      </c>
    </row>
    <row r="92" spans="2:15" ht="14.25" thickBot="1">
      <c r="B92" s="13" t="str">
        <f>"##SET1 "&amp;D92&amp;REPT(" ",fill_1-LEN(D92))&amp;TEXT(E92,F92)&amp;REPT(" ",20-LEN(TEXT(E92,F92)))&amp;"! ["&amp;G92&amp;"]"</f>
        <v>##SET1 HVAC_Schedule[]               0.00                ! [-]</v>
      </c>
      <c r="D92" s="4" t="s">
        <v>737</v>
      </c>
      <c r="E92" s="623">
        <f>E91</f>
        <v>0</v>
      </c>
      <c r="F92" s="14" t="s">
        <v>150</v>
      </c>
      <c r="G92" s="32" t="s">
        <v>212</v>
      </c>
      <c r="I92" s="102" t="s">
        <v>235</v>
      </c>
      <c r="J92" s="632">
        <v>0.2</v>
      </c>
      <c r="K92" s="1" t="s">
        <v>236</v>
      </c>
    </row>
    <row r="93" spans="2:15" ht="14.25" thickBot="1">
      <c r="B93" s="13" t="str">
        <f t="shared" si="8"/>
        <v>##SET1 High_AHU_SAT[]                18.33     ! [C]</v>
      </c>
      <c r="D93" s="4" t="s">
        <v>676</v>
      </c>
      <c r="E93" s="34">
        <f>CONVERT(J50,"F","C")</f>
        <v>18.333333333333332</v>
      </c>
      <c r="F93" s="14" t="s">
        <v>150</v>
      </c>
      <c r="G93" s="32" t="s">
        <v>239</v>
      </c>
      <c r="I93" s="102" t="s">
        <v>237</v>
      </c>
      <c r="J93" s="634">
        <v>0.61</v>
      </c>
      <c r="K93" s="1" t="s">
        <v>239</v>
      </c>
    </row>
    <row r="94" spans="2:15" ht="14.25" thickBot="1">
      <c r="B94" s="13" t="str">
        <f t="shared" si="8"/>
        <v>##SET1 INTReheat_Coil_ONOFF[]        0.0       ! [-]</v>
      </c>
      <c r="D94" t="s">
        <v>66</v>
      </c>
      <c r="E94" s="623">
        <f>IF(Q36="ON",1,0)</f>
        <v>0</v>
      </c>
      <c r="F94" s="14" t="s">
        <v>162</v>
      </c>
      <c r="G94" s="32" t="s">
        <v>212</v>
      </c>
      <c r="I94" s="102" t="s">
        <v>238</v>
      </c>
      <c r="J94" s="632">
        <v>1E-3</v>
      </c>
      <c r="K94" s="20" t="s">
        <v>236</v>
      </c>
    </row>
    <row r="95" spans="2:15" ht="14.25" thickBot="1">
      <c r="B95" s="13" t="str">
        <f t="shared" si="8"/>
        <v>##SET1 OSA_Min_Flow[]                4.2475    ! [m3/s]</v>
      </c>
      <c r="D95" t="s">
        <v>28</v>
      </c>
      <c r="E95" s="623">
        <f>Q41/35.315/60*(E68+2)*J15</f>
        <v>4.2474869035820468</v>
      </c>
      <c r="F95" s="14" t="s">
        <v>152</v>
      </c>
      <c r="G95" s="32" t="s">
        <v>107</v>
      </c>
      <c r="I95" s="102" t="s">
        <v>241</v>
      </c>
      <c r="J95" s="632">
        <v>1.7</v>
      </c>
      <c r="K95" s="1" t="s">
        <v>212</v>
      </c>
      <c r="L95" s="581" t="s">
        <v>1116</v>
      </c>
    </row>
    <row r="96" spans="2:15" ht="39.75" thickBot="1">
      <c r="B96" s="13" t="str">
        <f t="shared" si="8"/>
        <v>##SET1 Non_N_Solar_Transmittance[]   FALSE     ! [-]</v>
      </c>
      <c r="D96" t="s">
        <v>18</v>
      </c>
      <c r="E96" s="623" t="b">
        <f>IF(WWR_value=0.2,lists!E22,IF(WWR_value=0.4,lists!E23,IF(WWR_value=0.6,lists!E24)))</f>
        <v>0</v>
      </c>
      <c r="F96" s="14" t="s">
        <v>152</v>
      </c>
      <c r="G96" s="32" t="s">
        <v>212</v>
      </c>
      <c r="I96" s="103" t="s">
        <v>242</v>
      </c>
      <c r="J96" s="632">
        <v>0</v>
      </c>
      <c r="K96" s="1" t="s">
        <v>212</v>
      </c>
    </row>
    <row r="97" spans="2:14" ht="14.25" thickBot="1">
      <c r="B97" s="13" t="str">
        <f t="shared" si="8"/>
        <v>##SET1 Non_N_Nothing[]               FALSE     ! [-]</v>
      </c>
      <c r="D97" t="s">
        <v>0</v>
      </c>
      <c r="E97" s="623" t="b">
        <f>IF(WWR_value=0.2,lists!F22,IF(WWR_value=0.4,lists!F23,IF(WWR_value=0.6,lists!F24)))</f>
        <v>0</v>
      </c>
      <c r="F97" s="14" t="s">
        <v>152</v>
      </c>
      <c r="G97" s="32" t="s">
        <v>212</v>
      </c>
      <c r="I97" s="102" t="s">
        <v>243</v>
      </c>
      <c r="J97" s="632">
        <v>0</v>
      </c>
      <c r="K97" s="1" t="s">
        <v>212</v>
      </c>
    </row>
    <row r="98" spans="2:14" ht="14.25" thickBot="1">
      <c r="B98" s="13" t="str">
        <f t="shared" si="8"/>
        <v>##SET1 N_Solar_Transmittance[]       FALSE     ! [-]</v>
      </c>
      <c r="D98" t="s">
        <v>19</v>
      </c>
      <c r="E98" s="623" t="b">
        <f>IF(WWR_value=0.2,lists!E26,IF(WWR_value=0.4,lists!E27,IF(WWR_value=0.6,lists!E28)))</f>
        <v>0</v>
      </c>
      <c r="F98" s="14" t="s">
        <v>152</v>
      </c>
      <c r="G98" s="32" t="s">
        <v>212</v>
      </c>
      <c r="I98" s="102" t="s">
        <v>244</v>
      </c>
      <c r="J98" s="632">
        <v>0.8</v>
      </c>
      <c r="K98" s="1" t="s">
        <v>212</v>
      </c>
    </row>
    <row r="99" spans="2:14" ht="14.25" thickBot="1">
      <c r="B99" s="13" t="str">
        <f t="shared" si="8"/>
        <v>##SET1 N_Nothing[]                   FALSE     ! [-]</v>
      </c>
      <c r="D99" t="s">
        <v>1</v>
      </c>
      <c r="E99" s="623" t="b">
        <f>IF(WWR_value=0.2,lists!F26,IF(WWR_value=0.4,lists!F27,IF(WWR_value=0.6,lists!F28)))</f>
        <v>0</v>
      </c>
      <c r="F99" s="14" t="s">
        <v>152</v>
      </c>
      <c r="G99" s="32" t="s">
        <v>212</v>
      </c>
      <c r="I99" s="102" t="s">
        <v>147</v>
      </c>
      <c r="J99" s="632">
        <v>0</v>
      </c>
      <c r="K99" s="1" t="s">
        <v>212</v>
      </c>
    </row>
    <row r="100" spans="2:14" ht="14.25" thickBot="1">
      <c r="B100" s="13"/>
      <c r="E100" s="34"/>
      <c r="F100" s="14"/>
      <c r="G100" s="32"/>
      <c r="I100" s="102" t="s">
        <v>148</v>
      </c>
      <c r="J100" s="632">
        <v>0</v>
      </c>
    </row>
    <row r="101" spans="2:14" ht="14.25" thickBot="1">
      <c r="B101" s="13"/>
      <c r="E101" s="34"/>
      <c r="F101" s="14"/>
      <c r="G101" s="32"/>
      <c r="I101" s="91"/>
      <c r="J101" s="580"/>
    </row>
    <row r="102" spans="2:14" ht="14.25" thickBot="1">
      <c r="B102" s="13" t="str">
        <f>"##SET1 "&amp;D102&amp;REPT(" ",fill_1-LEN(D102))&amp;TEXT(E102,F102)&amp;REPT(" ",fill_2-LEN(TEXT(E102,F102)))&amp;"! ["&amp;G102&amp;"]"</f>
        <v>##SET1 CoolCoil_Water_Flow[]         0.050     ! [m3/s]</v>
      </c>
      <c r="D102" t="s">
        <v>412</v>
      </c>
      <c r="E102" s="625">
        <v>0.05</v>
      </c>
      <c r="F102" s="14" t="s">
        <v>151</v>
      </c>
      <c r="G102" s="32" t="s">
        <v>107</v>
      </c>
      <c r="I102" s="93" t="s">
        <v>3</v>
      </c>
      <c r="J102" s="635" t="s">
        <v>530</v>
      </c>
    </row>
    <row r="103" spans="2:14" ht="14.25" thickBot="1">
      <c r="B103" s="13" t="str">
        <f>"##SET1 "&amp;D103&amp;REPT(" ",fill_1-LEN(D103))&amp;TEXT(E103,F103)&amp;REPT(" ",fill_2-LEN(TEXT(E103,F103)))&amp;"! ["&amp;G103&amp;"]"</f>
        <v>##SET1 Whole_Floor_Breakdown[]       Yes       ! []</v>
      </c>
      <c r="D103" s="4" t="s">
        <v>516</v>
      </c>
      <c r="E103" s="625" t="str">
        <f>Whole_Floor_Breakdown</f>
        <v>Yes</v>
      </c>
      <c r="F103" s="14" t="s">
        <v>151</v>
      </c>
      <c r="G103" s="32"/>
      <c r="I103" s="92" t="s">
        <v>580</v>
      </c>
      <c r="J103" s="635" t="s">
        <v>1055</v>
      </c>
    </row>
    <row r="104" spans="2:14" ht="13.5">
      <c r="B104" s="13" t="str">
        <f>"##SET1 "&amp;D104&amp;REPT(" ",fill_1-LEN(D104))&amp;TEXT(E104,F104)&amp;REPT(" ",fill_2-LEN(TEXT(E104,F104)))&amp;"! ["&amp;G104&amp;"]"</f>
        <v>##SET1 Window_Shading[]              ALWAYSON  ! []</v>
      </c>
      <c r="D104" t="s">
        <v>157</v>
      </c>
      <c r="E104" s="623" t="str">
        <f>IF(J108="ON","ALWAYSON","ALWAYSOFF")</f>
        <v>ALWAYSON</v>
      </c>
      <c r="F104" s="14"/>
      <c r="G104" s="32"/>
      <c r="I104" s="20"/>
      <c r="J104" s="85"/>
    </row>
    <row r="105" spans="2:14" ht="13.5">
      <c r="B105" s="13"/>
      <c r="E105" s="34"/>
      <c r="F105" s="14"/>
      <c r="G105" s="32"/>
    </row>
    <row r="106" spans="2:14" ht="13.5">
      <c r="B106" s="13" t="str">
        <f t="shared" ref="B106:B123" si="10">"##SET1 "&amp;D106&amp;REPT(" ",fill_1-LEN(D106))&amp;TEXT(E106,F106)&amp;REPT(" ",fill_2-LEN(TEXT(E106,F106)))&amp;"! ["&amp;G106&amp;"]"</f>
        <v>##SET1 FSFan_UFAD_Min_Frac_GFEast[]  0.1340    ! [-]</v>
      </c>
      <c r="D106" s="581" t="s">
        <v>489</v>
      </c>
      <c r="E106" s="594">
        <v>0.13396094552849436</v>
      </c>
      <c r="F106" s="50" t="s">
        <v>152</v>
      </c>
      <c r="G106" s="32" t="s">
        <v>212</v>
      </c>
      <c r="I106" s="20"/>
      <c r="J106" s="85"/>
    </row>
    <row r="107" spans="2:14" ht="14.25" thickBot="1">
      <c r="B107" s="13" t="str">
        <f t="shared" si="10"/>
        <v>##SET1 FSFan_UFAD_Min_Frac_GFWest[]  0.1095    ! [-]</v>
      </c>
      <c r="D107" s="4" t="s">
        <v>490</v>
      </c>
      <c r="E107" s="594">
        <v>0.10947755309614489</v>
      </c>
      <c r="F107" s="50" t="s">
        <v>152</v>
      </c>
      <c r="G107" s="32" t="s">
        <v>212</v>
      </c>
      <c r="I107" s="95" t="s">
        <v>689</v>
      </c>
    </row>
    <row r="108" spans="2:14" ht="14.25" thickBot="1">
      <c r="B108" s="13" t="str">
        <f t="shared" si="10"/>
        <v>##SET1 FSFan_UFAD_Min_Frac_GFSouth[] 0.1631    ! [-]</v>
      </c>
      <c r="D108" s="4" t="s">
        <v>491</v>
      </c>
      <c r="E108" s="594">
        <v>0.16311146534114712</v>
      </c>
      <c r="F108" s="50" t="s">
        <v>152</v>
      </c>
      <c r="G108" s="32" t="s">
        <v>212</v>
      </c>
      <c r="I108" s="24" t="s">
        <v>156</v>
      </c>
      <c r="J108" s="630" t="s">
        <v>2540</v>
      </c>
    </row>
    <row r="109" spans="2:14" ht="13.5">
      <c r="B109" s="13" t="str">
        <f t="shared" si="10"/>
        <v>##SET1 FSFan_UFAD_Min_Frac_GFNorth[] 0.1921    ! [-]</v>
      </c>
      <c r="D109" s="4" t="s">
        <v>492</v>
      </c>
      <c r="E109" s="594">
        <v>0.19208113679362607</v>
      </c>
      <c r="F109" s="50" t="s">
        <v>152</v>
      </c>
      <c r="G109" s="32" t="s">
        <v>212</v>
      </c>
      <c r="I109" s="86"/>
      <c r="J109" s="87"/>
      <c r="K109" s="2" t="s">
        <v>696</v>
      </c>
    </row>
    <row r="110" spans="2:14" ht="13.5">
      <c r="B110" s="13" t="str">
        <f t="shared" si="10"/>
        <v>##SET1 FSFan_UFAD_Min_Frac_MFEast[]  0.0712    ! [-]</v>
      </c>
      <c r="D110" s="4" t="s">
        <v>493</v>
      </c>
      <c r="E110" s="594">
        <v>7.1194345610964452E-2</v>
      </c>
      <c r="F110" s="50" t="s">
        <v>152</v>
      </c>
      <c r="G110" s="32" t="s">
        <v>212</v>
      </c>
      <c r="I110" s="567" t="s">
        <v>977</v>
      </c>
      <c r="J110" s="87"/>
    </row>
    <row r="111" spans="2:14" ht="15">
      <c r="B111" s="13" t="str">
        <f t="shared" si="10"/>
        <v>##SET1 FSFan_UFAD_Min_Frac_MFWest[]  0.0715    ! [-]</v>
      </c>
      <c r="D111" s="4" t="s">
        <v>494</v>
      </c>
      <c r="E111" s="594">
        <v>7.1478227566818514E-2</v>
      </c>
      <c r="F111" s="50" t="s">
        <v>152</v>
      </c>
      <c r="G111" s="32" t="s">
        <v>212</v>
      </c>
      <c r="I111" s="574" t="s">
        <v>1000</v>
      </c>
      <c r="J111" s="573" t="s">
        <v>990</v>
      </c>
      <c r="K111" s="20"/>
    </row>
    <row r="112" spans="2:14" ht="15">
      <c r="B112" s="13" t="str">
        <f t="shared" si="10"/>
        <v>##SET1 FSFan_UFAD_Min_Frac_MFSouth[] 0.0683    ! [-]</v>
      </c>
      <c r="D112" s="4" t="s">
        <v>495</v>
      </c>
      <c r="E112" s="594">
        <v>6.8294637927390864E-2</v>
      </c>
      <c r="F112" s="50" t="s">
        <v>152</v>
      </c>
      <c r="G112" s="32" t="s">
        <v>212</v>
      </c>
      <c r="I112" s="574" t="s">
        <v>999</v>
      </c>
      <c r="J112" s="573" t="s">
        <v>992</v>
      </c>
      <c r="K112" s="1"/>
      <c r="M112" s="576" t="s">
        <v>1014</v>
      </c>
      <c r="N112" s="576"/>
    </row>
    <row r="113" spans="2:14" ht="15">
      <c r="B113" s="13" t="str">
        <f t="shared" si="10"/>
        <v>##SET1 FSFan_UFAD_Min_Frac_MFNorth[] 0.1027    ! [-]</v>
      </c>
      <c r="D113" s="4" t="s">
        <v>496</v>
      </c>
      <c r="E113" s="594">
        <v>0.10268646570435966</v>
      </c>
      <c r="F113" s="50" t="s">
        <v>152</v>
      </c>
      <c r="G113" s="32" t="s">
        <v>212</v>
      </c>
      <c r="I113" s="574" t="s">
        <v>997</v>
      </c>
      <c r="J113" s="573" t="s">
        <v>985</v>
      </c>
      <c r="K113" s="1"/>
      <c r="M113" s="576" t="s">
        <v>987</v>
      </c>
      <c r="N113" s="576" t="s">
        <v>988</v>
      </c>
    </row>
    <row r="114" spans="2:14" ht="15">
      <c r="B114" s="13" t="str">
        <f t="shared" si="10"/>
        <v>##SET1 FSFan_UFAD_Min_Frac_TFEast[]  0.0668    ! [-]</v>
      </c>
      <c r="D114" s="4" t="s">
        <v>497</v>
      </c>
      <c r="E114" s="594">
        <v>6.682601293183954E-2</v>
      </c>
      <c r="F114" s="50" t="s">
        <v>152</v>
      </c>
      <c r="G114" s="32" t="s">
        <v>212</v>
      </c>
      <c r="I114" s="574" t="s">
        <v>998</v>
      </c>
      <c r="J114" s="573" t="s">
        <v>986</v>
      </c>
      <c r="M114" s="577" t="s">
        <v>990</v>
      </c>
      <c r="N114" s="576"/>
    </row>
    <row r="115" spans="2:14" ht="15">
      <c r="B115" s="13" t="str">
        <f t="shared" si="10"/>
        <v>##SET1 FSFan_UFAD_Min_Frac_TFWest[]  0.0661    ! [-]</v>
      </c>
      <c r="D115" s="4" t="s">
        <v>498</v>
      </c>
      <c r="E115" s="594">
        <v>6.6080929985154066E-2</v>
      </c>
      <c r="F115" s="50" t="s">
        <v>152</v>
      </c>
      <c r="G115" s="32" t="s">
        <v>212</v>
      </c>
      <c r="I115" s="574" t="s">
        <v>995</v>
      </c>
      <c r="J115" s="573">
        <v>1</v>
      </c>
      <c r="K115" s="32"/>
      <c r="M115" s="576" t="s">
        <v>992</v>
      </c>
      <c r="N115" s="576"/>
    </row>
    <row r="116" spans="2:14" ht="15">
      <c r="B116" s="13" t="str">
        <f t="shared" si="10"/>
        <v>##SET1 FSFan_UFAD_Min_Frac_TFSouth[] 0.0589    ! [-]</v>
      </c>
      <c r="D116" s="4" t="s">
        <v>499</v>
      </c>
      <c r="E116" s="594">
        <v>5.8949055895221592E-2</v>
      </c>
      <c r="F116" s="50" t="s">
        <v>152</v>
      </c>
      <c r="G116" s="32" t="s">
        <v>212</v>
      </c>
      <c r="I116" s="575" t="s">
        <v>1022</v>
      </c>
      <c r="J116" s="573">
        <v>1.0999999999999999E-2</v>
      </c>
      <c r="K116" s="1"/>
      <c r="M116" s="576" t="s">
        <v>985</v>
      </c>
      <c r="N116" s="576"/>
    </row>
    <row r="117" spans="2:14" ht="15">
      <c r="B117" s="13" t="str">
        <f t="shared" si="10"/>
        <v>##SET1 FSFan_UFAD_Min_Frac_TFNorth[] 0.0948    ! [-]</v>
      </c>
      <c r="D117" s="4" t="s">
        <v>500</v>
      </c>
      <c r="E117" s="594">
        <v>9.480817348466887E-2</v>
      </c>
      <c r="F117" s="50" t="s">
        <v>152</v>
      </c>
      <c r="G117" s="32" t="s">
        <v>212</v>
      </c>
      <c r="I117" s="575" t="s">
        <v>1006</v>
      </c>
      <c r="J117" s="573" t="s">
        <v>1034</v>
      </c>
      <c r="K117" s="20"/>
      <c r="M117" s="576" t="s">
        <v>986</v>
      </c>
      <c r="N117" s="576"/>
    </row>
    <row r="118" spans="2:14" ht="15">
      <c r="B118" s="13" t="str">
        <f t="shared" si="10"/>
        <v>##SET1 FSFan_UFAD_Min_Frac_GFCore[]  0.0664    ! [-]</v>
      </c>
      <c r="D118" s="4" t="s">
        <v>503</v>
      </c>
      <c r="E118" s="594">
        <v>6.6427524430271959E-2</v>
      </c>
      <c r="F118" s="50" t="s">
        <v>152</v>
      </c>
      <c r="G118" s="32" t="s">
        <v>212</v>
      </c>
      <c r="I118" s="575" t="s">
        <v>1005</v>
      </c>
      <c r="J118" s="573">
        <v>15</v>
      </c>
      <c r="K118" s="393"/>
      <c r="M118" s="576">
        <v>1</v>
      </c>
      <c r="N118" s="576"/>
    </row>
    <row r="119" spans="2:14" ht="15">
      <c r="B119" s="13" t="str">
        <f t="shared" si="10"/>
        <v>##SET1 FSFan_UFAD_Min_Frac_MFCore[]  0.0664    ! [-]</v>
      </c>
      <c r="D119" s="4" t="s">
        <v>504</v>
      </c>
      <c r="E119" s="594">
        <v>6.6427524430271959E-2</v>
      </c>
      <c r="F119" s="50" t="s">
        <v>152</v>
      </c>
      <c r="G119" s="32" t="s">
        <v>212</v>
      </c>
      <c r="I119" s="575" t="s">
        <v>1002</v>
      </c>
      <c r="J119" s="573">
        <v>21.5</v>
      </c>
      <c r="K119" s="358" t="s">
        <v>107</v>
      </c>
      <c r="M119">
        <v>8.9999999999999993E-3</v>
      </c>
      <c r="N119" s="576"/>
    </row>
    <row r="120" spans="2:14" ht="15">
      <c r="B120" s="13" t="str">
        <f t="shared" si="10"/>
        <v>##SET1 FSFan_UFAD_Min_Frac_TFCore[]  0.0664    ! [-]</v>
      </c>
      <c r="D120" s="4" t="s">
        <v>505</v>
      </c>
      <c r="E120" s="594">
        <v>6.6427524430271959E-2</v>
      </c>
      <c r="F120" s="50" t="s">
        <v>152</v>
      </c>
      <c r="G120" s="32" t="s">
        <v>212</v>
      </c>
      <c r="I120" s="575" t="s">
        <v>1023</v>
      </c>
      <c r="J120" s="573" t="s">
        <v>1033</v>
      </c>
      <c r="K120" s="393"/>
      <c r="M120" s="576" t="s">
        <v>1001</v>
      </c>
      <c r="N120" s="577"/>
    </row>
    <row r="121" spans="2:14" ht="15">
      <c r="B121" s="13" t="str">
        <f t="shared" si="10"/>
        <v>##SET1 FSFan_UFAD_Min_Frac_GFServ[]  0.0500    ! [-]</v>
      </c>
      <c r="D121" s="4" t="s">
        <v>506</v>
      </c>
      <c r="E121" s="34">
        <f>IF(Recirculation="Min_OSA",0.05,Recirculation)</f>
        <v>0.05</v>
      </c>
      <c r="F121" s="50" t="s">
        <v>152</v>
      </c>
      <c r="G121" s="32" t="s">
        <v>212</v>
      </c>
      <c r="I121" s="575" t="s">
        <v>1003</v>
      </c>
      <c r="J121" s="573">
        <v>19.5</v>
      </c>
      <c r="M121" s="587" t="s">
        <v>1028</v>
      </c>
      <c r="N121" s="577"/>
    </row>
    <row r="122" spans="2:14" ht="15">
      <c r="B122" s="13" t="str">
        <f t="shared" si="10"/>
        <v>##SET1 FSFan_UFAD_Min_Frac_MFServ[]  0.0500    ! [-]</v>
      </c>
      <c r="D122" s="4" t="s">
        <v>507</v>
      </c>
      <c r="E122" s="34">
        <f>IF(Recirculation="Min_OSA",0.05,Recirculation)</f>
        <v>0.05</v>
      </c>
      <c r="F122" s="50" t="s">
        <v>152</v>
      </c>
      <c r="G122" s="32" t="s">
        <v>212</v>
      </c>
      <c r="I122" s="575" t="s">
        <v>1004</v>
      </c>
      <c r="J122" s="573" t="s">
        <v>1033</v>
      </c>
      <c r="M122" s="587" t="s">
        <v>1025</v>
      </c>
      <c r="N122" s="576"/>
    </row>
    <row r="123" spans="2:14" ht="15">
      <c r="B123" s="13" t="str">
        <f t="shared" si="10"/>
        <v>##SET1 FSFan_UFAD_Min_Frac_TFServ[]  0.0500    ! [-]</v>
      </c>
      <c r="D123" s="4" t="s">
        <v>508</v>
      </c>
      <c r="E123" s="34">
        <f>IF(Recirculation="Min_OSA",0.05,Recirculation)</f>
        <v>0.05</v>
      </c>
      <c r="F123" s="50" t="s">
        <v>152</v>
      </c>
      <c r="G123" s="32" t="s">
        <v>212</v>
      </c>
      <c r="I123" s="575" t="s">
        <v>1026</v>
      </c>
      <c r="J123" s="573" t="s">
        <v>487</v>
      </c>
      <c r="M123">
        <v>26</v>
      </c>
      <c r="N123" s="576"/>
    </row>
    <row r="124" spans="2:14" ht="15">
      <c r="B124" s="13"/>
      <c r="D124" s="4"/>
      <c r="E124" s="34"/>
      <c r="F124" s="50"/>
      <c r="G124" s="32"/>
      <c r="I124" s="586" t="s">
        <v>1027</v>
      </c>
      <c r="J124" s="573" t="s">
        <v>1024</v>
      </c>
      <c r="K124" s="393"/>
      <c r="M124" s="576">
        <v>19.5</v>
      </c>
      <c r="N124" s="576"/>
    </row>
    <row r="125" spans="2:14" ht="15">
      <c r="B125" s="13" t="str">
        <f>"##SET1 "&amp;D125&amp;REPT(" ",fill_1-LEN(D125))&amp;TEXT(E125,F125)&amp;REPT(" ",20-LEN(TEXT(E125,F125)))&amp;"! ["&amp;G125&amp;"]"</f>
        <v>##SET1 Chiller_Model_Type[]          CBE_RegularEIR      ! [-]</v>
      </c>
      <c r="D125" s="4" t="s">
        <v>576</v>
      </c>
      <c r="E125" s="623" t="str">
        <f>Q35</f>
        <v>CBE_RegularEIR</v>
      </c>
      <c r="F125" s="14" t="s">
        <v>152</v>
      </c>
      <c r="G125" s="32" t="s">
        <v>212</v>
      </c>
      <c r="I125" s="586" t="s">
        <v>1029</v>
      </c>
      <c r="J125" s="573" t="s">
        <v>488</v>
      </c>
      <c r="K125" s="578" t="s">
        <v>1015</v>
      </c>
      <c r="M125" s="576">
        <v>23</v>
      </c>
      <c r="N125" s="576"/>
    </row>
    <row r="126" spans="2:14" ht="15">
      <c r="B126" s="13"/>
      <c r="D126" s="4"/>
      <c r="E126" s="34"/>
      <c r="F126" s="14"/>
      <c r="G126" s="32"/>
      <c r="I126" s="574"/>
      <c r="J126" s="573"/>
      <c r="M126" s="581" t="s">
        <v>487</v>
      </c>
    </row>
    <row r="127" spans="2:14" ht="15">
      <c r="B127" s="13" t="str">
        <f t="shared" ref="B127:B144" si="11">"##SET1 "&amp;D127&amp;REPT(" ",fill_1-LEN(D127))&amp;TEXT(E127,F127)&amp;REPT(" ",fill_2-LEN(TEXT(E127,F127)))&amp;"! ["&amp;G127&amp;"]"</f>
        <v>##SET1 FSFan_Max_CoolingAir_GFEast[] 0.7964    ! [-]</v>
      </c>
      <c r="D127" s="581" t="s">
        <v>532</v>
      </c>
      <c r="E127" s="594">
        <v>0.79644897650881075</v>
      </c>
      <c r="F127" s="50" t="s">
        <v>152</v>
      </c>
      <c r="G127" s="32" t="s">
        <v>212</v>
      </c>
      <c r="I127" s="574"/>
      <c r="J127" s="573"/>
      <c r="M127" t="s">
        <v>1024</v>
      </c>
    </row>
    <row r="128" spans="2:14" ht="15">
      <c r="B128" s="13" t="str">
        <f t="shared" si="11"/>
        <v>##SET1 FSFan_Max_CoolingAir_GFWest[] 0.9746    ! [-]</v>
      </c>
      <c r="D128" s="4" t="s">
        <v>533</v>
      </c>
      <c r="E128" s="594">
        <v>0.97456560674700476</v>
      </c>
      <c r="F128" s="50" t="s">
        <v>152</v>
      </c>
      <c r="G128" s="32" t="s">
        <v>212</v>
      </c>
      <c r="I128" s="575"/>
      <c r="J128" s="573"/>
    </row>
    <row r="129" spans="2:10" ht="15">
      <c r="B129" s="13" t="str">
        <f t="shared" si="11"/>
        <v>##SET1 FSFan_Max_CoolingAir_GFSouth[]autosize  ! [-]</v>
      </c>
      <c r="D129" s="4" t="s">
        <v>534</v>
      </c>
      <c r="E129" s="623" t="s">
        <v>550</v>
      </c>
      <c r="F129" s="50" t="s">
        <v>152</v>
      </c>
      <c r="G129" s="32" t="s">
        <v>212</v>
      </c>
      <c r="I129" s="575"/>
      <c r="J129" s="573"/>
    </row>
    <row r="130" spans="2:10" ht="15">
      <c r="B130" s="13" t="str">
        <f t="shared" si="11"/>
        <v>##SET1 FSFan_Max_CoolingAir_GFNorth[]0.8747    ! [-]</v>
      </c>
      <c r="D130" s="4" t="s">
        <v>535</v>
      </c>
      <c r="E130" s="594">
        <v>0.87465543002219748</v>
      </c>
      <c r="F130" s="50" t="s">
        <v>152</v>
      </c>
      <c r="G130" s="32" t="s">
        <v>212</v>
      </c>
      <c r="I130" s="575"/>
      <c r="J130" s="573"/>
    </row>
    <row r="131" spans="2:10" ht="15">
      <c r="B131" s="13" t="str">
        <f t="shared" si="11"/>
        <v>##SET1 FSFan_Max_CoolingAir_MFEast[] 1.4986    ! [-]</v>
      </c>
      <c r="D131" s="4" t="s">
        <v>536</v>
      </c>
      <c r="E131" s="594">
        <v>1.4986170185668559</v>
      </c>
      <c r="F131" s="50" t="s">
        <v>152</v>
      </c>
      <c r="G131" s="32" t="s">
        <v>212</v>
      </c>
      <c r="I131" s="575"/>
      <c r="J131" s="573"/>
    </row>
    <row r="132" spans="2:10" ht="15">
      <c r="B132" s="13" t="str">
        <f t="shared" si="11"/>
        <v>##SET1 FSFan_Max_CoolingAir_MFWest[] 1.4927    ! [-]</v>
      </c>
      <c r="D132" s="4" t="s">
        <v>537</v>
      </c>
      <c r="E132" s="594">
        <v>1.4926651316106601</v>
      </c>
      <c r="F132" s="50" t="s">
        <v>152</v>
      </c>
      <c r="G132" s="32" t="s">
        <v>212</v>
      </c>
      <c r="I132" s="575"/>
      <c r="J132" s="573"/>
    </row>
    <row r="133" spans="2:10" ht="15">
      <c r="B133" s="13" t="str">
        <f t="shared" si="11"/>
        <v>##SET1 FSFan_Max_CoolingAir_MFSouth[]autosize  ! [-]</v>
      </c>
      <c r="D133" s="4" t="s">
        <v>538</v>
      </c>
      <c r="E133" s="623" t="s">
        <v>550</v>
      </c>
      <c r="F133" s="50" t="s">
        <v>152</v>
      </c>
      <c r="G133" s="32" t="s">
        <v>212</v>
      </c>
      <c r="I133" s="575"/>
      <c r="J133" s="573"/>
    </row>
    <row r="134" spans="2:10" ht="15">
      <c r="B134" s="13" t="str">
        <f t="shared" si="11"/>
        <v>##SET1 FSFan_Max_CoolingAir_MFNorth[]1.6361    ! [-]</v>
      </c>
      <c r="D134" s="4" t="s">
        <v>539</v>
      </c>
      <c r="E134" s="594">
        <v>1.6360949629435801</v>
      </c>
      <c r="F134" s="50" t="s">
        <v>152</v>
      </c>
      <c r="G134" s="32" t="s">
        <v>212</v>
      </c>
      <c r="I134" s="575"/>
      <c r="J134" s="573"/>
    </row>
    <row r="135" spans="2:10" ht="15">
      <c r="B135" s="13" t="str">
        <f t="shared" si="11"/>
        <v>##SET1 FSFan_Max_CoolingAir_TFEast[] 1.5966    ! [-]</v>
      </c>
      <c r="D135" s="4" t="s">
        <v>540</v>
      </c>
      <c r="E135" s="594">
        <v>1.596579734109612</v>
      </c>
      <c r="F135" s="50" t="s">
        <v>152</v>
      </c>
      <c r="G135" s="32" t="s">
        <v>212</v>
      </c>
      <c r="I135" s="575"/>
      <c r="J135" s="573"/>
    </row>
    <row r="136" spans="2:10" ht="15">
      <c r="B136" s="13" t="str">
        <f t="shared" si="11"/>
        <v>##SET1 FSFan_Max_CoolingAir_TFWest[] 1.6146    ! [-]</v>
      </c>
      <c r="D136" s="4" t="s">
        <v>541</v>
      </c>
      <c r="E136" s="594">
        <v>1.614581664971904</v>
      </c>
      <c r="F136" s="50" t="s">
        <v>152</v>
      </c>
      <c r="G136" s="32" t="s">
        <v>212</v>
      </c>
      <c r="I136" s="575"/>
      <c r="J136" s="573"/>
    </row>
    <row r="137" spans="2:10" ht="15">
      <c r="B137" s="13" t="str">
        <f t="shared" si="11"/>
        <v>##SET1 FSFan_Max_CoolingAir_TFSouth[]autosize  ! [-]</v>
      </c>
      <c r="D137" s="4" t="s">
        <v>542</v>
      </c>
      <c r="E137" s="623" t="s">
        <v>550</v>
      </c>
      <c r="F137" s="50" t="s">
        <v>152</v>
      </c>
      <c r="G137" s="32" t="s">
        <v>212</v>
      </c>
      <c r="I137" s="575"/>
      <c r="J137" s="573"/>
    </row>
    <row r="138" spans="2:10" ht="15">
      <c r="B138" s="13" t="str">
        <f t="shared" si="11"/>
        <v>##SET1 FSFan_Max_CoolingAir_TFNorth[]1.7720    ! [-]</v>
      </c>
      <c r="D138" s="4" t="s">
        <v>543</v>
      </c>
      <c r="E138" s="594">
        <v>1.7720498468262238</v>
      </c>
      <c r="F138" s="50" t="s">
        <v>152</v>
      </c>
      <c r="G138" s="32" t="s">
        <v>212</v>
      </c>
      <c r="I138" s="575"/>
      <c r="J138" s="573"/>
    </row>
    <row r="139" spans="2:10" ht="15">
      <c r="B139" s="13" t="str">
        <f t="shared" si="11"/>
        <v>##SET1 FSFan_Max_CoolingAir_GFCore[] 13.0433   ! [-]</v>
      </c>
      <c r="D139" s="4" t="s">
        <v>544</v>
      </c>
      <c r="E139" s="594">
        <v>13.043286510710759</v>
      </c>
      <c r="F139" s="50" t="s">
        <v>152</v>
      </c>
      <c r="G139" s="32" t="s">
        <v>212</v>
      </c>
      <c r="I139" s="575"/>
      <c r="J139" s="573"/>
    </row>
    <row r="140" spans="2:10" ht="15">
      <c r="B140" s="13" t="str">
        <f t="shared" si="11"/>
        <v>##SET1 FSFan_Max_CoolingAir_MFCore[] 13.0433   ! [-]</v>
      </c>
      <c r="D140" s="4" t="s">
        <v>545</v>
      </c>
      <c r="E140" s="594">
        <v>13.043286510710759</v>
      </c>
      <c r="F140" s="50" t="s">
        <v>152</v>
      </c>
      <c r="G140" s="32" t="s">
        <v>212</v>
      </c>
      <c r="I140" s="575"/>
      <c r="J140" s="573"/>
    </row>
    <row r="141" spans="2:10" ht="15">
      <c r="B141" s="13" t="str">
        <f t="shared" si="11"/>
        <v>##SET1 FSFan_Max_CoolingAir_TFCore[] 13.0433   ! [-]</v>
      </c>
      <c r="D141" s="4" t="s">
        <v>546</v>
      </c>
      <c r="E141" s="594">
        <v>13.043286510710759</v>
      </c>
      <c r="F141" s="50" t="s">
        <v>152</v>
      </c>
      <c r="G141" s="32" t="s">
        <v>212</v>
      </c>
      <c r="I141" s="575"/>
      <c r="J141" s="573"/>
    </row>
    <row r="142" spans="2:10" ht="15">
      <c r="B142" s="13" t="str">
        <f t="shared" si="11"/>
        <v>##SET1 FSFan_Max_CoolingAir_GFServ[] 0.0000    ! [-]</v>
      </c>
      <c r="D142" s="4" t="s">
        <v>547</v>
      </c>
      <c r="E142" s="623">
        <v>0</v>
      </c>
      <c r="F142" s="50" t="s">
        <v>152</v>
      </c>
      <c r="G142" s="32" t="s">
        <v>212</v>
      </c>
      <c r="I142" s="575"/>
      <c r="J142" s="573"/>
    </row>
    <row r="143" spans="2:10" ht="15">
      <c r="B143" s="13" t="str">
        <f t="shared" si="11"/>
        <v>##SET1 FSFan_Max_CoolingAir_MFServ[] 0.0000    ! [-]</v>
      </c>
      <c r="D143" s="4" t="s">
        <v>548</v>
      </c>
      <c r="E143" s="623">
        <v>0</v>
      </c>
      <c r="F143" s="50" t="s">
        <v>152</v>
      </c>
      <c r="G143" s="32" t="s">
        <v>212</v>
      </c>
      <c r="I143" s="575"/>
      <c r="J143" s="573"/>
    </row>
    <row r="144" spans="2:10" ht="13.5">
      <c r="B144" s="13" t="str">
        <f t="shared" si="11"/>
        <v>##SET1 FSFan_Max_CoolingAir_TFServ[] 0.0000    ! [-]</v>
      </c>
      <c r="D144" s="4" t="s">
        <v>549</v>
      </c>
      <c r="E144" s="623">
        <v>0</v>
      </c>
      <c r="F144" s="50" t="s">
        <v>152</v>
      </c>
      <c r="G144" s="32" t="s">
        <v>212</v>
      </c>
    </row>
    <row r="145" spans="2:10" ht="13.5">
      <c r="B145" s="13"/>
      <c r="D145" s="4"/>
      <c r="E145" s="34"/>
      <c r="F145" s="14"/>
      <c r="G145" s="32"/>
    </row>
    <row r="146" spans="2:10" ht="13.5">
      <c r="B146" s="13" t="str">
        <f t="shared" ref="B146:B157" si="12">"##SET1 "&amp;D146&amp;REPT(" ",fill_1-LEN(D146))&amp;TEXT(E146,F146)&amp;REPT(" ",fill_2-LEN(TEXT(E146,F146)))&amp;"! ["&amp;G146&amp;"]"</f>
        <v>##SET1 FSFan_Max_HeatingAir_GFEast[] autosize  ! []</v>
      </c>
      <c r="D146" s="4" t="s">
        <v>555</v>
      </c>
      <c r="E146" s="623" t="s">
        <v>550</v>
      </c>
      <c r="F146" s="50" t="s">
        <v>152</v>
      </c>
      <c r="G146" s="32"/>
    </row>
    <row r="147" spans="2:10" ht="13.5">
      <c r="B147" s="13" t="str">
        <f t="shared" si="12"/>
        <v>##SET1 FSFan_Max_HeatingAir_GFWest[] autosize  ! []</v>
      </c>
      <c r="D147" s="4" t="s">
        <v>556</v>
      </c>
      <c r="E147" s="623" t="s">
        <v>550</v>
      </c>
      <c r="F147" s="50" t="s">
        <v>152</v>
      </c>
      <c r="G147" s="32"/>
    </row>
    <row r="148" spans="2:10" ht="13.5">
      <c r="B148" s="13" t="str">
        <f t="shared" si="12"/>
        <v>##SET1 FSFan_Max_HeatingAir_GFSouth[]autosize  ! []</v>
      </c>
      <c r="D148" s="4" t="s">
        <v>557</v>
      </c>
      <c r="E148" s="623" t="s">
        <v>550</v>
      </c>
      <c r="F148" s="50" t="s">
        <v>152</v>
      </c>
      <c r="G148" s="32"/>
    </row>
    <row r="149" spans="2:10" ht="13.5">
      <c r="B149" s="13" t="str">
        <f t="shared" si="12"/>
        <v>##SET1 FSFan_Max_HeatingAir_GFNorth[]autosize  ! []</v>
      </c>
      <c r="D149" s="4" t="s">
        <v>558</v>
      </c>
      <c r="E149" s="623" t="s">
        <v>550</v>
      </c>
      <c r="F149" s="50" t="s">
        <v>152</v>
      </c>
      <c r="G149" s="32"/>
      <c r="I149" s="67"/>
      <c r="J149" s="67"/>
    </row>
    <row r="150" spans="2:10" ht="13.5">
      <c r="B150" s="13" t="str">
        <f t="shared" si="12"/>
        <v>##SET1 FSFan_Max_HeatingAir_MFEast[] autosize  ! []</v>
      </c>
      <c r="D150" s="4" t="s">
        <v>559</v>
      </c>
      <c r="E150" s="623" t="s">
        <v>550</v>
      </c>
      <c r="F150" s="50" t="s">
        <v>152</v>
      </c>
      <c r="G150" s="32"/>
    </row>
    <row r="151" spans="2:10" ht="13.5">
      <c r="B151" s="13" t="str">
        <f t="shared" si="12"/>
        <v>##SET1 FSFan_Max_HeatingAir_MFWest[] autosize  ! []</v>
      </c>
      <c r="D151" s="4" t="s">
        <v>560</v>
      </c>
      <c r="E151" s="623" t="s">
        <v>550</v>
      </c>
      <c r="F151" s="50" t="s">
        <v>152</v>
      </c>
      <c r="G151" s="32"/>
      <c r="I151" s="48"/>
    </row>
    <row r="152" spans="2:10" ht="13.5">
      <c r="B152" s="13" t="str">
        <f t="shared" si="12"/>
        <v>##SET1 FSFan_Max_HeatingAir_MFSouth[]autosize  ! []</v>
      </c>
      <c r="D152" s="4" t="s">
        <v>561</v>
      </c>
      <c r="E152" s="623" t="s">
        <v>550</v>
      </c>
      <c r="F152" s="50" t="s">
        <v>152</v>
      </c>
      <c r="G152" s="32"/>
      <c r="I152" s="48"/>
    </row>
    <row r="153" spans="2:10" ht="13.5">
      <c r="B153" s="13" t="str">
        <f t="shared" si="12"/>
        <v>##SET1 FSFan_Max_HeatingAir_MFNorth[]autosize  ! []</v>
      </c>
      <c r="D153" s="4" t="s">
        <v>562</v>
      </c>
      <c r="E153" s="623" t="s">
        <v>550</v>
      </c>
      <c r="F153" s="50" t="s">
        <v>152</v>
      </c>
      <c r="G153" s="32"/>
      <c r="I153" s="48"/>
    </row>
    <row r="154" spans="2:10" ht="13.5">
      <c r="B154" s="13" t="str">
        <f t="shared" si="12"/>
        <v>##SET1 FSFan_Max_HeatingAir_TFEast[] autosize  ! []</v>
      </c>
      <c r="D154" s="4" t="s">
        <v>563</v>
      </c>
      <c r="E154" s="623" t="s">
        <v>550</v>
      </c>
      <c r="F154" s="50" t="s">
        <v>152</v>
      </c>
      <c r="G154" s="32"/>
      <c r="I154" s="48"/>
    </row>
    <row r="155" spans="2:10" ht="13.5">
      <c r="B155" s="13" t="str">
        <f t="shared" si="12"/>
        <v>##SET1 FSFan_Max_HeatingAir_TFWest[] autosize  ! []</v>
      </c>
      <c r="D155" s="4" t="s">
        <v>564</v>
      </c>
      <c r="E155" s="623" t="s">
        <v>550</v>
      </c>
      <c r="F155" s="50" t="s">
        <v>152</v>
      </c>
      <c r="G155" s="32"/>
      <c r="I155" s="48"/>
    </row>
    <row r="156" spans="2:10" ht="13.5">
      <c r="B156" s="13" t="str">
        <f t="shared" si="12"/>
        <v>##SET1 FSFan_Max_HeatingAir_TFSouth[]autosize  ! []</v>
      </c>
      <c r="D156" s="4" t="s">
        <v>565</v>
      </c>
      <c r="E156" s="623" t="s">
        <v>550</v>
      </c>
      <c r="F156" s="50" t="s">
        <v>152</v>
      </c>
      <c r="G156" s="32"/>
      <c r="I156" s="48"/>
    </row>
    <row r="157" spans="2:10" ht="13.5">
      <c r="B157" s="13" t="str">
        <f t="shared" si="12"/>
        <v>##SET1 FSFan_Max_HeatingAir_TFNorth[]autosize  ! []</v>
      </c>
      <c r="D157" s="4" t="s">
        <v>566</v>
      </c>
      <c r="E157" s="623" t="s">
        <v>550</v>
      </c>
      <c r="F157" s="50" t="s">
        <v>152</v>
      </c>
      <c r="G157" s="32"/>
    </row>
    <row r="158" spans="2:10" ht="13.5">
      <c r="B158" s="13"/>
      <c r="D158" s="4"/>
      <c r="E158" s="34"/>
      <c r="F158" s="14"/>
      <c r="G158" s="32"/>
    </row>
    <row r="159" spans="2:10" ht="13.5">
      <c r="B159" s="13" t="str">
        <f>"##SET1 "&amp;D159&amp;REPT(" ",fill_1-LEN(D159))&amp;TEXT(E159,F159)&amp;REPT(" ",20-LEN(TEXT(E159,F159)))&amp;"  ! ["&amp;G159&amp;"]"</f>
        <v>##SET1 BoilerEfficiencyCurve[]       BoilerEfficiency      ! []</v>
      </c>
      <c r="D159" s="358" t="s">
        <v>983</v>
      </c>
      <c r="E159" s="626" t="s">
        <v>980</v>
      </c>
      <c r="F159" s="68"/>
      <c r="G159" s="566"/>
    </row>
    <row r="160" spans="2:10" ht="13.5">
      <c r="B160" s="13" t="str">
        <f>"##SET1 "&amp;D160&amp;REPT(" ",fill_1-LEN(D160))&amp;TEXT(E160,F160)&amp;REPT(" ",20-LEN(TEXT(E160,F160)))&amp;"  ! ["&amp;G160&amp;"]"</f>
        <v>##SET1 BoilerFirstStageRatio[]       0.500                 ! []</v>
      </c>
      <c r="D160" s="358" t="s">
        <v>981</v>
      </c>
      <c r="E160" s="626">
        <f>J53</f>
        <v>0.5</v>
      </c>
      <c r="F160" s="568" t="s">
        <v>151</v>
      </c>
      <c r="G160" s="566"/>
    </row>
    <row r="161" spans="2:7" ht="13.5">
      <c r="B161" s="13" t="str">
        <f>"##SET1 "&amp;D161&amp;REPT(" ",fill_1-LEN(D161))&amp;TEXT(E161,F161)&amp;REPT(" ",fill_2-LEN(TEXT(E161,F161)))&amp;"! ["&amp;G161&amp;"]"</f>
        <v>##SET1 Boiler_Capacity[]             42358.7   ! [W]</v>
      </c>
      <c r="D161" s="4" t="s">
        <v>551</v>
      </c>
      <c r="E161" s="595">
        <v>42358.687543691252</v>
      </c>
      <c r="F161" s="50" t="s">
        <v>162</v>
      </c>
      <c r="G161" s="64" t="s">
        <v>232</v>
      </c>
    </row>
    <row r="162" spans="2:7" ht="13.5">
      <c r="B162" s="13" t="str">
        <f>"##SET1 "&amp;D162&amp;REPT(" ",fill_1-LEN(D162))&amp;TEXT(E162,F162)&amp;REPT(" ",fill_2-LEN(TEXT(E162,F162)))&amp;"! ["&amp;G162&amp;"]"</f>
        <v>##SET1 Boiler2_Capacity[]            42358.7   ! [W]</v>
      </c>
      <c r="D162" s="358" t="s">
        <v>982</v>
      </c>
      <c r="E162" s="595">
        <v>42358.687543691252</v>
      </c>
      <c r="F162" s="50" t="s">
        <v>162</v>
      </c>
      <c r="G162" s="64" t="s">
        <v>232</v>
      </c>
    </row>
    <row r="163" spans="2:7" ht="13.5">
      <c r="B163" s="13" t="str">
        <f>"##SET1 "&amp;D163&amp;REPT(" ",fill_1-LEN(D163))&amp;TEXT(E163,F163)&amp;REPT(" ",fill_2-LEN(TEXT(E163,F163)))&amp;"! ["&amp;G163&amp;"]"</f>
        <v>##SET1 Chiller_Capacity[]            413184.2  ! [W]</v>
      </c>
      <c r="D163" s="4" t="s">
        <v>552</v>
      </c>
      <c r="E163" s="595">
        <v>413184.15448910161</v>
      </c>
      <c r="F163" s="50" t="s">
        <v>162</v>
      </c>
      <c r="G163" s="64" t="s">
        <v>232</v>
      </c>
    </row>
    <row r="164" spans="2:7" ht="13.5">
      <c r="B164" s="13"/>
      <c r="D164" s="4"/>
      <c r="E164" s="48"/>
      <c r="F164" s="14"/>
      <c r="G164" s="32"/>
    </row>
    <row r="165" spans="2:7" ht="13.5">
      <c r="B165" s="13" t="str">
        <f>"##SET1 "&amp;D165&amp;REPT(" ",fill_1-LEN(D165))&amp;TEXT(E165,F165)&amp;REPT(" ",fill_2-LEN(TEXT(E165,F165)))&amp;"! ["&amp;G165&amp;"]"</f>
        <v>##SET1 Central_SupplyFan_MaxFlow[]   41.375    ! [m3/s]</v>
      </c>
      <c r="D165" s="4" t="s">
        <v>567</v>
      </c>
      <c r="E165" s="594">
        <v>41.375043872232474</v>
      </c>
      <c r="F165" s="50" t="s">
        <v>151</v>
      </c>
      <c r="G165" s="64" t="s">
        <v>107</v>
      </c>
    </row>
    <row r="166" spans="2:7" ht="13.5">
      <c r="B166" s="13" t="str">
        <f>"##SET1 "&amp;D166&amp;REPT(" ",fill_1-LEN(D166))&amp;TEXT(E166,F166)&amp;REPT(" ",fill_2-LEN(TEXT(E166,F166)))&amp;"! ["&amp;G166&amp;"]"</f>
        <v>##SET1 Central_ReturnFan_MaxFlow[]   41.375    ! [m3/s]</v>
      </c>
      <c r="D166" s="4" t="s">
        <v>568</v>
      </c>
      <c r="E166" s="594">
        <v>41.375043872232474</v>
      </c>
      <c r="F166" s="50" t="s">
        <v>151</v>
      </c>
      <c r="G166" s="64" t="s">
        <v>107</v>
      </c>
    </row>
    <row r="167" spans="2:7">
      <c r="G167" s="32"/>
    </row>
    <row r="168" spans="2:7" ht="13.5">
      <c r="B168" s="13" t="str">
        <f>"##SET1 "&amp;D168&amp;REPT(" ",fill_1-LEN(D168))&amp;TEXT(E168,F168)&amp;REPT(" ",fill_2-LEN(TEXT(E168,F168)))&amp;"! ["&amp;I155&amp;"]"</f>
        <v>##SET1 HW_Pump_MaxFlow[]             autosize  ! []</v>
      </c>
      <c r="D168" s="4" t="s">
        <v>553</v>
      </c>
      <c r="E168" s="623" t="s">
        <v>550</v>
      </c>
      <c r="F168" s="50" t="s">
        <v>570</v>
      </c>
    </row>
    <row r="169" spans="2:7" ht="13.5">
      <c r="B169" s="13" t="str">
        <f>"##SET1 "&amp;D169&amp;REPT(" ",fill_1-LEN(D169))&amp;TEXT(E169,F169)&amp;REPT(" ",fill_2-LEN(TEXT(E169,F169)))&amp;"! ["&amp;I156&amp;"]"</f>
        <v>##SET1 ChW_Pump_MaxFlow[]            0.016200  ! []</v>
      </c>
      <c r="D169" s="4" t="s">
        <v>554</v>
      </c>
      <c r="E169" s="594">
        <v>1.6199999999999999E-2</v>
      </c>
      <c r="F169" s="50" t="s">
        <v>570</v>
      </c>
    </row>
    <row r="170" spans="2:7" ht="13.5">
      <c r="B170" s="13" t="str">
        <f>"##SET1 "&amp;D170&amp;REPT(" ",fill_1-LEN(D170))&amp;TEXT(E170,F170)&amp;REPT(" ",fill_2-LEN(TEXT(E170,F170)))&amp;"! ["&amp;G167&amp;"]"</f>
        <v>##SET1 Condenser_Pump_MaxFlow[]      autosize  ! []</v>
      </c>
      <c r="D170" s="4" t="s">
        <v>569</v>
      </c>
      <c r="E170" s="623" t="s">
        <v>550</v>
      </c>
      <c r="F170" s="50" t="s">
        <v>570</v>
      </c>
      <c r="G170" s="32"/>
    </row>
    <row r="171" spans="2:7" ht="13.5">
      <c r="B171" s="13"/>
      <c r="D171" s="4"/>
      <c r="E171" s="34"/>
      <c r="F171" s="50"/>
      <c r="G171" s="32"/>
    </row>
    <row r="172" spans="2:7" ht="13.5">
      <c r="B172" s="13" t="str">
        <f t="shared" ref="B172:B183" si="13">"##SET1 "&amp;D172&amp;REPT(" ",fill_1-LEN(D172))&amp;TEXT(E172,F172)&amp;REPT(" ",fill_2-LEN(TEXT(E172,F172)))&amp;"! ["&amp;G172&amp;"]"</f>
        <v>##SET1 GF_Height[]                   3.1491    ! [-]</v>
      </c>
      <c r="D172" s="4" t="s">
        <v>583</v>
      </c>
      <c r="E172" s="623">
        <f>IF(Ceiling_Height="High",3.9624,3.1491)</f>
        <v>3.1490999999999998</v>
      </c>
      <c r="F172" s="50" t="s">
        <v>152</v>
      </c>
      <c r="G172" s="32" t="s">
        <v>212</v>
      </c>
    </row>
    <row r="173" spans="2:7" ht="13.5">
      <c r="B173" s="13" t="str">
        <f t="shared" si="13"/>
        <v>##SET1 MFSP_Height[]                 3.5550    ! [-]</v>
      </c>
      <c r="D173" s="4" t="s">
        <v>584</v>
      </c>
      <c r="E173" s="623">
        <f>IF(Ceiling_Height="High",4.3683,3.555)</f>
        <v>3.5550000000000002</v>
      </c>
      <c r="F173" s="50" t="s">
        <v>152</v>
      </c>
      <c r="G173" s="32" t="s">
        <v>212</v>
      </c>
    </row>
    <row r="174" spans="2:7" ht="13.5">
      <c r="B174" s="13" t="str">
        <f t="shared" si="13"/>
        <v>##SET1 MF_Height[]                   6.2982    ! [-]</v>
      </c>
      <c r="D174" s="4" t="s">
        <v>585</v>
      </c>
      <c r="E174" s="623">
        <f>IF(Ceiling_Height="High",7.9248,6.2982)</f>
        <v>6.2981999999999996</v>
      </c>
      <c r="F174" s="50" t="s">
        <v>152</v>
      </c>
      <c r="G174" s="32" t="s">
        <v>212</v>
      </c>
    </row>
    <row r="175" spans="2:7" ht="13.5">
      <c r="B175" s="13" t="str">
        <f t="shared" si="13"/>
        <v>##SET1 TFSP_Height[]                 6.7041    ! [-]</v>
      </c>
      <c r="D175" s="4" t="s">
        <v>586</v>
      </c>
      <c r="E175" s="623">
        <f>IF(Ceiling_Height="High",8.3307,6.7041)</f>
        <v>6.7041000000000004</v>
      </c>
      <c r="F175" s="50" t="s">
        <v>152</v>
      </c>
      <c r="G175" s="32" t="s">
        <v>212</v>
      </c>
    </row>
    <row r="176" spans="2:7" ht="13.5">
      <c r="B176" s="13" t="str">
        <f t="shared" si="13"/>
        <v>##SET1 TF_Height[]                   9.4473    ! [-]</v>
      </c>
      <c r="D176" s="4" t="s">
        <v>587</v>
      </c>
      <c r="E176" s="623">
        <f>IF(Ceiling_Height="High",11.8872,9.4473)</f>
        <v>9.4473000000000003</v>
      </c>
      <c r="F176" s="50" t="s">
        <v>152</v>
      </c>
      <c r="G176" s="32" t="s">
        <v>212</v>
      </c>
    </row>
    <row r="177" spans="2:9" ht="13.5">
      <c r="B177" s="13" t="str">
        <f t="shared" si="13"/>
        <v>##SET1 Radiant_Window_Height_GF[]    1.9135    ! [m]</v>
      </c>
      <c r="D177" s="4" t="s">
        <v>588</v>
      </c>
      <c r="E177" s="623">
        <f>0.4059+0.2+((3.9624-0)*WWR_value)</f>
        <v>1.9134920000000002</v>
      </c>
      <c r="F177" s="14" t="s">
        <v>152</v>
      </c>
      <c r="G177" s="32" t="s">
        <v>236</v>
      </c>
    </row>
    <row r="178" spans="2:9" ht="13.5">
      <c r="B178" s="13" t="str">
        <f t="shared" si="13"/>
        <v>##SET1 Radiant_Window_Height_MF[]    5.1626    ! [m]</v>
      </c>
      <c r="D178" s="4" t="s">
        <v>589</v>
      </c>
      <c r="E178" s="623">
        <f>E173+0.3+((7.9248-3.9624)*WWR_value)</f>
        <v>5.1625920000000001</v>
      </c>
      <c r="F178" s="14" t="s">
        <v>152</v>
      </c>
      <c r="G178" s="32" t="s">
        <v>236</v>
      </c>
    </row>
    <row r="179" spans="2:9" ht="13.5">
      <c r="B179" s="13" t="str">
        <f t="shared" si="13"/>
        <v>##SET1 Radiant_Window_Height_TF[]    8.3117    ! [m]</v>
      </c>
      <c r="D179" s="4" t="s">
        <v>590</v>
      </c>
      <c r="E179" s="623">
        <f>E175+0.3+((11.8872-7.9248)*WWR_value)</f>
        <v>8.3116920000000007</v>
      </c>
      <c r="F179" s="14" t="s">
        <v>152</v>
      </c>
      <c r="G179" s="32" t="s">
        <v>236</v>
      </c>
    </row>
    <row r="180" spans="2:9" ht="13.5">
      <c r="B180" s="13" t="str">
        <f t="shared" si="13"/>
        <v>##SET1 Tubing_Position[]             0.5000    ! [m]</v>
      </c>
      <c r="D180" s="4" t="s">
        <v>591</v>
      </c>
      <c r="E180" s="623">
        <v>0.5</v>
      </c>
      <c r="F180" s="14" t="s">
        <v>152</v>
      </c>
      <c r="G180" s="32" t="s">
        <v>236</v>
      </c>
    </row>
    <row r="181" spans="2:9" ht="13.5">
      <c r="B181" s="13" t="str">
        <f t="shared" si="13"/>
        <v>##SET1 Radiant_Calc_Dimension[]      1.0000    ! [m]</v>
      </c>
      <c r="D181" s="4" t="s">
        <v>592</v>
      </c>
      <c r="E181" s="623">
        <v>1</v>
      </c>
      <c r="F181" s="14" t="s">
        <v>152</v>
      </c>
      <c r="G181" s="32" t="s">
        <v>236</v>
      </c>
    </row>
    <row r="182" spans="2:9" ht="13.5">
      <c r="B182" s="13" t="str">
        <f t="shared" si="13"/>
        <v>##SET1 Tube_Spacing[]                0.1500    ! [m]</v>
      </c>
      <c r="D182" s="4" t="s">
        <v>593</v>
      </c>
      <c r="E182" s="623">
        <v>0.15</v>
      </c>
      <c r="F182" s="14" t="s">
        <v>152</v>
      </c>
      <c r="G182" s="32" t="s">
        <v>236</v>
      </c>
    </row>
    <row r="183" spans="2:9" ht="13.5">
      <c r="B183" s="13" t="str">
        <f t="shared" si="13"/>
        <v>##SET1 Tubing_Inside_Diameter[]      0.0120    ! [m]</v>
      </c>
      <c r="D183" s="4" t="s">
        <v>594</v>
      </c>
      <c r="E183" s="623">
        <v>1.2E-2</v>
      </c>
      <c r="F183" s="14" t="s">
        <v>152</v>
      </c>
      <c r="G183" s="32" t="s">
        <v>236</v>
      </c>
    </row>
    <row r="184" spans="2:9" ht="13.5">
      <c r="B184" s="13" t="str">
        <f>"##SET1 "&amp;D184&amp;REPT(" ",35-LEN(D184))&amp;TEXT(E184,F184)&amp;REPT(" ",15-LEN(TEXT(E184,F184)))&amp;"! ["&amp;G184&amp;"]"</f>
        <v>##SET1 Internal_Calculation_Variable[]    7.6667         ! [m]</v>
      </c>
      <c r="D184" s="4" t="s">
        <v>595</v>
      </c>
      <c r="E184" s="623">
        <f>1/E182+1</f>
        <v>7.666666666666667</v>
      </c>
      <c r="F184" s="14" t="s">
        <v>152</v>
      </c>
      <c r="G184" s="32" t="s">
        <v>236</v>
      </c>
    </row>
    <row r="185" spans="2:9" ht="13.5">
      <c r="B185" s="13" t="str">
        <f>"##SET1 "&amp;D185&amp;REPT(" ",fill_1-LEN(D185))&amp;TEXT(E185,F185)&amp;REPT(" ",fill_2-LEN(TEXT(E185,F185)))&amp;"! ["&amp;G185&amp;"]"</f>
        <v>##SET1 Tubing_Length_Core[]          6210.0000 ! [m]</v>
      </c>
      <c r="D185" s="4" t="s">
        <v>596</v>
      </c>
      <c r="E185" s="623">
        <f>810*E184</f>
        <v>6210</v>
      </c>
      <c r="F185" s="14" t="s">
        <v>152</v>
      </c>
      <c r="G185" s="32" t="s">
        <v>236</v>
      </c>
    </row>
    <row r="186" spans="2:9" ht="13.5">
      <c r="B186" s="13" t="str">
        <f>"##SET1 "&amp;D186&amp;REPT(" ",fill_1-LEN(D186))&amp;TEXT(E186,F186)&amp;REPT(" ",fill_2-LEN(TEXT(E186,F186)))&amp;"! ["&amp;G186&amp;"]"</f>
        <v>##SET1 Tubing_Length_NorthSouth[]    1686.6667 ! [m]</v>
      </c>
      <c r="D186" s="4" t="s">
        <v>597</v>
      </c>
      <c r="E186" s="623">
        <f>220*E184</f>
        <v>1686.6666666666667</v>
      </c>
      <c r="F186" s="14" t="s">
        <v>152</v>
      </c>
      <c r="G186" s="32" t="s">
        <v>236</v>
      </c>
    </row>
    <row r="187" spans="2:9" ht="13.5">
      <c r="B187" s="13" t="str">
        <f>"##SET1 "&amp;D187&amp;REPT(" ",fill_1-LEN(D187))&amp;TEXT(E187,F187)&amp;REPT(" ",fill_2-LEN(TEXT(E187,F187)))&amp;"! ["&amp;G187&amp;"]"</f>
        <v>##SET1 Tubing_Length_EastWest[]      1073.3333 ! [m]</v>
      </c>
      <c r="D187" s="4" t="s">
        <v>598</v>
      </c>
      <c r="E187" s="623">
        <f>140*E184</f>
        <v>1073.3333333333335</v>
      </c>
      <c r="F187" s="14" t="s">
        <v>152</v>
      </c>
      <c r="G187" s="32" t="s">
        <v>236</v>
      </c>
    </row>
    <row r="188" spans="2:9" ht="13.5">
      <c r="B188" s="13" t="str">
        <f>"##SET1 "&amp;D188&amp;REPT(" ",40-LEN(D188))&amp;E188</f>
        <v>##SET1 RadiantSystem_ControlType[]             InsideSurfaceTemperature</v>
      </c>
      <c r="D188" s="4" t="s">
        <v>599</v>
      </c>
      <c r="E188" s="623" t="str">
        <f>J124</f>
        <v>InsideSurfaceTemperature</v>
      </c>
      <c r="F188" s="14" t="s">
        <v>152</v>
      </c>
      <c r="G188" s="64" t="s">
        <v>212</v>
      </c>
    </row>
    <row r="189" spans="2:9" ht="13.5">
      <c r="B189" s="13" t="str">
        <f>"##SET1 "&amp;D189&amp;REPT(" ",40-LEN(D189))&amp;TEXT(E189,F189)&amp;REPT(" ",15-LEN(TEXT(E189,F189)))&amp;"! ["&amp;G189&amp;"]"</f>
        <v>##SET1 RadiantSystem_HeatingThrottleRange[]    0.5            ! [C]</v>
      </c>
      <c r="D189" s="4" t="s">
        <v>600</v>
      </c>
      <c r="E189" s="623">
        <v>0.5</v>
      </c>
      <c r="F189" s="50" t="s">
        <v>162</v>
      </c>
      <c r="G189" s="64" t="s">
        <v>239</v>
      </c>
    </row>
    <row r="190" spans="2:9" ht="13.5">
      <c r="B190" s="13" t="str">
        <f>"##SET1 "&amp;D190&amp;REPT(" ",40-LEN(D190))&amp;TEXT(E190,F190)&amp;REPT(" ",15-LEN(TEXT(E190,F190)))&amp;"! ["&amp;G190&amp;"]"</f>
        <v>##SET1 RadiantSystem_CoolingThrottleRange[]    0.5            ! [C]</v>
      </c>
      <c r="D190" s="4" t="s">
        <v>601</v>
      </c>
      <c r="E190" s="623">
        <v>0.5</v>
      </c>
      <c r="F190" s="50" t="s">
        <v>162</v>
      </c>
      <c r="G190" s="64" t="s">
        <v>239</v>
      </c>
    </row>
    <row r="191" spans="2:9" ht="13.5">
      <c r="B191" s="13" t="str">
        <f>"##SET1 "&amp;D191&amp;REPT(" ",40-LEN(D191))&amp;TEXT(E191,F191)&amp;REPT(" ",15-LEN(TEXT(E191,F191)))&amp;"! ["&amp;G191&amp;"]"</f>
        <v>##SET1 RadiantSystem_Priority[]                1              ! [-]</v>
      </c>
      <c r="D191" s="4" t="s">
        <v>602</v>
      </c>
      <c r="E191" s="623">
        <v>1</v>
      </c>
      <c r="F191" s="50" t="s">
        <v>211</v>
      </c>
      <c r="G191" s="64" t="s">
        <v>212</v>
      </c>
    </row>
    <row r="192" spans="2:9" ht="13.5">
      <c r="B192" s="13" t="str">
        <f>"##SET1 "&amp;D192&amp;REPT(" ",40-LEN(D192))&amp;TEXT(E192,F192)&amp;REPT(" ",15-LEN(TEXT(E192,F192)))&amp;"! ["&amp;G192&amp;"]"</f>
        <v>##SET1 RadiantSystem_MaxFlow_Core[]            0.002000       ! [ m3/s]</v>
      </c>
      <c r="D192" s="66" t="s">
        <v>604</v>
      </c>
      <c r="E192" s="626">
        <v>2E-3</v>
      </c>
      <c r="F192" s="68" t="s">
        <v>570</v>
      </c>
      <c r="G192" s="64" t="s">
        <v>605</v>
      </c>
      <c r="I192" s="4"/>
    </row>
    <row r="193" spans="2:9" ht="13.5">
      <c r="B193" s="13" t="str">
        <f>"##SET1 "&amp;D193&amp;REPT(" ",fill_1-LEN(D193))&amp;TEXT(E193,F193)&amp;REPT(" ",fill_2-LEN(TEXT(E193,F193)))&amp;"! ["&amp;G193&amp;"]"</f>
        <v>##SET1 TowerWaterFlowRate[]                    ! [m3/s]</v>
      </c>
      <c r="D193" s="66" t="s">
        <v>606</v>
      </c>
      <c r="E193" s="626" t="s">
        <v>1116</v>
      </c>
      <c r="F193" s="68" t="s">
        <v>149</v>
      </c>
      <c r="G193" s="64" t="s">
        <v>107</v>
      </c>
      <c r="I193" s="4"/>
    </row>
    <row r="194" spans="2:9" ht="13.5">
      <c r="B194" s="13" t="str">
        <f>"##SET1 "&amp;D194&amp;REPT(" ",fill_1-LEN(D194))&amp;TEXT(E194,F194)&amp;REPT(" ",fill_2-LEN(TEXT(E194,F194)))&amp;"! ["&amp;G194&amp;"]"</f>
        <v>##SET1 TowerAirFlowRate[]                      ! [m3/s]</v>
      </c>
      <c r="D194" s="66" t="s">
        <v>607</v>
      </c>
      <c r="E194" s="626" t="s">
        <v>1116</v>
      </c>
      <c r="F194" s="68" t="s">
        <v>151</v>
      </c>
      <c r="G194" s="64" t="s">
        <v>107</v>
      </c>
      <c r="I194" s="4"/>
    </row>
    <row r="195" spans="2:9" ht="13.5">
      <c r="B195" s="13" t="str">
        <f>"##SET1 "&amp;D195&amp;REPT(" ",fill_1-LEN(D195))&amp;TEXT(E195,F195)&amp;REPT(" ",fill_2-LEN(TEXT(E195,F195)))&amp;"! ["&amp;G195&amp;"]"</f>
        <v>##SET1 TowerFanPower[]                         ! [W]</v>
      </c>
      <c r="D195" s="611" t="s">
        <v>608</v>
      </c>
      <c r="E195" s="626" t="s">
        <v>1116</v>
      </c>
      <c r="F195" s="68" t="s">
        <v>150</v>
      </c>
      <c r="G195" s="64" t="s">
        <v>232</v>
      </c>
      <c r="I195" s="69"/>
    </row>
    <row r="196" spans="2:9" ht="13.5">
      <c r="B196" s="13" t="str">
        <f>"##SET1 "&amp;D196&amp;REPT(" ",fill_1-LEN(D196))&amp;TEXT(E196,F196)&amp;REPT(" ",fill_2-LEN(TEXT(E196,F196)))&amp;"! ["&amp;G196&amp;"]"</f>
        <v>##SET1 TowerUA[]                               ! [W/K]</v>
      </c>
      <c r="D196" s="66" t="s">
        <v>609</v>
      </c>
      <c r="E196" s="626" t="s">
        <v>1116</v>
      </c>
      <c r="F196" s="68" t="s">
        <v>162</v>
      </c>
      <c r="G196" s="64" t="s">
        <v>610</v>
      </c>
      <c r="I196" s="69"/>
    </row>
    <row r="197" spans="2:9" ht="13.5">
      <c r="B197" s="13" t="str">
        <f>"##SET1 "&amp;D197&amp;REPT(" ",fill_1-LEN(D197))&amp;TEXT(E197,F197)&amp;REPT(" ",fill_2-LEN(TEXT(E197,F197)))&amp;"! ["&amp;G197&amp;"]"</f>
        <v>##SET1 TowerSizingFactor[]           1.00      ! [-]</v>
      </c>
      <c r="D197" s="66" t="s">
        <v>611</v>
      </c>
      <c r="E197" s="627">
        <f>J115</f>
        <v>1</v>
      </c>
      <c r="F197" s="68" t="s">
        <v>150</v>
      </c>
      <c r="G197" s="64" t="s">
        <v>212</v>
      </c>
      <c r="I197" s="4"/>
    </row>
    <row r="198" spans="2:9" ht="13.5">
      <c r="B198" s="13"/>
      <c r="D198" s="66"/>
      <c r="E198" s="69"/>
      <c r="F198" s="68"/>
      <c r="G198" s="64"/>
    </row>
    <row r="199" spans="2:9" ht="13.5">
      <c r="B199" s="13" t="str">
        <f t="shared" ref="B199:B215" si="14">"##SET1 "&amp;D199&amp;REPT(" ",fill_1-LEN(D199))&amp;TEXT(E199,F199)&amp;REPT(" ",fill_2-LEN(TEXT(E199,F199)))&amp;"! ["&amp;G199&amp;"]"</f>
        <v>##SET1 X_First[]                     0.24708   ! [-]</v>
      </c>
      <c r="D199" s="66" t="s">
        <v>613</v>
      </c>
      <c r="E199" s="67">
        <v>0.24707779999999999</v>
      </c>
      <c r="F199" s="68" t="s">
        <v>149</v>
      </c>
      <c r="G199" s="64" t="s">
        <v>212</v>
      </c>
    </row>
    <row r="200" spans="2:9" ht="13.5">
      <c r="B200" s="13" t="str">
        <f t="shared" si="14"/>
        <v>##SET1 X_Second[]                    4.82025   ! [-]</v>
      </c>
      <c r="D200" s="66" t="s">
        <v>614</v>
      </c>
      <c r="E200" s="67">
        <f>E199+Perimeter_Depth</f>
        <v>4.8202485317073167</v>
      </c>
      <c r="F200" s="68" t="s">
        <v>149</v>
      </c>
      <c r="G200" s="64" t="s">
        <v>212</v>
      </c>
    </row>
    <row r="201" spans="2:9" ht="13.5">
      <c r="B201" s="13" t="str">
        <f t="shared" si="14"/>
        <v>##SET1 X_Third[]                     26.64833  ! [-]</v>
      </c>
      <c r="D201" s="66" t="s">
        <v>615</v>
      </c>
      <c r="E201" s="67">
        <f>(E199+E204)/2-Service_Length/2</f>
        <v>26.648328192828608</v>
      </c>
      <c r="F201" s="68" t="s">
        <v>149</v>
      </c>
      <c r="G201" s="64" t="s">
        <v>212</v>
      </c>
    </row>
    <row r="202" spans="2:9" ht="13.5">
      <c r="B202" s="13" t="str">
        <f t="shared" si="14"/>
        <v>##SET1 X_Fourth[]                    26.64833  ! [-]</v>
      </c>
      <c r="D202" s="66" t="s">
        <v>616</v>
      </c>
      <c r="E202" s="67">
        <f>(E199+E204)/2+Service_Length/2</f>
        <v>26.648328192828608</v>
      </c>
      <c r="F202" s="68" t="s">
        <v>149</v>
      </c>
      <c r="G202" s="64" t="s">
        <v>212</v>
      </c>
    </row>
    <row r="203" spans="2:9" ht="13.5">
      <c r="B203" s="13" t="str">
        <f t="shared" si="14"/>
        <v>##SET1 X_Fifth[]                     48.47641  ! [-]</v>
      </c>
      <c r="D203" s="66" t="s">
        <v>617</v>
      </c>
      <c r="E203" s="67">
        <f>E204-Perimeter_Depth</f>
        <v>48.476407853949901</v>
      </c>
      <c r="F203" s="68" t="s">
        <v>149</v>
      </c>
      <c r="G203" s="64" t="s">
        <v>212</v>
      </c>
    </row>
    <row r="204" spans="2:9" ht="13.5">
      <c r="B204" s="13" t="str">
        <f t="shared" si="14"/>
        <v>##SET1 X_Sixth[]                     53.04958  ! [-]</v>
      </c>
      <c r="D204" s="66" t="s">
        <v>618</v>
      </c>
      <c r="E204" s="67">
        <f>E199+Bldg_Length</f>
        <v>53.049578585657216</v>
      </c>
      <c r="F204" s="68" t="s">
        <v>149</v>
      </c>
      <c r="G204" s="64" t="s">
        <v>212</v>
      </c>
      <c r="I204" s="4"/>
    </row>
    <row r="205" spans="2:9" ht="13.5">
      <c r="B205" s="13" t="str">
        <f t="shared" si="14"/>
        <v>##SET1 Y_First[]                     0.25000   ! [-]</v>
      </c>
      <c r="D205" s="66" t="s">
        <v>619</v>
      </c>
      <c r="E205" s="67">
        <v>0.25</v>
      </c>
      <c r="F205" s="68" t="s">
        <v>149</v>
      </c>
      <c r="G205" s="64" t="s">
        <v>212</v>
      </c>
      <c r="I205" s="4"/>
    </row>
    <row r="206" spans="2:9" ht="13.5">
      <c r="B206" s="13" t="str">
        <f t="shared" si="14"/>
        <v>##SET1 Y_Second[]                    4.82317   ! [-]</v>
      </c>
      <c r="D206" s="66" t="s">
        <v>620</v>
      </c>
      <c r="E206" s="67">
        <f>E205+Perimeter_Depth</f>
        <v>4.8231707317073171</v>
      </c>
      <c r="F206" s="68" t="s">
        <v>149</v>
      </c>
      <c r="G206" s="64" t="s">
        <v>212</v>
      </c>
      <c r="I206" s="4"/>
    </row>
    <row r="207" spans="2:9" ht="13.5">
      <c r="B207" s="13" t="str">
        <f t="shared" si="14"/>
        <v>##SET1 Y_Third[]                     17.85083  ! [-]</v>
      </c>
      <c r="D207" s="66" t="s">
        <v>621</v>
      </c>
      <c r="E207" s="67">
        <f>E211-Service_Width/2</f>
        <v>17.850833595219072</v>
      </c>
      <c r="F207" s="68" t="s">
        <v>149</v>
      </c>
      <c r="G207" s="64" t="s">
        <v>212</v>
      </c>
      <c r="I207" s="4"/>
    </row>
    <row r="208" spans="2:9" ht="13.5">
      <c r="B208" s="13" t="str">
        <f t="shared" si="14"/>
        <v>##SET1 Y_Fourth[]                    17.85083  ! [-]</v>
      </c>
      <c r="D208" s="66" t="s">
        <v>622</v>
      </c>
      <c r="E208" s="67">
        <f>E211+Service_Width/2</f>
        <v>17.850833595219072</v>
      </c>
      <c r="F208" s="68" t="s">
        <v>149</v>
      </c>
      <c r="G208" s="64" t="s">
        <v>212</v>
      </c>
      <c r="I208" s="4"/>
    </row>
    <row r="209" spans="2:9" ht="13.5">
      <c r="B209" s="13" t="str">
        <f t="shared" si="14"/>
        <v>##SET1 Y_Fifth[]                     30.87850  ! [-]</v>
      </c>
      <c r="D209" s="66" t="s">
        <v>623</v>
      </c>
      <c r="E209" s="67">
        <f>E210-Perimeter_Depth</f>
        <v>30.878496458730826</v>
      </c>
      <c r="F209" s="68" t="s">
        <v>149</v>
      </c>
      <c r="G209" s="64" t="s">
        <v>212</v>
      </c>
      <c r="I209" s="4"/>
    </row>
    <row r="210" spans="2:9" ht="13.5">
      <c r="B210" s="13" t="str">
        <f t="shared" si="14"/>
        <v>##SET1 Y_Sixth[]                     35.45167  ! [-]</v>
      </c>
      <c r="D210" s="66" t="s">
        <v>624</v>
      </c>
      <c r="E210" s="67">
        <f>E205+Bldg_Width</f>
        <v>35.451667190438144</v>
      </c>
      <c r="F210" s="68" t="s">
        <v>149</v>
      </c>
      <c r="G210" s="64" t="s">
        <v>212</v>
      </c>
      <c r="I210" s="4"/>
    </row>
    <row r="211" spans="2:9" ht="13.5">
      <c r="B211" s="13" t="str">
        <f t="shared" si="14"/>
        <v>##SET1 Y_Half[]                      17.85083  ! [-]</v>
      </c>
      <c r="D211" s="66" t="s">
        <v>625</v>
      </c>
      <c r="E211" s="67">
        <f>(E205+E210)/2</f>
        <v>17.850833595219072</v>
      </c>
      <c r="F211" s="68" t="s">
        <v>149</v>
      </c>
      <c r="G211" s="64" t="s">
        <v>212</v>
      </c>
      <c r="I211" s="4"/>
    </row>
    <row r="212" spans="2:9" ht="13.5">
      <c r="B212" s="13" t="str">
        <f t="shared" si="14"/>
        <v>##SET1 X_Window_Second[]             52.99958  ! [-]</v>
      </c>
      <c r="D212" s="66" t="s">
        <v>637</v>
      </c>
      <c r="E212" s="67">
        <f>E204-0.05</f>
        <v>52.999578585657218</v>
      </c>
      <c r="F212" s="68" t="s">
        <v>149</v>
      </c>
      <c r="G212" s="64" t="s">
        <v>212</v>
      </c>
      <c r="I212" s="4"/>
    </row>
    <row r="213" spans="2:9" ht="13.5">
      <c r="B213" s="13" t="str">
        <f t="shared" si="14"/>
        <v>##SET1 Y_Window_Second[]             35.40167  ! [-]</v>
      </c>
      <c r="D213" s="66" t="s">
        <v>638</v>
      </c>
      <c r="E213" s="67">
        <f>E210-0.05</f>
        <v>35.401667190438147</v>
      </c>
      <c r="F213" s="68" t="s">
        <v>149</v>
      </c>
      <c r="G213" s="64" t="s">
        <v>212</v>
      </c>
      <c r="I213" s="4"/>
    </row>
    <row r="214" spans="2:9" ht="13.5">
      <c r="B214" s="13" t="str">
        <f t="shared" si="14"/>
        <v>##SET1 X_Window_First[]              0.29708   ! [-]</v>
      </c>
      <c r="D214" s="66" t="s">
        <v>639</v>
      </c>
      <c r="E214" s="67">
        <f>E199+0.05</f>
        <v>0.2970778</v>
      </c>
      <c r="F214" s="68" t="s">
        <v>149</v>
      </c>
      <c r="G214" s="64" t="s">
        <v>212</v>
      </c>
      <c r="I214" s="4"/>
    </row>
    <row r="215" spans="2:9" ht="13.5">
      <c r="B215" s="13" t="str">
        <f t="shared" si="14"/>
        <v>##SET1 Y_Window_First[]              0.30000   ! [-]</v>
      </c>
      <c r="D215" s="66" t="s">
        <v>640</v>
      </c>
      <c r="E215" s="67">
        <f>E205+0.05</f>
        <v>0.3</v>
      </c>
      <c r="F215" s="68" t="s">
        <v>149</v>
      </c>
      <c r="G215" s="64" t="s">
        <v>212</v>
      </c>
      <c r="I215" s="4"/>
    </row>
    <row r="216" spans="2:9" ht="13.5">
      <c r="B216" s="13"/>
      <c r="D216" s="66"/>
      <c r="E216" s="67"/>
      <c r="F216" s="68"/>
      <c r="G216" s="64"/>
      <c r="I216" s="4"/>
    </row>
    <row r="217" spans="2:9" ht="13.5">
      <c r="B217" s="13" t="str">
        <f t="shared" ref="B217:B230" si="15">"##SET1 "&amp;D217&amp;REPT(" ",fill_1-LEN(D217))&amp;TEXT(E217,F217)&amp;REPT(" ",fill_2-LEN(TEXT(E217,F217)))&amp;"  ! ["&amp;G217&amp;"]"</f>
        <v>##SET1 Return_System[]               Relief_Fan  ! [-]</v>
      </c>
      <c r="D217" s="66" t="s">
        <v>642</v>
      </c>
      <c r="E217" s="626" t="str">
        <f>J43</f>
        <v>Relief_Fan</v>
      </c>
      <c r="F217" s="68" t="s">
        <v>149</v>
      </c>
      <c r="G217" s="64" t="s">
        <v>212</v>
      </c>
      <c r="I217" s="4"/>
    </row>
    <row r="218" spans="2:9" ht="13.5">
      <c r="B218" s="13" t="str">
        <f t="shared" si="15"/>
        <v>##SET1 Heat_Recovery[]               No          ! [-]</v>
      </c>
      <c r="D218" s="66" t="s">
        <v>643</v>
      </c>
      <c r="E218" s="626" t="str">
        <f>J44</f>
        <v>No</v>
      </c>
      <c r="F218" s="68" t="s">
        <v>149</v>
      </c>
      <c r="G218" s="64" t="s">
        <v>212</v>
      </c>
      <c r="I218" s="4"/>
    </row>
    <row r="219" spans="2:9" ht="13.5">
      <c r="B219" s="13" t="str">
        <f t="shared" si="15"/>
        <v>##SET1 Building_Orientation[]        0.0         ! []</v>
      </c>
      <c r="D219" s="4" t="s">
        <v>657</v>
      </c>
      <c r="E219" s="67">
        <f>J18</f>
        <v>0</v>
      </c>
      <c r="F219" s="68" t="s">
        <v>162</v>
      </c>
      <c r="G219" s="64"/>
      <c r="I219" s="4"/>
    </row>
    <row r="220" spans="2:9" ht="13.5">
      <c r="B220" s="13" t="str">
        <f t="shared" si="15"/>
        <v>##SET1 Cooling_Setback[]             26.6667     ! [C]</v>
      </c>
      <c r="D220" s="581" t="s">
        <v>666</v>
      </c>
      <c r="E220" s="67">
        <f>(J46-32)*5/9</f>
        <v>26.666666666666668</v>
      </c>
      <c r="F220" s="68" t="s">
        <v>152</v>
      </c>
      <c r="G220" s="64" t="s">
        <v>239</v>
      </c>
      <c r="I220" s="4"/>
    </row>
    <row r="221" spans="2:9" ht="13.5">
      <c r="B221" s="13" t="str">
        <f t="shared" si="15"/>
        <v>##SET1 Cooling_Setpoint[]            23.8889     ! [C]</v>
      </c>
      <c r="D221" s="4" t="s">
        <v>667</v>
      </c>
      <c r="E221" s="67">
        <f>(J45-32)*5/9</f>
        <v>23.888888888888889</v>
      </c>
      <c r="F221" s="68" t="s">
        <v>152</v>
      </c>
      <c r="G221" s="64" t="s">
        <v>239</v>
      </c>
      <c r="I221" s="565"/>
    </row>
    <row r="222" spans="2:9" ht="13.5">
      <c r="B222" s="13" t="str">
        <f t="shared" si="15"/>
        <v>##SET1 Heating_Setback[]             18.3333     ! [C]</v>
      </c>
      <c r="D222" s="4" t="s">
        <v>671</v>
      </c>
      <c r="E222" s="67">
        <f>(J48-32)*5/9</f>
        <v>18.333333333333332</v>
      </c>
      <c r="F222" s="68" t="s">
        <v>152</v>
      </c>
      <c r="G222" s="64" t="s">
        <v>239</v>
      </c>
      <c r="I222" s="4"/>
    </row>
    <row r="223" spans="2:9" ht="13.5">
      <c r="B223" s="13" t="str">
        <f t="shared" si="15"/>
        <v>##SET1 Heating_Setpoint[]            21.1111     ! [C]</v>
      </c>
      <c r="D223" s="4" t="s">
        <v>670</v>
      </c>
      <c r="E223" s="67">
        <f>(J47-32)*5/9</f>
        <v>21.111111111111111</v>
      </c>
      <c r="F223" s="68" t="s">
        <v>152</v>
      </c>
      <c r="G223" s="64" t="s">
        <v>239</v>
      </c>
      <c r="I223" s="4"/>
    </row>
    <row r="224" spans="2:9" ht="13.5">
      <c r="B224" s="13" t="str">
        <f t="shared" si="15"/>
        <v>##SET1 SAT_Reset[]                   No          ! [-]</v>
      </c>
      <c r="D224" s="581" t="s">
        <v>675</v>
      </c>
      <c r="E224" s="626" t="str">
        <f>J49</f>
        <v>No</v>
      </c>
      <c r="F224" s="68" t="s">
        <v>152</v>
      </c>
      <c r="G224" s="64" t="s">
        <v>212</v>
      </c>
      <c r="I224" s="4"/>
    </row>
    <row r="225" spans="2:12" ht="13.5">
      <c r="B225" s="13" t="str">
        <f t="shared" si="15"/>
        <v>##SET1 Chiller_Staging[]             No          ! [-]</v>
      </c>
      <c r="D225" s="4" t="s">
        <v>699</v>
      </c>
      <c r="E225" s="626" t="str">
        <f>J51</f>
        <v>No</v>
      </c>
      <c r="F225" s="68" t="s">
        <v>152</v>
      </c>
      <c r="G225" s="64" t="s">
        <v>212</v>
      </c>
      <c r="I225" s="4"/>
    </row>
    <row r="226" spans="2:12" ht="13.5">
      <c r="B226" s="13" t="str">
        <f t="shared" si="15"/>
        <v>##SET1 Boiler_Staging[]              Yes         ! [-]</v>
      </c>
      <c r="D226" s="4" t="s">
        <v>701</v>
      </c>
      <c r="E226" s="626" t="str">
        <f>J52</f>
        <v>Yes</v>
      </c>
      <c r="F226" s="68" t="s">
        <v>152</v>
      </c>
      <c r="G226" s="64" t="s">
        <v>212</v>
      </c>
      <c r="I226" s="4"/>
    </row>
    <row r="227" spans="2:12" ht="13.5">
      <c r="B227" s="13" t="str">
        <f t="shared" si="15"/>
        <v>##SET1 ChW_Reset[]                   Yes         ! [-]</v>
      </c>
      <c r="D227" s="4" t="s">
        <v>702</v>
      </c>
      <c r="E227" s="626" t="str">
        <f>J54</f>
        <v>Yes</v>
      </c>
      <c r="F227" s="68" t="s">
        <v>152</v>
      </c>
      <c r="G227" s="64" t="s">
        <v>212</v>
      </c>
    </row>
    <row r="228" spans="2:12" ht="13.5">
      <c r="B228" s="13" t="str">
        <f t="shared" si="15"/>
        <v>##SET1 AHU_Static_Reset[]            Yes         ! [-]</v>
      </c>
      <c r="D228" s="358" t="s">
        <v>707</v>
      </c>
      <c r="E228" s="626" t="str">
        <f>J41</f>
        <v>Yes</v>
      </c>
      <c r="F228" s="68" t="s">
        <v>152</v>
      </c>
      <c r="G228" s="64" t="s">
        <v>212</v>
      </c>
      <c r="I228" s="358"/>
    </row>
    <row r="229" spans="2:12" ht="13.5">
      <c r="B229" s="13" t="str">
        <f t="shared" si="15"/>
        <v>##SET1 Shutoff_Pressure[]            One_Half    ! [-]</v>
      </c>
      <c r="D229" s="4" t="s">
        <v>708</v>
      </c>
      <c r="E229" s="67" t="str">
        <f>IF(E228="Yes","One_Half",J42)</f>
        <v>One_Half</v>
      </c>
      <c r="F229" s="68" t="s">
        <v>162</v>
      </c>
      <c r="G229" s="64" t="s">
        <v>212</v>
      </c>
      <c r="I229" s="570"/>
    </row>
    <row r="230" spans="2:12" ht="13.5">
      <c r="B230" s="13" t="str">
        <f t="shared" si="15"/>
        <v>##SET1 Slab_Insulation[]             None        ! [-]</v>
      </c>
      <c r="D230" s="4" t="s">
        <v>747</v>
      </c>
      <c r="E230" s="626" t="str">
        <f>J20</f>
        <v>None</v>
      </c>
      <c r="F230" s="68" t="s">
        <v>162</v>
      </c>
      <c r="G230" s="64" t="s">
        <v>212</v>
      </c>
      <c r="I230" s="358"/>
    </row>
    <row r="231" spans="2:12" ht="13.5">
      <c r="B231" s="13" t="str">
        <f>"##SET1 "&amp;D231&amp;REPT(" ",fill_1-LEN(D231))&amp;TEXT(E231,F231)&amp;REPT(" ",20-LEN(TEXT(E231,F231)))&amp;"  ! ["&amp;G231&amp;"]"</f>
        <v>##SET1 OH_VAV_Heating[]              VAV_Heating           ! [-]</v>
      </c>
      <c r="D231" s="4" t="s">
        <v>752</v>
      </c>
      <c r="E231" s="67" t="str">
        <f>J36</f>
        <v>VAV_Heating</v>
      </c>
      <c r="F231" s="68" t="s">
        <v>162</v>
      </c>
      <c r="G231" s="64" t="s">
        <v>212</v>
      </c>
      <c r="I231" s="358"/>
    </row>
    <row r="232" spans="2:12" ht="13.5">
      <c r="B232" s="13" t="str">
        <f>"##SET1 "&amp;D232&amp;REPT(" ",fill_1-LEN(D232))&amp;TEXT(E232,F232)&amp;REPT(" ",fill_2-LEN(TEXT(E232,F232)))&amp;"  ! ["&amp;G232&amp;"]"</f>
        <v>##SET1 HW_Reset[]                    Yes         ! [-]</v>
      </c>
      <c r="D232" s="4" t="s">
        <v>753</v>
      </c>
      <c r="E232" s="626" t="str">
        <f>J55</f>
        <v>Yes</v>
      </c>
      <c r="F232" s="68" t="s">
        <v>162</v>
      </c>
      <c r="G232" s="64" t="s">
        <v>212</v>
      </c>
      <c r="I232" s="358"/>
    </row>
    <row r="233" spans="2:12" ht="13.5">
      <c r="B233" s="13" t="str">
        <f>"##SET1 "&amp;D233&amp;REPT(" ",fill_1-LEN(D233))&amp;TEXT(E233,F233)&amp;REPT(" ",fill_2-LEN(TEXT(E233,F233)))&amp;"  ! ["&amp;G233&amp;"]"</f>
        <v>##SET1 Sizing_Factor[]               1.2         ! [-]</v>
      </c>
      <c r="D233" t="s">
        <v>811</v>
      </c>
      <c r="E233" s="626">
        <f>J56</f>
        <v>1.2</v>
      </c>
      <c r="F233" s="68" t="s">
        <v>162</v>
      </c>
      <c r="G233" s="64" t="s">
        <v>212</v>
      </c>
    </row>
    <row r="234" spans="2:12" ht="13.5">
      <c r="B234" s="13" t="str">
        <f>"##SET1 "&amp;D234&amp;REPT(" ",fill_1-LEN(D234))&amp;TEXT(E234,F234)&amp;REPT(" ",fill_2-LEN(TEXT(E234,F234)))&amp;"  ! ["&amp;G234&amp;"]"</f>
        <v>##SET1 DesignDay_Sim[]               No          ! [-]</v>
      </c>
      <c r="D234" t="s">
        <v>839</v>
      </c>
      <c r="E234" s="67" t="str">
        <f>IF(J10="No", "No", "Yes")</f>
        <v>No</v>
      </c>
      <c r="F234" s="68" t="s">
        <v>162</v>
      </c>
      <c r="G234" s="64" t="s">
        <v>212</v>
      </c>
    </row>
    <row r="235" spans="2:12" ht="13.5">
      <c r="B235" s="13" t="str">
        <f>"##SET1 "&amp;D235&amp;REPT(" ",fill_1-LEN(D235))&amp;TEXT(E235,F235)&amp;REPT(" ",fill_2-LEN(TEXT(E235,F235)))&amp;"  ! ["&amp;G235&amp;"]"</f>
        <v>##SET1 WeatherFile_Sim[]             Yes         ! [-]</v>
      </c>
      <c r="D235" t="s">
        <v>840</v>
      </c>
      <c r="E235" s="67" t="str">
        <f>IF(J10="No", "Yes", "No")</f>
        <v>Yes</v>
      </c>
      <c r="F235" s="68" t="s">
        <v>162</v>
      </c>
      <c r="G235" s="64" t="s">
        <v>212</v>
      </c>
    </row>
    <row r="236" spans="2:12" ht="13.5">
      <c r="B236" s="13" t="str">
        <f>"##SET1 "&amp;D236&amp;REPT(" ",fill_1-LEN(D236))&amp;TEXT(E236,F236)&amp;REPT(" ",fill_2-LEN(TEXT(E236,F236)))&amp;"  ! ["&amp;G236&amp;"]"</f>
        <v>##SET1 UFAD_SysType[]                FCU         ! [-]</v>
      </c>
      <c r="D236" t="s">
        <v>903</v>
      </c>
      <c r="E236" s="626" t="str">
        <f>IF(RunType="OH", "FCU", J57)</f>
        <v>FCU</v>
      </c>
      <c r="F236" s="68" t="s">
        <v>162</v>
      </c>
      <c r="G236" s="64" t="s">
        <v>212</v>
      </c>
    </row>
    <row r="237" spans="2:12" ht="13.5">
      <c r="B237" s="13" t="str">
        <f>"##SET1 "&amp;D237&amp;REPT(" ",fill_1-LEN(D237))&amp;TEXT(E237,F237)&amp;REPT(" ",20-LEN(TEXT(E237,F237)))&amp;"  ! ["&amp;G237&amp;"]"</f>
        <v>##SET1 TowerType[]                   TwoSpeed              ! [-]</v>
      </c>
      <c r="D237" t="s">
        <v>904</v>
      </c>
      <c r="E237" s="626" t="str">
        <f>J58</f>
        <v>TwoSpeed</v>
      </c>
      <c r="F237" s="68" t="s">
        <v>162</v>
      </c>
      <c r="G237" s="64" t="s">
        <v>212</v>
      </c>
    </row>
    <row r="238" spans="2:12" ht="13.5">
      <c r="B238" s="13" t="str">
        <f>"##SET1 "&amp;D238&amp;REPT(" ",fill_1-LEN(D238))&amp;TEXT(E238,F238)&amp;REPT(" ",20-LEN(TEXT(E238,F238)))&amp;"  ! ["&amp;G238&amp;"]"</f>
        <v>##SET1 RadiantTowerCtrlType[]        CoolingLoad           ! [-]</v>
      </c>
      <c r="D238" t="s">
        <v>905</v>
      </c>
      <c r="E238" s="627" t="str">
        <f>J59</f>
        <v>CoolingLoad</v>
      </c>
      <c r="F238" s="68" t="s">
        <v>162</v>
      </c>
      <c r="G238" s="64" t="s">
        <v>212</v>
      </c>
    </row>
    <row r="239" spans="2:12" s="580" customFormat="1" ht="13.5">
      <c r="B239" s="13" t="str">
        <f>"##SET1 "&amp;D239&amp;REPT(" ",fill_1-LEN(D239))&amp;E239&amp;REPT(" ",20-LEN(TEXT(E239,F239)))&amp;"  ! ["&amp;G239&amp;"]"</f>
        <v>##SET1 WinterHeatingSeasonEndDate[]  3/31               ! [-]</v>
      </c>
      <c r="C239"/>
      <c r="D239" s="579" t="s">
        <v>1016</v>
      </c>
      <c r="E239" s="627" t="str">
        <f t="shared" ref="E239:E247" si="16">J111</f>
        <v>3/31</v>
      </c>
      <c r="F239" s="568" t="s">
        <v>162</v>
      </c>
      <c r="G239" s="64" t="s">
        <v>212</v>
      </c>
      <c r="I239"/>
      <c r="J239"/>
      <c r="K239"/>
      <c r="L239"/>
    </row>
    <row r="240" spans="2:12" s="580" customFormat="1" ht="13.5">
      <c r="B240" s="13" t="str">
        <f>"##SET1 "&amp;D240&amp;REPT(" ",fill_1-LEN(D240))&amp;E240&amp;REPT(" ",20-LEN(TEXT(E240,F240)))&amp;"  ! ["&amp;G240&amp;"]"</f>
        <v>##SET1 SpringSwingSeasonEndDate[]    5/31               ! [-]</v>
      </c>
      <c r="C240"/>
      <c r="D240" s="579" t="s">
        <v>1017</v>
      </c>
      <c r="E240" s="627" t="str">
        <f t="shared" si="16"/>
        <v>5/31</v>
      </c>
      <c r="F240" s="568" t="s">
        <v>162</v>
      </c>
      <c r="G240" s="64" t="s">
        <v>212</v>
      </c>
      <c r="I240"/>
      <c r="J240"/>
    </row>
    <row r="241" spans="2:12" ht="13.5">
      <c r="B241" s="13" t="str">
        <f>"##SET1 "&amp;D241&amp;REPT(" ",fill_1-LEN(D241))&amp;E241&amp;REPT(" ",20-LEN(TEXT(E241,F241)))&amp;"  ! ["&amp;G241&amp;"]"</f>
        <v>##SET1 SummerCoolingSeasonEndDate[]  9/30               ! [-]</v>
      </c>
      <c r="D241" s="579" t="s">
        <v>1018</v>
      </c>
      <c r="E241" s="627" t="str">
        <f t="shared" si="16"/>
        <v>9/30</v>
      </c>
      <c r="F241" s="568" t="s">
        <v>162</v>
      </c>
      <c r="G241" s="64" t="s">
        <v>212</v>
      </c>
      <c r="I241" s="580"/>
      <c r="J241" s="580"/>
      <c r="K241" s="580"/>
      <c r="L241" s="580"/>
    </row>
    <row r="242" spans="2:12" ht="13.5">
      <c r="B242" s="13" t="str">
        <f>"##SET1 "&amp;D242&amp;REPT(" ",fill_1-LEN(D242))&amp;E242&amp;REPT(" ",20-LEN(TEXT(E242,F242)))&amp;"  ! ["&amp;G242&amp;"]"</f>
        <v>##SET1 FallSwingSeasonEndDate[]      10/31               ! [-]</v>
      </c>
      <c r="D242" s="579" t="s">
        <v>1019</v>
      </c>
      <c r="E242" s="627" t="str">
        <f t="shared" si="16"/>
        <v>10/31</v>
      </c>
      <c r="F242" s="568" t="s">
        <v>162</v>
      </c>
      <c r="G242" s="64" t="s">
        <v>212</v>
      </c>
      <c r="I242" s="580"/>
      <c r="J242" s="580"/>
    </row>
    <row r="243" spans="2:12" ht="13.5">
      <c r="B243" s="13" t="str">
        <f t="shared" ref="B243:B256" si="17">"##SET1 "&amp;D243&amp;REPT(" ",fill_1-LEN(D243))&amp;TEXT(E243,F243)&amp;REPT(" ",20-LEN(TEXT(E243,F243)))&amp;"  ! ["&amp;G243&amp;"]"</f>
        <v>##SET1 TowerSizingFactor[]           1.0                   ! [C]</v>
      </c>
      <c r="D243" s="579" t="s">
        <v>611</v>
      </c>
      <c r="E243" s="628">
        <f t="shared" si="16"/>
        <v>1</v>
      </c>
      <c r="F243" s="68" t="s">
        <v>162</v>
      </c>
      <c r="G243" s="566" t="s">
        <v>239</v>
      </c>
    </row>
    <row r="244" spans="2:12" ht="13.5">
      <c r="B244" s="13" t="str">
        <f t="shared" si="17"/>
        <v>##SET1 CndW_Radiant_Pump_MaxFlow[]   0.01100               ! [C]</v>
      </c>
      <c r="D244" s="579" t="s">
        <v>996</v>
      </c>
      <c r="E244" s="626">
        <f t="shared" si="16"/>
        <v>1.0999999999999999E-2</v>
      </c>
      <c r="F244" s="568" t="s">
        <v>149</v>
      </c>
      <c r="G244" s="566" t="s">
        <v>239</v>
      </c>
    </row>
    <row r="245" spans="2:12" ht="13.5">
      <c r="B245" s="13" t="str">
        <f t="shared" si="17"/>
        <v>##SET1 CndW_Radiant_Setpoint_Cntrl[] Fixed Temp            ! [C]</v>
      </c>
      <c r="D245" s="579" t="s">
        <v>1021</v>
      </c>
      <c r="E245" s="627" t="str">
        <f t="shared" si="16"/>
        <v>Fixed Temp</v>
      </c>
      <c r="F245" s="68" t="s">
        <v>162</v>
      </c>
      <c r="G245" s="566" t="s">
        <v>239</v>
      </c>
    </row>
    <row r="246" spans="2:12" ht="13.5">
      <c r="B246" s="13" t="str">
        <f t="shared" si="17"/>
        <v>##SET1 CndW_Radiant_ControlVar[]     15.0                  ! [-]</v>
      </c>
      <c r="D246" s="579" t="s">
        <v>1020</v>
      </c>
      <c r="E246" s="628">
        <f t="shared" si="16"/>
        <v>15</v>
      </c>
      <c r="F246" s="68" t="s">
        <v>162</v>
      </c>
      <c r="G246" s="64" t="s">
        <v>212</v>
      </c>
    </row>
    <row r="247" spans="2:12" ht="13.5">
      <c r="B247" s="13" t="str">
        <f t="shared" si="17"/>
        <v>##SET1 RadiantPerim_CoolingSP[]      21.5                  ! [-]</v>
      </c>
      <c r="D247" s="579" t="s">
        <v>1002</v>
      </c>
      <c r="E247" s="625">
        <f t="shared" si="16"/>
        <v>21.5</v>
      </c>
      <c r="F247" s="68" t="s">
        <v>162</v>
      </c>
      <c r="G247" s="64" t="s">
        <v>212</v>
      </c>
    </row>
    <row r="248" spans="2:12" ht="13.5">
      <c r="B248" s="13" t="str">
        <f t="shared" si="17"/>
        <v>##SET1 RadiantPerim_NightCoolingSP[] -50.0                 ! [-]</v>
      </c>
      <c r="D248" s="579" t="s">
        <v>1023</v>
      </c>
      <c r="E248" s="625">
        <f>IF(J120="Off",-50,J120)</f>
        <v>-50</v>
      </c>
      <c r="F248" s="68" t="s">
        <v>162</v>
      </c>
      <c r="G248" s="64" t="s">
        <v>212</v>
      </c>
    </row>
    <row r="249" spans="2:12" ht="13.5">
      <c r="B249" s="13" t="str">
        <f t="shared" si="17"/>
        <v>##SET1 RadiantCore_CoolingSP[]       19.50000              ! [C]</v>
      </c>
      <c r="D249" s="579" t="s">
        <v>1003</v>
      </c>
      <c r="E249" s="625">
        <f>J121</f>
        <v>19.5</v>
      </c>
      <c r="F249" s="568" t="s">
        <v>149</v>
      </c>
      <c r="G249" s="566" t="s">
        <v>239</v>
      </c>
    </row>
    <row r="250" spans="2:12" ht="13.5">
      <c r="B250" s="13" t="str">
        <f t="shared" si="17"/>
        <v>##SET1 RadiantCore_NightCoolingSP[]  -50.00000             ! [C]</v>
      </c>
      <c r="D250" s="579" t="s">
        <v>1004</v>
      </c>
      <c r="E250" s="625">
        <f>IF(J122="Off",-50,J122)</f>
        <v>-50</v>
      </c>
      <c r="F250" s="568" t="s">
        <v>149</v>
      </c>
      <c r="G250" s="566" t="s">
        <v>239</v>
      </c>
    </row>
    <row r="251" spans="2:12" s="580" customFormat="1" ht="13.5">
      <c r="B251" s="582" t="str">
        <f t="shared" si="17"/>
        <v>##SET1 Swing_Season_Operation[]      Yes                   ! [C]</v>
      </c>
      <c r="D251" s="588" t="s">
        <v>1026</v>
      </c>
      <c r="E251" s="625" t="str">
        <f>J123</f>
        <v>Yes</v>
      </c>
      <c r="F251" s="585" t="s">
        <v>149</v>
      </c>
      <c r="G251" s="584" t="s">
        <v>239</v>
      </c>
      <c r="I251"/>
      <c r="J251"/>
      <c r="K251"/>
      <c r="L251"/>
    </row>
    <row r="252" spans="2:12" s="580" customFormat="1" ht="13.5">
      <c r="B252" s="582" t="str">
        <f>"##SET1 "&amp;D252&amp;REPT(" ",fill_1-LEN(D252))&amp;TEXT(E252,F252)&amp;REPT(" ",20-LEN(TEXT(E252,F252)))&amp;"  ! ["&amp;G252&amp;"]"</f>
        <v>##SET1 TDV_Evaluation[]              No                    ! [C]</v>
      </c>
      <c r="D252" s="588" t="s">
        <v>1030</v>
      </c>
      <c r="E252" s="625" t="str">
        <f>J125</f>
        <v>No</v>
      </c>
      <c r="F252" s="585" t="s">
        <v>149</v>
      </c>
      <c r="G252" s="584" t="s">
        <v>239</v>
      </c>
      <c r="I252"/>
      <c r="J252"/>
    </row>
    <row r="253" spans="2:12" s="580" customFormat="1" ht="13.5">
      <c r="B253" s="582" t="str">
        <f t="shared" si="17"/>
        <v>##SET1 SPFloor_Coeff[]               5.00000               ! [C]</v>
      </c>
      <c r="D253" s="588" t="s">
        <v>1060</v>
      </c>
      <c r="E253" s="625">
        <v>5</v>
      </c>
      <c r="F253" s="585" t="s">
        <v>149</v>
      </c>
      <c r="G253" s="584" t="s">
        <v>239</v>
      </c>
    </row>
    <row r="254" spans="2:12" ht="13.5">
      <c r="B254" s="582" t="str">
        <f t="shared" si="17"/>
        <v>##SET1 SPWall_Coeff[]                5.00000               ! [C]</v>
      </c>
      <c r="C254" s="580"/>
      <c r="D254" s="588" t="s">
        <v>1061</v>
      </c>
      <c r="E254" s="625">
        <v>5</v>
      </c>
      <c r="F254" s="585" t="s">
        <v>149</v>
      </c>
      <c r="G254" s="584" t="s">
        <v>239</v>
      </c>
      <c r="I254" s="580"/>
      <c r="J254" s="580"/>
      <c r="K254" s="580"/>
      <c r="L254" s="580"/>
    </row>
    <row r="255" spans="2:12" ht="13.5">
      <c r="B255" s="582" t="str">
        <f t="shared" si="17"/>
        <v>##SET1 SPCeiling_Coeff[]             5.00000               ! [C]</v>
      </c>
      <c r="C255" s="580"/>
      <c r="D255" s="588" t="s">
        <v>1062</v>
      </c>
      <c r="E255" s="625">
        <v>5</v>
      </c>
      <c r="F255" s="585" t="s">
        <v>149</v>
      </c>
      <c r="G255" s="584" t="s">
        <v>239</v>
      </c>
      <c r="I255" s="580"/>
      <c r="J255" s="580"/>
    </row>
    <row r="256" spans="2:12" ht="13.5">
      <c r="B256" s="582" t="str">
        <f t="shared" si="17"/>
        <v>##SET1 Damper_action[]               Reverse               ! []</v>
      </c>
      <c r="C256" s="580"/>
      <c r="D256" s="588" t="s">
        <v>1118</v>
      </c>
      <c r="E256" s="625" t="str">
        <f>J60</f>
        <v>Reverse</v>
      </c>
      <c r="F256" s="585" t="s">
        <v>211</v>
      </c>
      <c r="G256" s="584"/>
      <c r="I256" s="580"/>
      <c r="J256" s="580"/>
    </row>
    <row r="257" spans="2:12" s="580" customFormat="1" ht="13.5">
      <c r="B257" s="582" t="str">
        <f t="shared" ref="B257:B264" si="18">"##SET1 "&amp;D257&amp;REPT(" ",fill_1-LEN(D257))&amp;TEXT(E257,F257)&amp;REPT(" ",20-LEN(TEXT(E257,F257)))&amp;"  ! ["&amp;G257&amp;"]"</f>
        <v>##SET1 Return_Bypass[]               No                    ! []</v>
      </c>
      <c r="C257"/>
      <c r="D257" t="s">
        <v>1063</v>
      </c>
      <c r="E257" s="617" t="s">
        <v>488</v>
      </c>
      <c r="F257" s="585" t="s">
        <v>149</v>
      </c>
      <c r="G257" s="5"/>
      <c r="K257"/>
      <c r="L257"/>
    </row>
    <row r="258" spans="2:12" s="580" customFormat="1" ht="13.5">
      <c r="B258" s="582" t="str">
        <f t="shared" si="18"/>
        <v>##SET1 Fake_UFAD[]                   No                    ! []</v>
      </c>
      <c r="D258" s="581" t="s">
        <v>1142</v>
      </c>
      <c r="E258" s="617" t="str">
        <f>IF(RunType_Two="OH", J7,"No")</f>
        <v>No</v>
      </c>
      <c r="F258" s="585" t="s">
        <v>149</v>
      </c>
      <c r="G258" s="5"/>
    </row>
    <row r="259" spans="2:12" s="580" customFormat="1" ht="13.5">
      <c r="B259" s="582" t="str">
        <f t="shared" si="18"/>
        <v>##SET1 People_RoomRatio[]            0.99000               ! []</v>
      </c>
      <c r="D259" s="611" t="s">
        <v>1123</v>
      </c>
      <c r="E259" s="617">
        <v>0.99</v>
      </c>
      <c r="F259" s="585" t="s">
        <v>149</v>
      </c>
      <c r="G259" s="5"/>
    </row>
    <row r="260" spans="2:12" s="580" customFormat="1" ht="13.5">
      <c r="B260" s="582" t="str">
        <f t="shared" si="18"/>
        <v>##SET1 Equipment_RoomRatio[]         0.99000               ! []</v>
      </c>
      <c r="D260" s="611" t="s">
        <v>1124</v>
      </c>
      <c r="E260" s="617">
        <v>0.99</v>
      </c>
      <c r="F260" s="585" t="s">
        <v>149</v>
      </c>
      <c r="G260" s="5"/>
    </row>
    <row r="261" spans="2:12" s="580" customFormat="1" ht="13.5">
      <c r="B261" s="582" t="str">
        <f t="shared" si="18"/>
        <v>##SET1 Lighting_RoomRatio[]          0.99000               ! []</v>
      </c>
      <c r="D261" s="611" t="s">
        <v>1125</v>
      </c>
      <c r="E261" s="617">
        <v>0.99</v>
      </c>
      <c r="F261" s="585" t="s">
        <v>149</v>
      </c>
      <c r="G261" s="5"/>
    </row>
    <row r="262" spans="2:12" s="580" customFormat="1" ht="13.5">
      <c r="B262" s="582" t="str">
        <f t="shared" si="18"/>
        <v>##SET1 Remainder_PeopleRoom[]        0.01000               ! []</v>
      </c>
      <c r="D262" s="611" t="s">
        <v>1126</v>
      </c>
      <c r="E262" s="617">
        <f>1-E259</f>
        <v>1.0000000000000009E-2</v>
      </c>
      <c r="F262" s="585" t="s">
        <v>149</v>
      </c>
      <c r="G262" s="5"/>
    </row>
    <row r="263" spans="2:12" s="580" customFormat="1" ht="13.5">
      <c r="B263" s="582" t="str">
        <f t="shared" si="18"/>
        <v>##SET1 Remainder_EquipmentRoom[]     0.01000               ! []</v>
      </c>
      <c r="D263" s="611" t="s">
        <v>1127</v>
      </c>
      <c r="E263" s="617">
        <f>1-E260</f>
        <v>1.0000000000000009E-2</v>
      </c>
      <c r="F263" s="585" t="s">
        <v>149</v>
      </c>
      <c r="G263" s="5"/>
    </row>
    <row r="264" spans="2:12" s="580" customFormat="1" ht="13.5">
      <c r="B264" s="582" t="str">
        <f t="shared" si="18"/>
        <v>##SET1 Remainder_LightingRoom[]      0.01000               ! []</v>
      </c>
      <c r="D264" s="611" t="s">
        <v>1128</v>
      </c>
      <c r="E264" s="617">
        <f>1-E261</f>
        <v>1.0000000000000009E-2</v>
      </c>
      <c r="F264" s="585" t="s">
        <v>149</v>
      </c>
      <c r="G264" s="5"/>
    </row>
    <row r="265" spans="2:12" s="580" customFormat="1" ht="13.5">
      <c r="B265" s="582" t="str">
        <f t="shared" ref="B265:B274" si="19">"##SET1 "&amp;D265&amp;REPT(" ",fill_1-LEN(D265))&amp;TEXT(E265,F265)&amp;REPT(" ",20-LEN(TEXT(E265,F265)))&amp;"  ! ["&amp;G265&amp;"]"</f>
        <v>##SET1 Window_RoomRatio[]            0.99000               ! []</v>
      </c>
      <c r="D265" s="611" t="s">
        <v>1129</v>
      </c>
      <c r="E265" s="617">
        <v>0.99</v>
      </c>
      <c r="F265" s="585" t="s">
        <v>149</v>
      </c>
      <c r="G265" s="5"/>
    </row>
    <row r="266" spans="2:12" s="580" customFormat="1" ht="13.5">
      <c r="B266" s="582" t="str">
        <f t="shared" si="19"/>
        <v>##SET1 Window_SecondHeight_GF[]      2.90000               ! []</v>
      </c>
      <c r="D266" s="611" t="s">
        <v>1130</v>
      </c>
      <c r="E266" s="15">
        <f>2.9+((3.9624-0)*J19*(1-IF(J7="No",1,E265)))</f>
        <v>2.9</v>
      </c>
      <c r="F266" s="585" t="s">
        <v>149</v>
      </c>
      <c r="G266" s="5"/>
    </row>
    <row r="267" spans="2:12" s="580" customFormat="1" ht="13.5">
      <c r="B267" s="582" t="str">
        <f t="shared" si="19"/>
        <v>##SET1 Window_SecondHeight_MF[]      6.90000               ! []</v>
      </c>
      <c r="D267" s="611" t="s">
        <v>1131</v>
      </c>
      <c r="E267" s="15">
        <f>6.9+((7.9248-3.9624)*J19*(1-IF(J7="No",1,E265)))</f>
        <v>6.9</v>
      </c>
      <c r="F267" s="585" t="s">
        <v>149</v>
      </c>
      <c r="G267" s="5"/>
    </row>
    <row r="268" spans="2:12" s="580" customFormat="1" ht="13.5">
      <c r="B268" s="582" t="str">
        <f t="shared" si="19"/>
        <v>##SET1 Window_SecondHeight_TF[]      10.80000              ! []</v>
      </c>
      <c r="D268" s="611" t="s">
        <v>1132</v>
      </c>
      <c r="E268" s="15">
        <f>10.8+((11.8872-7.9248)*$J$19*(1-IF($J$7="No",1,$E$265)))</f>
        <v>10.8</v>
      </c>
      <c r="F268" s="585" t="s">
        <v>149</v>
      </c>
      <c r="G268" s="5"/>
    </row>
    <row r="269" spans="2:12" s="580" customFormat="1" ht="13.5">
      <c r="B269" s="582" t="str">
        <f t="shared" si="19"/>
        <v>##SET1 WWR_Text[]                    Forty                 ! []</v>
      </c>
      <c r="D269" s="611" t="s">
        <v>1135</v>
      </c>
      <c r="E269" s="15" t="str">
        <f>IF(AND(0.41&gt;WWR_value, WWR_value&gt;0.31), "Forty", IF(AND(0.31&gt;WWR_value, WWR_value&gt;0.21), "Thirty", IF(AND(0.21&gt;WWR_value, WWR_value&gt;0), "Twenty")))</f>
        <v>Forty</v>
      </c>
      <c r="F269" s="585" t="s">
        <v>149</v>
      </c>
      <c r="G269" s="5"/>
    </row>
    <row r="270" spans="2:12" s="580" customFormat="1" ht="13.5">
      <c r="B270" s="582" t="str">
        <f t="shared" si="19"/>
        <v>##SET1 EWPerimeter_Area[]            140.06934             ! []</v>
      </c>
      <c r="D270" s="611" t="s">
        <v>1136</v>
      </c>
      <c r="E270" s="15">
        <f>EW_Area</f>
        <v>140.06934356126902</v>
      </c>
      <c r="F270" s="585" t="s">
        <v>149</v>
      </c>
      <c r="G270" s="5"/>
    </row>
    <row r="271" spans="2:12" s="580" customFormat="1" ht="13.5">
      <c r="B271" s="582" t="str">
        <f t="shared" si="19"/>
        <v>##SET1 SNPerimeter_Area[]            220.56096             ! []</v>
      </c>
      <c r="D271" s="611" t="s">
        <v>1137</v>
      </c>
      <c r="E271" s="15">
        <f>SN_Area</f>
        <v>220.56096061257577</v>
      </c>
      <c r="F271" s="585" t="s">
        <v>149</v>
      </c>
      <c r="G271" s="5"/>
    </row>
    <row r="272" spans="2:12" s="580" customFormat="1" ht="13.5">
      <c r="B272" s="582" t="str">
        <f t="shared" si="19"/>
        <v>##SET1 Core_Area[]                   1137.47545            ! []</v>
      </c>
      <c r="D272" s="611" t="s">
        <v>1138</v>
      </c>
      <c r="E272" s="15">
        <f>Core_Area</f>
        <v>1137.4754511318642</v>
      </c>
      <c r="F272" s="585" t="s">
        <v>149</v>
      </c>
      <c r="G272" s="5"/>
    </row>
    <row r="273" spans="2:10" s="580" customFormat="1" ht="13.5">
      <c r="B273" s="582" t="str">
        <f t="shared" si="19"/>
        <v>##SET1 DetailedReport[]              Yes                   ! []</v>
      </c>
      <c r="D273" s="611" t="s">
        <v>1140</v>
      </c>
      <c r="E273" s="617" t="str">
        <f>Detailed_Report</f>
        <v>Yes</v>
      </c>
      <c r="F273" s="585" t="s">
        <v>211</v>
      </c>
      <c r="G273" s="5"/>
      <c r="I273"/>
      <c r="J273"/>
    </row>
    <row r="274" spans="2:10" ht="13.5">
      <c r="B274" s="582" t="str">
        <f t="shared" si="19"/>
        <v>##SET1 FirstDualMinFraction[]        0.06                  ! []</v>
      </c>
      <c r="C274" s="580"/>
      <c r="D274" s="611" t="s">
        <v>2567</v>
      </c>
      <c r="E274" s="649">
        <f>FirstMinFrac</f>
        <v>0.06</v>
      </c>
      <c r="F274" s="585" t="s">
        <v>150</v>
      </c>
    </row>
    <row r="275" spans="2:10" ht="13.5">
      <c r="B275" s="582" t="str">
        <f t="shared" ref="B275" si="20">"##SET1 "&amp;D275&amp;REPT(" ",fill_1-LEN(D275))&amp;TEXT(E275,F275)&amp;REPT(" ",20-LEN(TEXT(E275,F275)))&amp;"  ! ["&amp;G275&amp;"]"</f>
        <v>##SET1 SecondDualMinFraction[]       0.12                  ! []</v>
      </c>
      <c r="C275" s="580"/>
      <c r="D275" s="611" t="s">
        <v>2570</v>
      </c>
      <c r="E275" s="649">
        <f>SecondMinFrac</f>
        <v>0.12</v>
      </c>
      <c r="F275" s="585" t="s">
        <v>150</v>
      </c>
    </row>
    <row r="276" spans="2:10" ht="13.5">
      <c r="B276" s="582"/>
      <c r="C276" s="580"/>
      <c r="D276" s="611"/>
      <c r="E276" s="617"/>
      <c r="F276" s="585"/>
    </row>
    <row r="277" spans="2:10" ht="13.5">
      <c r="B277" s="582" t="s">
        <v>1064</v>
      </c>
    </row>
    <row r="278" spans="2:10" ht="13.5">
      <c r="B278" s="582" t="str">
        <f>"##include Location\"&amp;D278&amp;REPT(" ",LEN(D278))&amp;TEXT(E278,F278)&amp;REPT(" ",20-LEN(TEXT(E278,F278)))</f>
        <v xml:space="preserve">##include Location\CA_sacramento.imf   </v>
      </c>
      <c r="D278" s="581"/>
      <c r="E278" s="15" t="str">
        <f>Weather_location&amp;".imf"</f>
        <v>CA_sacramento.imf</v>
      </c>
    </row>
    <row r="279" spans="2:10">
      <c r="B279" s="9" t="s">
        <v>195</v>
      </c>
    </row>
  </sheetData>
  <phoneticPr fontId="11" type="noConversion"/>
  <dataValidations count="35">
    <dataValidation type="list" allowBlank="1" showInputMessage="1" showErrorMessage="1" sqref="J121">
      <formula1>"19,19.5,20,20.5,21"</formula1>
    </dataValidation>
    <dataValidation type="list" allowBlank="1" showInputMessage="1" showErrorMessage="1" sqref="J122">
      <formula1>"Off,22,22.5,23,23.5,24,24.5,25"</formula1>
    </dataValidation>
    <dataValidation type="list" allowBlank="1" showInputMessage="1" showErrorMessage="1" sqref="J118">
      <formula1>"2,2.5,3,3.5,4,15,16,17,18"</formula1>
    </dataValidation>
    <dataValidation type="list" allowBlank="1" showInputMessage="1" showErrorMessage="1" sqref="J117">
      <formula1>"FixedTemp, AverageWetbulbOffset"</formula1>
    </dataValidation>
    <dataValidation type="list" allowBlank="1" showInputMessage="1" showErrorMessage="1" sqref="J119">
      <formula1>"19.5,20,20.5,21,21.5,22,22.5"</formula1>
    </dataValidation>
    <dataValidation type="list" showInputMessage="1" showErrorMessage="1" sqref="J58">
      <formula1>"SingleSpeed, TwoSpeed, VariableSpeed"</formula1>
    </dataValidation>
    <dataValidation type="list" showInputMessage="1" showErrorMessage="1" sqref="J59">
      <formula1>"CoolingLoad, WetBulbDiff"</formula1>
    </dataValidation>
    <dataValidation showInputMessage="1" showErrorMessage="1" sqref="J56 J77:J82 J71:J73 J95:J100 J45:J48 J15:J19 J89:J91 J50 J67:J69 J85:J87"/>
    <dataValidation type="list" showInputMessage="1" showErrorMessage="1" sqref="J57">
      <formula1>"YORK, FCU"</formula1>
    </dataValidation>
    <dataValidation type="list" allowBlank="1" showInputMessage="1" showErrorMessage="1" sqref="J115">
      <formula1>".75,1,1.25"</formula1>
    </dataValidation>
    <dataValidation type="list" allowBlank="1" showInputMessage="1" showErrorMessage="1" sqref="J103">
      <formula1>"High, Low"</formula1>
    </dataValidation>
    <dataValidation type="list" allowBlank="1" showInputMessage="1" showErrorMessage="1" sqref="J102">
      <formula1>"Series, Paralell, No_Decay, Single_Plenum, DuctedPerimeterSingle, DuctedPerimeterParallel"</formula1>
    </dataValidation>
    <dataValidation type="list" allowBlank="1" showInputMessage="1" showErrorMessage="1" sqref="J108">
      <formula1>"ON, OFF"</formula1>
    </dataValidation>
    <dataValidation type="list" allowBlank="1" showInputMessage="1" showErrorMessage="1" sqref="J106">
      <formula1>AHU_SAT_SPT</formula1>
    </dataValidation>
    <dataValidation type="list" allowBlank="1" showInputMessage="1" showErrorMessage="1" sqref="J125 J123 J31 J7 J10:J13">
      <formula1>"Yes, No"</formula1>
    </dataValidation>
    <dataValidation type="list" allowBlank="1" showInputMessage="1" showErrorMessage="1" sqref="U12">
      <formula1>#REF!</formula1>
    </dataValidation>
    <dataValidation type="list" allowBlank="1" showInputMessage="1" showErrorMessage="1" sqref="J38">
      <formula1>"0.1, 0.2, 0.3, Min_OSA"</formula1>
    </dataValidation>
    <dataValidation type="list" allowBlank="1" showInputMessage="1" showErrorMessage="1" sqref="J35">
      <formula1>"OH, UFAD_ReturnPlen, UFAD_NoReturnPlen, UFAD/Radiant"</formula1>
    </dataValidation>
    <dataValidation type="list" allowBlank="1" showInputMessage="1" showErrorMessage="1" sqref="J30">
      <formula1>"ASHRAE_90.1, LBL"</formula1>
    </dataValidation>
    <dataValidation type="list" showInputMessage="1" showErrorMessage="1" sqref="J20">
      <formula1>"Above, Below, None"</formula1>
    </dataValidation>
    <dataValidation type="list" showInputMessage="1" showErrorMessage="1" sqref="J43">
      <formula1>"Return_Fan, Relief_Fan, None"</formula1>
    </dataValidation>
    <dataValidation type="list" showInputMessage="1" showErrorMessage="1" sqref="J44 J41 J54:J55 J49 J51:J52">
      <formula1>"Yes, No"</formula1>
    </dataValidation>
    <dataValidation type="list" allowBlank="1" showInputMessage="1" showErrorMessage="1" sqref="J42">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7">
      <formula1>"Fix, Autosize"</formula1>
    </dataValidation>
    <dataValidation type="list" allowBlank="1" showInputMessage="1" showErrorMessage="1" sqref="J36">
      <formula1>"Fixed_Min, VAV_Heating"</formula1>
    </dataValidation>
    <dataValidation type="decimal" showInputMessage="1" showErrorMessage="1" sqref="J53">
      <formula1>0.05</formula1>
      <formula2>0.5</formula2>
    </dataValidation>
    <dataValidation type="list" allowBlank="1" showInputMessage="1" showErrorMessage="1" sqref="J116">
      <formula1>".006,.009,.011"</formula1>
    </dataValidation>
    <dataValidation type="list" allowBlank="1" showInputMessage="1" showErrorMessage="1" sqref="J120">
      <formula1>"Off,24,25,26,27,28"</formula1>
    </dataValidation>
    <dataValidation type="list" allowBlank="1" showInputMessage="1" showErrorMessage="1" sqref="J124">
      <formula1>"SourceTemperature, InsideSurfaceTemperature"</formula1>
    </dataValidation>
    <dataValidation type="list" showInputMessage="1" showErrorMessage="1" sqref="J61">
      <formula1>"On, Off"</formula1>
    </dataValidation>
    <dataValidation type="list" showInputMessage="1" showErrorMessage="1" sqref="J60">
      <formula1>"Normal, Reverse"</formula1>
    </dataValidation>
    <dataValidation type="list" allowBlank="1" showInputMessage="1" showErrorMessage="1" sqref="J39">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1:J115"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J70 J88</xm:sqref>
        </x14:dataValidation>
        <x14:dataValidation type="list" allowBlank="1" showInputMessage="1" showErrorMessage="1">
          <x14:formula1>
            <xm:f>lists!Q12:Q17</xm:f>
          </x14:formula1>
          <xm:sqref>J111</xm:sqref>
        </x14:dataValidation>
        <x14:dataValidation type="list" allowBlank="1" showInputMessage="1" showErrorMessage="1">
          <x14:formula1>
            <xm:f>lists!R12:R17</xm:f>
          </x14:formula1>
          <xm:sqref>J112</xm:sqref>
        </x14:dataValidation>
        <x14:dataValidation type="list" allowBlank="1" showInputMessage="1" showErrorMessage="1">
          <x14:formula1>
            <xm:f>lists!S12:S17</xm:f>
          </x14:formula1>
          <xm:sqref>J113</xm:sqref>
        </x14:dataValidation>
        <x14:dataValidation type="list" allowBlank="1" showInputMessage="1" showErrorMessage="1">
          <x14:formula1>
            <xm:f>lists!T12:T17</xm:f>
          </x14:formula1>
          <xm:sqref>J114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54" sqref="C54"/>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1" t="s">
        <v>1088</v>
      </c>
      <c r="AC1" s="581" t="s">
        <v>1087</v>
      </c>
      <c r="AD1" s="581" t="s">
        <v>1090</v>
      </c>
      <c r="AE1" s="581" t="s">
        <v>1089</v>
      </c>
      <c r="AF1" s="581" t="s">
        <v>1091</v>
      </c>
      <c r="AG1" s="581" t="s">
        <v>1092</v>
      </c>
      <c r="AH1" s="581" t="s">
        <v>1093</v>
      </c>
    </row>
    <row r="2" spans="1:34">
      <c r="M2" s="580">
        <v>745</v>
      </c>
      <c r="N2" s="580">
        <v>1417</v>
      </c>
      <c r="O2" s="30">
        <v>2161</v>
      </c>
      <c r="P2" s="580">
        <v>2881</v>
      </c>
      <c r="Q2" s="580">
        <v>3625</v>
      </c>
      <c r="R2" s="580">
        <v>4345</v>
      </c>
      <c r="S2" s="580">
        <v>5089</v>
      </c>
      <c r="T2" s="580">
        <v>5833</v>
      </c>
      <c r="U2" s="580">
        <v>6553</v>
      </c>
      <c r="V2" s="580">
        <v>7297</v>
      </c>
      <c r="W2" s="580">
        <v>8017</v>
      </c>
      <c r="X2" s="580">
        <v>8761</v>
      </c>
      <c r="AB2" s="580">
        <f>HLOOKUP("*"&amp;'Output annual'!$AC$2&amp;'Output annual'!$AD$2&amp;"*Zone People Number Of Occupants [](Hourly)",'Eplus results'!$1:$1048576,ROW(),FALSE)</f>
        <v>0</v>
      </c>
      <c r="AC2" s="580">
        <f>HLOOKUP("*"&amp;'Output annual'!$AC$2&amp;'Output annual'!$AD$2&amp;"*FangerPMV(Hourly)",'Eplus results'!$1:$1048576,ROW(),FALSE)</f>
        <v>-1.2456575343962399</v>
      </c>
      <c r="AD2">
        <f>100-95*EXP(-0.03353*AC2^4-0.2179*AC2^2)</f>
        <v>37.507856314916616</v>
      </c>
      <c r="AE2" s="580">
        <f>AD2*(1/(1+EXP(-6.3*$AC2)))</f>
        <v>1.4647543312736286E-2</v>
      </c>
      <c r="AF2" s="580">
        <f>(AD2-AE2)</f>
        <v>37.493208771603882</v>
      </c>
      <c r="AG2">
        <f>AE2*AB2</f>
        <v>0</v>
      </c>
      <c r="AH2">
        <f>AF2*AB2</f>
        <v>0</v>
      </c>
    </row>
    <row r="3" spans="1:34">
      <c r="B3" t="s">
        <v>88</v>
      </c>
      <c r="C3">
        <f>'graph data'!D4</f>
        <v>4842</v>
      </c>
      <c r="D3" s="149">
        <f>(HLOOKUP("Day",Julian_day,'Output hourly'!D6+1,FALSE)+'Output hourly'!D7-1)*24+1</f>
        <v>4825</v>
      </c>
      <c r="L3" s="581" t="s">
        <v>1098</v>
      </c>
      <c r="M3" s="580">
        <f>IFERROR(HLOOKUP($L3,'Eplus results'!$1:$65536,M$2, FALSE),0)</f>
        <v>0</v>
      </c>
      <c r="N3" s="580">
        <f>IFERROR(HLOOKUP($L3,'Eplus results'!$1:$65536,N$2, FALSE),0)</f>
        <v>0</v>
      </c>
      <c r="O3" s="580">
        <f>IFERROR(HLOOKUP($L3,'Eplus results'!$1:$65536,O$2, FALSE),0)</f>
        <v>0</v>
      </c>
      <c r="P3" s="580">
        <f>IFERROR(HLOOKUP($L3,'Eplus results'!$1:$65536,P$2, FALSE),0)</f>
        <v>0</v>
      </c>
      <c r="Q3" s="580">
        <f>IFERROR(HLOOKUP($L3,'Eplus results'!$1:$65536,Q$2, FALSE),0)</f>
        <v>0</v>
      </c>
      <c r="R3" s="580">
        <f>IFERROR(HLOOKUP($L3,'Eplus results'!$1:$65536,R$2, FALSE),0)</f>
        <v>0</v>
      </c>
      <c r="S3" s="580">
        <f>IFERROR(HLOOKUP($L3,'Eplus results'!$1:$65536,S$2, FALSE),0)</f>
        <v>0</v>
      </c>
      <c r="T3" s="580">
        <f>IFERROR(HLOOKUP($L3,'Eplus results'!$1:$65536,T$2, FALSE),0)</f>
        <v>0</v>
      </c>
      <c r="U3" s="580">
        <f>IFERROR(HLOOKUP($L3,'Eplus results'!$1:$65536,U$2, FALSE),0)</f>
        <v>0</v>
      </c>
      <c r="V3" s="580">
        <f>IFERROR(HLOOKUP($L3,'Eplus results'!$1:$65536,V$2, FALSE),0)</f>
        <v>0</v>
      </c>
      <c r="W3" s="580">
        <f>IFERROR(HLOOKUP($L3,'Eplus results'!$1:$65536,W$2, FALSE),0)</f>
        <v>0</v>
      </c>
      <c r="X3" s="580">
        <f>IFERROR(HLOOKUP($L3,'Eplus results'!$1:$65536,X$2, FALSE),0)</f>
        <v>0</v>
      </c>
      <c r="AB3" s="580">
        <f>HLOOKUP("*"&amp;'Output annual'!$AC$2&amp;'Output annual'!$AD$2&amp;"*Zone People Number Of Occupants [](Hourly)",'Eplus results'!$1:$1048576,ROW(),FALSE)</f>
        <v>0</v>
      </c>
      <c r="AC3" s="580">
        <f>HLOOKUP("*"&amp;'Output annual'!$AC$2&amp;'Output annual'!$AD$2&amp;"*FangerPMV(Hourly)",'Eplus results'!$1:$1048576,ROW(),FALSE)</f>
        <v>-1.23767211142753</v>
      </c>
      <c r="AD3" s="580">
        <f t="shared" ref="AD3:AD66" si="0">100-95*EXP(-0.03353*AC3^4-0.2179*AC3^2)</f>
        <v>37.108428213099764</v>
      </c>
      <c r="AE3" s="580">
        <f t="shared" ref="AE3:AE66" si="1">AD3*(1/(1+EXP(-6.3*$AC3)))</f>
        <v>1.5238945455912608E-2</v>
      </c>
      <c r="AF3" s="580">
        <f t="shared" ref="AF3:AF66" si="2">(AD3-AE3)</f>
        <v>37.093189267643851</v>
      </c>
      <c r="AG3" s="580">
        <f t="shared" ref="AG3:AG66" si="3">AE3*AB3</f>
        <v>0</v>
      </c>
      <c r="AH3" s="580">
        <f t="shared" ref="AH3:AH66" si="4">AF3*AB3</f>
        <v>0</v>
      </c>
    </row>
    <row r="4" spans="1:34">
      <c r="B4" s="358" t="s">
        <v>882</v>
      </c>
      <c r="D4" s="149">
        <f>D3+'Output hourly'!D8</f>
        <v>4842</v>
      </c>
      <c r="L4" s="581" t="s">
        <v>1094</v>
      </c>
      <c r="M4" s="580">
        <f>IFERROR(HLOOKUP($L4,'Eplus results'!$1:$65536,M$2, FALSE),0)</f>
        <v>0</v>
      </c>
      <c r="N4" s="580">
        <f>IFERROR(HLOOKUP($L4,'Eplus results'!$1:$65536,N$2, FALSE),0)</f>
        <v>0</v>
      </c>
      <c r="O4" s="580">
        <f>IFERROR(HLOOKUP($L4,'Eplus results'!$1:$65536,O$2, FALSE),0)</f>
        <v>0</v>
      </c>
      <c r="P4" s="580">
        <f>IFERROR(HLOOKUP($L4,'Eplus results'!$1:$65536,P$2, FALSE),0)</f>
        <v>0</v>
      </c>
      <c r="Q4" s="580">
        <f>IFERROR(HLOOKUP($L4,'Eplus results'!$1:$65536,Q$2, FALSE),0)</f>
        <v>0</v>
      </c>
      <c r="R4" s="580">
        <f>IFERROR(HLOOKUP($L4,'Eplus results'!$1:$65536,R$2, FALSE),0)</f>
        <v>0</v>
      </c>
      <c r="S4" s="580">
        <f>IFERROR(HLOOKUP($L4,'Eplus results'!$1:$65536,S$2, FALSE),0)</f>
        <v>0</v>
      </c>
      <c r="T4" s="580">
        <f>IFERROR(HLOOKUP($L4,'Eplus results'!$1:$65536,T$2, FALSE),0)</f>
        <v>0</v>
      </c>
      <c r="U4" s="580">
        <f>IFERROR(HLOOKUP($L4,'Eplus results'!$1:$65536,U$2, FALSE),0)</f>
        <v>0</v>
      </c>
      <c r="V4" s="580">
        <f>IFERROR(HLOOKUP($L4,'Eplus results'!$1:$65536,V$2, FALSE),0)</f>
        <v>0</v>
      </c>
      <c r="W4" s="580">
        <f>IFERROR(HLOOKUP($L4,'Eplus results'!$1:$65536,W$2, FALSE),0)</f>
        <v>0</v>
      </c>
      <c r="X4" s="580">
        <f>IFERROR(HLOOKUP($L4,'Eplus results'!$1:$65536,X$2, FALSE),0)</f>
        <v>0</v>
      </c>
      <c r="AB4" s="580">
        <f>HLOOKUP("*"&amp;'Output annual'!$AC$2&amp;'Output annual'!$AD$2&amp;"*Zone People Number Of Occupants [](Hourly)",'Eplus results'!$1:$1048576,ROW(),FALSE)</f>
        <v>0</v>
      </c>
      <c r="AC4" s="580">
        <f>HLOOKUP("*"&amp;'Output annual'!$AC$2&amp;'Output annual'!$AD$2&amp;"*FangerPMV(Hourly)",'Eplus results'!$1:$1048576,ROW(),FALSE)</f>
        <v>-1.23010768477739</v>
      </c>
      <c r="AD4" s="580">
        <f t="shared" si="0"/>
        <v>36.731619498608026</v>
      </c>
      <c r="AE4" s="580">
        <f t="shared" si="1"/>
        <v>1.5820143410668303E-2</v>
      </c>
      <c r="AF4" s="580">
        <f t="shared" si="2"/>
        <v>36.715799355197355</v>
      </c>
      <c r="AG4" s="580">
        <f t="shared" si="3"/>
        <v>0</v>
      </c>
      <c r="AH4" s="580">
        <f t="shared" si="4"/>
        <v>0</v>
      </c>
    </row>
    <row r="5" spans="1:34">
      <c r="B5" t="s">
        <v>25</v>
      </c>
      <c r="C5" s="30">
        <f>HLOOKUP(B5,'Eplus results'!$1:$1048576,$C$3,FALSE)</f>
        <v>0</v>
      </c>
      <c r="E5" s="30" t="s">
        <v>25</v>
      </c>
      <c r="F5" s="30">
        <f>C5</f>
        <v>0</v>
      </c>
      <c r="L5" s="581" t="s">
        <v>1095</v>
      </c>
      <c r="M5" s="580">
        <f>IFERROR(HLOOKUP($L5,'Eplus results'!$1:$65536,M$2, FALSE),0)</f>
        <v>0</v>
      </c>
      <c r="N5" s="580">
        <f>IFERROR(HLOOKUP($L5,'Eplus results'!$1:$65536,N$2, FALSE),0)</f>
        <v>0</v>
      </c>
      <c r="O5" s="580">
        <f>IFERROR(HLOOKUP($L5,'Eplus results'!$1:$65536,O$2, FALSE),0)</f>
        <v>0</v>
      </c>
      <c r="P5" s="580">
        <f>IFERROR(HLOOKUP($L5,'Eplus results'!$1:$65536,P$2, FALSE),0)</f>
        <v>0</v>
      </c>
      <c r="Q5" s="580">
        <f>IFERROR(HLOOKUP($L5,'Eplus results'!$1:$65536,Q$2, FALSE),0)</f>
        <v>0</v>
      </c>
      <c r="R5" s="580">
        <f>IFERROR(HLOOKUP($L5,'Eplus results'!$1:$65536,R$2, FALSE),0)</f>
        <v>0</v>
      </c>
      <c r="S5" s="580">
        <f>IFERROR(HLOOKUP($L5,'Eplus results'!$1:$65536,S$2, FALSE),0)</f>
        <v>0</v>
      </c>
      <c r="T5" s="580">
        <f>IFERROR(HLOOKUP($L5,'Eplus results'!$1:$65536,T$2, FALSE),0)</f>
        <v>0</v>
      </c>
      <c r="U5" s="580">
        <f>IFERROR(HLOOKUP($L5,'Eplus results'!$1:$65536,U$2, FALSE),0)</f>
        <v>0</v>
      </c>
      <c r="V5" s="580">
        <f>IFERROR(HLOOKUP($L5,'Eplus results'!$1:$65536,V$2, FALSE),0)</f>
        <v>0</v>
      </c>
      <c r="W5" s="580">
        <f>IFERROR(HLOOKUP($L5,'Eplus results'!$1:$65536,W$2, FALSE),0)</f>
        <v>0</v>
      </c>
      <c r="X5" s="580">
        <f>IFERROR(HLOOKUP($L5,'Eplus results'!$1:$65536,X$2, FALSE),0)</f>
        <v>0</v>
      </c>
      <c r="AB5" s="580">
        <f>HLOOKUP("*"&amp;'Output annual'!$AC$2&amp;'Output annual'!$AD$2&amp;"*Zone People Number Of Occupants [](Hourly)",'Eplus results'!$1:$1048576,ROW(),FALSE)</f>
        <v>0</v>
      </c>
      <c r="AC5" s="580">
        <f>HLOOKUP("*"&amp;'Output annual'!$AC$2&amp;'Output annual'!$AD$2&amp;"*FangerPMV(Hourly)",'Eplus results'!$1:$1048576,ROW(),FALSE)</f>
        <v>-1.22559477309982</v>
      </c>
      <c r="AD5" s="580">
        <f t="shared" si="0"/>
        <v>36.507551630221982</v>
      </c>
      <c r="AE5" s="580">
        <f t="shared" si="1"/>
        <v>1.6176897310048653E-2</v>
      </c>
      <c r="AF5" s="580">
        <f t="shared" si="2"/>
        <v>36.491374732911936</v>
      </c>
      <c r="AG5" s="580">
        <f t="shared" si="3"/>
        <v>0</v>
      </c>
      <c r="AH5" s="580">
        <f t="shared" si="4"/>
        <v>0</v>
      </c>
    </row>
    <row r="6" spans="1:34">
      <c r="B6" t="s">
        <v>26</v>
      </c>
      <c r="C6" s="31">
        <f>HLOOKUP(B6,'Eplus results'!$1:$1048576,$C$3,FALSE)</f>
        <v>0</v>
      </c>
      <c r="D6" t="s">
        <v>239</v>
      </c>
      <c r="E6" s="30" t="s">
        <v>91</v>
      </c>
      <c r="F6" s="29">
        <f>C6*9/5+32</f>
        <v>32</v>
      </c>
      <c r="G6" t="s">
        <v>89</v>
      </c>
      <c r="L6" s="581" t="s">
        <v>1096</v>
      </c>
      <c r="M6" s="580">
        <f>IFERROR(HLOOKUP($L6,'Eplus results'!$1:$65536,M$2, FALSE),0)</f>
        <v>0</v>
      </c>
      <c r="N6" s="580">
        <f>IFERROR(HLOOKUP($L6,'Eplus results'!$1:$65536,N$2, FALSE),0)</f>
        <v>0</v>
      </c>
      <c r="O6" s="580">
        <f>IFERROR(HLOOKUP($L6,'Eplus results'!$1:$65536,O$2, FALSE),0)</f>
        <v>0</v>
      </c>
      <c r="P6" s="580">
        <f>IFERROR(HLOOKUP($L6,'Eplus results'!$1:$65536,P$2, FALSE),0)</f>
        <v>0</v>
      </c>
      <c r="Q6" s="580">
        <f>IFERROR(HLOOKUP($L6,'Eplus results'!$1:$65536,Q$2, FALSE),0)</f>
        <v>0</v>
      </c>
      <c r="R6" s="580">
        <f>IFERROR(HLOOKUP($L6,'Eplus results'!$1:$65536,R$2, FALSE),0)</f>
        <v>0</v>
      </c>
      <c r="S6" s="580">
        <f>IFERROR(HLOOKUP($L6,'Eplus results'!$1:$65536,S$2, FALSE),0)</f>
        <v>0</v>
      </c>
      <c r="T6" s="580">
        <f>IFERROR(HLOOKUP($L6,'Eplus results'!$1:$65536,T$2, FALSE),0)</f>
        <v>0</v>
      </c>
      <c r="U6" s="580">
        <f>IFERROR(HLOOKUP($L6,'Eplus results'!$1:$65536,U$2, FALSE),0)</f>
        <v>0</v>
      </c>
      <c r="V6" s="580">
        <f>IFERROR(HLOOKUP($L6,'Eplus results'!$1:$65536,V$2, FALSE),0)</f>
        <v>0</v>
      </c>
      <c r="W6" s="580">
        <f>IFERROR(HLOOKUP($L6,'Eplus results'!$1:$65536,W$2, FALSE),0)</f>
        <v>0</v>
      </c>
      <c r="X6" s="580">
        <f>IFERROR(HLOOKUP($L6,'Eplus results'!$1:$65536,X$2, FALSE),0)</f>
        <v>0</v>
      </c>
      <c r="AB6" s="580">
        <f>HLOOKUP("*"&amp;'Output annual'!$AC$2&amp;'Output annual'!$AD$2&amp;"*Zone People Number Of Occupants [](Hourly)",'Eplus results'!$1:$1048576,ROW(),FALSE)</f>
        <v>0</v>
      </c>
      <c r="AC6" s="580">
        <f>HLOOKUP("*"&amp;'Output annual'!$AC$2&amp;'Output annual'!$AD$2&amp;"*FangerPMV(Hourly)",'Eplus results'!$1:$1048576,ROW(),FALSE)</f>
        <v>-1.22307136937768</v>
      </c>
      <c r="AD6" s="580">
        <f t="shared" si="0"/>
        <v>36.382505741985078</v>
      </c>
      <c r="AE6" s="580">
        <f t="shared" si="1"/>
        <v>1.6379710261921039E-2</v>
      </c>
      <c r="AF6" s="580">
        <f t="shared" si="2"/>
        <v>36.366126031723155</v>
      </c>
      <c r="AG6" s="580">
        <f t="shared" si="3"/>
        <v>0</v>
      </c>
      <c r="AH6" s="580">
        <f t="shared" si="4"/>
        <v>0</v>
      </c>
    </row>
    <row r="7" spans="1:34">
      <c r="B7" t="s">
        <v>340</v>
      </c>
      <c r="C7" s="31">
        <f>HLOOKUP(B7,'Eplus results'!$1:$1048576,$C$3,FALSE)</f>
        <v>0</v>
      </c>
      <c r="D7" t="s">
        <v>239</v>
      </c>
      <c r="E7" s="30" t="s">
        <v>97</v>
      </c>
      <c r="F7" s="29">
        <f>C7*9/5+32</f>
        <v>32</v>
      </c>
      <c r="G7" t="s">
        <v>89</v>
      </c>
      <c r="L7" s="581" t="s">
        <v>1097</v>
      </c>
      <c r="M7" s="580">
        <f>IFERROR(HLOOKUP($L7,'Eplus results'!$1:$65536,M$2, FALSE),0)</f>
        <v>0</v>
      </c>
      <c r="N7" s="580">
        <f>IFERROR(HLOOKUP($L7,'Eplus results'!$1:$65536,N$2, FALSE),0)</f>
        <v>0</v>
      </c>
      <c r="O7" s="580">
        <f>IFERROR(HLOOKUP($L7,'Eplus results'!$1:$65536,O$2, FALSE),0)</f>
        <v>0</v>
      </c>
      <c r="P7" s="580">
        <f>IFERROR(HLOOKUP($L7,'Eplus results'!$1:$65536,P$2, FALSE),0)</f>
        <v>0</v>
      </c>
      <c r="Q7" s="580">
        <f>IFERROR(HLOOKUP($L7,'Eplus results'!$1:$65536,Q$2, FALSE),0)</f>
        <v>0</v>
      </c>
      <c r="R7" s="580">
        <f>IFERROR(HLOOKUP($L7,'Eplus results'!$1:$65536,R$2, FALSE),0)</f>
        <v>0</v>
      </c>
      <c r="S7" s="580">
        <f>IFERROR(HLOOKUP($L7,'Eplus results'!$1:$65536,S$2, FALSE),0)</f>
        <v>0</v>
      </c>
      <c r="T7" s="580">
        <f>IFERROR(HLOOKUP($L7,'Eplus results'!$1:$65536,T$2, FALSE),0)</f>
        <v>0</v>
      </c>
      <c r="U7" s="580">
        <f>IFERROR(HLOOKUP($L7,'Eplus results'!$1:$65536,U$2, FALSE),0)</f>
        <v>0</v>
      </c>
      <c r="V7" s="580">
        <f>IFERROR(HLOOKUP($L7,'Eplus results'!$1:$65536,V$2, FALSE),0)</f>
        <v>0</v>
      </c>
      <c r="W7" s="580">
        <f>IFERROR(HLOOKUP($L7,'Eplus results'!$1:$65536,W$2, FALSE),0)</f>
        <v>0</v>
      </c>
      <c r="X7" s="580">
        <f>IFERROR(HLOOKUP($L7,'Eplus results'!$1:$65536,X$2, FALSE),0)</f>
        <v>0</v>
      </c>
      <c r="AB7" s="580">
        <f>HLOOKUP("*"&amp;'Output annual'!$AC$2&amp;'Output annual'!$AD$2&amp;"*Zone People Number Of Occupants [](Hourly)",'Eplus results'!$1:$1048576,ROW(),FALSE)</f>
        <v>0</v>
      </c>
      <c r="AC7" s="580">
        <f>HLOOKUP("*"&amp;'Output annual'!$AC$2&amp;'Output annual'!$AD$2&amp;"*FangerPMV(Hourly)",'Eplus results'!$1:$1048576,ROW(),FALSE)</f>
        <v>-1.20856127932146</v>
      </c>
      <c r="AD7" s="580">
        <f t="shared" si="0"/>
        <v>35.666890919314469</v>
      </c>
      <c r="AE7" s="580">
        <f t="shared" si="1"/>
        <v>1.7593836621411896E-2</v>
      </c>
      <c r="AF7" s="580">
        <f t="shared" si="2"/>
        <v>35.649297082693053</v>
      </c>
      <c r="AG7" s="580">
        <f t="shared" si="3"/>
        <v>0</v>
      </c>
      <c r="AH7" s="580">
        <f t="shared" si="4"/>
        <v>0</v>
      </c>
    </row>
    <row r="8" spans="1:34">
      <c r="L8" s="581" t="s">
        <v>1099</v>
      </c>
      <c r="M8" s="580">
        <f>IFERROR(HLOOKUP($L8,'Eplus results'!$1:$65536,M$2, FALSE),0)</f>
        <v>0</v>
      </c>
      <c r="N8" s="580">
        <f>IFERROR(HLOOKUP($L8,'Eplus results'!$1:$65536,N$2, FALSE),0)</f>
        <v>0</v>
      </c>
      <c r="O8" s="580">
        <f>IFERROR(HLOOKUP($L8,'Eplus results'!$1:$65536,O$2, FALSE),0)</f>
        <v>0</v>
      </c>
      <c r="P8" s="580">
        <f>IFERROR(HLOOKUP($L8,'Eplus results'!$1:$65536,P$2, FALSE),0)</f>
        <v>0</v>
      </c>
      <c r="Q8" s="580">
        <f>IFERROR(HLOOKUP($L8,'Eplus results'!$1:$65536,Q$2, FALSE),0)</f>
        <v>0</v>
      </c>
      <c r="R8" s="580">
        <f>IFERROR(HLOOKUP($L8,'Eplus results'!$1:$65536,R$2, FALSE),0)</f>
        <v>0</v>
      </c>
      <c r="S8" s="580">
        <f>IFERROR(HLOOKUP($L8,'Eplus results'!$1:$65536,S$2, FALSE),0)</f>
        <v>0</v>
      </c>
      <c r="T8" s="580">
        <f>IFERROR(HLOOKUP($L8,'Eplus results'!$1:$65536,T$2, FALSE),0)</f>
        <v>0</v>
      </c>
      <c r="U8" s="580">
        <f>IFERROR(HLOOKUP($L8,'Eplus results'!$1:$65536,U$2, FALSE),0)</f>
        <v>0</v>
      </c>
      <c r="V8" s="580">
        <f>IFERROR(HLOOKUP($L8,'Eplus results'!$1:$65536,V$2, FALSE),0)</f>
        <v>0</v>
      </c>
      <c r="W8" s="580">
        <f>IFERROR(HLOOKUP($L8,'Eplus results'!$1:$65536,W$2, FALSE),0)</f>
        <v>0</v>
      </c>
      <c r="X8" s="580">
        <f>IFERROR(HLOOKUP($L8,'Eplus results'!$1:$65536,X$2, FALSE),0)</f>
        <v>0</v>
      </c>
      <c r="AB8" s="580">
        <f>HLOOKUP("*"&amp;'Output annual'!$AC$2&amp;'Output annual'!$AD$2&amp;"*Zone People Number Of Occupants [](Hourly)",'Eplus results'!$1:$1048576,ROW(),FALSE)</f>
        <v>12.2309210250839</v>
      </c>
      <c r="AC8" s="580">
        <f>HLOOKUP("*"&amp;'Output annual'!$AC$2&amp;'Output annual'!$AD$2&amp;"*FangerPMV(Hourly)",'Eplus results'!$1:$1048576,ROW(),FALSE)</f>
        <v>-1.2669373368197501</v>
      </c>
      <c r="AD8" s="580">
        <f t="shared" si="0"/>
        <v>38.580284461661513</v>
      </c>
      <c r="AE8" s="580">
        <f t="shared" si="1"/>
        <v>1.3176696329309534E-2</v>
      </c>
      <c r="AF8" s="580">
        <f t="shared" si="2"/>
        <v>38.567107765332203</v>
      </c>
      <c r="AG8" s="580">
        <f t="shared" si="3"/>
        <v>0.16116313217529782</v>
      </c>
      <c r="AH8" s="580">
        <f t="shared" si="4"/>
        <v>471.7112492436782</v>
      </c>
    </row>
    <row r="9" spans="1:34">
      <c r="B9" s="2" t="s">
        <v>356</v>
      </c>
      <c r="C9" s="40" t="str">
        <f>floor</f>
        <v>MF</v>
      </c>
      <c r="L9" s="581" t="s">
        <v>1100</v>
      </c>
      <c r="M9" s="580">
        <f>IFERROR(HLOOKUP($L9,'Eplus results'!$1:$65536,M$2, FALSE),0)</f>
        <v>0</v>
      </c>
      <c r="N9" s="580">
        <f>IFERROR(HLOOKUP($L9,'Eplus results'!$1:$65536,N$2, FALSE),0)</f>
        <v>0</v>
      </c>
      <c r="O9" s="580">
        <f>IFERROR(HLOOKUP($L9,'Eplus results'!$1:$65536,O$2, FALSE),0)</f>
        <v>0</v>
      </c>
      <c r="P9" s="580">
        <f>IFERROR(HLOOKUP($L9,'Eplus results'!$1:$65536,P$2, FALSE),0)</f>
        <v>0</v>
      </c>
      <c r="Q9" s="580">
        <f>IFERROR(HLOOKUP($L9,'Eplus results'!$1:$65536,Q$2, FALSE),0)</f>
        <v>0</v>
      </c>
      <c r="R9" s="580">
        <f>IFERROR(HLOOKUP($L9,'Eplus results'!$1:$65536,R$2, FALSE),0)</f>
        <v>0</v>
      </c>
      <c r="S9" s="580">
        <f>IFERROR(HLOOKUP($L9,'Eplus results'!$1:$65536,S$2, FALSE),0)</f>
        <v>0</v>
      </c>
      <c r="T9" s="580">
        <f>IFERROR(HLOOKUP($L9,'Eplus results'!$1:$65536,T$2, FALSE),0)</f>
        <v>0</v>
      </c>
      <c r="U9" s="580">
        <f>IFERROR(HLOOKUP($L9,'Eplus results'!$1:$65536,U$2, FALSE),0)</f>
        <v>0</v>
      </c>
      <c r="V9" s="580">
        <f>IFERROR(HLOOKUP($L9,'Eplus results'!$1:$65536,V$2, FALSE),0)</f>
        <v>0</v>
      </c>
      <c r="W9" s="580">
        <f>IFERROR(HLOOKUP($L9,'Eplus results'!$1:$65536,W$2, FALSE),0)</f>
        <v>0</v>
      </c>
      <c r="X9" s="580">
        <f>IFERROR(HLOOKUP($L9,'Eplus results'!$1:$65536,X$2, FALSE),0)</f>
        <v>0</v>
      </c>
      <c r="AB9" s="580">
        <f>HLOOKUP("*"&amp;'Output annual'!$AC$2&amp;'Output annual'!$AD$2&amp;"*Zone People Number Of Occupants [](Hourly)",'Eplus results'!$1:$1048576,ROW(),FALSE)</f>
        <v>24.4618420501677</v>
      </c>
      <c r="AC9" s="580">
        <f>HLOOKUP("*"&amp;'Output annual'!$AC$2&amp;'Output annual'!$AD$2&amp;"*FangerPMV(Hourly)",'Eplus results'!$1:$1048576,ROW(),FALSE)</f>
        <v>-1.6184946139887599</v>
      </c>
      <c r="AD9" s="580">
        <f t="shared" si="0"/>
        <v>57.351053042101888</v>
      </c>
      <c r="AE9" s="580">
        <f t="shared" si="1"/>
        <v>2.1391169775951502E-3</v>
      </c>
      <c r="AF9" s="580">
        <f t="shared" si="2"/>
        <v>57.348913925124293</v>
      </c>
      <c r="AG9" s="580">
        <f t="shared" si="3"/>
        <v>5.2326741632764684E-2</v>
      </c>
      <c r="AH9" s="580">
        <f t="shared" si="4"/>
        <v>1402.8600741850535</v>
      </c>
    </row>
    <row r="10" spans="1:34">
      <c r="L10" s="581" t="s">
        <v>1101</v>
      </c>
      <c r="M10" s="580">
        <f>IFERROR(HLOOKUP($L10,'Eplus results'!$1:$65536,M$2, FALSE),0)</f>
        <v>0</v>
      </c>
      <c r="N10" s="580">
        <f>IFERROR(HLOOKUP($L10,'Eplus results'!$1:$65536,N$2, FALSE),0)</f>
        <v>0</v>
      </c>
      <c r="O10" s="580">
        <f>IFERROR(HLOOKUP($L10,'Eplus results'!$1:$65536,O$2, FALSE),0)</f>
        <v>0</v>
      </c>
      <c r="P10" s="580">
        <f>IFERROR(HLOOKUP($L10,'Eplus results'!$1:$65536,P$2, FALSE),0)</f>
        <v>0</v>
      </c>
      <c r="Q10" s="580">
        <f>IFERROR(HLOOKUP($L10,'Eplus results'!$1:$65536,Q$2, FALSE),0)</f>
        <v>0</v>
      </c>
      <c r="R10" s="580">
        <f>IFERROR(HLOOKUP($L10,'Eplus results'!$1:$65536,R$2, FALSE),0)</f>
        <v>0</v>
      </c>
      <c r="S10" s="580">
        <f>IFERROR(HLOOKUP($L10,'Eplus results'!$1:$65536,S$2, FALSE),0)</f>
        <v>0</v>
      </c>
      <c r="T10" s="580">
        <f>IFERROR(HLOOKUP($L10,'Eplus results'!$1:$65536,T$2, FALSE),0)</f>
        <v>0</v>
      </c>
      <c r="U10" s="580">
        <f>IFERROR(HLOOKUP($L10,'Eplus results'!$1:$65536,U$2, FALSE),0)</f>
        <v>0</v>
      </c>
      <c r="V10" s="580">
        <f>IFERROR(HLOOKUP($L10,'Eplus results'!$1:$65536,V$2, FALSE),0)</f>
        <v>0</v>
      </c>
      <c r="W10" s="580">
        <f>IFERROR(HLOOKUP($L10,'Eplus results'!$1:$65536,W$2, FALSE),0)</f>
        <v>0</v>
      </c>
      <c r="X10" s="580">
        <f>IFERROR(HLOOKUP($L10,'Eplus results'!$1:$65536,X$2, FALSE),0)</f>
        <v>0</v>
      </c>
      <c r="AB10" s="580">
        <f>HLOOKUP("*"&amp;'Output annual'!$AC$2&amp;'Output annual'!$AD$2&amp;"*Zone People Number Of Occupants [](Hourly)",'Eplus results'!$1:$1048576,ROW(),FALSE)</f>
        <v>116.193749738297</v>
      </c>
      <c r="AC10" s="580">
        <f>HLOOKUP("*"&amp;'Output annual'!$AC$2&amp;'Output annual'!$AD$2&amp;"*FangerPMV(Hourly)",'Eplus results'!$1:$1048576,ROW(),FALSE)</f>
        <v>-1.0743798859982201</v>
      </c>
      <c r="AD10" s="580">
        <f t="shared" si="0"/>
        <v>29.353993231430906</v>
      </c>
      <c r="AE10" s="580">
        <f t="shared" si="1"/>
        <v>3.3698116294135015E-2</v>
      </c>
      <c r="AF10" s="580">
        <f t="shared" si="2"/>
        <v>29.320295115136769</v>
      </c>
      <c r="AG10" s="580">
        <f t="shared" si="3"/>
        <v>3.9155104913327525</v>
      </c>
      <c r="AH10" s="580">
        <f t="shared" si="4"/>
        <v>3406.8350328612137</v>
      </c>
    </row>
    <row r="11" spans="1:34">
      <c r="L11" s="581" t="s">
        <v>1102</v>
      </c>
      <c r="M11" s="580">
        <f>IFERROR(HLOOKUP($L11,'Eplus results'!$1:$65536,M$2, FALSE),0)</f>
        <v>0</v>
      </c>
      <c r="N11" s="580">
        <f>IFERROR(HLOOKUP($L11,'Eplus results'!$1:$65536,N$2, FALSE),0)</f>
        <v>0</v>
      </c>
      <c r="O11" s="580">
        <f>IFERROR(HLOOKUP($L11,'Eplus results'!$1:$65536,O$2, FALSE),0)</f>
        <v>0</v>
      </c>
      <c r="P11" s="580">
        <f>IFERROR(HLOOKUP($L11,'Eplus results'!$1:$65536,P$2, FALSE),0)</f>
        <v>0</v>
      </c>
      <c r="Q11" s="580">
        <f>IFERROR(HLOOKUP($L11,'Eplus results'!$1:$65536,Q$2, FALSE),0)</f>
        <v>0</v>
      </c>
      <c r="R11" s="580">
        <f>IFERROR(HLOOKUP($L11,'Eplus results'!$1:$65536,R$2, FALSE),0)</f>
        <v>0</v>
      </c>
      <c r="S11" s="580">
        <f>IFERROR(HLOOKUP($L11,'Eplus results'!$1:$65536,S$2, FALSE),0)</f>
        <v>0</v>
      </c>
      <c r="T11" s="580">
        <f>IFERROR(HLOOKUP($L11,'Eplus results'!$1:$65536,T$2, FALSE),0)</f>
        <v>0</v>
      </c>
      <c r="U11" s="580">
        <f>IFERROR(HLOOKUP($L11,'Eplus results'!$1:$65536,U$2, FALSE),0)</f>
        <v>0</v>
      </c>
      <c r="V11" s="580">
        <f>IFERROR(HLOOKUP($L11,'Eplus results'!$1:$65536,V$2, FALSE),0)</f>
        <v>0</v>
      </c>
      <c r="W11" s="580">
        <f>IFERROR(HLOOKUP($L11,'Eplus results'!$1:$65536,W$2, FALSE),0)</f>
        <v>0</v>
      </c>
      <c r="X11" s="580">
        <f>IFERROR(HLOOKUP($L11,'Eplus results'!$1:$65536,X$2, FALSE),0)</f>
        <v>0</v>
      </c>
      <c r="AB11" s="580">
        <f>HLOOKUP("*"&amp;'Output annual'!$AC$2&amp;'Output annual'!$AD$2&amp;"*Zone People Number Of Occupants [](Hourly)",'Eplus results'!$1:$1048576,ROW(),FALSE)</f>
        <v>116.193749738297</v>
      </c>
      <c r="AC11" s="580">
        <f>HLOOKUP("*"&amp;'Output annual'!$AC$2&amp;'Output annual'!$AD$2&amp;"*FangerPMV(Hourly)",'Eplus results'!$1:$1048576,ROW(),FALSE)</f>
        <v>-0.89579927834906203</v>
      </c>
      <c r="AD11" s="580">
        <f t="shared" si="0"/>
        <v>21.943691260814404</v>
      </c>
      <c r="AE11" s="580">
        <f t="shared" si="1"/>
        <v>7.7413828864643666E-2</v>
      </c>
      <c r="AF11" s="580">
        <f t="shared" si="2"/>
        <v>21.866277431949761</v>
      </c>
      <c r="AG11" s="580">
        <f t="shared" si="3"/>
        <v>8.9950030573817585</v>
      </c>
      <c r="AH11" s="580">
        <f t="shared" si="4"/>
        <v>2540.7247676361421</v>
      </c>
    </row>
    <row r="12" spans="1:34">
      <c r="B12" s="2" t="s">
        <v>85</v>
      </c>
      <c r="E12" s="31"/>
      <c r="L12" s="581" t="s">
        <v>1103</v>
      </c>
      <c r="M12" s="580">
        <f>IFERROR(HLOOKUP($L12,'Eplus results'!$1:$65536,M$2, FALSE),0)</f>
        <v>0</v>
      </c>
      <c r="N12" s="580">
        <f>IFERROR(HLOOKUP($L12,'Eplus results'!$1:$65536,N$2, FALSE),0)</f>
        <v>0</v>
      </c>
      <c r="O12" s="580">
        <f>IFERROR(HLOOKUP($L12,'Eplus results'!$1:$65536,O$2, FALSE),0)</f>
        <v>0</v>
      </c>
      <c r="P12" s="580">
        <f>IFERROR(HLOOKUP($L12,'Eplus results'!$1:$65536,P$2, FALSE),0)</f>
        <v>0</v>
      </c>
      <c r="Q12" s="580">
        <f>IFERROR(HLOOKUP($L12,'Eplus results'!$1:$65536,Q$2, FALSE),0)</f>
        <v>0</v>
      </c>
      <c r="R12" s="580">
        <f>IFERROR(HLOOKUP($L12,'Eplus results'!$1:$65536,R$2, FALSE),0)</f>
        <v>0</v>
      </c>
      <c r="S12" s="580">
        <f>IFERROR(HLOOKUP($L12,'Eplus results'!$1:$65536,S$2, FALSE),0)</f>
        <v>0</v>
      </c>
      <c r="T12" s="580">
        <f>IFERROR(HLOOKUP($L12,'Eplus results'!$1:$65536,T$2, FALSE),0)</f>
        <v>0</v>
      </c>
      <c r="U12" s="580">
        <f>IFERROR(HLOOKUP($L12,'Eplus results'!$1:$65536,U$2, FALSE),0)</f>
        <v>0</v>
      </c>
      <c r="V12" s="580">
        <f>IFERROR(HLOOKUP($L12,'Eplus results'!$1:$65536,V$2, FALSE),0)</f>
        <v>0</v>
      </c>
      <c r="W12" s="580">
        <f>IFERROR(HLOOKUP($L12,'Eplus results'!$1:$65536,W$2, FALSE),0)</f>
        <v>0</v>
      </c>
      <c r="X12" s="580">
        <f>IFERROR(HLOOKUP($L12,'Eplus results'!$1:$65536,X$2, FALSE),0)</f>
        <v>0</v>
      </c>
      <c r="AB12" s="580">
        <f>HLOOKUP("*"&amp;'Output annual'!$AC$2&amp;'Output annual'!$AD$2&amp;"*Zone People Number Of Occupants [](Hourly)",'Eplus results'!$1:$1048576,ROW(),FALSE)</f>
        <v>116.193749738297</v>
      </c>
      <c r="AC12" s="580">
        <f>HLOOKUP("*"&amp;'Output annual'!$AC$2&amp;'Output annual'!$AD$2&amp;"*FangerPMV(Hourly)",'Eplus results'!$1:$1048576,ROW(),FALSE)</f>
        <v>-0.80564727049548002</v>
      </c>
      <c r="AD12" s="580">
        <f t="shared" si="0"/>
        <v>18.685913311716959</v>
      </c>
      <c r="AE12" s="580">
        <f t="shared" si="1"/>
        <v>0.11601498630007875</v>
      </c>
      <c r="AF12" s="580">
        <f t="shared" si="2"/>
        <v>18.569898325416879</v>
      </c>
      <c r="AG12" s="580">
        <f t="shared" si="3"/>
        <v>13.480216284043307</v>
      </c>
      <c r="AH12" s="580">
        <f t="shared" si="4"/>
        <v>2157.7061186891096</v>
      </c>
    </row>
    <row r="13" spans="1:34">
      <c r="B13" t="s">
        <v>86</v>
      </c>
      <c r="C13" s="40" t="str">
        <f>perim_zone</f>
        <v>West</v>
      </c>
      <c r="E13" s="30" t="s">
        <v>90</v>
      </c>
      <c r="F13" s="30" t="str">
        <f>C13</f>
        <v>West</v>
      </c>
      <c r="L13" s="581" t="s">
        <v>1104</v>
      </c>
      <c r="M13" s="580">
        <f>IFERROR(HLOOKUP($L13,'Eplus results'!$1:$65536,M$2, FALSE),0)</f>
        <v>0</v>
      </c>
      <c r="N13" s="580">
        <f>IFERROR(HLOOKUP($L13,'Eplus results'!$1:$65536,N$2, FALSE),0)</f>
        <v>0</v>
      </c>
      <c r="O13" s="580">
        <f>IFERROR(HLOOKUP($L13,'Eplus results'!$1:$65536,O$2, FALSE),0)</f>
        <v>0</v>
      </c>
      <c r="P13" s="580">
        <f>IFERROR(HLOOKUP($L13,'Eplus results'!$1:$65536,P$2, FALSE),0)</f>
        <v>0</v>
      </c>
      <c r="Q13" s="580">
        <f>IFERROR(HLOOKUP($L13,'Eplus results'!$1:$65536,Q$2, FALSE),0)</f>
        <v>0</v>
      </c>
      <c r="R13" s="580">
        <f>IFERROR(HLOOKUP($L13,'Eplus results'!$1:$65536,R$2, FALSE),0)</f>
        <v>0</v>
      </c>
      <c r="S13" s="580">
        <f>IFERROR(HLOOKUP($L13,'Eplus results'!$1:$65536,S$2, FALSE),0)</f>
        <v>0</v>
      </c>
      <c r="T13" s="580">
        <f>IFERROR(HLOOKUP($L13,'Eplus results'!$1:$65536,T$2, FALSE),0)</f>
        <v>0</v>
      </c>
      <c r="U13" s="580">
        <f>IFERROR(HLOOKUP($L13,'Eplus results'!$1:$65536,U$2, FALSE),0)</f>
        <v>0</v>
      </c>
      <c r="V13" s="580">
        <f>IFERROR(HLOOKUP($L13,'Eplus results'!$1:$65536,V$2, FALSE),0)</f>
        <v>0</v>
      </c>
      <c r="W13" s="580">
        <f>IFERROR(HLOOKUP($L13,'Eplus results'!$1:$65536,W$2, FALSE),0)</f>
        <v>0</v>
      </c>
      <c r="X13" s="580">
        <f>IFERROR(HLOOKUP($L13,'Eplus results'!$1:$65536,X$2, FALSE),0)</f>
        <v>0</v>
      </c>
      <c r="AB13" s="580">
        <f>HLOOKUP("*"&amp;'Output annual'!$AC$2&amp;'Output annual'!$AD$2&amp;"*Zone People Number Of Occupants [](Hourly)",'Eplus results'!$1:$1048576,ROW(),FALSE)</f>
        <v>116.193749738297</v>
      </c>
      <c r="AC13" s="580">
        <f>HLOOKUP("*"&amp;'Output annual'!$AC$2&amp;'Output annual'!$AD$2&amp;"*FangerPMV(Hourly)",'Eplus results'!$1:$1048576,ROW(),FALSE)</f>
        <v>-0.74567098926949005</v>
      </c>
      <c r="AD13" s="580">
        <f t="shared" si="0"/>
        <v>16.707981800906779</v>
      </c>
      <c r="AE13" s="580">
        <f t="shared" si="1"/>
        <v>0.15093358891864933</v>
      </c>
      <c r="AF13" s="580">
        <f t="shared" si="2"/>
        <v>16.557048211988128</v>
      </c>
      <c r="AG13" s="580">
        <f t="shared" si="3"/>
        <v>17.537539657916536</v>
      </c>
      <c r="AH13" s="580">
        <f t="shared" si="4"/>
        <v>1923.8255163486665</v>
      </c>
    </row>
    <row r="14" spans="1:34">
      <c r="A14" t="s">
        <v>93</v>
      </c>
      <c r="B14" s="4" t="s">
        <v>577</v>
      </c>
      <c r="C14" s="31">
        <f>HLOOKUP(floor&amp;A14&amp;perim_zone&amp;":"&amp;B14,'Eplus results'!$1:$1048576,$C$3, FALSE)</f>
        <v>0</v>
      </c>
      <c r="D14" t="s">
        <v>239</v>
      </c>
      <c r="E14" s="30" t="s">
        <v>96</v>
      </c>
      <c r="F14" s="29">
        <f>C14*9/5+32</f>
        <v>32</v>
      </c>
      <c r="G14" t="s">
        <v>89</v>
      </c>
      <c r="L14" s="581" t="s">
        <v>1105</v>
      </c>
      <c r="M14" s="580">
        <f>IFERROR(HLOOKUP($L14,'Eplus results'!$1:$65536,M$2, FALSE),0)</f>
        <v>0</v>
      </c>
      <c r="N14" s="580">
        <f>IFERROR(HLOOKUP($L14,'Eplus results'!$1:$65536,N$2, FALSE),0)</f>
        <v>0</v>
      </c>
      <c r="O14" s="580">
        <f>IFERROR(HLOOKUP($L14,'Eplus results'!$1:$65536,O$2, FALSE),0)</f>
        <v>0</v>
      </c>
      <c r="P14" s="580">
        <f>IFERROR(HLOOKUP($L14,'Eplus results'!$1:$65536,P$2, FALSE),0)</f>
        <v>0</v>
      </c>
      <c r="Q14" s="580">
        <f>IFERROR(HLOOKUP($L14,'Eplus results'!$1:$65536,Q$2, FALSE),0)</f>
        <v>0</v>
      </c>
      <c r="R14" s="580">
        <f>IFERROR(HLOOKUP($L14,'Eplus results'!$1:$65536,R$2, FALSE),0)</f>
        <v>0</v>
      </c>
      <c r="S14" s="580">
        <f>IFERROR(HLOOKUP($L14,'Eplus results'!$1:$65536,S$2, FALSE),0)</f>
        <v>0</v>
      </c>
      <c r="T14" s="580">
        <f>IFERROR(HLOOKUP($L14,'Eplus results'!$1:$65536,T$2, FALSE),0)</f>
        <v>0</v>
      </c>
      <c r="U14" s="580">
        <f>IFERROR(HLOOKUP($L14,'Eplus results'!$1:$65536,U$2, FALSE),0)</f>
        <v>0</v>
      </c>
      <c r="V14" s="580">
        <f>IFERROR(HLOOKUP($L14,'Eplus results'!$1:$65536,V$2, FALSE),0)</f>
        <v>0</v>
      </c>
      <c r="W14" s="580">
        <f>IFERROR(HLOOKUP($L14,'Eplus results'!$1:$65536,W$2, FALSE),0)</f>
        <v>0</v>
      </c>
      <c r="X14" s="580">
        <f>IFERROR(HLOOKUP($L14,'Eplus results'!$1:$65536,X$2, FALSE),0)</f>
        <v>0</v>
      </c>
      <c r="AB14" s="580">
        <f>HLOOKUP("*"&amp;'Output annual'!$AC$2&amp;'Output annual'!$AD$2&amp;"*Zone People Number Of Occupants [](Hourly)",'Eplus results'!$1:$1048576,ROW(),FALSE)</f>
        <v>61.154605125419401</v>
      </c>
      <c r="AC14" s="580">
        <f>HLOOKUP("*"&amp;'Output annual'!$AC$2&amp;'Output annual'!$AD$2&amp;"*FangerPMV(Hourly)",'Eplus results'!$1:$1048576,ROW(),FALSE)</f>
        <v>-0.80116813893243999</v>
      </c>
      <c r="AD14" s="580">
        <f t="shared" si="0"/>
        <v>18.532916518777853</v>
      </c>
      <c r="AE14" s="580">
        <f t="shared" si="1"/>
        <v>0.11833726261543207</v>
      </c>
      <c r="AF14" s="580">
        <f t="shared" si="2"/>
        <v>18.414579256162419</v>
      </c>
      <c r="AG14" s="580">
        <f t="shared" si="3"/>
        <v>7.2368685668698038</v>
      </c>
      <c r="AH14" s="580">
        <f t="shared" si="4"/>
        <v>1126.1363229613521</v>
      </c>
    </row>
    <row r="15" spans="1:34">
      <c r="B15" s="4" t="s">
        <v>578</v>
      </c>
      <c r="C15" s="31">
        <f>HLOOKUP(floor&amp;A15&amp;perim_zone&amp;":"&amp;B15,'Eplus results'!$1:$1048576,$C$3, FALSE)</f>
        <v>0</v>
      </c>
      <c r="D15" t="s">
        <v>239</v>
      </c>
      <c r="E15" s="30" t="s">
        <v>255</v>
      </c>
      <c r="F15" s="29">
        <f>C15*9/5+32</f>
        <v>32</v>
      </c>
      <c r="G15" t="s">
        <v>89</v>
      </c>
      <c r="L15" s="581" t="s">
        <v>1106</v>
      </c>
      <c r="M15" s="580">
        <f>IFERROR(HLOOKUP($L15,'Eplus results'!$1:$65536,M$2, FALSE),0)</f>
        <v>0</v>
      </c>
      <c r="N15" s="580">
        <f>IFERROR(HLOOKUP($L15,'Eplus results'!$1:$65536,N$2, FALSE),0)</f>
        <v>0</v>
      </c>
      <c r="O15" s="580">
        <f>IFERROR(HLOOKUP($L15,'Eplus results'!$1:$65536,O$2, FALSE),0)</f>
        <v>0</v>
      </c>
      <c r="P15" s="580">
        <f>IFERROR(HLOOKUP($L15,'Eplus results'!$1:$65536,P$2, FALSE),0)</f>
        <v>0</v>
      </c>
      <c r="Q15" s="580">
        <f>IFERROR(HLOOKUP($L15,'Eplus results'!$1:$65536,Q$2, FALSE),0)</f>
        <v>0</v>
      </c>
      <c r="R15" s="580">
        <f>IFERROR(HLOOKUP($L15,'Eplus results'!$1:$65536,R$2, FALSE),0)</f>
        <v>0</v>
      </c>
      <c r="S15" s="580">
        <f>IFERROR(HLOOKUP($L15,'Eplus results'!$1:$65536,S$2, FALSE),0)</f>
        <v>0</v>
      </c>
      <c r="T15" s="580">
        <f>IFERROR(HLOOKUP($L15,'Eplus results'!$1:$65536,T$2, FALSE),0)</f>
        <v>0</v>
      </c>
      <c r="U15" s="580">
        <f>IFERROR(HLOOKUP($L15,'Eplus results'!$1:$65536,U$2, FALSE),0)</f>
        <v>0</v>
      </c>
      <c r="V15" s="580">
        <f>IFERROR(HLOOKUP($L15,'Eplus results'!$1:$65536,V$2, FALSE),0)</f>
        <v>0</v>
      </c>
      <c r="W15" s="580">
        <f>IFERROR(HLOOKUP($L15,'Eplus results'!$1:$65536,W$2, FALSE),0)</f>
        <v>0</v>
      </c>
      <c r="X15" s="580">
        <f>IFERROR(HLOOKUP($L15,'Eplus results'!$1:$65536,X$2, FALSE),0)</f>
        <v>0</v>
      </c>
      <c r="AB15" s="580">
        <f>HLOOKUP("*"&amp;'Output annual'!$AC$2&amp;'Output annual'!$AD$2&amp;"*Zone People Number Of Occupants [](Hourly)",'Eplus results'!$1:$1048576,ROW(),FALSE)</f>
        <v>116.193749738297</v>
      </c>
      <c r="AC15" s="580">
        <f>HLOOKUP("*"&amp;'Output annual'!$AC$2&amp;'Output annual'!$AD$2&amp;"*FangerPMV(Hourly)",'Eplus results'!$1:$1048576,ROW(),FALSE)</f>
        <v>-0.72152021196556304</v>
      </c>
      <c r="AD15" s="580">
        <f t="shared" si="0"/>
        <v>15.954957541648795</v>
      </c>
      <c r="AE15" s="580">
        <f t="shared" si="1"/>
        <v>0.16756803244040641</v>
      </c>
      <c r="AF15" s="580">
        <f t="shared" si="2"/>
        <v>15.787389509208388</v>
      </c>
      <c r="AG15" s="580">
        <f t="shared" si="3"/>
        <v>19.470358025519417</v>
      </c>
      <c r="AH15" s="580">
        <f t="shared" si="4"/>
        <v>1834.395985653975</v>
      </c>
    </row>
    <row r="16" spans="1:34">
      <c r="B16" s="4" t="s">
        <v>577</v>
      </c>
      <c r="C16" s="31">
        <f>HLOOKUP(floor&amp;A16&amp;perim_zone&amp;":"&amp;B16,'Eplus results'!$1:$1048576,$C$3, FALSE)</f>
        <v>0</v>
      </c>
      <c r="D16" t="s">
        <v>239</v>
      </c>
      <c r="E16" s="30" t="s">
        <v>95</v>
      </c>
      <c r="F16" s="29">
        <f>C16*9/5+32</f>
        <v>32</v>
      </c>
      <c r="G16" t="s">
        <v>89</v>
      </c>
      <c r="L16" s="581" t="s">
        <v>1107</v>
      </c>
      <c r="M16" s="580">
        <f>IFERROR(HLOOKUP($L16,'Eplus results'!$1:$65536,M$2, FALSE),0)</f>
        <v>0</v>
      </c>
      <c r="N16" s="580">
        <f>IFERROR(HLOOKUP($L16,'Eplus results'!$1:$65536,N$2, FALSE),0)</f>
        <v>0</v>
      </c>
      <c r="O16" s="580">
        <f>IFERROR(HLOOKUP($L16,'Eplus results'!$1:$65536,O$2, FALSE),0)</f>
        <v>0</v>
      </c>
      <c r="P16" s="580">
        <f>IFERROR(HLOOKUP($L16,'Eplus results'!$1:$65536,P$2, FALSE),0)</f>
        <v>0</v>
      </c>
      <c r="Q16" s="580">
        <f>IFERROR(HLOOKUP($L16,'Eplus results'!$1:$65536,Q$2, FALSE),0)</f>
        <v>0</v>
      </c>
      <c r="R16" s="580">
        <f>IFERROR(HLOOKUP($L16,'Eplus results'!$1:$65536,R$2, FALSE),0)</f>
        <v>0</v>
      </c>
      <c r="S16" s="580">
        <f>IFERROR(HLOOKUP($L16,'Eplus results'!$1:$65536,S$2, FALSE),0)</f>
        <v>0</v>
      </c>
      <c r="T16" s="580">
        <f>IFERROR(HLOOKUP($L16,'Eplus results'!$1:$65536,T$2, FALSE),0)</f>
        <v>0</v>
      </c>
      <c r="U16" s="580">
        <f>IFERROR(HLOOKUP($L16,'Eplus results'!$1:$65536,U$2, FALSE),0)</f>
        <v>0</v>
      </c>
      <c r="V16" s="580">
        <f>IFERROR(HLOOKUP($L16,'Eplus results'!$1:$65536,V$2, FALSE),0)</f>
        <v>0</v>
      </c>
      <c r="W16" s="580">
        <f>IFERROR(HLOOKUP($L16,'Eplus results'!$1:$65536,W$2, FALSE),0)</f>
        <v>0</v>
      </c>
      <c r="X16" s="580">
        <f>IFERROR(HLOOKUP($L16,'Eplus results'!$1:$65536,X$2, FALSE),0)</f>
        <v>0</v>
      </c>
      <c r="AB16" s="580">
        <f>HLOOKUP("*"&amp;'Output annual'!$AC$2&amp;'Output annual'!$AD$2&amp;"*Zone People Number Of Occupants [](Hourly)",'Eplus results'!$1:$1048576,ROW(),FALSE)</f>
        <v>116.193749738297</v>
      </c>
      <c r="AC16" s="580">
        <f>HLOOKUP("*"&amp;'Output annual'!$AC$2&amp;'Output annual'!$AD$2&amp;"*FangerPMV(Hourly)",'Eplus results'!$1:$1048576,ROW(),FALSE)</f>
        <v>-0.66643562100237597</v>
      </c>
      <c r="AD16" s="580">
        <f t="shared" si="0"/>
        <v>14.331471545215777</v>
      </c>
      <c r="AE16" s="580">
        <f t="shared" si="1"/>
        <v>0.21203747291054345</v>
      </c>
      <c r="AF16" s="580">
        <f t="shared" si="2"/>
        <v>14.119434072305234</v>
      </c>
      <c r="AG16" s="580">
        <f t="shared" si="3"/>
        <v>24.637429062508616</v>
      </c>
      <c r="AH16" s="580">
        <f t="shared" si="4"/>
        <v>1640.5899890438179</v>
      </c>
    </row>
    <row r="17" spans="1:34">
      <c r="B17" s="4" t="s">
        <v>579</v>
      </c>
      <c r="C17" s="31">
        <f>HLOOKUP(floor&amp;A17&amp;perim_zone&amp;":"&amp;B17,'Eplus results'!$1:$1048576,$C$3, FALSE)</f>
        <v>0</v>
      </c>
      <c r="D17" t="s">
        <v>239</v>
      </c>
      <c r="E17" s="30" t="s">
        <v>256</v>
      </c>
      <c r="F17" s="29">
        <f>C17*9/5+32</f>
        <v>32</v>
      </c>
      <c r="G17" t="s">
        <v>89</v>
      </c>
      <c r="L17" s="581" t="s">
        <v>1108</v>
      </c>
      <c r="M17" s="580">
        <f>IFERROR(HLOOKUP($L17,'Eplus results'!$1:$65536,M$2, FALSE),0)</f>
        <v>0</v>
      </c>
      <c r="N17" s="580">
        <f>IFERROR(HLOOKUP($L17,'Eplus results'!$1:$65536,N$2, FALSE),0)</f>
        <v>0</v>
      </c>
      <c r="O17" s="580">
        <f>IFERROR(HLOOKUP($L17,'Eplus results'!$1:$65536,O$2, FALSE),0)</f>
        <v>0</v>
      </c>
      <c r="P17" s="580">
        <f>IFERROR(HLOOKUP($L17,'Eplus results'!$1:$65536,P$2, FALSE),0)</f>
        <v>0</v>
      </c>
      <c r="Q17" s="580">
        <f>IFERROR(HLOOKUP($L17,'Eplus results'!$1:$65536,Q$2, FALSE),0)</f>
        <v>0</v>
      </c>
      <c r="R17" s="580">
        <f>IFERROR(HLOOKUP($L17,'Eplus results'!$1:$65536,R$2, FALSE),0)</f>
        <v>0</v>
      </c>
      <c r="S17" s="580">
        <f>IFERROR(HLOOKUP($L17,'Eplus results'!$1:$65536,S$2, FALSE),0)</f>
        <v>0</v>
      </c>
      <c r="T17" s="580">
        <f>IFERROR(HLOOKUP($L17,'Eplus results'!$1:$65536,T$2, FALSE),0)</f>
        <v>0</v>
      </c>
      <c r="U17" s="580">
        <f>IFERROR(HLOOKUP($L17,'Eplus results'!$1:$65536,U$2, FALSE),0)</f>
        <v>0</v>
      </c>
      <c r="V17" s="580">
        <f>IFERROR(HLOOKUP($L17,'Eplus results'!$1:$65536,V$2, FALSE),0)</f>
        <v>0</v>
      </c>
      <c r="W17" s="580">
        <f>IFERROR(HLOOKUP($L17,'Eplus results'!$1:$65536,W$2, FALSE),0)</f>
        <v>0</v>
      </c>
      <c r="X17" s="580">
        <f>IFERROR(HLOOKUP($L17,'Eplus results'!$1:$65536,X$2, FALSE),0)</f>
        <v>0</v>
      </c>
      <c r="AB17" s="580">
        <f>HLOOKUP("*"&amp;'Output annual'!$AC$2&amp;'Output annual'!$AD$2&amp;"*Zone People Number Of Occupants [](Hourly)",'Eplus results'!$1:$1048576,ROW(),FALSE)</f>
        <v>116.193749738297</v>
      </c>
      <c r="AC17" s="580">
        <f>HLOOKUP("*"&amp;'Output annual'!$AC$2&amp;'Output annual'!$AD$2&amp;"*FangerPMV(Hourly)",'Eplus results'!$1:$1048576,ROW(),FALSE)</f>
        <v>-0.63737242861992305</v>
      </c>
      <c r="AD17" s="580">
        <f t="shared" si="0"/>
        <v>13.527813176486276</v>
      </c>
      <c r="AE17" s="580">
        <f t="shared" si="1"/>
        <v>0.23965073100156134</v>
      </c>
      <c r="AF17" s="580">
        <f t="shared" si="2"/>
        <v>13.288162445484716</v>
      </c>
      <c r="AG17" s="580">
        <f t="shared" si="3"/>
        <v>27.845917062595351</v>
      </c>
      <c r="AH17" s="580">
        <f t="shared" si="4"/>
        <v>1544.0014216724876</v>
      </c>
    </row>
    <row r="18" spans="1:34">
      <c r="A18" t="s">
        <v>92</v>
      </c>
      <c r="B18" s="4" t="s">
        <v>577</v>
      </c>
      <c r="C18" s="31">
        <f>HLOOKUP(floor&amp;A18&amp;perim_zone&amp;":"&amp;B18,'Eplus results'!$1:$1048576,$C$3, FALSE)</f>
        <v>0</v>
      </c>
      <c r="D18" t="s">
        <v>239</v>
      </c>
      <c r="E18" s="30" t="s">
        <v>94</v>
      </c>
      <c r="F18" s="29">
        <f>C18*9/5+32</f>
        <v>32</v>
      </c>
      <c r="G18" t="s">
        <v>89</v>
      </c>
      <c r="L18" s="580" t="s">
        <v>973</v>
      </c>
      <c r="M18" s="580">
        <f>MAX(M3:M17)</f>
        <v>0</v>
      </c>
      <c r="N18" s="580">
        <f t="shared" ref="N18:X18" si="5">MAX(N3:N17)</f>
        <v>0</v>
      </c>
      <c r="O18" s="580">
        <f t="shared" si="5"/>
        <v>0</v>
      </c>
      <c r="P18" s="580">
        <f t="shared" si="5"/>
        <v>0</v>
      </c>
      <c r="Q18" s="580">
        <f t="shared" si="5"/>
        <v>0</v>
      </c>
      <c r="R18" s="580">
        <f t="shared" si="5"/>
        <v>0</v>
      </c>
      <c r="S18" s="580">
        <f t="shared" si="5"/>
        <v>0</v>
      </c>
      <c r="T18" s="580">
        <f t="shared" si="5"/>
        <v>0</v>
      </c>
      <c r="U18" s="580">
        <f t="shared" si="5"/>
        <v>0</v>
      </c>
      <c r="V18" s="580">
        <f t="shared" si="5"/>
        <v>0</v>
      </c>
      <c r="W18" s="580">
        <f t="shared" si="5"/>
        <v>0</v>
      </c>
      <c r="X18" s="580">
        <f t="shared" si="5"/>
        <v>0</v>
      </c>
      <c r="AB18" s="580">
        <f>HLOOKUP("*"&amp;'Output annual'!$AC$2&amp;'Output annual'!$AD$2&amp;"*Zone People Number Of Occupants [](Hourly)",'Eplus results'!$1:$1048576,ROW(),FALSE)</f>
        <v>116.193749738297</v>
      </c>
      <c r="AC18" s="580">
        <f>HLOOKUP("*"&amp;'Output annual'!$AC$2&amp;'Output annual'!$AD$2&amp;"*FangerPMV(Hourly)",'Eplus results'!$1:$1048576,ROW(),FALSE)</f>
        <v>-0.61309920940796703</v>
      </c>
      <c r="AD18" s="580">
        <f t="shared" si="0"/>
        <v>12.884681514578219</v>
      </c>
      <c r="AE18" s="580">
        <f t="shared" si="1"/>
        <v>0.26519682422320678</v>
      </c>
      <c r="AF18" s="580">
        <f t="shared" si="2"/>
        <v>12.619484690355012</v>
      </c>
      <c r="AG18" s="580">
        <f t="shared" si="3"/>
        <v>30.81421342518243</v>
      </c>
      <c r="AH18" s="580">
        <f t="shared" si="4"/>
        <v>1466.3052459373807</v>
      </c>
    </row>
    <row r="19" spans="1:34">
      <c r="C19" s="31"/>
      <c r="F19" s="29"/>
      <c r="L19" s="580" t="s">
        <v>175</v>
      </c>
      <c r="M19" s="580">
        <f>AVERAGE(M3:M18)</f>
        <v>0</v>
      </c>
      <c r="N19" s="580">
        <f t="shared" ref="N19:X19" si="6">AVERAGE(N3:N18)</f>
        <v>0</v>
      </c>
      <c r="O19" s="580">
        <f t="shared" si="6"/>
        <v>0</v>
      </c>
      <c r="P19" s="580">
        <f t="shared" si="6"/>
        <v>0</v>
      </c>
      <c r="Q19" s="580">
        <f t="shared" si="6"/>
        <v>0</v>
      </c>
      <c r="R19" s="580">
        <f t="shared" si="6"/>
        <v>0</v>
      </c>
      <c r="S19" s="580">
        <f t="shared" si="6"/>
        <v>0</v>
      </c>
      <c r="T19" s="580">
        <f t="shared" si="6"/>
        <v>0</v>
      </c>
      <c r="U19" s="580">
        <f t="shared" si="6"/>
        <v>0</v>
      </c>
      <c r="V19" s="580">
        <f t="shared" si="6"/>
        <v>0</v>
      </c>
      <c r="W19" s="580">
        <f t="shared" si="6"/>
        <v>0</v>
      </c>
      <c r="X19" s="580">
        <f t="shared" si="6"/>
        <v>0</v>
      </c>
      <c r="AB19" s="580">
        <f>HLOOKUP("*"&amp;'Output annual'!$AC$2&amp;'Output annual'!$AD$2&amp;"*Zone People Number Of Occupants [](Hourly)",'Eplus results'!$1:$1048576,ROW(),FALSE)</f>
        <v>36.692763075251598</v>
      </c>
      <c r="AC19" s="580">
        <f>HLOOKUP("*"&amp;'Output annual'!$AC$2&amp;'Output annual'!$AD$2&amp;"*FangerPMV(Hourly)",'Eplus results'!$1:$1048576,ROW(),FALSE)</f>
        <v>-0.64450240985342799</v>
      </c>
      <c r="AD19" s="580">
        <f t="shared" si="0"/>
        <v>13.721582464655683</v>
      </c>
      <c r="AE19" s="580">
        <f t="shared" si="1"/>
        <v>0.23258698870148017</v>
      </c>
      <c r="AF19" s="580">
        <f t="shared" si="2"/>
        <v>13.488995475954203</v>
      </c>
      <c r="AG19" s="580">
        <f t="shared" si="3"/>
        <v>8.534259270809633</v>
      </c>
      <c r="AH19" s="580">
        <f t="shared" si="4"/>
        <v>494.94851512232822</v>
      </c>
    </row>
    <row r="20" spans="1:34">
      <c r="B20" t="s">
        <v>254</v>
      </c>
      <c r="C20" s="31">
        <f>HLOOKUP(floor&amp;perim_zone&amp;":UF Transition Height [m](Hourly)",'Eplus results'!$1:$1048576,$C$3, FALSE)</f>
        <v>0</v>
      </c>
      <c r="D20" t="s">
        <v>236</v>
      </c>
      <c r="E20" s="30" t="s">
        <v>257</v>
      </c>
      <c r="F20" s="29">
        <f>CONVERT(C20,D20,G20)</f>
        <v>0</v>
      </c>
      <c r="G20" t="s">
        <v>258</v>
      </c>
      <c r="AB20" s="580">
        <f>HLOOKUP("*"&amp;'Output annual'!$AC$2&amp;'Output annual'!$AD$2&amp;"*Zone People Number Of Occupants [](Hourly)",'Eplus results'!$1:$1048576,ROW(),FALSE)</f>
        <v>12.2309210250839</v>
      </c>
      <c r="AC20" s="580">
        <f>HLOOKUP("*"&amp;'Output annual'!$AC$2&amp;'Output annual'!$AD$2&amp;"*FangerPMV(Hourly)",'Eplus results'!$1:$1048576,ROW(),FALSE)</f>
        <v>-1.2217528021576201</v>
      </c>
      <c r="AD20" s="580">
        <f t="shared" si="0"/>
        <v>36.317234381224971</v>
      </c>
      <c r="AE20" s="580">
        <f t="shared" si="1"/>
        <v>1.6486650042802753E-2</v>
      </c>
      <c r="AF20" s="580">
        <f t="shared" si="2"/>
        <v>36.30074773118217</v>
      </c>
      <c r="AG20" s="580">
        <f t="shared" si="3"/>
        <v>0.20164691464171658</v>
      </c>
      <c r="AH20" s="580">
        <f t="shared" si="4"/>
        <v>443.9915786515827</v>
      </c>
    </row>
    <row r="21" spans="1:34">
      <c r="AB21" s="580">
        <f>HLOOKUP("*"&amp;'Output annual'!$AC$2&amp;'Output annual'!$AD$2&amp;"*Zone People Number Of Occupants [](Hourly)",'Eplus results'!$1:$1048576,ROW(),FALSE)</f>
        <v>12.2309210250839</v>
      </c>
      <c r="AC21" s="580">
        <f>HLOOKUP("*"&amp;'Output annual'!$AC$2&amp;'Output annual'!$AD$2&amp;"*FangerPMV(Hourly)",'Eplus results'!$1:$1048576,ROW(),FALSE)</f>
        <v>-1.48239605057866</v>
      </c>
      <c r="AD21" s="580">
        <f t="shared" si="0"/>
        <v>49.944831156679278</v>
      </c>
      <c r="AE21" s="580">
        <f t="shared" si="1"/>
        <v>4.390711402484984E-3</v>
      </c>
      <c r="AF21" s="580">
        <f t="shared" si="2"/>
        <v>49.940440445276792</v>
      </c>
      <c r="AG21" s="580">
        <f t="shared" si="3"/>
        <v>5.3702444407729207E-2</v>
      </c>
      <c r="AH21" s="580">
        <f t="shared" si="4"/>
        <v>610.81758304408629</v>
      </c>
    </row>
    <row r="22" spans="1:34">
      <c r="B22" s="2" t="s">
        <v>98</v>
      </c>
      <c r="AB22" s="580">
        <f>HLOOKUP("*"&amp;'Output annual'!$AC$2&amp;'Output annual'!$AD$2&amp;"*Zone People Number Of Occupants [](Hourly)",'Eplus results'!$1:$1048576,ROW(),FALSE)</f>
        <v>12.2309210250839</v>
      </c>
      <c r="AC22" s="580">
        <f>HLOOKUP("*"&amp;'Output annual'!$AC$2&amp;'Output annual'!$AD$2&amp;"*FangerPMV(Hourly)",'Eplus results'!$1:$1048576,ROW(),FALSE)</f>
        <v>-1.5433148946955899</v>
      </c>
      <c r="AD22" s="580">
        <f t="shared" si="0"/>
        <v>53.257207762961272</v>
      </c>
      <c r="AE22" s="580">
        <f t="shared" si="1"/>
        <v>3.1897568765867066E-3</v>
      </c>
      <c r="AF22" s="580">
        <f t="shared" si="2"/>
        <v>53.254018006084685</v>
      </c>
      <c r="AG22" s="580">
        <f t="shared" si="3"/>
        <v>3.90136644467503E-2</v>
      </c>
      <c r="AH22" s="580">
        <f t="shared" si="4"/>
        <v>651.3456885008178</v>
      </c>
    </row>
    <row r="23" spans="1:34">
      <c r="B23" t="s">
        <v>86</v>
      </c>
      <c r="C23" s="40" t="str">
        <f>Int_zone</f>
        <v>Core</v>
      </c>
      <c r="E23" s="30" t="s">
        <v>90</v>
      </c>
      <c r="F23" s="30" t="str">
        <f>C23</f>
        <v>Core</v>
      </c>
      <c r="AB23" s="580">
        <f>HLOOKUP("*"&amp;'Output annual'!$AC$2&amp;'Output annual'!$AD$2&amp;"*Zone People Number Of Occupants [](Hourly)",'Eplus results'!$1:$1048576,ROW(),FALSE)</f>
        <v>12.2309210250839</v>
      </c>
      <c r="AC23" s="580">
        <f>HLOOKUP("*"&amp;'Output annual'!$AC$2&amp;'Output annual'!$AD$2&amp;"*FangerPMV(Hourly)",'Eplus results'!$1:$1048576,ROW(),FALSE)</f>
        <v>-1.5953491446068699</v>
      </c>
      <c r="AD23" s="580">
        <f t="shared" si="0"/>
        <v>56.092165204935917</v>
      </c>
      <c r="AE23" s="580">
        <f t="shared" si="1"/>
        <v>2.4205835766014472E-3</v>
      </c>
      <c r="AF23" s="580">
        <f t="shared" si="2"/>
        <v>56.089744621359316</v>
      </c>
      <c r="AG23" s="580">
        <f t="shared" si="3"/>
        <v>2.9605966560027425E-2</v>
      </c>
      <c r="AH23" s="580">
        <f t="shared" si="4"/>
        <v>686.02923678097022</v>
      </c>
    </row>
    <row r="24" spans="1:34">
      <c r="A24" t="s">
        <v>93</v>
      </c>
      <c r="B24" s="4" t="s">
        <v>577</v>
      </c>
      <c r="C24" s="31">
        <f>HLOOKUP(floor&amp;A24&amp;Int_zone&amp;":"&amp;B24,'Eplus results'!$1:$1048576,$C$3, FALSE)</f>
        <v>0</v>
      </c>
      <c r="D24" t="s">
        <v>239</v>
      </c>
      <c r="E24" s="30" t="s">
        <v>96</v>
      </c>
      <c r="F24" s="29">
        <f>C24*9/5+32</f>
        <v>32</v>
      </c>
      <c r="G24" t="s">
        <v>89</v>
      </c>
      <c r="AB24" s="580">
        <f>HLOOKUP("*"&amp;'Output annual'!$AC$2&amp;'Output annual'!$AD$2&amp;"*Zone People Number Of Occupants [](Hourly)",'Eplus results'!$1:$1048576,ROW(),FALSE)</f>
        <v>6.1154605125419401</v>
      </c>
      <c r="AC24" s="580">
        <f>HLOOKUP("*"&amp;'Output annual'!$AC$2&amp;'Output annual'!$AD$2&amp;"*FangerPMV(Hourly)",'Eplus results'!$1:$1048576,ROW(),FALSE)</f>
        <v>-1.3345499650393899</v>
      </c>
      <c r="AD24" s="580">
        <f t="shared" si="0"/>
        <v>42.058540894101824</v>
      </c>
      <c r="AE24" s="580">
        <f t="shared" si="1"/>
        <v>9.3832844131840967E-3</v>
      </c>
      <c r="AF24" s="580">
        <f t="shared" si="2"/>
        <v>42.049157609688642</v>
      </c>
      <c r="AG24" s="580">
        <f t="shared" si="3"/>
        <v>5.7383105306777614E-2</v>
      </c>
      <c r="AH24" s="580">
        <f t="shared" si="4"/>
        <v>257.14996294770333</v>
      </c>
    </row>
    <row r="25" spans="1:34">
      <c r="B25" s="4" t="s">
        <v>578</v>
      </c>
      <c r="C25" s="31">
        <f>HLOOKUP(floor&amp;A25&amp;Int_zone&amp;":"&amp;B25,'Eplus results'!$1:$1048576,$C$3, FALSE)</f>
        <v>0</v>
      </c>
      <c r="D25" t="s">
        <v>239</v>
      </c>
      <c r="E25" s="30" t="s">
        <v>255</v>
      </c>
      <c r="F25" s="29">
        <f>C25*9/5+32</f>
        <v>32</v>
      </c>
      <c r="G25" t="s">
        <v>89</v>
      </c>
      <c r="AB25" s="580">
        <f>HLOOKUP("*"&amp;'Output annual'!$AC$2&amp;'Output annual'!$AD$2&amp;"*Zone People Number Of Occupants [](Hourly)",'Eplus results'!$1:$1048576,ROW(),FALSE)</f>
        <v>6.1154605125419401</v>
      </c>
      <c r="AC25" s="580">
        <f>HLOOKUP("*"&amp;'Output annual'!$AC$2&amp;'Output annual'!$AD$2&amp;"*FangerPMV(Hourly)",'Eplus results'!$1:$1048576,ROW(),FALSE)</f>
        <v>-1.1690342277738599</v>
      </c>
      <c r="AD25" s="580">
        <f t="shared" si="0"/>
        <v>33.748270303768365</v>
      </c>
      <c r="AE25" s="580">
        <f t="shared" si="1"/>
        <v>2.1351797565786274E-2</v>
      </c>
      <c r="AF25" s="580">
        <f t="shared" si="2"/>
        <v>33.72691850620258</v>
      </c>
      <c r="AG25" s="580">
        <f t="shared" si="3"/>
        <v>0.13057607488535508</v>
      </c>
      <c r="AH25" s="580">
        <f t="shared" si="4"/>
        <v>206.25563833440188</v>
      </c>
    </row>
    <row r="26" spans="1:34">
      <c r="B26" s="4" t="s">
        <v>577</v>
      </c>
      <c r="C26" s="31">
        <f>HLOOKUP(floor&amp;A26&amp;Int_zone&amp;":"&amp;B26,'Eplus results'!$1:$1048576,$C$3, FALSE)</f>
        <v>0</v>
      </c>
      <c r="D26" t="s">
        <v>239</v>
      </c>
      <c r="E26" s="30" t="s">
        <v>95</v>
      </c>
      <c r="F26" s="29">
        <f>C26*9/5+32</f>
        <v>32</v>
      </c>
      <c r="G26" t="s">
        <v>89</v>
      </c>
      <c r="AB26" s="580">
        <f>HLOOKUP("*"&amp;'Output annual'!$AC$2&amp;'Output annual'!$AD$2&amp;"*Zone People Number Of Occupants [](Hourly)",'Eplus results'!$1:$1048576,ROW(),FALSE)</f>
        <v>0</v>
      </c>
      <c r="AC26" s="580">
        <f>HLOOKUP("*"&amp;'Output annual'!$AC$2&amp;'Output annual'!$AD$2&amp;"*FangerPMV(Hourly)",'Eplus results'!$1:$1048576,ROW(),FALSE)</f>
        <v>0</v>
      </c>
      <c r="AD26" s="580">
        <f t="shared" si="0"/>
        <v>5</v>
      </c>
      <c r="AE26" s="580">
        <f t="shared" si="1"/>
        <v>2.5</v>
      </c>
      <c r="AF26" s="580">
        <f t="shared" si="2"/>
        <v>2.5</v>
      </c>
      <c r="AG26" s="580">
        <f t="shared" si="3"/>
        <v>0</v>
      </c>
      <c r="AH26" s="580">
        <f t="shared" si="4"/>
        <v>0</v>
      </c>
    </row>
    <row r="27" spans="1:34">
      <c r="B27" s="4" t="s">
        <v>579</v>
      </c>
      <c r="C27" s="31">
        <f>HLOOKUP(floor&amp;A27&amp;Int_zone&amp;":"&amp;B27,'Eplus results'!$1:$1048576,$C$3, FALSE)</f>
        <v>0</v>
      </c>
      <c r="D27" t="s">
        <v>239</v>
      </c>
      <c r="E27" s="30" t="s">
        <v>256</v>
      </c>
      <c r="F27" s="29">
        <f>C27*9/5+32</f>
        <v>32</v>
      </c>
      <c r="G27" t="s">
        <v>89</v>
      </c>
      <c r="AB27" s="580">
        <f>HLOOKUP("*"&amp;'Output annual'!$AC$2&amp;'Output annual'!$AD$2&amp;"*Zone People Number Of Occupants [](Hourly)",'Eplus results'!$1:$1048576,ROW(),FALSE)</f>
        <v>0</v>
      </c>
      <c r="AC27" s="580">
        <f>HLOOKUP("*"&amp;'Output annual'!$AC$2&amp;'Output annual'!$AD$2&amp;"*FangerPMV(Hourly)",'Eplus results'!$1:$1048576,ROW(),FALSE)</f>
        <v>0</v>
      </c>
      <c r="AD27" s="580">
        <f t="shared" si="0"/>
        <v>5</v>
      </c>
      <c r="AE27" s="580">
        <f t="shared" si="1"/>
        <v>2.5</v>
      </c>
      <c r="AF27" s="580">
        <f t="shared" si="2"/>
        <v>2.5</v>
      </c>
      <c r="AG27" s="580">
        <f t="shared" si="3"/>
        <v>0</v>
      </c>
      <c r="AH27" s="580">
        <f t="shared" si="4"/>
        <v>0</v>
      </c>
    </row>
    <row r="28" spans="1:34">
      <c r="A28" t="s">
        <v>92</v>
      </c>
      <c r="B28" s="4" t="s">
        <v>577</v>
      </c>
      <c r="C28" s="31">
        <f>HLOOKUP(floor&amp;A28&amp;Int_zone&amp;":"&amp;B28,'Eplus results'!$1:$1048576,$C$3, FALSE)</f>
        <v>0</v>
      </c>
      <c r="D28" t="s">
        <v>239</v>
      </c>
      <c r="E28" s="30" t="s">
        <v>94</v>
      </c>
      <c r="F28" s="29">
        <f>C28*9/5+32</f>
        <v>32</v>
      </c>
      <c r="G28" t="s">
        <v>89</v>
      </c>
      <c r="AB28" s="580">
        <f>HLOOKUP("*"&amp;'Output annual'!$AC$2&amp;'Output annual'!$AD$2&amp;"*Zone People Number Of Occupants [](Hourly)",'Eplus results'!$1:$1048576,ROW(),FALSE)</f>
        <v>0</v>
      </c>
      <c r="AC28" s="580">
        <f>HLOOKUP("*"&amp;'Output annual'!$AC$2&amp;'Output annual'!$AD$2&amp;"*FangerPMV(Hourly)",'Eplus results'!$1:$1048576,ROW(),FALSE)</f>
        <v>0</v>
      </c>
      <c r="AD28" s="580">
        <f t="shared" si="0"/>
        <v>5</v>
      </c>
      <c r="AE28" s="580">
        <f t="shared" si="1"/>
        <v>2.5</v>
      </c>
      <c r="AF28" s="580">
        <f t="shared" si="2"/>
        <v>2.5</v>
      </c>
      <c r="AG28" s="580">
        <f t="shared" si="3"/>
        <v>0</v>
      </c>
      <c r="AH28" s="580">
        <f t="shared" si="4"/>
        <v>0</v>
      </c>
    </row>
    <row r="29" spans="1:34">
      <c r="C29" s="31"/>
      <c r="F29" s="29"/>
      <c r="AB29" s="580">
        <f>HLOOKUP("*"&amp;'Output annual'!$AC$2&amp;'Output annual'!$AD$2&amp;"*Zone People Number Of Occupants [](Hourly)",'Eplus results'!$1:$1048576,ROW(),FALSE)</f>
        <v>0</v>
      </c>
      <c r="AC29" s="580">
        <f>HLOOKUP("*"&amp;'Output annual'!$AC$2&amp;'Output annual'!$AD$2&amp;"*FangerPMV(Hourly)",'Eplus results'!$1:$1048576,ROW(),FALSE)</f>
        <v>0</v>
      </c>
      <c r="AD29" s="580">
        <f t="shared" si="0"/>
        <v>5</v>
      </c>
      <c r="AE29" s="580">
        <f t="shared" si="1"/>
        <v>2.5</v>
      </c>
      <c r="AF29" s="580">
        <f t="shared" si="2"/>
        <v>2.5</v>
      </c>
      <c r="AG29" s="580">
        <f t="shared" si="3"/>
        <v>0</v>
      </c>
      <c r="AH29" s="580">
        <f t="shared" si="4"/>
        <v>0</v>
      </c>
    </row>
    <row r="30" spans="1:34">
      <c r="B30" t="s">
        <v>254</v>
      </c>
      <c r="C30" s="31">
        <f>HLOOKUP(floor&amp;Int_zone&amp;":UF Transition Height [m](Hourly)",'Eplus results'!$1:$1048576,$C$3, FALSE)</f>
        <v>0</v>
      </c>
      <c r="D30" t="s">
        <v>236</v>
      </c>
      <c r="E30" s="30" t="s">
        <v>257</v>
      </c>
      <c r="F30" s="29">
        <f>CONVERT(C30,D30,G30)</f>
        <v>0</v>
      </c>
      <c r="G30" t="s">
        <v>258</v>
      </c>
      <c r="AB30" s="580">
        <f>HLOOKUP("*"&amp;'Output annual'!$AC$2&amp;'Output annual'!$AD$2&amp;"*Zone People Number Of Occupants [](Hourly)",'Eplus results'!$1:$1048576,ROW(),FALSE)</f>
        <v>0</v>
      </c>
      <c r="AC30" s="580">
        <f>HLOOKUP("*"&amp;'Output annual'!$AC$2&amp;'Output annual'!$AD$2&amp;"*FangerPMV(Hourly)",'Eplus results'!$1:$1048576,ROW(),FALSE)</f>
        <v>0</v>
      </c>
      <c r="AD30" s="580">
        <f t="shared" si="0"/>
        <v>5</v>
      </c>
      <c r="AE30" s="580">
        <f t="shared" si="1"/>
        <v>2.5</v>
      </c>
      <c r="AF30" s="580">
        <f t="shared" si="2"/>
        <v>2.5</v>
      </c>
      <c r="AG30" s="580">
        <f t="shared" si="3"/>
        <v>0</v>
      </c>
      <c r="AH30" s="580">
        <f t="shared" si="4"/>
        <v>0</v>
      </c>
    </row>
    <row r="31" spans="1:34">
      <c r="AB31" s="580">
        <f>HLOOKUP("*"&amp;'Output annual'!$AC$2&amp;'Output annual'!$AD$2&amp;"*Zone People Number Of Occupants [](Hourly)",'Eplus results'!$1:$1048576,ROW(),FALSE)</f>
        <v>0</v>
      </c>
      <c r="AC31" s="580">
        <f>HLOOKUP("*"&amp;'Output annual'!$AC$2&amp;'Output annual'!$AD$2&amp;"*FangerPMV(Hourly)",'Eplus results'!$1:$1048576,ROW(),FALSE)</f>
        <v>0</v>
      </c>
      <c r="AD31" s="580">
        <f t="shared" si="0"/>
        <v>5</v>
      </c>
      <c r="AE31" s="580">
        <f t="shared" si="1"/>
        <v>2.5</v>
      </c>
      <c r="AF31" s="580">
        <f t="shared" si="2"/>
        <v>2.5</v>
      </c>
      <c r="AG31" s="580">
        <f t="shared" si="3"/>
        <v>0</v>
      </c>
      <c r="AH31" s="580">
        <f t="shared" si="4"/>
        <v>0</v>
      </c>
    </row>
    <row r="32" spans="1:34">
      <c r="B32" s="2" t="s">
        <v>310</v>
      </c>
      <c r="H32" t="s">
        <v>316</v>
      </c>
      <c r="AB32" s="580">
        <f>HLOOKUP("*"&amp;'Output annual'!$AC$2&amp;'Output annual'!$AD$2&amp;"*Zone People Number Of Occupants [](Hourly)",'Eplus results'!$1:$1048576,ROW(),FALSE)</f>
        <v>0</v>
      </c>
      <c r="AC32" s="580">
        <f>HLOOKUP("*"&amp;'Output annual'!$AC$2&amp;'Output annual'!$AD$2&amp;"*FangerPMV(Hourly)",'Eplus results'!$1:$1048576,ROW(),FALSE)</f>
        <v>0</v>
      </c>
      <c r="AD32" s="580">
        <f t="shared" si="0"/>
        <v>5</v>
      </c>
      <c r="AE32" s="580">
        <f t="shared" si="1"/>
        <v>2.5</v>
      </c>
      <c r="AF32" s="580">
        <f t="shared" si="2"/>
        <v>2.5</v>
      </c>
      <c r="AG32" s="580">
        <f t="shared" si="3"/>
        <v>0</v>
      </c>
      <c r="AH32" s="580">
        <f t="shared" si="4"/>
        <v>0</v>
      </c>
    </row>
    <row r="33" spans="1:34">
      <c r="B33" t="s">
        <v>311</v>
      </c>
      <c r="C33">
        <f>HLOOKUP(floor&amp;B33,'Eplus results'!$1:$1048576,$C$3, FALSE)</f>
        <v>0</v>
      </c>
      <c r="D33" t="s">
        <v>239</v>
      </c>
      <c r="E33" s="30" t="s">
        <v>317</v>
      </c>
      <c r="F33">
        <f t="shared" ref="F33:F38" si="7">C33*9/5+32</f>
        <v>32</v>
      </c>
      <c r="G33" t="s">
        <v>89</v>
      </c>
      <c r="H33" s="39">
        <f t="shared" ref="H33:H38" si="8">F33-$F$7</f>
        <v>0</v>
      </c>
      <c r="AB33" s="580">
        <f>HLOOKUP("*"&amp;'Output annual'!$AC$2&amp;'Output annual'!$AD$2&amp;"*Zone People Number Of Occupants [](Hourly)",'Eplus results'!$1:$1048576,ROW(),FALSE)</f>
        <v>0</v>
      </c>
      <c r="AC33" s="580">
        <f>HLOOKUP("*"&amp;'Output annual'!$AC$2&amp;'Output annual'!$AD$2&amp;"*FangerPMV(Hourly)",'Eplus results'!$1:$1048576,ROW(),FALSE)</f>
        <v>0</v>
      </c>
      <c r="AD33" s="580">
        <f t="shared" si="0"/>
        <v>5</v>
      </c>
      <c r="AE33" s="580">
        <f t="shared" si="1"/>
        <v>2.5</v>
      </c>
      <c r="AF33" s="580">
        <f t="shared" si="2"/>
        <v>2.5</v>
      </c>
      <c r="AG33" s="580">
        <f t="shared" si="3"/>
        <v>0</v>
      </c>
      <c r="AH33" s="580">
        <f t="shared" si="4"/>
        <v>0</v>
      </c>
    </row>
    <row r="34" spans="1:34">
      <c r="B34" t="s">
        <v>312</v>
      </c>
      <c r="C34">
        <f>HLOOKUP(floor&amp;B34,'Eplus results'!$1:$1048576,$C$3, FALSE)</f>
        <v>0</v>
      </c>
      <c r="D34" t="s">
        <v>239</v>
      </c>
      <c r="E34" s="30" t="s">
        <v>318</v>
      </c>
      <c r="F34">
        <f t="shared" si="7"/>
        <v>32</v>
      </c>
      <c r="G34" t="s">
        <v>89</v>
      </c>
      <c r="H34" s="39">
        <f t="shared" si="8"/>
        <v>0</v>
      </c>
      <c r="AB34" s="580">
        <f>HLOOKUP("*"&amp;'Output annual'!$AC$2&amp;'Output annual'!$AD$2&amp;"*Zone People Number Of Occupants [](Hourly)",'Eplus results'!$1:$1048576,ROW(),FALSE)</f>
        <v>0</v>
      </c>
      <c r="AC34" s="580">
        <f>HLOOKUP("*"&amp;'Output annual'!$AC$2&amp;'Output annual'!$AD$2&amp;"*FangerPMV(Hourly)",'Eplus results'!$1:$1048576,ROW(),FALSE)</f>
        <v>0</v>
      </c>
      <c r="AD34" s="580">
        <f t="shared" si="0"/>
        <v>5</v>
      </c>
      <c r="AE34" s="580">
        <f t="shared" si="1"/>
        <v>2.5</v>
      </c>
      <c r="AF34" s="580">
        <f t="shared" si="2"/>
        <v>2.5</v>
      </c>
      <c r="AG34" s="580">
        <f t="shared" si="3"/>
        <v>0</v>
      </c>
      <c r="AH34" s="580">
        <f t="shared" si="4"/>
        <v>0</v>
      </c>
    </row>
    <row r="35" spans="1:34">
      <c r="B35" t="s">
        <v>313</v>
      </c>
      <c r="C35">
        <f>HLOOKUP(floor&amp;B35,'Eplus results'!$1:$1048576,$C$3, FALSE)</f>
        <v>0</v>
      </c>
      <c r="D35" t="s">
        <v>239</v>
      </c>
      <c r="E35" s="30" t="s">
        <v>319</v>
      </c>
      <c r="F35">
        <f t="shared" si="7"/>
        <v>32</v>
      </c>
      <c r="G35" t="s">
        <v>89</v>
      </c>
      <c r="H35" s="39">
        <f t="shared" si="8"/>
        <v>0</v>
      </c>
      <c r="AB35" s="580">
        <f>HLOOKUP("*"&amp;'Output annual'!$AC$2&amp;'Output annual'!$AD$2&amp;"*Zone People Number Of Occupants [](Hourly)",'Eplus results'!$1:$1048576,ROW(),FALSE)</f>
        <v>0</v>
      </c>
      <c r="AC35" s="580">
        <f>HLOOKUP("*"&amp;'Output annual'!$AC$2&amp;'Output annual'!$AD$2&amp;"*FangerPMV(Hourly)",'Eplus results'!$1:$1048576,ROW(),FALSE)</f>
        <v>0</v>
      </c>
      <c r="AD35" s="580">
        <f t="shared" si="0"/>
        <v>5</v>
      </c>
      <c r="AE35" s="580">
        <f t="shared" si="1"/>
        <v>2.5</v>
      </c>
      <c r="AF35" s="580">
        <f t="shared" si="2"/>
        <v>2.5</v>
      </c>
      <c r="AG35" s="580">
        <f t="shared" si="3"/>
        <v>0</v>
      </c>
      <c r="AH35" s="580">
        <f t="shared" si="4"/>
        <v>0</v>
      </c>
    </row>
    <row r="36" spans="1:34">
      <c r="B36" t="s">
        <v>314</v>
      </c>
      <c r="C36">
        <f>HLOOKUP(floor&amp;B36,'Eplus results'!$1:$1048576,$C$3, FALSE)</f>
        <v>0</v>
      </c>
      <c r="D36" t="s">
        <v>239</v>
      </c>
      <c r="E36" s="30" t="s">
        <v>320</v>
      </c>
      <c r="F36">
        <f t="shared" si="7"/>
        <v>32</v>
      </c>
      <c r="G36" t="s">
        <v>89</v>
      </c>
      <c r="H36" s="39">
        <f t="shared" si="8"/>
        <v>0</v>
      </c>
      <c r="AB36" s="580">
        <f>HLOOKUP("*"&amp;'Output annual'!$AC$2&amp;'Output annual'!$AD$2&amp;"*Zone People Number Of Occupants [](Hourly)",'Eplus results'!$1:$1048576,ROW(),FALSE)</f>
        <v>0</v>
      </c>
      <c r="AC36" s="580">
        <f>HLOOKUP("*"&amp;'Output annual'!$AC$2&amp;'Output annual'!$AD$2&amp;"*FangerPMV(Hourly)",'Eplus results'!$1:$1048576,ROW(),FALSE)</f>
        <v>0</v>
      </c>
      <c r="AD36" s="580">
        <f t="shared" si="0"/>
        <v>5</v>
      </c>
      <c r="AE36" s="580">
        <f t="shared" si="1"/>
        <v>2.5</v>
      </c>
      <c r="AF36" s="580">
        <f t="shared" si="2"/>
        <v>2.5</v>
      </c>
      <c r="AG36" s="580">
        <f t="shared" si="3"/>
        <v>0</v>
      </c>
      <c r="AH36" s="580">
        <f t="shared" si="4"/>
        <v>0</v>
      </c>
    </row>
    <row r="37" spans="1:34">
      <c r="B37" t="s">
        <v>315</v>
      </c>
      <c r="C37">
        <f>HLOOKUP(floor&amp;B37,'Eplus results'!$1:$1048576,$C$3, FALSE)</f>
        <v>0</v>
      </c>
      <c r="D37" t="s">
        <v>239</v>
      </c>
      <c r="E37" s="30" t="s">
        <v>321</v>
      </c>
      <c r="F37">
        <f t="shared" si="7"/>
        <v>32</v>
      </c>
      <c r="G37" t="s">
        <v>89</v>
      </c>
      <c r="H37" s="39">
        <f t="shared" si="8"/>
        <v>0</v>
      </c>
      <c r="AB37" s="580">
        <f>HLOOKUP("*"&amp;'Output annual'!$AC$2&amp;'Output annual'!$AD$2&amp;"*Zone People Number Of Occupants [](Hourly)",'Eplus results'!$1:$1048576,ROW(),FALSE)</f>
        <v>0</v>
      </c>
      <c r="AC37" s="580">
        <f>HLOOKUP("*"&amp;'Output annual'!$AC$2&amp;'Output annual'!$AD$2&amp;"*FangerPMV(Hourly)",'Eplus results'!$1:$1048576,ROW(),FALSE)</f>
        <v>0</v>
      </c>
      <c r="AD37" s="580">
        <f t="shared" si="0"/>
        <v>5</v>
      </c>
      <c r="AE37" s="580">
        <f t="shared" si="1"/>
        <v>2.5</v>
      </c>
      <c r="AF37" s="580">
        <f t="shared" si="2"/>
        <v>2.5</v>
      </c>
      <c r="AG37" s="580">
        <f t="shared" si="3"/>
        <v>0</v>
      </c>
      <c r="AH37" s="580">
        <f t="shared" si="4"/>
        <v>0</v>
      </c>
    </row>
    <row r="38" spans="1:34">
      <c r="B38" t="s">
        <v>175</v>
      </c>
      <c r="C38">
        <f>(C33+C34+C35+C36+C37)/5</f>
        <v>0</v>
      </c>
      <c r="D38" t="s">
        <v>239</v>
      </c>
      <c r="E38" s="30" t="s">
        <v>175</v>
      </c>
      <c r="F38">
        <f t="shared" si="7"/>
        <v>32</v>
      </c>
      <c r="G38" t="s">
        <v>89</v>
      </c>
      <c r="H38" s="39">
        <f t="shared" si="8"/>
        <v>0</v>
      </c>
      <c r="AB38" s="580">
        <f>HLOOKUP("*"&amp;'Output annual'!$AC$2&amp;'Output annual'!$AD$2&amp;"*Zone People Number Of Occupants [](Hourly)",'Eplus results'!$1:$1048576,ROW(),FALSE)</f>
        <v>0</v>
      </c>
      <c r="AC38" s="580">
        <f>HLOOKUP("*"&amp;'Output annual'!$AC$2&amp;'Output annual'!$AD$2&amp;"*FangerPMV(Hourly)",'Eplus results'!$1:$1048576,ROW(),FALSE)</f>
        <v>0</v>
      </c>
      <c r="AD38" s="580">
        <f t="shared" si="0"/>
        <v>5</v>
      </c>
      <c r="AE38" s="580">
        <f t="shared" si="1"/>
        <v>2.5</v>
      </c>
      <c r="AF38" s="580">
        <f t="shared" si="2"/>
        <v>2.5</v>
      </c>
      <c r="AG38" s="580">
        <f t="shared" si="3"/>
        <v>0</v>
      </c>
      <c r="AH38" s="580">
        <f t="shared" si="4"/>
        <v>0</v>
      </c>
    </row>
    <row r="39" spans="1:34">
      <c r="H39" s="39"/>
      <c r="AB39" s="580">
        <f>HLOOKUP("*"&amp;'Output annual'!$AC$2&amp;'Output annual'!$AD$2&amp;"*Zone People Number Of Occupants [](Hourly)",'Eplus results'!$1:$1048576,ROW(),FALSE)</f>
        <v>0</v>
      </c>
      <c r="AC39" s="580">
        <f>HLOOKUP("*"&amp;'Output annual'!$AC$2&amp;'Output annual'!$AD$2&amp;"*FangerPMV(Hourly)",'Eplus results'!$1:$1048576,ROW(),FALSE)</f>
        <v>0</v>
      </c>
      <c r="AD39" s="580">
        <f t="shared" si="0"/>
        <v>5</v>
      </c>
      <c r="AE39" s="580">
        <f t="shared" si="1"/>
        <v>2.5</v>
      </c>
      <c r="AF39" s="580">
        <f t="shared" si="2"/>
        <v>2.5</v>
      </c>
      <c r="AG39" s="580">
        <f t="shared" si="3"/>
        <v>0</v>
      </c>
      <c r="AH39" s="580">
        <f t="shared" si="4"/>
        <v>0</v>
      </c>
    </row>
    <row r="40" spans="1:34">
      <c r="H40" s="39"/>
      <c r="AB40" s="580">
        <f>HLOOKUP("*"&amp;'Output annual'!$AC$2&amp;'Output annual'!$AD$2&amp;"*Zone People Number Of Occupants [](Hourly)",'Eplus results'!$1:$1048576,ROW(),FALSE)</f>
        <v>0</v>
      </c>
      <c r="AC40" s="580">
        <f>HLOOKUP("*"&amp;'Output annual'!$AC$2&amp;'Output annual'!$AD$2&amp;"*FangerPMV(Hourly)",'Eplus results'!$1:$1048576,ROW(),FALSE)</f>
        <v>0</v>
      </c>
      <c r="AD40" s="580">
        <f t="shared" si="0"/>
        <v>5</v>
      </c>
      <c r="AE40" s="580">
        <f t="shared" si="1"/>
        <v>2.5</v>
      </c>
      <c r="AF40" s="580">
        <f t="shared" si="2"/>
        <v>2.5</v>
      </c>
      <c r="AG40" s="580">
        <f t="shared" si="3"/>
        <v>0</v>
      </c>
      <c r="AH40" s="580">
        <f t="shared" si="4"/>
        <v>0</v>
      </c>
    </row>
    <row r="41" spans="1:34">
      <c r="H41" s="39"/>
      <c r="AB41" s="580">
        <f>HLOOKUP("*"&amp;'Output annual'!$AC$2&amp;'Output annual'!$AD$2&amp;"*Zone People Number Of Occupants [](Hourly)",'Eplus results'!$1:$1048576,ROW(),FALSE)</f>
        <v>0</v>
      </c>
      <c r="AC41" s="580">
        <f>HLOOKUP("*"&amp;'Output annual'!$AC$2&amp;'Output annual'!$AD$2&amp;"*FangerPMV(Hourly)",'Eplus results'!$1:$1048576,ROW(),FALSE)</f>
        <v>0</v>
      </c>
      <c r="AD41" s="580">
        <f t="shared" si="0"/>
        <v>5</v>
      </c>
      <c r="AE41" s="580">
        <f t="shared" si="1"/>
        <v>2.5</v>
      </c>
      <c r="AF41" s="580">
        <f t="shared" si="2"/>
        <v>2.5</v>
      </c>
      <c r="AG41" s="580">
        <f t="shared" si="3"/>
        <v>0</v>
      </c>
      <c r="AH41" s="580">
        <f t="shared" si="4"/>
        <v>0</v>
      </c>
    </row>
    <row r="42" spans="1:34">
      <c r="AB42" s="580">
        <f>HLOOKUP("*"&amp;'Output annual'!$AC$2&amp;'Output annual'!$AD$2&amp;"*Zone People Number Of Occupants [](Hourly)",'Eplus results'!$1:$1048576,ROW(),FALSE)</f>
        <v>0</v>
      </c>
      <c r="AC42" s="580">
        <f>HLOOKUP("*"&amp;'Output annual'!$AC$2&amp;'Output annual'!$AD$2&amp;"*FangerPMV(Hourly)",'Eplus results'!$1:$1048576,ROW(),FALSE)</f>
        <v>0</v>
      </c>
      <c r="AD42" s="580">
        <f t="shared" si="0"/>
        <v>5</v>
      </c>
      <c r="AE42" s="580">
        <f t="shared" si="1"/>
        <v>2.5</v>
      </c>
      <c r="AF42" s="580">
        <f t="shared" si="2"/>
        <v>2.5</v>
      </c>
      <c r="AG42" s="580">
        <f t="shared" si="3"/>
        <v>0</v>
      </c>
      <c r="AH42" s="580">
        <f t="shared" si="4"/>
        <v>0</v>
      </c>
    </row>
    <row r="43" spans="1:34">
      <c r="AB43" s="580">
        <f>HLOOKUP("*"&amp;'Output annual'!$AC$2&amp;'Output annual'!$AD$2&amp;"*Zone People Number Of Occupants [](Hourly)",'Eplus results'!$1:$1048576,ROW(),FALSE)</f>
        <v>0</v>
      </c>
      <c r="AC43" s="580">
        <f>HLOOKUP("*"&amp;'Output annual'!$AC$2&amp;'Output annual'!$AD$2&amp;"*FangerPMV(Hourly)",'Eplus results'!$1:$1048576,ROW(),FALSE)</f>
        <v>0</v>
      </c>
      <c r="AD43" s="580">
        <f t="shared" si="0"/>
        <v>5</v>
      </c>
      <c r="AE43" s="580">
        <f t="shared" si="1"/>
        <v>2.5</v>
      </c>
      <c r="AF43" s="580">
        <f t="shared" si="2"/>
        <v>2.5</v>
      </c>
      <c r="AG43" s="580">
        <f t="shared" si="3"/>
        <v>0</v>
      </c>
      <c r="AH43" s="580">
        <f t="shared" si="4"/>
        <v>0</v>
      </c>
    </row>
    <row r="44" spans="1:34">
      <c r="B44" t="s">
        <v>176</v>
      </c>
      <c r="AB44" s="580">
        <f>HLOOKUP("*"&amp;'Output annual'!$AC$2&amp;'Output annual'!$AD$2&amp;"*Zone People Number Of Occupants [](Hourly)",'Eplus results'!$1:$1048576,ROW(),FALSE)</f>
        <v>0</v>
      </c>
      <c r="AC44" s="580">
        <f>HLOOKUP("*"&amp;'Output annual'!$AC$2&amp;'Output annual'!$AD$2&amp;"*FangerPMV(Hourly)",'Eplus results'!$1:$1048576,ROW(),FALSE)</f>
        <v>0</v>
      </c>
      <c r="AD44" s="580">
        <f t="shared" si="0"/>
        <v>5</v>
      </c>
      <c r="AE44" s="580">
        <f t="shared" si="1"/>
        <v>2.5</v>
      </c>
      <c r="AF44" s="580">
        <f t="shared" si="2"/>
        <v>2.5</v>
      </c>
      <c r="AG44" s="580">
        <f t="shared" si="3"/>
        <v>0</v>
      </c>
      <c r="AH44" s="580">
        <f t="shared" si="4"/>
        <v>0</v>
      </c>
    </row>
    <row r="45" spans="1:34">
      <c r="A45" t="s">
        <v>105</v>
      </c>
      <c r="B45" s="581" t="s">
        <v>1134</v>
      </c>
      <c r="C45" s="41">
        <f>HLOOKUP(floor&amp;perim_zone&amp;" "&amp;B45,'Eplus results'!$1:$1048576,$C$3, FALSE)</f>
        <v>0</v>
      </c>
      <c r="D45" t="s">
        <v>107</v>
      </c>
      <c r="E45" s="30" t="s">
        <v>179</v>
      </c>
      <c r="F45" s="42">
        <f>C45</f>
        <v>0</v>
      </c>
      <c r="G45" t="s">
        <v>107</v>
      </c>
      <c r="AB45" s="580">
        <f>HLOOKUP("*"&amp;'Output annual'!$AC$2&amp;'Output annual'!$AD$2&amp;"*Zone People Number Of Occupants [](Hourly)",'Eplus results'!$1:$1048576,ROW(),FALSE)</f>
        <v>0</v>
      </c>
      <c r="AC45" s="580">
        <f>HLOOKUP("*"&amp;'Output annual'!$AC$2&amp;'Output annual'!$AD$2&amp;"*FangerPMV(Hourly)",'Eplus results'!$1:$1048576,ROW(),FALSE)</f>
        <v>0</v>
      </c>
      <c r="AD45" s="580">
        <f t="shared" si="0"/>
        <v>5</v>
      </c>
      <c r="AE45" s="580">
        <f t="shared" si="1"/>
        <v>2.5</v>
      </c>
      <c r="AF45" s="580">
        <f t="shared" si="2"/>
        <v>2.5</v>
      </c>
      <c r="AG45" s="580">
        <f t="shared" si="3"/>
        <v>0</v>
      </c>
      <c r="AH45" s="580">
        <f t="shared" si="4"/>
        <v>0</v>
      </c>
    </row>
    <row r="46" spans="1:34">
      <c r="A46" t="s">
        <v>106</v>
      </c>
      <c r="B46" s="581" t="s">
        <v>1134</v>
      </c>
      <c r="C46" s="41">
        <f>HLOOKUP(floor&amp;Int_zone&amp;" "&amp;B46,'Eplus results'!$1:$1048576,$C$3, FALSE)</f>
        <v>0</v>
      </c>
      <c r="D46" t="s">
        <v>107</v>
      </c>
      <c r="E46" s="30" t="s">
        <v>179</v>
      </c>
      <c r="F46" s="42">
        <f>C46</f>
        <v>0</v>
      </c>
      <c r="G46" t="s">
        <v>107</v>
      </c>
      <c r="AB46" s="580">
        <f>HLOOKUP("*"&amp;'Output annual'!$AC$2&amp;'Output annual'!$AD$2&amp;"*Zone People Number Of Occupants [](Hourly)",'Eplus results'!$1:$1048576,ROW(),FALSE)</f>
        <v>0</v>
      </c>
      <c r="AC46" s="580">
        <f>HLOOKUP("*"&amp;'Output annual'!$AC$2&amp;'Output annual'!$AD$2&amp;"*FangerPMV(Hourly)",'Eplus results'!$1:$1048576,ROW(),FALSE)</f>
        <v>0</v>
      </c>
      <c r="AD46" s="580">
        <f t="shared" si="0"/>
        <v>5</v>
      </c>
      <c r="AE46" s="580">
        <f t="shared" si="1"/>
        <v>2.5</v>
      </c>
      <c r="AF46" s="580">
        <f t="shared" si="2"/>
        <v>2.5</v>
      </c>
      <c r="AG46" s="580">
        <f t="shared" si="3"/>
        <v>0</v>
      </c>
      <c r="AH46" s="580">
        <f t="shared" si="4"/>
        <v>0</v>
      </c>
    </row>
    <row r="47" spans="1:34">
      <c r="C47" s="42"/>
      <c r="F47" s="42"/>
      <c r="AB47" s="580">
        <f>HLOOKUP("*"&amp;'Output annual'!$AC$2&amp;'Output annual'!$AD$2&amp;"*Zone People Number Of Occupants [](Hourly)",'Eplus results'!$1:$1048576,ROW(),FALSE)</f>
        <v>0</v>
      </c>
      <c r="AC47" s="580">
        <f>HLOOKUP("*"&amp;'Output annual'!$AC$2&amp;'Output annual'!$AD$2&amp;"*FangerPMV(Hourly)",'Eplus results'!$1:$1048576,ROW(),FALSE)</f>
        <v>0</v>
      </c>
      <c r="AD47" s="580">
        <f t="shared" si="0"/>
        <v>5</v>
      </c>
      <c r="AE47" s="580">
        <f t="shared" si="1"/>
        <v>2.5</v>
      </c>
      <c r="AF47" s="580">
        <f t="shared" si="2"/>
        <v>2.5</v>
      </c>
      <c r="AG47" s="580">
        <f t="shared" si="3"/>
        <v>0</v>
      </c>
      <c r="AH47" s="580">
        <f t="shared" si="4"/>
        <v>0</v>
      </c>
    </row>
    <row r="48" spans="1:34">
      <c r="B48" t="s">
        <v>177</v>
      </c>
      <c r="C48" s="42"/>
      <c r="F48" s="42"/>
      <c r="AB48" s="580">
        <f>HLOOKUP("*"&amp;'Output annual'!$AC$2&amp;'Output annual'!$AD$2&amp;"*Zone People Number Of Occupants [](Hourly)",'Eplus results'!$1:$1048576,ROW(),FALSE)</f>
        <v>0</v>
      </c>
      <c r="AC48" s="580">
        <f>HLOOKUP("*"&amp;'Output annual'!$AC$2&amp;'Output annual'!$AD$2&amp;"*FangerPMV(Hourly)",'Eplus results'!$1:$1048576,ROW(),FALSE)</f>
        <v>0</v>
      </c>
      <c r="AD48" s="580">
        <f t="shared" si="0"/>
        <v>5</v>
      </c>
      <c r="AE48" s="580">
        <f t="shared" si="1"/>
        <v>2.5</v>
      </c>
      <c r="AF48" s="580">
        <f t="shared" si="2"/>
        <v>2.5</v>
      </c>
      <c r="AG48" s="580">
        <f t="shared" si="3"/>
        <v>0</v>
      </c>
      <c r="AH48" s="580">
        <f t="shared" si="4"/>
        <v>0</v>
      </c>
    </row>
    <row r="49" spans="1:34">
      <c r="A49" t="s">
        <v>105</v>
      </c>
      <c r="B49" t="s">
        <v>178</v>
      </c>
      <c r="C49" s="41" t="e">
        <f>HLOOKUP(floor&amp;perim_zone&amp;" "&amp;B49,'Eplus results'!$1:$1048576,$C$3, FALSE)</f>
        <v>#N/A</v>
      </c>
      <c r="D49" t="s">
        <v>239</v>
      </c>
      <c r="E49" s="30" t="s">
        <v>179</v>
      </c>
      <c r="F49" s="42" t="e">
        <f>CONVERT(C49,D49,G49)</f>
        <v>#N/A</v>
      </c>
      <c r="G49" t="s">
        <v>89</v>
      </c>
      <c r="AB49" s="580">
        <f>HLOOKUP("*"&amp;'Output annual'!$AC$2&amp;'Output annual'!$AD$2&amp;"*Zone People Number Of Occupants [](Hourly)",'Eplus results'!$1:$1048576,ROW(),FALSE)</f>
        <v>0</v>
      </c>
      <c r="AC49" s="580">
        <f>HLOOKUP("*"&amp;'Output annual'!$AC$2&amp;'Output annual'!$AD$2&amp;"*FangerPMV(Hourly)",'Eplus results'!$1:$1048576,ROW(),FALSE)</f>
        <v>0</v>
      </c>
      <c r="AD49" s="580">
        <f t="shared" si="0"/>
        <v>5</v>
      </c>
      <c r="AE49" s="580">
        <f t="shared" si="1"/>
        <v>2.5</v>
      </c>
      <c r="AF49" s="580">
        <f t="shared" si="2"/>
        <v>2.5</v>
      </c>
      <c r="AG49" s="580">
        <f t="shared" si="3"/>
        <v>0</v>
      </c>
      <c r="AH49" s="580">
        <f t="shared" si="4"/>
        <v>0</v>
      </c>
    </row>
    <row r="50" spans="1:34">
      <c r="A50" t="s">
        <v>106</v>
      </c>
      <c r="B50" t="s">
        <v>178</v>
      </c>
      <c r="C50" s="41" t="e">
        <f>HLOOKUP(floor&amp;Int_zone&amp;" "&amp;B50,'Eplus results'!$1:$1048576,$C$3, FALSE)</f>
        <v>#N/A</v>
      </c>
      <c r="D50" t="s">
        <v>239</v>
      </c>
      <c r="E50" s="30" t="s">
        <v>179</v>
      </c>
      <c r="F50" s="42" t="e">
        <f>CONVERT(C50,D50,G50)</f>
        <v>#N/A</v>
      </c>
      <c r="G50" t="s">
        <v>89</v>
      </c>
      <c r="AB50" s="580">
        <f>HLOOKUP("*"&amp;'Output annual'!$AC$2&amp;'Output annual'!$AD$2&amp;"*Zone People Number Of Occupants [](Hourly)",'Eplus results'!$1:$1048576,ROW(),FALSE)</f>
        <v>0</v>
      </c>
      <c r="AC50" s="580">
        <f>HLOOKUP("*"&amp;'Output annual'!$AC$2&amp;'Output annual'!$AD$2&amp;"*FangerPMV(Hourly)",'Eplus results'!$1:$1048576,ROW(),FALSE)</f>
        <v>0</v>
      </c>
      <c r="AD50" s="580">
        <f t="shared" si="0"/>
        <v>5</v>
      </c>
      <c r="AE50" s="580">
        <f t="shared" si="1"/>
        <v>2.5</v>
      </c>
      <c r="AF50" s="580">
        <f t="shared" si="2"/>
        <v>2.5</v>
      </c>
      <c r="AG50" s="580">
        <f t="shared" si="3"/>
        <v>0</v>
      </c>
      <c r="AH50" s="580">
        <f t="shared" si="4"/>
        <v>0</v>
      </c>
    </row>
    <row r="51" spans="1:34">
      <c r="AB51" s="580">
        <f>HLOOKUP("*"&amp;'Output annual'!$AC$2&amp;'Output annual'!$AD$2&amp;"*Zone People Number Of Occupants [](Hourly)",'Eplus results'!$1:$1048576,ROW(),FALSE)</f>
        <v>0</v>
      </c>
      <c r="AC51" s="580">
        <f>HLOOKUP("*"&amp;'Output annual'!$AC$2&amp;'Output annual'!$AD$2&amp;"*FangerPMV(Hourly)",'Eplus results'!$1:$1048576,ROW(),FALSE)</f>
        <v>0</v>
      </c>
      <c r="AD51" s="580">
        <f t="shared" si="0"/>
        <v>5</v>
      </c>
      <c r="AE51" s="580">
        <f t="shared" si="1"/>
        <v>2.5</v>
      </c>
      <c r="AF51" s="580">
        <f t="shared" si="2"/>
        <v>2.5</v>
      </c>
      <c r="AG51" s="580">
        <f t="shared" si="3"/>
        <v>0</v>
      </c>
      <c r="AH51" s="580">
        <f t="shared" si="4"/>
        <v>0</v>
      </c>
    </row>
    <row r="52" spans="1:34">
      <c r="AB52" s="580">
        <f>HLOOKUP("*"&amp;'Output annual'!$AC$2&amp;'Output annual'!$AD$2&amp;"*Zone People Number Of Occupants [](Hourly)",'Eplus results'!$1:$1048576,ROW(),FALSE)</f>
        <v>0</v>
      </c>
      <c r="AC52" s="580">
        <f>HLOOKUP("*"&amp;'Output annual'!$AC$2&amp;'Output annual'!$AD$2&amp;"*FangerPMV(Hourly)",'Eplus results'!$1:$1048576,ROW(),FALSE)</f>
        <v>0</v>
      </c>
      <c r="AD52" s="580">
        <f t="shared" si="0"/>
        <v>5</v>
      </c>
      <c r="AE52" s="580">
        <f t="shared" si="1"/>
        <v>2.5</v>
      </c>
      <c r="AF52" s="580">
        <f t="shared" si="2"/>
        <v>2.5</v>
      </c>
      <c r="AG52" s="580">
        <f t="shared" si="3"/>
        <v>0</v>
      </c>
      <c r="AH52" s="580">
        <f t="shared" si="4"/>
        <v>0</v>
      </c>
    </row>
    <row r="53" spans="1:34">
      <c r="E53"/>
      <c r="AB53" s="580">
        <f>HLOOKUP("*"&amp;'Output annual'!$AC$2&amp;'Output annual'!$AD$2&amp;"*Zone People Number Of Occupants [](Hourly)",'Eplus results'!$1:$1048576,ROW(),FALSE)</f>
        <v>0</v>
      </c>
      <c r="AC53" s="580">
        <f>HLOOKUP("*"&amp;'Output annual'!$AC$2&amp;'Output annual'!$AD$2&amp;"*FangerPMV(Hourly)",'Eplus results'!$1:$1048576,ROW(),FALSE)</f>
        <v>0</v>
      </c>
      <c r="AD53" s="580">
        <f t="shared" si="0"/>
        <v>5</v>
      </c>
      <c r="AE53" s="580">
        <f t="shared" si="1"/>
        <v>2.5</v>
      </c>
      <c r="AF53" s="580">
        <f t="shared" si="2"/>
        <v>2.5</v>
      </c>
      <c r="AG53" s="580">
        <f t="shared" si="3"/>
        <v>0</v>
      </c>
      <c r="AH53" s="580">
        <f t="shared" si="4"/>
        <v>0</v>
      </c>
    </row>
    <row r="54" spans="1:34">
      <c r="A54" s="44" t="s">
        <v>81</v>
      </c>
      <c r="C54">
        <v>8761</v>
      </c>
      <c r="E54"/>
      <c r="F54" s="44" t="s">
        <v>338</v>
      </c>
      <c r="G54" t="s">
        <v>337</v>
      </c>
      <c r="J54" s="44" t="s">
        <v>248</v>
      </c>
      <c r="K54" s="44" t="s">
        <v>339</v>
      </c>
      <c r="N54" t="s">
        <v>337</v>
      </c>
      <c r="AB54" s="580">
        <f>HLOOKUP("*"&amp;'Output annual'!$AC$2&amp;'Output annual'!$AD$2&amp;"*Zone People Number Of Occupants [](Hourly)",'Eplus results'!$1:$1048576,ROW(),FALSE)</f>
        <v>0</v>
      </c>
      <c r="AC54" s="580">
        <f>HLOOKUP("*"&amp;'Output annual'!$AC$2&amp;'Output annual'!$AD$2&amp;"*FangerPMV(Hourly)",'Eplus results'!$1:$1048576,ROW(),FALSE)</f>
        <v>0</v>
      </c>
      <c r="AD54" s="580">
        <f t="shared" si="0"/>
        <v>5</v>
      </c>
      <c r="AE54" s="580">
        <f t="shared" si="1"/>
        <v>2.5</v>
      </c>
      <c r="AF54" s="580">
        <f t="shared" si="2"/>
        <v>2.5</v>
      </c>
      <c r="AG54" s="580">
        <f t="shared" si="3"/>
        <v>0</v>
      </c>
      <c r="AH54" s="580">
        <f t="shared" si="4"/>
        <v>0</v>
      </c>
    </row>
    <row r="55" spans="1:34">
      <c r="B55" t="s">
        <v>174</v>
      </c>
      <c r="C55">
        <f>HLOOKUP(B55,'EPlus Meter Results'!$1:$1048576,$C$54, FALSE)</f>
        <v>0</v>
      </c>
      <c r="D55" t="s">
        <v>139</v>
      </c>
      <c r="E55"/>
      <c r="F55" t="s">
        <v>77</v>
      </c>
      <c r="G55">
        <f>3.41*C70/3600000/(Bldg_Length*Bldg_Width*3*10.76)</f>
        <v>0</v>
      </c>
      <c r="J55" t="s">
        <v>355</v>
      </c>
      <c r="K55" t="s">
        <v>77</v>
      </c>
      <c r="L55">
        <f>C55+C64</f>
        <v>0</v>
      </c>
      <c r="M55" t="s">
        <v>139</v>
      </c>
      <c r="N55">
        <f>3.41*L55/(Bldg_Length*Bldg_Width*3*10.76)/3600000</f>
        <v>0</v>
      </c>
      <c r="AB55" s="580">
        <f>HLOOKUP("*"&amp;'Output annual'!$AC$2&amp;'Output annual'!$AD$2&amp;"*Zone People Number Of Occupants [](Hourly)",'Eplus results'!$1:$1048576,ROW(),FALSE)</f>
        <v>0</v>
      </c>
      <c r="AC55" s="580">
        <f>HLOOKUP("*"&amp;'Output annual'!$AC$2&amp;'Output annual'!$AD$2&amp;"*FangerPMV(Hourly)",'Eplus results'!$1:$1048576,ROW(),FALSE)</f>
        <v>0</v>
      </c>
      <c r="AD55" s="580">
        <f t="shared" si="0"/>
        <v>5</v>
      </c>
      <c r="AE55" s="580">
        <f t="shared" si="1"/>
        <v>2.5</v>
      </c>
      <c r="AF55" s="580">
        <f t="shared" si="2"/>
        <v>2.5</v>
      </c>
      <c r="AG55" s="580">
        <f t="shared" si="3"/>
        <v>0</v>
      </c>
      <c r="AH55" s="580">
        <f t="shared" si="4"/>
        <v>0</v>
      </c>
    </row>
    <row r="56" spans="1:34">
      <c r="B56" t="s">
        <v>322</v>
      </c>
      <c r="C56">
        <f>HLOOKUP(B56,'EPlus Meter Results'!$1:$1048576,$C$54, FALSE)</f>
        <v>0</v>
      </c>
      <c r="D56" t="s">
        <v>139</v>
      </c>
      <c r="E56"/>
      <c r="F56" t="s">
        <v>78</v>
      </c>
      <c r="G56">
        <f>3.41*C71/3600000/(Bldg_Length*Bldg_Width*3*10.76)</f>
        <v>0</v>
      </c>
      <c r="J56" s="43"/>
      <c r="K56" t="s">
        <v>78</v>
      </c>
      <c r="L56">
        <f>C59+C62+C64</f>
        <v>0</v>
      </c>
      <c r="M56" t="s">
        <v>139</v>
      </c>
      <c r="N56">
        <f>3.41*L56/(Bldg_Length*Bldg_Width*3*10.76)/3600000</f>
        <v>0</v>
      </c>
      <c r="AB56" s="580">
        <f>HLOOKUP("*"&amp;'Output annual'!$AC$2&amp;'Output annual'!$AD$2&amp;"*Zone People Number Of Occupants [](Hourly)",'Eplus results'!$1:$1048576,ROW(),FALSE)</f>
        <v>0</v>
      </c>
      <c r="AC56" s="580">
        <f>HLOOKUP("*"&amp;'Output annual'!$AC$2&amp;'Output annual'!$AD$2&amp;"*FangerPMV(Hourly)",'Eplus results'!$1:$1048576,ROW(),FALSE)</f>
        <v>0</v>
      </c>
      <c r="AD56" s="580">
        <f t="shared" si="0"/>
        <v>5</v>
      </c>
      <c r="AE56" s="580">
        <f t="shared" si="1"/>
        <v>2.5</v>
      </c>
      <c r="AF56" s="580">
        <f t="shared" si="2"/>
        <v>2.5</v>
      </c>
      <c r="AG56" s="580">
        <f t="shared" si="3"/>
        <v>0</v>
      </c>
      <c r="AH56" s="580">
        <f t="shared" si="4"/>
        <v>0</v>
      </c>
    </row>
    <row r="57" spans="1:34">
      <c r="B57" t="s">
        <v>325</v>
      </c>
      <c r="C57">
        <f>HLOOKUP(B57,'EPlus Meter Results'!$1:$1048576,$C$54, FALSE)</f>
        <v>0</v>
      </c>
      <c r="D57" t="s">
        <v>139</v>
      </c>
      <c r="E57"/>
      <c r="F57" t="s">
        <v>79</v>
      </c>
      <c r="G57">
        <f>3.41*C72/3600000/(Bldg_Length*Bldg_Width*3*10.76)</f>
        <v>0</v>
      </c>
      <c r="J57" s="43"/>
      <c r="K57" t="s">
        <v>79</v>
      </c>
      <c r="L57">
        <f>C56</f>
        <v>0</v>
      </c>
      <c r="M57" t="s">
        <v>139</v>
      </c>
      <c r="N57">
        <f>3.41*L57/(Bldg_Length*Bldg_Width*3*10.76)/3600000</f>
        <v>0</v>
      </c>
      <c r="AB57" s="580">
        <f>HLOOKUP("*"&amp;'Output annual'!$AC$2&amp;'Output annual'!$AD$2&amp;"*Zone People Number Of Occupants [](Hourly)",'Eplus results'!$1:$1048576,ROW(),FALSE)</f>
        <v>0</v>
      </c>
      <c r="AC57" s="580">
        <f>HLOOKUP("*"&amp;'Output annual'!$AC$2&amp;'Output annual'!$AD$2&amp;"*FangerPMV(Hourly)",'Eplus results'!$1:$1048576,ROW(),FALSE)</f>
        <v>0</v>
      </c>
      <c r="AD57" s="580">
        <f t="shared" si="0"/>
        <v>5</v>
      </c>
      <c r="AE57" s="580">
        <f t="shared" si="1"/>
        <v>2.5</v>
      </c>
      <c r="AF57" s="580">
        <f t="shared" si="2"/>
        <v>2.5</v>
      </c>
      <c r="AG57" s="580">
        <f t="shared" si="3"/>
        <v>0</v>
      </c>
      <c r="AH57" s="580">
        <f t="shared" si="4"/>
        <v>0</v>
      </c>
    </row>
    <row r="58" spans="1:34">
      <c r="B58" t="s">
        <v>326</v>
      </c>
      <c r="C58">
        <f>HLOOKUP(B58,'EPlus Meter Results'!$1:$1048576,$C$54, FALSE)</f>
        <v>0</v>
      </c>
      <c r="D58" t="s">
        <v>139</v>
      </c>
      <c r="E58"/>
      <c r="F58" t="s">
        <v>80</v>
      </c>
      <c r="G58">
        <f>3.41*C73/3600000/(Bldg_Length*Bldg_Width*3*10.76)</f>
        <v>0</v>
      </c>
      <c r="J58" s="43"/>
      <c r="K58" t="s">
        <v>80</v>
      </c>
      <c r="L58">
        <f>C57</f>
        <v>0</v>
      </c>
      <c r="M58" t="s">
        <v>139</v>
      </c>
      <c r="N58">
        <f>3.41*L58/(Bldg_Length*Bldg_Width*3*10.76)/3600000</f>
        <v>0</v>
      </c>
      <c r="AB58" s="580">
        <f>HLOOKUP("*"&amp;'Output annual'!$AC$2&amp;'Output annual'!$AD$2&amp;"*Zone People Number Of Occupants [](Hourly)",'Eplus results'!$1:$1048576,ROW(),FALSE)</f>
        <v>0</v>
      </c>
      <c r="AC58" s="580">
        <f>HLOOKUP("*"&amp;'Output annual'!$AC$2&amp;'Output annual'!$AD$2&amp;"*FangerPMV(Hourly)",'Eplus results'!$1:$1048576,ROW(),FALSE)</f>
        <v>0</v>
      </c>
      <c r="AD58" s="580">
        <f t="shared" si="0"/>
        <v>5</v>
      </c>
      <c r="AE58" s="580">
        <f t="shared" si="1"/>
        <v>2.5</v>
      </c>
      <c r="AF58" s="580">
        <f t="shared" si="2"/>
        <v>2.5</v>
      </c>
      <c r="AG58" s="580">
        <f t="shared" si="3"/>
        <v>0</v>
      </c>
      <c r="AH58" s="580">
        <f t="shared" si="4"/>
        <v>0</v>
      </c>
    </row>
    <row r="59" spans="1:34">
      <c r="B59" t="s">
        <v>327</v>
      </c>
      <c r="C59">
        <f>HLOOKUP(B59,'EPlus Meter Results'!$1:$1048576,$C$54, FALSE)</f>
        <v>0</v>
      </c>
      <c r="D59" t="s">
        <v>139</v>
      </c>
      <c r="E59"/>
      <c r="G59" t="s">
        <v>337</v>
      </c>
      <c r="AB59" s="580">
        <f>HLOOKUP("*"&amp;'Output annual'!$AC$2&amp;'Output annual'!$AD$2&amp;"*Zone People Number Of Occupants [](Hourly)",'Eplus results'!$1:$1048576,ROW(),FALSE)</f>
        <v>0</v>
      </c>
      <c r="AC59" s="580">
        <f>HLOOKUP("*"&amp;'Output annual'!$AC$2&amp;'Output annual'!$AD$2&amp;"*FangerPMV(Hourly)",'Eplus results'!$1:$1048576,ROW(),FALSE)</f>
        <v>0</v>
      </c>
      <c r="AD59" s="580">
        <f t="shared" si="0"/>
        <v>5</v>
      </c>
      <c r="AE59" s="580">
        <f t="shared" si="1"/>
        <v>2.5</v>
      </c>
      <c r="AF59" s="580">
        <f t="shared" si="2"/>
        <v>2.5</v>
      </c>
      <c r="AG59" s="580">
        <f t="shared" si="3"/>
        <v>0</v>
      </c>
      <c r="AH59" s="580">
        <f t="shared" si="4"/>
        <v>0</v>
      </c>
    </row>
    <row r="60" spans="1:34">
      <c r="B60" t="s">
        <v>328</v>
      </c>
      <c r="C60">
        <f>HLOOKUP(B60,'EPlus Meter Results'!$1:$1048576,$C$54, FALSE)</f>
        <v>0</v>
      </c>
      <c r="D60" t="s">
        <v>139</v>
      </c>
      <c r="E60"/>
      <c r="F60" t="s">
        <v>351</v>
      </c>
      <c r="J60" t="s">
        <v>352</v>
      </c>
      <c r="K60" t="s">
        <v>351</v>
      </c>
      <c r="AB60" s="580">
        <f>HLOOKUP("*"&amp;'Output annual'!$AC$2&amp;'Output annual'!$AD$2&amp;"*Zone People Number Of Occupants [](Hourly)",'Eplus results'!$1:$1048576,ROW(),FALSE)</f>
        <v>0</v>
      </c>
      <c r="AC60" s="580">
        <f>HLOOKUP("*"&amp;'Output annual'!$AC$2&amp;'Output annual'!$AD$2&amp;"*FangerPMV(Hourly)",'Eplus results'!$1:$1048576,ROW(),FALSE)</f>
        <v>0</v>
      </c>
      <c r="AD60" s="580">
        <f t="shared" si="0"/>
        <v>5</v>
      </c>
      <c r="AE60" s="580">
        <f t="shared" si="1"/>
        <v>2.5</v>
      </c>
      <c r="AF60" s="580">
        <f t="shared" si="2"/>
        <v>2.5</v>
      </c>
      <c r="AG60" s="580">
        <f t="shared" si="3"/>
        <v>0</v>
      </c>
      <c r="AH60" s="580">
        <f t="shared" si="4"/>
        <v>0</v>
      </c>
    </row>
    <row r="61" spans="1:34">
      <c r="B61" t="s">
        <v>329</v>
      </c>
      <c r="C61">
        <f>HLOOKUP(B61,'EPlus Meter Results'!$1:$1048576,$C$54, FALSE)</f>
        <v>0</v>
      </c>
      <c r="D61" t="s">
        <v>139</v>
      </c>
      <c r="E61"/>
      <c r="F61" t="s">
        <v>347</v>
      </c>
      <c r="G61">
        <f>3.41*C76/3600000/(Bldg_Length*Bldg_Width*3*10.76)</f>
        <v>0</v>
      </c>
      <c r="J61" s="43"/>
      <c r="K61" t="s">
        <v>347</v>
      </c>
      <c r="L61">
        <f>0</f>
        <v>0</v>
      </c>
      <c r="M61" t="s">
        <v>139</v>
      </c>
      <c r="N61">
        <f>3.41*L61/(Bldg_Length*Bldg_Width*3*10.76)/3600000</f>
        <v>0</v>
      </c>
      <c r="AB61" s="580">
        <f>HLOOKUP("*"&amp;'Output annual'!$AC$2&amp;'Output annual'!$AD$2&amp;"*Zone People Number Of Occupants [](Hourly)",'Eplus results'!$1:$1048576,ROW(),FALSE)</f>
        <v>0</v>
      </c>
      <c r="AC61" s="580">
        <f>HLOOKUP("*"&amp;'Output annual'!$AC$2&amp;'Output annual'!$AD$2&amp;"*FangerPMV(Hourly)",'Eplus results'!$1:$1048576,ROW(),FALSE)</f>
        <v>0</v>
      </c>
      <c r="AD61" s="580">
        <f t="shared" si="0"/>
        <v>5</v>
      </c>
      <c r="AE61" s="580">
        <f t="shared" si="1"/>
        <v>2.5</v>
      </c>
      <c r="AF61" s="580">
        <f t="shared" si="2"/>
        <v>2.5</v>
      </c>
      <c r="AG61" s="580">
        <f t="shared" si="3"/>
        <v>0</v>
      </c>
      <c r="AH61" s="580">
        <f t="shared" si="4"/>
        <v>0</v>
      </c>
    </row>
    <row r="62" spans="1:34">
      <c r="B62" t="s">
        <v>331</v>
      </c>
      <c r="C62">
        <f>HLOOKUP(B62,'EPlus Meter Results'!$1:$1048576,$C$54, FALSE)</f>
        <v>0</v>
      </c>
      <c r="D62" t="s">
        <v>139</v>
      </c>
      <c r="F62" t="s">
        <v>348</v>
      </c>
      <c r="G62">
        <f>3.41*C77/3600000/(Bldg_Length*Bldg_Width*3*10.76)</f>
        <v>0</v>
      </c>
      <c r="J62" s="43"/>
      <c r="K62" t="s">
        <v>336</v>
      </c>
      <c r="L62">
        <f>C59</f>
        <v>0</v>
      </c>
      <c r="M62" t="s">
        <v>139</v>
      </c>
      <c r="N62">
        <f>3.41*L62/(Bldg_Length*Bldg_Width*3*10.76)/3600000</f>
        <v>0</v>
      </c>
      <c r="AB62" s="580">
        <f>HLOOKUP("*"&amp;'Output annual'!$AC$2&amp;'Output annual'!$AD$2&amp;"*Zone People Number Of Occupants [](Hourly)",'Eplus results'!$1:$1048576,ROW(),FALSE)</f>
        <v>0</v>
      </c>
      <c r="AC62" s="580">
        <f>HLOOKUP("*"&amp;'Output annual'!$AC$2&amp;'Output annual'!$AD$2&amp;"*FangerPMV(Hourly)",'Eplus results'!$1:$1048576,ROW(),FALSE)</f>
        <v>0</v>
      </c>
      <c r="AD62" s="580">
        <f t="shared" si="0"/>
        <v>5</v>
      </c>
      <c r="AE62" s="580">
        <f t="shared" si="1"/>
        <v>2.5</v>
      </c>
      <c r="AF62" s="580">
        <f t="shared" si="2"/>
        <v>2.5</v>
      </c>
      <c r="AG62" s="580">
        <f t="shared" si="3"/>
        <v>0</v>
      </c>
      <c r="AH62" s="580">
        <f t="shared" si="4"/>
        <v>0</v>
      </c>
    </row>
    <row r="63" spans="1:34">
      <c r="B63" t="s">
        <v>332</v>
      </c>
      <c r="C63">
        <f>HLOOKUP(B63,'EPlus Meter Results'!$1:$1048576,$C$54, FALSE)</f>
        <v>0</v>
      </c>
      <c r="D63" t="s">
        <v>139</v>
      </c>
      <c r="E63"/>
      <c r="F63" t="s">
        <v>349</v>
      </c>
      <c r="G63">
        <f>3.41*C78/3600000/(Bldg_Length*Bldg_Width*3*10.76)</f>
        <v>0</v>
      </c>
      <c r="J63" s="43"/>
      <c r="K63" t="s">
        <v>349</v>
      </c>
      <c r="L63">
        <f>C61+C66+C67+C76-C60</f>
        <v>0</v>
      </c>
      <c r="M63" t="s">
        <v>139</v>
      </c>
      <c r="N63">
        <f>3.41*L63/(Bldg_Length*Bldg_Width*3*10.76)/3600000</f>
        <v>0</v>
      </c>
      <c r="AB63" s="580">
        <f>HLOOKUP("*"&amp;'Output annual'!$AC$2&amp;'Output annual'!$AD$2&amp;"*Zone People Number Of Occupants [](Hourly)",'Eplus results'!$1:$1048576,ROW(),FALSE)</f>
        <v>0</v>
      </c>
      <c r="AC63" s="580">
        <f>HLOOKUP("*"&amp;'Output annual'!$AC$2&amp;'Output annual'!$AD$2&amp;"*FangerPMV(Hourly)",'Eplus results'!$1:$1048576,ROW(),FALSE)</f>
        <v>0</v>
      </c>
      <c r="AD63" s="580">
        <f t="shared" si="0"/>
        <v>5</v>
      </c>
      <c r="AE63" s="580">
        <f t="shared" si="1"/>
        <v>2.5</v>
      </c>
      <c r="AF63" s="580">
        <f t="shared" si="2"/>
        <v>2.5</v>
      </c>
      <c r="AG63" s="580">
        <f t="shared" si="3"/>
        <v>0</v>
      </c>
      <c r="AH63" s="580">
        <f t="shared" si="4"/>
        <v>0</v>
      </c>
    </row>
    <row r="64" spans="1:34">
      <c r="B64" t="s">
        <v>330</v>
      </c>
      <c r="C64">
        <f>HLOOKUP(B64,'EPlus Meter Results'!$1:$1048576,$C$54, FALSE)</f>
        <v>0</v>
      </c>
      <c r="D64" t="s">
        <v>139</v>
      </c>
      <c r="F64" t="s">
        <v>350</v>
      </c>
      <c r="G64">
        <f>3.41*C79/3600000/(Bldg_Length*Bldg_Width*3*10.76)</f>
        <v>0</v>
      </c>
      <c r="J64" s="43"/>
      <c r="K64" t="s">
        <v>350</v>
      </c>
      <c r="L64">
        <f>C64+C65</f>
        <v>0</v>
      </c>
      <c r="M64" t="s">
        <v>139</v>
      </c>
      <c r="N64">
        <f>3.41*L64/(Bldg_Length*Bldg_Width*3*10.76)/3600000</f>
        <v>0</v>
      </c>
      <c r="AB64" s="580">
        <f>HLOOKUP("*"&amp;'Output annual'!$AC$2&amp;'Output annual'!$AD$2&amp;"*Zone People Number Of Occupants [](Hourly)",'Eplus results'!$1:$1048576,ROW(),FALSE)</f>
        <v>0</v>
      </c>
      <c r="AC64" s="580">
        <f>HLOOKUP("*"&amp;'Output annual'!$AC$2&amp;'Output annual'!$AD$2&amp;"*FangerPMV(Hourly)",'Eplus results'!$1:$1048576,ROW(),FALSE)</f>
        <v>0</v>
      </c>
      <c r="AD64" s="580">
        <f t="shared" si="0"/>
        <v>5</v>
      </c>
      <c r="AE64" s="580">
        <f t="shared" si="1"/>
        <v>2.5</v>
      </c>
      <c r="AF64" s="580">
        <f t="shared" si="2"/>
        <v>2.5</v>
      </c>
      <c r="AG64" s="580">
        <f t="shared" si="3"/>
        <v>0</v>
      </c>
      <c r="AH64" s="580">
        <f t="shared" si="4"/>
        <v>0</v>
      </c>
    </row>
    <row r="65" spans="1:34">
      <c r="B65" t="s">
        <v>334</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139</v>
      </c>
      <c r="F65" t="s">
        <v>78</v>
      </c>
      <c r="G65">
        <f>3.41*C80/3600000/(Bldg_Length*Bldg_Width*3*10.76)</f>
        <v>0</v>
      </c>
      <c r="J65" s="43"/>
      <c r="K65" t="s">
        <v>78</v>
      </c>
      <c r="L65">
        <f>L61+L62+L63+L64</f>
        <v>0</v>
      </c>
      <c r="M65" t="s">
        <v>139</v>
      </c>
      <c r="N65">
        <f>3.41*L65/(Bldg_Length*Bldg_Width*3*10.76)/3600000</f>
        <v>0</v>
      </c>
      <c r="AB65" s="580">
        <f>HLOOKUP("*"&amp;'Output annual'!$AC$2&amp;'Output annual'!$AD$2&amp;"*Zone People Number Of Occupants [](Hourly)",'Eplus results'!$1:$1048576,ROW(),FALSE)</f>
        <v>0</v>
      </c>
      <c r="AC65" s="580">
        <f>HLOOKUP("*"&amp;'Output annual'!$AC$2&amp;'Output annual'!$AD$2&amp;"*FangerPMV(Hourly)",'Eplus results'!$1:$1048576,ROW(),FALSE)</f>
        <v>0</v>
      </c>
      <c r="AD65" s="580">
        <f t="shared" si="0"/>
        <v>5</v>
      </c>
      <c r="AE65" s="580">
        <f t="shared" si="1"/>
        <v>2.5</v>
      </c>
      <c r="AF65" s="580">
        <f t="shared" si="2"/>
        <v>2.5</v>
      </c>
      <c r="AG65" s="580">
        <f t="shared" si="3"/>
        <v>0</v>
      </c>
      <c r="AH65" s="580">
        <f t="shared" si="4"/>
        <v>0</v>
      </c>
    </row>
    <row r="66" spans="1:34">
      <c r="B66" s="4" t="s">
        <v>694</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139</v>
      </c>
      <c r="AB66" s="580">
        <f>HLOOKUP("*"&amp;'Output annual'!$AC$2&amp;'Output annual'!$AD$2&amp;"*Zone People Number Of Occupants [](Hourly)",'Eplus results'!$1:$1048576,ROW(),FALSE)</f>
        <v>0</v>
      </c>
      <c r="AC66" s="580">
        <f>HLOOKUP("*"&amp;'Output annual'!$AC$2&amp;'Output annual'!$AD$2&amp;"*FangerPMV(Hourly)",'Eplus results'!$1:$1048576,ROW(),FALSE)</f>
        <v>0</v>
      </c>
      <c r="AD66" s="580">
        <f t="shared" si="0"/>
        <v>5</v>
      </c>
      <c r="AE66" s="580">
        <f t="shared" si="1"/>
        <v>2.5</v>
      </c>
      <c r="AF66" s="580">
        <f t="shared" si="2"/>
        <v>2.5</v>
      </c>
      <c r="AG66" s="580">
        <f t="shared" si="3"/>
        <v>0</v>
      </c>
      <c r="AH66" s="580">
        <f t="shared" si="4"/>
        <v>0</v>
      </c>
    </row>
    <row r="67" spans="1:34">
      <c r="B67" t="s">
        <v>335</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139</v>
      </c>
      <c r="AB67" s="580">
        <f>HLOOKUP("*"&amp;'Output annual'!$AC$2&amp;'Output annual'!$AD$2&amp;"*Zone People Number Of Occupants [](Hourly)",'Eplus results'!$1:$1048576,ROW(),FALSE)</f>
        <v>0</v>
      </c>
      <c r="AC67" s="580">
        <f>HLOOKUP("*"&amp;'Output annual'!$AC$2&amp;'Output annual'!$AD$2&amp;"*FangerPMV(Hourly)",'Eplus results'!$1:$1048576,ROW(),FALSE)</f>
        <v>0</v>
      </c>
      <c r="AD67" s="580">
        <f t="shared" ref="AD67:AD130" si="9">100-95*EXP(-0.03353*AC67^4-0.2179*AC67^2)</f>
        <v>5</v>
      </c>
      <c r="AE67" s="580">
        <f t="shared" ref="AE67:AE130" si="10">AD67*(1/(1+EXP(-6.3*$AC67)))</f>
        <v>2.5</v>
      </c>
      <c r="AF67" s="580">
        <f t="shared" ref="AF67:AF130" si="11">(AD67-AE67)</f>
        <v>2.5</v>
      </c>
      <c r="AG67" s="580">
        <f t="shared" ref="AG67:AG130" si="12">AE67*AB67</f>
        <v>0</v>
      </c>
      <c r="AH67" s="580">
        <f t="shared" ref="AH67:AH130" si="13">AF67*AB67</f>
        <v>0</v>
      </c>
    </row>
    <row r="68" spans="1:34">
      <c r="AB68" s="580">
        <f>HLOOKUP("*"&amp;'Output annual'!$AC$2&amp;'Output annual'!$AD$2&amp;"*Zone People Number Of Occupants [](Hourly)",'Eplus results'!$1:$1048576,ROW(),FALSE)</f>
        <v>0</v>
      </c>
      <c r="AC68" s="580">
        <f>HLOOKUP("*"&amp;'Output annual'!$AC$2&amp;'Output annual'!$AD$2&amp;"*FangerPMV(Hourly)",'Eplus results'!$1:$1048576,ROW(),FALSE)</f>
        <v>0</v>
      </c>
      <c r="AD68" s="580">
        <f t="shared" si="9"/>
        <v>5</v>
      </c>
      <c r="AE68" s="580">
        <f t="shared" si="10"/>
        <v>2.5</v>
      </c>
      <c r="AF68" s="580">
        <f t="shared" si="11"/>
        <v>2.5</v>
      </c>
      <c r="AG68" s="580">
        <f t="shared" si="12"/>
        <v>0</v>
      </c>
      <c r="AH68" s="580">
        <f t="shared" si="13"/>
        <v>0</v>
      </c>
    </row>
    <row r="69" spans="1:34">
      <c r="A69" s="44" t="s">
        <v>338</v>
      </c>
      <c r="B69" s="44" t="s">
        <v>339</v>
      </c>
      <c r="F69" s="44" t="s">
        <v>83</v>
      </c>
      <c r="L69" s="44" t="s">
        <v>248</v>
      </c>
      <c r="M69" s="44" t="s">
        <v>9</v>
      </c>
      <c r="R69" s="44" t="s">
        <v>248</v>
      </c>
      <c r="S69" s="44" t="s">
        <v>175</v>
      </c>
      <c r="AB69" s="580">
        <f>HLOOKUP("*"&amp;'Output annual'!$AC$2&amp;'Output annual'!$AD$2&amp;"*Zone People Number Of Occupants [](Hourly)",'Eplus results'!$1:$1048576,ROW(),FALSE)</f>
        <v>0</v>
      </c>
      <c r="AC69" s="580">
        <f>HLOOKUP("*"&amp;'Output annual'!$AC$2&amp;'Output annual'!$AD$2&amp;"*FangerPMV(Hourly)",'Eplus results'!$1:$1048576,ROW(),FALSE)</f>
        <v>0</v>
      </c>
      <c r="AD69" s="580">
        <f t="shared" si="9"/>
        <v>5</v>
      </c>
      <c r="AE69" s="580">
        <f t="shared" si="10"/>
        <v>2.5</v>
      </c>
      <c r="AF69" s="580">
        <f t="shared" si="11"/>
        <v>2.5</v>
      </c>
      <c r="AG69" s="580">
        <f t="shared" si="12"/>
        <v>0</v>
      </c>
      <c r="AH69" s="580">
        <f t="shared" si="13"/>
        <v>0</v>
      </c>
    </row>
    <row r="70" spans="1:34">
      <c r="A70" t="s">
        <v>355</v>
      </c>
      <c r="B70" t="s">
        <v>77</v>
      </c>
      <c r="C70">
        <f>C55+C64</f>
        <v>0</v>
      </c>
      <c r="D70" t="s">
        <v>139</v>
      </c>
      <c r="F70" t="s">
        <v>355</v>
      </c>
      <c r="G70" t="s">
        <v>77</v>
      </c>
      <c r="H70">
        <f>(Bldg_Length*Bldg_Width*3*10.76)*3600000/3.41*J70</f>
        <v>3806920821114.3696</v>
      </c>
      <c r="I70" t="s">
        <v>139</v>
      </c>
      <c r="J70">
        <f>J71+J72+J73</f>
        <v>60.1</v>
      </c>
      <c r="L70" t="s">
        <v>355</v>
      </c>
      <c r="M70" t="s">
        <v>77</v>
      </c>
      <c r="N70">
        <f>(Bldg_Length*Bldg_Width*3*10.76)*3600000/3.41*P70</f>
        <v>4351038123167.1553</v>
      </c>
      <c r="O70" t="s">
        <v>139</v>
      </c>
      <c r="P70">
        <f>P71+P72+P73</f>
        <v>68.69</v>
      </c>
      <c r="R70" t="s">
        <v>355</v>
      </c>
      <c r="S70" t="s">
        <v>77</v>
      </c>
      <c r="T70">
        <f>58201*3600000/3.41*V70</f>
        <v>4391393458064.5161</v>
      </c>
      <c r="U70" t="s">
        <v>139</v>
      </c>
      <c r="V70">
        <f>V71+V72+V73</f>
        <v>71.47</v>
      </c>
      <c r="AB70" s="580">
        <f>HLOOKUP("*"&amp;'Output annual'!$AC$2&amp;'Output annual'!$AD$2&amp;"*Zone People Number Of Occupants [](Hourly)",'Eplus results'!$1:$1048576,ROW(),FALSE)</f>
        <v>0</v>
      </c>
      <c r="AC70" s="580">
        <f>HLOOKUP("*"&amp;'Output annual'!$AC$2&amp;'Output annual'!$AD$2&amp;"*FangerPMV(Hourly)",'Eplus results'!$1:$1048576,ROW(),FALSE)</f>
        <v>0</v>
      </c>
      <c r="AD70" s="580">
        <f t="shared" si="9"/>
        <v>5</v>
      </c>
      <c r="AE70" s="580">
        <f t="shared" si="10"/>
        <v>2.5</v>
      </c>
      <c r="AF70" s="580">
        <f t="shared" si="11"/>
        <v>2.5</v>
      </c>
      <c r="AG70" s="580">
        <f t="shared" si="12"/>
        <v>0</v>
      </c>
      <c r="AH70" s="580">
        <f t="shared" si="13"/>
        <v>0</v>
      </c>
    </row>
    <row r="71" spans="1:34">
      <c r="A71" s="43"/>
      <c r="B71" t="s">
        <v>78</v>
      </c>
      <c r="C71">
        <f>C62+C59+C64</f>
        <v>0</v>
      </c>
      <c r="D71" t="s">
        <v>139</v>
      </c>
      <c r="E71" s="30" t="s">
        <v>352</v>
      </c>
      <c r="F71" s="43"/>
      <c r="G71" t="s">
        <v>78</v>
      </c>
      <c r="H71">
        <f>(Bldg_Length*Bldg_Width*3*10.76)*3600000/3.41*J71</f>
        <v>1811612903225.8066</v>
      </c>
      <c r="I71" t="s">
        <v>139</v>
      </c>
      <c r="J71">
        <f>J80</f>
        <v>28.6</v>
      </c>
      <c r="L71" s="43"/>
      <c r="M71" t="s">
        <v>78</v>
      </c>
      <c r="N71">
        <f>(Bldg_Length*Bldg_Width*3*10.76)*3600000/3.41*P71</f>
        <v>2642041055718.4746</v>
      </c>
      <c r="O71" t="s">
        <v>139</v>
      </c>
      <c r="P71">
        <f>P80</f>
        <v>41.709999999999994</v>
      </c>
      <c r="R71" s="43"/>
      <c r="S71" t="s">
        <v>78</v>
      </c>
      <c r="T71">
        <f>58201*3600000/3.41*V71</f>
        <v>2578799264516.1289</v>
      </c>
      <c r="U71" t="s">
        <v>139</v>
      </c>
      <c r="V71">
        <f>V80</f>
        <v>41.97</v>
      </c>
      <c r="AB71" s="580">
        <f>HLOOKUP("*"&amp;'Output annual'!$AC$2&amp;'Output annual'!$AD$2&amp;"*Zone People Number Of Occupants [](Hourly)",'Eplus results'!$1:$1048576,ROW(),FALSE)</f>
        <v>0</v>
      </c>
      <c r="AC71" s="580">
        <f>HLOOKUP("*"&amp;'Output annual'!$AC$2&amp;'Output annual'!$AD$2&amp;"*FangerPMV(Hourly)",'Eplus results'!$1:$1048576,ROW(),FALSE)</f>
        <v>0</v>
      </c>
      <c r="AD71" s="580">
        <f t="shared" si="9"/>
        <v>5</v>
      </c>
      <c r="AE71" s="580">
        <f t="shared" si="10"/>
        <v>2.5</v>
      </c>
      <c r="AF71" s="580">
        <f t="shared" si="11"/>
        <v>2.5</v>
      </c>
      <c r="AG71" s="580">
        <f t="shared" si="12"/>
        <v>0</v>
      </c>
      <c r="AH71" s="580">
        <f t="shared" si="13"/>
        <v>0</v>
      </c>
    </row>
    <row r="72" spans="1:34">
      <c r="A72" s="43"/>
      <c r="B72" t="s">
        <v>79</v>
      </c>
      <c r="C72">
        <f>C56</f>
        <v>0</v>
      </c>
      <c r="D72" t="s">
        <v>139</v>
      </c>
      <c r="E72" s="30" t="s">
        <v>353</v>
      </c>
      <c r="F72" s="43"/>
      <c r="G72" t="s">
        <v>79</v>
      </c>
      <c r="H72">
        <f>(Bldg_Length*Bldg_Width*3*10.76)*3600000/3.41*J72</f>
        <v>1178181818181.8184</v>
      </c>
      <c r="I72" t="s">
        <v>139</v>
      </c>
      <c r="J72">
        <v>18.600000000000001</v>
      </c>
      <c r="L72" s="43"/>
      <c r="M72" t="s">
        <v>79</v>
      </c>
      <c r="N72">
        <f>(Bldg_Length*Bldg_Width*3*10.76)*3600000/3.41*P72</f>
        <v>1026791788856.3051</v>
      </c>
      <c r="O72" t="s">
        <v>139</v>
      </c>
      <c r="P72">
        <v>16.21</v>
      </c>
      <c r="R72" s="43"/>
      <c r="S72" t="s">
        <v>79</v>
      </c>
      <c r="T72">
        <f>58201*3600000/3.41*V72</f>
        <v>934561277419.35486</v>
      </c>
      <c r="U72" t="s">
        <v>139</v>
      </c>
      <c r="V72">
        <v>15.21</v>
      </c>
      <c r="AB72" s="580">
        <f>HLOOKUP("*"&amp;'Output annual'!$AC$2&amp;'Output annual'!$AD$2&amp;"*Zone People Number Of Occupants [](Hourly)",'Eplus results'!$1:$1048576,ROW(),FALSE)</f>
        <v>0</v>
      </c>
      <c r="AC72" s="580">
        <f>HLOOKUP("*"&amp;'Output annual'!$AC$2&amp;'Output annual'!$AD$2&amp;"*FangerPMV(Hourly)",'Eplus results'!$1:$1048576,ROW(),FALSE)</f>
        <v>0</v>
      </c>
      <c r="AD72" s="580">
        <f t="shared" si="9"/>
        <v>5</v>
      </c>
      <c r="AE72" s="580">
        <f t="shared" si="10"/>
        <v>2.5</v>
      </c>
      <c r="AF72" s="580">
        <f t="shared" si="11"/>
        <v>2.5</v>
      </c>
      <c r="AG72" s="580">
        <f t="shared" si="12"/>
        <v>0</v>
      </c>
      <c r="AH72" s="580">
        <f t="shared" si="13"/>
        <v>0</v>
      </c>
    </row>
    <row r="73" spans="1:34">
      <c r="A73" s="43"/>
      <c r="B73" t="s">
        <v>80</v>
      </c>
      <c r="C73">
        <f>C57</f>
        <v>0</v>
      </c>
      <c r="D73" t="s">
        <v>139</v>
      </c>
      <c r="E73" s="30" t="s">
        <v>354</v>
      </c>
      <c r="F73" s="43"/>
      <c r="G73" t="s">
        <v>80</v>
      </c>
      <c r="H73">
        <f>(Bldg_Length*Bldg_Width*3*10.76)*3600000/3.41*J73</f>
        <v>817126099706.74487</v>
      </c>
      <c r="I73" t="s">
        <v>139</v>
      </c>
      <c r="J73">
        <v>12.9</v>
      </c>
      <c r="L73" s="43"/>
      <c r="M73" t="s">
        <v>80</v>
      </c>
      <c r="N73">
        <f>(Bldg_Length*Bldg_Width*3*10.76)*3600000/3.41*P73</f>
        <v>682205278592.37537</v>
      </c>
      <c r="O73" t="s">
        <v>139</v>
      </c>
      <c r="P73">
        <v>10.77</v>
      </c>
      <c r="R73" s="43"/>
      <c r="S73" t="s">
        <v>80</v>
      </c>
      <c r="T73">
        <f>58201*3600000/3.41*V73</f>
        <v>878032916129.03223</v>
      </c>
      <c r="U73" t="s">
        <v>139</v>
      </c>
      <c r="V73">
        <v>14.29</v>
      </c>
      <c r="AB73" s="580">
        <f>HLOOKUP("*"&amp;'Output annual'!$AC$2&amp;'Output annual'!$AD$2&amp;"*Zone People Number Of Occupants [](Hourly)",'Eplus results'!$1:$1048576,ROW(),FALSE)</f>
        <v>0</v>
      </c>
      <c r="AC73" s="580">
        <f>HLOOKUP("*"&amp;'Output annual'!$AC$2&amp;'Output annual'!$AD$2&amp;"*FangerPMV(Hourly)",'Eplus results'!$1:$1048576,ROW(),FALSE)</f>
        <v>0</v>
      </c>
      <c r="AD73" s="580">
        <f t="shared" si="9"/>
        <v>5</v>
      </c>
      <c r="AE73" s="580">
        <f t="shared" si="10"/>
        <v>2.5</v>
      </c>
      <c r="AF73" s="580">
        <f t="shared" si="11"/>
        <v>2.5</v>
      </c>
      <c r="AG73" s="580">
        <f t="shared" si="12"/>
        <v>0</v>
      </c>
      <c r="AH73" s="580">
        <f t="shared" si="13"/>
        <v>0</v>
      </c>
    </row>
    <row r="74" spans="1:34">
      <c r="AB74" s="580">
        <f>HLOOKUP("*"&amp;'Output annual'!$AC$2&amp;'Output annual'!$AD$2&amp;"*Zone People Number Of Occupants [](Hourly)",'Eplus results'!$1:$1048576,ROW(),FALSE)</f>
        <v>0</v>
      </c>
      <c r="AC74" s="580">
        <f>HLOOKUP("*"&amp;'Output annual'!$AC$2&amp;'Output annual'!$AD$2&amp;"*FangerPMV(Hourly)",'Eplus results'!$1:$1048576,ROW(),FALSE)</f>
        <v>0</v>
      </c>
      <c r="AD74" s="580">
        <f t="shared" si="9"/>
        <v>5</v>
      </c>
      <c r="AE74" s="580">
        <f t="shared" si="10"/>
        <v>2.5</v>
      </c>
      <c r="AF74" s="580">
        <f t="shared" si="11"/>
        <v>2.5</v>
      </c>
      <c r="AG74" s="580">
        <f t="shared" si="12"/>
        <v>0</v>
      </c>
      <c r="AH74" s="580">
        <f t="shared" si="13"/>
        <v>0</v>
      </c>
    </row>
    <row r="75" spans="1:34">
      <c r="A75" t="s">
        <v>352</v>
      </c>
      <c r="B75" t="s">
        <v>351</v>
      </c>
      <c r="F75" t="s">
        <v>352</v>
      </c>
      <c r="G75" t="s">
        <v>351</v>
      </c>
      <c r="L75" t="s">
        <v>352</v>
      </c>
      <c r="M75" t="s">
        <v>351</v>
      </c>
      <c r="R75" t="s">
        <v>352</v>
      </c>
      <c r="S75" t="s">
        <v>351</v>
      </c>
      <c r="AB75" s="580">
        <f>HLOOKUP("*"&amp;'Output annual'!$AC$2&amp;'Output annual'!$AD$2&amp;"*Zone People Number Of Occupants [](Hourly)",'Eplus results'!$1:$1048576,ROW(),FALSE)</f>
        <v>0</v>
      </c>
      <c r="AC75" s="580">
        <f>HLOOKUP("*"&amp;'Output annual'!$AC$2&amp;'Output annual'!$AD$2&amp;"*FangerPMV(Hourly)",'Eplus results'!$1:$1048576,ROW(),FALSE)</f>
        <v>0</v>
      </c>
      <c r="AD75" s="580">
        <f t="shared" si="9"/>
        <v>5</v>
      </c>
      <c r="AE75" s="580">
        <f t="shared" si="10"/>
        <v>2.5</v>
      </c>
      <c r="AF75" s="580">
        <f t="shared" si="11"/>
        <v>2.5</v>
      </c>
      <c r="AG75" s="580">
        <f t="shared" si="12"/>
        <v>0</v>
      </c>
      <c r="AH75" s="580">
        <f t="shared" si="13"/>
        <v>0</v>
      </c>
    </row>
    <row r="76" spans="1:34">
      <c r="A76" s="43"/>
      <c r="B76" t="s">
        <v>347</v>
      </c>
      <c r="C76">
        <f>C62-C61</f>
        <v>0</v>
      </c>
      <c r="D76" t="s">
        <v>139</v>
      </c>
      <c r="F76" s="43"/>
      <c r="G76" t="s">
        <v>347</v>
      </c>
      <c r="H76">
        <f>(Bldg_Length*Bldg_Width*3*10.76)*3600000/3.41*J76</f>
        <v>0</v>
      </c>
      <c r="I76" t="s">
        <v>139</v>
      </c>
      <c r="J76">
        <v>0</v>
      </c>
      <c r="L76" s="43"/>
      <c r="M76" t="s">
        <v>347</v>
      </c>
      <c r="N76">
        <f>(Bldg_Length*Bldg_Width*3*10.76)*3600000/3.41*P76</f>
        <v>0</v>
      </c>
      <c r="O76" t="s">
        <v>139</v>
      </c>
      <c r="P76">
        <v>0</v>
      </c>
      <c r="R76" s="43"/>
      <c r="S76" t="s">
        <v>347</v>
      </c>
      <c r="T76">
        <f>58201*3600000/3.41*V76</f>
        <v>0</v>
      </c>
      <c r="U76" t="s">
        <v>139</v>
      </c>
      <c r="V76">
        <v>0</v>
      </c>
      <c r="AB76" s="580">
        <f>HLOOKUP("*"&amp;'Output annual'!$AC$2&amp;'Output annual'!$AD$2&amp;"*Zone People Number Of Occupants [](Hourly)",'Eplus results'!$1:$1048576,ROW(),FALSE)</f>
        <v>0</v>
      </c>
      <c r="AC76" s="580">
        <f>HLOOKUP("*"&amp;'Output annual'!$AC$2&amp;'Output annual'!$AD$2&amp;"*FangerPMV(Hourly)",'Eplus results'!$1:$1048576,ROW(),FALSE)</f>
        <v>0</v>
      </c>
      <c r="AD76" s="580">
        <f t="shared" si="9"/>
        <v>5</v>
      </c>
      <c r="AE76" s="580">
        <f t="shared" si="10"/>
        <v>2.5</v>
      </c>
      <c r="AF76" s="580">
        <f t="shared" si="11"/>
        <v>2.5</v>
      </c>
      <c r="AG76" s="580">
        <f t="shared" si="12"/>
        <v>0</v>
      </c>
      <c r="AH76" s="580">
        <f t="shared" si="13"/>
        <v>0</v>
      </c>
    </row>
    <row r="77" spans="1:34">
      <c r="A77" s="43"/>
      <c r="B77" t="s">
        <v>348</v>
      </c>
      <c r="C77">
        <f>C59</f>
        <v>0</v>
      </c>
      <c r="D77" t="s">
        <v>139</v>
      </c>
      <c r="F77" s="43"/>
      <c r="G77" t="s">
        <v>245</v>
      </c>
      <c r="H77">
        <f>(Bldg_Length*Bldg_Width*3*10.76)*3600000/3.41*J77</f>
        <v>684105571847.50732</v>
      </c>
      <c r="I77" t="s">
        <v>139</v>
      </c>
      <c r="J77">
        <v>10.8</v>
      </c>
      <c r="L77" s="43"/>
      <c r="M77" t="s">
        <v>336</v>
      </c>
      <c r="N77">
        <f>(Bldg_Length*Bldg_Width*3*10.76)*3600000/3.41*P77</f>
        <v>688539589442.81519</v>
      </c>
      <c r="O77" t="s">
        <v>139</v>
      </c>
      <c r="P77">
        <v>10.87</v>
      </c>
      <c r="R77" s="43"/>
      <c r="S77" t="s">
        <v>336</v>
      </c>
      <c r="T77">
        <f>58201*3600000/3.41*V77</f>
        <v>640859574193.54834</v>
      </c>
      <c r="U77" t="s">
        <v>139</v>
      </c>
      <c r="V77">
        <v>10.43</v>
      </c>
      <c r="AB77" s="580">
        <f>HLOOKUP("*"&amp;'Output annual'!$AC$2&amp;'Output annual'!$AD$2&amp;"*Zone People Number Of Occupants [](Hourly)",'Eplus results'!$1:$1048576,ROW(),FALSE)</f>
        <v>0</v>
      </c>
      <c r="AC77" s="580">
        <f>HLOOKUP("*"&amp;'Output annual'!$AC$2&amp;'Output annual'!$AD$2&amp;"*FangerPMV(Hourly)",'Eplus results'!$1:$1048576,ROW(),FALSE)</f>
        <v>0</v>
      </c>
      <c r="AD77" s="580">
        <f t="shared" si="9"/>
        <v>5</v>
      </c>
      <c r="AE77" s="580">
        <f t="shared" si="10"/>
        <v>2.5</v>
      </c>
      <c r="AF77" s="580">
        <f t="shared" si="11"/>
        <v>2.5</v>
      </c>
      <c r="AG77" s="580">
        <f t="shared" si="12"/>
        <v>0</v>
      </c>
      <c r="AH77" s="580">
        <f t="shared" si="13"/>
        <v>0</v>
      </c>
    </row>
    <row r="78" spans="1:34">
      <c r="A78" s="43"/>
      <c r="B78" t="s">
        <v>349</v>
      </c>
      <c r="C78">
        <f>C61</f>
        <v>0</v>
      </c>
      <c r="D78" t="s">
        <v>139</v>
      </c>
      <c r="F78" s="43"/>
      <c r="G78" t="s">
        <v>349</v>
      </c>
      <c r="H78">
        <f>(Bldg_Length*Bldg_Width*3*10.76)*3600000/3.41*J78</f>
        <v>658768328445.7478</v>
      </c>
      <c r="I78" t="s">
        <v>139</v>
      </c>
      <c r="J78">
        <v>10.4</v>
      </c>
      <c r="L78" s="43"/>
      <c r="M78" t="s">
        <v>349</v>
      </c>
      <c r="N78">
        <f>(Bldg_Length*Bldg_Width*3*10.76)*3600000/3.41*P78</f>
        <v>725912023460.41064</v>
      </c>
      <c r="O78" t="s">
        <v>139</v>
      </c>
      <c r="P78">
        <v>11.46</v>
      </c>
      <c r="R78" s="43"/>
      <c r="S78" t="s">
        <v>349</v>
      </c>
      <c r="T78">
        <f>58201*3600000/3.41*V78</f>
        <v>778493845161.29028</v>
      </c>
      <c r="U78" t="s">
        <v>139</v>
      </c>
      <c r="V78">
        <v>12.67</v>
      </c>
      <c r="AB78" s="580">
        <f>HLOOKUP("*"&amp;'Output annual'!$AC$2&amp;'Output annual'!$AD$2&amp;"*Zone People Number Of Occupants [](Hourly)",'Eplus results'!$1:$1048576,ROW(),FALSE)</f>
        <v>0</v>
      </c>
      <c r="AC78" s="580">
        <f>HLOOKUP("*"&amp;'Output annual'!$AC$2&amp;'Output annual'!$AD$2&amp;"*FangerPMV(Hourly)",'Eplus results'!$1:$1048576,ROW(),FALSE)</f>
        <v>0</v>
      </c>
      <c r="AD78" s="580">
        <f t="shared" si="9"/>
        <v>5</v>
      </c>
      <c r="AE78" s="580">
        <f t="shared" si="10"/>
        <v>2.5</v>
      </c>
      <c r="AF78" s="580">
        <f t="shared" si="11"/>
        <v>2.5</v>
      </c>
      <c r="AG78" s="580">
        <f t="shared" si="12"/>
        <v>0</v>
      </c>
      <c r="AH78" s="580">
        <f t="shared" si="13"/>
        <v>0</v>
      </c>
    </row>
    <row r="79" spans="1:34">
      <c r="A79" s="43"/>
      <c r="B79" t="s">
        <v>350</v>
      </c>
      <c r="C79">
        <f>C64</f>
        <v>0</v>
      </c>
      <c r="D79" t="s">
        <v>139</v>
      </c>
      <c r="F79" s="43"/>
      <c r="G79" t="s">
        <v>350</v>
      </c>
      <c r="H79">
        <f>(Bldg_Length*Bldg_Width*3*10.76)*3600000/3.41*J79</f>
        <v>468739002932.55133</v>
      </c>
      <c r="I79" t="s">
        <v>139</v>
      </c>
      <c r="J79">
        <v>7.4</v>
      </c>
      <c r="L79" s="43"/>
      <c r="M79" t="s">
        <v>350</v>
      </c>
      <c r="N79">
        <f>(Bldg_Length*Bldg_Width*3*10.76)*3600000/3.41*P79</f>
        <v>1227589442815.2493</v>
      </c>
      <c r="O79" t="s">
        <v>139</v>
      </c>
      <c r="P79">
        <v>19.38</v>
      </c>
      <c r="R79" s="43"/>
      <c r="S79" t="s">
        <v>350</v>
      </c>
      <c r="T79">
        <f>58201*3600000/3.41*V79</f>
        <v>1159445845161.2903</v>
      </c>
      <c r="U79" t="s">
        <v>139</v>
      </c>
      <c r="V79">
        <v>18.87</v>
      </c>
      <c r="AB79" s="580">
        <f>HLOOKUP("*"&amp;'Output annual'!$AC$2&amp;'Output annual'!$AD$2&amp;"*Zone People Number Of Occupants [](Hourly)",'Eplus results'!$1:$1048576,ROW(),FALSE)</f>
        <v>0</v>
      </c>
      <c r="AC79" s="580">
        <f>HLOOKUP("*"&amp;'Output annual'!$AC$2&amp;'Output annual'!$AD$2&amp;"*FangerPMV(Hourly)",'Eplus results'!$1:$1048576,ROW(),FALSE)</f>
        <v>0</v>
      </c>
      <c r="AD79" s="580">
        <f t="shared" si="9"/>
        <v>5</v>
      </c>
      <c r="AE79" s="580">
        <f t="shared" si="10"/>
        <v>2.5</v>
      </c>
      <c r="AF79" s="580">
        <f t="shared" si="11"/>
        <v>2.5</v>
      </c>
      <c r="AG79" s="580">
        <f t="shared" si="12"/>
        <v>0</v>
      </c>
      <c r="AH79" s="580">
        <f t="shared" si="13"/>
        <v>0</v>
      </c>
    </row>
    <row r="80" spans="1:34">
      <c r="A80" s="43"/>
      <c r="B80" t="s">
        <v>78</v>
      </c>
      <c r="C80">
        <f>C76+C77+C78+C79</f>
        <v>0</v>
      </c>
      <c r="D80" t="s">
        <v>139</v>
      </c>
      <c r="F80" s="43"/>
      <c r="G80" t="s">
        <v>78</v>
      </c>
      <c r="H80">
        <f>(Bldg_Length*Bldg_Width*3*10.76)*3600000/3.41*J80</f>
        <v>1811612903225.8066</v>
      </c>
      <c r="I80" t="s">
        <v>139</v>
      </c>
      <c r="J80">
        <f>SUM(J76:J79)</f>
        <v>28.6</v>
      </c>
      <c r="L80" s="43"/>
      <c r="M80" t="s">
        <v>78</v>
      </c>
      <c r="N80">
        <f>(Bldg_Length*Bldg_Width*3*10.76)*3600000/3.41*P80</f>
        <v>2642041055718.4746</v>
      </c>
      <c r="O80" t="s">
        <v>139</v>
      </c>
      <c r="P80">
        <f>SUM(P76:P79)</f>
        <v>41.709999999999994</v>
      </c>
      <c r="R80" s="43"/>
      <c r="S80" t="s">
        <v>78</v>
      </c>
      <c r="T80">
        <f>58201*3600000/3.41*V80</f>
        <v>2578799264516.1289</v>
      </c>
      <c r="U80" t="s">
        <v>139</v>
      </c>
      <c r="V80">
        <f>SUM(V76:V79)</f>
        <v>41.97</v>
      </c>
      <c r="AB80" s="580">
        <f>HLOOKUP("*"&amp;'Output annual'!$AC$2&amp;'Output annual'!$AD$2&amp;"*Zone People Number Of Occupants [](Hourly)",'Eplus results'!$1:$1048576,ROW(),FALSE)</f>
        <v>0</v>
      </c>
      <c r="AC80" s="580">
        <f>HLOOKUP("*"&amp;'Output annual'!$AC$2&amp;'Output annual'!$AD$2&amp;"*FangerPMV(Hourly)",'Eplus results'!$1:$1048576,ROW(),FALSE)</f>
        <v>0</v>
      </c>
      <c r="AD80" s="580">
        <f t="shared" si="9"/>
        <v>5</v>
      </c>
      <c r="AE80" s="580">
        <f t="shared" si="10"/>
        <v>2.5</v>
      </c>
      <c r="AF80" s="580">
        <f t="shared" si="11"/>
        <v>2.5</v>
      </c>
      <c r="AG80" s="580">
        <f t="shared" si="12"/>
        <v>0</v>
      </c>
      <c r="AH80" s="580">
        <f t="shared" si="13"/>
        <v>0</v>
      </c>
    </row>
    <row r="81" spans="1:34">
      <c r="AB81" s="580">
        <f>HLOOKUP("*"&amp;'Output annual'!$AC$2&amp;'Output annual'!$AD$2&amp;"*Zone People Number Of Occupants [](Hourly)",'Eplus results'!$1:$1048576,ROW(),FALSE)</f>
        <v>0</v>
      </c>
      <c r="AC81" s="580">
        <f>HLOOKUP("*"&amp;'Output annual'!$AC$2&amp;'Output annual'!$AD$2&amp;"*FangerPMV(Hourly)",'Eplus results'!$1:$1048576,ROW(),FALSE)</f>
        <v>0</v>
      </c>
      <c r="AD81" s="580">
        <f t="shared" si="9"/>
        <v>5</v>
      </c>
      <c r="AE81" s="580">
        <f t="shared" si="10"/>
        <v>2.5</v>
      </c>
      <c r="AF81" s="580">
        <f t="shared" si="11"/>
        <v>2.5</v>
      </c>
      <c r="AG81" s="580">
        <f t="shared" si="12"/>
        <v>0</v>
      </c>
      <c r="AH81" s="580">
        <f t="shared" si="13"/>
        <v>0</v>
      </c>
    </row>
    <row r="82" spans="1:34">
      <c r="A82" s="44" t="s">
        <v>82</v>
      </c>
      <c r="C82">
        <v>1</v>
      </c>
      <c r="D82">
        <v>2</v>
      </c>
      <c r="E82" s="30">
        <v>3</v>
      </c>
      <c r="F82">
        <v>4</v>
      </c>
      <c r="G82">
        <v>5</v>
      </c>
      <c r="H82">
        <v>6</v>
      </c>
      <c r="I82">
        <v>7</v>
      </c>
      <c r="J82">
        <v>8</v>
      </c>
      <c r="K82">
        <v>9</v>
      </c>
      <c r="L82">
        <v>10</v>
      </c>
      <c r="M82">
        <v>11</v>
      </c>
      <c r="N82">
        <v>12</v>
      </c>
      <c r="AB82" s="580">
        <f>HLOOKUP("*"&amp;'Output annual'!$AC$2&amp;'Output annual'!$AD$2&amp;"*Zone People Number Of Occupants [](Hourly)",'Eplus results'!$1:$1048576,ROW(),FALSE)</f>
        <v>0</v>
      </c>
      <c r="AC82" s="580">
        <f>HLOOKUP("*"&amp;'Output annual'!$AC$2&amp;'Output annual'!$AD$2&amp;"*FangerPMV(Hourly)",'Eplus results'!$1:$1048576,ROW(),FALSE)</f>
        <v>0</v>
      </c>
      <c r="AD82" s="580">
        <f t="shared" si="9"/>
        <v>5</v>
      </c>
      <c r="AE82" s="580">
        <f t="shared" si="10"/>
        <v>2.5</v>
      </c>
      <c r="AF82" s="580">
        <f t="shared" si="11"/>
        <v>2.5</v>
      </c>
      <c r="AG82" s="580">
        <f t="shared" si="12"/>
        <v>0</v>
      </c>
      <c r="AH82" s="580">
        <f t="shared" si="13"/>
        <v>0</v>
      </c>
    </row>
    <row r="83" spans="1:34">
      <c r="A83" s="44" t="s">
        <v>82</v>
      </c>
      <c r="C83">
        <v>745</v>
      </c>
      <c r="D83">
        <v>1417</v>
      </c>
      <c r="E83" s="30">
        <v>2161</v>
      </c>
      <c r="F83">
        <v>2881</v>
      </c>
      <c r="G83">
        <v>3625</v>
      </c>
      <c r="H83">
        <v>4345</v>
      </c>
      <c r="I83">
        <v>5089</v>
      </c>
      <c r="J83">
        <v>5833</v>
      </c>
      <c r="K83">
        <v>6553</v>
      </c>
      <c r="L83">
        <v>7297</v>
      </c>
      <c r="M83">
        <v>8017</v>
      </c>
      <c r="N83">
        <v>8761</v>
      </c>
      <c r="AB83" s="580">
        <f>HLOOKUP("*"&amp;'Output annual'!$AC$2&amp;'Output annual'!$AD$2&amp;"*Zone People Number Of Occupants [](Hourly)",'Eplus results'!$1:$1048576,ROW(),FALSE)</f>
        <v>0</v>
      </c>
      <c r="AC83" s="580">
        <f>HLOOKUP("*"&amp;'Output annual'!$AC$2&amp;'Output annual'!$AD$2&amp;"*FangerPMV(Hourly)",'Eplus results'!$1:$1048576,ROW(),FALSE)</f>
        <v>0</v>
      </c>
      <c r="AD83" s="580">
        <f t="shared" si="9"/>
        <v>5</v>
      </c>
      <c r="AE83" s="580">
        <f t="shared" si="10"/>
        <v>2.5</v>
      </c>
      <c r="AF83" s="580">
        <f t="shared" si="11"/>
        <v>2.5</v>
      </c>
      <c r="AG83" s="580">
        <f t="shared" si="12"/>
        <v>0</v>
      </c>
      <c r="AH83" s="580">
        <f t="shared" si="13"/>
        <v>0</v>
      </c>
    </row>
    <row r="84" spans="1:34">
      <c r="B84" t="s">
        <v>324</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0">
        <f>HLOOKUP("*"&amp;'Output annual'!$AC$2&amp;'Output annual'!$AD$2&amp;"*Zone People Number Of Occupants [](Hourly)",'Eplus results'!$1:$1048576,ROW(),FALSE)</f>
        <v>0</v>
      </c>
      <c r="AC84" s="580">
        <f>HLOOKUP("*"&amp;'Output annual'!$AC$2&amp;'Output annual'!$AD$2&amp;"*FangerPMV(Hourly)",'Eplus results'!$1:$1048576,ROW(),FALSE)</f>
        <v>0</v>
      </c>
      <c r="AD84" s="580">
        <f t="shared" si="9"/>
        <v>5</v>
      </c>
      <c r="AE84" s="580">
        <f t="shared" si="10"/>
        <v>2.5</v>
      </c>
      <c r="AF84" s="580">
        <f t="shared" si="11"/>
        <v>2.5</v>
      </c>
      <c r="AG84" s="580">
        <f t="shared" si="12"/>
        <v>0</v>
      </c>
      <c r="AH84" s="580">
        <f t="shared" si="13"/>
        <v>0</v>
      </c>
    </row>
    <row r="85" spans="1:34">
      <c r="B85" t="s">
        <v>131</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0">
        <f>HLOOKUP("*"&amp;'Output annual'!$AC$2&amp;'Output annual'!$AD$2&amp;"*Zone People Number Of Occupants [](Hourly)",'Eplus results'!$1:$1048576,ROW(),FALSE)</f>
        <v>0</v>
      </c>
      <c r="AC85" s="580">
        <f>HLOOKUP("*"&amp;'Output annual'!$AC$2&amp;'Output annual'!$AD$2&amp;"*FangerPMV(Hourly)",'Eplus results'!$1:$1048576,ROW(),FALSE)</f>
        <v>0</v>
      </c>
      <c r="AD85" s="580">
        <f t="shared" si="9"/>
        <v>5</v>
      </c>
      <c r="AE85" s="580">
        <f t="shared" si="10"/>
        <v>2.5</v>
      </c>
      <c r="AF85" s="580">
        <f t="shared" si="11"/>
        <v>2.5</v>
      </c>
      <c r="AG85" s="580">
        <f t="shared" si="12"/>
        <v>0</v>
      </c>
      <c r="AH85" s="580">
        <f t="shared" si="13"/>
        <v>0</v>
      </c>
    </row>
    <row r="86" spans="1:34">
      <c r="B86" t="s">
        <v>132</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0">
        <f>HLOOKUP("*"&amp;'Output annual'!$AC$2&amp;'Output annual'!$AD$2&amp;"*Zone People Number Of Occupants [](Hourly)",'Eplus results'!$1:$1048576,ROW(),FALSE)</f>
        <v>0</v>
      </c>
      <c r="AC86" s="580">
        <f>HLOOKUP("*"&amp;'Output annual'!$AC$2&amp;'Output annual'!$AD$2&amp;"*FangerPMV(Hourly)",'Eplus results'!$1:$1048576,ROW(),FALSE)</f>
        <v>0</v>
      </c>
      <c r="AD86" s="580">
        <f t="shared" si="9"/>
        <v>5</v>
      </c>
      <c r="AE86" s="580">
        <f t="shared" si="10"/>
        <v>2.5</v>
      </c>
      <c r="AF86" s="580">
        <f t="shared" si="11"/>
        <v>2.5</v>
      </c>
      <c r="AG86" s="580">
        <f t="shared" si="12"/>
        <v>0</v>
      </c>
      <c r="AH86" s="580">
        <f t="shared" si="13"/>
        <v>0</v>
      </c>
    </row>
    <row r="87" spans="1:34">
      <c r="B87" t="s">
        <v>133</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0">
        <f>HLOOKUP("*"&amp;'Output annual'!$AC$2&amp;'Output annual'!$AD$2&amp;"*Zone People Number Of Occupants [](Hourly)",'Eplus results'!$1:$1048576,ROW(),FALSE)</f>
        <v>0</v>
      </c>
      <c r="AC87" s="580">
        <f>HLOOKUP("*"&amp;'Output annual'!$AC$2&amp;'Output annual'!$AD$2&amp;"*FangerPMV(Hourly)",'Eplus results'!$1:$1048576,ROW(),FALSE)</f>
        <v>0</v>
      </c>
      <c r="AD87" s="580">
        <f t="shared" si="9"/>
        <v>5</v>
      </c>
      <c r="AE87" s="580">
        <f t="shared" si="10"/>
        <v>2.5</v>
      </c>
      <c r="AF87" s="580">
        <f t="shared" si="11"/>
        <v>2.5</v>
      </c>
      <c r="AG87" s="580">
        <f t="shared" si="12"/>
        <v>0</v>
      </c>
      <c r="AH87" s="580">
        <f t="shared" si="13"/>
        <v>0</v>
      </c>
    </row>
    <row r="88" spans="1:34">
      <c r="B88" t="s">
        <v>134</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0">
        <f>HLOOKUP("*"&amp;'Output annual'!$AC$2&amp;'Output annual'!$AD$2&amp;"*Zone People Number Of Occupants [](Hourly)",'Eplus results'!$1:$1048576,ROW(),FALSE)</f>
        <v>0</v>
      </c>
      <c r="AC88" s="580">
        <f>HLOOKUP("*"&amp;'Output annual'!$AC$2&amp;'Output annual'!$AD$2&amp;"*FangerPMV(Hourly)",'Eplus results'!$1:$1048576,ROW(),FALSE)</f>
        <v>0</v>
      </c>
      <c r="AD88" s="580">
        <f t="shared" si="9"/>
        <v>5</v>
      </c>
      <c r="AE88" s="580">
        <f t="shared" si="10"/>
        <v>2.5</v>
      </c>
      <c r="AF88" s="580">
        <f t="shared" si="11"/>
        <v>2.5</v>
      </c>
      <c r="AG88" s="580">
        <f t="shared" si="12"/>
        <v>0</v>
      </c>
      <c r="AH88" s="580">
        <f t="shared" si="13"/>
        <v>0</v>
      </c>
    </row>
    <row r="89" spans="1:34">
      <c r="B89" t="s">
        <v>135</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0">
        <f>HLOOKUP("*"&amp;'Output annual'!$AC$2&amp;'Output annual'!$AD$2&amp;"*Zone People Number Of Occupants [](Hourly)",'Eplus results'!$1:$1048576,ROW(),FALSE)</f>
        <v>0</v>
      </c>
      <c r="AC89" s="580">
        <f>HLOOKUP("*"&amp;'Output annual'!$AC$2&amp;'Output annual'!$AD$2&amp;"*FangerPMV(Hourly)",'Eplus results'!$1:$1048576,ROW(),FALSE)</f>
        <v>0</v>
      </c>
      <c r="AD89" s="580">
        <f t="shared" si="9"/>
        <v>5</v>
      </c>
      <c r="AE89" s="580">
        <f t="shared" si="10"/>
        <v>2.5</v>
      </c>
      <c r="AF89" s="580">
        <f t="shared" si="11"/>
        <v>2.5</v>
      </c>
      <c r="AG89" s="580">
        <f t="shared" si="12"/>
        <v>0</v>
      </c>
      <c r="AH89" s="580">
        <f t="shared" si="13"/>
        <v>0</v>
      </c>
    </row>
    <row r="90" spans="1:34">
      <c r="B90" t="s">
        <v>136</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0">
        <f>HLOOKUP("*"&amp;'Output annual'!$AC$2&amp;'Output annual'!$AD$2&amp;"*Zone People Number Of Occupants [](Hourly)",'Eplus results'!$1:$1048576,ROW(),FALSE)</f>
        <v>0</v>
      </c>
      <c r="AC90" s="580">
        <f>HLOOKUP("*"&amp;'Output annual'!$AC$2&amp;'Output annual'!$AD$2&amp;"*FangerPMV(Hourly)",'Eplus results'!$1:$1048576,ROW(),FALSE)</f>
        <v>0</v>
      </c>
      <c r="AD90" s="580">
        <f t="shared" si="9"/>
        <v>5</v>
      </c>
      <c r="AE90" s="580">
        <f t="shared" si="10"/>
        <v>2.5</v>
      </c>
      <c r="AF90" s="580">
        <f t="shared" si="11"/>
        <v>2.5</v>
      </c>
      <c r="AG90" s="580">
        <f t="shared" si="12"/>
        <v>0</v>
      </c>
      <c r="AH90" s="580">
        <f t="shared" si="13"/>
        <v>0</v>
      </c>
    </row>
    <row r="91" spans="1:34">
      <c r="B91" t="s">
        <v>138</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0">
        <f>HLOOKUP("*"&amp;'Output annual'!$AC$2&amp;'Output annual'!$AD$2&amp;"*Zone People Number Of Occupants [](Hourly)",'Eplus results'!$1:$1048576,ROW(),FALSE)</f>
        <v>0</v>
      </c>
      <c r="AC91" s="580">
        <f>HLOOKUP("*"&amp;'Output annual'!$AC$2&amp;'Output annual'!$AD$2&amp;"*FangerPMV(Hourly)",'Eplus results'!$1:$1048576,ROW(),FALSE)</f>
        <v>0</v>
      </c>
      <c r="AD91" s="580">
        <f t="shared" si="9"/>
        <v>5</v>
      </c>
      <c r="AE91" s="580">
        <f t="shared" si="10"/>
        <v>2.5</v>
      </c>
      <c r="AF91" s="580">
        <f t="shared" si="11"/>
        <v>2.5</v>
      </c>
      <c r="AG91" s="580">
        <f t="shared" si="12"/>
        <v>0</v>
      </c>
      <c r="AH91" s="580">
        <f t="shared" si="13"/>
        <v>0</v>
      </c>
    </row>
    <row r="92" spans="1:34">
      <c r="B92" s="4" t="s">
        <v>346</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0">
        <f>HLOOKUP("*"&amp;'Output annual'!$AC$2&amp;'Output annual'!$AD$2&amp;"*Zone People Number Of Occupants [](Hourly)",'Eplus results'!$1:$1048576,ROW(),FALSE)</f>
        <v>0</v>
      </c>
      <c r="AC92" s="580">
        <f>HLOOKUP("*"&amp;'Output annual'!$AC$2&amp;'Output annual'!$AD$2&amp;"*FangerPMV(Hourly)",'Eplus results'!$1:$1048576,ROW(),FALSE)</f>
        <v>0</v>
      </c>
      <c r="AD92" s="580">
        <f t="shared" si="9"/>
        <v>5</v>
      </c>
      <c r="AE92" s="580">
        <f t="shared" si="10"/>
        <v>2.5</v>
      </c>
      <c r="AF92" s="580">
        <f t="shared" si="11"/>
        <v>2.5</v>
      </c>
      <c r="AG92" s="580">
        <f t="shared" si="12"/>
        <v>0</v>
      </c>
      <c r="AH92" s="580">
        <f t="shared" si="13"/>
        <v>0</v>
      </c>
    </row>
    <row r="93" spans="1:34">
      <c r="B93" t="s">
        <v>137</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0">
        <f>HLOOKUP("*"&amp;'Output annual'!$AC$2&amp;'Output annual'!$AD$2&amp;"*Zone People Number Of Occupants [](Hourly)",'Eplus results'!$1:$1048576,ROW(),FALSE)</f>
        <v>0</v>
      </c>
      <c r="AC93" s="580">
        <f>HLOOKUP("*"&amp;'Output annual'!$AC$2&amp;'Output annual'!$AD$2&amp;"*FangerPMV(Hourly)",'Eplus results'!$1:$1048576,ROW(),FALSE)</f>
        <v>0</v>
      </c>
      <c r="AD93" s="580">
        <f t="shared" si="9"/>
        <v>5</v>
      </c>
      <c r="AE93" s="580">
        <f t="shared" si="10"/>
        <v>2.5</v>
      </c>
      <c r="AF93" s="580">
        <f t="shared" si="11"/>
        <v>2.5</v>
      </c>
      <c r="AG93" s="580">
        <f t="shared" si="12"/>
        <v>0</v>
      </c>
      <c r="AH93" s="580">
        <f t="shared" si="13"/>
        <v>0</v>
      </c>
    </row>
    <row r="94" spans="1:34">
      <c r="AB94" s="580">
        <f>HLOOKUP("*"&amp;'Output annual'!$AC$2&amp;'Output annual'!$AD$2&amp;"*Zone People Number Of Occupants [](Hourly)",'Eplus results'!$1:$1048576,ROW(),FALSE)</f>
        <v>0</v>
      </c>
      <c r="AC94" s="580">
        <f>HLOOKUP("*"&amp;'Output annual'!$AC$2&amp;'Output annual'!$AD$2&amp;"*FangerPMV(Hourly)",'Eplus results'!$1:$1048576,ROW(),FALSE)</f>
        <v>0</v>
      </c>
      <c r="AD94" s="580">
        <f t="shared" si="9"/>
        <v>5</v>
      </c>
      <c r="AE94" s="580">
        <f t="shared" si="10"/>
        <v>2.5</v>
      </c>
      <c r="AF94" s="580">
        <f t="shared" si="11"/>
        <v>2.5</v>
      </c>
      <c r="AG94" s="580">
        <f t="shared" si="12"/>
        <v>0</v>
      </c>
      <c r="AH94" s="580">
        <f t="shared" si="13"/>
        <v>0</v>
      </c>
    </row>
    <row r="95" spans="1:34">
      <c r="A95" t="s">
        <v>355</v>
      </c>
      <c r="B95" t="s">
        <v>140</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0">
        <f>HLOOKUP("*"&amp;'Output annual'!$AC$2&amp;'Output annual'!$AD$2&amp;"*Zone People Number Of Occupants [](Hourly)",'Eplus results'!$1:$1048576,ROW(),FALSE)</f>
        <v>0</v>
      </c>
      <c r="AC95" s="580">
        <f>HLOOKUP("*"&amp;'Output annual'!$AC$2&amp;'Output annual'!$AD$2&amp;"*FangerPMV(Hourly)",'Eplus results'!$1:$1048576,ROW(),FALSE)</f>
        <v>0</v>
      </c>
      <c r="AD95" s="580">
        <f t="shared" si="9"/>
        <v>5</v>
      </c>
      <c r="AE95" s="580">
        <f t="shared" si="10"/>
        <v>2.5</v>
      </c>
      <c r="AF95" s="580">
        <f t="shared" si="11"/>
        <v>2.5</v>
      </c>
      <c r="AG95" s="580">
        <f t="shared" si="12"/>
        <v>0</v>
      </c>
      <c r="AH95" s="580">
        <f t="shared" si="13"/>
        <v>0</v>
      </c>
    </row>
    <row r="96" spans="1:34">
      <c r="A96" s="43"/>
      <c r="B96" t="s">
        <v>141</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0">
        <f>HLOOKUP("*"&amp;'Output annual'!$AC$2&amp;'Output annual'!$AD$2&amp;"*Zone People Number Of Occupants [](Hourly)",'Eplus results'!$1:$1048576,ROW(),FALSE)</f>
        <v>0</v>
      </c>
      <c r="AC96" s="580">
        <f>HLOOKUP("*"&amp;'Output annual'!$AC$2&amp;'Output annual'!$AD$2&amp;"*FangerPMV(Hourly)",'Eplus results'!$1:$1048576,ROW(),FALSE)</f>
        <v>0</v>
      </c>
      <c r="AD96" s="580">
        <f t="shared" si="9"/>
        <v>5</v>
      </c>
      <c r="AE96" s="580">
        <f t="shared" si="10"/>
        <v>2.5</v>
      </c>
      <c r="AF96" s="580">
        <f t="shared" si="11"/>
        <v>2.5</v>
      </c>
      <c r="AG96" s="580">
        <f t="shared" si="12"/>
        <v>0</v>
      </c>
      <c r="AH96" s="580">
        <f t="shared" si="13"/>
        <v>0</v>
      </c>
    </row>
    <row r="97" spans="1:34">
      <c r="A97" s="43"/>
      <c r="B97" t="s">
        <v>142</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0">
        <f>HLOOKUP("*"&amp;'Output annual'!$AC$2&amp;'Output annual'!$AD$2&amp;"*Zone People Number Of Occupants [](Hourly)",'Eplus results'!$1:$1048576,ROW(),FALSE)</f>
        <v>0</v>
      </c>
      <c r="AC97" s="580">
        <f>HLOOKUP("*"&amp;'Output annual'!$AC$2&amp;'Output annual'!$AD$2&amp;"*FangerPMV(Hourly)",'Eplus results'!$1:$1048576,ROW(),FALSE)</f>
        <v>0</v>
      </c>
      <c r="AD97" s="580">
        <f t="shared" si="9"/>
        <v>5</v>
      </c>
      <c r="AE97" s="580">
        <f t="shared" si="10"/>
        <v>2.5</v>
      </c>
      <c r="AF97" s="580">
        <f t="shared" si="11"/>
        <v>2.5</v>
      </c>
      <c r="AG97" s="580">
        <f t="shared" si="12"/>
        <v>0</v>
      </c>
      <c r="AH97" s="580">
        <f t="shared" si="13"/>
        <v>0</v>
      </c>
    </row>
    <row r="98" spans="1:34">
      <c r="A98" s="43"/>
      <c r="B98" t="s">
        <v>143</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0">
        <f>HLOOKUP("*"&amp;'Output annual'!$AC$2&amp;'Output annual'!$AD$2&amp;"*Zone People Number Of Occupants [](Hourly)",'Eplus results'!$1:$1048576,ROW(),FALSE)</f>
        <v>0</v>
      </c>
      <c r="AC98" s="580">
        <f>HLOOKUP("*"&amp;'Output annual'!$AC$2&amp;'Output annual'!$AD$2&amp;"*FangerPMV(Hourly)",'Eplus results'!$1:$1048576,ROW(),FALSE)</f>
        <v>0</v>
      </c>
      <c r="AD98" s="580">
        <f t="shared" si="9"/>
        <v>5</v>
      </c>
      <c r="AE98" s="580">
        <f t="shared" si="10"/>
        <v>2.5</v>
      </c>
      <c r="AF98" s="580">
        <f t="shared" si="11"/>
        <v>2.5</v>
      </c>
      <c r="AG98" s="580">
        <f t="shared" si="12"/>
        <v>0</v>
      </c>
      <c r="AH98" s="580">
        <f t="shared" si="13"/>
        <v>0</v>
      </c>
    </row>
    <row r="99" spans="1:34">
      <c r="AB99" s="580">
        <f>HLOOKUP("*"&amp;'Output annual'!$AC$2&amp;'Output annual'!$AD$2&amp;"*Zone People Number Of Occupants [](Hourly)",'Eplus results'!$1:$1048576,ROW(),FALSE)</f>
        <v>0</v>
      </c>
      <c r="AC99" s="580">
        <f>HLOOKUP("*"&amp;'Output annual'!$AC$2&amp;'Output annual'!$AD$2&amp;"*FangerPMV(Hourly)",'Eplus results'!$1:$1048576,ROW(),FALSE)</f>
        <v>0</v>
      </c>
      <c r="AD99" s="580">
        <f t="shared" si="9"/>
        <v>5</v>
      </c>
      <c r="AE99" s="580">
        <f t="shared" si="10"/>
        <v>2.5</v>
      </c>
      <c r="AF99" s="580">
        <f t="shared" si="11"/>
        <v>2.5</v>
      </c>
      <c r="AG99" s="580">
        <f t="shared" si="12"/>
        <v>0</v>
      </c>
      <c r="AH99" s="580">
        <f t="shared" si="13"/>
        <v>0</v>
      </c>
    </row>
    <row r="100" spans="1:34">
      <c r="A100" t="s">
        <v>352</v>
      </c>
      <c r="B100" t="s">
        <v>351</v>
      </c>
      <c r="AB100" s="580">
        <f>HLOOKUP("*"&amp;'Output annual'!$AC$2&amp;'Output annual'!$AD$2&amp;"*Zone People Number Of Occupants [](Hourly)",'Eplus results'!$1:$1048576,ROW(),FALSE)</f>
        <v>0</v>
      </c>
      <c r="AC100" s="580">
        <f>HLOOKUP("*"&amp;'Output annual'!$AC$2&amp;'Output annual'!$AD$2&amp;"*FangerPMV(Hourly)",'Eplus results'!$1:$1048576,ROW(),FALSE)</f>
        <v>0</v>
      </c>
      <c r="AD100" s="580">
        <f t="shared" si="9"/>
        <v>5</v>
      </c>
      <c r="AE100" s="580">
        <f t="shared" si="10"/>
        <v>2.5</v>
      </c>
      <c r="AF100" s="580">
        <f t="shared" si="11"/>
        <v>2.5</v>
      </c>
      <c r="AG100" s="580">
        <f t="shared" si="12"/>
        <v>0</v>
      </c>
      <c r="AH100" s="580">
        <f t="shared" si="13"/>
        <v>0</v>
      </c>
    </row>
    <row r="101" spans="1:34">
      <c r="A101" s="43"/>
      <c r="B101" t="s">
        <v>347</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0">
        <f>HLOOKUP("*"&amp;'Output annual'!$AC$2&amp;'Output annual'!$AD$2&amp;"*Zone People Number Of Occupants [](Hourly)",'Eplus results'!$1:$1048576,ROW(),FALSE)</f>
        <v>0</v>
      </c>
      <c r="AC101" s="580">
        <f>HLOOKUP("*"&amp;'Output annual'!$AC$2&amp;'Output annual'!$AD$2&amp;"*FangerPMV(Hourly)",'Eplus results'!$1:$1048576,ROW(),FALSE)</f>
        <v>0</v>
      </c>
      <c r="AD101" s="580">
        <f t="shared" si="9"/>
        <v>5</v>
      </c>
      <c r="AE101" s="580">
        <f t="shared" si="10"/>
        <v>2.5</v>
      </c>
      <c r="AF101" s="580">
        <f t="shared" si="11"/>
        <v>2.5</v>
      </c>
      <c r="AG101" s="580">
        <f t="shared" si="12"/>
        <v>0</v>
      </c>
      <c r="AH101" s="580">
        <f t="shared" si="13"/>
        <v>0</v>
      </c>
    </row>
    <row r="102" spans="1:34">
      <c r="A102" s="43"/>
      <c r="B102" t="s">
        <v>348</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0">
        <f>HLOOKUP("*"&amp;'Output annual'!$AC$2&amp;'Output annual'!$AD$2&amp;"*Zone People Number Of Occupants [](Hourly)",'Eplus results'!$1:$1048576,ROW(),FALSE)</f>
        <v>0</v>
      </c>
      <c r="AC102" s="580">
        <f>HLOOKUP("*"&amp;'Output annual'!$AC$2&amp;'Output annual'!$AD$2&amp;"*FangerPMV(Hourly)",'Eplus results'!$1:$1048576,ROW(),FALSE)</f>
        <v>0</v>
      </c>
      <c r="AD102" s="580">
        <f t="shared" si="9"/>
        <v>5</v>
      </c>
      <c r="AE102" s="580">
        <f t="shared" si="10"/>
        <v>2.5</v>
      </c>
      <c r="AF102" s="580">
        <f t="shared" si="11"/>
        <v>2.5</v>
      </c>
      <c r="AG102" s="580">
        <f t="shared" si="12"/>
        <v>0</v>
      </c>
      <c r="AH102" s="580">
        <f t="shared" si="13"/>
        <v>0</v>
      </c>
    </row>
    <row r="103" spans="1:34">
      <c r="A103" s="43"/>
      <c r="B103" t="s">
        <v>349</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0">
        <f>HLOOKUP("*"&amp;'Output annual'!$AC$2&amp;'Output annual'!$AD$2&amp;"*Zone People Number Of Occupants [](Hourly)",'Eplus results'!$1:$1048576,ROW(),FALSE)</f>
        <v>0</v>
      </c>
      <c r="AC103" s="580">
        <f>HLOOKUP("*"&amp;'Output annual'!$AC$2&amp;'Output annual'!$AD$2&amp;"*FangerPMV(Hourly)",'Eplus results'!$1:$1048576,ROW(),FALSE)</f>
        <v>0</v>
      </c>
      <c r="AD103" s="580">
        <f t="shared" si="9"/>
        <v>5</v>
      </c>
      <c r="AE103" s="580">
        <f t="shared" si="10"/>
        <v>2.5</v>
      </c>
      <c r="AF103" s="580">
        <f t="shared" si="11"/>
        <v>2.5</v>
      </c>
      <c r="AG103" s="580">
        <f t="shared" si="12"/>
        <v>0</v>
      </c>
      <c r="AH103" s="580">
        <f t="shared" si="13"/>
        <v>0</v>
      </c>
    </row>
    <row r="104" spans="1:34">
      <c r="A104" s="43"/>
      <c r="B104" t="s">
        <v>350</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0">
        <f>HLOOKUP("*"&amp;'Output annual'!$AC$2&amp;'Output annual'!$AD$2&amp;"*Zone People Number Of Occupants [](Hourly)",'Eplus results'!$1:$1048576,ROW(),FALSE)</f>
        <v>0</v>
      </c>
      <c r="AC104" s="580">
        <f>HLOOKUP("*"&amp;'Output annual'!$AC$2&amp;'Output annual'!$AD$2&amp;"*FangerPMV(Hourly)",'Eplus results'!$1:$1048576,ROW(),FALSE)</f>
        <v>0</v>
      </c>
      <c r="AD104" s="580">
        <f t="shared" si="9"/>
        <v>5</v>
      </c>
      <c r="AE104" s="580">
        <f t="shared" si="10"/>
        <v>2.5</v>
      </c>
      <c r="AF104" s="580">
        <f t="shared" si="11"/>
        <v>2.5</v>
      </c>
      <c r="AG104" s="580">
        <f t="shared" si="12"/>
        <v>0</v>
      </c>
      <c r="AH104" s="580">
        <f t="shared" si="13"/>
        <v>0</v>
      </c>
    </row>
    <row r="105" spans="1:34">
      <c r="A105" s="43"/>
      <c r="B105" t="s">
        <v>78</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0">
        <f>HLOOKUP("*"&amp;'Output annual'!$AC$2&amp;'Output annual'!$AD$2&amp;"*Zone People Number Of Occupants [](Hourly)",'Eplus results'!$1:$1048576,ROW(),FALSE)</f>
        <v>0</v>
      </c>
      <c r="AC105" s="580">
        <f>HLOOKUP("*"&amp;'Output annual'!$AC$2&amp;'Output annual'!$AD$2&amp;"*FangerPMV(Hourly)",'Eplus results'!$1:$1048576,ROW(),FALSE)</f>
        <v>0</v>
      </c>
      <c r="AD105" s="580">
        <f t="shared" si="9"/>
        <v>5</v>
      </c>
      <c r="AE105" s="580">
        <f t="shared" si="10"/>
        <v>2.5</v>
      </c>
      <c r="AF105" s="580">
        <f t="shared" si="11"/>
        <v>2.5</v>
      </c>
      <c r="AG105" s="580">
        <f t="shared" si="12"/>
        <v>0</v>
      </c>
      <c r="AH105" s="580">
        <f t="shared" si="13"/>
        <v>0</v>
      </c>
    </row>
    <row r="106" spans="1:34">
      <c r="AB106" s="580">
        <f>HLOOKUP("*"&amp;'Output annual'!$AC$2&amp;'Output annual'!$AD$2&amp;"*Zone People Number Of Occupants [](Hourly)",'Eplus results'!$1:$1048576,ROW(),FALSE)</f>
        <v>0</v>
      </c>
      <c r="AC106" s="580">
        <f>HLOOKUP("*"&amp;'Output annual'!$AC$2&amp;'Output annual'!$AD$2&amp;"*FangerPMV(Hourly)",'Eplus results'!$1:$1048576,ROW(),FALSE)</f>
        <v>0</v>
      </c>
      <c r="AD106" s="580">
        <f t="shared" si="9"/>
        <v>5</v>
      </c>
      <c r="AE106" s="580">
        <f t="shared" si="10"/>
        <v>2.5</v>
      </c>
      <c r="AF106" s="580">
        <f t="shared" si="11"/>
        <v>2.5</v>
      </c>
      <c r="AG106" s="580">
        <f t="shared" si="12"/>
        <v>0</v>
      </c>
      <c r="AH106" s="580">
        <f t="shared" si="13"/>
        <v>0</v>
      </c>
    </row>
    <row r="107" spans="1:34">
      <c r="AB107" s="580">
        <f>HLOOKUP("*"&amp;'Output annual'!$AC$2&amp;'Output annual'!$AD$2&amp;"*Zone People Number Of Occupants [](Hourly)",'Eplus results'!$1:$1048576,ROW(),FALSE)</f>
        <v>0</v>
      </c>
      <c r="AC107" s="580">
        <f>HLOOKUP("*"&amp;'Output annual'!$AC$2&amp;'Output annual'!$AD$2&amp;"*FangerPMV(Hourly)",'Eplus results'!$1:$1048576,ROW(),FALSE)</f>
        <v>0</v>
      </c>
      <c r="AD107" s="580">
        <f t="shared" si="9"/>
        <v>5</v>
      </c>
      <c r="AE107" s="580">
        <f t="shared" si="10"/>
        <v>2.5</v>
      </c>
      <c r="AF107" s="580">
        <f t="shared" si="11"/>
        <v>2.5</v>
      </c>
      <c r="AG107" s="580">
        <f t="shared" si="12"/>
        <v>0</v>
      </c>
      <c r="AH107" s="580">
        <f t="shared" si="13"/>
        <v>0</v>
      </c>
    </row>
    <row r="108" spans="1:34">
      <c r="A108" s="44" t="s">
        <v>82</v>
      </c>
      <c r="C108">
        <v>1</v>
      </c>
      <c r="D108">
        <v>2</v>
      </c>
      <c r="E108" s="30">
        <v>3</v>
      </c>
      <c r="F108">
        <v>4</v>
      </c>
      <c r="G108">
        <v>5</v>
      </c>
      <c r="H108">
        <v>6</v>
      </c>
      <c r="I108">
        <v>7</v>
      </c>
      <c r="J108">
        <v>8</v>
      </c>
      <c r="K108">
        <v>9</v>
      </c>
      <c r="L108">
        <v>10</v>
      </c>
      <c r="M108">
        <v>11</v>
      </c>
      <c r="N108">
        <v>12</v>
      </c>
      <c r="AB108" s="580">
        <f>HLOOKUP("*"&amp;'Output annual'!$AC$2&amp;'Output annual'!$AD$2&amp;"*Zone People Number Of Occupants [](Hourly)",'Eplus results'!$1:$1048576,ROW(),FALSE)</f>
        <v>0</v>
      </c>
      <c r="AC108" s="580">
        <f>HLOOKUP("*"&amp;'Output annual'!$AC$2&amp;'Output annual'!$AD$2&amp;"*FangerPMV(Hourly)",'Eplus results'!$1:$1048576,ROW(),FALSE)</f>
        <v>0</v>
      </c>
      <c r="AD108" s="580">
        <f t="shared" si="9"/>
        <v>5</v>
      </c>
      <c r="AE108" s="580">
        <f t="shared" si="10"/>
        <v>2.5</v>
      </c>
      <c r="AF108" s="580">
        <f t="shared" si="11"/>
        <v>2.5</v>
      </c>
      <c r="AG108" s="580">
        <f t="shared" si="12"/>
        <v>0</v>
      </c>
      <c r="AH108" s="580">
        <f t="shared" si="13"/>
        <v>0</v>
      </c>
    </row>
    <row r="109" spans="1:34">
      <c r="A109" s="44" t="s">
        <v>82</v>
      </c>
      <c r="C109">
        <v>32</v>
      </c>
      <c r="D109">
        <v>60</v>
      </c>
      <c r="E109" s="30">
        <v>91</v>
      </c>
      <c r="F109">
        <v>121</v>
      </c>
      <c r="G109">
        <v>152</v>
      </c>
      <c r="H109">
        <v>182</v>
      </c>
      <c r="I109">
        <v>213</v>
      </c>
      <c r="J109">
        <v>244</v>
      </c>
      <c r="K109">
        <v>274</v>
      </c>
      <c r="L109">
        <v>305</v>
      </c>
      <c r="M109">
        <v>335</v>
      </c>
      <c r="N109">
        <v>366</v>
      </c>
      <c r="AB109" s="580">
        <f>HLOOKUP("*"&amp;'Output annual'!$AC$2&amp;'Output annual'!$AD$2&amp;"*Zone People Number Of Occupants [](Hourly)",'Eplus results'!$1:$1048576,ROW(),FALSE)</f>
        <v>0</v>
      </c>
      <c r="AC109" s="580">
        <f>HLOOKUP("*"&amp;'Output annual'!$AC$2&amp;'Output annual'!$AD$2&amp;"*FangerPMV(Hourly)",'Eplus results'!$1:$1048576,ROW(),FALSE)</f>
        <v>0</v>
      </c>
      <c r="AD109" s="580">
        <f t="shared" si="9"/>
        <v>5</v>
      </c>
      <c r="AE109" s="580">
        <f t="shared" si="10"/>
        <v>2.5</v>
      </c>
      <c r="AF109" s="580">
        <f t="shared" si="11"/>
        <v>2.5</v>
      </c>
      <c r="AG109" s="580">
        <f t="shared" si="12"/>
        <v>0</v>
      </c>
      <c r="AH109" s="580">
        <f t="shared" si="13"/>
        <v>0</v>
      </c>
    </row>
    <row r="110" spans="1:34">
      <c r="B110" t="s">
        <v>180</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0">
        <f>HLOOKUP("*"&amp;'Output annual'!$AC$2&amp;'Output annual'!$AD$2&amp;"*Zone People Number Of Occupants [](Hourly)",'Eplus results'!$1:$1048576,ROW(),FALSE)</f>
        <v>0</v>
      </c>
      <c r="AC110" s="580">
        <f>HLOOKUP("*"&amp;'Output annual'!$AC$2&amp;'Output annual'!$AD$2&amp;"*FangerPMV(Hourly)",'Eplus results'!$1:$1048576,ROW(),FALSE)</f>
        <v>0</v>
      </c>
      <c r="AD110" s="580">
        <f t="shared" si="9"/>
        <v>5</v>
      </c>
      <c r="AE110" s="580">
        <f t="shared" si="10"/>
        <v>2.5</v>
      </c>
      <c r="AF110" s="580">
        <f t="shared" si="11"/>
        <v>2.5</v>
      </c>
      <c r="AG110" s="580">
        <f t="shared" si="12"/>
        <v>0</v>
      </c>
      <c r="AH110" s="580">
        <f t="shared" si="13"/>
        <v>0</v>
      </c>
    </row>
    <row r="111" spans="1:34">
      <c r="B111" t="s">
        <v>181</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0">
        <f>HLOOKUP("*"&amp;'Output annual'!$AC$2&amp;'Output annual'!$AD$2&amp;"*Zone People Number Of Occupants [](Hourly)",'Eplus results'!$1:$1048576,ROW(),FALSE)</f>
        <v>0</v>
      </c>
      <c r="AC111" s="580">
        <f>HLOOKUP("*"&amp;'Output annual'!$AC$2&amp;'Output annual'!$AD$2&amp;"*FangerPMV(Hourly)",'Eplus results'!$1:$1048576,ROW(),FALSE)</f>
        <v>0</v>
      </c>
      <c r="AD111" s="580">
        <f t="shared" si="9"/>
        <v>5</v>
      </c>
      <c r="AE111" s="580">
        <f t="shared" si="10"/>
        <v>2.5</v>
      </c>
      <c r="AF111" s="580">
        <f t="shared" si="11"/>
        <v>2.5</v>
      </c>
      <c r="AG111" s="580">
        <f t="shared" si="12"/>
        <v>0</v>
      </c>
      <c r="AH111" s="580">
        <f t="shared" si="13"/>
        <v>0</v>
      </c>
    </row>
    <row r="112" spans="1:34">
      <c r="B112" t="s">
        <v>182</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0">
        <f>HLOOKUP("*"&amp;'Output annual'!$AC$2&amp;'Output annual'!$AD$2&amp;"*Zone People Number Of Occupants [](Hourly)",'Eplus results'!$1:$1048576,ROW(),FALSE)</f>
        <v>0</v>
      </c>
      <c r="AC112" s="580">
        <f>HLOOKUP("*"&amp;'Output annual'!$AC$2&amp;'Output annual'!$AD$2&amp;"*FangerPMV(Hourly)",'Eplus results'!$1:$1048576,ROW(),FALSE)</f>
        <v>0</v>
      </c>
      <c r="AD112" s="580">
        <f t="shared" si="9"/>
        <v>5</v>
      </c>
      <c r="AE112" s="580">
        <f t="shared" si="10"/>
        <v>2.5</v>
      </c>
      <c r="AF112" s="580">
        <f t="shared" si="11"/>
        <v>2.5</v>
      </c>
      <c r="AG112" s="580">
        <f t="shared" si="12"/>
        <v>0</v>
      </c>
      <c r="AH112" s="580">
        <f t="shared" si="13"/>
        <v>0</v>
      </c>
    </row>
    <row r="113" spans="1:34">
      <c r="B113" t="s">
        <v>183</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0">
        <f>HLOOKUP("*"&amp;'Output annual'!$AC$2&amp;'Output annual'!$AD$2&amp;"*Zone People Number Of Occupants [](Hourly)",'Eplus results'!$1:$1048576,ROW(),FALSE)</f>
        <v>0</v>
      </c>
      <c r="AC113" s="580">
        <f>HLOOKUP("*"&amp;'Output annual'!$AC$2&amp;'Output annual'!$AD$2&amp;"*FangerPMV(Hourly)",'Eplus results'!$1:$1048576,ROW(),FALSE)</f>
        <v>0</v>
      </c>
      <c r="AD113" s="580">
        <f t="shared" si="9"/>
        <v>5</v>
      </c>
      <c r="AE113" s="580">
        <f t="shared" si="10"/>
        <v>2.5</v>
      </c>
      <c r="AF113" s="580">
        <f t="shared" si="11"/>
        <v>2.5</v>
      </c>
      <c r="AG113" s="580">
        <f t="shared" si="12"/>
        <v>0</v>
      </c>
      <c r="AH113" s="580">
        <f t="shared" si="13"/>
        <v>0</v>
      </c>
    </row>
    <row r="114" spans="1:34">
      <c r="B114" t="s">
        <v>184</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0">
        <f>HLOOKUP("*"&amp;'Output annual'!$AC$2&amp;'Output annual'!$AD$2&amp;"*Zone People Number Of Occupants [](Hourly)",'Eplus results'!$1:$1048576,ROW(),FALSE)</f>
        <v>0</v>
      </c>
      <c r="AC114" s="580">
        <f>HLOOKUP("*"&amp;'Output annual'!$AC$2&amp;'Output annual'!$AD$2&amp;"*FangerPMV(Hourly)",'Eplus results'!$1:$1048576,ROW(),FALSE)</f>
        <v>0</v>
      </c>
      <c r="AD114" s="580">
        <f t="shared" si="9"/>
        <v>5</v>
      </c>
      <c r="AE114" s="580">
        <f t="shared" si="10"/>
        <v>2.5</v>
      </c>
      <c r="AF114" s="580">
        <f t="shared" si="11"/>
        <v>2.5</v>
      </c>
      <c r="AG114" s="580">
        <f t="shared" si="12"/>
        <v>0</v>
      </c>
      <c r="AH114" s="580">
        <f t="shared" si="13"/>
        <v>0</v>
      </c>
    </row>
    <row r="115" spans="1:34">
      <c r="B115" t="s">
        <v>185</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0">
        <f>HLOOKUP("*"&amp;'Output annual'!$AC$2&amp;'Output annual'!$AD$2&amp;"*Zone People Number Of Occupants [](Hourly)",'Eplus results'!$1:$1048576,ROW(),FALSE)</f>
        <v>0</v>
      </c>
      <c r="AC115" s="580">
        <f>HLOOKUP("*"&amp;'Output annual'!$AC$2&amp;'Output annual'!$AD$2&amp;"*FangerPMV(Hourly)",'Eplus results'!$1:$1048576,ROW(),FALSE)</f>
        <v>0</v>
      </c>
      <c r="AD115" s="580">
        <f t="shared" si="9"/>
        <v>5</v>
      </c>
      <c r="AE115" s="580">
        <f t="shared" si="10"/>
        <v>2.5</v>
      </c>
      <c r="AF115" s="580">
        <f t="shared" si="11"/>
        <v>2.5</v>
      </c>
      <c r="AG115" s="580">
        <f t="shared" si="12"/>
        <v>0</v>
      </c>
      <c r="AH115" s="580">
        <f t="shared" si="13"/>
        <v>0</v>
      </c>
    </row>
    <row r="116" spans="1:34">
      <c r="B116" t="s">
        <v>186</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0">
        <f>HLOOKUP("*"&amp;'Output annual'!$AC$2&amp;'Output annual'!$AD$2&amp;"*Zone People Number Of Occupants [](Hourly)",'Eplus results'!$1:$1048576,ROW(),FALSE)</f>
        <v>0</v>
      </c>
      <c r="AC116" s="580">
        <f>HLOOKUP("*"&amp;'Output annual'!$AC$2&amp;'Output annual'!$AD$2&amp;"*FangerPMV(Hourly)",'Eplus results'!$1:$1048576,ROW(),FALSE)</f>
        <v>0</v>
      </c>
      <c r="AD116" s="580">
        <f t="shared" si="9"/>
        <v>5</v>
      </c>
      <c r="AE116" s="580">
        <f t="shared" si="10"/>
        <v>2.5</v>
      </c>
      <c r="AF116" s="580">
        <f t="shared" si="11"/>
        <v>2.5</v>
      </c>
      <c r="AG116" s="580">
        <f t="shared" si="12"/>
        <v>0</v>
      </c>
      <c r="AH116" s="580">
        <f t="shared" si="13"/>
        <v>0</v>
      </c>
    </row>
    <row r="117" spans="1:34">
      <c r="B117" t="s">
        <v>187</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0">
        <f>HLOOKUP("*"&amp;'Output annual'!$AC$2&amp;'Output annual'!$AD$2&amp;"*Zone People Number Of Occupants [](Hourly)",'Eplus results'!$1:$1048576,ROW(),FALSE)</f>
        <v>0</v>
      </c>
      <c r="AC117" s="580">
        <f>HLOOKUP("*"&amp;'Output annual'!$AC$2&amp;'Output annual'!$AD$2&amp;"*FangerPMV(Hourly)",'Eplus results'!$1:$1048576,ROW(),FALSE)</f>
        <v>0</v>
      </c>
      <c r="AD117" s="580">
        <f t="shared" si="9"/>
        <v>5</v>
      </c>
      <c r="AE117" s="580">
        <f t="shared" si="10"/>
        <v>2.5</v>
      </c>
      <c r="AF117" s="580">
        <f t="shared" si="11"/>
        <v>2.5</v>
      </c>
      <c r="AG117" s="580">
        <f t="shared" si="12"/>
        <v>0</v>
      </c>
      <c r="AH117" s="580">
        <f t="shared" si="13"/>
        <v>0</v>
      </c>
    </row>
    <row r="118" spans="1:34">
      <c r="B118" t="s">
        <v>188</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0">
        <f>HLOOKUP("*"&amp;'Output annual'!$AC$2&amp;'Output annual'!$AD$2&amp;"*Zone People Number Of Occupants [](Hourly)",'Eplus results'!$1:$1048576,ROW(),FALSE)</f>
        <v>0</v>
      </c>
      <c r="AC118" s="580">
        <f>HLOOKUP("*"&amp;'Output annual'!$AC$2&amp;'Output annual'!$AD$2&amp;"*FangerPMV(Hourly)",'Eplus results'!$1:$1048576,ROW(),FALSE)</f>
        <v>0</v>
      </c>
      <c r="AD118" s="580">
        <f t="shared" si="9"/>
        <v>5</v>
      </c>
      <c r="AE118" s="580">
        <f t="shared" si="10"/>
        <v>2.5</v>
      </c>
      <c r="AF118" s="580">
        <f t="shared" si="11"/>
        <v>2.5</v>
      </c>
      <c r="AG118" s="580">
        <f t="shared" si="12"/>
        <v>0</v>
      </c>
      <c r="AH118" s="580">
        <f t="shared" si="13"/>
        <v>0</v>
      </c>
    </row>
    <row r="119" spans="1:34">
      <c r="B119" t="s">
        <v>189</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0">
        <f>HLOOKUP("*"&amp;'Output annual'!$AC$2&amp;'Output annual'!$AD$2&amp;"*Zone People Number Of Occupants [](Hourly)",'Eplus results'!$1:$1048576,ROW(),FALSE)</f>
        <v>0</v>
      </c>
      <c r="AC119" s="580">
        <f>HLOOKUP("*"&amp;'Output annual'!$AC$2&amp;'Output annual'!$AD$2&amp;"*FangerPMV(Hourly)",'Eplus results'!$1:$1048576,ROW(),FALSE)</f>
        <v>0</v>
      </c>
      <c r="AD119" s="580">
        <f t="shared" si="9"/>
        <v>5</v>
      </c>
      <c r="AE119" s="580">
        <f t="shared" si="10"/>
        <v>2.5</v>
      </c>
      <c r="AF119" s="580">
        <f t="shared" si="11"/>
        <v>2.5</v>
      </c>
      <c r="AG119" s="580">
        <f t="shared" si="12"/>
        <v>0</v>
      </c>
      <c r="AH119" s="580">
        <f t="shared" si="13"/>
        <v>0</v>
      </c>
    </row>
    <row r="120" spans="1:34">
      <c r="E120"/>
      <c r="N120">
        <f t="shared" ref="N120:N131" si="33">ROUND(3.41*N94/3600000/(Bldg_Length*Bldg_Width*3*10.76),3)</f>
        <v>0</v>
      </c>
      <c r="AB120" s="580">
        <f>HLOOKUP("*"&amp;'Output annual'!$AC$2&amp;'Output annual'!$AD$2&amp;"*Zone People Number Of Occupants [](Hourly)",'Eplus results'!$1:$1048576,ROW(),FALSE)</f>
        <v>0</v>
      </c>
      <c r="AC120" s="580">
        <f>HLOOKUP("*"&amp;'Output annual'!$AC$2&amp;'Output annual'!$AD$2&amp;"*FangerPMV(Hourly)",'Eplus results'!$1:$1048576,ROW(),FALSE)</f>
        <v>0</v>
      </c>
      <c r="AD120" s="580">
        <f t="shared" si="9"/>
        <v>5</v>
      </c>
      <c r="AE120" s="580">
        <f t="shared" si="10"/>
        <v>2.5</v>
      </c>
      <c r="AF120" s="580">
        <f t="shared" si="11"/>
        <v>2.5</v>
      </c>
      <c r="AG120" s="580">
        <f t="shared" si="12"/>
        <v>0</v>
      </c>
      <c r="AH120" s="580">
        <f t="shared" si="13"/>
        <v>0</v>
      </c>
    </row>
    <row r="121" spans="1:34">
      <c r="A121" t="s">
        <v>355</v>
      </c>
      <c r="B121" t="s">
        <v>190</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0">
        <f>HLOOKUP("*"&amp;'Output annual'!$AC$2&amp;'Output annual'!$AD$2&amp;"*Zone People Number Of Occupants [](Hourly)",'Eplus results'!$1:$1048576,ROW(),FALSE)</f>
        <v>0</v>
      </c>
      <c r="AC121" s="580">
        <f>HLOOKUP("*"&amp;'Output annual'!$AC$2&amp;'Output annual'!$AD$2&amp;"*FangerPMV(Hourly)",'Eplus results'!$1:$1048576,ROW(),FALSE)</f>
        <v>0</v>
      </c>
      <c r="AD121" s="580">
        <f t="shared" si="9"/>
        <v>5</v>
      </c>
      <c r="AE121" s="580">
        <f t="shared" si="10"/>
        <v>2.5</v>
      </c>
      <c r="AF121" s="580">
        <f t="shared" si="11"/>
        <v>2.5</v>
      </c>
      <c r="AG121" s="580">
        <f t="shared" si="12"/>
        <v>0</v>
      </c>
      <c r="AH121" s="580">
        <f t="shared" si="13"/>
        <v>0</v>
      </c>
    </row>
    <row r="122" spans="1:34">
      <c r="A122" s="43"/>
      <c r="B122" t="s">
        <v>442</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0">
        <f>HLOOKUP("*"&amp;'Output annual'!$AC$2&amp;'Output annual'!$AD$2&amp;"*Zone People Number Of Occupants [](Hourly)",'Eplus results'!$1:$1048576,ROW(),FALSE)</f>
        <v>0</v>
      </c>
      <c r="AC122" s="580">
        <f>HLOOKUP("*"&amp;'Output annual'!$AC$2&amp;'Output annual'!$AD$2&amp;"*FangerPMV(Hourly)",'Eplus results'!$1:$1048576,ROW(),FALSE)</f>
        <v>0</v>
      </c>
      <c r="AD122" s="580">
        <f t="shared" si="9"/>
        <v>5</v>
      </c>
      <c r="AE122" s="580">
        <f t="shared" si="10"/>
        <v>2.5</v>
      </c>
      <c r="AF122" s="580">
        <f t="shared" si="11"/>
        <v>2.5</v>
      </c>
      <c r="AG122" s="580">
        <f t="shared" si="12"/>
        <v>0</v>
      </c>
      <c r="AH122" s="580">
        <f t="shared" si="13"/>
        <v>0</v>
      </c>
    </row>
    <row r="123" spans="1:34">
      <c r="A123" s="43"/>
      <c r="B123" t="s">
        <v>443</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0">
        <f>HLOOKUP("*"&amp;'Output annual'!$AC$2&amp;'Output annual'!$AD$2&amp;"*Zone People Number Of Occupants [](Hourly)",'Eplus results'!$1:$1048576,ROW(),FALSE)</f>
        <v>0</v>
      </c>
      <c r="AC123" s="580">
        <f>HLOOKUP("*"&amp;'Output annual'!$AC$2&amp;'Output annual'!$AD$2&amp;"*FangerPMV(Hourly)",'Eplus results'!$1:$1048576,ROW(),FALSE)</f>
        <v>0</v>
      </c>
      <c r="AD123" s="580">
        <f t="shared" si="9"/>
        <v>5</v>
      </c>
      <c r="AE123" s="580">
        <f t="shared" si="10"/>
        <v>2.5</v>
      </c>
      <c r="AF123" s="580">
        <f t="shared" si="11"/>
        <v>2.5</v>
      </c>
      <c r="AG123" s="580">
        <f t="shared" si="12"/>
        <v>0</v>
      </c>
      <c r="AH123" s="580">
        <f t="shared" si="13"/>
        <v>0</v>
      </c>
    </row>
    <row r="124" spans="1:34">
      <c r="A124" s="43"/>
      <c r="B124" t="s">
        <v>444</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0">
        <f>HLOOKUP("*"&amp;'Output annual'!$AC$2&amp;'Output annual'!$AD$2&amp;"*Zone People Number Of Occupants [](Hourly)",'Eplus results'!$1:$1048576,ROW(),FALSE)</f>
        <v>0</v>
      </c>
      <c r="AC124" s="580">
        <f>HLOOKUP("*"&amp;'Output annual'!$AC$2&amp;'Output annual'!$AD$2&amp;"*FangerPMV(Hourly)",'Eplus results'!$1:$1048576,ROW(),FALSE)</f>
        <v>0</v>
      </c>
      <c r="AD124" s="580">
        <f t="shared" si="9"/>
        <v>5</v>
      </c>
      <c r="AE124" s="580">
        <f t="shared" si="10"/>
        <v>2.5</v>
      </c>
      <c r="AF124" s="580">
        <f t="shared" si="11"/>
        <v>2.5</v>
      </c>
      <c r="AG124" s="580">
        <f t="shared" si="12"/>
        <v>0</v>
      </c>
      <c r="AH124" s="580">
        <f t="shared" si="13"/>
        <v>0</v>
      </c>
    </row>
    <row r="125" spans="1:34">
      <c r="E125"/>
      <c r="N125">
        <f t="shared" si="33"/>
        <v>0</v>
      </c>
      <c r="AB125" s="580">
        <f>HLOOKUP("*"&amp;'Output annual'!$AC$2&amp;'Output annual'!$AD$2&amp;"*Zone People Number Of Occupants [](Hourly)",'Eplus results'!$1:$1048576,ROW(),FALSE)</f>
        <v>0</v>
      </c>
      <c r="AC125" s="580">
        <f>HLOOKUP("*"&amp;'Output annual'!$AC$2&amp;'Output annual'!$AD$2&amp;"*FangerPMV(Hourly)",'Eplus results'!$1:$1048576,ROW(),FALSE)</f>
        <v>0</v>
      </c>
      <c r="AD125" s="580">
        <f t="shared" si="9"/>
        <v>5</v>
      </c>
      <c r="AE125" s="580">
        <f t="shared" si="10"/>
        <v>2.5</v>
      </c>
      <c r="AF125" s="580">
        <f t="shared" si="11"/>
        <v>2.5</v>
      </c>
      <c r="AG125" s="580">
        <f t="shared" si="12"/>
        <v>0</v>
      </c>
      <c r="AH125" s="580">
        <f t="shared" si="13"/>
        <v>0</v>
      </c>
    </row>
    <row r="126" spans="1:34">
      <c r="A126" t="s">
        <v>352</v>
      </c>
      <c r="B126" t="s">
        <v>351</v>
      </c>
      <c r="E126"/>
      <c r="N126">
        <f t="shared" si="33"/>
        <v>0</v>
      </c>
      <c r="AB126" s="580">
        <f>HLOOKUP("*"&amp;'Output annual'!$AC$2&amp;'Output annual'!$AD$2&amp;"*Zone People Number Of Occupants [](Hourly)",'Eplus results'!$1:$1048576,ROW(),FALSE)</f>
        <v>0</v>
      </c>
      <c r="AC126" s="580">
        <f>HLOOKUP("*"&amp;'Output annual'!$AC$2&amp;'Output annual'!$AD$2&amp;"*FangerPMV(Hourly)",'Eplus results'!$1:$1048576,ROW(),FALSE)</f>
        <v>0</v>
      </c>
      <c r="AD126" s="580">
        <f t="shared" si="9"/>
        <v>5</v>
      </c>
      <c r="AE126" s="580">
        <f t="shared" si="10"/>
        <v>2.5</v>
      </c>
      <c r="AF126" s="580">
        <f t="shared" si="11"/>
        <v>2.5</v>
      </c>
      <c r="AG126" s="580">
        <f t="shared" si="12"/>
        <v>0</v>
      </c>
      <c r="AH126" s="580">
        <f t="shared" si="13"/>
        <v>0</v>
      </c>
    </row>
    <row r="127" spans="1:34">
      <c r="A127" s="43"/>
      <c r="B127" t="s">
        <v>347</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0">
        <f>HLOOKUP("*"&amp;'Output annual'!$AC$2&amp;'Output annual'!$AD$2&amp;"*Zone People Number Of Occupants [](Hourly)",'Eplus results'!$1:$1048576,ROW(),FALSE)</f>
        <v>0</v>
      </c>
      <c r="AC127" s="580">
        <f>HLOOKUP("*"&amp;'Output annual'!$AC$2&amp;'Output annual'!$AD$2&amp;"*FangerPMV(Hourly)",'Eplus results'!$1:$1048576,ROW(),FALSE)</f>
        <v>0</v>
      </c>
      <c r="AD127" s="580">
        <f t="shared" si="9"/>
        <v>5</v>
      </c>
      <c r="AE127" s="580">
        <f t="shared" si="10"/>
        <v>2.5</v>
      </c>
      <c r="AF127" s="580">
        <f t="shared" si="11"/>
        <v>2.5</v>
      </c>
      <c r="AG127" s="580">
        <f t="shared" si="12"/>
        <v>0</v>
      </c>
      <c r="AH127" s="580">
        <f t="shared" si="13"/>
        <v>0</v>
      </c>
    </row>
    <row r="128" spans="1:34">
      <c r="A128" s="43"/>
      <c r="B128" t="s">
        <v>348</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0">
        <f>HLOOKUP("*"&amp;'Output annual'!$AC$2&amp;'Output annual'!$AD$2&amp;"*Zone People Number Of Occupants [](Hourly)",'Eplus results'!$1:$1048576,ROW(),FALSE)</f>
        <v>0</v>
      </c>
      <c r="AC128" s="580">
        <f>HLOOKUP("*"&amp;'Output annual'!$AC$2&amp;'Output annual'!$AD$2&amp;"*FangerPMV(Hourly)",'Eplus results'!$1:$1048576,ROW(),FALSE)</f>
        <v>0</v>
      </c>
      <c r="AD128" s="580">
        <f t="shared" si="9"/>
        <v>5</v>
      </c>
      <c r="AE128" s="580">
        <f t="shared" si="10"/>
        <v>2.5</v>
      </c>
      <c r="AF128" s="580">
        <f t="shared" si="11"/>
        <v>2.5</v>
      </c>
      <c r="AG128" s="580">
        <f t="shared" si="12"/>
        <v>0</v>
      </c>
      <c r="AH128" s="580">
        <f t="shared" si="13"/>
        <v>0</v>
      </c>
    </row>
    <row r="129" spans="1:34">
      <c r="A129" s="43"/>
      <c r="B129" t="s">
        <v>349</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0">
        <f>HLOOKUP("*"&amp;'Output annual'!$AC$2&amp;'Output annual'!$AD$2&amp;"*Zone People Number Of Occupants [](Hourly)",'Eplus results'!$1:$1048576,ROW(),FALSE)</f>
        <v>0</v>
      </c>
      <c r="AC129" s="580">
        <f>HLOOKUP("*"&amp;'Output annual'!$AC$2&amp;'Output annual'!$AD$2&amp;"*FangerPMV(Hourly)",'Eplus results'!$1:$1048576,ROW(),FALSE)</f>
        <v>0</v>
      </c>
      <c r="AD129" s="580">
        <f t="shared" si="9"/>
        <v>5</v>
      </c>
      <c r="AE129" s="580">
        <f t="shared" si="10"/>
        <v>2.5</v>
      </c>
      <c r="AF129" s="580">
        <f t="shared" si="11"/>
        <v>2.5</v>
      </c>
      <c r="AG129" s="580">
        <f t="shared" si="12"/>
        <v>0</v>
      </c>
      <c r="AH129" s="580">
        <f t="shared" si="13"/>
        <v>0</v>
      </c>
    </row>
    <row r="130" spans="1:34">
      <c r="A130" s="43"/>
      <c r="B130" t="s">
        <v>350</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0">
        <f>HLOOKUP("*"&amp;'Output annual'!$AC$2&amp;'Output annual'!$AD$2&amp;"*Zone People Number Of Occupants [](Hourly)",'Eplus results'!$1:$1048576,ROW(),FALSE)</f>
        <v>0</v>
      </c>
      <c r="AC130" s="580">
        <f>HLOOKUP("*"&amp;'Output annual'!$AC$2&amp;'Output annual'!$AD$2&amp;"*FangerPMV(Hourly)",'Eplus results'!$1:$1048576,ROW(),FALSE)</f>
        <v>0</v>
      </c>
      <c r="AD130" s="580">
        <f t="shared" si="9"/>
        <v>5</v>
      </c>
      <c r="AE130" s="580">
        <f t="shared" si="10"/>
        <v>2.5</v>
      </c>
      <c r="AF130" s="580">
        <f t="shared" si="11"/>
        <v>2.5</v>
      </c>
      <c r="AG130" s="580">
        <f t="shared" si="12"/>
        <v>0</v>
      </c>
      <c r="AH130" s="580">
        <f t="shared" si="13"/>
        <v>0</v>
      </c>
    </row>
    <row r="131" spans="1:34">
      <c r="A131" s="43"/>
      <c r="B131" t="s">
        <v>445</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0">
        <f>HLOOKUP("*"&amp;'Output annual'!$AC$2&amp;'Output annual'!$AD$2&amp;"*Zone People Number Of Occupants [](Hourly)",'Eplus results'!$1:$1048576,ROW(),FALSE)</f>
        <v>0</v>
      </c>
      <c r="AC131" s="580">
        <f>HLOOKUP("*"&amp;'Output annual'!$AC$2&amp;'Output annual'!$AD$2&amp;"*FangerPMV(Hourly)",'Eplus results'!$1:$1048576,ROW(),FALSE)</f>
        <v>0</v>
      </c>
      <c r="AD131" s="580">
        <f t="shared" ref="AD131:AD194" si="43">100-95*EXP(-0.03353*AC131^4-0.2179*AC131^2)</f>
        <v>5</v>
      </c>
      <c r="AE131" s="580">
        <f t="shared" ref="AE131:AE194" si="44">AD131*(1/(1+EXP(-6.3*$AC131)))</f>
        <v>2.5</v>
      </c>
      <c r="AF131" s="580">
        <f t="shared" ref="AF131:AF194" si="45">(AD131-AE131)</f>
        <v>2.5</v>
      </c>
      <c r="AG131" s="580">
        <f t="shared" ref="AG131:AG194" si="46">AE131*AB131</f>
        <v>0</v>
      </c>
      <c r="AH131" s="580">
        <f t="shared" ref="AH131:AH194" si="47">AF131*AB131</f>
        <v>0</v>
      </c>
    </row>
    <row r="132" spans="1:34">
      <c r="AB132" s="580">
        <f>HLOOKUP("*"&amp;'Output annual'!$AC$2&amp;'Output annual'!$AD$2&amp;"*Zone People Number Of Occupants [](Hourly)",'Eplus results'!$1:$1048576,ROW(),FALSE)</f>
        <v>0</v>
      </c>
      <c r="AC132" s="580">
        <f>HLOOKUP("*"&amp;'Output annual'!$AC$2&amp;'Output annual'!$AD$2&amp;"*FangerPMV(Hourly)",'Eplus results'!$1:$1048576,ROW(),FALSE)</f>
        <v>0</v>
      </c>
      <c r="AD132" s="580">
        <f t="shared" si="43"/>
        <v>5</v>
      </c>
      <c r="AE132" s="580">
        <f t="shared" si="44"/>
        <v>2.5</v>
      </c>
      <c r="AF132" s="580">
        <f t="shared" si="45"/>
        <v>2.5</v>
      </c>
      <c r="AG132" s="580">
        <f t="shared" si="46"/>
        <v>0</v>
      </c>
      <c r="AH132" s="580">
        <f t="shared" si="47"/>
        <v>0</v>
      </c>
    </row>
    <row r="133" spans="1:34">
      <c r="AB133" s="580">
        <f>HLOOKUP("*"&amp;'Output annual'!$AC$2&amp;'Output annual'!$AD$2&amp;"*Zone People Number Of Occupants [](Hourly)",'Eplus results'!$1:$1048576,ROW(),FALSE)</f>
        <v>0</v>
      </c>
      <c r="AC133" s="580">
        <f>HLOOKUP("*"&amp;'Output annual'!$AC$2&amp;'Output annual'!$AD$2&amp;"*FangerPMV(Hourly)",'Eplus results'!$1:$1048576,ROW(),FALSE)</f>
        <v>0</v>
      </c>
      <c r="AD133" s="580">
        <f t="shared" si="43"/>
        <v>5</v>
      </c>
      <c r="AE133" s="580">
        <f t="shared" si="44"/>
        <v>2.5</v>
      </c>
      <c r="AF133" s="580">
        <f t="shared" si="45"/>
        <v>2.5</v>
      </c>
      <c r="AG133" s="580">
        <f t="shared" si="46"/>
        <v>0</v>
      </c>
      <c r="AH133" s="580">
        <f t="shared" si="47"/>
        <v>0</v>
      </c>
    </row>
    <row r="134" spans="1:34" ht="15">
      <c r="B134" s="204"/>
      <c r="C134" s="205"/>
      <c r="D134" s="206" t="s">
        <v>232</v>
      </c>
      <c r="AB134" s="580">
        <f>HLOOKUP("*"&amp;'Output annual'!$AC$2&amp;'Output annual'!$AD$2&amp;"*Zone People Number Of Occupants [](Hourly)",'Eplus results'!$1:$1048576,ROW(),FALSE)</f>
        <v>0</v>
      </c>
      <c r="AC134" s="580">
        <f>HLOOKUP("*"&amp;'Output annual'!$AC$2&amp;'Output annual'!$AD$2&amp;"*FangerPMV(Hourly)",'Eplus results'!$1:$1048576,ROW(),FALSE)</f>
        <v>0</v>
      </c>
      <c r="AD134" s="580">
        <f t="shared" si="43"/>
        <v>5</v>
      </c>
      <c r="AE134" s="580">
        <f t="shared" si="44"/>
        <v>2.5</v>
      </c>
      <c r="AF134" s="580">
        <f t="shared" si="45"/>
        <v>2.5</v>
      </c>
      <c r="AG134" s="580">
        <f t="shared" si="46"/>
        <v>0</v>
      </c>
      <c r="AH134" s="580">
        <f t="shared" si="47"/>
        <v>0</v>
      </c>
    </row>
    <row r="135" spans="1:34" ht="15">
      <c r="B135" s="207"/>
      <c r="C135" s="208" t="str">
        <f>floor&amp;perim_zone</f>
        <v>MFWest</v>
      </c>
      <c r="D135" s="209" t="s">
        <v>486</v>
      </c>
      <c r="AB135" s="580">
        <f>HLOOKUP("*"&amp;'Output annual'!$AC$2&amp;'Output annual'!$AD$2&amp;"*Zone People Number Of Occupants [](Hourly)",'Eplus results'!$1:$1048576,ROW(),FALSE)</f>
        <v>0</v>
      </c>
      <c r="AC135" s="580">
        <f>HLOOKUP("*"&amp;'Output annual'!$AC$2&amp;'Output annual'!$AD$2&amp;"*FangerPMV(Hourly)",'Eplus results'!$1:$1048576,ROW(),FALSE)</f>
        <v>0</v>
      </c>
      <c r="AD135" s="580">
        <f t="shared" si="43"/>
        <v>5</v>
      </c>
      <c r="AE135" s="580">
        <f t="shared" si="44"/>
        <v>2.5</v>
      </c>
      <c r="AF135" s="580">
        <f t="shared" si="45"/>
        <v>2.5</v>
      </c>
      <c r="AG135" s="580">
        <f t="shared" si="46"/>
        <v>0</v>
      </c>
      <c r="AH135" s="580">
        <f t="shared" si="47"/>
        <v>0</v>
      </c>
    </row>
    <row r="136" spans="1:34" ht="15">
      <c r="B136" s="210" t="s">
        <v>468</v>
      </c>
      <c r="C136" s="211" t="s">
        <v>466</v>
      </c>
      <c r="D136" s="212">
        <f>HLOOKUP(floor&amp;"SP"&amp;perim_zone&amp;"_WALL_"&amp;LEFT(perim_zone, 1)&amp;":Surface Int Convection Heat Rate [W](Hourly)",'Eplus results'!1:65536,'graph data'!D4,FALSE)</f>
        <v>0</v>
      </c>
      <c r="AB136" s="580">
        <f>HLOOKUP("*"&amp;'Output annual'!$AC$2&amp;'Output annual'!$AD$2&amp;"*Zone People Number Of Occupants [](Hourly)",'Eplus results'!$1:$1048576,ROW(),FALSE)</f>
        <v>0</v>
      </c>
      <c r="AC136" s="580">
        <f>HLOOKUP("*"&amp;'Output annual'!$AC$2&amp;'Output annual'!$AD$2&amp;"*FangerPMV(Hourly)",'Eplus results'!$1:$1048576,ROW(),FALSE)</f>
        <v>0</v>
      </c>
      <c r="AD136" s="580">
        <f t="shared" si="43"/>
        <v>5</v>
      </c>
      <c r="AE136" s="580">
        <f t="shared" si="44"/>
        <v>2.5</v>
      </c>
      <c r="AF136" s="580">
        <f t="shared" si="45"/>
        <v>2.5</v>
      </c>
      <c r="AG136" s="580">
        <f t="shared" si="46"/>
        <v>0</v>
      </c>
      <c r="AH136" s="580">
        <f t="shared" si="47"/>
        <v>0</v>
      </c>
    </row>
    <row r="137" spans="1:34" ht="45">
      <c r="B137" s="210" t="s">
        <v>469</v>
      </c>
      <c r="C137" s="211" t="s">
        <v>473</v>
      </c>
      <c r="D137" s="213">
        <f>HLOOKUP(floor&amp;"SP"&amp;perim_zone&amp;"_Ceiling:Surface Int Convection Heat Rate [W](Hourly)",'Eplus results'!1:65536,'graph data'!D4,FALSE)</f>
        <v>0</v>
      </c>
      <c r="AB137" s="580">
        <f>HLOOKUP("*"&amp;'Output annual'!$AC$2&amp;'Output annual'!$AD$2&amp;"*Zone People Number Of Occupants [](Hourly)",'Eplus results'!$1:$1048576,ROW(),FALSE)</f>
        <v>0</v>
      </c>
      <c r="AC137" s="580">
        <f>HLOOKUP("*"&amp;'Output annual'!$AC$2&amp;'Output annual'!$AD$2&amp;"*FangerPMV(Hourly)",'Eplus results'!$1:$1048576,ROW(),FALSE)</f>
        <v>0</v>
      </c>
      <c r="AD137" s="580">
        <f t="shared" si="43"/>
        <v>5</v>
      </c>
      <c r="AE137" s="580">
        <f t="shared" si="44"/>
        <v>2.5</v>
      </c>
      <c r="AF137" s="580">
        <f t="shared" si="45"/>
        <v>2.5</v>
      </c>
      <c r="AG137" s="580">
        <f t="shared" si="46"/>
        <v>0</v>
      </c>
      <c r="AH137" s="580">
        <f t="shared" si="47"/>
        <v>0</v>
      </c>
    </row>
    <row r="138" spans="1:34" ht="45">
      <c r="B138" s="214"/>
      <c r="C138" s="211" t="s">
        <v>467</v>
      </c>
      <c r="D138" s="212">
        <f>HLOOKUP(floor&amp;"SP"&amp;perim_zone&amp;"_Floor:Surface Int Convection Heat Rate [W](Hourly)",'Eplus results'!1:65536,'graph data'!D4,FALSE)</f>
        <v>0</v>
      </c>
      <c r="AB138" s="580">
        <f>HLOOKUP("*"&amp;'Output annual'!$AC$2&amp;'Output annual'!$AD$2&amp;"*Zone People Number Of Occupants [](Hourly)",'Eplus results'!$1:$1048576,ROW(),FALSE)</f>
        <v>0</v>
      </c>
      <c r="AC138" s="580">
        <f>HLOOKUP("*"&amp;'Output annual'!$AC$2&amp;'Output annual'!$AD$2&amp;"*FangerPMV(Hourly)",'Eplus results'!$1:$1048576,ROW(),FALSE)</f>
        <v>0</v>
      </c>
      <c r="AD138" s="580">
        <f t="shared" si="43"/>
        <v>5</v>
      </c>
      <c r="AE138" s="580">
        <f t="shared" si="44"/>
        <v>2.5</v>
      </c>
      <c r="AF138" s="580">
        <f t="shared" si="45"/>
        <v>2.5</v>
      </c>
      <c r="AG138" s="580">
        <f t="shared" si="46"/>
        <v>0</v>
      </c>
      <c r="AH138" s="580">
        <f t="shared" si="47"/>
        <v>0</v>
      </c>
    </row>
    <row r="139" spans="1:34" ht="15">
      <c r="B139" s="210" t="s">
        <v>470</v>
      </c>
      <c r="C139" s="211" t="s">
        <v>466</v>
      </c>
      <c r="D139" s="212">
        <f>HLOOKUP(floor&amp;"RP"&amp;perim_zone&amp;"_WALL_"&amp;LEFT(perim_zone, 1)&amp;":Surface Int Convection Heat Rate [W](Hourly)",'Eplus results'!1:65536,'graph data'!D4,FALSE)</f>
        <v>0</v>
      </c>
      <c r="AB139" s="580">
        <f>HLOOKUP("*"&amp;'Output annual'!$AC$2&amp;'Output annual'!$AD$2&amp;"*Zone People Number Of Occupants [](Hourly)",'Eplus results'!$1:$1048576,ROW(),FALSE)</f>
        <v>0</v>
      </c>
      <c r="AC139" s="580">
        <f>HLOOKUP("*"&amp;'Output annual'!$AC$2&amp;'Output annual'!$AD$2&amp;"*FangerPMV(Hourly)",'Eplus results'!$1:$1048576,ROW(),FALSE)</f>
        <v>0</v>
      </c>
      <c r="AD139" s="580">
        <f t="shared" si="43"/>
        <v>5</v>
      </c>
      <c r="AE139" s="580">
        <f t="shared" si="44"/>
        <v>2.5</v>
      </c>
      <c r="AF139" s="580">
        <f t="shared" si="45"/>
        <v>2.5</v>
      </c>
      <c r="AG139" s="580">
        <f t="shared" si="46"/>
        <v>0</v>
      </c>
      <c r="AH139" s="580">
        <f t="shared" si="47"/>
        <v>0</v>
      </c>
    </row>
    <row r="140" spans="1:34" ht="45">
      <c r="B140" s="210" t="s">
        <v>469</v>
      </c>
      <c r="C140" s="211" t="s">
        <v>471</v>
      </c>
      <c r="D140" s="212">
        <f>HLOOKUP(floor&amp;"RP"&amp;perim_zone&amp;"_Ceiling:Surface Int Convection Heat Rate [W](Hourly)",'Eplus results'!1:65536,'graph data'!D4,FALSE)</f>
        <v>0</v>
      </c>
      <c r="AB140" s="580">
        <f>HLOOKUP("*"&amp;'Output annual'!$AC$2&amp;'Output annual'!$AD$2&amp;"*Zone People Number Of Occupants [](Hourly)",'Eplus results'!$1:$1048576,ROW(),FALSE)</f>
        <v>0</v>
      </c>
      <c r="AC140" s="580">
        <f>HLOOKUP("*"&amp;'Output annual'!$AC$2&amp;'Output annual'!$AD$2&amp;"*FangerPMV(Hourly)",'Eplus results'!$1:$1048576,ROW(),FALSE)</f>
        <v>0</v>
      </c>
      <c r="AD140" s="580">
        <f t="shared" si="43"/>
        <v>5</v>
      </c>
      <c r="AE140" s="580">
        <f t="shared" si="44"/>
        <v>2.5</v>
      </c>
      <c r="AF140" s="580">
        <f t="shared" si="45"/>
        <v>2.5</v>
      </c>
      <c r="AG140" s="580">
        <f t="shared" si="46"/>
        <v>0</v>
      </c>
      <c r="AH140" s="580">
        <f t="shared" si="47"/>
        <v>0</v>
      </c>
    </row>
    <row r="141" spans="1:34" ht="30">
      <c r="B141" s="214"/>
      <c r="C141" s="211" t="s">
        <v>472</v>
      </c>
      <c r="D141" s="212">
        <f>HLOOKUP(floor&amp;"RP"&amp;perim_zone&amp;"_Floor:Surface Int Convection Heat Rate [W](Hourly)",'Eplus results'!1:65536,'graph data'!D4,FALSE)</f>
        <v>0</v>
      </c>
      <c r="AB141" s="580">
        <f>HLOOKUP("*"&amp;'Output annual'!$AC$2&amp;'Output annual'!$AD$2&amp;"*Zone People Number Of Occupants [](Hourly)",'Eplus results'!$1:$1048576,ROW(),FALSE)</f>
        <v>0</v>
      </c>
      <c r="AC141" s="580">
        <f>HLOOKUP("*"&amp;'Output annual'!$AC$2&amp;'Output annual'!$AD$2&amp;"*FangerPMV(Hourly)",'Eplus results'!$1:$1048576,ROW(),FALSE)</f>
        <v>0</v>
      </c>
      <c r="AD141" s="580">
        <f t="shared" si="43"/>
        <v>5</v>
      </c>
      <c r="AE141" s="580">
        <f t="shared" si="44"/>
        <v>2.5</v>
      </c>
      <c r="AF141" s="580">
        <f t="shared" si="45"/>
        <v>2.5</v>
      </c>
      <c r="AG141" s="580">
        <f t="shared" si="46"/>
        <v>0</v>
      </c>
      <c r="AH141" s="580">
        <f t="shared" si="47"/>
        <v>0</v>
      </c>
    </row>
    <row r="142" spans="1:34" ht="15">
      <c r="B142" s="207"/>
      <c r="C142" s="208" t="str">
        <f>floor&amp;Int_zone</f>
        <v>MFCore</v>
      </c>
      <c r="D142" s="209" t="s">
        <v>486</v>
      </c>
      <c r="AB142" s="580">
        <f>HLOOKUP("*"&amp;'Output annual'!$AC$2&amp;'Output annual'!$AD$2&amp;"*Zone People Number Of Occupants [](Hourly)",'Eplus results'!$1:$1048576,ROW(),FALSE)</f>
        <v>0</v>
      </c>
      <c r="AC142" s="580">
        <f>HLOOKUP("*"&amp;'Output annual'!$AC$2&amp;'Output annual'!$AD$2&amp;"*FangerPMV(Hourly)",'Eplus results'!$1:$1048576,ROW(),FALSE)</f>
        <v>0</v>
      </c>
      <c r="AD142" s="580">
        <f t="shared" si="43"/>
        <v>5</v>
      </c>
      <c r="AE142" s="580">
        <f t="shared" si="44"/>
        <v>2.5</v>
      </c>
      <c r="AF142" s="580">
        <f t="shared" si="45"/>
        <v>2.5</v>
      </c>
      <c r="AG142" s="580">
        <f t="shared" si="46"/>
        <v>0</v>
      </c>
      <c r="AH142" s="580">
        <f t="shared" si="47"/>
        <v>0</v>
      </c>
    </row>
    <row r="143" spans="1:34" ht="45">
      <c r="B143" s="210" t="s">
        <v>468</v>
      </c>
      <c r="C143" s="211" t="s">
        <v>473</v>
      </c>
      <c r="D143" s="213" t="e">
        <f>HLOOKUP(floor&amp;"SP"&amp;Int_zone&amp;"_Ceiling1:Surface Int Convection Heat Rate [W](Hourly)",'Eplus results'!1:65536,'graph data'!D4,FALSE)*2</f>
        <v>#N/A</v>
      </c>
      <c r="AB143" s="580">
        <f>HLOOKUP("*"&amp;'Output annual'!$AC$2&amp;'Output annual'!$AD$2&amp;"*Zone People Number Of Occupants [](Hourly)",'Eplus results'!$1:$1048576,ROW(),FALSE)</f>
        <v>0</v>
      </c>
      <c r="AC143" s="580">
        <f>HLOOKUP("*"&amp;'Output annual'!$AC$2&amp;'Output annual'!$AD$2&amp;"*FangerPMV(Hourly)",'Eplus results'!$1:$1048576,ROW(),FALSE)</f>
        <v>0</v>
      </c>
      <c r="AD143" s="580">
        <f t="shared" si="43"/>
        <v>5</v>
      </c>
      <c r="AE143" s="580">
        <f t="shared" si="44"/>
        <v>2.5</v>
      </c>
      <c r="AF143" s="580">
        <f t="shared" si="45"/>
        <v>2.5</v>
      </c>
      <c r="AG143" s="580">
        <f t="shared" si="46"/>
        <v>0</v>
      </c>
      <c r="AH143" s="580">
        <f t="shared" si="47"/>
        <v>0</v>
      </c>
    </row>
    <row r="144" spans="1:34" ht="45">
      <c r="B144" s="210" t="s">
        <v>469</v>
      </c>
      <c r="C144" s="211" t="s">
        <v>467</v>
      </c>
      <c r="D144" s="212" t="e">
        <f>HLOOKUP(floor&amp;"SP"&amp;Int_zone&amp;"_Floor1:Surface Int Convection Heat Rate [W](Hourly)",'Eplus results'!1:65536,'graph data'!D4,FALSE)*2</f>
        <v>#N/A</v>
      </c>
      <c r="AB144" s="580">
        <f>HLOOKUP("*"&amp;'Output annual'!$AC$2&amp;'Output annual'!$AD$2&amp;"*Zone People Number Of Occupants [](Hourly)",'Eplus results'!$1:$1048576,ROW(),FALSE)</f>
        <v>0</v>
      </c>
      <c r="AC144" s="580">
        <f>HLOOKUP("*"&amp;'Output annual'!$AC$2&amp;'Output annual'!$AD$2&amp;"*FangerPMV(Hourly)",'Eplus results'!$1:$1048576,ROW(),FALSE)</f>
        <v>0</v>
      </c>
      <c r="AD144" s="580">
        <f t="shared" si="43"/>
        <v>5</v>
      </c>
      <c r="AE144" s="580">
        <f t="shared" si="44"/>
        <v>2.5</v>
      </c>
      <c r="AF144" s="580">
        <f t="shared" si="45"/>
        <v>2.5</v>
      </c>
      <c r="AG144" s="580">
        <f t="shared" si="46"/>
        <v>0</v>
      </c>
      <c r="AH144" s="580">
        <f t="shared" si="47"/>
        <v>0</v>
      </c>
    </row>
    <row r="145" spans="1:34" ht="45">
      <c r="B145" s="210" t="s">
        <v>470</v>
      </c>
      <c r="C145" s="211" t="s">
        <v>471</v>
      </c>
      <c r="D145" s="212" t="e">
        <f>HLOOKUP(floor&amp;"RP"&amp;Int_zone&amp;"_Ceiling1:Surface Int Convection Heat Rate [W](Hourly)",'Eplus results'!1:65536,'graph data'!D4,FALSE)*2</f>
        <v>#N/A</v>
      </c>
      <c r="AB145" s="580">
        <f>HLOOKUP("*"&amp;'Output annual'!$AC$2&amp;'Output annual'!$AD$2&amp;"*Zone People Number Of Occupants [](Hourly)",'Eplus results'!$1:$1048576,ROW(),FALSE)</f>
        <v>0</v>
      </c>
      <c r="AC145" s="580">
        <f>HLOOKUP("*"&amp;'Output annual'!$AC$2&amp;'Output annual'!$AD$2&amp;"*FangerPMV(Hourly)",'Eplus results'!$1:$1048576,ROW(),FALSE)</f>
        <v>0</v>
      </c>
      <c r="AD145" s="580">
        <f t="shared" si="43"/>
        <v>5</v>
      </c>
      <c r="AE145" s="580">
        <f t="shared" si="44"/>
        <v>2.5</v>
      </c>
      <c r="AF145" s="580">
        <f t="shared" si="45"/>
        <v>2.5</v>
      </c>
      <c r="AG145" s="580">
        <f t="shared" si="46"/>
        <v>0</v>
      </c>
      <c r="AH145" s="580">
        <f t="shared" si="47"/>
        <v>0</v>
      </c>
    </row>
    <row r="146" spans="1:34" ht="30">
      <c r="B146" s="215" t="s">
        <v>469</v>
      </c>
      <c r="C146" s="216" t="s">
        <v>472</v>
      </c>
      <c r="D146" s="217" t="e">
        <f>HLOOKUP(floor&amp;"RP"&amp;Int_zone&amp;"_Floor1:Surface Int Convection Heat Rate [W](Hourly)",'Eplus results'!1:65536,'graph data'!D4,FALSE)*2</f>
        <v>#N/A</v>
      </c>
      <c r="AB146" s="580">
        <f>HLOOKUP("*"&amp;'Output annual'!$AC$2&amp;'Output annual'!$AD$2&amp;"*Zone People Number Of Occupants [](Hourly)",'Eplus results'!$1:$1048576,ROW(),FALSE)</f>
        <v>0</v>
      </c>
      <c r="AC146" s="580">
        <f>HLOOKUP("*"&amp;'Output annual'!$AC$2&amp;'Output annual'!$AD$2&amp;"*FangerPMV(Hourly)",'Eplus results'!$1:$1048576,ROW(),FALSE)</f>
        <v>0</v>
      </c>
      <c r="AD146" s="580">
        <f t="shared" si="43"/>
        <v>5</v>
      </c>
      <c r="AE146" s="580">
        <f t="shared" si="44"/>
        <v>2.5</v>
      </c>
      <c r="AF146" s="580">
        <f t="shared" si="45"/>
        <v>2.5</v>
      </c>
      <c r="AG146" s="580">
        <f t="shared" si="46"/>
        <v>0</v>
      </c>
      <c r="AH146" s="580">
        <f t="shared" si="47"/>
        <v>0</v>
      </c>
    </row>
    <row r="147" spans="1:34">
      <c r="AB147" s="580">
        <f>HLOOKUP("*"&amp;'Output annual'!$AC$2&amp;'Output annual'!$AD$2&amp;"*Zone People Number Of Occupants [](Hourly)",'Eplus results'!$1:$1048576,ROW(),FALSE)</f>
        <v>0</v>
      </c>
      <c r="AC147" s="580">
        <f>HLOOKUP("*"&amp;'Output annual'!$AC$2&amp;'Output annual'!$AD$2&amp;"*FangerPMV(Hourly)",'Eplus results'!$1:$1048576,ROW(),FALSE)</f>
        <v>0</v>
      </c>
      <c r="AD147" s="580">
        <f t="shared" si="43"/>
        <v>5</v>
      </c>
      <c r="AE147" s="580">
        <f t="shared" si="44"/>
        <v>2.5</v>
      </c>
      <c r="AF147" s="580">
        <f t="shared" si="45"/>
        <v>2.5</v>
      </c>
      <c r="AG147" s="580">
        <f t="shared" si="46"/>
        <v>0</v>
      </c>
      <c r="AH147" s="580">
        <f t="shared" si="47"/>
        <v>0</v>
      </c>
    </row>
    <row r="148" spans="1:34" ht="13.5" thickBot="1">
      <c r="A148" s="159" t="s">
        <v>851</v>
      </c>
      <c r="B148" s="158">
        <f>HLOOKUP("Environment:DayType Index [](Hourly)",'Eplus results'!$1:$1048576,'graph data'!D4, FALSE)</f>
        <v>0</v>
      </c>
      <c r="AB148" s="580">
        <f>HLOOKUP("*"&amp;'Output annual'!$AC$2&amp;'Output annual'!$AD$2&amp;"*Zone People Number Of Occupants [](Hourly)",'Eplus results'!$1:$1048576,ROW(),FALSE)</f>
        <v>0</v>
      </c>
      <c r="AC148" s="580">
        <f>HLOOKUP("*"&amp;'Output annual'!$AC$2&amp;'Output annual'!$AD$2&amp;"*FangerPMV(Hourly)",'Eplus results'!$1:$1048576,ROW(),FALSE)</f>
        <v>0</v>
      </c>
      <c r="AD148" s="580">
        <f t="shared" si="43"/>
        <v>5</v>
      </c>
      <c r="AE148" s="580">
        <f t="shared" si="44"/>
        <v>2.5</v>
      </c>
      <c r="AF148" s="580">
        <f t="shared" si="45"/>
        <v>2.5</v>
      </c>
      <c r="AG148" s="580">
        <f t="shared" si="46"/>
        <v>0</v>
      </c>
      <c r="AH148" s="580">
        <f t="shared" si="47"/>
        <v>0</v>
      </c>
    </row>
    <row r="149" spans="1:34" ht="13.5" thickBot="1">
      <c r="A149" s="182" t="s">
        <v>367</v>
      </c>
      <c r="B149" s="184">
        <f>'graph data'!F7</f>
        <v>32</v>
      </c>
      <c r="AB149" s="580">
        <f>HLOOKUP("*"&amp;'Output annual'!$AC$2&amp;'Output annual'!$AD$2&amp;"*Zone People Number Of Occupants [](Hourly)",'Eplus results'!$1:$1048576,ROW(),FALSE)</f>
        <v>0</v>
      </c>
      <c r="AC149" s="580">
        <f>HLOOKUP("*"&amp;'Output annual'!$AC$2&amp;'Output annual'!$AD$2&amp;"*FangerPMV(Hourly)",'Eplus results'!$1:$1048576,ROW(),FALSE)</f>
        <v>0</v>
      </c>
      <c r="AD149" s="580">
        <f t="shared" si="43"/>
        <v>5</v>
      </c>
      <c r="AE149" s="580">
        <f t="shared" si="44"/>
        <v>2.5</v>
      </c>
      <c r="AF149" s="580">
        <f t="shared" si="45"/>
        <v>2.5</v>
      </c>
      <c r="AG149" s="580">
        <f t="shared" si="46"/>
        <v>0</v>
      </c>
      <c r="AH149" s="580">
        <f t="shared" si="47"/>
        <v>0</v>
      </c>
    </row>
    <row r="150" spans="1:34">
      <c r="AB150" s="580">
        <f>HLOOKUP("*"&amp;'Output annual'!$AC$2&amp;'Output annual'!$AD$2&amp;"*Zone People Number Of Occupants [](Hourly)",'Eplus results'!$1:$1048576,ROW(),FALSE)</f>
        <v>0</v>
      </c>
      <c r="AC150" s="580">
        <f>HLOOKUP("*"&amp;'Output annual'!$AC$2&amp;'Output annual'!$AD$2&amp;"*FangerPMV(Hourly)",'Eplus results'!$1:$1048576,ROW(),FALSE)</f>
        <v>0</v>
      </c>
      <c r="AD150" s="580">
        <f t="shared" si="43"/>
        <v>5</v>
      </c>
      <c r="AE150" s="580">
        <f t="shared" si="44"/>
        <v>2.5</v>
      </c>
      <c r="AF150" s="580">
        <f t="shared" si="45"/>
        <v>2.5</v>
      </c>
      <c r="AG150" s="580">
        <f t="shared" si="46"/>
        <v>0</v>
      </c>
      <c r="AH150" s="580">
        <f t="shared" si="47"/>
        <v>0</v>
      </c>
    </row>
    <row r="151" spans="1:34">
      <c r="B151" s="228" t="s">
        <v>862</v>
      </c>
      <c r="C151" s="219" t="s">
        <v>259</v>
      </c>
      <c r="D151" s="220" t="s">
        <v>261</v>
      </c>
      <c r="AB151" s="580">
        <f>HLOOKUP("*"&amp;'Output annual'!$AC$2&amp;'Output annual'!$AD$2&amp;"*Zone People Number Of Occupants [](Hourly)",'Eplus results'!$1:$1048576,ROW(),FALSE)</f>
        <v>0</v>
      </c>
      <c r="AC151" s="580">
        <f>HLOOKUP("*"&amp;'Output annual'!$AC$2&amp;'Output annual'!$AD$2&amp;"*FangerPMV(Hourly)",'Eplus results'!$1:$1048576,ROW(),FALSE)</f>
        <v>0</v>
      </c>
      <c r="AD151" s="580">
        <f t="shared" si="43"/>
        <v>5</v>
      </c>
      <c r="AE151" s="580">
        <f t="shared" si="44"/>
        <v>2.5</v>
      </c>
      <c r="AF151" s="580">
        <f t="shared" si="45"/>
        <v>2.5</v>
      </c>
      <c r="AG151" s="580">
        <f t="shared" si="46"/>
        <v>0</v>
      </c>
      <c r="AH151" s="580">
        <f t="shared" si="47"/>
        <v>0</v>
      </c>
    </row>
    <row r="152" spans="1:34">
      <c r="B152" s="221"/>
      <c r="C152" s="179" t="s">
        <v>260</v>
      </c>
      <c r="D152" s="222" t="s">
        <v>262</v>
      </c>
      <c r="AB152" s="580">
        <f>HLOOKUP("*"&amp;'Output annual'!$AC$2&amp;'Output annual'!$AD$2&amp;"*Zone People Number Of Occupants [](Hourly)",'Eplus results'!$1:$1048576,ROW(),FALSE)</f>
        <v>0</v>
      </c>
      <c r="AC152" s="580">
        <f>HLOOKUP("*"&amp;'Output annual'!$AC$2&amp;'Output annual'!$AD$2&amp;"*FangerPMV(Hourly)",'Eplus results'!$1:$1048576,ROW(),FALSE)</f>
        <v>0</v>
      </c>
      <c r="AD152" s="580">
        <f t="shared" si="43"/>
        <v>5</v>
      </c>
      <c r="AE152" s="580">
        <f t="shared" si="44"/>
        <v>2.5</v>
      </c>
      <c r="AF152" s="580">
        <f t="shared" si="45"/>
        <v>2.5</v>
      </c>
      <c r="AG152" s="580">
        <f t="shared" si="46"/>
        <v>0</v>
      </c>
      <c r="AH152" s="580">
        <f t="shared" si="47"/>
        <v>0</v>
      </c>
    </row>
    <row r="153" spans="1:34">
      <c r="B153" s="221" t="s">
        <v>101</v>
      </c>
      <c r="C153" s="223">
        <f>C154</f>
        <v>32</v>
      </c>
      <c r="D153" s="222">
        <v>179</v>
      </c>
      <c r="AB153" s="580">
        <f>HLOOKUP("*"&amp;'Output annual'!$AC$2&amp;'Output annual'!$AD$2&amp;"*Zone People Number Of Occupants [](Hourly)",'Eplus results'!$1:$1048576,ROW(),FALSE)</f>
        <v>0</v>
      </c>
      <c r="AC153" s="580">
        <f>HLOOKUP("*"&amp;'Output annual'!$AC$2&amp;'Output annual'!$AD$2&amp;"*FangerPMV(Hourly)",'Eplus results'!$1:$1048576,ROW(),FALSE)</f>
        <v>0</v>
      </c>
      <c r="AD153" s="580">
        <f t="shared" si="43"/>
        <v>5</v>
      </c>
      <c r="AE153" s="580">
        <f t="shared" si="44"/>
        <v>2.5</v>
      </c>
      <c r="AF153" s="580">
        <f t="shared" si="45"/>
        <v>2.5</v>
      </c>
      <c r="AG153" s="580">
        <f t="shared" si="46"/>
        <v>0</v>
      </c>
      <c r="AH153" s="580">
        <f t="shared" si="47"/>
        <v>0</v>
      </c>
    </row>
    <row r="154" spans="1:34">
      <c r="B154" s="221" t="s">
        <v>102</v>
      </c>
      <c r="C154" s="168">
        <f>'graph data'!F14</f>
        <v>32</v>
      </c>
      <c r="D154" s="222">
        <v>138</v>
      </c>
      <c r="AB154" s="580">
        <f>HLOOKUP("*"&amp;'Output annual'!$AC$2&amp;'Output annual'!$AD$2&amp;"*Zone People Number Of Occupants [](Hourly)",'Eplus results'!$1:$1048576,ROW(),FALSE)</f>
        <v>0</v>
      </c>
      <c r="AC154" s="580">
        <f>HLOOKUP("*"&amp;'Output annual'!$AC$2&amp;'Output annual'!$AD$2&amp;"*FangerPMV(Hourly)",'Eplus results'!$1:$1048576,ROW(),FALSE)</f>
        <v>0</v>
      </c>
      <c r="AD154" s="580">
        <f t="shared" si="43"/>
        <v>5</v>
      </c>
      <c r="AE154" s="580">
        <f t="shared" si="44"/>
        <v>2.5</v>
      </c>
      <c r="AF154" s="580">
        <f t="shared" si="45"/>
        <v>2.5</v>
      </c>
      <c r="AG154" s="580">
        <f t="shared" si="46"/>
        <v>0</v>
      </c>
      <c r="AH154" s="580">
        <f t="shared" si="47"/>
        <v>0</v>
      </c>
    </row>
    <row r="155" spans="1:34">
      <c r="B155" s="221" t="s">
        <v>103</v>
      </c>
      <c r="C155" s="223">
        <f>C157</f>
        <v>32</v>
      </c>
      <c r="D155" s="222">
        <v>126</v>
      </c>
      <c r="AB155" s="580">
        <f>HLOOKUP("*"&amp;'Output annual'!$AC$2&amp;'Output annual'!$AD$2&amp;"*Zone People Number Of Occupants [](Hourly)",'Eplus results'!$1:$1048576,ROW(),FALSE)</f>
        <v>0</v>
      </c>
      <c r="AC155" s="580">
        <f>HLOOKUP("*"&amp;'Output annual'!$AC$2&amp;'Output annual'!$AD$2&amp;"*FangerPMV(Hourly)",'Eplus results'!$1:$1048576,ROW(),FALSE)</f>
        <v>0</v>
      </c>
      <c r="AD155" s="580">
        <f t="shared" si="43"/>
        <v>5</v>
      </c>
      <c r="AE155" s="580">
        <f t="shared" si="44"/>
        <v>2.5</v>
      </c>
      <c r="AF155" s="580">
        <f t="shared" si="45"/>
        <v>2.5</v>
      </c>
      <c r="AG155" s="580">
        <f t="shared" si="46"/>
        <v>0</v>
      </c>
      <c r="AH155" s="580">
        <f t="shared" si="47"/>
        <v>0</v>
      </c>
    </row>
    <row r="156" spans="1:34">
      <c r="B156" s="225" t="s">
        <v>100</v>
      </c>
      <c r="C156" s="180">
        <f>C157</f>
        <v>32</v>
      </c>
      <c r="D156" s="226">
        <v>126</v>
      </c>
      <c r="AB156" s="580">
        <f>HLOOKUP("*"&amp;'Output annual'!$AC$2&amp;'Output annual'!$AD$2&amp;"*Zone People Number Of Occupants [](Hourly)",'Eplus results'!$1:$1048576,ROW(),FALSE)</f>
        <v>0</v>
      </c>
      <c r="AC156" s="580">
        <f>HLOOKUP("*"&amp;'Output annual'!$AC$2&amp;'Output annual'!$AD$2&amp;"*FangerPMV(Hourly)",'Eplus results'!$1:$1048576,ROW(),FALSE)</f>
        <v>0</v>
      </c>
      <c r="AD156" s="580">
        <f t="shared" si="43"/>
        <v>5</v>
      </c>
      <c r="AE156" s="580">
        <f t="shared" si="44"/>
        <v>2.5</v>
      </c>
      <c r="AF156" s="580">
        <f t="shared" si="45"/>
        <v>2.5</v>
      </c>
      <c r="AG156" s="580">
        <f t="shared" si="46"/>
        <v>0</v>
      </c>
      <c r="AH156" s="580">
        <f t="shared" si="47"/>
        <v>0</v>
      </c>
    </row>
    <row r="157" spans="1:34">
      <c r="B157" s="221" t="s">
        <v>155</v>
      </c>
      <c r="C157" s="168">
        <f>IF(RunType="OH",'graph data'!F16,'graph data'!F15)</f>
        <v>32</v>
      </c>
      <c r="D157" s="224">
        <f>(D156-D158)/2+D158</f>
        <v>72</v>
      </c>
      <c r="AB157" s="580">
        <f>HLOOKUP("*"&amp;'Output annual'!$AC$2&amp;'Output annual'!$AD$2&amp;"*Zone People Number Of Occupants [](Hourly)",'Eplus results'!$1:$1048576,ROW(),FALSE)</f>
        <v>0</v>
      </c>
      <c r="AC157" s="580">
        <f>HLOOKUP("*"&amp;'Output annual'!$AC$2&amp;'Output annual'!$AD$2&amp;"*FangerPMV(Hourly)",'Eplus results'!$1:$1048576,ROW(),FALSE)</f>
        <v>0</v>
      </c>
      <c r="AD157" s="580">
        <f t="shared" si="43"/>
        <v>5</v>
      </c>
      <c r="AE157" s="580">
        <f t="shared" si="44"/>
        <v>2.5</v>
      </c>
      <c r="AF157" s="580">
        <f t="shared" si="45"/>
        <v>2.5</v>
      </c>
      <c r="AG157" s="580">
        <f t="shared" si="46"/>
        <v>0</v>
      </c>
      <c r="AH157" s="580">
        <f t="shared" si="47"/>
        <v>0</v>
      </c>
    </row>
    <row r="158" spans="1:34">
      <c r="B158" s="225" t="s">
        <v>100</v>
      </c>
      <c r="C158" s="180">
        <f>C157</f>
        <v>32</v>
      </c>
      <c r="D158" s="226">
        <f>D159</f>
        <v>18</v>
      </c>
      <c r="AB158" s="580">
        <f>HLOOKUP("*"&amp;'Output annual'!$AC$2&amp;'Output annual'!$AD$2&amp;"*Zone People Number Of Occupants [](Hourly)",'Eplus results'!$1:$1048576,ROW(),FALSE)</f>
        <v>0</v>
      </c>
      <c r="AC158" s="580">
        <f>HLOOKUP("*"&amp;'Output annual'!$AC$2&amp;'Output annual'!$AD$2&amp;"*FangerPMV(Hourly)",'Eplus results'!$1:$1048576,ROW(),FALSE)</f>
        <v>0</v>
      </c>
      <c r="AD158" s="580">
        <f t="shared" si="43"/>
        <v>5</v>
      </c>
      <c r="AE158" s="580">
        <f t="shared" si="44"/>
        <v>2.5</v>
      </c>
      <c r="AF158" s="580">
        <f t="shared" si="45"/>
        <v>2.5</v>
      </c>
      <c r="AG158" s="580">
        <f t="shared" si="46"/>
        <v>0</v>
      </c>
      <c r="AH158" s="580">
        <f t="shared" si="47"/>
        <v>0</v>
      </c>
    </row>
    <row r="159" spans="1:34">
      <c r="B159" s="225" t="s">
        <v>100</v>
      </c>
      <c r="C159" s="180">
        <f>C160</f>
        <v>32</v>
      </c>
      <c r="D159" s="227">
        <f>IF(RunType="OH",84.9,'graph data'!F20+18)</f>
        <v>18</v>
      </c>
      <c r="AB159" s="580">
        <f>HLOOKUP("*"&amp;'Output annual'!$AC$2&amp;'Output annual'!$AD$2&amp;"*Zone People Number Of Occupants [](Hourly)",'Eplus results'!$1:$1048576,ROW(),FALSE)</f>
        <v>0</v>
      </c>
      <c r="AC159" s="580">
        <f>HLOOKUP("*"&amp;'Output annual'!$AC$2&amp;'Output annual'!$AD$2&amp;"*FangerPMV(Hourly)",'Eplus results'!$1:$1048576,ROW(),FALSE)</f>
        <v>0</v>
      </c>
      <c r="AD159" s="580">
        <f t="shared" si="43"/>
        <v>5</v>
      </c>
      <c r="AE159" s="580">
        <f t="shared" si="44"/>
        <v>2.5</v>
      </c>
      <c r="AF159" s="580">
        <f t="shared" si="45"/>
        <v>2.5</v>
      </c>
      <c r="AG159" s="580">
        <f t="shared" si="46"/>
        <v>0</v>
      </c>
      <c r="AH159" s="580">
        <f t="shared" si="47"/>
        <v>0</v>
      </c>
    </row>
    <row r="160" spans="1:34">
      <c r="B160" s="221" t="s">
        <v>249</v>
      </c>
      <c r="C160" s="168">
        <f>IF(RunType="OH",'graph data'!F16,'graph data'!F17)</f>
        <v>32</v>
      </c>
      <c r="D160" s="224">
        <f>(D159-D161)/2+D161</f>
        <v>18</v>
      </c>
      <c r="AB160" s="580">
        <f>HLOOKUP("*"&amp;'Output annual'!$AC$2&amp;'Output annual'!$AD$2&amp;"*Zone People Number Of Occupants [](Hourly)",'Eplus results'!$1:$1048576,ROW(),FALSE)</f>
        <v>0</v>
      </c>
      <c r="AC160" s="580">
        <f>HLOOKUP("*"&amp;'Output annual'!$AC$2&amp;'Output annual'!$AD$2&amp;"*FangerPMV(Hourly)",'Eplus results'!$1:$1048576,ROW(),FALSE)</f>
        <v>0</v>
      </c>
      <c r="AD160" s="580">
        <f t="shared" si="43"/>
        <v>5</v>
      </c>
      <c r="AE160" s="580">
        <f t="shared" si="44"/>
        <v>2.5</v>
      </c>
      <c r="AF160" s="580">
        <f t="shared" si="45"/>
        <v>2.5</v>
      </c>
      <c r="AG160" s="580">
        <f t="shared" si="46"/>
        <v>0</v>
      </c>
      <c r="AH160" s="580">
        <f t="shared" si="47"/>
        <v>0</v>
      </c>
    </row>
    <row r="161" spans="2:34">
      <c r="B161" s="225" t="s">
        <v>100</v>
      </c>
      <c r="C161" s="180">
        <f>C160</f>
        <v>32</v>
      </c>
      <c r="D161" s="226">
        <f>D162</f>
        <v>18</v>
      </c>
      <c r="AB161" s="580">
        <f>HLOOKUP("*"&amp;'Output annual'!$AC$2&amp;'Output annual'!$AD$2&amp;"*Zone People Number Of Occupants [](Hourly)",'Eplus results'!$1:$1048576,ROW(),FALSE)</f>
        <v>0</v>
      </c>
      <c r="AC161" s="580">
        <f>HLOOKUP("*"&amp;'Output annual'!$AC$2&amp;'Output annual'!$AD$2&amp;"*FangerPMV(Hourly)",'Eplus results'!$1:$1048576,ROW(),FALSE)</f>
        <v>0</v>
      </c>
      <c r="AD161" s="580">
        <f t="shared" si="43"/>
        <v>5</v>
      </c>
      <c r="AE161" s="580">
        <f t="shared" si="44"/>
        <v>2.5</v>
      </c>
      <c r="AF161" s="580">
        <f t="shared" si="45"/>
        <v>2.5</v>
      </c>
      <c r="AG161" s="580">
        <f t="shared" si="46"/>
        <v>0</v>
      </c>
      <c r="AH161" s="580">
        <f t="shared" si="47"/>
        <v>0</v>
      </c>
    </row>
    <row r="162" spans="2:34">
      <c r="B162" s="221" t="s">
        <v>250</v>
      </c>
      <c r="C162" s="223">
        <f>C163</f>
        <v>32</v>
      </c>
      <c r="D162" s="224">
        <f>CeilingHeight</f>
        <v>18</v>
      </c>
      <c r="AB162" s="580">
        <f>HLOOKUP("*"&amp;'Output annual'!$AC$2&amp;'Output annual'!$AD$2&amp;"*Zone People Number Of Occupants [](Hourly)",'Eplus results'!$1:$1048576,ROW(),FALSE)</f>
        <v>0</v>
      </c>
      <c r="AC162" s="580">
        <f>HLOOKUP("*"&amp;'Output annual'!$AC$2&amp;'Output annual'!$AD$2&amp;"*FangerPMV(Hourly)",'Eplus results'!$1:$1048576,ROW(),FALSE)</f>
        <v>0</v>
      </c>
      <c r="AD162" s="580">
        <f t="shared" si="43"/>
        <v>5</v>
      </c>
      <c r="AE162" s="580">
        <f t="shared" si="44"/>
        <v>2.5</v>
      </c>
      <c r="AF162" s="580">
        <f t="shared" si="45"/>
        <v>2.5</v>
      </c>
      <c r="AG162" s="580">
        <f t="shared" si="46"/>
        <v>0</v>
      </c>
      <c r="AH162" s="580">
        <f t="shared" si="47"/>
        <v>0</v>
      </c>
    </row>
    <row r="163" spans="2:34">
      <c r="B163" s="221" t="s">
        <v>251</v>
      </c>
      <c r="C163" s="223">
        <f>HLOOKUP(floor&amp;perim_zone&amp;" ATU OUTLET NODE:System Node Temp[C](Hourly)",'Eplus results'!1:1048576,'graph data'!D4,FALSE)*9/5+32</f>
        <v>32</v>
      </c>
      <c r="D163" s="222">
        <v>18</v>
      </c>
      <c r="AB163" s="580">
        <f>HLOOKUP("*"&amp;'Output annual'!$AC$2&amp;'Output annual'!$AD$2&amp;"*Zone People Number Of Occupants [](Hourly)",'Eplus results'!$1:$1048576,ROW(),FALSE)</f>
        <v>0</v>
      </c>
      <c r="AC163" s="580">
        <f>HLOOKUP("*"&amp;'Output annual'!$AC$2&amp;'Output annual'!$AD$2&amp;"*FangerPMV(Hourly)",'Eplus results'!$1:$1048576,ROW(),FALSE)</f>
        <v>0</v>
      </c>
      <c r="AD163" s="580">
        <f t="shared" si="43"/>
        <v>5</v>
      </c>
      <c r="AE163" s="580">
        <f t="shared" si="44"/>
        <v>2.5</v>
      </c>
      <c r="AF163" s="580">
        <f t="shared" si="45"/>
        <v>2.5</v>
      </c>
      <c r="AG163" s="580">
        <f t="shared" si="46"/>
        <v>0</v>
      </c>
      <c r="AH163" s="580">
        <f t="shared" si="47"/>
        <v>0</v>
      </c>
    </row>
    <row r="164" spans="2:34">
      <c r="B164" s="221" t="s">
        <v>252</v>
      </c>
      <c r="C164" s="168">
        <f>IF(Supply_Plenum="No_Decay",'Output hourly'!D22,'graph data'!F18)</f>
        <v>32</v>
      </c>
      <c r="D164" s="222">
        <v>12</v>
      </c>
      <c r="AB164" s="580">
        <f>HLOOKUP("*"&amp;'Output annual'!$AC$2&amp;'Output annual'!$AD$2&amp;"*Zone People Number Of Occupants [](Hourly)",'Eplus results'!$1:$1048576,ROW(),FALSE)</f>
        <v>0</v>
      </c>
      <c r="AC164" s="580">
        <f>HLOOKUP("*"&amp;'Output annual'!$AC$2&amp;'Output annual'!$AD$2&amp;"*FangerPMV(Hourly)",'Eplus results'!$1:$1048576,ROW(),FALSE)</f>
        <v>0</v>
      </c>
      <c r="AD164" s="580">
        <f t="shared" si="43"/>
        <v>5</v>
      </c>
      <c r="AE164" s="580">
        <f t="shared" si="44"/>
        <v>2.5</v>
      </c>
      <c r="AF164" s="580">
        <f t="shared" si="45"/>
        <v>2.5</v>
      </c>
      <c r="AG164" s="580">
        <f t="shared" si="46"/>
        <v>0</v>
      </c>
      <c r="AH164" s="580">
        <f t="shared" si="47"/>
        <v>0</v>
      </c>
    </row>
    <row r="165" spans="2:34">
      <c r="B165" s="221" t="s">
        <v>253</v>
      </c>
      <c r="C165" s="168">
        <f>IF(AND(RunType="UFAD_C", Supply_Plenum="Series"),'graph data'!F28, 'Output hourly'!D22)</f>
        <v>32</v>
      </c>
      <c r="D165" s="222">
        <v>10</v>
      </c>
      <c r="AB165" s="580">
        <f>HLOOKUP("*"&amp;'Output annual'!$AC$2&amp;'Output annual'!$AD$2&amp;"*Zone People Number Of Occupants [](Hourly)",'Eplus results'!$1:$1048576,ROW(),FALSE)</f>
        <v>0</v>
      </c>
      <c r="AC165" s="580">
        <f>HLOOKUP("*"&amp;'Output annual'!$AC$2&amp;'Output annual'!$AD$2&amp;"*FangerPMV(Hourly)",'Eplus results'!$1:$1048576,ROW(),FALSE)</f>
        <v>0</v>
      </c>
      <c r="AD165" s="580">
        <f t="shared" si="43"/>
        <v>5</v>
      </c>
      <c r="AE165" s="580">
        <f t="shared" si="44"/>
        <v>2.5</v>
      </c>
      <c r="AF165" s="580">
        <f t="shared" si="45"/>
        <v>2.5</v>
      </c>
      <c r="AG165" s="580">
        <f t="shared" si="46"/>
        <v>0</v>
      </c>
      <c r="AH165" s="580">
        <f t="shared" si="47"/>
        <v>0</v>
      </c>
    </row>
    <row r="166" spans="2:34">
      <c r="B166" s="51" t="s">
        <v>263</v>
      </c>
      <c r="C166" s="232">
        <v>50</v>
      </c>
      <c r="D166" s="233">
        <f>'graph data'!$F$20+18</f>
        <v>18</v>
      </c>
      <c r="AB166" s="580">
        <f>HLOOKUP("*"&amp;'Output annual'!$AC$2&amp;'Output annual'!$AD$2&amp;"*Zone People Number Of Occupants [](Hourly)",'Eplus results'!$1:$1048576,ROW(),FALSE)</f>
        <v>0</v>
      </c>
      <c r="AC166" s="580">
        <f>HLOOKUP("*"&amp;'Output annual'!$AC$2&amp;'Output annual'!$AD$2&amp;"*FangerPMV(Hourly)",'Eplus results'!$1:$1048576,ROW(),FALSE)</f>
        <v>0</v>
      </c>
      <c r="AD166" s="580">
        <f t="shared" si="43"/>
        <v>5</v>
      </c>
      <c r="AE166" s="580">
        <f t="shared" si="44"/>
        <v>2.5</v>
      </c>
      <c r="AF166" s="580">
        <f t="shared" si="45"/>
        <v>2.5</v>
      </c>
      <c r="AG166" s="580">
        <f t="shared" si="46"/>
        <v>0</v>
      </c>
      <c r="AH166" s="580">
        <f t="shared" si="47"/>
        <v>0</v>
      </c>
    </row>
    <row r="167" spans="2:34">
      <c r="B167" s="56"/>
      <c r="C167" s="230">
        <v>100</v>
      </c>
      <c r="D167" s="231">
        <f>'graph data'!$F$20+18</f>
        <v>18</v>
      </c>
      <c r="AB167" s="580">
        <f>HLOOKUP("*"&amp;'Output annual'!$AC$2&amp;'Output annual'!$AD$2&amp;"*Zone People Number Of Occupants [](Hourly)",'Eplus results'!$1:$1048576,ROW(),FALSE)</f>
        <v>0</v>
      </c>
      <c r="AC167" s="580">
        <f>HLOOKUP("*"&amp;'Output annual'!$AC$2&amp;'Output annual'!$AD$2&amp;"*FangerPMV(Hourly)",'Eplus results'!$1:$1048576,ROW(),FALSE)</f>
        <v>0</v>
      </c>
      <c r="AD167" s="580">
        <f t="shared" si="43"/>
        <v>5</v>
      </c>
      <c r="AE167" s="580">
        <f t="shared" si="44"/>
        <v>2.5</v>
      </c>
      <c r="AF167" s="580">
        <f t="shared" si="45"/>
        <v>2.5</v>
      </c>
      <c r="AG167" s="580">
        <f t="shared" si="46"/>
        <v>0</v>
      </c>
      <c r="AH167" s="580">
        <f t="shared" si="47"/>
        <v>0</v>
      </c>
    </row>
    <row r="168" spans="2:34">
      <c r="B168" s="234" t="s">
        <v>863</v>
      </c>
      <c r="C168" s="179" t="s">
        <v>259</v>
      </c>
      <c r="D168" s="222" t="s">
        <v>261</v>
      </c>
      <c r="AB168" s="580">
        <f>HLOOKUP("*"&amp;'Output annual'!$AC$2&amp;'Output annual'!$AD$2&amp;"*Zone People Number Of Occupants [](Hourly)",'Eplus results'!$1:$1048576,ROW(),FALSE)</f>
        <v>0</v>
      </c>
      <c r="AC168" s="580">
        <f>HLOOKUP("*"&amp;'Output annual'!$AC$2&amp;'Output annual'!$AD$2&amp;"*FangerPMV(Hourly)",'Eplus results'!$1:$1048576,ROW(),FALSE)</f>
        <v>0</v>
      </c>
      <c r="AD168" s="580">
        <f t="shared" si="43"/>
        <v>5</v>
      </c>
      <c r="AE168" s="580">
        <f t="shared" si="44"/>
        <v>2.5</v>
      </c>
      <c r="AF168" s="580">
        <f t="shared" si="45"/>
        <v>2.5</v>
      </c>
      <c r="AG168" s="580">
        <f t="shared" si="46"/>
        <v>0</v>
      </c>
      <c r="AH168" s="580">
        <f t="shared" si="47"/>
        <v>0</v>
      </c>
    </row>
    <row r="169" spans="2:34">
      <c r="B169" s="221"/>
      <c r="C169" s="179" t="s">
        <v>260</v>
      </c>
      <c r="D169" s="222" t="s">
        <v>262</v>
      </c>
      <c r="AB169" s="580">
        <f>HLOOKUP("*"&amp;'Output annual'!$AC$2&amp;'Output annual'!$AD$2&amp;"*Zone People Number Of Occupants [](Hourly)",'Eplus results'!$1:$1048576,ROW(),FALSE)</f>
        <v>0</v>
      </c>
      <c r="AC169" s="580">
        <f>HLOOKUP("*"&amp;'Output annual'!$AC$2&amp;'Output annual'!$AD$2&amp;"*FangerPMV(Hourly)",'Eplus results'!$1:$1048576,ROW(),FALSE)</f>
        <v>0</v>
      </c>
      <c r="AD169" s="580">
        <f t="shared" si="43"/>
        <v>5</v>
      </c>
      <c r="AE169" s="580">
        <f t="shared" si="44"/>
        <v>2.5</v>
      </c>
      <c r="AF169" s="580">
        <f t="shared" si="45"/>
        <v>2.5</v>
      </c>
      <c r="AG169" s="580">
        <f t="shared" si="46"/>
        <v>0</v>
      </c>
      <c r="AH169" s="580">
        <f t="shared" si="47"/>
        <v>0</v>
      </c>
    </row>
    <row r="170" spans="2:34">
      <c r="B170" s="221" t="s">
        <v>101</v>
      </c>
      <c r="C170" s="223">
        <f>C171</f>
        <v>32</v>
      </c>
      <c r="D170" s="222">
        <v>179</v>
      </c>
      <c r="AB170" s="580">
        <f>HLOOKUP("*"&amp;'Output annual'!$AC$2&amp;'Output annual'!$AD$2&amp;"*Zone People Number Of Occupants [](Hourly)",'Eplus results'!$1:$1048576,ROW(),FALSE)</f>
        <v>0</v>
      </c>
      <c r="AC170" s="580">
        <f>HLOOKUP("*"&amp;'Output annual'!$AC$2&amp;'Output annual'!$AD$2&amp;"*FangerPMV(Hourly)",'Eplus results'!$1:$1048576,ROW(),FALSE)</f>
        <v>0</v>
      </c>
      <c r="AD170" s="580">
        <f t="shared" si="43"/>
        <v>5</v>
      </c>
      <c r="AE170" s="580">
        <f t="shared" si="44"/>
        <v>2.5</v>
      </c>
      <c r="AF170" s="580">
        <f t="shared" si="45"/>
        <v>2.5</v>
      </c>
      <c r="AG170" s="580">
        <f t="shared" si="46"/>
        <v>0</v>
      </c>
      <c r="AH170" s="580">
        <f t="shared" si="47"/>
        <v>0</v>
      </c>
    </row>
    <row r="171" spans="2:34">
      <c r="B171" s="221" t="s">
        <v>102</v>
      </c>
      <c r="C171" s="168">
        <f>'graph data'!F24</f>
        <v>32</v>
      </c>
      <c r="D171" s="222">
        <v>138</v>
      </c>
      <c r="AB171" s="580">
        <f>HLOOKUP("*"&amp;'Output annual'!$AC$2&amp;'Output annual'!$AD$2&amp;"*Zone People Number Of Occupants [](Hourly)",'Eplus results'!$1:$1048576,ROW(),FALSE)</f>
        <v>0</v>
      </c>
      <c r="AC171" s="580">
        <f>HLOOKUP("*"&amp;'Output annual'!$AC$2&amp;'Output annual'!$AD$2&amp;"*FangerPMV(Hourly)",'Eplus results'!$1:$1048576,ROW(),FALSE)</f>
        <v>0</v>
      </c>
      <c r="AD171" s="580">
        <f t="shared" si="43"/>
        <v>5</v>
      </c>
      <c r="AE171" s="580">
        <f t="shared" si="44"/>
        <v>2.5</v>
      </c>
      <c r="AF171" s="580">
        <f t="shared" si="45"/>
        <v>2.5</v>
      </c>
      <c r="AG171" s="580">
        <f t="shared" si="46"/>
        <v>0</v>
      </c>
      <c r="AH171" s="580">
        <f t="shared" si="47"/>
        <v>0</v>
      </c>
    </row>
    <row r="172" spans="2:34">
      <c r="B172" s="221" t="s">
        <v>103</v>
      </c>
      <c r="C172" s="223">
        <f>C174</f>
        <v>32</v>
      </c>
      <c r="D172" s="222">
        <v>126</v>
      </c>
      <c r="AB172" s="580">
        <f>HLOOKUP("*"&amp;'Output annual'!$AC$2&amp;'Output annual'!$AD$2&amp;"*Zone People Number Of Occupants [](Hourly)",'Eplus results'!$1:$1048576,ROW(),FALSE)</f>
        <v>0</v>
      </c>
      <c r="AC172" s="580">
        <f>HLOOKUP("*"&amp;'Output annual'!$AC$2&amp;'Output annual'!$AD$2&amp;"*FangerPMV(Hourly)",'Eplus results'!$1:$1048576,ROW(),FALSE)</f>
        <v>0</v>
      </c>
      <c r="AD172" s="580">
        <f t="shared" si="43"/>
        <v>5</v>
      </c>
      <c r="AE172" s="580">
        <f t="shared" si="44"/>
        <v>2.5</v>
      </c>
      <c r="AF172" s="580">
        <f t="shared" si="45"/>
        <v>2.5</v>
      </c>
      <c r="AG172" s="580">
        <f t="shared" si="46"/>
        <v>0</v>
      </c>
      <c r="AH172" s="580">
        <f t="shared" si="47"/>
        <v>0</v>
      </c>
    </row>
    <row r="173" spans="2:34">
      <c r="B173" s="225" t="s">
        <v>100</v>
      </c>
      <c r="C173" s="180">
        <f>C174</f>
        <v>32</v>
      </c>
      <c r="D173" s="226">
        <v>126</v>
      </c>
      <c r="AB173" s="580">
        <f>HLOOKUP("*"&amp;'Output annual'!$AC$2&amp;'Output annual'!$AD$2&amp;"*Zone People Number Of Occupants [](Hourly)",'Eplus results'!$1:$1048576,ROW(),FALSE)</f>
        <v>0</v>
      </c>
      <c r="AC173" s="580">
        <f>HLOOKUP("*"&amp;'Output annual'!$AC$2&amp;'Output annual'!$AD$2&amp;"*FangerPMV(Hourly)",'Eplus results'!$1:$1048576,ROW(),FALSE)</f>
        <v>0</v>
      </c>
      <c r="AD173" s="580">
        <f t="shared" si="43"/>
        <v>5</v>
      </c>
      <c r="AE173" s="580">
        <f t="shared" si="44"/>
        <v>2.5</v>
      </c>
      <c r="AF173" s="580">
        <f t="shared" si="45"/>
        <v>2.5</v>
      </c>
      <c r="AG173" s="580">
        <f t="shared" si="46"/>
        <v>0</v>
      </c>
      <c r="AH173" s="580">
        <f t="shared" si="47"/>
        <v>0</v>
      </c>
    </row>
    <row r="174" spans="2:34">
      <c r="B174" s="221" t="s">
        <v>155</v>
      </c>
      <c r="C174" s="168">
        <f>IF(RunType="OH",'graph data'!F26,'graph data'!F25)</f>
        <v>32</v>
      </c>
      <c r="D174" s="224">
        <f>(D173-D175)/2+D175</f>
        <v>72</v>
      </c>
      <c r="AB174" s="580">
        <f>HLOOKUP("*"&amp;'Output annual'!$AC$2&amp;'Output annual'!$AD$2&amp;"*Zone People Number Of Occupants [](Hourly)",'Eplus results'!$1:$1048576,ROW(),FALSE)</f>
        <v>0</v>
      </c>
      <c r="AC174" s="580">
        <f>HLOOKUP("*"&amp;'Output annual'!$AC$2&amp;'Output annual'!$AD$2&amp;"*FangerPMV(Hourly)",'Eplus results'!$1:$1048576,ROW(),FALSE)</f>
        <v>0</v>
      </c>
      <c r="AD174" s="580">
        <f t="shared" si="43"/>
        <v>5</v>
      </c>
      <c r="AE174" s="580">
        <f t="shared" si="44"/>
        <v>2.5</v>
      </c>
      <c r="AF174" s="580">
        <f t="shared" si="45"/>
        <v>2.5</v>
      </c>
      <c r="AG174" s="580">
        <f t="shared" si="46"/>
        <v>0</v>
      </c>
      <c r="AH174" s="580">
        <f t="shared" si="47"/>
        <v>0</v>
      </c>
    </row>
    <row r="175" spans="2:34">
      <c r="B175" s="225" t="s">
        <v>100</v>
      </c>
      <c r="C175" s="180">
        <f>C174</f>
        <v>32</v>
      </c>
      <c r="D175" s="226">
        <f>D176</f>
        <v>18</v>
      </c>
      <c r="AB175" s="580">
        <f>HLOOKUP("*"&amp;'Output annual'!$AC$2&amp;'Output annual'!$AD$2&amp;"*Zone People Number Of Occupants [](Hourly)",'Eplus results'!$1:$1048576,ROW(),FALSE)</f>
        <v>0</v>
      </c>
      <c r="AC175" s="580">
        <f>HLOOKUP("*"&amp;'Output annual'!$AC$2&amp;'Output annual'!$AD$2&amp;"*FangerPMV(Hourly)",'Eplus results'!$1:$1048576,ROW(),FALSE)</f>
        <v>0</v>
      </c>
      <c r="AD175" s="580">
        <f t="shared" si="43"/>
        <v>5</v>
      </c>
      <c r="AE175" s="580">
        <f t="shared" si="44"/>
        <v>2.5</v>
      </c>
      <c r="AF175" s="580">
        <f t="shared" si="45"/>
        <v>2.5</v>
      </c>
      <c r="AG175" s="580">
        <f t="shared" si="46"/>
        <v>0</v>
      </c>
      <c r="AH175" s="580">
        <f t="shared" si="47"/>
        <v>0</v>
      </c>
    </row>
    <row r="176" spans="2:34">
      <c r="B176" s="225" t="s">
        <v>100</v>
      </c>
      <c r="C176" s="180">
        <f>C177</f>
        <v>32</v>
      </c>
      <c r="D176" s="227">
        <f>IF(RunType="OH",84.9,'graph data'!F30+18)</f>
        <v>18</v>
      </c>
      <c r="AB176" s="580">
        <f>HLOOKUP("*"&amp;'Output annual'!$AC$2&amp;'Output annual'!$AD$2&amp;"*Zone People Number Of Occupants [](Hourly)",'Eplus results'!$1:$1048576,ROW(),FALSE)</f>
        <v>0</v>
      </c>
      <c r="AC176" s="580">
        <f>HLOOKUP("*"&amp;'Output annual'!$AC$2&amp;'Output annual'!$AD$2&amp;"*FangerPMV(Hourly)",'Eplus results'!$1:$1048576,ROW(),FALSE)</f>
        <v>0</v>
      </c>
      <c r="AD176" s="580">
        <f t="shared" si="43"/>
        <v>5</v>
      </c>
      <c r="AE176" s="580">
        <f t="shared" si="44"/>
        <v>2.5</v>
      </c>
      <c r="AF176" s="580">
        <f t="shared" si="45"/>
        <v>2.5</v>
      </c>
      <c r="AG176" s="580">
        <f t="shared" si="46"/>
        <v>0</v>
      </c>
      <c r="AH176" s="580">
        <f t="shared" si="47"/>
        <v>0</v>
      </c>
    </row>
    <row r="177" spans="2:34">
      <c r="B177" s="221" t="s">
        <v>249</v>
      </c>
      <c r="C177" s="168">
        <f>IF(RunType="OH",'graph data'!F26,'graph data'!F27)</f>
        <v>32</v>
      </c>
      <c r="D177" s="224">
        <f>(D176-D178)/2+D178</f>
        <v>18</v>
      </c>
      <c r="AB177" s="580">
        <f>HLOOKUP("*"&amp;'Output annual'!$AC$2&amp;'Output annual'!$AD$2&amp;"*Zone People Number Of Occupants [](Hourly)",'Eplus results'!$1:$1048576,ROW(),FALSE)</f>
        <v>0</v>
      </c>
      <c r="AC177" s="580">
        <f>HLOOKUP("*"&amp;'Output annual'!$AC$2&amp;'Output annual'!$AD$2&amp;"*FangerPMV(Hourly)",'Eplus results'!$1:$1048576,ROW(),FALSE)</f>
        <v>0</v>
      </c>
      <c r="AD177" s="580">
        <f t="shared" si="43"/>
        <v>5</v>
      </c>
      <c r="AE177" s="580">
        <f t="shared" si="44"/>
        <v>2.5</v>
      </c>
      <c r="AF177" s="580">
        <f t="shared" si="45"/>
        <v>2.5</v>
      </c>
      <c r="AG177" s="580">
        <f t="shared" si="46"/>
        <v>0</v>
      </c>
      <c r="AH177" s="580">
        <f t="shared" si="47"/>
        <v>0</v>
      </c>
    </row>
    <row r="178" spans="2:34">
      <c r="B178" s="225" t="s">
        <v>100</v>
      </c>
      <c r="C178" s="180">
        <f>C177</f>
        <v>32</v>
      </c>
      <c r="D178" s="226">
        <f>D179</f>
        <v>18</v>
      </c>
      <c r="AB178" s="580">
        <f>HLOOKUP("*"&amp;'Output annual'!$AC$2&amp;'Output annual'!$AD$2&amp;"*Zone People Number Of Occupants [](Hourly)",'Eplus results'!$1:$1048576,ROW(),FALSE)</f>
        <v>0</v>
      </c>
      <c r="AC178" s="580">
        <f>HLOOKUP("*"&amp;'Output annual'!$AC$2&amp;'Output annual'!$AD$2&amp;"*FangerPMV(Hourly)",'Eplus results'!$1:$1048576,ROW(),FALSE)</f>
        <v>0</v>
      </c>
      <c r="AD178" s="580">
        <f t="shared" si="43"/>
        <v>5</v>
      </c>
      <c r="AE178" s="580">
        <f t="shared" si="44"/>
        <v>2.5</v>
      </c>
      <c r="AF178" s="580">
        <f t="shared" si="45"/>
        <v>2.5</v>
      </c>
      <c r="AG178" s="580">
        <f t="shared" si="46"/>
        <v>0</v>
      </c>
      <c r="AH178" s="580">
        <f t="shared" si="47"/>
        <v>0</v>
      </c>
    </row>
    <row r="179" spans="2:34">
      <c r="B179" s="221" t="s">
        <v>250</v>
      </c>
      <c r="C179" s="223">
        <f>C180</f>
        <v>32</v>
      </c>
      <c r="D179" s="224">
        <f>CeilingHeight</f>
        <v>18</v>
      </c>
      <c r="AB179" s="580">
        <f>HLOOKUP("*"&amp;'Output annual'!$AC$2&amp;'Output annual'!$AD$2&amp;"*Zone People Number Of Occupants [](Hourly)",'Eplus results'!$1:$1048576,ROW(),FALSE)</f>
        <v>0</v>
      </c>
      <c r="AC179" s="580">
        <f>HLOOKUP("*"&amp;'Output annual'!$AC$2&amp;'Output annual'!$AD$2&amp;"*FangerPMV(Hourly)",'Eplus results'!$1:$1048576,ROW(),FALSE)</f>
        <v>0</v>
      </c>
      <c r="AD179" s="580">
        <f t="shared" si="43"/>
        <v>5</v>
      </c>
      <c r="AE179" s="580">
        <f t="shared" si="44"/>
        <v>2.5</v>
      </c>
      <c r="AF179" s="580">
        <f t="shared" si="45"/>
        <v>2.5</v>
      </c>
      <c r="AG179" s="580">
        <f t="shared" si="46"/>
        <v>0</v>
      </c>
      <c r="AH179" s="580">
        <f t="shared" si="47"/>
        <v>0</v>
      </c>
    </row>
    <row r="180" spans="2:34">
      <c r="B180" s="221" t="s">
        <v>251</v>
      </c>
      <c r="C180" s="223">
        <f>HLOOKUP(floor&amp;Int_zone&amp;" ATU OUTLET NODE:System Node Temp[C](Hourly)",'Eplus results'!1:1048576,'graph data'!D4,FALSE)*9/5+32</f>
        <v>32</v>
      </c>
      <c r="D180" s="222">
        <v>18</v>
      </c>
      <c r="AB180" s="580">
        <f>HLOOKUP("*"&amp;'Output annual'!$AC$2&amp;'Output annual'!$AD$2&amp;"*Zone People Number Of Occupants [](Hourly)",'Eplus results'!$1:$1048576,ROW(),FALSE)</f>
        <v>0</v>
      </c>
      <c r="AC180" s="580">
        <f>HLOOKUP("*"&amp;'Output annual'!$AC$2&amp;'Output annual'!$AD$2&amp;"*FangerPMV(Hourly)",'Eplus results'!$1:$1048576,ROW(),FALSE)</f>
        <v>0</v>
      </c>
      <c r="AD180" s="580">
        <f t="shared" si="43"/>
        <v>5</v>
      </c>
      <c r="AE180" s="580">
        <f t="shared" si="44"/>
        <v>2.5</v>
      </c>
      <c r="AF180" s="580">
        <f t="shared" si="45"/>
        <v>2.5</v>
      </c>
      <c r="AG180" s="580">
        <f t="shared" si="46"/>
        <v>0</v>
      </c>
      <c r="AH180" s="580">
        <f t="shared" si="47"/>
        <v>0</v>
      </c>
    </row>
    <row r="181" spans="2:34">
      <c r="B181" s="221" t="s">
        <v>252</v>
      </c>
      <c r="C181" s="168">
        <f>IF(Supply_Plenum="No_Decay",'Output hourly'!D22,'graph data'!F28)</f>
        <v>32</v>
      </c>
      <c r="D181" s="222">
        <v>12</v>
      </c>
      <c r="AB181" s="580">
        <f>HLOOKUP("*"&amp;'Output annual'!$AC$2&amp;'Output annual'!$AD$2&amp;"*Zone People Number Of Occupants [](Hourly)",'Eplus results'!$1:$1048576,ROW(),FALSE)</f>
        <v>0</v>
      </c>
      <c r="AC181" s="580">
        <f>HLOOKUP("*"&amp;'Output annual'!$AC$2&amp;'Output annual'!$AD$2&amp;"*FangerPMV(Hourly)",'Eplus results'!$1:$1048576,ROW(),FALSE)</f>
        <v>0</v>
      </c>
      <c r="AD181" s="580">
        <f t="shared" si="43"/>
        <v>5</v>
      </c>
      <c r="AE181" s="580">
        <f t="shared" si="44"/>
        <v>2.5</v>
      </c>
      <c r="AF181" s="580">
        <f t="shared" si="45"/>
        <v>2.5</v>
      </c>
      <c r="AG181" s="580">
        <f t="shared" si="46"/>
        <v>0</v>
      </c>
      <c r="AH181" s="580">
        <f t="shared" si="47"/>
        <v>0</v>
      </c>
    </row>
    <row r="182" spans="2:34">
      <c r="B182" s="221" t="s">
        <v>253</v>
      </c>
      <c r="C182" s="168">
        <f>'graph data'!B149</f>
        <v>32</v>
      </c>
      <c r="D182" s="222">
        <v>10</v>
      </c>
      <c r="AB182" s="580">
        <f>HLOOKUP("*"&amp;'Output annual'!$AC$2&amp;'Output annual'!$AD$2&amp;"*Zone People Number Of Occupants [](Hourly)",'Eplus results'!$1:$1048576,ROW(),FALSE)</f>
        <v>0</v>
      </c>
      <c r="AC182" s="580">
        <f>HLOOKUP("*"&amp;'Output annual'!$AC$2&amp;'Output annual'!$AD$2&amp;"*FangerPMV(Hourly)",'Eplus results'!$1:$1048576,ROW(),FALSE)</f>
        <v>0</v>
      </c>
      <c r="AD182" s="580">
        <f t="shared" si="43"/>
        <v>5</v>
      </c>
      <c r="AE182" s="580">
        <f t="shared" si="44"/>
        <v>2.5</v>
      </c>
      <c r="AF182" s="580">
        <f t="shared" si="45"/>
        <v>2.5</v>
      </c>
      <c r="AG182" s="580">
        <f t="shared" si="46"/>
        <v>0</v>
      </c>
      <c r="AH182" s="580">
        <f t="shared" si="47"/>
        <v>0</v>
      </c>
    </row>
    <row r="183" spans="2:34">
      <c r="B183" s="51" t="s">
        <v>263</v>
      </c>
      <c r="C183" s="232">
        <v>50</v>
      </c>
      <c r="D183" s="233">
        <f>'graph data'!$F$30+18</f>
        <v>18</v>
      </c>
      <c r="AB183" s="580">
        <f>HLOOKUP("*"&amp;'Output annual'!$AC$2&amp;'Output annual'!$AD$2&amp;"*Zone People Number Of Occupants [](Hourly)",'Eplus results'!$1:$1048576,ROW(),FALSE)</f>
        <v>0</v>
      </c>
      <c r="AC183" s="580">
        <f>HLOOKUP("*"&amp;'Output annual'!$AC$2&amp;'Output annual'!$AD$2&amp;"*FangerPMV(Hourly)",'Eplus results'!$1:$1048576,ROW(),FALSE)</f>
        <v>0</v>
      </c>
      <c r="AD183" s="580">
        <f t="shared" si="43"/>
        <v>5</v>
      </c>
      <c r="AE183" s="580">
        <f t="shared" si="44"/>
        <v>2.5</v>
      </c>
      <c r="AF183" s="580">
        <f t="shared" si="45"/>
        <v>2.5</v>
      </c>
      <c r="AG183" s="580">
        <f t="shared" si="46"/>
        <v>0</v>
      </c>
      <c r="AH183" s="580">
        <f t="shared" si="47"/>
        <v>0</v>
      </c>
    </row>
    <row r="184" spans="2:34">
      <c r="B184" s="56"/>
      <c r="C184" s="230">
        <v>100</v>
      </c>
      <c r="D184" s="231">
        <f>'graph data'!$F$30+18</f>
        <v>18</v>
      </c>
      <c r="AB184" s="580">
        <f>HLOOKUP("*"&amp;'Output annual'!$AC$2&amp;'Output annual'!$AD$2&amp;"*Zone People Number Of Occupants [](Hourly)",'Eplus results'!$1:$1048576,ROW(),FALSE)</f>
        <v>0</v>
      </c>
      <c r="AC184" s="580">
        <f>HLOOKUP("*"&amp;'Output annual'!$AC$2&amp;'Output annual'!$AD$2&amp;"*FangerPMV(Hourly)",'Eplus results'!$1:$1048576,ROW(),FALSE)</f>
        <v>0</v>
      </c>
      <c r="AD184" s="580">
        <f t="shared" si="43"/>
        <v>5</v>
      </c>
      <c r="AE184" s="580">
        <f t="shared" si="44"/>
        <v>2.5</v>
      </c>
      <c r="AF184" s="580">
        <f t="shared" si="45"/>
        <v>2.5</v>
      </c>
      <c r="AG184" s="580">
        <f t="shared" si="46"/>
        <v>0</v>
      </c>
      <c r="AH184" s="580">
        <f t="shared" si="47"/>
        <v>0</v>
      </c>
    </row>
    <row r="185" spans="2:34">
      <c r="AB185" s="580">
        <f>HLOOKUP("*"&amp;'Output annual'!$AC$2&amp;'Output annual'!$AD$2&amp;"*Zone People Number Of Occupants [](Hourly)",'Eplus results'!$1:$1048576,ROW(),FALSE)</f>
        <v>0</v>
      </c>
      <c r="AC185" s="580">
        <f>HLOOKUP("*"&amp;'Output annual'!$AC$2&amp;'Output annual'!$AD$2&amp;"*FangerPMV(Hourly)",'Eplus results'!$1:$1048576,ROW(),FALSE)</f>
        <v>0</v>
      </c>
      <c r="AD185" s="580">
        <f t="shared" si="43"/>
        <v>5</v>
      </c>
      <c r="AE185" s="580">
        <f t="shared" si="44"/>
        <v>2.5</v>
      </c>
      <c r="AF185" s="580">
        <f t="shared" si="45"/>
        <v>2.5</v>
      </c>
      <c r="AG185" s="580">
        <f t="shared" si="46"/>
        <v>0</v>
      </c>
      <c r="AH185" s="580">
        <f t="shared" si="47"/>
        <v>0</v>
      </c>
    </row>
    <row r="186" spans="2:34">
      <c r="AB186" s="580">
        <f>HLOOKUP("*"&amp;'Output annual'!$AC$2&amp;'Output annual'!$AD$2&amp;"*Zone People Number Of Occupants [](Hourly)",'Eplus results'!$1:$1048576,ROW(),FALSE)</f>
        <v>0</v>
      </c>
      <c r="AC186" s="580">
        <f>HLOOKUP("*"&amp;'Output annual'!$AC$2&amp;'Output annual'!$AD$2&amp;"*FangerPMV(Hourly)",'Eplus results'!$1:$1048576,ROW(),FALSE)</f>
        <v>0</v>
      </c>
      <c r="AD186" s="580">
        <f t="shared" si="43"/>
        <v>5</v>
      </c>
      <c r="AE186" s="580">
        <f t="shared" si="44"/>
        <v>2.5</v>
      </c>
      <c r="AF186" s="580">
        <f t="shared" si="45"/>
        <v>2.5</v>
      </c>
      <c r="AG186" s="580">
        <f t="shared" si="46"/>
        <v>0</v>
      </c>
      <c r="AH186" s="580">
        <f t="shared" si="47"/>
        <v>0</v>
      </c>
    </row>
    <row r="187" spans="2:34">
      <c r="AB187" s="580">
        <f>HLOOKUP("*"&amp;'Output annual'!$AC$2&amp;'Output annual'!$AD$2&amp;"*Zone People Number Of Occupants [](Hourly)",'Eplus results'!$1:$1048576,ROW(),FALSE)</f>
        <v>0</v>
      </c>
      <c r="AC187" s="580">
        <f>HLOOKUP("*"&amp;'Output annual'!$AC$2&amp;'Output annual'!$AD$2&amp;"*FangerPMV(Hourly)",'Eplus results'!$1:$1048576,ROW(),FALSE)</f>
        <v>0</v>
      </c>
      <c r="AD187" s="580">
        <f t="shared" si="43"/>
        <v>5</v>
      </c>
      <c r="AE187" s="580">
        <f t="shared" si="44"/>
        <v>2.5</v>
      </c>
      <c r="AF187" s="580">
        <f t="shared" si="45"/>
        <v>2.5</v>
      </c>
      <c r="AG187" s="580">
        <f t="shared" si="46"/>
        <v>0</v>
      </c>
      <c r="AH187" s="580">
        <f t="shared" si="47"/>
        <v>0</v>
      </c>
    </row>
    <row r="188" spans="2:34">
      <c r="AB188" s="580">
        <f>HLOOKUP("*"&amp;'Output annual'!$AC$2&amp;'Output annual'!$AD$2&amp;"*Zone People Number Of Occupants [](Hourly)",'Eplus results'!$1:$1048576,ROW(),FALSE)</f>
        <v>0</v>
      </c>
      <c r="AC188" s="580">
        <f>HLOOKUP("*"&amp;'Output annual'!$AC$2&amp;'Output annual'!$AD$2&amp;"*FangerPMV(Hourly)",'Eplus results'!$1:$1048576,ROW(),FALSE)</f>
        <v>0</v>
      </c>
      <c r="AD188" s="580">
        <f t="shared" si="43"/>
        <v>5</v>
      </c>
      <c r="AE188" s="580">
        <f t="shared" si="44"/>
        <v>2.5</v>
      </c>
      <c r="AF188" s="580">
        <f t="shared" si="45"/>
        <v>2.5</v>
      </c>
      <c r="AG188" s="580">
        <f t="shared" si="46"/>
        <v>0</v>
      </c>
      <c r="AH188" s="580">
        <f t="shared" si="47"/>
        <v>0</v>
      </c>
    </row>
    <row r="189" spans="2:34">
      <c r="B189" s="235"/>
      <c r="C189" s="235"/>
      <c r="D189" s="235"/>
      <c r="E189" s="235"/>
      <c r="F189" s="235"/>
      <c r="G189" s="235"/>
      <c r="H189" s="235"/>
      <c r="I189" s="235"/>
      <c r="J189" s="235"/>
      <c r="K189" s="235"/>
      <c r="L189" s="235"/>
      <c r="M189" s="235"/>
      <c r="N189" s="235"/>
      <c r="O189" s="235"/>
      <c r="P189" s="235"/>
      <c r="Q189" s="235"/>
      <c r="R189" s="235"/>
      <c r="AB189" s="580">
        <f>HLOOKUP("*"&amp;'Output annual'!$AC$2&amp;'Output annual'!$AD$2&amp;"*Zone People Number Of Occupants [](Hourly)",'Eplus results'!$1:$1048576,ROW(),FALSE)</f>
        <v>0</v>
      </c>
      <c r="AC189" s="580">
        <f>HLOOKUP("*"&amp;'Output annual'!$AC$2&amp;'Output annual'!$AD$2&amp;"*FangerPMV(Hourly)",'Eplus results'!$1:$1048576,ROW(),FALSE)</f>
        <v>0</v>
      </c>
      <c r="AD189" s="580">
        <f t="shared" si="43"/>
        <v>5</v>
      </c>
      <c r="AE189" s="580">
        <f t="shared" si="44"/>
        <v>2.5</v>
      </c>
      <c r="AF189" s="580">
        <f t="shared" si="45"/>
        <v>2.5</v>
      </c>
      <c r="AG189" s="580">
        <f t="shared" si="46"/>
        <v>0</v>
      </c>
      <c r="AH189" s="580">
        <f t="shared" si="47"/>
        <v>0</v>
      </c>
    </row>
    <row r="190" spans="2:34">
      <c r="B190" s="235"/>
      <c r="C190" s="236"/>
      <c r="D190" s="237"/>
      <c r="E190" s="237"/>
      <c r="F190" s="237"/>
      <c r="G190" s="238" t="s">
        <v>484</v>
      </c>
      <c r="H190" s="239" t="e">
        <f>HLOOKUP("TFRPCore_CEILING1:Surface Outside Temperature[C](Hourly)",'Eplus results'!1:65536,'graph data'!D4,FALSE)</f>
        <v>#N/A</v>
      </c>
      <c r="I190" s="237"/>
      <c r="J190" s="237"/>
      <c r="K190" s="237"/>
      <c r="L190" s="238"/>
      <c r="M190" s="240"/>
      <c r="N190" s="235"/>
      <c r="O190" s="235"/>
      <c r="P190" s="235"/>
      <c r="Q190" s="235"/>
      <c r="R190" s="235"/>
      <c r="AB190" s="580">
        <f>HLOOKUP("*"&amp;'Output annual'!$AC$2&amp;'Output annual'!$AD$2&amp;"*Zone People Number Of Occupants [](Hourly)",'Eplus results'!$1:$1048576,ROW(),FALSE)</f>
        <v>0</v>
      </c>
      <c r="AC190" s="580">
        <f>HLOOKUP("*"&amp;'Output annual'!$AC$2&amp;'Output annual'!$AD$2&amp;"*FangerPMV(Hourly)",'Eplus results'!$1:$1048576,ROW(),FALSE)</f>
        <v>0</v>
      </c>
      <c r="AD190" s="580">
        <f t="shared" si="43"/>
        <v>5</v>
      </c>
      <c r="AE190" s="580">
        <f t="shared" si="44"/>
        <v>2.5</v>
      </c>
      <c r="AF190" s="580">
        <f t="shared" si="45"/>
        <v>2.5</v>
      </c>
      <c r="AG190" s="580">
        <f t="shared" si="46"/>
        <v>0</v>
      </c>
      <c r="AH190" s="580">
        <f t="shared" si="47"/>
        <v>0</v>
      </c>
    </row>
    <row r="191" spans="2:34">
      <c r="B191" s="235"/>
      <c r="C191" s="235" t="s">
        <v>515</v>
      </c>
      <c r="D191" s="241"/>
      <c r="E191" s="241"/>
      <c r="F191" s="241"/>
      <c r="G191" s="241"/>
      <c r="H191" s="242"/>
      <c r="I191" s="241"/>
      <c r="J191" s="241"/>
      <c r="K191" s="241"/>
      <c r="L191" s="243"/>
      <c r="M191" s="244"/>
      <c r="N191" s="235"/>
      <c r="O191" s="235"/>
      <c r="P191" s="235"/>
      <c r="Q191" s="235"/>
      <c r="R191" s="235"/>
      <c r="AB191" s="580">
        <f>HLOOKUP("*"&amp;'Output annual'!$AC$2&amp;'Output annual'!$AD$2&amp;"*Zone People Number Of Occupants [](Hourly)",'Eplus results'!$1:$1048576,ROW(),FALSE)</f>
        <v>0</v>
      </c>
      <c r="AC191" s="580">
        <f>HLOOKUP("*"&amp;'Output annual'!$AC$2&amp;'Output annual'!$AD$2&amp;"*FangerPMV(Hourly)",'Eplus results'!$1:$1048576,ROW(),FALSE)</f>
        <v>0</v>
      </c>
      <c r="AD191" s="580">
        <f t="shared" si="43"/>
        <v>5</v>
      </c>
      <c r="AE191" s="580">
        <f t="shared" si="44"/>
        <v>2.5</v>
      </c>
      <c r="AF191" s="580">
        <f t="shared" si="45"/>
        <v>2.5</v>
      </c>
      <c r="AG191" s="580">
        <f t="shared" si="46"/>
        <v>0</v>
      </c>
      <c r="AH191" s="580">
        <f t="shared" si="47"/>
        <v>0</v>
      </c>
    </row>
    <row r="192" spans="2:34" ht="13.5" thickBot="1">
      <c r="B192" s="235"/>
      <c r="C192" s="245"/>
      <c r="D192" s="246"/>
      <c r="E192" s="241"/>
      <c r="F192" s="241"/>
      <c r="G192" s="247" t="s">
        <v>484</v>
      </c>
      <c r="H192" s="242" t="e">
        <f>HLOOKUP("TFRPCore_CEILING1:Surface Inside Temperature[C](Hourly)",'Eplus results'!1:65536,'graph data'!D4,FALSE)</f>
        <v>#N/A</v>
      </c>
      <c r="I192" s="241"/>
      <c r="J192" s="241"/>
      <c r="K192" s="241" t="s">
        <v>529</v>
      </c>
      <c r="L192" s="248" t="e">
        <f>HLOOKUP("TFRPCore_CEILING1:Opaque Surface Inside Face Conduction[W](Hourly)",'Eplus results'!1:65536,'graph data'!D4,FALSE)*2</f>
        <v>#N/A</v>
      </c>
      <c r="M192" s="249"/>
      <c r="N192" s="235"/>
      <c r="O192" s="235"/>
      <c r="P192" s="235"/>
      <c r="Q192" s="235"/>
      <c r="R192" s="235"/>
      <c r="AB192" s="580">
        <f>HLOOKUP("*"&amp;'Output annual'!$AC$2&amp;'Output annual'!$AD$2&amp;"*Zone People Number Of Occupants [](Hourly)",'Eplus results'!$1:$1048576,ROW(),FALSE)</f>
        <v>0</v>
      </c>
      <c r="AC192" s="580">
        <f>HLOOKUP("*"&amp;'Output annual'!$AC$2&amp;'Output annual'!$AD$2&amp;"*FangerPMV(Hourly)",'Eplus results'!$1:$1048576,ROW(),FALSE)</f>
        <v>0</v>
      </c>
      <c r="AD192" s="580">
        <f t="shared" si="43"/>
        <v>5</v>
      </c>
      <c r="AE192" s="580">
        <f t="shared" si="44"/>
        <v>2.5</v>
      </c>
      <c r="AF192" s="580">
        <f t="shared" si="45"/>
        <v>2.5</v>
      </c>
      <c r="AG192" s="580">
        <f t="shared" si="46"/>
        <v>0</v>
      </c>
      <c r="AH192" s="580">
        <f t="shared" si="47"/>
        <v>0</v>
      </c>
    </row>
    <row r="193" spans="2:34">
      <c r="B193" s="235"/>
      <c r="C193" s="691" t="s">
        <v>523</v>
      </c>
      <c r="D193" s="235"/>
      <c r="E193" s="250"/>
      <c r="F193" s="251"/>
      <c r="G193" s="251"/>
      <c r="H193" s="252"/>
      <c r="I193" s="251"/>
      <c r="J193" s="251"/>
      <c r="K193" s="253" t="s">
        <v>486</v>
      </c>
      <c r="L193" s="254" t="e">
        <f>HLOOKUP("TFRPCore_Ceiling1:Surface Int Convection Heat Rate [W](Hourly)",'Eplus results'!1:65536,'graph data'!D4,FALSE)*2</f>
        <v>#N/A</v>
      </c>
      <c r="M193" s="255"/>
      <c r="N193" s="235"/>
      <c r="O193" s="235"/>
      <c r="P193" s="256" t="s">
        <v>457</v>
      </c>
      <c r="Q193" s="235"/>
      <c r="R193" s="235"/>
      <c r="AB193" s="580">
        <f>HLOOKUP("*"&amp;'Output annual'!$AC$2&amp;'Output annual'!$AD$2&amp;"*Zone People Number Of Occupants [](Hourly)",'Eplus results'!$1:$1048576,ROW(),FALSE)</f>
        <v>0</v>
      </c>
      <c r="AC193" s="580">
        <f>HLOOKUP("*"&amp;'Output annual'!$AC$2&amp;'Output annual'!$AD$2&amp;"*FangerPMV(Hourly)",'Eplus results'!$1:$1048576,ROW(),FALSE)</f>
        <v>0</v>
      </c>
      <c r="AD193" s="580">
        <f t="shared" si="43"/>
        <v>5</v>
      </c>
      <c r="AE193" s="580">
        <f t="shared" si="44"/>
        <v>2.5</v>
      </c>
      <c r="AF193" s="580">
        <f t="shared" si="45"/>
        <v>2.5</v>
      </c>
      <c r="AG193" s="580">
        <f t="shared" si="46"/>
        <v>0</v>
      </c>
      <c r="AH193" s="580">
        <f t="shared" si="47"/>
        <v>0</v>
      </c>
    </row>
    <row r="194" spans="2:34">
      <c r="B194" s="235"/>
      <c r="C194" s="692"/>
      <c r="D194" s="257"/>
      <c r="E194" s="258" t="s">
        <v>511</v>
      </c>
      <c r="F194" s="241"/>
      <c r="G194" s="247" t="s">
        <v>485</v>
      </c>
      <c r="H194" s="242" t="e">
        <f>HLOOKUP("TFRPCore:Zone/Sys Air Temperature[C](Hourly)",'Eplus results'!$1:$1048576,'graph data'!D4, FALSE)</f>
        <v>#N/A</v>
      </c>
      <c r="I194" s="241"/>
      <c r="J194" s="241"/>
      <c r="K194" s="259"/>
      <c r="L194" s="254"/>
      <c r="M194" s="255" t="s">
        <v>517</v>
      </c>
      <c r="N194" s="255" t="e">
        <f>HLOOKUP("TFRPCore:Zone/Sys Sensible Cooling Rate[W](Hourly)",'Eplus results'!1:65536,'graph data'!D4,FALSE)</f>
        <v>#N/A</v>
      </c>
      <c r="O194" s="260" t="s">
        <v>158</v>
      </c>
      <c r="P194" s="256" t="e">
        <f>N194/(L193+L195)</f>
        <v>#N/A</v>
      </c>
      <c r="Q194" s="235"/>
      <c r="R194" s="235"/>
      <c r="AB194" s="580">
        <f>HLOOKUP("*"&amp;'Output annual'!$AC$2&amp;'Output annual'!$AD$2&amp;"*Zone People Number Of Occupants [](Hourly)",'Eplus results'!$1:$1048576,ROW(),FALSE)</f>
        <v>0</v>
      </c>
      <c r="AC194" s="580">
        <f>HLOOKUP("*"&amp;'Output annual'!$AC$2&amp;'Output annual'!$AD$2&amp;"*FangerPMV(Hourly)",'Eplus results'!$1:$1048576,ROW(),FALSE)</f>
        <v>0</v>
      </c>
      <c r="AD194" s="580">
        <f t="shared" si="43"/>
        <v>5</v>
      </c>
      <c r="AE194" s="580">
        <f t="shared" si="44"/>
        <v>2.5</v>
      </c>
      <c r="AF194" s="580">
        <f t="shared" si="45"/>
        <v>2.5</v>
      </c>
      <c r="AG194" s="580">
        <f t="shared" si="46"/>
        <v>0</v>
      </c>
      <c r="AH194" s="580">
        <f t="shared" si="47"/>
        <v>0</v>
      </c>
    </row>
    <row r="195" spans="2:34">
      <c r="B195" s="235"/>
      <c r="C195" s="692"/>
      <c r="D195" s="257"/>
      <c r="E195" s="258"/>
      <c r="F195" s="241"/>
      <c r="G195" s="241"/>
      <c r="H195" s="242"/>
      <c r="I195" s="241"/>
      <c r="J195" s="241"/>
      <c r="K195" s="259" t="s">
        <v>486</v>
      </c>
      <c r="L195" s="254" t="e">
        <f>HLOOKUP("TFRPCore_Floor1:Surface Int Convection Heat Rate [W](Hourly)",'Eplus results'!1:65536,'graph data'!D4,FALSE)*2</f>
        <v>#N/A</v>
      </c>
      <c r="M195" s="255"/>
      <c r="N195" s="255"/>
      <c r="O195" s="260"/>
      <c r="P195" s="256"/>
      <c r="Q195" s="235"/>
      <c r="R195" s="235"/>
      <c r="AB195" s="580">
        <f>HLOOKUP("*"&amp;'Output annual'!$AC$2&amp;'Output annual'!$AD$2&amp;"*Zone People Number Of Occupants [](Hourly)",'Eplus results'!$1:$1048576,ROW(),FALSE)</f>
        <v>0</v>
      </c>
      <c r="AC195" s="580">
        <f>HLOOKUP("*"&amp;'Output annual'!$AC$2&amp;'Output annual'!$AD$2&amp;"*FangerPMV(Hourly)",'Eplus results'!$1:$1048576,ROW(),FALSE)</f>
        <v>0</v>
      </c>
      <c r="AD195" s="580">
        <f t="shared" ref="AD195:AD258" si="48">100-95*EXP(-0.03353*AC195^4-0.2179*AC195^2)</f>
        <v>5</v>
      </c>
      <c r="AE195" s="580">
        <f t="shared" ref="AE195:AE258" si="49">AD195*(1/(1+EXP(-6.3*$AC195)))</f>
        <v>2.5</v>
      </c>
      <c r="AF195" s="580">
        <f t="shared" ref="AF195:AF258" si="50">(AD195-AE195)</f>
        <v>2.5</v>
      </c>
      <c r="AG195" s="580">
        <f t="shared" ref="AG195:AG258" si="51">AE195*AB195</f>
        <v>0</v>
      </c>
      <c r="AH195" s="580">
        <f t="shared" ref="AH195:AH258" si="52">AF195*AB195</f>
        <v>0</v>
      </c>
    </row>
    <row r="196" spans="2:34">
      <c r="B196" s="235"/>
      <c r="C196" s="692"/>
      <c r="D196" s="689" t="s">
        <v>520</v>
      </c>
      <c r="E196" s="258"/>
      <c r="F196" s="241"/>
      <c r="G196" s="247" t="s">
        <v>484</v>
      </c>
      <c r="H196" s="242" t="e">
        <f>HLOOKUP("TFRPCore_FLOOR1:Surface Inside Temperature[C](Hourly)",'Eplus results'!1:65536,'graph data'!D4,FALSE)</f>
        <v>#N/A</v>
      </c>
      <c r="I196" s="241"/>
      <c r="J196" s="241"/>
      <c r="K196" s="259"/>
      <c r="L196" s="254"/>
      <c r="M196" s="255"/>
      <c r="N196" s="255"/>
      <c r="O196" s="260"/>
      <c r="P196" s="256"/>
      <c r="Q196" s="235"/>
      <c r="R196" s="235"/>
      <c r="AB196" s="580">
        <f>HLOOKUP("*"&amp;'Output annual'!$AC$2&amp;'Output annual'!$AD$2&amp;"*Zone People Number Of Occupants [](Hourly)",'Eplus results'!$1:$1048576,ROW(),FALSE)</f>
        <v>0</v>
      </c>
      <c r="AC196" s="580">
        <f>HLOOKUP("*"&amp;'Output annual'!$AC$2&amp;'Output annual'!$AD$2&amp;"*FangerPMV(Hourly)",'Eplus results'!$1:$1048576,ROW(),FALSE)</f>
        <v>0</v>
      </c>
      <c r="AD196" s="580">
        <f t="shared" si="48"/>
        <v>5</v>
      </c>
      <c r="AE196" s="580">
        <f t="shared" si="49"/>
        <v>2.5</v>
      </c>
      <c r="AF196" s="580">
        <f t="shared" si="50"/>
        <v>2.5</v>
      </c>
      <c r="AG196" s="580">
        <f t="shared" si="51"/>
        <v>0</v>
      </c>
      <c r="AH196" s="580">
        <f t="shared" si="52"/>
        <v>0</v>
      </c>
    </row>
    <row r="197" spans="2:34">
      <c r="B197" s="235"/>
      <c r="C197" s="692"/>
      <c r="D197" s="689"/>
      <c r="E197" s="258"/>
      <c r="F197" s="241"/>
      <c r="G197" s="247" t="s">
        <v>484</v>
      </c>
      <c r="H197" s="242" t="e">
        <f>HLOOKUP("TFRPCore_FLOOR1:Surface Outside Temperature[C](Hourly)",'Eplus results'!1:65536,'graph data'!D4,FALSE)</f>
        <v>#N/A</v>
      </c>
      <c r="I197" s="241"/>
      <c r="J197" s="241"/>
      <c r="K197" s="259"/>
      <c r="L197" s="254"/>
      <c r="M197" s="255"/>
      <c r="N197" s="255"/>
      <c r="O197" s="260"/>
      <c r="P197" s="256"/>
      <c r="Q197" s="235"/>
      <c r="R197" s="235"/>
      <c r="AB197" s="580">
        <f>HLOOKUP("*"&amp;'Output annual'!$AC$2&amp;'Output annual'!$AD$2&amp;"*Zone People Number Of Occupants [](Hourly)",'Eplus results'!$1:$1048576,ROW(),FALSE)</f>
        <v>0</v>
      </c>
      <c r="AC197" s="580">
        <f>HLOOKUP("*"&amp;'Output annual'!$AC$2&amp;'Output annual'!$AD$2&amp;"*FangerPMV(Hourly)",'Eplus results'!$1:$1048576,ROW(),FALSE)</f>
        <v>0</v>
      </c>
      <c r="AD197" s="580">
        <f t="shared" si="48"/>
        <v>5</v>
      </c>
      <c r="AE197" s="580">
        <f t="shared" si="49"/>
        <v>2.5</v>
      </c>
      <c r="AF197" s="580">
        <f t="shared" si="50"/>
        <v>2.5</v>
      </c>
      <c r="AG197" s="580">
        <f t="shared" si="51"/>
        <v>0</v>
      </c>
      <c r="AH197" s="580">
        <f t="shared" si="52"/>
        <v>0</v>
      </c>
    </row>
    <row r="198" spans="2:34">
      <c r="B198" s="235"/>
      <c r="C198" s="692"/>
      <c r="D198" s="690" t="s">
        <v>521</v>
      </c>
      <c r="E198" s="258"/>
      <c r="F198" s="241"/>
      <c r="G198" s="241"/>
      <c r="H198" s="242"/>
      <c r="I198" s="241"/>
      <c r="J198" s="241"/>
      <c r="K198" s="259" t="s">
        <v>486</v>
      </c>
      <c r="L198" s="254" t="e">
        <f>HLOOKUP("TFCore_Ceiling1:Surface Int Convection Heat Rate [W](Hourly)",'Eplus results'!1:65536,'graph data'!D4,FALSE)*2</f>
        <v>#N/A</v>
      </c>
      <c r="M198" s="255"/>
      <c r="N198" s="255"/>
      <c r="O198" s="260"/>
      <c r="P198" s="256"/>
      <c r="Q198" s="235"/>
      <c r="R198" s="235"/>
      <c r="AB198" s="580">
        <f>HLOOKUP("*"&amp;'Output annual'!$AC$2&amp;'Output annual'!$AD$2&amp;"*Zone People Number Of Occupants [](Hourly)",'Eplus results'!$1:$1048576,ROW(),FALSE)</f>
        <v>0</v>
      </c>
      <c r="AC198" s="580">
        <f>HLOOKUP("*"&amp;'Output annual'!$AC$2&amp;'Output annual'!$AD$2&amp;"*FangerPMV(Hourly)",'Eplus results'!$1:$1048576,ROW(),FALSE)</f>
        <v>0</v>
      </c>
      <c r="AD198" s="580">
        <f t="shared" si="48"/>
        <v>5</v>
      </c>
      <c r="AE198" s="580">
        <f t="shared" si="49"/>
        <v>2.5</v>
      </c>
      <c r="AF198" s="580">
        <f t="shared" si="50"/>
        <v>2.5</v>
      </c>
      <c r="AG198" s="580">
        <f t="shared" si="51"/>
        <v>0</v>
      </c>
      <c r="AH198" s="580">
        <f t="shared" si="52"/>
        <v>0</v>
      </c>
    </row>
    <row r="199" spans="2:34">
      <c r="B199" s="235"/>
      <c r="C199" s="692"/>
      <c r="D199" s="690"/>
      <c r="E199" s="258" t="s">
        <v>510</v>
      </c>
      <c r="F199" s="241"/>
      <c r="G199" s="247" t="s">
        <v>485</v>
      </c>
      <c r="H199" s="242" t="e">
        <f>HLOOKUP("TFCore:UF Mixed Subzone Temperature[C](Hourly)",'Eplus results'!$1:$1048576,'graph data'!D4, FALSE)</f>
        <v>#N/A</v>
      </c>
      <c r="I199" s="241"/>
      <c r="J199" s="241"/>
      <c r="K199" s="259"/>
      <c r="L199" s="254"/>
      <c r="M199" s="255"/>
      <c r="N199" s="255"/>
      <c r="O199" s="260"/>
      <c r="P199" s="256"/>
      <c r="Q199" s="235"/>
      <c r="R199" s="235"/>
      <c r="AB199" s="580">
        <f>HLOOKUP("*"&amp;'Output annual'!$AC$2&amp;'Output annual'!$AD$2&amp;"*Zone People Number Of Occupants [](Hourly)",'Eplus results'!$1:$1048576,ROW(),FALSE)</f>
        <v>0</v>
      </c>
      <c r="AC199" s="580">
        <f>HLOOKUP("*"&amp;'Output annual'!$AC$2&amp;'Output annual'!$AD$2&amp;"*FangerPMV(Hourly)",'Eplus results'!$1:$1048576,ROW(),FALSE)</f>
        <v>0</v>
      </c>
      <c r="AD199" s="580">
        <f t="shared" si="48"/>
        <v>5</v>
      </c>
      <c r="AE199" s="580">
        <f t="shared" si="49"/>
        <v>2.5</v>
      </c>
      <c r="AF199" s="580">
        <f t="shared" si="50"/>
        <v>2.5</v>
      </c>
      <c r="AG199" s="580">
        <f t="shared" si="51"/>
        <v>0</v>
      </c>
      <c r="AH199" s="580">
        <f t="shared" si="52"/>
        <v>0</v>
      </c>
    </row>
    <row r="200" spans="2:34">
      <c r="B200" s="235"/>
      <c r="C200" s="692"/>
      <c r="D200" s="690"/>
      <c r="E200" s="258"/>
      <c r="F200" s="241"/>
      <c r="G200" s="241"/>
      <c r="H200" s="242"/>
      <c r="I200" s="241"/>
      <c r="J200" s="241"/>
      <c r="K200" s="259"/>
      <c r="L200" s="254"/>
      <c r="M200" s="255"/>
      <c r="N200" s="255"/>
      <c r="O200" s="260"/>
      <c r="P200" s="256" t="s">
        <v>457</v>
      </c>
      <c r="Q200" s="235"/>
      <c r="R200" s="235"/>
      <c r="AB200" s="580">
        <f>HLOOKUP("*"&amp;'Output annual'!$AC$2&amp;'Output annual'!$AD$2&amp;"*Zone People Number Of Occupants [](Hourly)",'Eplus results'!$1:$1048576,ROW(),FALSE)</f>
        <v>0</v>
      </c>
      <c r="AC200" s="580">
        <f>HLOOKUP("*"&amp;'Output annual'!$AC$2&amp;'Output annual'!$AD$2&amp;"*FangerPMV(Hourly)",'Eplus results'!$1:$1048576,ROW(),FALSE)</f>
        <v>0</v>
      </c>
      <c r="AD200" s="580">
        <f t="shared" si="48"/>
        <v>5</v>
      </c>
      <c r="AE200" s="580">
        <f t="shared" si="49"/>
        <v>2.5</v>
      </c>
      <c r="AF200" s="580">
        <f t="shared" si="50"/>
        <v>2.5</v>
      </c>
      <c r="AG200" s="580">
        <f t="shared" si="51"/>
        <v>0</v>
      </c>
      <c r="AH200" s="580">
        <f t="shared" si="52"/>
        <v>0</v>
      </c>
    </row>
    <row r="201" spans="2:34">
      <c r="B201" s="235"/>
      <c r="C201" s="692"/>
      <c r="D201" s="690"/>
      <c r="E201" s="258"/>
      <c r="F201" s="241"/>
      <c r="G201" s="241"/>
      <c r="H201" s="242"/>
      <c r="I201" s="241"/>
      <c r="J201" s="241"/>
      <c r="K201" s="259"/>
      <c r="L201" s="254"/>
      <c r="M201" s="255" t="s">
        <v>518</v>
      </c>
      <c r="N201" s="255" t="e">
        <f>HLOOKUP("TFCore:Zone/Sys Sensible Cooling Rate[W](Hourly)",'Eplus results'!1:65536,'graph data'!D4,FALSE)</f>
        <v>#N/A</v>
      </c>
      <c r="O201" s="260" t="s">
        <v>158</v>
      </c>
      <c r="P201" s="256" t="e">
        <f>N201/(N203+N204)</f>
        <v>#N/A</v>
      </c>
      <c r="Q201" s="235"/>
      <c r="R201" s="235"/>
      <c r="AB201" s="580">
        <f>HLOOKUP("*"&amp;'Output annual'!$AC$2&amp;'Output annual'!$AD$2&amp;"*Zone People Number Of Occupants [](Hourly)",'Eplus results'!$1:$1048576,ROW(),FALSE)</f>
        <v>0</v>
      </c>
      <c r="AC201" s="580">
        <f>HLOOKUP("*"&amp;'Output annual'!$AC$2&amp;'Output annual'!$AD$2&amp;"*FangerPMV(Hourly)",'Eplus results'!$1:$1048576,ROW(),FALSE)</f>
        <v>0</v>
      </c>
      <c r="AD201" s="580">
        <f t="shared" si="48"/>
        <v>5</v>
      </c>
      <c r="AE201" s="580">
        <f t="shared" si="49"/>
        <v>2.5</v>
      </c>
      <c r="AF201" s="580">
        <f t="shared" si="50"/>
        <v>2.5</v>
      </c>
      <c r="AG201" s="580">
        <f t="shared" si="51"/>
        <v>0</v>
      </c>
      <c r="AH201" s="580">
        <f t="shared" si="52"/>
        <v>0</v>
      </c>
    </row>
    <row r="202" spans="2:34">
      <c r="B202" s="235"/>
      <c r="C202" s="692"/>
      <c r="D202" s="690"/>
      <c r="E202" s="258"/>
      <c r="F202" s="241"/>
      <c r="G202" s="241"/>
      <c r="H202" s="242"/>
      <c r="I202" s="241"/>
      <c r="J202" s="241"/>
      <c r="K202" s="259"/>
      <c r="L202" s="254"/>
      <c r="M202" s="255"/>
      <c r="N202" s="255"/>
      <c r="O202" s="260"/>
      <c r="P202" s="256"/>
      <c r="Q202" s="235"/>
      <c r="R202" s="235"/>
      <c r="AB202" s="580">
        <f>HLOOKUP("*"&amp;'Output annual'!$AC$2&amp;'Output annual'!$AD$2&amp;"*Zone People Number Of Occupants [](Hourly)",'Eplus results'!$1:$1048576,ROW(),FALSE)</f>
        <v>0</v>
      </c>
      <c r="AC202" s="580">
        <f>HLOOKUP("*"&amp;'Output annual'!$AC$2&amp;'Output annual'!$AD$2&amp;"*FangerPMV(Hourly)",'Eplus results'!$1:$1048576,ROW(),FALSE)</f>
        <v>0</v>
      </c>
      <c r="AD202" s="580">
        <f t="shared" si="48"/>
        <v>5</v>
      </c>
      <c r="AE202" s="580">
        <f t="shared" si="49"/>
        <v>2.5</v>
      </c>
      <c r="AF202" s="580">
        <f t="shared" si="50"/>
        <v>2.5</v>
      </c>
      <c r="AG202" s="580">
        <f t="shared" si="51"/>
        <v>0</v>
      </c>
      <c r="AH202" s="580">
        <f t="shared" si="52"/>
        <v>0</v>
      </c>
    </row>
    <row r="203" spans="2:34">
      <c r="B203" s="235"/>
      <c r="C203" s="692"/>
      <c r="D203" s="690"/>
      <c r="E203" s="258" t="s">
        <v>509</v>
      </c>
      <c r="F203" s="241"/>
      <c r="G203" s="247" t="s">
        <v>485</v>
      </c>
      <c r="H203" s="242" t="e">
        <f>IF(RunType="OH",HLOOKUP("TFCore:Zone/Sys Air Temperature[C](Hourly)",'Eplus results'!$1:$1048576,'graph data'!D4, FALSE), HLOOKUP("TFCore:UF Occupied Subzone Temperature[C](Hourly)",'Eplus results'!$1:$1048576,'graph data'!D4, FALSE))</f>
        <v>#N/A</v>
      </c>
      <c r="I203" s="241"/>
      <c r="J203" s="241"/>
      <c r="K203" s="259"/>
      <c r="L203" s="254"/>
      <c r="M203" s="255" t="s">
        <v>458</v>
      </c>
      <c r="N203" s="255">
        <f>(HLOOKUP("TFCore:Zone Total Internal Convective Heat Gain [J](Hourly)",'Eplus results'!1:1048576,'graph data'!D4,FALSE)/3600)</f>
        <v>0</v>
      </c>
      <c r="O203" s="260"/>
      <c r="P203" s="256"/>
      <c r="Q203" s="235"/>
      <c r="R203" s="235"/>
      <c r="AB203" s="580">
        <f>HLOOKUP("*"&amp;'Output annual'!$AC$2&amp;'Output annual'!$AD$2&amp;"*Zone People Number Of Occupants [](Hourly)",'Eplus results'!$1:$1048576,ROW(),FALSE)</f>
        <v>0</v>
      </c>
      <c r="AC203" s="580">
        <f>HLOOKUP("*"&amp;'Output annual'!$AC$2&amp;'Output annual'!$AD$2&amp;"*FangerPMV(Hourly)",'Eplus results'!$1:$1048576,ROW(),FALSE)</f>
        <v>0</v>
      </c>
      <c r="AD203" s="580">
        <f t="shared" si="48"/>
        <v>5</v>
      </c>
      <c r="AE203" s="580">
        <f t="shared" si="49"/>
        <v>2.5</v>
      </c>
      <c r="AF203" s="580">
        <f t="shared" si="50"/>
        <v>2.5</v>
      </c>
      <c r="AG203" s="580">
        <f t="shared" si="51"/>
        <v>0</v>
      </c>
      <c r="AH203" s="580">
        <f t="shared" si="52"/>
        <v>0</v>
      </c>
    </row>
    <row r="204" spans="2:34">
      <c r="B204" s="235"/>
      <c r="C204" s="692"/>
      <c r="D204" s="690"/>
      <c r="E204" s="258"/>
      <c r="F204" s="241"/>
      <c r="G204" s="241"/>
      <c r="H204" s="242"/>
      <c r="I204" s="241"/>
      <c r="J204" s="241"/>
      <c r="K204" s="259"/>
      <c r="L204" s="254"/>
      <c r="M204" s="255" t="s">
        <v>459</v>
      </c>
      <c r="N204" s="255">
        <f>HLOOKUP("TFCore:Zone Window Heat Gain[W](Hourly)",'Eplus results'!1:1048576,'graph data'!D4,FALSE)</f>
        <v>0</v>
      </c>
      <c r="O204" s="260"/>
      <c r="P204" s="256"/>
      <c r="Q204" s="235"/>
      <c r="R204" s="235"/>
      <c r="AB204" s="580">
        <f>HLOOKUP("*"&amp;'Output annual'!$AC$2&amp;'Output annual'!$AD$2&amp;"*Zone People Number Of Occupants [](Hourly)",'Eplus results'!$1:$1048576,ROW(),FALSE)</f>
        <v>0</v>
      </c>
      <c r="AC204" s="580">
        <f>HLOOKUP("*"&amp;'Output annual'!$AC$2&amp;'Output annual'!$AD$2&amp;"*FangerPMV(Hourly)",'Eplus results'!$1:$1048576,ROW(),FALSE)</f>
        <v>0</v>
      </c>
      <c r="AD204" s="580">
        <f t="shared" si="48"/>
        <v>5</v>
      </c>
      <c r="AE204" s="580">
        <f t="shared" si="49"/>
        <v>2.5</v>
      </c>
      <c r="AF204" s="580">
        <f t="shared" si="50"/>
        <v>2.5</v>
      </c>
      <c r="AG204" s="580">
        <f t="shared" si="51"/>
        <v>0</v>
      </c>
      <c r="AH204" s="580">
        <f t="shared" si="52"/>
        <v>0</v>
      </c>
    </row>
    <row r="205" spans="2:34">
      <c r="B205" s="235"/>
      <c r="C205" s="692"/>
      <c r="D205" s="690"/>
      <c r="E205" s="258"/>
      <c r="F205" s="241"/>
      <c r="G205" s="241"/>
      <c r="H205" s="242"/>
      <c r="I205" s="241"/>
      <c r="J205" s="241"/>
      <c r="K205" s="259" t="s">
        <v>486</v>
      </c>
      <c r="L205" s="254" t="e">
        <f>HLOOKUP("TFCore_Floor1:Surface Int Convection Heat Rate [W](Hourly)",'Eplus results'!1:65536,'graph data'!D4,FALSE)*2</f>
        <v>#N/A</v>
      </c>
      <c r="M205" s="255"/>
      <c r="N205" s="255"/>
      <c r="O205" s="260"/>
      <c r="P205" s="256"/>
      <c r="Q205" s="235"/>
      <c r="R205" s="235"/>
      <c r="AB205" s="580">
        <f>HLOOKUP("*"&amp;'Output annual'!$AC$2&amp;'Output annual'!$AD$2&amp;"*Zone People Number Of Occupants [](Hourly)",'Eplus results'!$1:$1048576,ROW(),FALSE)</f>
        <v>0</v>
      </c>
      <c r="AC205" s="580">
        <f>HLOOKUP("*"&amp;'Output annual'!$AC$2&amp;'Output annual'!$AD$2&amp;"*FangerPMV(Hourly)",'Eplus results'!$1:$1048576,ROW(),FALSE)</f>
        <v>0</v>
      </c>
      <c r="AD205" s="580">
        <f t="shared" si="48"/>
        <v>5</v>
      </c>
      <c r="AE205" s="580">
        <f t="shared" si="49"/>
        <v>2.5</v>
      </c>
      <c r="AF205" s="580">
        <f t="shared" si="50"/>
        <v>2.5</v>
      </c>
      <c r="AG205" s="580">
        <f t="shared" si="51"/>
        <v>0</v>
      </c>
      <c r="AH205" s="580">
        <f t="shared" si="52"/>
        <v>0</v>
      </c>
    </row>
    <row r="206" spans="2:34">
      <c r="B206" s="235"/>
      <c r="C206" s="692"/>
      <c r="D206" s="689" t="s">
        <v>522</v>
      </c>
      <c r="E206" s="258"/>
      <c r="F206" s="241"/>
      <c r="G206" s="247" t="s">
        <v>484</v>
      </c>
      <c r="H206" s="242" t="e">
        <f>HLOOKUP("TFSPCore_CEILING1:Surface Outside Temperature[C](Hourly)",'Eplus results'!1:65536,'graph data'!D4,FALSE)</f>
        <v>#N/A</v>
      </c>
      <c r="I206" s="241"/>
      <c r="J206" s="241"/>
      <c r="K206" s="259"/>
      <c r="L206" s="254"/>
      <c r="M206" s="255"/>
      <c r="N206" s="255"/>
      <c r="O206" s="260"/>
      <c r="P206" s="256"/>
      <c r="Q206" s="235"/>
      <c r="R206" s="235"/>
      <c r="AB206" s="580">
        <f>HLOOKUP("*"&amp;'Output annual'!$AC$2&amp;'Output annual'!$AD$2&amp;"*Zone People Number Of Occupants [](Hourly)",'Eplus results'!$1:$1048576,ROW(),FALSE)</f>
        <v>0</v>
      </c>
      <c r="AC206" s="580">
        <f>HLOOKUP("*"&amp;'Output annual'!$AC$2&amp;'Output annual'!$AD$2&amp;"*FangerPMV(Hourly)",'Eplus results'!$1:$1048576,ROW(),FALSE)</f>
        <v>0</v>
      </c>
      <c r="AD206" s="580">
        <f t="shared" si="48"/>
        <v>5</v>
      </c>
      <c r="AE206" s="580">
        <f t="shared" si="49"/>
        <v>2.5</v>
      </c>
      <c r="AF206" s="580">
        <f t="shared" si="50"/>
        <v>2.5</v>
      </c>
      <c r="AG206" s="580">
        <f t="shared" si="51"/>
        <v>0</v>
      </c>
      <c r="AH206" s="580">
        <f t="shared" si="52"/>
        <v>0</v>
      </c>
    </row>
    <row r="207" spans="2:34">
      <c r="B207" s="235"/>
      <c r="C207" s="692"/>
      <c r="D207" s="689"/>
      <c r="E207" s="258"/>
      <c r="F207" s="241"/>
      <c r="G207" s="247" t="s">
        <v>484</v>
      </c>
      <c r="H207" s="242" t="e">
        <f>HLOOKUP("TFSPCore_CEILING1:Surface Inside Temperature[C](Hourly)",'Eplus results'!1:65536,'graph data'!D4,FALSE)</f>
        <v>#N/A</v>
      </c>
      <c r="I207" s="241"/>
      <c r="J207" s="241"/>
      <c r="K207" s="259"/>
      <c r="L207" s="254"/>
      <c r="M207" s="255"/>
      <c r="N207" s="255"/>
      <c r="O207" s="260"/>
      <c r="P207" s="256"/>
      <c r="Q207" s="235"/>
      <c r="R207" s="235"/>
      <c r="AB207" s="580">
        <f>HLOOKUP("*"&amp;'Output annual'!$AC$2&amp;'Output annual'!$AD$2&amp;"*Zone People Number Of Occupants [](Hourly)",'Eplus results'!$1:$1048576,ROW(),FALSE)</f>
        <v>0</v>
      </c>
      <c r="AC207" s="580">
        <f>HLOOKUP("*"&amp;'Output annual'!$AC$2&amp;'Output annual'!$AD$2&amp;"*FangerPMV(Hourly)",'Eplus results'!$1:$1048576,ROW(),FALSE)</f>
        <v>0</v>
      </c>
      <c r="AD207" s="580">
        <f t="shared" si="48"/>
        <v>5</v>
      </c>
      <c r="AE207" s="580">
        <f t="shared" si="49"/>
        <v>2.5</v>
      </c>
      <c r="AF207" s="580">
        <f t="shared" si="50"/>
        <v>2.5</v>
      </c>
      <c r="AG207" s="580">
        <f t="shared" si="51"/>
        <v>0</v>
      </c>
      <c r="AH207" s="580">
        <f t="shared" si="52"/>
        <v>0</v>
      </c>
    </row>
    <row r="208" spans="2:34">
      <c r="B208" s="235"/>
      <c r="C208" s="692"/>
      <c r="D208" s="235"/>
      <c r="E208" s="258"/>
      <c r="F208" s="241"/>
      <c r="G208" s="241"/>
      <c r="H208" s="242"/>
      <c r="I208" s="241"/>
      <c r="J208" s="241"/>
      <c r="K208" s="259" t="s">
        <v>486</v>
      </c>
      <c r="L208" s="254" t="e">
        <f>HLOOKUP("TFSPCore_Ceiling1:Surface Int Convection Heat Rate [W](Hourly)",'Eplus results'!1:65536,'graph data'!D4,FALSE)*2</f>
        <v>#N/A</v>
      </c>
      <c r="M208" s="255"/>
      <c r="N208" s="255"/>
      <c r="O208" s="260"/>
      <c r="P208" s="256" t="s">
        <v>457</v>
      </c>
      <c r="Q208" s="235"/>
      <c r="R208" s="235"/>
      <c r="AB208" s="580">
        <f>HLOOKUP("*"&amp;'Output annual'!$AC$2&amp;'Output annual'!$AD$2&amp;"*Zone People Number Of Occupants [](Hourly)",'Eplus results'!$1:$1048576,ROW(),FALSE)</f>
        <v>0</v>
      </c>
      <c r="AC208" s="580">
        <f>HLOOKUP("*"&amp;'Output annual'!$AC$2&amp;'Output annual'!$AD$2&amp;"*FangerPMV(Hourly)",'Eplus results'!$1:$1048576,ROW(),FALSE)</f>
        <v>0</v>
      </c>
      <c r="AD208" s="580">
        <f t="shared" si="48"/>
        <v>5</v>
      </c>
      <c r="AE208" s="580">
        <f t="shared" si="49"/>
        <v>2.5</v>
      </c>
      <c r="AF208" s="580">
        <f t="shared" si="50"/>
        <v>2.5</v>
      </c>
      <c r="AG208" s="580">
        <f t="shared" si="51"/>
        <v>0</v>
      </c>
      <c r="AH208" s="580">
        <f t="shared" si="52"/>
        <v>0</v>
      </c>
    </row>
    <row r="209" spans="2:34">
      <c r="B209" s="235"/>
      <c r="C209" s="692"/>
      <c r="D209" s="257"/>
      <c r="E209" s="258" t="s">
        <v>3</v>
      </c>
      <c r="F209" s="241"/>
      <c r="G209" s="247" t="s">
        <v>485</v>
      </c>
      <c r="H209" s="242" t="e">
        <f>HLOOKUP("TFSPCore:Zone/Sys Air Temperature[C](Hourly)",'Eplus results'!$1:$1048576,'graph data'!D4, FALSE)</f>
        <v>#N/A</v>
      </c>
      <c r="I209" s="241"/>
      <c r="J209" s="241"/>
      <c r="K209" s="259"/>
      <c r="L209" s="254"/>
      <c r="M209" s="255" t="s">
        <v>519</v>
      </c>
      <c r="N209" s="255" t="e">
        <f>HLOOKUP("TFSPCore:Zone/Sys Sensible Cooling Rate[W](Hourly)",'Eplus results'!1:65536,'graph data'!D4,FALSE)</f>
        <v>#N/A</v>
      </c>
      <c r="O209" s="260" t="s">
        <v>158</v>
      </c>
      <c r="P209" s="256" t="e">
        <f>N209/(L208+L210)</f>
        <v>#N/A</v>
      </c>
      <c r="Q209" s="235"/>
      <c r="R209" s="235"/>
      <c r="AB209" s="580">
        <f>HLOOKUP("*"&amp;'Output annual'!$AC$2&amp;'Output annual'!$AD$2&amp;"*Zone People Number Of Occupants [](Hourly)",'Eplus results'!$1:$1048576,ROW(),FALSE)</f>
        <v>0</v>
      </c>
      <c r="AC209" s="580">
        <f>HLOOKUP("*"&amp;'Output annual'!$AC$2&amp;'Output annual'!$AD$2&amp;"*FangerPMV(Hourly)",'Eplus results'!$1:$1048576,ROW(),FALSE)</f>
        <v>0</v>
      </c>
      <c r="AD209" s="580">
        <f t="shared" si="48"/>
        <v>5</v>
      </c>
      <c r="AE209" s="580">
        <f t="shared" si="49"/>
        <v>2.5</v>
      </c>
      <c r="AF209" s="580">
        <f t="shared" si="50"/>
        <v>2.5</v>
      </c>
      <c r="AG209" s="580">
        <f t="shared" si="51"/>
        <v>0</v>
      </c>
      <c r="AH209" s="580">
        <f t="shared" si="52"/>
        <v>0</v>
      </c>
    </row>
    <row r="210" spans="2:34" ht="13.5" thickBot="1">
      <c r="B210" s="235"/>
      <c r="C210" s="693"/>
      <c r="D210" s="261"/>
      <c r="E210" s="262"/>
      <c r="F210" s="263"/>
      <c r="G210" s="263"/>
      <c r="H210" s="264"/>
      <c r="I210" s="263"/>
      <c r="J210" s="263"/>
      <c r="K210" s="265" t="s">
        <v>486</v>
      </c>
      <c r="L210" s="254" t="e">
        <f>IF(RunType="OH",HLOOKUP("TFCore_FLOOR1:Surface Int Convection Heat Rate [W](Hourly)",'Eplus results'!$1:$1048576,'graph data'!D4, FALSE)*2, HLOOKUP("TFSPCore_Floor1:Surface Int Convection Heat Rate [W](Hourly)",'Eplus results'!1:65536,'graph data'!D4,FALSE)*2)</f>
        <v>#N/A</v>
      </c>
      <c r="M210" s="255"/>
      <c r="N210" s="255"/>
      <c r="O210" s="235"/>
      <c r="P210" s="256"/>
      <c r="Q210" s="235"/>
      <c r="R210" s="235"/>
      <c r="AB210" s="580">
        <f>HLOOKUP("*"&amp;'Output annual'!$AC$2&amp;'Output annual'!$AD$2&amp;"*Zone People Number Of Occupants [](Hourly)",'Eplus results'!$1:$1048576,ROW(),FALSE)</f>
        <v>0</v>
      </c>
      <c r="AC210" s="580">
        <f>HLOOKUP("*"&amp;'Output annual'!$AC$2&amp;'Output annual'!$AD$2&amp;"*FangerPMV(Hourly)",'Eplus results'!$1:$1048576,ROW(),FALSE)</f>
        <v>0</v>
      </c>
      <c r="AD210" s="580">
        <f t="shared" si="48"/>
        <v>5</v>
      </c>
      <c r="AE210" s="580">
        <f t="shared" si="49"/>
        <v>2.5</v>
      </c>
      <c r="AF210" s="580">
        <f t="shared" si="50"/>
        <v>2.5</v>
      </c>
      <c r="AG210" s="580">
        <f t="shared" si="51"/>
        <v>0</v>
      </c>
      <c r="AH210" s="580">
        <f t="shared" si="52"/>
        <v>0</v>
      </c>
    </row>
    <row r="211" spans="2:34">
      <c r="B211" s="235"/>
      <c r="C211" s="266"/>
      <c r="D211" s="267"/>
      <c r="E211" s="268"/>
      <c r="F211" s="241"/>
      <c r="G211" s="247" t="s">
        <v>484</v>
      </c>
      <c r="H211" s="242" t="e">
        <f>IF(RunType="OH",HLOOKUP("TFCore_FLOOR1:Surface Inside Temperature[C](Hourly)",'Eplus results'!$1:$1048576,'graph data'!D4, FALSE), HLOOKUP("TFSPCore_FLOOR1:Surface Inside Temperature[C](Hourly)",'Eplus results'!1:65536,'graph data'!D4,FALSE))</f>
        <v>#N/A</v>
      </c>
      <c r="I211" s="241"/>
      <c r="J211" s="241"/>
      <c r="K211" s="247" t="s">
        <v>529</v>
      </c>
      <c r="L211" s="269" t="e">
        <f>IF(RunType="OH",HLOOKUP("TFCore_FLOOR1:Opaque Surface Inside Face Conduction[W](Hourly)",'Eplus results'!$1:$1048576,'graph data'!D4, FALSE)*2, HLOOKUP("TFSPCore_Floor1:Opaque Surface Inside Face Conduction[W](Hourly)",'Eplus results'!1:65536,'graph data'!D4,FALSE)*2)</f>
        <v>#N/A</v>
      </c>
      <c r="M211" s="270"/>
      <c r="N211" s="255"/>
      <c r="O211" s="235"/>
      <c r="P211" s="256"/>
      <c r="Q211" s="235"/>
      <c r="R211" s="235"/>
      <c r="AB211" s="580">
        <f>HLOOKUP("*"&amp;'Output annual'!$AC$2&amp;'Output annual'!$AD$2&amp;"*Zone People Number Of Occupants [](Hourly)",'Eplus results'!$1:$1048576,ROW(),FALSE)</f>
        <v>0</v>
      </c>
      <c r="AC211" s="580">
        <f>HLOOKUP("*"&amp;'Output annual'!$AC$2&amp;'Output annual'!$AD$2&amp;"*FangerPMV(Hourly)",'Eplus results'!$1:$1048576,ROW(),FALSE)</f>
        <v>0</v>
      </c>
      <c r="AD211" s="580">
        <f t="shared" si="48"/>
        <v>5</v>
      </c>
      <c r="AE211" s="580">
        <f t="shared" si="49"/>
        <v>2.5</v>
      </c>
      <c r="AF211" s="580">
        <f t="shared" si="50"/>
        <v>2.5</v>
      </c>
      <c r="AG211" s="580">
        <f t="shared" si="51"/>
        <v>0</v>
      </c>
      <c r="AH211" s="580">
        <f t="shared" si="52"/>
        <v>0</v>
      </c>
    </row>
    <row r="212" spans="2:34">
      <c r="B212" s="235"/>
      <c r="C212" s="235" t="s">
        <v>514</v>
      </c>
      <c r="D212" s="247"/>
      <c r="E212" s="268"/>
      <c r="F212" s="241"/>
      <c r="G212" s="241"/>
      <c r="H212" s="242"/>
      <c r="I212" s="241"/>
      <c r="J212" s="241"/>
      <c r="K212" s="247"/>
      <c r="L212" s="243"/>
      <c r="M212" s="244"/>
      <c r="N212" s="255"/>
      <c r="O212" s="235"/>
      <c r="P212" s="256"/>
      <c r="Q212" s="235"/>
      <c r="R212" s="235"/>
      <c r="AB212" s="580">
        <f>HLOOKUP("*"&amp;'Output annual'!$AC$2&amp;'Output annual'!$AD$2&amp;"*Zone People Number Of Occupants [](Hourly)",'Eplus results'!$1:$1048576,ROW(),FALSE)</f>
        <v>0</v>
      </c>
      <c r="AC212" s="580">
        <f>HLOOKUP("*"&amp;'Output annual'!$AC$2&amp;'Output annual'!$AD$2&amp;"*FangerPMV(Hourly)",'Eplus results'!$1:$1048576,ROW(),FALSE)</f>
        <v>0</v>
      </c>
      <c r="AD212" s="580">
        <f t="shared" si="48"/>
        <v>5</v>
      </c>
      <c r="AE212" s="580">
        <f t="shared" si="49"/>
        <v>2.5</v>
      </c>
      <c r="AF212" s="580">
        <f t="shared" si="50"/>
        <v>2.5</v>
      </c>
      <c r="AG212" s="580">
        <f t="shared" si="51"/>
        <v>0</v>
      </c>
      <c r="AH212" s="580">
        <f t="shared" si="52"/>
        <v>0</v>
      </c>
    </row>
    <row r="213" spans="2:34" ht="13.5" thickBot="1">
      <c r="B213" s="235"/>
      <c r="C213" s="245"/>
      <c r="D213" s="271"/>
      <c r="E213" s="268"/>
      <c r="F213" s="241"/>
      <c r="G213" s="247" t="s">
        <v>484</v>
      </c>
      <c r="H213" s="242" t="e">
        <f>IF(RunType="OH",HLOOKUP("TFCore_FLOOR1:Surface Outside Temperature[C](Hourly)",'Eplus results'!$1:$1048576,'graph data'!D4, FALSE), HLOOKUP("TFSPCore_FLOOR1:Surface Outside Temperature[C](Hourly)",'Eplus results'!1:65536,'graph data'!D4,FALSE))</f>
        <v>#N/A</v>
      </c>
      <c r="I213" s="241"/>
      <c r="J213" s="241"/>
      <c r="K213" s="247" t="s">
        <v>529</v>
      </c>
      <c r="L213" s="248" t="e">
        <f>HLOOKUP("MFRPCore_CEILING1:Opaque Surface Inside Face Conduction[W](Hourly)",'Eplus results'!1:65536,'graph data'!D4,FALSE)*2</f>
        <v>#N/A</v>
      </c>
      <c r="M213" s="249"/>
      <c r="N213" s="255"/>
      <c r="O213" s="235"/>
      <c r="P213" s="256"/>
      <c r="Q213" s="235"/>
      <c r="R213" s="235"/>
      <c r="AB213" s="580">
        <f>HLOOKUP("*"&amp;'Output annual'!$AC$2&amp;'Output annual'!$AD$2&amp;"*Zone People Number Of Occupants [](Hourly)",'Eplus results'!$1:$1048576,ROW(),FALSE)</f>
        <v>0</v>
      </c>
      <c r="AC213" s="580">
        <f>HLOOKUP("*"&amp;'Output annual'!$AC$2&amp;'Output annual'!$AD$2&amp;"*FangerPMV(Hourly)",'Eplus results'!$1:$1048576,ROW(),FALSE)</f>
        <v>0</v>
      </c>
      <c r="AD213" s="580">
        <f t="shared" si="48"/>
        <v>5</v>
      </c>
      <c r="AE213" s="580">
        <f t="shared" si="49"/>
        <v>2.5</v>
      </c>
      <c r="AF213" s="580">
        <f t="shared" si="50"/>
        <v>2.5</v>
      </c>
      <c r="AG213" s="580">
        <f t="shared" si="51"/>
        <v>0</v>
      </c>
      <c r="AH213" s="580">
        <f t="shared" si="52"/>
        <v>0</v>
      </c>
    </row>
    <row r="214" spans="2:34">
      <c r="B214" s="694" t="s">
        <v>527</v>
      </c>
      <c r="C214" s="691" t="s">
        <v>525</v>
      </c>
      <c r="D214" s="235"/>
      <c r="E214" s="272"/>
      <c r="F214" s="251"/>
      <c r="G214" s="251"/>
      <c r="H214" s="252"/>
      <c r="I214" s="251"/>
      <c r="J214" s="251"/>
      <c r="K214" s="253" t="s">
        <v>486</v>
      </c>
      <c r="L214" s="254" t="e">
        <f>HLOOKUP("MFRPCore_Ceiling1:Surface Int Convection Heat Rate [W](Hourly)",'Eplus results'!1:65536,'graph data'!D4,FALSE)*2</f>
        <v>#N/A</v>
      </c>
      <c r="M214" s="255"/>
      <c r="N214" s="255"/>
      <c r="O214" s="235"/>
      <c r="P214" s="256" t="s">
        <v>457</v>
      </c>
      <c r="Q214" s="235"/>
      <c r="R214" s="235"/>
      <c r="AB214" s="580">
        <f>HLOOKUP("*"&amp;'Output annual'!$AC$2&amp;'Output annual'!$AD$2&amp;"*Zone People Number Of Occupants [](Hourly)",'Eplus results'!$1:$1048576,ROW(),FALSE)</f>
        <v>0</v>
      </c>
      <c r="AC214" s="580">
        <f>HLOOKUP("*"&amp;'Output annual'!$AC$2&amp;'Output annual'!$AD$2&amp;"*FangerPMV(Hourly)",'Eplus results'!$1:$1048576,ROW(),FALSE)</f>
        <v>0</v>
      </c>
      <c r="AD214" s="580">
        <f t="shared" si="48"/>
        <v>5</v>
      </c>
      <c r="AE214" s="580">
        <f t="shared" si="49"/>
        <v>2.5</v>
      </c>
      <c r="AF214" s="580">
        <f t="shared" si="50"/>
        <v>2.5</v>
      </c>
      <c r="AG214" s="580">
        <f t="shared" si="51"/>
        <v>0</v>
      </c>
      <c r="AH214" s="580">
        <f t="shared" si="52"/>
        <v>0</v>
      </c>
    </row>
    <row r="215" spans="2:34">
      <c r="B215" s="694"/>
      <c r="C215" s="692"/>
      <c r="D215" s="257"/>
      <c r="E215" s="258" t="s">
        <v>511</v>
      </c>
      <c r="F215" s="241"/>
      <c r="G215" s="247" t="s">
        <v>485</v>
      </c>
      <c r="H215" s="242" t="e">
        <f>HLOOKUP("MFRPCore:Zone/Sys Air Temperature[C](Hourly)",'Eplus results'!$1:$1048576,'graph data'!D4, FALSE)</f>
        <v>#N/A</v>
      </c>
      <c r="I215" s="241"/>
      <c r="J215" s="241"/>
      <c r="K215" s="259"/>
      <c r="L215" s="273"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5" t="s">
        <v>517</v>
      </c>
      <c r="N215" s="255" t="e">
        <f>HLOOKUP("MFRPCore:Zone/Sys Sensible Cooling Rate[W](Hourly)",'Eplus results'!1:65536,'graph data'!D4,FALSE)</f>
        <v>#N/A</v>
      </c>
      <c r="O215" s="260" t="s">
        <v>158</v>
      </c>
      <c r="P215" s="256" t="e">
        <f>N215/(L214+L216)</f>
        <v>#N/A</v>
      </c>
      <c r="Q215" s="235"/>
      <c r="R215" s="235"/>
      <c r="AB215" s="580">
        <f>HLOOKUP("*"&amp;'Output annual'!$AC$2&amp;'Output annual'!$AD$2&amp;"*Zone People Number Of Occupants [](Hourly)",'Eplus results'!$1:$1048576,ROW(),FALSE)</f>
        <v>0</v>
      </c>
      <c r="AC215" s="580">
        <f>HLOOKUP("*"&amp;'Output annual'!$AC$2&amp;'Output annual'!$AD$2&amp;"*FangerPMV(Hourly)",'Eplus results'!$1:$1048576,ROW(),FALSE)</f>
        <v>0</v>
      </c>
      <c r="AD215" s="580">
        <f t="shared" si="48"/>
        <v>5</v>
      </c>
      <c r="AE215" s="580">
        <f t="shared" si="49"/>
        <v>2.5</v>
      </c>
      <c r="AF215" s="580">
        <f t="shared" si="50"/>
        <v>2.5</v>
      </c>
      <c r="AG215" s="580">
        <f t="shared" si="51"/>
        <v>0</v>
      </c>
      <c r="AH215" s="580">
        <f t="shared" si="52"/>
        <v>0</v>
      </c>
    </row>
    <row r="216" spans="2:34">
      <c r="B216" s="694"/>
      <c r="C216" s="692"/>
      <c r="D216" s="257"/>
      <c r="E216" s="258"/>
      <c r="F216" s="241"/>
      <c r="G216" s="241"/>
      <c r="H216" s="242"/>
      <c r="I216" s="241"/>
      <c r="J216" s="241"/>
      <c r="K216" s="259" t="s">
        <v>486</v>
      </c>
      <c r="L216" s="254" t="e">
        <f>HLOOKUP("MFRPCore_Floor1:Surface Int Convection Heat Rate [W](Hourly)",'Eplus results'!1:65536,'graph data'!D4,FALSE)*2</f>
        <v>#N/A</v>
      </c>
      <c r="M216" s="255"/>
      <c r="N216" s="255"/>
      <c r="O216" s="260"/>
      <c r="P216" s="256"/>
      <c r="Q216" s="235"/>
      <c r="R216" s="235"/>
      <c r="AB216" s="580">
        <f>HLOOKUP("*"&amp;'Output annual'!$AC$2&amp;'Output annual'!$AD$2&amp;"*Zone People Number Of Occupants [](Hourly)",'Eplus results'!$1:$1048576,ROW(),FALSE)</f>
        <v>0</v>
      </c>
      <c r="AC216" s="580">
        <f>HLOOKUP("*"&amp;'Output annual'!$AC$2&amp;'Output annual'!$AD$2&amp;"*FangerPMV(Hourly)",'Eplus results'!$1:$1048576,ROW(),FALSE)</f>
        <v>0</v>
      </c>
      <c r="AD216" s="580">
        <f t="shared" si="48"/>
        <v>5</v>
      </c>
      <c r="AE216" s="580">
        <f t="shared" si="49"/>
        <v>2.5</v>
      </c>
      <c r="AF216" s="580">
        <f t="shared" si="50"/>
        <v>2.5</v>
      </c>
      <c r="AG216" s="580">
        <f t="shared" si="51"/>
        <v>0</v>
      </c>
      <c r="AH216" s="580">
        <f t="shared" si="52"/>
        <v>0</v>
      </c>
    </row>
    <row r="217" spans="2:34">
      <c r="B217" s="694"/>
      <c r="C217" s="692"/>
      <c r="D217" s="689" t="s">
        <v>520</v>
      </c>
      <c r="E217" s="258"/>
      <c r="F217" s="241"/>
      <c r="G217" s="247" t="s">
        <v>484</v>
      </c>
      <c r="H217" s="242" t="e">
        <f>HLOOKUP("MFRPCore_FLOOR1:Surface Inside Temperature[C](Hourly)",'Eplus results'!1:65536,'graph data'!D4,FALSE)</f>
        <v>#N/A</v>
      </c>
      <c r="I217" s="241"/>
      <c r="J217" s="241"/>
      <c r="K217" s="259"/>
      <c r="L217" s="254"/>
      <c r="M217" s="274" t="e">
        <f>HLOOKUP("MFRPCore:Zone Infiltration Sensible Heat Gain [J](Hourly)",'Eplus results'!1:1048576,'graph data'!D4,FALSE)/3600</f>
        <v>#N/A</v>
      </c>
      <c r="N217" s="255"/>
      <c r="O217" s="260"/>
      <c r="P217" s="256"/>
      <c r="Q217" s="235"/>
      <c r="R217" s="235"/>
      <c r="AB217" s="580">
        <f>HLOOKUP("*"&amp;'Output annual'!$AC$2&amp;'Output annual'!$AD$2&amp;"*Zone People Number Of Occupants [](Hourly)",'Eplus results'!$1:$1048576,ROW(),FALSE)</f>
        <v>0</v>
      </c>
      <c r="AC217" s="580">
        <f>HLOOKUP("*"&amp;'Output annual'!$AC$2&amp;'Output annual'!$AD$2&amp;"*FangerPMV(Hourly)",'Eplus results'!$1:$1048576,ROW(),FALSE)</f>
        <v>0</v>
      </c>
      <c r="AD217" s="580">
        <f t="shared" si="48"/>
        <v>5</v>
      </c>
      <c r="AE217" s="580">
        <f t="shared" si="49"/>
        <v>2.5</v>
      </c>
      <c r="AF217" s="580">
        <f t="shared" si="50"/>
        <v>2.5</v>
      </c>
      <c r="AG217" s="580">
        <f t="shared" si="51"/>
        <v>0</v>
      </c>
      <c r="AH217" s="580">
        <f t="shared" si="52"/>
        <v>0</v>
      </c>
    </row>
    <row r="218" spans="2:34">
      <c r="B218" s="694"/>
      <c r="C218" s="692"/>
      <c r="D218" s="689"/>
      <c r="E218" s="258"/>
      <c r="F218" s="241"/>
      <c r="G218" s="247" t="s">
        <v>484</v>
      </c>
      <c r="H218" s="242" t="e">
        <f>HLOOKUP("MFRPCore_FLOOR1:Surface Outside Temperature[C](Hourly)",'Eplus results'!1:65536,'graph data'!D4,FALSE)</f>
        <v>#N/A</v>
      </c>
      <c r="I218" s="241"/>
      <c r="J218" s="241"/>
      <c r="K218" s="259"/>
      <c r="L218" s="254"/>
      <c r="M218" s="274"/>
      <c r="N218" s="255"/>
      <c r="O218" s="275"/>
      <c r="P218" s="256"/>
      <c r="Q218" s="235"/>
      <c r="R218" s="235"/>
      <c r="AB218" s="580">
        <f>HLOOKUP("*"&amp;'Output annual'!$AC$2&amp;'Output annual'!$AD$2&amp;"*Zone People Number Of Occupants [](Hourly)",'Eplus results'!$1:$1048576,ROW(),FALSE)</f>
        <v>0</v>
      </c>
      <c r="AC218" s="580">
        <f>HLOOKUP("*"&amp;'Output annual'!$AC$2&amp;'Output annual'!$AD$2&amp;"*FangerPMV(Hourly)",'Eplus results'!$1:$1048576,ROW(),FALSE)</f>
        <v>0</v>
      </c>
      <c r="AD218" s="580">
        <f t="shared" si="48"/>
        <v>5</v>
      </c>
      <c r="AE218" s="580">
        <f t="shared" si="49"/>
        <v>2.5</v>
      </c>
      <c r="AF218" s="580">
        <f t="shared" si="50"/>
        <v>2.5</v>
      </c>
      <c r="AG218" s="580">
        <f t="shared" si="51"/>
        <v>0</v>
      </c>
      <c r="AH218" s="580">
        <f t="shared" si="52"/>
        <v>0</v>
      </c>
    </row>
    <row r="219" spans="2:34">
      <c r="B219" s="694"/>
      <c r="C219" s="692"/>
      <c r="D219" s="690" t="s">
        <v>521</v>
      </c>
      <c r="E219" s="258"/>
      <c r="F219" s="241"/>
      <c r="G219" s="241"/>
      <c r="H219" s="242"/>
      <c r="I219" s="241"/>
      <c r="J219" s="241"/>
      <c r="K219" s="259" t="s">
        <v>486</v>
      </c>
      <c r="L219" s="254" t="e">
        <f>HLOOKUP("MFCore_Ceiling1:Surface Int Convection Heat Rate [W](Hourly)",'Eplus results'!1:65536,'graph data'!D4,FALSE)*2</f>
        <v>#N/A</v>
      </c>
      <c r="M219" s="274" t="e">
        <f>HLOOKUP("MFCore:Zone Infiltration Sensible Heat Gain [J](Hourly)",'Eplus results'!1:1048576,'graph data'!D4,FALSE)/3600</f>
        <v>#N/A</v>
      </c>
      <c r="N219" s="255"/>
      <c r="O219" s="260"/>
      <c r="P219" s="256"/>
      <c r="Q219" s="235"/>
      <c r="R219" s="235"/>
      <c r="AB219" s="580">
        <f>HLOOKUP("*"&amp;'Output annual'!$AC$2&amp;'Output annual'!$AD$2&amp;"*Zone People Number Of Occupants [](Hourly)",'Eplus results'!$1:$1048576,ROW(),FALSE)</f>
        <v>0</v>
      </c>
      <c r="AC219" s="580">
        <f>HLOOKUP("*"&amp;'Output annual'!$AC$2&amp;'Output annual'!$AD$2&amp;"*FangerPMV(Hourly)",'Eplus results'!$1:$1048576,ROW(),FALSE)</f>
        <v>0</v>
      </c>
      <c r="AD219" s="580">
        <f t="shared" si="48"/>
        <v>5</v>
      </c>
      <c r="AE219" s="580">
        <f t="shared" si="49"/>
        <v>2.5</v>
      </c>
      <c r="AF219" s="580">
        <f t="shared" si="50"/>
        <v>2.5</v>
      </c>
      <c r="AG219" s="580">
        <f t="shared" si="51"/>
        <v>0</v>
      </c>
      <c r="AH219" s="580">
        <f t="shared" si="52"/>
        <v>0</v>
      </c>
    </row>
    <row r="220" spans="2:34">
      <c r="B220" s="694"/>
      <c r="C220" s="692"/>
      <c r="D220" s="690"/>
      <c r="E220" s="258" t="s">
        <v>510</v>
      </c>
      <c r="F220" s="241"/>
      <c r="G220" s="247" t="s">
        <v>485</v>
      </c>
      <c r="H220" s="242" t="e">
        <f>HLOOKUP("MFCore:UF Mixed Subzone Temperature[C](Hourly)",'Eplus results'!$1:$1048576,'graph data'!D4, FALSE)</f>
        <v>#N/A</v>
      </c>
      <c r="I220" s="241"/>
      <c r="J220" s="241"/>
      <c r="K220" s="259"/>
      <c r="L220" s="254"/>
      <c r="M220" s="255"/>
      <c r="N220" s="255"/>
      <c r="O220" s="260"/>
      <c r="P220" s="256"/>
      <c r="Q220" s="235"/>
      <c r="R220" s="235"/>
      <c r="AB220" s="580">
        <f>HLOOKUP("*"&amp;'Output annual'!$AC$2&amp;'Output annual'!$AD$2&amp;"*Zone People Number Of Occupants [](Hourly)",'Eplus results'!$1:$1048576,ROW(),FALSE)</f>
        <v>0</v>
      </c>
      <c r="AC220" s="580">
        <f>HLOOKUP("*"&amp;'Output annual'!$AC$2&amp;'Output annual'!$AD$2&amp;"*FangerPMV(Hourly)",'Eplus results'!$1:$1048576,ROW(),FALSE)</f>
        <v>0</v>
      </c>
      <c r="AD220" s="580">
        <f t="shared" si="48"/>
        <v>5</v>
      </c>
      <c r="AE220" s="580">
        <f t="shared" si="49"/>
        <v>2.5</v>
      </c>
      <c r="AF220" s="580">
        <f t="shared" si="50"/>
        <v>2.5</v>
      </c>
      <c r="AG220" s="580">
        <f t="shared" si="51"/>
        <v>0</v>
      </c>
      <c r="AH220" s="580">
        <f t="shared" si="52"/>
        <v>0</v>
      </c>
    </row>
    <row r="221" spans="2:34">
      <c r="B221" s="694"/>
      <c r="C221" s="692"/>
      <c r="D221" s="690"/>
      <c r="E221" s="258"/>
      <c r="F221" s="241"/>
      <c r="G221" s="241"/>
      <c r="H221" s="242"/>
      <c r="I221" s="241"/>
      <c r="J221" s="241"/>
      <c r="K221" s="259"/>
      <c r="L221" s="254"/>
      <c r="M221" s="255"/>
      <c r="N221" s="255"/>
      <c r="O221" s="260"/>
      <c r="P221" s="256" t="s">
        <v>457</v>
      </c>
      <c r="Q221" s="235"/>
      <c r="R221" s="235"/>
      <c r="AB221" s="580">
        <f>HLOOKUP("*"&amp;'Output annual'!$AC$2&amp;'Output annual'!$AD$2&amp;"*Zone People Number Of Occupants [](Hourly)",'Eplus results'!$1:$1048576,ROW(),FALSE)</f>
        <v>0</v>
      </c>
      <c r="AC221" s="580">
        <f>HLOOKUP("*"&amp;'Output annual'!$AC$2&amp;'Output annual'!$AD$2&amp;"*FangerPMV(Hourly)",'Eplus results'!$1:$1048576,ROW(),FALSE)</f>
        <v>0</v>
      </c>
      <c r="AD221" s="580">
        <f t="shared" si="48"/>
        <v>5</v>
      </c>
      <c r="AE221" s="580">
        <f t="shared" si="49"/>
        <v>2.5</v>
      </c>
      <c r="AF221" s="580">
        <f t="shared" si="50"/>
        <v>2.5</v>
      </c>
      <c r="AG221" s="580">
        <f t="shared" si="51"/>
        <v>0</v>
      </c>
      <c r="AH221" s="580">
        <f t="shared" si="52"/>
        <v>0</v>
      </c>
    </row>
    <row r="222" spans="2:34">
      <c r="B222" s="694"/>
      <c r="C222" s="692"/>
      <c r="D222" s="690"/>
      <c r="E222" s="258"/>
      <c r="F222" s="241"/>
      <c r="G222" s="241"/>
      <c r="H222" s="242"/>
      <c r="I222" s="241"/>
      <c r="J222" s="241"/>
      <c r="K222" s="259"/>
      <c r="L222" s="254"/>
      <c r="M222" s="255" t="s">
        <v>518</v>
      </c>
      <c r="N222" s="608">
        <f>HLOOKUP("MFCore:Zone/Sys Sensible Cooling Rate [W](Hourly)",'Eplus results'!1:65536,'graph data'!D4,FALSE)</f>
        <v>0</v>
      </c>
      <c r="O222" s="260" t="s">
        <v>158</v>
      </c>
      <c r="P222" s="256" t="e">
        <f>N222/(N224+N225)</f>
        <v>#DIV/0!</v>
      </c>
      <c r="Q222" s="235"/>
      <c r="R222" s="235"/>
      <c r="AB222" s="580">
        <f>HLOOKUP("*"&amp;'Output annual'!$AC$2&amp;'Output annual'!$AD$2&amp;"*Zone People Number Of Occupants [](Hourly)",'Eplus results'!$1:$1048576,ROW(),FALSE)</f>
        <v>0</v>
      </c>
      <c r="AC222" s="580">
        <f>HLOOKUP("*"&amp;'Output annual'!$AC$2&amp;'Output annual'!$AD$2&amp;"*FangerPMV(Hourly)",'Eplus results'!$1:$1048576,ROW(),FALSE)</f>
        <v>0</v>
      </c>
      <c r="AD222" s="580">
        <f t="shared" si="48"/>
        <v>5</v>
      </c>
      <c r="AE222" s="580">
        <f t="shared" si="49"/>
        <v>2.5</v>
      </c>
      <c r="AF222" s="580">
        <f t="shared" si="50"/>
        <v>2.5</v>
      </c>
      <c r="AG222" s="580">
        <f t="shared" si="51"/>
        <v>0</v>
      </c>
      <c r="AH222" s="580">
        <f t="shared" si="52"/>
        <v>0</v>
      </c>
    </row>
    <row r="223" spans="2:34">
      <c r="B223" s="694"/>
      <c r="C223" s="692"/>
      <c r="D223" s="690"/>
      <c r="E223" s="258"/>
      <c r="F223" s="241"/>
      <c r="G223" s="241"/>
      <c r="H223" s="242"/>
      <c r="I223" s="241"/>
      <c r="J223" s="241"/>
      <c r="K223" s="259"/>
      <c r="L223" s="273">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0</v>
      </c>
      <c r="M223" s="255"/>
      <c r="N223" s="255"/>
      <c r="O223" s="260"/>
      <c r="P223" s="256"/>
      <c r="Q223" s="609" t="e">
        <f>L219+L226+N224</f>
        <v>#N/A</v>
      </c>
      <c r="R223" s="235"/>
      <c r="AB223" s="580">
        <f>HLOOKUP("*"&amp;'Output annual'!$AC$2&amp;'Output annual'!$AD$2&amp;"*Zone People Number Of Occupants [](Hourly)",'Eplus results'!$1:$1048576,ROW(),FALSE)</f>
        <v>0</v>
      </c>
      <c r="AC223" s="580">
        <f>HLOOKUP("*"&amp;'Output annual'!$AC$2&amp;'Output annual'!$AD$2&amp;"*FangerPMV(Hourly)",'Eplus results'!$1:$1048576,ROW(),FALSE)</f>
        <v>0</v>
      </c>
      <c r="AD223" s="580">
        <f t="shared" si="48"/>
        <v>5</v>
      </c>
      <c r="AE223" s="580">
        <f t="shared" si="49"/>
        <v>2.5</v>
      </c>
      <c r="AF223" s="580">
        <f t="shared" si="50"/>
        <v>2.5</v>
      </c>
      <c r="AG223" s="580">
        <f t="shared" si="51"/>
        <v>0</v>
      </c>
      <c r="AH223" s="580">
        <f t="shared" si="52"/>
        <v>0</v>
      </c>
    </row>
    <row r="224" spans="2:34">
      <c r="B224" s="694"/>
      <c r="C224" s="692"/>
      <c r="D224" s="690"/>
      <c r="E224" s="258" t="s">
        <v>509</v>
      </c>
      <c r="F224" s="241"/>
      <c r="G224" s="247" t="s">
        <v>485</v>
      </c>
      <c r="H224" s="242" t="e">
        <f>IF(RunType="OH",HLOOKUP("MFCore:Zone/Sys Air Temperature[C](Hourly)",'Eplus results'!$1:$1048576,'graph data'!D4, FALSE), HLOOKUP("MFCore:UF Occupied Subzone Temperature[C](Hourly)",'Eplus results'!$1:$1048576,'graph data'!D4, FALSE))</f>
        <v>#N/A</v>
      </c>
      <c r="I224" s="241"/>
      <c r="J224" s="241"/>
      <c r="K224" s="259"/>
      <c r="L224" s="254"/>
      <c r="M224" s="255" t="s">
        <v>458</v>
      </c>
      <c r="N224" s="255">
        <f>(HLOOKUP("MFCore:Zone Total Internal Convective Heat Gain [J](Hourly)",'Eplus results'!1:1048576,'graph data'!D4,FALSE)/3600)</f>
        <v>0</v>
      </c>
      <c r="O224" s="276"/>
      <c r="P224" s="256"/>
      <c r="Q224" s="235"/>
      <c r="R224" s="235"/>
      <c r="AB224" s="580">
        <f>HLOOKUP("*"&amp;'Output annual'!$AC$2&amp;'Output annual'!$AD$2&amp;"*Zone People Number Of Occupants [](Hourly)",'Eplus results'!$1:$1048576,ROW(),FALSE)</f>
        <v>0</v>
      </c>
      <c r="AC224" s="580">
        <f>HLOOKUP("*"&amp;'Output annual'!$AC$2&amp;'Output annual'!$AD$2&amp;"*FangerPMV(Hourly)",'Eplus results'!$1:$1048576,ROW(),FALSE)</f>
        <v>0</v>
      </c>
      <c r="AD224" s="580">
        <f t="shared" si="48"/>
        <v>5</v>
      </c>
      <c r="AE224" s="580">
        <f t="shared" si="49"/>
        <v>2.5</v>
      </c>
      <c r="AF224" s="580">
        <f t="shared" si="50"/>
        <v>2.5</v>
      </c>
      <c r="AG224" s="580">
        <f t="shared" si="51"/>
        <v>0</v>
      </c>
      <c r="AH224" s="580">
        <f t="shared" si="52"/>
        <v>0</v>
      </c>
    </row>
    <row r="225" spans="2:34">
      <c r="B225" s="694"/>
      <c r="C225" s="692"/>
      <c r="D225" s="690"/>
      <c r="E225" s="258"/>
      <c r="F225" s="241"/>
      <c r="G225" s="241"/>
      <c r="H225" s="242"/>
      <c r="I225" s="241"/>
      <c r="J225" s="241"/>
      <c r="K225" s="259"/>
      <c r="L225" s="254"/>
      <c r="M225" s="255" t="s">
        <v>459</v>
      </c>
      <c r="N225" s="255">
        <f>HLOOKUP("MFCore:Zone Window Heat Gain[W](Hourly)",'Eplus results'!1:1048576,'graph data'!D4,FALSE)</f>
        <v>0</v>
      </c>
      <c r="O225" s="260"/>
      <c r="P225" s="256"/>
      <c r="Q225" s="235"/>
      <c r="R225" s="235"/>
      <c r="AB225" s="580">
        <f>HLOOKUP("*"&amp;'Output annual'!$AC$2&amp;'Output annual'!$AD$2&amp;"*Zone People Number Of Occupants [](Hourly)",'Eplus results'!$1:$1048576,ROW(),FALSE)</f>
        <v>0</v>
      </c>
      <c r="AC225" s="580">
        <f>HLOOKUP("*"&amp;'Output annual'!$AC$2&amp;'Output annual'!$AD$2&amp;"*FangerPMV(Hourly)",'Eplus results'!$1:$1048576,ROW(),FALSE)</f>
        <v>0</v>
      </c>
      <c r="AD225" s="580">
        <f t="shared" si="48"/>
        <v>5</v>
      </c>
      <c r="AE225" s="580">
        <f t="shared" si="49"/>
        <v>2.5</v>
      </c>
      <c r="AF225" s="580">
        <f t="shared" si="50"/>
        <v>2.5</v>
      </c>
      <c r="AG225" s="580">
        <f t="shared" si="51"/>
        <v>0</v>
      </c>
      <c r="AH225" s="580">
        <f t="shared" si="52"/>
        <v>0</v>
      </c>
    </row>
    <row r="226" spans="2:34">
      <c r="B226" s="694"/>
      <c r="C226" s="692"/>
      <c r="D226" s="690"/>
      <c r="E226" s="258"/>
      <c r="F226" s="241"/>
      <c r="G226" s="241"/>
      <c r="H226" s="242"/>
      <c r="I226" s="241"/>
      <c r="J226" s="241"/>
      <c r="K226" s="259" t="s">
        <v>486</v>
      </c>
      <c r="L226" s="254" t="e">
        <f>HLOOKUP("MFCore_Floor1:Surface Int Convection Heat Rate [W](Hourly)",'Eplus results'!$1:$1048576,'graph data'!D4,FALSE)*2</f>
        <v>#N/A</v>
      </c>
      <c r="M226" s="255"/>
      <c r="N226" s="255"/>
      <c r="O226" s="260"/>
      <c r="P226" s="256"/>
      <c r="Q226" s="274" t="e">
        <f>L231+L214+N224+L215+L223+L230+M217+M219+L216+L219+L226+L229</f>
        <v>#N/A</v>
      </c>
      <c r="R226" s="274" t="e">
        <f>N215+N222+N230</f>
        <v>#N/A</v>
      </c>
      <c r="AB226" s="580">
        <f>HLOOKUP("*"&amp;'Output annual'!$AC$2&amp;'Output annual'!$AD$2&amp;"*Zone People Number Of Occupants [](Hourly)",'Eplus results'!$1:$1048576,ROW(),FALSE)</f>
        <v>0</v>
      </c>
      <c r="AC226" s="580">
        <f>HLOOKUP("*"&amp;'Output annual'!$AC$2&amp;'Output annual'!$AD$2&amp;"*FangerPMV(Hourly)",'Eplus results'!$1:$1048576,ROW(),FALSE)</f>
        <v>0</v>
      </c>
      <c r="AD226" s="580">
        <f t="shared" si="48"/>
        <v>5</v>
      </c>
      <c r="AE226" s="580">
        <f t="shared" si="49"/>
        <v>2.5</v>
      </c>
      <c r="AF226" s="580">
        <f t="shared" si="50"/>
        <v>2.5</v>
      </c>
      <c r="AG226" s="580">
        <f t="shared" si="51"/>
        <v>0</v>
      </c>
      <c r="AH226" s="580">
        <f t="shared" si="52"/>
        <v>0</v>
      </c>
    </row>
    <row r="227" spans="2:34">
      <c r="B227" s="694"/>
      <c r="C227" s="692"/>
      <c r="D227" s="689" t="s">
        <v>522</v>
      </c>
      <c r="E227" s="258"/>
      <c r="F227" s="241"/>
      <c r="G227" s="247" t="s">
        <v>484</v>
      </c>
      <c r="H227" s="242" t="e">
        <f>HLOOKUP("MFSPCore_CEILING1:Surface Outside Temperature[C](Hourly)",'Eplus results'!1:65536,'graph data'!D4,FALSE)</f>
        <v>#N/A</v>
      </c>
      <c r="I227" s="241"/>
      <c r="J227" s="241"/>
      <c r="K227" s="259"/>
      <c r="L227" s="254"/>
      <c r="M227" s="255"/>
      <c r="N227" s="255"/>
      <c r="O227" s="260"/>
      <c r="P227" s="256"/>
      <c r="Q227" s="274"/>
      <c r="R227" s="235"/>
      <c r="AB227" s="580">
        <f>HLOOKUP("*"&amp;'Output annual'!$AC$2&amp;'Output annual'!$AD$2&amp;"*Zone People Number Of Occupants [](Hourly)",'Eplus results'!$1:$1048576,ROW(),FALSE)</f>
        <v>0</v>
      </c>
      <c r="AC227" s="580">
        <f>HLOOKUP("*"&amp;'Output annual'!$AC$2&amp;'Output annual'!$AD$2&amp;"*FangerPMV(Hourly)",'Eplus results'!$1:$1048576,ROW(),FALSE)</f>
        <v>0</v>
      </c>
      <c r="AD227" s="580">
        <f t="shared" si="48"/>
        <v>5</v>
      </c>
      <c r="AE227" s="580">
        <f t="shared" si="49"/>
        <v>2.5</v>
      </c>
      <c r="AF227" s="580">
        <f t="shared" si="50"/>
        <v>2.5</v>
      </c>
      <c r="AG227" s="580">
        <f t="shared" si="51"/>
        <v>0</v>
      </c>
      <c r="AH227" s="580">
        <f t="shared" si="52"/>
        <v>0</v>
      </c>
    </row>
    <row r="228" spans="2:34">
      <c r="B228" s="694"/>
      <c r="C228" s="692"/>
      <c r="D228" s="689"/>
      <c r="E228" s="258"/>
      <c r="F228" s="241"/>
      <c r="G228" s="247" t="s">
        <v>484</v>
      </c>
      <c r="H228" s="242" t="e">
        <f>HLOOKUP("MFSPCore_CEILING1:Surface Inside Temperature[C](Hourly)",'Eplus results'!1:65536,'graph data'!D4,FALSE)</f>
        <v>#N/A</v>
      </c>
      <c r="I228" s="241"/>
      <c r="J228" s="241"/>
      <c r="K228" s="259"/>
      <c r="L228" s="254"/>
      <c r="M228" s="255"/>
      <c r="N228" s="274"/>
      <c r="O228" s="260"/>
      <c r="P228" s="256"/>
      <c r="Q228" s="235"/>
      <c r="R228" s="235"/>
      <c r="AB228" s="580">
        <f>HLOOKUP("*"&amp;'Output annual'!$AC$2&amp;'Output annual'!$AD$2&amp;"*Zone People Number Of Occupants [](Hourly)",'Eplus results'!$1:$1048576,ROW(),FALSE)</f>
        <v>0</v>
      </c>
      <c r="AC228" s="580">
        <f>HLOOKUP("*"&amp;'Output annual'!$AC$2&amp;'Output annual'!$AD$2&amp;"*FangerPMV(Hourly)",'Eplus results'!$1:$1048576,ROW(),FALSE)</f>
        <v>0</v>
      </c>
      <c r="AD228" s="580">
        <f t="shared" si="48"/>
        <v>5</v>
      </c>
      <c r="AE228" s="580">
        <f t="shared" si="49"/>
        <v>2.5</v>
      </c>
      <c r="AF228" s="580">
        <f t="shared" si="50"/>
        <v>2.5</v>
      </c>
      <c r="AG228" s="580">
        <f t="shared" si="51"/>
        <v>0</v>
      </c>
      <c r="AH228" s="580">
        <f t="shared" si="52"/>
        <v>0</v>
      </c>
    </row>
    <row r="229" spans="2:34">
      <c r="B229" s="694"/>
      <c r="C229" s="692"/>
      <c r="D229" s="235"/>
      <c r="E229" s="258"/>
      <c r="F229" s="241"/>
      <c r="G229" s="241"/>
      <c r="H229" s="242"/>
      <c r="I229" s="241"/>
      <c r="J229" s="277"/>
      <c r="K229" s="259" t="s">
        <v>486</v>
      </c>
      <c r="L229" s="254" t="e">
        <f>HLOOKUP("MFSPCore_Ceiling1:Surface Int Convection Heat Rate [W](Hourly)",'Eplus results'!1:65536,'graph data'!D4,FALSE)*2</f>
        <v>#N/A</v>
      </c>
      <c r="M229" s="255"/>
      <c r="N229" s="255"/>
      <c r="O229" s="260"/>
      <c r="P229" s="256" t="s">
        <v>457</v>
      </c>
      <c r="Q229" s="235"/>
      <c r="R229" s="235"/>
      <c r="AB229" s="580">
        <f>HLOOKUP("*"&amp;'Output annual'!$AC$2&amp;'Output annual'!$AD$2&amp;"*Zone People Number Of Occupants [](Hourly)",'Eplus results'!$1:$1048576,ROW(),FALSE)</f>
        <v>0</v>
      </c>
      <c r="AC229" s="580">
        <f>HLOOKUP("*"&amp;'Output annual'!$AC$2&amp;'Output annual'!$AD$2&amp;"*FangerPMV(Hourly)",'Eplus results'!$1:$1048576,ROW(),FALSE)</f>
        <v>0</v>
      </c>
      <c r="AD229" s="580">
        <f t="shared" si="48"/>
        <v>5</v>
      </c>
      <c r="AE229" s="580">
        <f t="shared" si="49"/>
        <v>2.5</v>
      </c>
      <c r="AF229" s="580">
        <f t="shared" si="50"/>
        <v>2.5</v>
      </c>
      <c r="AG229" s="580">
        <f t="shared" si="51"/>
        <v>0</v>
      </c>
      <c r="AH229" s="580">
        <f t="shared" si="52"/>
        <v>0</v>
      </c>
    </row>
    <row r="230" spans="2:34">
      <c r="B230" s="694"/>
      <c r="C230" s="692"/>
      <c r="D230" s="257"/>
      <c r="E230" s="258" t="s">
        <v>3</v>
      </c>
      <c r="F230" s="241"/>
      <c r="G230" s="247" t="s">
        <v>485</v>
      </c>
      <c r="H230" s="242" t="e">
        <f>HLOOKUP("MFSPCore:Zone/Sys Air Temperature[C](Hourly)",'Eplus results'!$1:$1048576,'graph data'!D4, FALSE)</f>
        <v>#N/A</v>
      </c>
      <c r="I230" s="241"/>
      <c r="J230" s="241"/>
      <c r="K230" s="259"/>
      <c r="L230" s="273"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5" t="s">
        <v>519</v>
      </c>
      <c r="N230" s="255" t="e">
        <f>HLOOKUP("MFSPCore:Zone/Sys Sensible Cooling Rate[W](Hourly)",'Eplus results'!1:65536,'graph data'!D4,FALSE)</f>
        <v>#N/A</v>
      </c>
      <c r="O230" s="260" t="s">
        <v>158</v>
      </c>
      <c r="P230" s="256" t="e">
        <f>N230/(L229+L231)</f>
        <v>#N/A</v>
      </c>
      <c r="Q230" s="235"/>
      <c r="R230" s="235"/>
      <c r="AB230" s="580">
        <f>HLOOKUP("*"&amp;'Output annual'!$AC$2&amp;'Output annual'!$AD$2&amp;"*Zone People Number Of Occupants [](Hourly)",'Eplus results'!$1:$1048576,ROW(),FALSE)</f>
        <v>0</v>
      </c>
      <c r="AC230" s="580">
        <f>HLOOKUP("*"&amp;'Output annual'!$AC$2&amp;'Output annual'!$AD$2&amp;"*FangerPMV(Hourly)",'Eplus results'!$1:$1048576,ROW(),FALSE)</f>
        <v>0</v>
      </c>
      <c r="AD230" s="580">
        <f t="shared" si="48"/>
        <v>5</v>
      </c>
      <c r="AE230" s="580">
        <f t="shared" si="49"/>
        <v>2.5</v>
      </c>
      <c r="AF230" s="580">
        <f t="shared" si="50"/>
        <v>2.5</v>
      </c>
      <c r="AG230" s="580">
        <f t="shared" si="51"/>
        <v>0</v>
      </c>
      <c r="AH230" s="580">
        <f t="shared" si="52"/>
        <v>0</v>
      </c>
    </row>
    <row r="231" spans="2:34" ht="13.5" thickBot="1">
      <c r="B231" s="694"/>
      <c r="C231" s="693"/>
      <c r="D231" s="261"/>
      <c r="E231" s="262"/>
      <c r="F231" s="263"/>
      <c r="G231" s="263"/>
      <c r="H231" s="264"/>
      <c r="I231" s="263"/>
      <c r="J231" s="278"/>
      <c r="K231" s="265" t="s">
        <v>486</v>
      </c>
      <c r="L231" s="254" t="e">
        <f>IF(RunType="OH",HLOOKUP("MFCore_FLOOR1:Surface Int Convection Heat Rate [W](Hourly)",'Eplus results'!$1:$1048576,'graph data'!D4, FALSE)*2, HLOOKUP("MFSPCore_Floor1:Surface Int Convection Heat Rate [W](Hourly)",'Eplus results'!1:65536,'graph data'!D4,FALSE)*2)</f>
        <v>#N/A</v>
      </c>
      <c r="M231" s="255"/>
      <c r="N231" s="255"/>
      <c r="O231" s="235"/>
      <c r="P231" s="256"/>
      <c r="Q231" s="235"/>
      <c r="R231" s="235"/>
      <c r="AB231" s="580">
        <f>HLOOKUP("*"&amp;'Output annual'!$AC$2&amp;'Output annual'!$AD$2&amp;"*Zone People Number Of Occupants [](Hourly)",'Eplus results'!$1:$1048576,ROW(),FALSE)</f>
        <v>0</v>
      </c>
      <c r="AC231" s="580">
        <f>HLOOKUP("*"&amp;'Output annual'!$AC$2&amp;'Output annual'!$AD$2&amp;"*FangerPMV(Hourly)",'Eplus results'!$1:$1048576,ROW(),FALSE)</f>
        <v>0</v>
      </c>
      <c r="AD231" s="580">
        <f t="shared" si="48"/>
        <v>5</v>
      </c>
      <c r="AE231" s="580">
        <f t="shared" si="49"/>
        <v>2.5</v>
      </c>
      <c r="AF231" s="580">
        <f t="shared" si="50"/>
        <v>2.5</v>
      </c>
      <c r="AG231" s="580">
        <f t="shared" si="51"/>
        <v>0</v>
      </c>
      <c r="AH231" s="580">
        <f t="shared" si="52"/>
        <v>0</v>
      </c>
    </row>
    <row r="232" spans="2:34">
      <c r="B232" s="235"/>
      <c r="C232" s="236"/>
      <c r="D232" s="238"/>
      <c r="E232" s="268"/>
      <c r="F232" s="241"/>
      <c r="G232" s="247" t="s">
        <v>484</v>
      </c>
      <c r="H232" s="242" t="e">
        <f>IF(RunType="OH",HLOOKUP("MFCore_FLOOR1:Surface Inside Temperature[C](Hourly)",'Eplus results'!$1:$1048576,'graph data'!D4, FALSE), HLOOKUP("MFSPCore_FLOOR1:Surface Inside Temperature[C](Hourly)",'Eplus results'!1:65536,'graph data'!D4,FALSE))</f>
        <v>#N/A</v>
      </c>
      <c r="I232" s="241"/>
      <c r="J232" s="241"/>
      <c r="K232" s="247" t="s">
        <v>529</v>
      </c>
      <c r="L232" s="269" t="e">
        <f>IF(RunType="OH",HLOOKUP("MFCore_FLOOR1:Opaque Surface Inside Face Conduction[W](Hourly)",'Eplus results'!$1:$1048576,'graph data'!D4, FALSE)*2, HLOOKUP("MFSPCore_Floor1:Opaque Surface Inside Face Conduction[W](Hourly)",'Eplus results'!1:65536,'graph data'!D4,FALSE)*2)</f>
        <v>#N/A</v>
      </c>
      <c r="M232" s="270"/>
      <c r="N232" s="255"/>
      <c r="O232" s="235"/>
      <c r="P232" s="256"/>
      <c r="Q232" s="235"/>
      <c r="R232" s="235"/>
      <c r="AB232" s="580">
        <f>HLOOKUP("*"&amp;'Output annual'!$AC$2&amp;'Output annual'!$AD$2&amp;"*Zone People Number Of Occupants [](Hourly)",'Eplus results'!$1:$1048576,ROW(),FALSE)</f>
        <v>0</v>
      </c>
      <c r="AC232" s="580">
        <f>HLOOKUP("*"&amp;'Output annual'!$AC$2&amp;'Output annual'!$AD$2&amp;"*FangerPMV(Hourly)",'Eplus results'!$1:$1048576,ROW(),FALSE)</f>
        <v>0</v>
      </c>
      <c r="AD232" s="580">
        <f t="shared" si="48"/>
        <v>5</v>
      </c>
      <c r="AE232" s="580">
        <f t="shared" si="49"/>
        <v>2.5</v>
      </c>
      <c r="AF232" s="580">
        <f t="shared" si="50"/>
        <v>2.5</v>
      </c>
      <c r="AG232" s="580">
        <f t="shared" si="51"/>
        <v>0</v>
      </c>
      <c r="AH232" s="580">
        <f t="shared" si="52"/>
        <v>0</v>
      </c>
    </row>
    <row r="233" spans="2:34">
      <c r="B233" s="235"/>
      <c r="C233" s="235" t="s">
        <v>513</v>
      </c>
      <c r="D233" s="247"/>
      <c r="E233" s="268"/>
      <c r="F233" s="241"/>
      <c r="G233" s="241"/>
      <c r="H233" s="242"/>
      <c r="I233" s="241"/>
      <c r="J233" s="241"/>
      <c r="K233" s="241"/>
      <c r="L233" s="243"/>
      <c r="M233" s="244"/>
      <c r="N233" s="255"/>
      <c r="O233" s="235"/>
      <c r="P233" s="256"/>
      <c r="Q233" s="235"/>
      <c r="R233" s="235"/>
      <c r="AB233" s="580">
        <f>HLOOKUP("*"&amp;'Output annual'!$AC$2&amp;'Output annual'!$AD$2&amp;"*Zone People Number Of Occupants [](Hourly)",'Eplus results'!$1:$1048576,ROW(),FALSE)</f>
        <v>0</v>
      </c>
      <c r="AC233" s="580">
        <f>HLOOKUP("*"&amp;'Output annual'!$AC$2&amp;'Output annual'!$AD$2&amp;"*FangerPMV(Hourly)",'Eplus results'!$1:$1048576,ROW(),FALSE)</f>
        <v>0</v>
      </c>
      <c r="AD233" s="580">
        <f t="shared" si="48"/>
        <v>5</v>
      </c>
      <c r="AE233" s="580">
        <f t="shared" si="49"/>
        <v>2.5</v>
      </c>
      <c r="AF233" s="580">
        <f t="shared" si="50"/>
        <v>2.5</v>
      </c>
      <c r="AG233" s="580">
        <f t="shared" si="51"/>
        <v>0</v>
      </c>
      <c r="AH233" s="580">
        <f t="shared" si="52"/>
        <v>0</v>
      </c>
    </row>
    <row r="234" spans="2:34" ht="13.5" thickBot="1">
      <c r="B234" s="235"/>
      <c r="C234" s="245"/>
      <c r="D234" s="271"/>
      <c r="E234" s="268"/>
      <c r="F234" s="241"/>
      <c r="G234" s="247" t="s">
        <v>484</v>
      </c>
      <c r="H234" s="242" t="e">
        <f>IF(RunType="OH",HLOOKUP("MFCore_FLOOR1:Surface Outside Temperature[C](Hourly)",'Eplus results'!$1:$1048576,'graph data'!D4, FALSE), HLOOKUP("MFSPCore_FLOOR1:Surface Outside Temperature[C](Hourly)",'Eplus results'!1:65536,'graph data'!D4,FALSE))</f>
        <v>#N/A</v>
      </c>
      <c r="I234" s="241"/>
      <c r="J234" s="241"/>
      <c r="K234" s="247" t="s">
        <v>529</v>
      </c>
      <c r="L234" s="248" t="e">
        <f>HLOOKUP("GFRPCore_CEILING1:Opaque Surface Inside Face Conduction[W](Hourly)",'Eplus results'!1:65536,'graph data'!D4,FALSE)*2</f>
        <v>#N/A</v>
      </c>
      <c r="M234" s="249"/>
      <c r="N234" s="255"/>
      <c r="O234" s="235"/>
      <c r="P234" s="256"/>
      <c r="Q234" s="235"/>
      <c r="R234" s="235"/>
      <c r="AB234" s="580">
        <f>HLOOKUP("*"&amp;'Output annual'!$AC$2&amp;'Output annual'!$AD$2&amp;"*Zone People Number Of Occupants [](Hourly)",'Eplus results'!$1:$1048576,ROW(),FALSE)</f>
        <v>0</v>
      </c>
      <c r="AC234" s="580">
        <f>HLOOKUP("*"&amp;'Output annual'!$AC$2&amp;'Output annual'!$AD$2&amp;"*FangerPMV(Hourly)",'Eplus results'!$1:$1048576,ROW(),FALSE)</f>
        <v>0</v>
      </c>
      <c r="AD234" s="580">
        <f t="shared" si="48"/>
        <v>5</v>
      </c>
      <c r="AE234" s="580">
        <f t="shared" si="49"/>
        <v>2.5</v>
      </c>
      <c r="AF234" s="580">
        <f t="shared" si="50"/>
        <v>2.5</v>
      </c>
      <c r="AG234" s="580">
        <f t="shared" si="51"/>
        <v>0</v>
      </c>
      <c r="AH234" s="580">
        <f t="shared" si="52"/>
        <v>0</v>
      </c>
    </row>
    <row r="235" spans="2:34">
      <c r="B235" s="235"/>
      <c r="C235" s="691" t="s">
        <v>526</v>
      </c>
      <c r="D235" s="235"/>
      <c r="E235" s="272"/>
      <c r="F235" s="251"/>
      <c r="G235" s="251"/>
      <c r="H235" s="252"/>
      <c r="I235" s="251"/>
      <c r="J235" s="251"/>
      <c r="K235" s="253" t="s">
        <v>486</v>
      </c>
      <c r="L235" s="254" t="e">
        <f>HLOOKUP("GFRPCore_Ceiling1:Surface Int Convection Heat Rate [W](Hourly)",'Eplus results'!1:65536,'graph data'!D4,FALSE)*2</f>
        <v>#N/A</v>
      </c>
      <c r="M235" s="255"/>
      <c r="N235" s="255"/>
      <c r="O235" s="235"/>
      <c r="P235" s="256" t="s">
        <v>457</v>
      </c>
      <c r="Q235" s="235"/>
      <c r="R235" s="235"/>
      <c r="AB235" s="580">
        <f>HLOOKUP("*"&amp;'Output annual'!$AC$2&amp;'Output annual'!$AD$2&amp;"*Zone People Number Of Occupants [](Hourly)",'Eplus results'!$1:$1048576,ROW(),FALSE)</f>
        <v>0</v>
      </c>
      <c r="AC235" s="580">
        <f>HLOOKUP("*"&amp;'Output annual'!$AC$2&amp;'Output annual'!$AD$2&amp;"*FangerPMV(Hourly)",'Eplus results'!$1:$1048576,ROW(),FALSE)</f>
        <v>0</v>
      </c>
      <c r="AD235" s="580">
        <f t="shared" si="48"/>
        <v>5</v>
      </c>
      <c r="AE235" s="580">
        <f t="shared" si="49"/>
        <v>2.5</v>
      </c>
      <c r="AF235" s="580">
        <f t="shared" si="50"/>
        <v>2.5</v>
      </c>
      <c r="AG235" s="580">
        <f t="shared" si="51"/>
        <v>0</v>
      </c>
      <c r="AH235" s="580">
        <f t="shared" si="52"/>
        <v>0</v>
      </c>
    </row>
    <row r="236" spans="2:34">
      <c r="B236" s="235"/>
      <c r="C236" s="692"/>
      <c r="D236" s="257"/>
      <c r="E236" s="258" t="s">
        <v>511</v>
      </c>
      <c r="F236" s="241"/>
      <c r="G236" s="247" t="s">
        <v>485</v>
      </c>
      <c r="H236" s="242" t="e">
        <f>HLOOKUP("GFRPCore:Zone/Sys Air Temperature[C](Hourly)",'Eplus results'!$1:$1048576,'graph data'!D4, FALSE)</f>
        <v>#N/A</v>
      </c>
      <c r="I236" s="241"/>
      <c r="J236" s="241"/>
      <c r="K236" s="259"/>
      <c r="L236" s="254"/>
      <c r="M236" s="255" t="s">
        <v>517</v>
      </c>
      <c r="N236" s="255" t="e">
        <f>HLOOKUP("GFRPCore:Zone/Sys Sensible Cooling Rate[W](Hourly)",'Eplus results'!1:65536,'graph data'!D4,FALSE)</f>
        <v>#N/A</v>
      </c>
      <c r="O236" s="260" t="s">
        <v>158</v>
      </c>
      <c r="P236" s="256" t="e">
        <f>N236/(L235+L237)</f>
        <v>#N/A</v>
      </c>
      <c r="Q236" s="235"/>
      <c r="R236" s="235"/>
      <c r="AB236" s="580">
        <f>HLOOKUP("*"&amp;'Output annual'!$AC$2&amp;'Output annual'!$AD$2&amp;"*Zone People Number Of Occupants [](Hourly)",'Eplus results'!$1:$1048576,ROW(),FALSE)</f>
        <v>0</v>
      </c>
      <c r="AC236" s="580">
        <f>HLOOKUP("*"&amp;'Output annual'!$AC$2&amp;'Output annual'!$AD$2&amp;"*FangerPMV(Hourly)",'Eplus results'!$1:$1048576,ROW(),FALSE)</f>
        <v>0</v>
      </c>
      <c r="AD236" s="580">
        <f t="shared" si="48"/>
        <v>5</v>
      </c>
      <c r="AE236" s="580">
        <f t="shared" si="49"/>
        <v>2.5</v>
      </c>
      <c r="AF236" s="580">
        <f t="shared" si="50"/>
        <v>2.5</v>
      </c>
      <c r="AG236" s="580">
        <f t="shared" si="51"/>
        <v>0</v>
      </c>
      <c r="AH236" s="580">
        <f t="shared" si="52"/>
        <v>0</v>
      </c>
    </row>
    <row r="237" spans="2:34">
      <c r="B237" s="235"/>
      <c r="C237" s="692"/>
      <c r="D237" s="257"/>
      <c r="E237" s="258"/>
      <c r="F237" s="241"/>
      <c r="G237" s="241"/>
      <c r="H237" s="242"/>
      <c r="I237" s="241"/>
      <c r="J237" s="241"/>
      <c r="K237" s="259" t="s">
        <v>486</v>
      </c>
      <c r="L237" s="254" t="e">
        <f>HLOOKUP("GFRPCore_Floor1:Surface Int Convection Heat Rate [W](Hourly)",'Eplus results'!1:65536,'graph data'!D4,FALSE)*2</f>
        <v>#N/A</v>
      </c>
      <c r="M237" s="255"/>
      <c r="N237" s="255"/>
      <c r="O237" s="260"/>
      <c r="P237" s="256"/>
      <c r="Q237" s="235"/>
      <c r="R237" s="235"/>
      <c r="AB237" s="580">
        <f>HLOOKUP("*"&amp;'Output annual'!$AC$2&amp;'Output annual'!$AD$2&amp;"*Zone People Number Of Occupants [](Hourly)",'Eplus results'!$1:$1048576,ROW(),FALSE)</f>
        <v>0</v>
      </c>
      <c r="AC237" s="580">
        <f>HLOOKUP("*"&amp;'Output annual'!$AC$2&amp;'Output annual'!$AD$2&amp;"*FangerPMV(Hourly)",'Eplus results'!$1:$1048576,ROW(),FALSE)</f>
        <v>0</v>
      </c>
      <c r="AD237" s="580">
        <f t="shared" si="48"/>
        <v>5</v>
      </c>
      <c r="AE237" s="580">
        <f t="shared" si="49"/>
        <v>2.5</v>
      </c>
      <c r="AF237" s="580">
        <f t="shared" si="50"/>
        <v>2.5</v>
      </c>
      <c r="AG237" s="580">
        <f t="shared" si="51"/>
        <v>0</v>
      </c>
      <c r="AH237" s="580">
        <f t="shared" si="52"/>
        <v>0</v>
      </c>
    </row>
    <row r="238" spans="2:34">
      <c r="B238" s="235"/>
      <c r="C238" s="692"/>
      <c r="D238" s="689" t="s">
        <v>520</v>
      </c>
      <c r="E238" s="258"/>
      <c r="F238" s="241"/>
      <c r="G238" s="247" t="s">
        <v>484</v>
      </c>
      <c r="H238" s="242" t="e">
        <f>HLOOKUP("GFRPCore_FLOOR1:Surface Inside Temperature[C](Hourly)",'Eplus results'!1:65536,'graph data'!D4,FALSE)</f>
        <v>#N/A</v>
      </c>
      <c r="I238" s="241"/>
      <c r="J238" s="241"/>
      <c r="K238" s="259"/>
      <c r="L238" s="254"/>
      <c r="M238" s="255"/>
      <c r="N238" s="255"/>
      <c r="O238" s="260"/>
      <c r="P238" s="256"/>
      <c r="Q238" s="235"/>
      <c r="R238" s="235"/>
      <c r="AB238" s="580">
        <f>HLOOKUP("*"&amp;'Output annual'!$AC$2&amp;'Output annual'!$AD$2&amp;"*Zone People Number Of Occupants [](Hourly)",'Eplus results'!$1:$1048576,ROW(),FALSE)</f>
        <v>0</v>
      </c>
      <c r="AC238" s="580">
        <f>HLOOKUP("*"&amp;'Output annual'!$AC$2&amp;'Output annual'!$AD$2&amp;"*FangerPMV(Hourly)",'Eplus results'!$1:$1048576,ROW(),FALSE)</f>
        <v>0</v>
      </c>
      <c r="AD238" s="580">
        <f t="shared" si="48"/>
        <v>5</v>
      </c>
      <c r="AE238" s="580">
        <f t="shared" si="49"/>
        <v>2.5</v>
      </c>
      <c r="AF238" s="580">
        <f t="shared" si="50"/>
        <v>2.5</v>
      </c>
      <c r="AG238" s="580">
        <f t="shared" si="51"/>
        <v>0</v>
      </c>
      <c r="AH238" s="580">
        <f t="shared" si="52"/>
        <v>0</v>
      </c>
    </row>
    <row r="239" spans="2:34">
      <c r="B239" s="235"/>
      <c r="C239" s="692"/>
      <c r="D239" s="689"/>
      <c r="E239" s="258"/>
      <c r="F239" s="241"/>
      <c r="G239" s="247" t="s">
        <v>484</v>
      </c>
      <c r="H239" s="242" t="e">
        <f>HLOOKUP("GFRPCore_FLOOR1:Surface Outside Temperature[C](Hourly)",'Eplus results'!1:65536,'graph data'!D4,FALSE)</f>
        <v>#N/A</v>
      </c>
      <c r="I239" s="241"/>
      <c r="J239" s="241"/>
      <c r="K239" s="259"/>
      <c r="L239" s="254"/>
      <c r="M239" s="255"/>
      <c r="N239" s="255"/>
      <c r="O239" s="260"/>
      <c r="P239" s="256"/>
      <c r="Q239" s="235"/>
      <c r="R239" s="235"/>
      <c r="AB239" s="580">
        <f>HLOOKUP("*"&amp;'Output annual'!$AC$2&amp;'Output annual'!$AD$2&amp;"*Zone People Number Of Occupants [](Hourly)",'Eplus results'!$1:$1048576,ROW(),FALSE)</f>
        <v>0</v>
      </c>
      <c r="AC239" s="580">
        <f>HLOOKUP("*"&amp;'Output annual'!$AC$2&amp;'Output annual'!$AD$2&amp;"*FangerPMV(Hourly)",'Eplus results'!$1:$1048576,ROW(),FALSE)</f>
        <v>0</v>
      </c>
      <c r="AD239" s="580">
        <f t="shared" si="48"/>
        <v>5</v>
      </c>
      <c r="AE239" s="580">
        <f t="shared" si="49"/>
        <v>2.5</v>
      </c>
      <c r="AF239" s="580">
        <f t="shared" si="50"/>
        <v>2.5</v>
      </c>
      <c r="AG239" s="580">
        <f t="shared" si="51"/>
        <v>0</v>
      </c>
      <c r="AH239" s="580">
        <f t="shared" si="52"/>
        <v>0</v>
      </c>
    </row>
    <row r="240" spans="2:34">
      <c r="B240" s="235"/>
      <c r="C240" s="692"/>
      <c r="D240" s="690" t="s">
        <v>521</v>
      </c>
      <c r="E240" s="258"/>
      <c r="F240" s="241"/>
      <c r="G240" s="241"/>
      <c r="H240" s="242"/>
      <c r="I240" s="241"/>
      <c r="J240" s="241"/>
      <c r="K240" s="259" t="s">
        <v>486</v>
      </c>
      <c r="L240" s="254" t="e">
        <f>HLOOKUP("GFCore_Ceiling1:Surface Int Convection Heat Rate [W](Hourly)",'Eplus results'!1:65536,'graph data'!D4,FALSE)*2</f>
        <v>#N/A</v>
      </c>
      <c r="M240" s="255"/>
      <c r="N240" s="255"/>
      <c r="O240" s="260"/>
      <c r="P240" s="256"/>
      <c r="Q240" s="235"/>
      <c r="R240" s="235"/>
      <c r="AB240" s="580">
        <f>HLOOKUP("*"&amp;'Output annual'!$AC$2&amp;'Output annual'!$AD$2&amp;"*Zone People Number Of Occupants [](Hourly)",'Eplus results'!$1:$1048576,ROW(),FALSE)</f>
        <v>0</v>
      </c>
      <c r="AC240" s="580">
        <f>HLOOKUP("*"&amp;'Output annual'!$AC$2&amp;'Output annual'!$AD$2&amp;"*FangerPMV(Hourly)",'Eplus results'!$1:$1048576,ROW(),FALSE)</f>
        <v>0</v>
      </c>
      <c r="AD240" s="580">
        <f t="shared" si="48"/>
        <v>5</v>
      </c>
      <c r="AE240" s="580">
        <f t="shared" si="49"/>
        <v>2.5</v>
      </c>
      <c r="AF240" s="580">
        <f t="shared" si="50"/>
        <v>2.5</v>
      </c>
      <c r="AG240" s="580">
        <f t="shared" si="51"/>
        <v>0</v>
      </c>
      <c r="AH240" s="580">
        <f t="shared" si="52"/>
        <v>0</v>
      </c>
    </row>
    <row r="241" spans="2:34">
      <c r="B241" s="235"/>
      <c r="C241" s="692"/>
      <c r="D241" s="690"/>
      <c r="E241" s="258" t="s">
        <v>510</v>
      </c>
      <c r="F241" s="241"/>
      <c r="G241" s="247" t="s">
        <v>485</v>
      </c>
      <c r="H241" s="242" t="e">
        <f>HLOOKUP("GFCore:UF Mixed Subzone Temperature[C](Hourly)",'Eplus results'!$1:$1048576,'graph data'!D4, FALSE)</f>
        <v>#N/A</v>
      </c>
      <c r="I241" s="241"/>
      <c r="J241" s="241"/>
      <c r="K241" s="259"/>
      <c r="L241" s="254"/>
      <c r="M241" s="255"/>
      <c r="N241" s="255"/>
      <c r="O241" s="260"/>
      <c r="P241" s="256"/>
      <c r="Q241" s="235"/>
      <c r="R241" s="235"/>
      <c r="AB241" s="580">
        <f>HLOOKUP("*"&amp;'Output annual'!$AC$2&amp;'Output annual'!$AD$2&amp;"*Zone People Number Of Occupants [](Hourly)",'Eplus results'!$1:$1048576,ROW(),FALSE)</f>
        <v>0</v>
      </c>
      <c r="AC241" s="580">
        <f>HLOOKUP("*"&amp;'Output annual'!$AC$2&amp;'Output annual'!$AD$2&amp;"*FangerPMV(Hourly)",'Eplus results'!$1:$1048576,ROW(),FALSE)</f>
        <v>0</v>
      </c>
      <c r="AD241" s="580">
        <f t="shared" si="48"/>
        <v>5</v>
      </c>
      <c r="AE241" s="580">
        <f t="shared" si="49"/>
        <v>2.5</v>
      </c>
      <c r="AF241" s="580">
        <f t="shared" si="50"/>
        <v>2.5</v>
      </c>
      <c r="AG241" s="580">
        <f t="shared" si="51"/>
        <v>0</v>
      </c>
      <c r="AH241" s="580">
        <f t="shared" si="52"/>
        <v>0</v>
      </c>
    </row>
    <row r="242" spans="2:34">
      <c r="B242" s="235"/>
      <c r="C242" s="692"/>
      <c r="D242" s="690"/>
      <c r="E242" s="258"/>
      <c r="F242" s="241"/>
      <c r="G242" s="241"/>
      <c r="H242" s="242"/>
      <c r="I242" s="241"/>
      <c r="J242" s="241"/>
      <c r="K242" s="259"/>
      <c r="L242" s="254"/>
      <c r="M242" s="255"/>
      <c r="N242" s="255"/>
      <c r="O242" s="260"/>
      <c r="P242" s="256" t="s">
        <v>457</v>
      </c>
      <c r="Q242" s="235"/>
      <c r="R242" s="235"/>
      <c r="AB242" s="580">
        <f>HLOOKUP("*"&amp;'Output annual'!$AC$2&amp;'Output annual'!$AD$2&amp;"*Zone People Number Of Occupants [](Hourly)",'Eplus results'!$1:$1048576,ROW(),FALSE)</f>
        <v>0</v>
      </c>
      <c r="AC242" s="580">
        <f>HLOOKUP("*"&amp;'Output annual'!$AC$2&amp;'Output annual'!$AD$2&amp;"*FangerPMV(Hourly)",'Eplus results'!$1:$1048576,ROW(),FALSE)</f>
        <v>0</v>
      </c>
      <c r="AD242" s="580">
        <f t="shared" si="48"/>
        <v>5</v>
      </c>
      <c r="AE242" s="580">
        <f t="shared" si="49"/>
        <v>2.5</v>
      </c>
      <c r="AF242" s="580">
        <f t="shared" si="50"/>
        <v>2.5</v>
      </c>
      <c r="AG242" s="580">
        <f t="shared" si="51"/>
        <v>0</v>
      </c>
      <c r="AH242" s="580">
        <f t="shared" si="52"/>
        <v>0</v>
      </c>
    </row>
    <row r="243" spans="2:34">
      <c r="B243" s="235"/>
      <c r="C243" s="692"/>
      <c r="D243" s="690"/>
      <c r="E243" s="258"/>
      <c r="F243" s="241"/>
      <c r="G243" s="241"/>
      <c r="H243" s="242"/>
      <c r="I243" s="241"/>
      <c r="J243" s="241"/>
      <c r="K243" s="259"/>
      <c r="L243" s="254"/>
      <c r="M243" s="255" t="s">
        <v>518</v>
      </c>
      <c r="N243" s="255" t="e">
        <f>HLOOKUP("GFCore:Zone/Sys Sensible Cooling Rate[W](Hourly)",'Eplus results'!1:65536,'graph data'!D4,FALSE)</f>
        <v>#N/A</v>
      </c>
      <c r="O243" s="260" t="s">
        <v>158</v>
      </c>
      <c r="P243" s="256" t="e">
        <f>N243/(N245+N246)</f>
        <v>#N/A</v>
      </c>
      <c r="Q243" s="235"/>
      <c r="R243" s="235"/>
      <c r="AB243" s="580">
        <f>HLOOKUP("*"&amp;'Output annual'!$AC$2&amp;'Output annual'!$AD$2&amp;"*Zone People Number Of Occupants [](Hourly)",'Eplus results'!$1:$1048576,ROW(),FALSE)</f>
        <v>0</v>
      </c>
      <c r="AC243" s="580">
        <f>HLOOKUP("*"&amp;'Output annual'!$AC$2&amp;'Output annual'!$AD$2&amp;"*FangerPMV(Hourly)",'Eplus results'!$1:$1048576,ROW(),FALSE)</f>
        <v>0</v>
      </c>
      <c r="AD243" s="580">
        <f t="shared" si="48"/>
        <v>5</v>
      </c>
      <c r="AE243" s="580">
        <f t="shared" si="49"/>
        <v>2.5</v>
      </c>
      <c r="AF243" s="580">
        <f t="shared" si="50"/>
        <v>2.5</v>
      </c>
      <c r="AG243" s="580">
        <f t="shared" si="51"/>
        <v>0</v>
      </c>
      <c r="AH243" s="580">
        <f t="shared" si="52"/>
        <v>0</v>
      </c>
    </row>
    <row r="244" spans="2:34">
      <c r="B244" s="235"/>
      <c r="C244" s="692"/>
      <c r="D244" s="690"/>
      <c r="E244" s="258"/>
      <c r="F244" s="241"/>
      <c r="G244" s="241"/>
      <c r="H244" s="242"/>
      <c r="I244" s="241"/>
      <c r="J244" s="241"/>
      <c r="K244" s="259"/>
      <c r="L244" s="254"/>
      <c r="M244" s="255"/>
      <c r="N244" s="255"/>
      <c r="O244" s="260"/>
      <c r="P244" s="256"/>
      <c r="Q244" s="235"/>
      <c r="R244" s="235"/>
      <c r="AB244" s="580">
        <f>HLOOKUP("*"&amp;'Output annual'!$AC$2&amp;'Output annual'!$AD$2&amp;"*Zone People Number Of Occupants [](Hourly)",'Eplus results'!$1:$1048576,ROW(),FALSE)</f>
        <v>0</v>
      </c>
      <c r="AC244" s="580">
        <f>HLOOKUP("*"&amp;'Output annual'!$AC$2&amp;'Output annual'!$AD$2&amp;"*FangerPMV(Hourly)",'Eplus results'!$1:$1048576,ROW(),FALSE)</f>
        <v>0</v>
      </c>
      <c r="AD244" s="580">
        <f t="shared" si="48"/>
        <v>5</v>
      </c>
      <c r="AE244" s="580">
        <f t="shared" si="49"/>
        <v>2.5</v>
      </c>
      <c r="AF244" s="580">
        <f t="shared" si="50"/>
        <v>2.5</v>
      </c>
      <c r="AG244" s="580">
        <f t="shared" si="51"/>
        <v>0</v>
      </c>
      <c r="AH244" s="580">
        <f t="shared" si="52"/>
        <v>0</v>
      </c>
    </row>
    <row r="245" spans="2:34">
      <c r="B245" s="235"/>
      <c r="C245" s="692"/>
      <c r="D245" s="690"/>
      <c r="E245" s="258" t="s">
        <v>509</v>
      </c>
      <c r="F245" s="241"/>
      <c r="G245" s="247" t="s">
        <v>485</v>
      </c>
      <c r="H245" s="242" t="e">
        <f>IF(RunType="OH",HLOOKUP("GFCore:Zone/Sys Air Temperature[C](Hourly)",'Eplus results'!$1:$1048576,'graph data'!D4, FALSE), HLOOKUP("GFCore:UF Occupied Subzone Temperature[C](Hourly)",'Eplus results'!$1:$1048576,'graph data'!D4, FALSE))</f>
        <v>#N/A</v>
      </c>
      <c r="I245" s="241"/>
      <c r="J245" s="241"/>
      <c r="K245" s="259"/>
      <c r="L245" s="254"/>
      <c r="M245" s="255" t="s">
        <v>458</v>
      </c>
      <c r="N245" s="255">
        <f>(HLOOKUP("GFCore:Zone Total Internal Convective Heat Gain [J](Hourly)",'Eplus results'!1:1048576,'graph data'!D4,FALSE)/3600)</f>
        <v>0</v>
      </c>
      <c r="O245" s="276"/>
      <c r="P245" s="256"/>
      <c r="Q245" s="235"/>
      <c r="R245" s="235"/>
      <c r="AB245" s="580">
        <f>HLOOKUP("*"&amp;'Output annual'!$AC$2&amp;'Output annual'!$AD$2&amp;"*Zone People Number Of Occupants [](Hourly)",'Eplus results'!$1:$1048576,ROW(),FALSE)</f>
        <v>0</v>
      </c>
      <c r="AC245" s="580">
        <f>HLOOKUP("*"&amp;'Output annual'!$AC$2&amp;'Output annual'!$AD$2&amp;"*FangerPMV(Hourly)",'Eplus results'!$1:$1048576,ROW(),FALSE)</f>
        <v>0</v>
      </c>
      <c r="AD245" s="580">
        <f t="shared" si="48"/>
        <v>5</v>
      </c>
      <c r="AE245" s="580">
        <f t="shared" si="49"/>
        <v>2.5</v>
      </c>
      <c r="AF245" s="580">
        <f t="shared" si="50"/>
        <v>2.5</v>
      </c>
      <c r="AG245" s="580">
        <f t="shared" si="51"/>
        <v>0</v>
      </c>
      <c r="AH245" s="580">
        <f t="shared" si="52"/>
        <v>0</v>
      </c>
    </row>
    <row r="246" spans="2:34">
      <c r="B246" s="235"/>
      <c r="C246" s="692"/>
      <c r="D246" s="690"/>
      <c r="E246" s="258"/>
      <c r="F246" s="241"/>
      <c r="G246" s="241"/>
      <c r="H246" s="242"/>
      <c r="I246" s="241"/>
      <c r="J246" s="241"/>
      <c r="K246" s="259"/>
      <c r="L246" s="254"/>
      <c r="M246" s="255" t="s">
        <v>459</v>
      </c>
      <c r="N246" s="255">
        <f>HLOOKUP("GFCore:Zone Window Heat Gain[W](Hourly)",'Eplus results'!1:1048576,'graph data'!D4,FALSE)</f>
        <v>0</v>
      </c>
      <c r="O246" s="260"/>
      <c r="P246" s="256"/>
      <c r="Q246" s="235"/>
      <c r="R246" s="235"/>
      <c r="AB246" s="580">
        <f>HLOOKUP("*"&amp;'Output annual'!$AC$2&amp;'Output annual'!$AD$2&amp;"*Zone People Number Of Occupants [](Hourly)",'Eplus results'!$1:$1048576,ROW(),FALSE)</f>
        <v>0</v>
      </c>
      <c r="AC246" s="580">
        <f>HLOOKUP("*"&amp;'Output annual'!$AC$2&amp;'Output annual'!$AD$2&amp;"*FangerPMV(Hourly)",'Eplus results'!$1:$1048576,ROW(),FALSE)</f>
        <v>0</v>
      </c>
      <c r="AD246" s="580">
        <f t="shared" si="48"/>
        <v>5</v>
      </c>
      <c r="AE246" s="580">
        <f t="shared" si="49"/>
        <v>2.5</v>
      </c>
      <c r="AF246" s="580">
        <f t="shared" si="50"/>
        <v>2.5</v>
      </c>
      <c r="AG246" s="580">
        <f t="shared" si="51"/>
        <v>0</v>
      </c>
      <c r="AH246" s="580">
        <f t="shared" si="52"/>
        <v>0</v>
      </c>
    </row>
    <row r="247" spans="2:34">
      <c r="B247" s="235"/>
      <c r="C247" s="692"/>
      <c r="D247" s="690"/>
      <c r="E247" s="258"/>
      <c r="F247" s="241"/>
      <c r="G247" s="241"/>
      <c r="H247" s="242"/>
      <c r="I247" s="241"/>
      <c r="J247" s="241"/>
      <c r="K247" s="259" t="s">
        <v>486</v>
      </c>
      <c r="L247" s="254" t="e">
        <f>HLOOKUP("GFCore_Floor1:Surface Int Convection Heat Rate [W](Hourly)",'Eplus results'!1:65536,'graph data'!D4,FALSE)*2</f>
        <v>#N/A</v>
      </c>
      <c r="M247" s="255"/>
      <c r="N247" s="255"/>
      <c r="O247" s="260"/>
      <c r="P247" s="256"/>
      <c r="Q247" s="235"/>
      <c r="R247" s="235"/>
      <c r="AB247" s="580">
        <f>HLOOKUP("*"&amp;'Output annual'!$AC$2&amp;'Output annual'!$AD$2&amp;"*Zone People Number Of Occupants [](Hourly)",'Eplus results'!$1:$1048576,ROW(),FALSE)</f>
        <v>0</v>
      </c>
      <c r="AC247" s="580">
        <f>HLOOKUP("*"&amp;'Output annual'!$AC$2&amp;'Output annual'!$AD$2&amp;"*FangerPMV(Hourly)",'Eplus results'!$1:$1048576,ROW(),FALSE)</f>
        <v>0</v>
      </c>
      <c r="AD247" s="580">
        <f t="shared" si="48"/>
        <v>5</v>
      </c>
      <c r="AE247" s="580">
        <f t="shared" si="49"/>
        <v>2.5</v>
      </c>
      <c r="AF247" s="580">
        <f t="shared" si="50"/>
        <v>2.5</v>
      </c>
      <c r="AG247" s="580">
        <f t="shared" si="51"/>
        <v>0</v>
      </c>
      <c r="AH247" s="580">
        <f t="shared" si="52"/>
        <v>0</v>
      </c>
    </row>
    <row r="248" spans="2:34">
      <c r="B248" s="235"/>
      <c r="C248" s="692"/>
      <c r="D248" s="689" t="s">
        <v>522</v>
      </c>
      <c r="E248" s="258"/>
      <c r="F248" s="241"/>
      <c r="G248" s="247" t="s">
        <v>484</v>
      </c>
      <c r="H248" s="242" t="e">
        <f>HLOOKUP("GFSPCore_CEILING1:Surface Outside Temperature[C](Hourly)",'Eplus results'!1:65536,'graph data'!D4,FALSE)</f>
        <v>#N/A</v>
      </c>
      <c r="I248" s="241"/>
      <c r="J248" s="241"/>
      <c r="K248" s="259"/>
      <c r="L248" s="254"/>
      <c r="M248" s="255"/>
      <c r="N248" s="255"/>
      <c r="O248" s="260"/>
      <c r="P248" s="256"/>
      <c r="Q248" s="235"/>
      <c r="R248" s="235"/>
      <c r="AB248" s="580">
        <f>HLOOKUP("*"&amp;'Output annual'!$AC$2&amp;'Output annual'!$AD$2&amp;"*Zone People Number Of Occupants [](Hourly)",'Eplus results'!$1:$1048576,ROW(),FALSE)</f>
        <v>0</v>
      </c>
      <c r="AC248" s="580">
        <f>HLOOKUP("*"&amp;'Output annual'!$AC$2&amp;'Output annual'!$AD$2&amp;"*FangerPMV(Hourly)",'Eplus results'!$1:$1048576,ROW(),FALSE)</f>
        <v>0</v>
      </c>
      <c r="AD248" s="580">
        <f t="shared" si="48"/>
        <v>5</v>
      </c>
      <c r="AE248" s="580">
        <f t="shared" si="49"/>
        <v>2.5</v>
      </c>
      <c r="AF248" s="580">
        <f t="shared" si="50"/>
        <v>2.5</v>
      </c>
      <c r="AG248" s="580">
        <f t="shared" si="51"/>
        <v>0</v>
      </c>
      <c r="AH248" s="580">
        <f t="shared" si="52"/>
        <v>0</v>
      </c>
    </row>
    <row r="249" spans="2:34">
      <c r="B249" s="235"/>
      <c r="C249" s="692"/>
      <c r="D249" s="689"/>
      <c r="E249" s="258"/>
      <c r="F249" s="241"/>
      <c r="G249" s="247" t="s">
        <v>484</v>
      </c>
      <c r="H249" s="242" t="e">
        <f>HLOOKUP("GFSPCore_CEILING1:Surface Inside Temperature[C](Hourly)",'Eplus results'!1:65536,'graph data'!D4,FALSE)</f>
        <v>#N/A</v>
      </c>
      <c r="I249" s="241"/>
      <c r="J249" s="241"/>
      <c r="K249" s="259"/>
      <c r="L249" s="254"/>
      <c r="M249" s="255"/>
      <c r="N249" s="255"/>
      <c r="O249" s="260"/>
      <c r="P249" s="256"/>
      <c r="Q249" s="235"/>
      <c r="R249" s="235"/>
      <c r="AB249" s="580">
        <f>HLOOKUP("*"&amp;'Output annual'!$AC$2&amp;'Output annual'!$AD$2&amp;"*Zone People Number Of Occupants [](Hourly)",'Eplus results'!$1:$1048576,ROW(),FALSE)</f>
        <v>0</v>
      </c>
      <c r="AC249" s="580">
        <f>HLOOKUP("*"&amp;'Output annual'!$AC$2&amp;'Output annual'!$AD$2&amp;"*FangerPMV(Hourly)",'Eplus results'!$1:$1048576,ROW(),FALSE)</f>
        <v>0</v>
      </c>
      <c r="AD249" s="580">
        <f t="shared" si="48"/>
        <v>5</v>
      </c>
      <c r="AE249" s="580">
        <f t="shared" si="49"/>
        <v>2.5</v>
      </c>
      <c r="AF249" s="580">
        <f t="shared" si="50"/>
        <v>2.5</v>
      </c>
      <c r="AG249" s="580">
        <f t="shared" si="51"/>
        <v>0</v>
      </c>
      <c r="AH249" s="580">
        <f t="shared" si="52"/>
        <v>0</v>
      </c>
    </row>
    <row r="250" spans="2:34">
      <c r="B250" s="235"/>
      <c r="C250" s="692"/>
      <c r="D250" s="235"/>
      <c r="E250" s="258"/>
      <c r="F250" s="241"/>
      <c r="G250" s="241"/>
      <c r="H250" s="242"/>
      <c r="I250" s="241"/>
      <c r="J250" s="241"/>
      <c r="K250" s="259" t="s">
        <v>486</v>
      </c>
      <c r="L250" s="254" t="e">
        <f>HLOOKUP("GFSPCore_Ceiling1:Surface Int Convection Heat Rate [W](Hourly)",'Eplus results'!1:65536,'graph data'!D4,FALSE)*2</f>
        <v>#N/A</v>
      </c>
      <c r="M250" s="255"/>
      <c r="N250" s="255"/>
      <c r="O250" s="260"/>
      <c r="P250" s="256" t="s">
        <v>457</v>
      </c>
      <c r="Q250" s="235"/>
      <c r="R250" s="235"/>
      <c r="AB250" s="580">
        <f>HLOOKUP("*"&amp;'Output annual'!$AC$2&amp;'Output annual'!$AD$2&amp;"*Zone People Number Of Occupants [](Hourly)",'Eplus results'!$1:$1048576,ROW(),FALSE)</f>
        <v>0</v>
      </c>
      <c r="AC250" s="580">
        <f>HLOOKUP("*"&amp;'Output annual'!$AC$2&amp;'Output annual'!$AD$2&amp;"*FangerPMV(Hourly)",'Eplus results'!$1:$1048576,ROW(),FALSE)</f>
        <v>0</v>
      </c>
      <c r="AD250" s="580">
        <f t="shared" si="48"/>
        <v>5</v>
      </c>
      <c r="AE250" s="580">
        <f t="shared" si="49"/>
        <v>2.5</v>
      </c>
      <c r="AF250" s="580">
        <f t="shared" si="50"/>
        <v>2.5</v>
      </c>
      <c r="AG250" s="580">
        <f t="shared" si="51"/>
        <v>0</v>
      </c>
      <c r="AH250" s="580">
        <f t="shared" si="52"/>
        <v>0</v>
      </c>
    </row>
    <row r="251" spans="2:34">
      <c r="B251" s="235"/>
      <c r="C251" s="692"/>
      <c r="D251" s="257"/>
      <c r="E251" s="258" t="s">
        <v>3</v>
      </c>
      <c r="F251" s="241"/>
      <c r="G251" s="247" t="s">
        <v>485</v>
      </c>
      <c r="H251" s="242" t="e">
        <f>HLOOKUP("GFSPCore:Zone/Sys Air Temperature[C](Hourly)",'Eplus results'!$1:$1048576,'graph data'!D4, FALSE)</f>
        <v>#N/A</v>
      </c>
      <c r="I251" s="241"/>
      <c r="J251" s="241"/>
      <c r="K251" s="259"/>
      <c r="L251" s="254"/>
      <c r="M251" s="255" t="s">
        <v>519</v>
      </c>
      <c r="N251" s="255" t="e">
        <f>HLOOKUP("GFSPCore:Zone/Sys Sensible Cooling Rate[W](Hourly)",'Eplus results'!1:65536,'graph data'!D4,FALSE)</f>
        <v>#N/A</v>
      </c>
      <c r="O251" s="260" t="s">
        <v>158</v>
      </c>
      <c r="P251" s="256" t="e">
        <f>N251/(L250+L252)</f>
        <v>#N/A</v>
      </c>
      <c r="Q251" s="235"/>
      <c r="R251" s="235"/>
      <c r="AB251" s="580">
        <f>HLOOKUP("*"&amp;'Output annual'!$AC$2&amp;'Output annual'!$AD$2&amp;"*Zone People Number Of Occupants [](Hourly)",'Eplus results'!$1:$1048576,ROW(),FALSE)</f>
        <v>0</v>
      </c>
      <c r="AC251" s="580">
        <f>HLOOKUP("*"&amp;'Output annual'!$AC$2&amp;'Output annual'!$AD$2&amp;"*FangerPMV(Hourly)",'Eplus results'!$1:$1048576,ROW(),FALSE)</f>
        <v>0</v>
      </c>
      <c r="AD251" s="580">
        <f t="shared" si="48"/>
        <v>5</v>
      </c>
      <c r="AE251" s="580">
        <f t="shared" si="49"/>
        <v>2.5</v>
      </c>
      <c r="AF251" s="580">
        <f t="shared" si="50"/>
        <v>2.5</v>
      </c>
      <c r="AG251" s="580">
        <f t="shared" si="51"/>
        <v>0</v>
      </c>
      <c r="AH251" s="580">
        <f t="shared" si="52"/>
        <v>0</v>
      </c>
    </row>
    <row r="252" spans="2:34" ht="13.5" thickBot="1">
      <c r="B252" s="235"/>
      <c r="C252" s="693"/>
      <c r="D252" s="261"/>
      <c r="E252" s="279"/>
      <c r="F252" s="263"/>
      <c r="G252" s="263"/>
      <c r="H252" s="264"/>
      <c r="I252" s="263"/>
      <c r="J252" s="263"/>
      <c r="K252" s="265" t="s">
        <v>486</v>
      </c>
      <c r="L252" s="254" t="e">
        <f>IF(RunType="OH",HLOOKUP("GFCore_FLOOR1:Surface Int Convection Heat Rate [W](Hourly)",'Eplus results'!$1:$1048576,'graph data'!D4, FALSE)*2, HLOOKUP("GFSPCore_Floor1:Surface Int Convection Heat Rate [W](Hourly)",'Eplus results'!1:65536,'graph data'!D4,FALSE)*2)</f>
        <v>#N/A</v>
      </c>
      <c r="M252" s="255"/>
      <c r="N252" s="235"/>
      <c r="O252" s="235"/>
      <c r="P252" s="256"/>
      <c r="Q252" s="235"/>
      <c r="R252" s="235"/>
      <c r="AB252" s="580">
        <f>HLOOKUP("*"&amp;'Output annual'!$AC$2&amp;'Output annual'!$AD$2&amp;"*Zone People Number Of Occupants [](Hourly)",'Eplus results'!$1:$1048576,ROW(),FALSE)</f>
        <v>0</v>
      </c>
      <c r="AC252" s="580">
        <f>HLOOKUP("*"&amp;'Output annual'!$AC$2&amp;'Output annual'!$AD$2&amp;"*FangerPMV(Hourly)",'Eplus results'!$1:$1048576,ROW(),FALSE)</f>
        <v>0</v>
      </c>
      <c r="AD252" s="580">
        <f t="shared" si="48"/>
        <v>5</v>
      </c>
      <c r="AE252" s="580">
        <f t="shared" si="49"/>
        <v>2.5</v>
      </c>
      <c r="AF252" s="580">
        <f t="shared" si="50"/>
        <v>2.5</v>
      </c>
      <c r="AG252" s="580">
        <f t="shared" si="51"/>
        <v>0</v>
      </c>
      <c r="AH252" s="580">
        <f t="shared" si="52"/>
        <v>0</v>
      </c>
    </row>
    <row r="253" spans="2:34">
      <c r="B253" s="235"/>
      <c r="C253" s="236"/>
      <c r="D253" s="238"/>
      <c r="E253" s="241"/>
      <c r="F253" s="241"/>
      <c r="G253" s="247" t="s">
        <v>484</v>
      </c>
      <c r="H253" s="242" t="e">
        <f>IF(RunType="OH",HLOOKUP("GFCore_FLOOR1:Surface Inside Temperature[C](Hourly)",'Eplus results'!$1:$1048576,'graph data'!D4, FALSE), HLOOKUP("GFSPCore_FLOOR1:Surface Inside Temperature[C](Hourly)",'Eplus results'!1:65536,'graph data'!D4,FALSE))</f>
        <v>#N/A</v>
      </c>
      <c r="I253" s="241"/>
      <c r="J253" s="241"/>
      <c r="K253" s="241" t="s">
        <v>529</v>
      </c>
      <c r="L253" s="269" t="e">
        <f>IF(RunType="OH",HLOOKUP("GFCore_FLOOR1:Opaque Surface Inside Face Conduction[W](Hourly)",'Eplus results'!1:65536,'graph data'!D4,FALSE)*2, HLOOKUP("GFSPCore_FLOOR1:Opaque Surface Inside Face Conduction[W](Hourly)",'Eplus results'!1:65536,'graph data'!D4,FALSE)*2)</f>
        <v>#N/A</v>
      </c>
      <c r="M253" s="270"/>
      <c r="N253" s="235"/>
      <c r="O253" s="235"/>
      <c r="P253" s="256"/>
      <c r="Q253" s="235"/>
      <c r="R253" s="235"/>
      <c r="AB253" s="580">
        <f>HLOOKUP("*"&amp;'Output annual'!$AC$2&amp;'Output annual'!$AD$2&amp;"*Zone People Number Of Occupants [](Hourly)",'Eplus results'!$1:$1048576,ROW(),FALSE)</f>
        <v>0</v>
      </c>
      <c r="AC253" s="580">
        <f>HLOOKUP("*"&amp;'Output annual'!$AC$2&amp;'Output annual'!$AD$2&amp;"*FangerPMV(Hourly)",'Eplus results'!$1:$1048576,ROW(),FALSE)</f>
        <v>0</v>
      </c>
      <c r="AD253" s="580">
        <f t="shared" si="48"/>
        <v>5</v>
      </c>
      <c r="AE253" s="580">
        <f t="shared" si="49"/>
        <v>2.5</v>
      </c>
      <c r="AF253" s="580">
        <f t="shared" si="50"/>
        <v>2.5</v>
      </c>
      <c r="AG253" s="580">
        <f t="shared" si="51"/>
        <v>0</v>
      </c>
      <c r="AH253" s="580">
        <f t="shared" si="52"/>
        <v>0</v>
      </c>
    </row>
    <row r="254" spans="2:34">
      <c r="B254" s="235"/>
      <c r="C254" s="235" t="s">
        <v>512</v>
      </c>
      <c r="D254" s="247"/>
      <c r="E254" s="241"/>
      <c r="F254" s="241"/>
      <c r="G254" s="241"/>
      <c r="H254" s="242"/>
      <c r="I254" s="241"/>
      <c r="J254" s="241"/>
      <c r="K254" s="241"/>
      <c r="L254" s="243"/>
      <c r="M254" s="244"/>
      <c r="N254" s="235"/>
      <c r="O254" s="235"/>
      <c r="P254" s="256"/>
      <c r="Q254" s="235"/>
      <c r="R254" s="235"/>
      <c r="AB254" s="580">
        <f>HLOOKUP("*"&amp;'Output annual'!$AC$2&amp;'Output annual'!$AD$2&amp;"*Zone People Number Of Occupants [](Hourly)",'Eplus results'!$1:$1048576,ROW(),FALSE)</f>
        <v>0</v>
      </c>
      <c r="AC254" s="580">
        <f>HLOOKUP("*"&amp;'Output annual'!$AC$2&amp;'Output annual'!$AD$2&amp;"*FangerPMV(Hourly)",'Eplus results'!$1:$1048576,ROW(),FALSE)</f>
        <v>0</v>
      </c>
      <c r="AD254" s="580">
        <f t="shared" si="48"/>
        <v>5</v>
      </c>
      <c r="AE254" s="580">
        <f t="shared" si="49"/>
        <v>2.5</v>
      </c>
      <c r="AF254" s="580">
        <f t="shared" si="50"/>
        <v>2.5</v>
      </c>
      <c r="AG254" s="580">
        <f t="shared" si="51"/>
        <v>0</v>
      </c>
      <c r="AH254" s="580">
        <f t="shared" si="52"/>
        <v>0</v>
      </c>
    </row>
    <row r="255" spans="2:34">
      <c r="B255" s="235"/>
      <c r="C255" s="245"/>
      <c r="D255" s="271"/>
      <c r="E255" s="246"/>
      <c r="F255" s="246"/>
      <c r="G255" s="271" t="s">
        <v>484</v>
      </c>
      <c r="H255" s="280" t="e">
        <f>IF(RunType="OH",HLOOKUP("GFCore_FLOOR1:Surface Outside Temperature[C](Hourly)",'Eplus results'!$1:$1048576,'graph data'!D4, FALSE), HLOOKUP("GFSPCore_FLOOR1:Surface Outside Temperature[C](Hourly)",'Eplus results'!1:65536,'graph data'!D4,FALSE))</f>
        <v>#N/A</v>
      </c>
      <c r="I255" s="246"/>
      <c r="J255" s="246"/>
      <c r="K255" s="246" t="s">
        <v>529</v>
      </c>
      <c r="L255" s="248"/>
      <c r="M255" s="249"/>
      <c r="N255" s="235"/>
      <c r="O255" s="235"/>
      <c r="P255" s="256"/>
      <c r="Q255" s="235"/>
      <c r="R255" s="235"/>
      <c r="AB255" s="580">
        <f>HLOOKUP("*"&amp;'Output annual'!$AC$2&amp;'Output annual'!$AD$2&amp;"*Zone People Number Of Occupants [](Hourly)",'Eplus results'!$1:$1048576,ROW(),FALSE)</f>
        <v>0</v>
      </c>
      <c r="AC255" s="580">
        <f>HLOOKUP("*"&amp;'Output annual'!$AC$2&amp;'Output annual'!$AD$2&amp;"*FangerPMV(Hourly)",'Eplus results'!$1:$1048576,ROW(),FALSE)</f>
        <v>0</v>
      </c>
      <c r="AD255" s="580">
        <f t="shared" si="48"/>
        <v>5</v>
      </c>
      <c r="AE255" s="580">
        <f t="shared" si="49"/>
        <v>2.5</v>
      </c>
      <c r="AF255" s="580">
        <f t="shared" si="50"/>
        <v>2.5</v>
      </c>
      <c r="AG255" s="580">
        <f t="shared" si="51"/>
        <v>0</v>
      </c>
      <c r="AH255" s="580">
        <f t="shared" si="52"/>
        <v>0</v>
      </c>
    </row>
    <row r="256" spans="2:34">
      <c r="B256" s="235"/>
      <c r="C256" s="235"/>
      <c r="D256" s="235"/>
      <c r="E256" s="235"/>
      <c r="F256" s="235"/>
      <c r="G256" s="235"/>
      <c r="H256" s="235"/>
      <c r="I256" s="235"/>
      <c r="J256" s="235"/>
      <c r="K256" s="235"/>
      <c r="L256" s="254"/>
      <c r="M256" s="255"/>
      <c r="N256" s="235"/>
      <c r="O256" s="235"/>
      <c r="P256" s="256"/>
      <c r="Q256" s="235"/>
      <c r="R256" s="235"/>
      <c r="AB256" s="580">
        <f>HLOOKUP("*"&amp;'Output annual'!$AC$2&amp;'Output annual'!$AD$2&amp;"*Zone People Number Of Occupants [](Hourly)",'Eplus results'!$1:$1048576,ROW(),FALSE)</f>
        <v>0</v>
      </c>
      <c r="AC256" s="580">
        <f>HLOOKUP("*"&amp;'Output annual'!$AC$2&amp;'Output annual'!$AD$2&amp;"*FangerPMV(Hourly)",'Eplus results'!$1:$1048576,ROW(),FALSE)</f>
        <v>0</v>
      </c>
      <c r="AD256" s="580">
        <f t="shared" si="48"/>
        <v>5</v>
      </c>
      <c r="AE256" s="580">
        <f t="shared" si="49"/>
        <v>2.5</v>
      </c>
      <c r="AF256" s="580">
        <f t="shared" si="50"/>
        <v>2.5</v>
      </c>
      <c r="AG256" s="580">
        <f t="shared" si="51"/>
        <v>0</v>
      </c>
      <c r="AH256" s="580">
        <f t="shared" si="52"/>
        <v>0</v>
      </c>
    </row>
    <row r="257" spans="2:34">
      <c r="B257" s="257"/>
      <c r="C257" s="235"/>
      <c r="D257" s="235"/>
      <c r="E257" s="235"/>
      <c r="F257" s="235"/>
      <c r="G257" s="235"/>
      <c r="H257" s="235"/>
      <c r="I257" s="235"/>
      <c r="J257" s="235"/>
      <c r="K257" s="235"/>
      <c r="L257" s="254"/>
      <c r="M257" s="255"/>
      <c r="N257" s="235"/>
      <c r="O257" s="235"/>
      <c r="P257" s="256"/>
      <c r="Q257" s="235"/>
      <c r="R257" s="235"/>
      <c r="AB257" s="580">
        <f>HLOOKUP("*"&amp;'Output annual'!$AC$2&amp;'Output annual'!$AD$2&amp;"*Zone People Number Of Occupants [](Hourly)",'Eplus results'!$1:$1048576,ROW(),FALSE)</f>
        <v>0</v>
      </c>
      <c r="AC257" s="580">
        <f>HLOOKUP("*"&amp;'Output annual'!$AC$2&amp;'Output annual'!$AD$2&amp;"*FangerPMV(Hourly)",'Eplus results'!$1:$1048576,ROW(),FALSE)</f>
        <v>0</v>
      </c>
      <c r="AD257" s="580">
        <f t="shared" si="48"/>
        <v>5</v>
      </c>
      <c r="AE257" s="580">
        <f t="shared" si="49"/>
        <v>2.5</v>
      </c>
      <c r="AF257" s="580">
        <f t="shared" si="50"/>
        <v>2.5</v>
      </c>
      <c r="AG257" s="580">
        <f t="shared" si="51"/>
        <v>0</v>
      </c>
      <c r="AH257" s="580">
        <f t="shared" si="52"/>
        <v>0</v>
      </c>
    </row>
    <row r="258" spans="2:34">
      <c r="B258" s="257"/>
      <c r="C258" s="235"/>
      <c r="D258" s="235"/>
      <c r="E258" s="235"/>
      <c r="F258" s="235"/>
      <c r="G258" s="235"/>
      <c r="H258" s="235"/>
      <c r="I258" s="235"/>
      <c r="J258" s="235"/>
      <c r="K258" s="235"/>
      <c r="L258" s="254"/>
      <c r="M258" s="255"/>
      <c r="N258" s="235"/>
      <c r="O258" s="235"/>
      <c r="P258" s="256"/>
      <c r="Q258" s="235"/>
      <c r="R258" s="235"/>
      <c r="AB258" s="580">
        <f>HLOOKUP("*"&amp;'Output annual'!$AC$2&amp;'Output annual'!$AD$2&amp;"*Zone People Number Of Occupants [](Hourly)",'Eplus results'!$1:$1048576,ROW(),FALSE)</f>
        <v>0</v>
      </c>
      <c r="AC258" s="580">
        <f>HLOOKUP("*"&amp;'Output annual'!$AC$2&amp;'Output annual'!$AD$2&amp;"*FangerPMV(Hourly)",'Eplus results'!$1:$1048576,ROW(),FALSE)</f>
        <v>0</v>
      </c>
      <c r="AD258" s="580">
        <f t="shared" si="48"/>
        <v>5</v>
      </c>
      <c r="AE258" s="580">
        <f t="shared" si="49"/>
        <v>2.5</v>
      </c>
      <c r="AF258" s="580">
        <f t="shared" si="50"/>
        <v>2.5</v>
      </c>
      <c r="AG258" s="580">
        <f t="shared" si="51"/>
        <v>0</v>
      </c>
      <c r="AH258" s="580">
        <f t="shared" si="52"/>
        <v>0</v>
      </c>
    </row>
    <row r="259" spans="2:34">
      <c r="B259" s="257"/>
      <c r="C259" s="235"/>
      <c r="D259" s="235"/>
      <c r="E259" s="235"/>
      <c r="F259" s="235"/>
      <c r="G259" s="235"/>
      <c r="H259" s="235"/>
      <c r="I259" s="235"/>
      <c r="J259" s="235"/>
      <c r="K259" s="235"/>
      <c r="L259" s="254"/>
      <c r="M259" s="255"/>
      <c r="N259" s="235"/>
      <c r="O259" s="235"/>
      <c r="P259" s="256"/>
      <c r="Q259" s="235"/>
      <c r="R259" s="235"/>
      <c r="AB259" s="580">
        <f>HLOOKUP("*"&amp;'Output annual'!$AC$2&amp;'Output annual'!$AD$2&amp;"*Zone People Number Of Occupants [](Hourly)",'Eplus results'!$1:$1048576,ROW(),FALSE)</f>
        <v>0</v>
      </c>
      <c r="AC259" s="580">
        <f>HLOOKUP("*"&amp;'Output annual'!$AC$2&amp;'Output annual'!$AD$2&amp;"*FangerPMV(Hourly)",'Eplus results'!$1:$1048576,ROW(),FALSE)</f>
        <v>0</v>
      </c>
      <c r="AD259" s="580">
        <f t="shared" ref="AD259:AD322" si="53">100-95*EXP(-0.03353*AC259^4-0.2179*AC259^2)</f>
        <v>5</v>
      </c>
      <c r="AE259" s="580">
        <f t="shared" ref="AE259:AE322" si="54">AD259*(1/(1+EXP(-6.3*$AC259)))</f>
        <v>2.5</v>
      </c>
      <c r="AF259" s="580">
        <f t="shared" ref="AF259:AF322" si="55">(AD259-AE259)</f>
        <v>2.5</v>
      </c>
      <c r="AG259" s="580">
        <f t="shared" ref="AG259:AG322" si="56">AE259*AB259</f>
        <v>0</v>
      </c>
      <c r="AH259" s="580">
        <f t="shared" ref="AH259:AH322" si="57">AF259*AB259</f>
        <v>0</v>
      </c>
    </row>
    <row r="260" spans="2:34">
      <c r="B260" s="235"/>
      <c r="C260" s="236"/>
      <c r="D260" s="237"/>
      <c r="E260" s="237"/>
      <c r="F260" s="237"/>
      <c r="G260" s="238" t="s">
        <v>484</v>
      </c>
      <c r="H260" s="239" t="e">
        <f>HLOOKUP("TFRP"&amp;perim_zone&amp;"_CEILING:Surface Outside Temperature[C](Hourly)",'Eplus results'!1:65536,'graph data'!D4,FALSE)</f>
        <v>#N/A</v>
      </c>
      <c r="I260" s="237"/>
      <c r="J260" s="237"/>
      <c r="K260" s="237"/>
      <c r="L260" s="269"/>
      <c r="M260" s="270"/>
      <c r="N260" s="235"/>
      <c r="O260" s="235"/>
      <c r="P260" s="256"/>
      <c r="Q260" s="235"/>
      <c r="R260" s="235"/>
      <c r="AB260" s="580">
        <f>HLOOKUP("*"&amp;'Output annual'!$AC$2&amp;'Output annual'!$AD$2&amp;"*Zone People Number Of Occupants [](Hourly)",'Eplus results'!$1:$1048576,ROW(),FALSE)</f>
        <v>0</v>
      </c>
      <c r="AC260" s="580">
        <f>HLOOKUP("*"&amp;'Output annual'!$AC$2&amp;'Output annual'!$AD$2&amp;"*FangerPMV(Hourly)",'Eplus results'!$1:$1048576,ROW(),FALSE)</f>
        <v>0</v>
      </c>
      <c r="AD260" s="580">
        <f t="shared" si="53"/>
        <v>5</v>
      </c>
      <c r="AE260" s="580">
        <f t="shared" si="54"/>
        <v>2.5</v>
      </c>
      <c r="AF260" s="580">
        <f t="shared" si="55"/>
        <v>2.5</v>
      </c>
      <c r="AG260" s="580">
        <f t="shared" si="56"/>
        <v>0</v>
      </c>
      <c r="AH260" s="580">
        <f t="shared" si="57"/>
        <v>0</v>
      </c>
    </row>
    <row r="261" spans="2:34">
      <c r="B261" s="235"/>
      <c r="C261" s="235" t="s">
        <v>515</v>
      </c>
      <c r="D261" s="241"/>
      <c r="E261" s="241"/>
      <c r="F261" s="241"/>
      <c r="G261" s="241"/>
      <c r="H261" s="242"/>
      <c r="I261" s="241"/>
      <c r="J261" s="241"/>
      <c r="K261" s="241"/>
      <c r="L261" s="243"/>
      <c r="M261" s="244"/>
      <c r="N261" s="235"/>
      <c r="O261" s="235"/>
      <c r="P261" s="256"/>
      <c r="Q261" s="235"/>
      <c r="R261" s="235"/>
      <c r="AB261" s="580">
        <f>HLOOKUP("*"&amp;'Output annual'!$AC$2&amp;'Output annual'!$AD$2&amp;"*Zone People Number Of Occupants [](Hourly)",'Eplus results'!$1:$1048576,ROW(),FALSE)</f>
        <v>0</v>
      </c>
      <c r="AC261" s="580">
        <f>HLOOKUP("*"&amp;'Output annual'!$AC$2&amp;'Output annual'!$AD$2&amp;"*FangerPMV(Hourly)",'Eplus results'!$1:$1048576,ROW(),FALSE)</f>
        <v>0</v>
      </c>
      <c r="AD261" s="580">
        <f t="shared" si="53"/>
        <v>5</v>
      </c>
      <c r="AE261" s="580">
        <f t="shared" si="54"/>
        <v>2.5</v>
      </c>
      <c r="AF261" s="580">
        <f t="shared" si="55"/>
        <v>2.5</v>
      </c>
      <c r="AG261" s="580">
        <f t="shared" si="56"/>
        <v>0</v>
      </c>
      <c r="AH261" s="580">
        <f t="shared" si="57"/>
        <v>0</v>
      </c>
    </row>
    <row r="262" spans="2:34" ht="13.5" thickBot="1">
      <c r="B262" s="235"/>
      <c r="C262" s="245"/>
      <c r="D262" s="246"/>
      <c r="E262" s="241"/>
      <c r="F262" s="241"/>
      <c r="G262" s="247" t="s">
        <v>484</v>
      </c>
      <c r="H262" s="242" t="e">
        <f>HLOOKUP("TFRP"&amp;perim_zone&amp;"_CEILING:Surface Inside Temperature[C](Hourly)",'Eplus results'!1:65536,'graph data'!D4,FALSE)</f>
        <v>#N/A</v>
      </c>
      <c r="I262" s="241"/>
      <c r="J262" s="241"/>
      <c r="K262" s="241" t="s">
        <v>529</v>
      </c>
      <c r="L262" s="248" t="e">
        <f>HLOOKUP("TFRP"&amp;perim_zone&amp;"_CEILING:Opaque Surface Inside Face Conduction[W](Hourly)",'Eplus results'!1:65536,'graph data'!D4,FALSE)</f>
        <v>#N/A</v>
      </c>
      <c r="M262" s="249"/>
      <c r="N262" s="235"/>
      <c r="O262" s="235"/>
      <c r="P262" s="256"/>
      <c r="Q262" s="235"/>
      <c r="R262" s="235"/>
      <c r="AB262" s="580">
        <f>HLOOKUP("*"&amp;'Output annual'!$AC$2&amp;'Output annual'!$AD$2&amp;"*Zone People Number Of Occupants [](Hourly)",'Eplus results'!$1:$1048576,ROW(),FALSE)</f>
        <v>0</v>
      </c>
      <c r="AC262" s="580">
        <f>HLOOKUP("*"&amp;'Output annual'!$AC$2&amp;'Output annual'!$AD$2&amp;"*FangerPMV(Hourly)",'Eplus results'!$1:$1048576,ROW(),FALSE)</f>
        <v>0</v>
      </c>
      <c r="AD262" s="580">
        <f t="shared" si="53"/>
        <v>5</v>
      </c>
      <c r="AE262" s="580">
        <f t="shared" si="54"/>
        <v>2.5</v>
      </c>
      <c r="AF262" s="580">
        <f t="shared" si="55"/>
        <v>2.5</v>
      </c>
      <c r="AG262" s="580">
        <f t="shared" si="56"/>
        <v>0</v>
      </c>
      <c r="AH262" s="580">
        <f t="shared" si="57"/>
        <v>0</v>
      </c>
    </row>
    <row r="263" spans="2:34">
      <c r="B263" s="235"/>
      <c r="C263" s="691" t="s">
        <v>523</v>
      </c>
      <c r="D263" s="235"/>
      <c r="E263" s="250"/>
      <c r="F263" s="251"/>
      <c r="G263" s="251"/>
      <c r="H263" s="252"/>
      <c r="I263" s="251"/>
      <c r="J263" s="251"/>
      <c r="K263" s="253" t="s">
        <v>486</v>
      </c>
      <c r="L263" s="254">
        <f>HLOOKUP("TFRP"&amp;perim_zone&amp;"_Ceiling:Surface Int Convection Heat Rate [W](Hourly)",'Eplus results'!1:65536,'graph data'!D4,FALSE)</f>
        <v>0</v>
      </c>
      <c r="M263" s="255"/>
      <c r="N263" s="235"/>
      <c r="O263" s="235"/>
      <c r="P263" s="256" t="s">
        <v>457</v>
      </c>
      <c r="Q263" s="235"/>
      <c r="R263" s="235"/>
      <c r="AB263" s="580">
        <f>HLOOKUP("*"&amp;'Output annual'!$AC$2&amp;'Output annual'!$AD$2&amp;"*Zone People Number Of Occupants [](Hourly)",'Eplus results'!$1:$1048576,ROW(),FALSE)</f>
        <v>0</v>
      </c>
      <c r="AC263" s="580">
        <f>HLOOKUP("*"&amp;'Output annual'!$AC$2&amp;'Output annual'!$AD$2&amp;"*FangerPMV(Hourly)",'Eplus results'!$1:$1048576,ROW(),FALSE)</f>
        <v>0</v>
      </c>
      <c r="AD263" s="580">
        <f t="shared" si="53"/>
        <v>5</v>
      </c>
      <c r="AE263" s="580">
        <f t="shared" si="54"/>
        <v>2.5</v>
      </c>
      <c r="AF263" s="580">
        <f t="shared" si="55"/>
        <v>2.5</v>
      </c>
      <c r="AG263" s="580">
        <f t="shared" si="56"/>
        <v>0</v>
      </c>
      <c r="AH263" s="580">
        <f t="shared" si="57"/>
        <v>0</v>
      </c>
    </row>
    <row r="264" spans="2:34">
      <c r="B264" s="235"/>
      <c r="C264" s="692"/>
      <c r="D264" s="257"/>
      <c r="E264" s="258" t="s">
        <v>511</v>
      </c>
      <c r="F264" s="241"/>
      <c r="G264" s="247" t="s">
        <v>485</v>
      </c>
      <c r="H264" s="242" t="e">
        <f>HLOOKUP("TFRP"&amp;perim_zone&amp;":Zone/Sys Air Temperature[C](Hourly)",'Eplus results'!1:65536,'graph data'!D4, FALSE)</f>
        <v>#N/A</v>
      </c>
      <c r="I264" s="241"/>
      <c r="J264" s="241"/>
      <c r="K264" s="281" t="s">
        <v>528</v>
      </c>
      <c r="L264" s="254">
        <f>HLOOKUP("TFRP"&amp;perim_zone&amp;"_WALL_"&amp;LEFT(perim_zone, 1)&amp;":Surface Int Convection Heat Rate [W](Hourly)",'Eplus results'!1:65536,'graph data'!D4,FALSE)</f>
        <v>0</v>
      </c>
      <c r="M264" s="255" t="s">
        <v>517</v>
      </c>
      <c r="N264" s="255" t="e">
        <f>HLOOKUP("TFRP"&amp;perim_zone&amp;":Zone/Sys Sensible Cooling Rate[W](Hourly)",'Eplus results'!1:65536,'graph data'!D4,FALSE)</f>
        <v>#N/A</v>
      </c>
      <c r="O264" s="260" t="s">
        <v>158</v>
      </c>
      <c r="P264" s="256" t="e">
        <f>N264/(L263+L265+L264)</f>
        <v>#N/A</v>
      </c>
      <c r="Q264" s="235"/>
      <c r="R264" s="235"/>
      <c r="AB264" s="580">
        <f>HLOOKUP("*"&amp;'Output annual'!$AC$2&amp;'Output annual'!$AD$2&amp;"*Zone People Number Of Occupants [](Hourly)",'Eplus results'!$1:$1048576,ROW(),FALSE)</f>
        <v>0</v>
      </c>
      <c r="AC264" s="580">
        <f>HLOOKUP("*"&amp;'Output annual'!$AC$2&amp;'Output annual'!$AD$2&amp;"*FangerPMV(Hourly)",'Eplus results'!$1:$1048576,ROW(),FALSE)</f>
        <v>0</v>
      </c>
      <c r="AD264" s="580">
        <f t="shared" si="53"/>
        <v>5</v>
      </c>
      <c r="AE264" s="580">
        <f t="shared" si="54"/>
        <v>2.5</v>
      </c>
      <c r="AF264" s="580">
        <f t="shared" si="55"/>
        <v>2.5</v>
      </c>
      <c r="AG264" s="580">
        <f t="shared" si="56"/>
        <v>0</v>
      </c>
      <c r="AH264" s="580">
        <f t="shared" si="57"/>
        <v>0</v>
      </c>
    </row>
    <row r="265" spans="2:34">
      <c r="B265" s="235"/>
      <c r="C265" s="692"/>
      <c r="D265" s="257"/>
      <c r="E265" s="258"/>
      <c r="F265" s="241"/>
      <c r="G265" s="241"/>
      <c r="H265" s="242"/>
      <c r="I265" s="241"/>
      <c r="J265" s="241"/>
      <c r="K265" s="259" t="s">
        <v>486</v>
      </c>
      <c r="L265" s="254">
        <f>HLOOKUP("TFRP"&amp;perim_zone&amp;"_Floor:Surface Int Convection Heat Rate [W](Hourly)",'Eplus results'!1:65536,'graph data'!D4,FALSE)</f>
        <v>0</v>
      </c>
      <c r="M265" s="255"/>
      <c r="N265" s="255"/>
      <c r="O265" s="260"/>
      <c r="P265" s="256"/>
      <c r="Q265" s="235"/>
      <c r="R265" s="235"/>
      <c r="AB265" s="580">
        <f>HLOOKUP("*"&amp;'Output annual'!$AC$2&amp;'Output annual'!$AD$2&amp;"*Zone People Number Of Occupants [](Hourly)",'Eplus results'!$1:$1048576,ROW(),FALSE)</f>
        <v>0</v>
      </c>
      <c r="AC265" s="580">
        <f>HLOOKUP("*"&amp;'Output annual'!$AC$2&amp;'Output annual'!$AD$2&amp;"*FangerPMV(Hourly)",'Eplus results'!$1:$1048576,ROW(),FALSE)</f>
        <v>0</v>
      </c>
      <c r="AD265" s="580">
        <f t="shared" si="53"/>
        <v>5</v>
      </c>
      <c r="AE265" s="580">
        <f t="shared" si="54"/>
        <v>2.5</v>
      </c>
      <c r="AF265" s="580">
        <f t="shared" si="55"/>
        <v>2.5</v>
      </c>
      <c r="AG265" s="580">
        <f t="shared" si="56"/>
        <v>0</v>
      </c>
      <c r="AH265" s="580">
        <f t="shared" si="57"/>
        <v>0</v>
      </c>
    </row>
    <row r="266" spans="2:34">
      <c r="B266" s="235"/>
      <c r="C266" s="692"/>
      <c r="D266" s="689" t="s">
        <v>520</v>
      </c>
      <c r="E266" s="258"/>
      <c r="F266" s="241"/>
      <c r="G266" s="247" t="s">
        <v>484</v>
      </c>
      <c r="H266" s="242" t="e">
        <f>HLOOKUP("TFRP"&amp;perim_zone&amp;"_FLOOR:Surface Inside Temperature[C](Hourly)",'Eplus results'!1:65536,'graph data'!D4,FALSE)</f>
        <v>#N/A</v>
      </c>
      <c r="I266" s="241"/>
      <c r="J266" s="241"/>
      <c r="K266" s="259"/>
      <c r="L266" s="254"/>
      <c r="M266" s="255"/>
      <c r="N266" s="255"/>
      <c r="O266" s="260"/>
      <c r="P266" s="256"/>
      <c r="Q266" s="235"/>
      <c r="R266" s="235"/>
      <c r="AB266" s="580">
        <f>HLOOKUP("*"&amp;'Output annual'!$AC$2&amp;'Output annual'!$AD$2&amp;"*Zone People Number Of Occupants [](Hourly)",'Eplus results'!$1:$1048576,ROW(),FALSE)</f>
        <v>0</v>
      </c>
      <c r="AC266" s="580">
        <f>HLOOKUP("*"&amp;'Output annual'!$AC$2&amp;'Output annual'!$AD$2&amp;"*FangerPMV(Hourly)",'Eplus results'!$1:$1048576,ROW(),FALSE)</f>
        <v>0</v>
      </c>
      <c r="AD266" s="580">
        <f t="shared" si="53"/>
        <v>5</v>
      </c>
      <c r="AE266" s="580">
        <f t="shared" si="54"/>
        <v>2.5</v>
      </c>
      <c r="AF266" s="580">
        <f t="shared" si="55"/>
        <v>2.5</v>
      </c>
      <c r="AG266" s="580">
        <f t="shared" si="56"/>
        <v>0</v>
      </c>
      <c r="AH266" s="580">
        <f t="shared" si="57"/>
        <v>0</v>
      </c>
    </row>
    <row r="267" spans="2:34">
      <c r="B267" s="235"/>
      <c r="C267" s="692"/>
      <c r="D267" s="689"/>
      <c r="E267" s="258"/>
      <c r="F267" s="241"/>
      <c r="G267" s="247" t="s">
        <v>484</v>
      </c>
      <c r="H267" s="242" t="e">
        <f>HLOOKUP("TFRP"&amp;perim_zone&amp;"_FLOOR:Surface Outside Temperature[C](Hourly)",'Eplus results'!1:65536,'graph data'!D4,FALSE)</f>
        <v>#N/A</v>
      </c>
      <c r="I267" s="241"/>
      <c r="J267" s="241"/>
      <c r="K267" s="259"/>
      <c r="L267" s="254"/>
      <c r="M267" s="255"/>
      <c r="N267" s="255"/>
      <c r="O267" s="260"/>
      <c r="P267" s="256"/>
      <c r="Q267" s="235"/>
      <c r="R267" s="235"/>
      <c r="AB267" s="580">
        <f>HLOOKUP("*"&amp;'Output annual'!$AC$2&amp;'Output annual'!$AD$2&amp;"*Zone People Number Of Occupants [](Hourly)",'Eplus results'!$1:$1048576,ROW(),FALSE)</f>
        <v>0</v>
      </c>
      <c r="AC267" s="580">
        <f>HLOOKUP("*"&amp;'Output annual'!$AC$2&amp;'Output annual'!$AD$2&amp;"*FangerPMV(Hourly)",'Eplus results'!$1:$1048576,ROW(),FALSE)</f>
        <v>0</v>
      </c>
      <c r="AD267" s="580">
        <f t="shared" si="53"/>
        <v>5</v>
      </c>
      <c r="AE267" s="580">
        <f t="shared" si="54"/>
        <v>2.5</v>
      </c>
      <c r="AF267" s="580">
        <f t="shared" si="55"/>
        <v>2.5</v>
      </c>
      <c r="AG267" s="580">
        <f t="shared" si="56"/>
        <v>0</v>
      </c>
      <c r="AH267" s="580">
        <f t="shared" si="57"/>
        <v>0</v>
      </c>
    </row>
    <row r="268" spans="2:34">
      <c r="B268" s="235"/>
      <c r="C268" s="692"/>
      <c r="D268" s="690" t="s">
        <v>521</v>
      </c>
      <c r="E268" s="258"/>
      <c r="F268" s="241"/>
      <c r="G268" s="241"/>
      <c r="H268" s="242"/>
      <c r="I268" s="241"/>
      <c r="J268" s="241"/>
      <c r="K268" s="259" t="s">
        <v>486</v>
      </c>
      <c r="L268" s="254">
        <f>HLOOKUP("TF"&amp;perim_zone&amp;"_Ceiling:Surface Int Convection Heat Rate [W](Hourly)",'Eplus results'!1:65536,'graph data'!D4,FALSE)</f>
        <v>0</v>
      </c>
      <c r="M268" s="255"/>
      <c r="N268" s="255"/>
      <c r="O268" s="260"/>
      <c r="P268" s="256"/>
      <c r="Q268" s="235"/>
      <c r="R268" s="235"/>
      <c r="AB268" s="580">
        <f>HLOOKUP("*"&amp;'Output annual'!$AC$2&amp;'Output annual'!$AD$2&amp;"*Zone People Number Of Occupants [](Hourly)",'Eplus results'!$1:$1048576,ROW(),FALSE)</f>
        <v>0</v>
      </c>
      <c r="AC268" s="580">
        <f>HLOOKUP("*"&amp;'Output annual'!$AC$2&amp;'Output annual'!$AD$2&amp;"*FangerPMV(Hourly)",'Eplus results'!$1:$1048576,ROW(),FALSE)</f>
        <v>0</v>
      </c>
      <c r="AD268" s="580">
        <f t="shared" si="53"/>
        <v>5</v>
      </c>
      <c r="AE268" s="580">
        <f t="shared" si="54"/>
        <v>2.5</v>
      </c>
      <c r="AF268" s="580">
        <f t="shared" si="55"/>
        <v>2.5</v>
      </c>
      <c r="AG268" s="580">
        <f t="shared" si="56"/>
        <v>0</v>
      </c>
      <c r="AH268" s="580">
        <f t="shared" si="57"/>
        <v>0</v>
      </c>
    </row>
    <row r="269" spans="2:34">
      <c r="B269" s="235"/>
      <c r="C269" s="692"/>
      <c r="D269" s="690"/>
      <c r="E269" s="258" t="s">
        <v>510</v>
      </c>
      <c r="F269" s="241"/>
      <c r="G269" s="247" t="s">
        <v>485</v>
      </c>
      <c r="H269" s="242" t="e">
        <f>HLOOKUP("TF"&amp;perim_zone&amp;":UF Mixed Subzone Temperature[C](Hourly)",'Eplus results'!1:65536,'graph data'!D4, FALSE)</f>
        <v>#N/A</v>
      </c>
      <c r="I269" s="241"/>
      <c r="J269" s="241"/>
      <c r="K269" s="259"/>
      <c r="L269" s="254"/>
      <c r="M269" s="255"/>
      <c r="N269" s="255"/>
      <c r="O269" s="260"/>
      <c r="P269" s="256"/>
      <c r="Q269" s="235"/>
      <c r="R269" s="235"/>
      <c r="AB269" s="580">
        <f>HLOOKUP("*"&amp;'Output annual'!$AC$2&amp;'Output annual'!$AD$2&amp;"*Zone People Number Of Occupants [](Hourly)",'Eplus results'!$1:$1048576,ROW(),FALSE)</f>
        <v>0</v>
      </c>
      <c r="AC269" s="580">
        <f>HLOOKUP("*"&amp;'Output annual'!$AC$2&amp;'Output annual'!$AD$2&amp;"*FangerPMV(Hourly)",'Eplus results'!$1:$1048576,ROW(),FALSE)</f>
        <v>0</v>
      </c>
      <c r="AD269" s="580">
        <f t="shared" si="53"/>
        <v>5</v>
      </c>
      <c r="AE269" s="580">
        <f t="shared" si="54"/>
        <v>2.5</v>
      </c>
      <c r="AF269" s="580">
        <f t="shared" si="55"/>
        <v>2.5</v>
      </c>
      <c r="AG269" s="580">
        <f t="shared" si="56"/>
        <v>0</v>
      </c>
      <c r="AH269" s="580">
        <f t="shared" si="57"/>
        <v>0</v>
      </c>
    </row>
    <row r="270" spans="2:34">
      <c r="B270" s="235"/>
      <c r="C270" s="692"/>
      <c r="D270" s="690"/>
      <c r="E270" s="258"/>
      <c r="F270" s="241"/>
      <c r="G270" s="241"/>
      <c r="H270" s="242"/>
      <c r="I270" s="241"/>
      <c r="J270" s="241"/>
      <c r="K270" s="259"/>
      <c r="L270" s="254"/>
      <c r="M270" s="255"/>
      <c r="N270" s="255"/>
      <c r="O270" s="260"/>
      <c r="P270" s="256" t="s">
        <v>457</v>
      </c>
      <c r="Q270" s="235"/>
      <c r="R270" s="235"/>
      <c r="AB270" s="580">
        <f>HLOOKUP("*"&amp;'Output annual'!$AC$2&amp;'Output annual'!$AD$2&amp;"*Zone People Number Of Occupants [](Hourly)",'Eplus results'!$1:$1048576,ROW(),FALSE)</f>
        <v>0</v>
      </c>
      <c r="AC270" s="580">
        <f>HLOOKUP("*"&amp;'Output annual'!$AC$2&amp;'Output annual'!$AD$2&amp;"*FangerPMV(Hourly)",'Eplus results'!$1:$1048576,ROW(),FALSE)</f>
        <v>0</v>
      </c>
      <c r="AD270" s="580">
        <f t="shared" si="53"/>
        <v>5</v>
      </c>
      <c r="AE270" s="580">
        <f t="shared" si="54"/>
        <v>2.5</v>
      </c>
      <c r="AF270" s="580">
        <f t="shared" si="55"/>
        <v>2.5</v>
      </c>
      <c r="AG270" s="580">
        <f t="shared" si="56"/>
        <v>0</v>
      </c>
      <c r="AH270" s="580">
        <f t="shared" si="57"/>
        <v>0</v>
      </c>
    </row>
    <row r="271" spans="2:34">
      <c r="B271" s="235"/>
      <c r="C271" s="692"/>
      <c r="D271" s="690"/>
      <c r="E271" s="258"/>
      <c r="F271" s="241"/>
      <c r="G271" s="241"/>
      <c r="H271" s="242"/>
      <c r="I271" s="241"/>
      <c r="J271" s="241"/>
      <c r="K271" s="259"/>
      <c r="L271" s="254"/>
      <c r="M271" s="255" t="s">
        <v>518</v>
      </c>
      <c r="N271" s="255" t="e">
        <f>HLOOKUP("TF"&amp;perim_zone&amp;":Zone/Sys Sensible Cooling Rate[W](Hourly)",'Eplus results'!1:65536,'graph data'!D4,FALSE)</f>
        <v>#N/A</v>
      </c>
      <c r="O271" s="260" t="s">
        <v>158</v>
      </c>
      <c r="P271" s="256" t="e">
        <f>N271/(N273+N274+L273)</f>
        <v>#N/A</v>
      </c>
      <c r="Q271" s="235"/>
      <c r="R271" s="235"/>
      <c r="AB271" s="580">
        <f>HLOOKUP("*"&amp;'Output annual'!$AC$2&amp;'Output annual'!$AD$2&amp;"*Zone People Number Of Occupants [](Hourly)",'Eplus results'!$1:$1048576,ROW(),FALSE)</f>
        <v>0</v>
      </c>
      <c r="AC271" s="580">
        <f>HLOOKUP("*"&amp;'Output annual'!$AC$2&amp;'Output annual'!$AD$2&amp;"*FangerPMV(Hourly)",'Eplus results'!$1:$1048576,ROW(),FALSE)</f>
        <v>0</v>
      </c>
      <c r="AD271" s="580">
        <f t="shared" si="53"/>
        <v>5</v>
      </c>
      <c r="AE271" s="580">
        <f t="shared" si="54"/>
        <v>2.5</v>
      </c>
      <c r="AF271" s="580">
        <f t="shared" si="55"/>
        <v>2.5</v>
      </c>
      <c r="AG271" s="580">
        <f t="shared" si="56"/>
        <v>0</v>
      </c>
      <c r="AH271" s="580">
        <f t="shared" si="57"/>
        <v>0</v>
      </c>
    </row>
    <row r="272" spans="2:34">
      <c r="B272" s="235"/>
      <c r="C272" s="692"/>
      <c r="D272" s="690"/>
      <c r="E272" s="258"/>
      <c r="F272" s="241"/>
      <c r="G272" s="241"/>
      <c r="H272" s="242"/>
      <c r="I272" s="241"/>
      <c r="J272" s="241"/>
      <c r="K272" s="259"/>
      <c r="L272" s="254"/>
      <c r="M272" s="255"/>
      <c r="N272" s="255"/>
      <c r="O272" s="260"/>
      <c r="P272" s="256"/>
      <c r="Q272" s="235"/>
      <c r="R272" s="235"/>
      <c r="AB272" s="580">
        <f>HLOOKUP("*"&amp;'Output annual'!$AC$2&amp;'Output annual'!$AD$2&amp;"*Zone People Number Of Occupants [](Hourly)",'Eplus results'!$1:$1048576,ROW(),FALSE)</f>
        <v>0</v>
      </c>
      <c r="AC272" s="580">
        <f>HLOOKUP("*"&amp;'Output annual'!$AC$2&amp;'Output annual'!$AD$2&amp;"*FangerPMV(Hourly)",'Eplus results'!$1:$1048576,ROW(),FALSE)</f>
        <v>0</v>
      </c>
      <c r="AD272" s="580">
        <f t="shared" si="53"/>
        <v>5</v>
      </c>
      <c r="AE272" s="580">
        <f t="shared" si="54"/>
        <v>2.5</v>
      </c>
      <c r="AF272" s="580">
        <f t="shared" si="55"/>
        <v>2.5</v>
      </c>
      <c r="AG272" s="580">
        <f t="shared" si="56"/>
        <v>0</v>
      </c>
      <c r="AH272" s="580">
        <f t="shared" si="57"/>
        <v>0</v>
      </c>
    </row>
    <row r="273" spans="2:34">
      <c r="B273" s="235"/>
      <c r="C273" s="692"/>
      <c r="D273" s="690"/>
      <c r="E273" s="258" t="s">
        <v>509</v>
      </c>
      <c r="F273" s="241"/>
      <c r="G273" s="247" t="s">
        <v>485</v>
      </c>
      <c r="H273" s="242" t="e">
        <f>IF(RunType="OH",HLOOKUP("TF"&amp;perim_zone&amp;":Zone/Sys Air Temperature[C](Hourly)",'Eplus results'!1:65536,'graph data'!D4, FALSE), HLOOKUP("TF"&amp;perim_zone&amp;":UF Occupied Subzone Temperature[C](Hourly)",'Eplus results'!1:65536,'graph data'!D4, FALSE))</f>
        <v>#N/A</v>
      </c>
      <c r="I273" s="241"/>
      <c r="J273" s="241"/>
      <c r="K273" s="281" t="s">
        <v>528</v>
      </c>
      <c r="L273" s="282">
        <f>HLOOKUP("TF"&amp;perim_zone&amp;"_WALL_"&amp;LEFT(perim_zone, 1)&amp;":Surface Int Convection Heat Rate [W](Hourly)",'Eplus results'!1:65536,'graph data'!D4,FALSE)</f>
        <v>0</v>
      </c>
      <c r="M273" s="255" t="s">
        <v>458</v>
      </c>
      <c r="N273" s="255">
        <f>(HLOOKUP("TF"&amp;perim_zone&amp;":Zone Total Internal Convective Heat Gain [J](Hourly)",'Eplus results'!1:65536,'graph data'!D4,FALSE)/3600)</f>
        <v>0</v>
      </c>
      <c r="O273" s="260"/>
      <c r="P273" s="256"/>
      <c r="Q273" s="235"/>
      <c r="R273" s="235"/>
      <c r="AB273" s="580">
        <f>HLOOKUP("*"&amp;'Output annual'!$AC$2&amp;'Output annual'!$AD$2&amp;"*Zone People Number Of Occupants [](Hourly)",'Eplus results'!$1:$1048576,ROW(),FALSE)</f>
        <v>0</v>
      </c>
      <c r="AC273" s="580">
        <f>HLOOKUP("*"&amp;'Output annual'!$AC$2&amp;'Output annual'!$AD$2&amp;"*FangerPMV(Hourly)",'Eplus results'!$1:$1048576,ROW(),FALSE)</f>
        <v>0</v>
      </c>
      <c r="AD273" s="580">
        <f t="shared" si="53"/>
        <v>5</v>
      </c>
      <c r="AE273" s="580">
        <f t="shared" si="54"/>
        <v>2.5</v>
      </c>
      <c r="AF273" s="580">
        <f t="shared" si="55"/>
        <v>2.5</v>
      </c>
      <c r="AG273" s="580">
        <f t="shared" si="56"/>
        <v>0</v>
      </c>
      <c r="AH273" s="580">
        <f t="shared" si="57"/>
        <v>0</v>
      </c>
    </row>
    <row r="274" spans="2:34">
      <c r="B274" s="235"/>
      <c r="C274" s="692"/>
      <c r="D274" s="690"/>
      <c r="E274" s="258"/>
      <c r="F274" s="241"/>
      <c r="G274" s="241"/>
      <c r="H274" s="242"/>
      <c r="I274" s="241"/>
      <c r="J274" s="241"/>
      <c r="K274" s="259"/>
      <c r="L274" s="254"/>
      <c r="M274" s="255" t="s">
        <v>459</v>
      </c>
      <c r="N274" s="255">
        <f>HLOOKUP("TF"&amp;perim_zone&amp;":Zone Window Heat Gain[W](Hourly)",'Eplus results'!1:65536,'graph data'!D4,FALSE)</f>
        <v>0</v>
      </c>
      <c r="O274" s="260"/>
      <c r="P274" s="256"/>
      <c r="Q274" s="235"/>
      <c r="R274" s="235"/>
      <c r="AB274" s="580">
        <f>HLOOKUP("*"&amp;'Output annual'!$AC$2&amp;'Output annual'!$AD$2&amp;"*Zone People Number Of Occupants [](Hourly)",'Eplus results'!$1:$1048576,ROW(),FALSE)</f>
        <v>0</v>
      </c>
      <c r="AC274" s="580">
        <f>HLOOKUP("*"&amp;'Output annual'!$AC$2&amp;'Output annual'!$AD$2&amp;"*FangerPMV(Hourly)",'Eplus results'!$1:$1048576,ROW(),FALSE)</f>
        <v>0</v>
      </c>
      <c r="AD274" s="580">
        <f t="shared" si="53"/>
        <v>5</v>
      </c>
      <c r="AE274" s="580">
        <f t="shared" si="54"/>
        <v>2.5</v>
      </c>
      <c r="AF274" s="580">
        <f t="shared" si="55"/>
        <v>2.5</v>
      </c>
      <c r="AG274" s="580">
        <f t="shared" si="56"/>
        <v>0</v>
      </c>
      <c r="AH274" s="580">
        <f t="shared" si="57"/>
        <v>0</v>
      </c>
    </row>
    <row r="275" spans="2:34">
      <c r="B275" s="235"/>
      <c r="C275" s="692"/>
      <c r="D275" s="690"/>
      <c r="E275" s="258"/>
      <c r="F275" s="241"/>
      <c r="G275" s="241"/>
      <c r="H275" s="242"/>
      <c r="I275" s="241"/>
      <c r="J275" s="241"/>
      <c r="K275" s="259" t="s">
        <v>486</v>
      </c>
      <c r="L275" s="254">
        <f>HLOOKUP("TF"&amp;perim_zone&amp;"_Floor:Surface Int Convection Heat Rate [W](Hourly)",'Eplus results'!1:65536,'graph data'!D4,FALSE)</f>
        <v>0</v>
      </c>
      <c r="M275" s="255"/>
      <c r="N275" s="255"/>
      <c r="O275" s="260"/>
      <c r="P275" s="256"/>
      <c r="Q275" s="235"/>
      <c r="R275" s="235"/>
      <c r="AB275" s="580">
        <f>HLOOKUP("*"&amp;'Output annual'!$AC$2&amp;'Output annual'!$AD$2&amp;"*Zone People Number Of Occupants [](Hourly)",'Eplus results'!$1:$1048576,ROW(),FALSE)</f>
        <v>0</v>
      </c>
      <c r="AC275" s="580">
        <f>HLOOKUP("*"&amp;'Output annual'!$AC$2&amp;'Output annual'!$AD$2&amp;"*FangerPMV(Hourly)",'Eplus results'!$1:$1048576,ROW(),FALSE)</f>
        <v>0</v>
      </c>
      <c r="AD275" s="580">
        <f t="shared" si="53"/>
        <v>5</v>
      </c>
      <c r="AE275" s="580">
        <f t="shared" si="54"/>
        <v>2.5</v>
      </c>
      <c r="AF275" s="580">
        <f t="shared" si="55"/>
        <v>2.5</v>
      </c>
      <c r="AG275" s="580">
        <f t="shared" si="56"/>
        <v>0</v>
      </c>
      <c r="AH275" s="580">
        <f t="shared" si="57"/>
        <v>0</v>
      </c>
    </row>
    <row r="276" spans="2:34">
      <c r="B276" s="235"/>
      <c r="C276" s="692"/>
      <c r="D276" s="689" t="s">
        <v>522</v>
      </c>
      <c r="E276" s="258"/>
      <c r="F276" s="241"/>
      <c r="G276" s="247" t="s">
        <v>484</v>
      </c>
      <c r="H276" s="242" t="e">
        <f>HLOOKUP("TFSP"&amp;perim_zone&amp;"_CEILING:Surface Outside Temperature[C](Hourly)",'Eplus results'!1:65536,'graph data'!D4,FALSE)</f>
        <v>#N/A</v>
      </c>
      <c r="I276" s="241"/>
      <c r="J276" s="241"/>
      <c r="K276" s="259"/>
      <c r="L276" s="254"/>
      <c r="M276" s="255"/>
      <c r="N276" s="255"/>
      <c r="O276" s="260"/>
      <c r="P276" s="256"/>
      <c r="Q276" s="235"/>
      <c r="R276" s="235"/>
      <c r="AB276" s="580">
        <f>HLOOKUP("*"&amp;'Output annual'!$AC$2&amp;'Output annual'!$AD$2&amp;"*Zone People Number Of Occupants [](Hourly)",'Eplus results'!$1:$1048576,ROW(),FALSE)</f>
        <v>0</v>
      </c>
      <c r="AC276" s="580">
        <f>HLOOKUP("*"&amp;'Output annual'!$AC$2&amp;'Output annual'!$AD$2&amp;"*FangerPMV(Hourly)",'Eplus results'!$1:$1048576,ROW(),FALSE)</f>
        <v>0</v>
      </c>
      <c r="AD276" s="580">
        <f t="shared" si="53"/>
        <v>5</v>
      </c>
      <c r="AE276" s="580">
        <f t="shared" si="54"/>
        <v>2.5</v>
      </c>
      <c r="AF276" s="580">
        <f t="shared" si="55"/>
        <v>2.5</v>
      </c>
      <c r="AG276" s="580">
        <f t="shared" si="56"/>
        <v>0</v>
      </c>
      <c r="AH276" s="580">
        <f t="shared" si="57"/>
        <v>0</v>
      </c>
    </row>
    <row r="277" spans="2:34">
      <c r="B277" s="235"/>
      <c r="C277" s="692"/>
      <c r="D277" s="689"/>
      <c r="E277" s="258"/>
      <c r="F277" s="241"/>
      <c r="G277" s="247" t="s">
        <v>484</v>
      </c>
      <c r="H277" s="242" t="e">
        <f>HLOOKUP("TFSP"&amp;perim_zone&amp;"_CEILING:Surface Inside Temperature[C](Hourly)",'Eplus results'!1:65536,'graph data'!D4,FALSE)</f>
        <v>#N/A</v>
      </c>
      <c r="I277" s="241"/>
      <c r="J277" s="241"/>
      <c r="K277" s="259"/>
      <c r="L277" s="254"/>
      <c r="M277" s="255"/>
      <c r="N277" s="255"/>
      <c r="O277" s="260"/>
      <c r="P277" s="256"/>
      <c r="Q277" s="235"/>
      <c r="R277" s="235"/>
      <c r="AB277" s="580">
        <f>HLOOKUP("*"&amp;'Output annual'!$AC$2&amp;'Output annual'!$AD$2&amp;"*Zone People Number Of Occupants [](Hourly)",'Eplus results'!$1:$1048576,ROW(),FALSE)</f>
        <v>0</v>
      </c>
      <c r="AC277" s="580">
        <f>HLOOKUP("*"&amp;'Output annual'!$AC$2&amp;'Output annual'!$AD$2&amp;"*FangerPMV(Hourly)",'Eplus results'!$1:$1048576,ROW(),FALSE)</f>
        <v>0</v>
      </c>
      <c r="AD277" s="580">
        <f t="shared" si="53"/>
        <v>5</v>
      </c>
      <c r="AE277" s="580">
        <f t="shared" si="54"/>
        <v>2.5</v>
      </c>
      <c r="AF277" s="580">
        <f t="shared" si="55"/>
        <v>2.5</v>
      </c>
      <c r="AG277" s="580">
        <f t="shared" si="56"/>
        <v>0</v>
      </c>
      <c r="AH277" s="580">
        <f t="shared" si="57"/>
        <v>0</v>
      </c>
    </row>
    <row r="278" spans="2:34">
      <c r="B278" s="235"/>
      <c r="C278" s="692"/>
      <c r="D278" s="235"/>
      <c r="E278" s="258"/>
      <c r="F278" s="241"/>
      <c r="G278" s="241"/>
      <c r="H278" s="242"/>
      <c r="I278" s="241"/>
      <c r="J278" s="241"/>
      <c r="K278" s="259" t="s">
        <v>486</v>
      </c>
      <c r="L278" s="254">
        <f>HLOOKUP("TFSP"&amp;perim_zone&amp;"_Ceiling:Surface Int Convection Heat Rate [W](Hourly)",'Eplus results'!1:65536,'graph data'!D4,FALSE)</f>
        <v>0</v>
      </c>
      <c r="M278" s="255"/>
      <c r="N278" s="255"/>
      <c r="O278" s="260"/>
      <c r="P278" s="256" t="s">
        <v>457</v>
      </c>
      <c r="Q278" s="235"/>
      <c r="R278" s="235"/>
      <c r="AB278" s="580">
        <f>HLOOKUP("*"&amp;'Output annual'!$AC$2&amp;'Output annual'!$AD$2&amp;"*Zone People Number Of Occupants [](Hourly)",'Eplus results'!$1:$1048576,ROW(),FALSE)</f>
        <v>0</v>
      </c>
      <c r="AC278" s="580">
        <f>HLOOKUP("*"&amp;'Output annual'!$AC$2&amp;'Output annual'!$AD$2&amp;"*FangerPMV(Hourly)",'Eplus results'!$1:$1048576,ROW(),FALSE)</f>
        <v>0</v>
      </c>
      <c r="AD278" s="580">
        <f t="shared" si="53"/>
        <v>5</v>
      </c>
      <c r="AE278" s="580">
        <f t="shared" si="54"/>
        <v>2.5</v>
      </c>
      <c r="AF278" s="580">
        <f t="shared" si="55"/>
        <v>2.5</v>
      </c>
      <c r="AG278" s="580">
        <f t="shared" si="56"/>
        <v>0</v>
      </c>
      <c r="AH278" s="580">
        <f t="shared" si="57"/>
        <v>0</v>
      </c>
    </row>
    <row r="279" spans="2:34">
      <c r="B279" s="235"/>
      <c r="C279" s="692"/>
      <c r="D279" s="257"/>
      <c r="E279" s="258" t="s">
        <v>3</v>
      </c>
      <c r="F279" s="241"/>
      <c r="G279" s="247" t="s">
        <v>485</v>
      </c>
      <c r="H279" s="242" t="e">
        <f>HLOOKUP("TFSP"&amp;perim_zone&amp;":Zone/Sys Air Temperature[C](Hourly)",'Eplus results'!1:65536,'graph data'!D4, FALSE)</f>
        <v>#N/A</v>
      </c>
      <c r="I279" s="241"/>
      <c r="J279" s="241"/>
      <c r="K279" s="281" t="s">
        <v>528</v>
      </c>
      <c r="L279" s="254">
        <f>HLOOKUP("TFSP"&amp;perim_zone&amp;"_WALL_"&amp;LEFT(perim_zone, 1)&amp;":Surface Int Convection Heat Rate [W](Hourly)",'Eplus results'!1:65536,'graph data'!D4,FALSE)</f>
        <v>0</v>
      </c>
      <c r="M279" s="255" t="s">
        <v>519</v>
      </c>
      <c r="N279" s="255" t="e">
        <f>HLOOKUP("TFSP"&amp;perim_zone&amp;":Zone/Sys Sensible Cooling Rate[W](Hourly)",'Eplus results'!1:65536,'graph data'!D4,FALSE)</f>
        <v>#N/A</v>
      </c>
      <c r="O279" s="260" t="s">
        <v>158</v>
      </c>
      <c r="P279" s="256" t="e">
        <f>N279/(L278+L280+L279)</f>
        <v>#N/A</v>
      </c>
      <c r="Q279" s="235"/>
      <c r="R279" s="235"/>
      <c r="AB279" s="580">
        <f>HLOOKUP("*"&amp;'Output annual'!$AC$2&amp;'Output annual'!$AD$2&amp;"*Zone People Number Of Occupants [](Hourly)",'Eplus results'!$1:$1048576,ROW(),FALSE)</f>
        <v>0</v>
      </c>
      <c r="AC279" s="580">
        <f>HLOOKUP("*"&amp;'Output annual'!$AC$2&amp;'Output annual'!$AD$2&amp;"*FangerPMV(Hourly)",'Eplus results'!$1:$1048576,ROW(),FALSE)</f>
        <v>0</v>
      </c>
      <c r="AD279" s="580">
        <f t="shared" si="53"/>
        <v>5</v>
      </c>
      <c r="AE279" s="580">
        <f t="shared" si="54"/>
        <v>2.5</v>
      </c>
      <c r="AF279" s="580">
        <f t="shared" si="55"/>
        <v>2.5</v>
      </c>
      <c r="AG279" s="580">
        <f t="shared" si="56"/>
        <v>0</v>
      </c>
      <c r="AH279" s="580">
        <f t="shared" si="57"/>
        <v>0</v>
      </c>
    </row>
    <row r="280" spans="2:34" ht="13.5" thickBot="1">
      <c r="B280" s="235"/>
      <c r="C280" s="693"/>
      <c r="D280" s="261"/>
      <c r="E280" s="262"/>
      <c r="F280" s="263"/>
      <c r="G280" s="263"/>
      <c r="H280" s="264"/>
      <c r="I280" s="263"/>
      <c r="J280" s="263"/>
      <c r="K280" s="265" t="s">
        <v>486</v>
      </c>
      <c r="L280" s="254">
        <f>IF(RunType="OH",HLOOKUP("TF"&amp;perim_zone&amp;"_FLOOR:Surface Int Convection Heat Rate [W](Hourly)",'Eplus results'!1:65536,'graph data'!D4, FALSE), HLOOKUP("TFSP"&amp;perim_zone&amp;"_Floor:Surface Int Convection Heat Rate [W](Hourly)",'Eplus results'!1:65536,'graph data'!D4,FALSE))</f>
        <v>0</v>
      </c>
      <c r="M280" s="255"/>
      <c r="N280" s="255"/>
      <c r="O280" s="235"/>
      <c r="P280" s="256"/>
      <c r="Q280" s="235"/>
      <c r="R280" s="235"/>
      <c r="AB280" s="580">
        <f>HLOOKUP("*"&amp;'Output annual'!$AC$2&amp;'Output annual'!$AD$2&amp;"*Zone People Number Of Occupants [](Hourly)",'Eplus results'!$1:$1048576,ROW(),FALSE)</f>
        <v>0</v>
      </c>
      <c r="AC280" s="580">
        <f>HLOOKUP("*"&amp;'Output annual'!$AC$2&amp;'Output annual'!$AD$2&amp;"*FangerPMV(Hourly)",'Eplus results'!$1:$1048576,ROW(),FALSE)</f>
        <v>0</v>
      </c>
      <c r="AD280" s="580">
        <f t="shared" si="53"/>
        <v>5</v>
      </c>
      <c r="AE280" s="580">
        <f t="shared" si="54"/>
        <v>2.5</v>
      </c>
      <c r="AF280" s="580">
        <f t="shared" si="55"/>
        <v>2.5</v>
      </c>
      <c r="AG280" s="580">
        <f t="shared" si="56"/>
        <v>0</v>
      </c>
      <c r="AH280" s="580">
        <f t="shared" si="57"/>
        <v>0</v>
      </c>
    </row>
    <row r="281" spans="2:34">
      <c r="B281" s="235"/>
      <c r="C281" s="266"/>
      <c r="D281" s="267"/>
      <c r="E281" s="268"/>
      <c r="F281" s="241"/>
      <c r="G281" s="247" t="s">
        <v>484</v>
      </c>
      <c r="H281" s="242" t="e">
        <f>IF(RunType="OH",HLOOKUP("TF"&amp;perim_zone&amp;"_FLOOR:Surface Inside Temperature[C](Hourly)",'Eplus results'!1:65536,'graph data'!D4, FALSE), HLOOKUP("TFSP"&amp;perim_zone&amp;"_FLOOR:Surface Inside Temperature[C](Hourly)",'Eplus results'!1:65536,'graph data'!D4,FALSE))</f>
        <v>#N/A</v>
      </c>
      <c r="I281" s="241"/>
      <c r="J281" s="241"/>
      <c r="K281" s="241" t="s">
        <v>529</v>
      </c>
      <c r="L281" s="269" t="e">
        <f>IF(RunType="OH",HLOOKUP("TF"&amp;perim_zone&amp;"_FLOOR:Opaque Surface Inside Face Conduction[W](Hourly)",'Eplus results'!$1:$1048576,'graph data'!D4, FALSE)*2, HLOOKUP("TFSP"&amp;perim_zone&amp;"_Floor:Opaque Surface Inside Face Conduction[W](Hourly)",'Eplus results'!1:65536,'graph data'!D4,FALSE)*2)</f>
        <v>#N/A</v>
      </c>
      <c r="M281" s="270"/>
      <c r="N281" s="255"/>
      <c r="O281" s="235"/>
      <c r="P281" s="256"/>
      <c r="Q281" s="235"/>
      <c r="R281" s="235"/>
      <c r="AB281" s="580">
        <f>HLOOKUP("*"&amp;'Output annual'!$AC$2&amp;'Output annual'!$AD$2&amp;"*Zone People Number Of Occupants [](Hourly)",'Eplus results'!$1:$1048576,ROW(),FALSE)</f>
        <v>0</v>
      </c>
      <c r="AC281" s="580">
        <f>HLOOKUP("*"&amp;'Output annual'!$AC$2&amp;'Output annual'!$AD$2&amp;"*FangerPMV(Hourly)",'Eplus results'!$1:$1048576,ROW(),FALSE)</f>
        <v>0</v>
      </c>
      <c r="AD281" s="580">
        <f t="shared" si="53"/>
        <v>5</v>
      </c>
      <c r="AE281" s="580">
        <f t="shared" si="54"/>
        <v>2.5</v>
      </c>
      <c r="AF281" s="580">
        <f t="shared" si="55"/>
        <v>2.5</v>
      </c>
      <c r="AG281" s="580">
        <f t="shared" si="56"/>
        <v>0</v>
      </c>
      <c r="AH281" s="580">
        <f t="shared" si="57"/>
        <v>0</v>
      </c>
    </row>
    <row r="282" spans="2:34">
      <c r="B282" s="235"/>
      <c r="C282" s="235" t="s">
        <v>514</v>
      </c>
      <c r="D282" s="247"/>
      <c r="E282" s="268"/>
      <c r="F282" s="241"/>
      <c r="G282" s="241"/>
      <c r="H282" s="242"/>
      <c r="I282" s="241"/>
      <c r="J282" s="241"/>
      <c r="K282" s="241"/>
      <c r="L282" s="243"/>
      <c r="M282" s="244"/>
      <c r="N282" s="255"/>
      <c r="O282" s="235"/>
      <c r="P282" s="256"/>
      <c r="Q282" s="235"/>
      <c r="R282" s="235"/>
      <c r="AB282" s="580">
        <f>HLOOKUP("*"&amp;'Output annual'!$AC$2&amp;'Output annual'!$AD$2&amp;"*Zone People Number Of Occupants [](Hourly)",'Eplus results'!$1:$1048576,ROW(),FALSE)</f>
        <v>0</v>
      </c>
      <c r="AC282" s="580">
        <f>HLOOKUP("*"&amp;'Output annual'!$AC$2&amp;'Output annual'!$AD$2&amp;"*FangerPMV(Hourly)",'Eplus results'!$1:$1048576,ROW(),FALSE)</f>
        <v>0</v>
      </c>
      <c r="AD282" s="580">
        <f t="shared" si="53"/>
        <v>5</v>
      </c>
      <c r="AE282" s="580">
        <f t="shared" si="54"/>
        <v>2.5</v>
      </c>
      <c r="AF282" s="580">
        <f t="shared" si="55"/>
        <v>2.5</v>
      </c>
      <c r="AG282" s="580">
        <f t="shared" si="56"/>
        <v>0</v>
      </c>
      <c r="AH282" s="580">
        <f t="shared" si="57"/>
        <v>0</v>
      </c>
    </row>
    <row r="283" spans="2:34" ht="13.5" thickBot="1">
      <c r="B283" s="235"/>
      <c r="C283" s="245"/>
      <c r="D283" s="271"/>
      <c r="E283" s="268"/>
      <c r="F283" s="241"/>
      <c r="G283" s="247" t="s">
        <v>484</v>
      </c>
      <c r="H283" s="242" t="e">
        <f>IF(RunType="OH",HLOOKUP("TF"&amp;perim_zone&amp;"_FLOOR:Surface Outside Temperature[C](Hourly)",'Eplus results'!1:65536,'graph data'!D4, FALSE), HLOOKUP("TFSP"&amp;perim_zone&amp;"_FLOOR:Surface Outside Temperature[C](Hourly)",'Eplus results'!1:65536,'graph data'!D4,FALSE))</f>
        <v>#N/A</v>
      </c>
      <c r="I283" s="241"/>
      <c r="J283" s="241"/>
      <c r="K283" s="241" t="s">
        <v>529</v>
      </c>
      <c r="L283" s="248" t="e">
        <f>HLOOKUP("MFRP"&amp;perim_zone&amp;"_CEILING:Opaque Surface Inside Face Conduction[W](Hourly)",'Eplus results'!1:65536,'graph data'!D4,FALSE)</f>
        <v>#N/A</v>
      </c>
      <c r="M283" s="249"/>
      <c r="N283" s="255"/>
      <c r="O283" s="235"/>
      <c r="P283" s="256"/>
      <c r="Q283" s="235"/>
      <c r="R283" s="235"/>
      <c r="AB283" s="580">
        <f>HLOOKUP("*"&amp;'Output annual'!$AC$2&amp;'Output annual'!$AD$2&amp;"*Zone People Number Of Occupants [](Hourly)",'Eplus results'!$1:$1048576,ROW(),FALSE)</f>
        <v>0</v>
      </c>
      <c r="AC283" s="580">
        <f>HLOOKUP("*"&amp;'Output annual'!$AC$2&amp;'Output annual'!$AD$2&amp;"*FangerPMV(Hourly)",'Eplus results'!$1:$1048576,ROW(),FALSE)</f>
        <v>0</v>
      </c>
      <c r="AD283" s="580">
        <f t="shared" si="53"/>
        <v>5</v>
      </c>
      <c r="AE283" s="580">
        <f t="shared" si="54"/>
        <v>2.5</v>
      </c>
      <c r="AF283" s="580">
        <f t="shared" si="55"/>
        <v>2.5</v>
      </c>
      <c r="AG283" s="580">
        <f t="shared" si="56"/>
        <v>0</v>
      </c>
      <c r="AH283" s="580">
        <f t="shared" si="57"/>
        <v>0</v>
      </c>
    </row>
    <row r="284" spans="2:34">
      <c r="B284" s="694" t="str">
        <f>perim_zone&amp;" (Exterior)"</f>
        <v>West (Exterior)</v>
      </c>
      <c r="C284" s="691" t="s">
        <v>525</v>
      </c>
      <c r="D284" s="235"/>
      <c r="E284" s="272"/>
      <c r="F284" s="251"/>
      <c r="G284" s="251"/>
      <c r="H284" s="252"/>
      <c r="I284" s="251"/>
      <c r="J284" s="251"/>
      <c r="K284" s="253" t="s">
        <v>486</v>
      </c>
      <c r="L284" s="254">
        <f>HLOOKUP("MFRP"&amp;perim_zone&amp;"_Ceiling:Surface Int Convection Heat Rate [W](Hourly)",'Eplus results'!1:65536,'graph data'!D4,FALSE)</f>
        <v>0</v>
      </c>
      <c r="M284" s="255"/>
      <c r="N284" s="255"/>
      <c r="O284" s="235"/>
      <c r="P284" s="256" t="s">
        <v>457</v>
      </c>
      <c r="Q284" s="235"/>
      <c r="R284" s="235"/>
      <c r="AB284" s="580">
        <f>HLOOKUP("*"&amp;'Output annual'!$AC$2&amp;'Output annual'!$AD$2&amp;"*Zone People Number Of Occupants [](Hourly)",'Eplus results'!$1:$1048576,ROW(),FALSE)</f>
        <v>0</v>
      </c>
      <c r="AC284" s="580">
        <f>HLOOKUP("*"&amp;'Output annual'!$AC$2&amp;'Output annual'!$AD$2&amp;"*FangerPMV(Hourly)",'Eplus results'!$1:$1048576,ROW(),FALSE)</f>
        <v>0</v>
      </c>
      <c r="AD284" s="580">
        <f t="shared" si="53"/>
        <v>5</v>
      </c>
      <c r="AE284" s="580">
        <f t="shared" si="54"/>
        <v>2.5</v>
      </c>
      <c r="AF284" s="580">
        <f t="shared" si="55"/>
        <v>2.5</v>
      </c>
      <c r="AG284" s="580">
        <f t="shared" si="56"/>
        <v>0</v>
      </c>
      <c r="AH284" s="580">
        <f t="shared" si="57"/>
        <v>0</v>
      </c>
    </row>
    <row r="285" spans="2:34">
      <c r="B285" s="694"/>
      <c r="C285" s="692"/>
      <c r="D285" s="257"/>
      <c r="E285" s="258" t="s">
        <v>511</v>
      </c>
      <c r="F285" s="241"/>
      <c r="G285" s="247" t="s">
        <v>485</v>
      </c>
      <c r="H285" s="242" t="e">
        <f>HLOOKUP("MFRP"&amp;perim_zone&amp;":Zone/Sys Air Temperature[C](Hourly)",'Eplus results'!1:65536,'graph data'!D4, FALSE)</f>
        <v>#N/A</v>
      </c>
      <c r="I285" s="241"/>
      <c r="J285" s="241"/>
      <c r="K285" s="281" t="s">
        <v>528</v>
      </c>
      <c r="L285" s="254">
        <f>HLOOKUP("MFRP"&amp;perim_zone&amp;"_WALL_"&amp;LEFT(perim_zone, 1)&amp;":Surface Int Convection Heat Rate [W](Hourly)",'Eplus results'!1:65536,'graph data'!D4,FALSE)</f>
        <v>0</v>
      </c>
      <c r="M285" s="255" t="s">
        <v>517</v>
      </c>
      <c r="N285" s="255" t="e">
        <f>HLOOKUP("MFRP"&amp;perim_zone&amp;":Zone/Sys Sensible Cooling Rate[W](Hourly)",'Eplus results'!1:65536,'graph data'!D4,FALSE)</f>
        <v>#N/A</v>
      </c>
      <c r="O285" s="260" t="s">
        <v>158</v>
      </c>
      <c r="P285" s="256" t="e">
        <f>N285/(L284+L286+L285)</f>
        <v>#N/A</v>
      </c>
      <c r="Q285" s="235"/>
      <c r="R285" s="235"/>
      <c r="AB285" s="580">
        <f>HLOOKUP("*"&amp;'Output annual'!$AC$2&amp;'Output annual'!$AD$2&amp;"*Zone People Number Of Occupants [](Hourly)",'Eplus results'!$1:$1048576,ROW(),FALSE)</f>
        <v>0</v>
      </c>
      <c r="AC285" s="580">
        <f>HLOOKUP("*"&amp;'Output annual'!$AC$2&amp;'Output annual'!$AD$2&amp;"*FangerPMV(Hourly)",'Eplus results'!$1:$1048576,ROW(),FALSE)</f>
        <v>0</v>
      </c>
      <c r="AD285" s="580">
        <f t="shared" si="53"/>
        <v>5</v>
      </c>
      <c r="AE285" s="580">
        <f t="shared" si="54"/>
        <v>2.5</v>
      </c>
      <c r="AF285" s="580">
        <f t="shared" si="55"/>
        <v>2.5</v>
      </c>
      <c r="AG285" s="580">
        <f t="shared" si="56"/>
        <v>0</v>
      </c>
      <c r="AH285" s="580">
        <f t="shared" si="57"/>
        <v>0</v>
      </c>
    </row>
    <row r="286" spans="2:34">
      <c r="B286" s="694"/>
      <c r="C286" s="692"/>
      <c r="D286" s="257"/>
      <c r="E286" s="258"/>
      <c r="F286" s="241"/>
      <c r="G286" s="241"/>
      <c r="H286" s="242"/>
      <c r="I286" s="241"/>
      <c r="J286" s="241"/>
      <c r="K286" s="259" t="s">
        <v>486</v>
      </c>
      <c r="L286" s="254">
        <f>HLOOKUP("MFRP"&amp;perim_zone&amp;"_Floor:Surface Int Convection Heat Rate [W](Hourly)",'Eplus results'!1:65536,'graph data'!D4,FALSE)</f>
        <v>0</v>
      </c>
      <c r="M286" s="255"/>
      <c r="N286" s="255"/>
      <c r="O286" s="260"/>
      <c r="P286" s="256"/>
      <c r="Q286" s="235"/>
      <c r="R286" s="235"/>
      <c r="AB286" s="580">
        <f>HLOOKUP("*"&amp;'Output annual'!$AC$2&amp;'Output annual'!$AD$2&amp;"*Zone People Number Of Occupants [](Hourly)",'Eplus results'!$1:$1048576,ROW(),FALSE)</f>
        <v>0</v>
      </c>
      <c r="AC286" s="580">
        <f>HLOOKUP("*"&amp;'Output annual'!$AC$2&amp;'Output annual'!$AD$2&amp;"*FangerPMV(Hourly)",'Eplus results'!$1:$1048576,ROW(),FALSE)</f>
        <v>0</v>
      </c>
      <c r="AD286" s="580">
        <f t="shared" si="53"/>
        <v>5</v>
      </c>
      <c r="AE286" s="580">
        <f t="shared" si="54"/>
        <v>2.5</v>
      </c>
      <c r="AF286" s="580">
        <f t="shared" si="55"/>
        <v>2.5</v>
      </c>
      <c r="AG286" s="580">
        <f t="shared" si="56"/>
        <v>0</v>
      </c>
      <c r="AH286" s="580">
        <f t="shared" si="57"/>
        <v>0</v>
      </c>
    </row>
    <row r="287" spans="2:34">
      <c r="B287" s="694"/>
      <c r="C287" s="692"/>
      <c r="D287" s="689" t="s">
        <v>520</v>
      </c>
      <c r="E287" s="258"/>
      <c r="F287" s="241"/>
      <c r="G287" s="247" t="s">
        <v>484</v>
      </c>
      <c r="H287" s="242" t="e">
        <f>HLOOKUP("MFRP"&amp;perim_zone&amp;"_FLOOR:Surface Inside Temperature[C](Hourly)",'Eplus results'!1:65536,'graph data'!D4,FALSE)</f>
        <v>#N/A</v>
      </c>
      <c r="I287" s="241"/>
      <c r="J287" s="241"/>
      <c r="K287" s="259"/>
      <c r="L287" s="254"/>
      <c r="M287" s="274" t="e">
        <f>HLOOKUP("MFrpeast:Zone Infiltration Sensible Heat Gain [J](Hourly)",'Eplus results'!1:1048576,'graph data'!D4,FALSE)/3600</f>
        <v>#N/A</v>
      </c>
      <c r="N287" s="255"/>
      <c r="O287" s="260"/>
      <c r="P287" s="256"/>
      <c r="Q287" s="235"/>
      <c r="R287" s="235"/>
      <c r="AB287" s="580">
        <f>HLOOKUP("*"&amp;'Output annual'!$AC$2&amp;'Output annual'!$AD$2&amp;"*Zone People Number Of Occupants [](Hourly)",'Eplus results'!$1:$1048576,ROW(),FALSE)</f>
        <v>0</v>
      </c>
      <c r="AC287" s="580">
        <f>HLOOKUP("*"&amp;'Output annual'!$AC$2&amp;'Output annual'!$AD$2&amp;"*FangerPMV(Hourly)",'Eplus results'!$1:$1048576,ROW(),FALSE)</f>
        <v>0</v>
      </c>
      <c r="AD287" s="580">
        <f t="shared" si="53"/>
        <v>5</v>
      </c>
      <c r="AE287" s="580">
        <f t="shared" si="54"/>
        <v>2.5</v>
      </c>
      <c r="AF287" s="580">
        <f t="shared" si="55"/>
        <v>2.5</v>
      </c>
      <c r="AG287" s="580">
        <f t="shared" si="56"/>
        <v>0</v>
      </c>
      <c r="AH287" s="580">
        <f t="shared" si="57"/>
        <v>0</v>
      </c>
    </row>
    <row r="288" spans="2:34">
      <c r="B288" s="694"/>
      <c r="C288" s="692"/>
      <c r="D288" s="689"/>
      <c r="E288" s="258"/>
      <c r="F288" s="241"/>
      <c r="G288" s="247" t="s">
        <v>484</v>
      </c>
      <c r="H288" s="242" t="e">
        <f>HLOOKUP("MFRP"&amp;perim_zone&amp;"_FLOOR:Surface Outside Temperature[C](Hourly)",'Eplus results'!1:65536,'graph data'!D4,FALSE)</f>
        <v>#N/A</v>
      </c>
      <c r="I288" s="241"/>
      <c r="J288" s="241"/>
      <c r="K288" s="259"/>
      <c r="L288" s="254"/>
      <c r="M288" s="274"/>
      <c r="N288" s="255"/>
      <c r="O288" s="260"/>
      <c r="P288" s="256"/>
      <c r="Q288" s="235"/>
      <c r="R288" s="283"/>
      <c r="AB288" s="580">
        <f>HLOOKUP("*"&amp;'Output annual'!$AC$2&amp;'Output annual'!$AD$2&amp;"*Zone People Number Of Occupants [](Hourly)",'Eplus results'!$1:$1048576,ROW(),FALSE)</f>
        <v>0</v>
      </c>
      <c r="AC288" s="580">
        <f>HLOOKUP("*"&amp;'Output annual'!$AC$2&amp;'Output annual'!$AD$2&amp;"*FangerPMV(Hourly)",'Eplus results'!$1:$1048576,ROW(),FALSE)</f>
        <v>0</v>
      </c>
      <c r="AD288" s="580">
        <f t="shared" si="53"/>
        <v>5</v>
      </c>
      <c r="AE288" s="580">
        <f t="shared" si="54"/>
        <v>2.5</v>
      </c>
      <c r="AF288" s="580">
        <f t="shared" si="55"/>
        <v>2.5</v>
      </c>
      <c r="AG288" s="580">
        <f t="shared" si="56"/>
        <v>0</v>
      </c>
      <c r="AH288" s="580">
        <f t="shared" si="57"/>
        <v>0</v>
      </c>
    </row>
    <row r="289" spans="2:34">
      <c r="B289" s="694"/>
      <c r="C289" s="692"/>
      <c r="D289" s="690" t="s">
        <v>521</v>
      </c>
      <c r="E289" s="258"/>
      <c r="F289" s="241"/>
      <c r="G289" s="241"/>
      <c r="H289" s="242"/>
      <c r="I289" s="241"/>
      <c r="J289" s="241"/>
      <c r="K289" s="259" t="s">
        <v>486</v>
      </c>
      <c r="L289" s="254">
        <f>HLOOKUP("MF"&amp;perim_zone&amp;"_Ceiling:Surface Int Convection Heat Rate [W](Hourly)",'Eplus results'!1:65536,'graph data'!D4,FALSE)</f>
        <v>0</v>
      </c>
      <c r="M289" s="274" t="e">
        <f>HLOOKUP("MFeast:Zone Infiltration Sensible Heat Gain [J](Hourly)",'Eplus results'!1:1048576,'graph data'!D4,FALSE)/3600</f>
        <v>#N/A</v>
      </c>
      <c r="N289" s="255"/>
      <c r="O289" s="260"/>
      <c r="P289" s="256"/>
      <c r="Q289" s="235"/>
      <c r="R289" s="283"/>
      <c r="AB289" s="580">
        <f>HLOOKUP("*"&amp;'Output annual'!$AC$2&amp;'Output annual'!$AD$2&amp;"*Zone People Number Of Occupants [](Hourly)",'Eplus results'!$1:$1048576,ROW(),FALSE)</f>
        <v>0</v>
      </c>
      <c r="AC289" s="580">
        <f>HLOOKUP("*"&amp;'Output annual'!$AC$2&amp;'Output annual'!$AD$2&amp;"*FangerPMV(Hourly)",'Eplus results'!$1:$1048576,ROW(),FALSE)</f>
        <v>0</v>
      </c>
      <c r="AD289" s="580">
        <f t="shared" si="53"/>
        <v>5</v>
      </c>
      <c r="AE289" s="580">
        <f t="shared" si="54"/>
        <v>2.5</v>
      </c>
      <c r="AF289" s="580">
        <f t="shared" si="55"/>
        <v>2.5</v>
      </c>
      <c r="AG289" s="580">
        <f t="shared" si="56"/>
        <v>0</v>
      </c>
      <c r="AH289" s="580">
        <f t="shared" si="57"/>
        <v>0</v>
      </c>
    </row>
    <row r="290" spans="2:34">
      <c r="B290" s="694"/>
      <c r="C290" s="692"/>
      <c r="D290" s="690"/>
      <c r="E290" s="258" t="s">
        <v>510</v>
      </c>
      <c r="F290" s="241"/>
      <c r="G290" s="247" t="s">
        <v>485</v>
      </c>
      <c r="H290" s="242" t="e">
        <f>HLOOKUP("MF"&amp;perim_zone&amp;":UF Mixed Subzone Temperature[C](Hourly)",'Eplus results'!1:65536,'graph data'!D4, FALSE)</f>
        <v>#N/A</v>
      </c>
      <c r="I290" s="241"/>
      <c r="J290" s="241"/>
      <c r="K290" s="259"/>
      <c r="L290" s="254"/>
      <c r="M290" s="255"/>
      <c r="N290" s="255"/>
      <c r="O290" s="260"/>
      <c r="P290" s="256"/>
      <c r="Q290" s="235"/>
      <c r="R290" s="283"/>
      <c r="AB290" s="580">
        <f>HLOOKUP("*"&amp;'Output annual'!$AC$2&amp;'Output annual'!$AD$2&amp;"*Zone People Number Of Occupants [](Hourly)",'Eplus results'!$1:$1048576,ROW(),FALSE)</f>
        <v>0</v>
      </c>
      <c r="AC290" s="580">
        <f>HLOOKUP("*"&amp;'Output annual'!$AC$2&amp;'Output annual'!$AD$2&amp;"*FangerPMV(Hourly)",'Eplus results'!$1:$1048576,ROW(),FALSE)</f>
        <v>0</v>
      </c>
      <c r="AD290" s="580">
        <f t="shared" si="53"/>
        <v>5</v>
      </c>
      <c r="AE290" s="580">
        <f t="shared" si="54"/>
        <v>2.5</v>
      </c>
      <c r="AF290" s="580">
        <f t="shared" si="55"/>
        <v>2.5</v>
      </c>
      <c r="AG290" s="580">
        <f t="shared" si="56"/>
        <v>0</v>
      </c>
      <c r="AH290" s="580">
        <f t="shared" si="57"/>
        <v>0</v>
      </c>
    </row>
    <row r="291" spans="2:34">
      <c r="B291" s="694"/>
      <c r="C291" s="692"/>
      <c r="D291" s="690"/>
      <c r="E291" s="258"/>
      <c r="F291" s="241"/>
      <c r="G291" s="241"/>
      <c r="H291" s="242"/>
      <c r="I291" s="241"/>
      <c r="J291" s="241"/>
      <c r="K291" s="259"/>
      <c r="L291" s="254"/>
      <c r="M291" s="255"/>
      <c r="N291" s="255"/>
      <c r="O291" s="260"/>
      <c r="P291" s="256" t="s">
        <v>457</v>
      </c>
      <c r="Q291" s="235"/>
      <c r="R291" s="256"/>
      <c r="AB291" s="580">
        <f>HLOOKUP("*"&amp;'Output annual'!$AC$2&amp;'Output annual'!$AD$2&amp;"*Zone People Number Of Occupants [](Hourly)",'Eplus results'!$1:$1048576,ROW(),FALSE)</f>
        <v>0</v>
      </c>
      <c r="AC291" s="580">
        <f>HLOOKUP("*"&amp;'Output annual'!$AC$2&amp;'Output annual'!$AD$2&amp;"*FangerPMV(Hourly)",'Eplus results'!$1:$1048576,ROW(),FALSE)</f>
        <v>0</v>
      </c>
      <c r="AD291" s="580">
        <f t="shared" si="53"/>
        <v>5</v>
      </c>
      <c r="AE291" s="580">
        <f t="shared" si="54"/>
        <v>2.5</v>
      </c>
      <c r="AF291" s="580">
        <f t="shared" si="55"/>
        <v>2.5</v>
      </c>
      <c r="AG291" s="580">
        <f t="shared" si="56"/>
        <v>0</v>
      </c>
      <c r="AH291" s="580">
        <f t="shared" si="57"/>
        <v>0</v>
      </c>
    </row>
    <row r="292" spans="2:34">
      <c r="B292" s="694"/>
      <c r="C292" s="692"/>
      <c r="D292" s="690"/>
      <c r="E292" s="258"/>
      <c r="F292" s="241"/>
      <c r="G292" s="241"/>
      <c r="H292" s="242"/>
      <c r="I292" s="241"/>
      <c r="J292" s="241"/>
      <c r="K292" s="259"/>
      <c r="L292" s="254"/>
      <c r="M292" s="255" t="s">
        <v>518</v>
      </c>
      <c r="N292" s="255" t="e">
        <f>HLOOKUP("MF"&amp;perim_zone&amp;":Zone/Sys Sensible Cooling Rate[W](Hourly)",'Eplus results'!1:65536,'graph data'!D4,FALSE)</f>
        <v>#N/A</v>
      </c>
      <c r="O292" s="260" t="s">
        <v>158</v>
      </c>
      <c r="P292" s="256" t="e">
        <f>N292/(N294+N295+L294)</f>
        <v>#N/A</v>
      </c>
      <c r="Q292" s="235"/>
      <c r="R292" s="235"/>
      <c r="AB292" s="580">
        <f>HLOOKUP("*"&amp;'Output annual'!$AC$2&amp;'Output annual'!$AD$2&amp;"*Zone People Number Of Occupants [](Hourly)",'Eplus results'!$1:$1048576,ROW(),FALSE)</f>
        <v>0</v>
      </c>
      <c r="AC292" s="580">
        <f>HLOOKUP("*"&amp;'Output annual'!$AC$2&amp;'Output annual'!$AD$2&amp;"*FangerPMV(Hourly)",'Eplus results'!$1:$1048576,ROW(),FALSE)</f>
        <v>0</v>
      </c>
      <c r="AD292" s="580">
        <f t="shared" si="53"/>
        <v>5</v>
      </c>
      <c r="AE292" s="580">
        <f t="shared" si="54"/>
        <v>2.5</v>
      </c>
      <c r="AF292" s="580">
        <f t="shared" si="55"/>
        <v>2.5</v>
      </c>
      <c r="AG292" s="580">
        <f t="shared" si="56"/>
        <v>0</v>
      </c>
      <c r="AH292" s="580">
        <f t="shared" si="57"/>
        <v>0</v>
      </c>
    </row>
    <row r="293" spans="2:34">
      <c r="B293" s="694"/>
      <c r="C293" s="692"/>
      <c r="D293" s="690"/>
      <c r="E293" s="258"/>
      <c r="F293" s="241"/>
      <c r="G293" s="241"/>
      <c r="H293" s="242"/>
      <c r="I293" s="241"/>
      <c r="J293" s="241"/>
      <c r="K293" s="259"/>
      <c r="L293" s="254"/>
      <c r="M293" s="255"/>
      <c r="N293" s="255"/>
      <c r="O293" s="260"/>
      <c r="P293" s="256"/>
      <c r="Q293" s="235"/>
      <c r="R293" s="235"/>
      <c r="AB293" s="580">
        <f>HLOOKUP("*"&amp;'Output annual'!$AC$2&amp;'Output annual'!$AD$2&amp;"*Zone People Number Of Occupants [](Hourly)",'Eplus results'!$1:$1048576,ROW(),FALSE)</f>
        <v>0</v>
      </c>
      <c r="AC293" s="580">
        <f>HLOOKUP("*"&amp;'Output annual'!$AC$2&amp;'Output annual'!$AD$2&amp;"*FangerPMV(Hourly)",'Eplus results'!$1:$1048576,ROW(),FALSE)</f>
        <v>0</v>
      </c>
      <c r="AD293" s="580">
        <f t="shared" si="53"/>
        <v>5</v>
      </c>
      <c r="AE293" s="580">
        <f t="shared" si="54"/>
        <v>2.5</v>
      </c>
      <c r="AF293" s="580">
        <f t="shared" si="55"/>
        <v>2.5</v>
      </c>
      <c r="AG293" s="580">
        <f t="shared" si="56"/>
        <v>0</v>
      </c>
      <c r="AH293" s="580">
        <f t="shared" si="57"/>
        <v>0</v>
      </c>
    </row>
    <row r="294" spans="2:34">
      <c r="B294" s="694"/>
      <c r="C294" s="692"/>
      <c r="D294" s="690"/>
      <c r="E294" s="258" t="s">
        <v>509</v>
      </c>
      <c r="F294" s="241"/>
      <c r="G294" s="247" t="s">
        <v>485</v>
      </c>
      <c r="H294" s="242" t="e">
        <f>IF(RunType="OH",HLOOKUP("MF"&amp;perim_zone&amp;":Zone/Sys Air Temperature[C](Hourly)",'Eplus results'!1:65536,'graph data'!D4, FALSE), HLOOKUP("MF"&amp;perim_zone&amp;":UF Occupied Subzone Temperature[C](Hourly)",'Eplus results'!1:65536,'graph data'!D4, FALSE))</f>
        <v>#N/A</v>
      </c>
      <c r="I294" s="241"/>
      <c r="J294" s="241"/>
      <c r="K294" s="281" t="s">
        <v>528</v>
      </c>
      <c r="L294" s="254">
        <f>HLOOKUP("MF"&amp;perim_zone&amp;"_WALL_"&amp;LEFT(perim_zone, 1)&amp;":Surface Int Convection Heat Rate [W](Hourly)",'Eplus results'!1:65536,'graph data'!D4,FALSE)</f>
        <v>0</v>
      </c>
      <c r="M294" s="255" t="s">
        <v>458</v>
      </c>
      <c r="N294" s="255">
        <f>(HLOOKUP("MF"&amp;perim_zone&amp;":Zone Total Internal Convective Heat Gain [J](Hourly)",'Eplus results'!1:65536,'graph data'!D4,FALSE)/3600)</f>
        <v>0</v>
      </c>
      <c r="O294" s="260"/>
      <c r="P294" s="256"/>
      <c r="Q294" s="235"/>
      <c r="R294" s="235"/>
      <c r="AB294" s="580">
        <f>HLOOKUP("*"&amp;'Output annual'!$AC$2&amp;'Output annual'!$AD$2&amp;"*Zone People Number Of Occupants [](Hourly)",'Eplus results'!$1:$1048576,ROW(),FALSE)</f>
        <v>0</v>
      </c>
      <c r="AC294" s="580">
        <f>HLOOKUP("*"&amp;'Output annual'!$AC$2&amp;'Output annual'!$AD$2&amp;"*FangerPMV(Hourly)",'Eplus results'!$1:$1048576,ROW(),FALSE)</f>
        <v>0</v>
      </c>
      <c r="AD294" s="580">
        <f t="shared" si="53"/>
        <v>5</v>
      </c>
      <c r="AE294" s="580">
        <f t="shared" si="54"/>
        <v>2.5</v>
      </c>
      <c r="AF294" s="580">
        <f t="shared" si="55"/>
        <v>2.5</v>
      </c>
      <c r="AG294" s="580">
        <f t="shared" si="56"/>
        <v>0</v>
      </c>
      <c r="AH294" s="580">
        <f t="shared" si="57"/>
        <v>0</v>
      </c>
    </row>
    <row r="295" spans="2:34">
      <c r="B295" s="694"/>
      <c r="C295" s="692"/>
      <c r="D295" s="690"/>
      <c r="E295" s="258"/>
      <c r="F295" s="241"/>
      <c r="G295" s="241"/>
      <c r="H295" s="242"/>
      <c r="I295" s="241"/>
      <c r="J295" s="241"/>
      <c r="K295" s="259"/>
      <c r="L295" s="254"/>
      <c r="M295" s="255" t="s">
        <v>459</v>
      </c>
      <c r="N295" s="255">
        <f>HLOOKUP("MF"&amp;perim_zone&amp;":Zone Window Heat Gain[W](Hourly)",'Eplus results'!1:65536,'graph data'!D4,FALSE)</f>
        <v>0</v>
      </c>
      <c r="O295" s="260"/>
      <c r="P295" s="256"/>
      <c r="Q295" s="235"/>
      <c r="R295" s="235"/>
      <c r="AB295" s="580">
        <f>HLOOKUP("*"&amp;'Output annual'!$AC$2&amp;'Output annual'!$AD$2&amp;"*Zone People Number Of Occupants [](Hourly)",'Eplus results'!$1:$1048576,ROW(),FALSE)</f>
        <v>0</v>
      </c>
      <c r="AC295" s="580">
        <f>HLOOKUP("*"&amp;'Output annual'!$AC$2&amp;'Output annual'!$AD$2&amp;"*FangerPMV(Hourly)",'Eplus results'!$1:$1048576,ROW(),FALSE)</f>
        <v>0</v>
      </c>
      <c r="AD295" s="580">
        <f t="shared" si="53"/>
        <v>5</v>
      </c>
      <c r="AE295" s="580">
        <f t="shared" si="54"/>
        <v>2.5</v>
      </c>
      <c r="AF295" s="580">
        <f t="shared" si="55"/>
        <v>2.5</v>
      </c>
      <c r="AG295" s="580">
        <f t="shared" si="56"/>
        <v>0</v>
      </c>
      <c r="AH295" s="580">
        <f t="shared" si="57"/>
        <v>0</v>
      </c>
    </row>
    <row r="296" spans="2:34">
      <c r="B296" s="694"/>
      <c r="C296" s="692"/>
      <c r="D296" s="690"/>
      <c r="E296" s="258"/>
      <c r="F296" s="241"/>
      <c r="G296" s="241"/>
      <c r="H296" s="242"/>
      <c r="I296" s="241"/>
      <c r="J296" s="241"/>
      <c r="K296" s="259" t="s">
        <v>486</v>
      </c>
      <c r="L296" s="254">
        <f>HLOOKUP("MF"&amp;perim_zone&amp;"_Floor:Surface Int Convection Heat Rate [W](Hourly)",'Eplus results'!1:65536,'graph data'!D4,FALSE)</f>
        <v>0</v>
      </c>
      <c r="M296" s="255"/>
      <c r="N296" s="255"/>
      <c r="O296" s="260"/>
      <c r="P296" s="256"/>
      <c r="Q296" s="274"/>
      <c r="R296" s="274"/>
      <c r="AB296" s="580">
        <f>HLOOKUP("*"&amp;'Output annual'!$AC$2&amp;'Output annual'!$AD$2&amp;"*Zone People Number Of Occupants [](Hourly)",'Eplus results'!$1:$1048576,ROW(),FALSE)</f>
        <v>0</v>
      </c>
      <c r="AC296" s="580">
        <f>HLOOKUP("*"&amp;'Output annual'!$AC$2&amp;'Output annual'!$AD$2&amp;"*FangerPMV(Hourly)",'Eplus results'!$1:$1048576,ROW(),FALSE)</f>
        <v>0</v>
      </c>
      <c r="AD296" s="580">
        <f t="shared" si="53"/>
        <v>5</v>
      </c>
      <c r="AE296" s="580">
        <f t="shared" si="54"/>
        <v>2.5</v>
      </c>
      <c r="AF296" s="580">
        <f t="shared" si="55"/>
        <v>2.5</v>
      </c>
      <c r="AG296" s="580">
        <f t="shared" si="56"/>
        <v>0</v>
      </c>
      <c r="AH296" s="580">
        <f t="shared" si="57"/>
        <v>0</v>
      </c>
    </row>
    <row r="297" spans="2:34">
      <c r="B297" s="694"/>
      <c r="C297" s="692"/>
      <c r="D297" s="689" t="s">
        <v>522</v>
      </c>
      <c r="E297" s="258"/>
      <c r="F297" s="241"/>
      <c r="G297" s="247" t="s">
        <v>484</v>
      </c>
      <c r="H297" s="242" t="e">
        <f>HLOOKUP("MFSP"&amp;perim_zone&amp;"_CEILING:Surface Outside Temperature[C](Hourly)",'Eplus results'!1:65536,'graph data'!D4,FALSE)</f>
        <v>#N/A</v>
      </c>
      <c r="I297" s="241"/>
      <c r="J297" s="241"/>
      <c r="K297" s="259"/>
      <c r="L297" s="254"/>
      <c r="M297" s="255"/>
      <c r="N297" s="255"/>
      <c r="O297" s="260"/>
      <c r="P297" s="256"/>
      <c r="Q297" s="235"/>
      <c r="R297" s="235"/>
      <c r="AB297" s="580">
        <f>HLOOKUP("*"&amp;'Output annual'!$AC$2&amp;'Output annual'!$AD$2&amp;"*Zone People Number Of Occupants [](Hourly)",'Eplus results'!$1:$1048576,ROW(),FALSE)</f>
        <v>0</v>
      </c>
      <c r="AC297" s="580">
        <f>HLOOKUP("*"&amp;'Output annual'!$AC$2&amp;'Output annual'!$AD$2&amp;"*FangerPMV(Hourly)",'Eplus results'!$1:$1048576,ROW(),FALSE)</f>
        <v>0</v>
      </c>
      <c r="AD297" s="580">
        <f t="shared" si="53"/>
        <v>5</v>
      </c>
      <c r="AE297" s="580">
        <f t="shared" si="54"/>
        <v>2.5</v>
      </c>
      <c r="AF297" s="580">
        <f t="shared" si="55"/>
        <v>2.5</v>
      </c>
      <c r="AG297" s="580">
        <f t="shared" si="56"/>
        <v>0</v>
      </c>
      <c r="AH297" s="580">
        <f t="shared" si="57"/>
        <v>0</v>
      </c>
    </row>
    <row r="298" spans="2:34">
      <c r="B298" s="694"/>
      <c r="C298" s="692"/>
      <c r="D298" s="689"/>
      <c r="E298" s="258"/>
      <c r="F298" s="241"/>
      <c r="G298" s="247" t="s">
        <v>484</v>
      </c>
      <c r="H298" s="242" t="e">
        <f>HLOOKUP("MFSP"&amp;perim_zone&amp;"_CEILING:Surface Inside Temperature[C](Hourly)",'Eplus results'!1:65536,'graph data'!D4,FALSE)</f>
        <v>#N/A</v>
      </c>
      <c r="I298" s="241"/>
      <c r="J298" s="241"/>
      <c r="K298" s="259"/>
      <c r="L298" s="254"/>
      <c r="M298" s="255"/>
      <c r="N298" s="255"/>
      <c r="O298" s="260"/>
      <c r="P298" s="256"/>
      <c r="Q298" s="235"/>
      <c r="R298" s="235"/>
      <c r="AB298" s="580">
        <f>HLOOKUP("*"&amp;'Output annual'!$AC$2&amp;'Output annual'!$AD$2&amp;"*Zone People Number Of Occupants [](Hourly)",'Eplus results'!$1:$1048576,ROW(),FALSE)</f>
        <v>0</v>
      </c>
      <c r="AC298" s="580">
        <f>HLOOKUP("*"&amp;'Output annual'!$AC$2&amp;'Output annual'!$AD$2&amp;"*FangerPMV(Hourly)",'Eplus results'!$1:$1048576,ROW(),FALSE)</f>
        <v>0</v>
      </c>
      <c r="AD298" s="580">
        <f t="shared" si="53"/>
        <v>5</v>
      </c>
      <c r="AE298" s="580">
        <f t="shared" si="54"/>
        <v>2.5</v>
      </c>
      <c r="AF298" s="580">
        <f t="shared" si="55"/>
        <v>2.5</v>
      </c>
      <c r="AG298" s="580">
        <f t="shared" si="56"/>
        <v>0</v>
      </c>
      <c r="AH298" s="580">
        <f t="shared" si="57"/>
        <v>0</v>
      </c>
    </row>
    <row r="299" spans="2:34">
      <c r="B299" s="694"/>
      <c r="C299" s="692"/>
      <c r="D299" s="235"/>
      <c r="E299" s="258"/>
      <c r="F299" s="241"/>
      <c r="G299" s="241"/>
      <c r="H299" s="242"/>
      <c r="I299" s="241"/>
      <c r="J299" s="241"/>
      <c r="K299" s="259" t="s">
        <v>486</v>
      </c>
      <c r="L299" s="254">
        <f>HLOOKUP("MFSP"&amp;perim_zone&amp;"_Ceiling:Surface Int Convection Heat Rate [W](Hourly)",'Eplus results'!1:65536,'graph data'!D4,FALSE)</f>
        <v>0</v>
      </c>
      <c r="M299" s="255"/>
      <c r="N299" s="255"/>
      <c r="O299" s="260"/>
      <c r="P299" s="256" t="s">
        <v>457</v>
      </c>
      <c r="Q299" s="235"/>
      <c r="R299" s="235"/>
      <c r="AB299" s="580">
        <f>HLOOKUP("*"&amp;'Output annual'!$AC$2&amp;'Output annual'!$AD$2&amp;"*Zone People Number Of Occupants [](Hourly)",'Eplus results'!$1:$1048576,ROW(),FALSE)</f>
        <v>0</v>
      </c>
      <c r="AC299" s="580">
        <f>HLOOKUP("*"&amp;'Output annual'!$AC$2&amp;'Output annual'!$AD$2&amp;"*FangerPMV(Hourly)",'Eplus results'!$1:$1048576,ROW(),FALSE)</f>
        <v>0</v>
      </c>
      <c r="AD299" s="580">
        <f t="shared" si="53"/>
        <v>5</v>
      </c>
      <c r="AE299" s="580">
        <f t="shared" si="54"/>
        <v>2.5</v>
      </c>
      <c r="AF299" s="580">
        <f t="shared" si="55"/>
        <v>2.5</v>
      </c>
      <c r="AG299" s="580">
        <f t="shared" si="56"/>
        <v>0</v>
      </c>
      <c r="AH299" s="580">
        <f t="shared" si="57"/>
        <v>0</v>
      </c>
    </row>
    <row r="300" spans="2:34">
      <c r="B300" s="694"/>
      <c r="C300" s="692"/>
      <c r="D300" s="257"/>
      <c r="E300" s="258" t="s">
        <v>3</v>
      </c>
      <c r="F300" s="241"/>
      <c r="G300" s="247" t="s">
        <v>485</v>
      </c>
      <c r="H300" s="242" t="e">
        <f>HLOOKUP("MFSP"&amp;perim_zone&amp;":Zone/Sys Air Temperature[C](Hourly)",'Eplus results'!1:65536,'graph data'!D4, FALSE)</f>
        <v>#N/A</v>
      </c>
      <c r="I300" s="241"/>
      <c r="J300" s="241"/>
      <c r="K300" s="281" t="s">
        <v>528</v>
      </c>
      <c r="L300" s="254">
        <f>HLOOKUP("MFSP"&amp;perim_zone&amp;"_WALL_"&amp;LEFT(perim_zone, 1)&amp;":Surface Int Convection Heat Rate [W](Hourly)",'Eplus results'!1:65536,'graph data'!D4,FALSE)</f>
        <v>0</v>
      </c>
      <c r="M300" s="255" t="s">
        <v>519</v>
      </c>
      <c r="N300" s="255" t="e">
        <f>HLOOKUP("MFSP"&amp;perim_zone&amp;":Zone/Sys Sensible Cooling Rate[W](Hourly)",'Eplus results'!1:65536,'graph data'!D4,FALSE)</f>
        <v>#N/A</v>
      </c>
      <c r="O300" s="260" t="s">
        <v>158</v>
      </c>
      <c r="P300" s="256" t="e">
        <f>N300/(L299+L301+L300)</f>
        <v>#N/A</v>
      </c>
      <c r="Q300" s="235"/>
      <c r="R300" s="235"/>
      <c r="AB300" s="580">
        <f>HLOOKUP("*"&amp;'Output annual'!$AC$2&amp;'Output annual'!$AD$2&amp;"*Zone People Number Of Occupants [](Hourly)",'Eplus results'!$1:$1048576,ROW(),FALSE)</f>
        <v>0</v>
      </c>
      <c r="AC300" s="580">
        <f>HLOOKUP("*"&amp;'Output annual'!$AC$2&amp;'Output annual'!$AD$2&amp;"*FangerPMV(Hourly)",'Eplus results'!$1:$1048576,ROW(),FALSE)</f>
        <v>0</v>
      </c>
      <c r="AD300" s="580">
        <f t="shared" si="53"/>
        <v>5</v>
      </c>
      <c r="AE300" s="580">
        <f t="shared" si="54"/>
        <v>2.5</v>
      </c>
      <c r="AF300" s="580">
        <f t="shared" si="55"/>
        <v>2.5</v>
      </c>
      <c r="AG300" s="580">
        <f t="shared" si="56"/>
        <v>0</v>
      </c>
      <c r="AH300" s="580">
        <f t="shared" si="57"/>
        <v>0</v>
      </c>
    </row>
    <row r="301" spans="2:34" ht="13.5" thickBot="1">
      <c r="B301" s="694"/>
      <c r="C301" s="693"/>
      <c r="D301" s="261"/>
      <c r="E301" s="262"/>
      <c r="F301" s="263"/>
      <c r="G301" s="263"/>
      <c r="H301" s="264"/>
      <c r="I301" s="263"/>
      <c r="J301" s="263"/>
      <c r="K301" s="265" t="s">
        <v>486</v>
      </c>
      <c r="L301" s="254">
        <f>IF(RunType="OH",HLOOKUP("MF"&amp;perim_zone&amp;"_FLOOR:Surface Int Convection Heat Rate [W](Hourly)",'Eplus results'!1:65536,'graph data'!D4, FALSE), HLOOKUP("MFSP"&amp;perim_zone&amp;"_Floor:Surface Int Convection Heat Rate [W](Hourly)",'Eplus results'!1:65536,'graph data'!D4,FALSE))</f>
        <v>0</v>
      </c>
      <c r="M301" s="255"/>
      <c r="N301" s="255"/>
      <c r="O301" s="235"/>
      <c r="P301" s="256"/>
      <c r="Q301" s="235"/>
      <c r="R301" s="235"/>
      <c r="AB301" s="580">
        <f>HLOOKUP("*"&amp;'Output annual'!$AC$2&amp;'Output annual'!$AD$2&amp;"*Zone People Number Of Occupants [](Hourly)",'Eplus results'!$1:$1048576,ROW(),FALSE)</f>
        <v>0</v>
      </c>
      <c r="AC301" s="580">
        <f>HLOOKUP("*"&amp;'Output annual'!$AC$2&amp;'Output annual'!$AD$2&amp;"*FangerPMV(Hourly)",'Eplus results'!$1:$1048576,ROW(),FALSE)</f>
        <v>0</v>
      </c>
      <c r="AD301" s="580">
        <f t="shared" si="53"/>
        <v>5</v>
      </c>
      <c r="AE301" s="580">
        <f t="shared" si="54"/>
        <v>2.5</v>
      </c>
      <c r="AF301" s="580">
        <f t="shared" si="55"/>
        <v>2.5</v>
      </c>
      <c r="AG301" s="580">
        <f t="shared" si="56"/>
        <v>0</v>
      </c>
      <c r="AH301" s="580">
        <f t="shared" si="57"/>
        <v>0</v>
      </c>
    </row>
    <row r="302" spans="2:34">
      <c r="B302" s="235"/>
      <c r="C302" s="236"/>
      <c r="D302" s="238"/>
      <c r="E302" s="268"/>
      <c r="F302" s="241"/>
      <c r="G302" s="247" t="s">
        <v>484</v>
      </c>
      <c r="H302" s="242" t="e">
        <f>IF(RunType="OH",HLOOKUP("MF"&amp;perim_zone&amp;"_FLOOR:Surface Inside Temperature[C](Hourly)",'Eplus results'!1:65536,'graph data'!D4, FALSE), HLOOKUP("MFSP"&amp;perim_zone&amp;"_FLOOR:Surface Inside Temperature[C](Hourly)",'Eplus results'!1:65536,'graph data'!D4,FALSE))</f>
        <v>#N/A</v>
      </c>
      <c r="I302" s="241"/>
      <c r="J302" s="241"/>
      <c r="K302" s="241" t="s">
        <v>529</v>
      </c>
      <c r="L302" s="269" t="e">
        <f>IF(RunType="OH",HLOOKUP("MF"&amp;perim_zone&amp;"_FLOOR:Opaque Surface Inside Face Conduction[W](Hourly)",'Eplus results'!$1:$1048576,'graph data'!D4, FALSE)*2, HLOOKUP("MFSP"&amp;perim_zone&amp;"_Floor:Opaque Surface Inside Face Conduction[W](Hourly)",'Eplus results'!1:65536,'graph data'!D4,FALSE)*2)</f>
        <v>#N/A</v>
      </c>
      <c r="M302" s="270"/>
      <c r="N302" s="255"/>
      <c r="O302" s="235"/>
      <c r="P302" s="256"/>
      <c r="Q302" s="235"/>
      <c r="R302" s="235"/>
      <c r="AB302" s="580">
        <f>HLOOKUP("*"&amp;'Output annual'!$AC$2&amp;'Output annual'!$AD$2&amp;"*Zone People Number Of Occupants [](Hourly)",'Eplus results'!$1:$1048576,ROW(),FALSE)</f>
        <v>0</v>
      </c>
      <c r="AC302" s="580">
        <f>HLOOKUP("*"&amp;'Output annual'!$AC$2&amp;'Output annual'!$AD$2&amp;"*FangerPMV(Hourly)",'Eplus results'!$1:$1048576,ROW(),FALSE)</f>
        <v>0</v>
      </c>
      <c r="AD302" s="580">
        <f t="shared" si="53"/>
        <v>5</v>
      </c>
      <c r="AE302" s="580">
        <f t="shared" si="54"/>
        <v>2.5</v>
      </c>
      <c r="AF302" s="580">
        <f t="shared" si="55"/>
        <v>2.5</v>
      </c>
      <c r="AG302" s="580">
        <f t="shared" si="56"/>
        <v>0</v>
      </c>
      <c r="AH302" s="580">
        <f t="shared" si="57"/>
        <v>0</v>
      </c>
    </row>
    <row r="303" spans="2:34">
      <c r="B303" s="235"/>
      <c r="C303" s="235" t="s">
        <v>513</v>
      </c>
      <c r="D303" s="247"/>
      <c r="E303" s="268"/>
      <c r="F303" s="241"/>
      <c r="G303" s="241"/>
      <c r="H303" s="242"/>
      <c r="I303" s="241"/>
      <c r="J303" s="241"/>
      <c r="K303" s="241"/>
      <c r="L303" s="243"/>
      <c r="M303" s="244"/>
      <c r="N303" s="255"/>
      <c r="O303" s="235"/>
      <c r="P303" s="256"/>
      <c r="Q303" s="235"/>
      <c r="R303" s="235"/>
      <c r="AB303" s="580">
        <f>HLOOKUP("*"&amp;'Output annual'!$AC$2&amp;'Output annual'!$AD$2&amp;"*Zone People Number Of Occupants [](Hourly)",'Eplus results'!$1:$1048576,ROW(),FALSE)</f>
        <v>0</v>
      </c>
      <c r="AC303" s="580">
        <f>HLOOKUP("*"&amp;'Output annual'!$AC$2&amp;'Output annual'!$AD$2&amp;"*FangerPMV(Hourly)",'Eplus results'!$1:$1048576,ROW(),FALSE)</f>
        <v>0</v>
      </c>
      <c r="AD303" s="580">
        <f t="shared" si="53"/>
        <v>5</v>
      </c>
      <c r="AE303" s="580">
        <f t="shared" si="54"/>
        <v>2.5</v>
      </c>
      <c r="AF303" s="580">
        <f t="shared" si="55"/>
        <v>2.5</v>
      </c>
      <c r="AG303" s="580">
        <f t="shared" si="56"/>
        <v>0</v>
      </c>
      <c r="AH303" s="580">
        <f t="shared" si="57"/>
        <v>0</v>
      </c>
    </row>
    <row r="304" spans="2:34" ht="13.5" thickBot="1">
      <c r="B304" s="235"/>
      <c r="C304" s="245"/>
      <c r="D304" s="271"/>
      <c r="E304" s="268"/>
      <c r="F304" s="241"/>
      <c r="G304" s="247" t="s">
        <v>484</v>
      </c>
      <c r="H304" s="242" t="e">
        <f>IF(RunType="OH",HLOOKUP("MF"&amp;perim_zone&amp;"_FLOOR:Surface Outside Temperature[C](Hourly)",'Eplus results'!1:65536,'graph data'!D4, FALSE), HLOOKUP("MFSP"&amp;perim_zone&amp;"_FLOOR:Surface Outside Temperature[C](Hourly)",'Eplus results'!1:65536,'graph data'!D4,FALSE))</f>
        <v>#N/A</v>
      </c>
      <c r="I304" s="241"/>
      <c r="J304" s="241"/>
      <c r="K304" s="241" t="s">
        <v>529</v>
      </c>
      <c r="L304" s="248" t="e">
        <f>HLOOKUP("GFRP"&amp;perim_zone&amp;"_CEILING:Opaque Surface Inside Face Conduction[W](Hourly)",'Eplus results'!1:65536,'graph data'!D4,FALSE)</f>
        <v>#N/A</v>
      </c>
      <c r="M304" s="249"/>
      <c r="N304" s="255"/>
      <c r="O304" s="235"/>
      <c r="P304" s="256"/>
      <c r="Q304" s="235"/>
      <c r="R304" s="235"/>
      <c r="AB304" s="580">
        <f>HLOOKUP("*"&amp;'Output annual'!$AC$2&amp;'Output annual'!$AD$2&amp;"*Zone People Number Of Occupants [](Hourly)",'Eplus results'!$1:$1048576,ROW(),FALSE)</f>
        <v>0</v>
      </c>
      <c r="AC304" s="580">
        <f>HLOOKUP("*"&amp;'Output annual'!$AC$2&amp;'Output annual'!$AD$2&amp;"*FangerPMV(Hourly)",'Eplus results'!$1:$1048576,ROW(),FALSE)</f>
        <v>0</v>
      </c>
      <c r="AD304" s="580">
        <f t="shared" si="53"/>
        <v>5</v>
      </c>
      <c r="AE304" s="580">
        <f t="shared" si="54"/>
        <v>2.5</v>
      </c>
      <c r="AF304" s="580">
        <f t="shared" si="55"/>
        <v>2.5</v>
      </c>
      <c r="AG304" s="580">
        <f t="shared" si="56"/>
        <v>0</v>
      </c>
      <c r="AH304" s="580">
        <f t="shared" si="57"/>
        <v>0</v>
      </c>
    </row>
    <row r="305" spans="2:34">
      <c r="B305" s="235"/>
      <c r="C305" s="691" t="s">
        <v>526</v>
      </c>
      <c r="D305" s="235"/>
      <c r="E305" s="272"/>
      <c r="F305" s="251"/>
      <c r="G305" s="251"/>
      <c r="H305" s="252"/>
      <c r="I305" s="251"/>
      <c r="J305" s="251"/>
      <c r="K305" s="253" t="s">
        <v>486</v>
      </c>
      <c r="L305" s="254">
        <f>HLOOKUP("GFRP"&amp;perim_zone&amp;"_Ceiling:Surface Int Convection Heat Rate [W](Hourly)",'Eplus results'!1:65536,'graph data'!D4,FALSE)</f>
        <v>0</v>
      </c>
      <c r="M305" s="255"/>
      <c r="N305" s="255"/>
      <c r="O305" s="235"/>
      <c r="P305" s="256" t="s">
        <v>457</v>
      </c>
      <c r="Q305" s="235"/>
      <c r="R305" s="235"/>
      <c r="AB305" s="580">
        <f>HLOOKUP("*"&amp;'Output annual'!$AC$2&amp;'Output annual'!$AD$2&amp;"*Zone People Number Of Occupants [](Hourly)",'Eplus results'!$1:$1048576,ROW(),FALSE)</f>
        <v>0</v>
      </c>
      <c r="AC305" s="580">
        <f>HLOOKUP("*"&amp;'Output annual'!$AC$2&amp;'Output annual'!$AD$2&amp;"*FangerPMV(Hourly)",'Eplus results'!$1:$1048576,ROW(),FALSE)</f>
        <v>0</v>
      </c>
      <c r="AD305" s="580">
        <f t="shared" si="53"/>
        <v>5</v>
      </c>
      <c r="AE305" s="580">
        <f t="shared" si="54"/>
        <v>2.5</v>
      </c>
      <c r="AF305" s="580">
        <f t="shared" si="55"/>
        <v>2.5</v>
      </c>
      <c r="AG305" s="580">
        <f t="shared" si="56"/>
        <v>0</v>
      </c>
      <c r="AH305" s="580">
        <f t="shared" si="57"/>
        <v>0</v>
      </c>
    </row>
    <row r="306" spans="2:34">
      <c r="B306" s="235"/>
      <c r="C306" s="692"/>
      <c r="D306" s="257"/>
      <c r="E306" s="258" t="s">
        <v>511</v>
      </c>
      <c r="F306" s="241"/>
      <c r="G306" s="247" t="s">
        <v>485</v>
      </c>
      <c r="H306" s="242" t="e">
        <f>HLOOKUP("GFRP"&amp;perim_zone&amp;":Zone/Sys Air Temperature[C](Hourly)",'Eplus results'!1:65536,'graph data'!D4, FALSE)</f>
        <v>#N/A</v>
      </c>
      <c r="I306" s="241"/>
      <c r="J306" s="241"/>
      <c r="K306" s="281" t="s">
        <v>528</v>
      </c>
      <c r="L306" s="254">
        <f>HLOOKUP("GFRP"&amp;perim_zone&amp;"_WALL_"&amp;LEFT(perim_zone, 1)&amp;":Surface Int Convection Heat Rate [W](Hourly)",'Eplus results'!1:65536,'graph data'!D4,FALSE)</f>
        <v>0</v>
      </c>
      <c r="M306" s="255" t="s">
        <v>517</v>
      </c>
      <c r="N306" s="255" t="e">
        <f>HLOOKUP("GFRP"&amp;perim_zone&amp;":Zone/Sys Sensible Cooling Rate[W](Hourly)",'Eplus results'!1:65536,'graph data'!D4,FALSE)</f>
        <v>#N/A</v>
      </c>
      <c r="O306" s="260" t="s">
        <v>158</v>
      </c>
      <c r="P306" s="256" t="e">
        <f>N306/(L305+L307+L306)</f>
        <v>#N/A</v>
      </c>
      <c r="Q306" s="235"/>
      <c r="R306" s="235"/>
      <c r="AB306" s="580">
        <f>HLOOKUP("*"&amp;'Output annual'!$AC$2&amp;'Output annual'!$AD$2&amp;"*Zone People Number Of Occupants [](Hourly)",'Eplus results'!$1:$1048576,ROW(),FALSE)</f>
        <v>0</v>
      </c>
      <c r="AC306" s="580">
        <f>HLOOKUP("*"&amp;'Output annual'!$AC$2&amp;'Output annual'!$AD$2&amp;"*FangerPMV(Hourly)",'Eplus results'!$1:$1048576,ROW(),FALSE)</f>
        <v>0</v>
      </c>
      <c r="AD306" s="580">
        <f t="shared" si="53"/>
        <v>5</v>
      </c>
      <c r="AE306" s="580">
        <f t="shared" si="54"/>
        <v>2.5</v>
      </c>
      <c r="AF306" s="580">
        <f t="shared" si="55"/>
        <v>2.5</v>
      </c>
      <c r="AG306" s="580">
        <f t="shared" si="56"/>
        <v>0</v>
      </c>
      <c r="AH306" s="580">
        <f t="shared" si="57"/>
        <v>0</v>
      </c>
    </row>
    <row r="307" spans="2:34">
      <c r="B307" s="235"/>
      <c r="C307" s="692"/>
      <c r="D307" s="257"/>
      <c r="E307" s="258"/>
      <c r="F307" s="241"/>
      <c r="G307" s="241"/>
      <c r="H307" s="242"/>
      <c r="I307" s="241"/>
      <c r="J307" s="241"/>
      <c r="K307" s="259" t="s">
        <v>486</v>
      </c>
      <c r="L307" s="254">
        <f>HLOOKUP("GFRP"&amp;perim_zone&amp;"_Floor:Surface Int Convection Heat Rate [W](Hourly)",'Eplus results'!1:65536,'graph data'!D4,FALSE)</f>
        <v>0</v>
      </c>
      <c r="M307" s="255"/>
      <c r="N307" s="255"/>
      <c r="O307" s="260"/>
      <c r="P307" s="256"/>
      <c r="Q307" s="235"/>
      <c r="R307" s="235"/>
      <c r="AB307" s="580">
        <f>HLOOKUP("*"&amp;'Output annual'!$AC$2&amp;'Output annual'!$AD$2&amp;"*Zone People Number Of Occupants [](Hourly)",'Eplus results'!$1:$1048576,ROW(),FALSE)</f>
        <v>0</v>
      </c>
      <c r="AC307" s="580">
        <f>HLOOKUP("*"&amp;'Output annual'!$AC$2&amp;'Output annual'!$AD$2&amp;"*FangerPMV(Hourly)",'Eplus results'!$1:$1048576,ROW(),FALSE)</f>
        <v>0</v>
      </c>
      <c r="AD307" s="580">
        <f t="shared" si="53"/>
        <v>5</v>
      </c>
      <c r="AE307" s="580">
        <f t="shared" si="54"/>
        <v>2.5</v>
      </c>
      <c r="AF307" s="580">
        <f t="shared" si="55"/>
        <v>2.5</v>
      </c>
      <c r="AG307" s="580">
        <f t="shared" si="56"/>
        <v>0</v>
      </c>
      <c r="AH307" s="580">
        <f t="shared" si="57"/>
        <v>0</v>
      </c>
    </row>
    <row r="308" spans="2:34">
      <c r="B308" s="235"/>
      <c r="C308" s="692"/>
      <c r="D308" s="689" t="s">
        <v>520</v>
      </c>
      <c r="E308" s="258"/>
      <c r="F308" s="241"/>
      <c r="G308" s="247" t="s">
        <v>484</v>
      </c>
      <c r="H308" s="242" t="e">
        <f>HLOOKUP("GFRP"&amp;perim_zone&amp;"_FLOOR:Surface Inside Temperature[C](Hourly)",'Eplus results'!1:65536,'graph data'!D4,FALSE)</f>
        <v>#N/A</v>
      </c>
      <c r="I308" s="241"/>
      <c r="J308" s="241"/>
      <c r="K308" s="259"/>
      <c r="L308" s="254"/>
      <c r="M308" s="255"/>
      <c r="N308" s="255"/>
      <c r="O308" s="260"/>
      <c r="P308" s="256"/>
      <c r="Q308" s="235"/>
      <c r="R308" s="235"/>
      <c r="AB308" s="580">
        <f>HLOOKUP("*"&amp;'Output annual'!$AC$2&amp;'Output annual'!$AD$2&amp;"*Zone People Number Of Occupants [](Hourly)",'Eplus results'!$1:$1048576,ROW(),FALSE)</f>
        <v>0</v>
      </c>
      <c r="AC308" s="580">
        <f>HLOOKUP("*"&amp;'Output annual'!$AC$2&amp;'Output annual'!$AD$2&amp;"*FangerPMV(Hourly)",'Eplus results'!$1:$1048576,ROW(),FALSE)</f>
        <v>0</v>
      </c>
      <c r="AD308" s="580">
        <f t="shared" si="53"/>
        <v>5</v>
      </c>
      <c r="AE308" s="580">
        <f t="shared" si="54"/>
        <v>2.5</v>
      </c>
      <c r="AF308" s="580">
        <f t="shared" si="55"/>
        <v>2.5</v>
      </c>
      <c r="AG308" s="580">
        <f t="shared" si="56"/>
        <v>0</v>
      </c>
      <c r="AH308" s="580">
        <f t="shared" si="57"/>
        <v>0</v>
      </c>
    </row>
    <row r="309" spans="2:34">
      <c r="B309" s="235"/>
      <c r="C309" s="692"/>
      <c r="D309" s="689"/>
      <c r="E309" s="258"/>
      <c r="F309" s="241"/>
      <c r="G309" s="247" t="s">
        <v>484</v>
      </c>
      <c r="H309" s="242" t="e">
        <f>HLOOKUP("GFRP"&amp;perim_zone&amp;"_FLOOR:Surface Outside Temperature[C](Hourly)",'Eplus results'!1:65536,'graph data'!D4,FALSE)</f>
        <v>#N/A</v>
      </c>
      <c r="I309" s="241"/>
      <c r="J309" s="241"/>
      <c r="K309" s="259"/>
      <c r="L309" s="254"/>
      <c r="M309" s="255"/>
      <c r="N309" s="255"/>
      <c r="O309" s="260"/>
      <c r="P309" s="256"/>
      <c r="Q309" s="235"/>
      <c r="R309" s="235"/>
      <c r="AB309" s="580">
        <f>HLOOKUP("*"&amp;'Output annual'!$AC$2&amp;'Output annual'!$AD$2&amp;"*Zone People Number Of Occupants [](Hourly)",'Eplus results'!$1:$1048576,ROW(),FALSE)</f>
        <v>0</v>
      </c>
      <c r="AC309" s="580">
        <f>HLOOKUP("*"&amp;'Output annual'!$AC$2&amp;'Output annual'!$AD$2&amp;"*FangerPMV(Hourly)",'Eplus results'!$1:$1048576,ROW(),FALSE)</f>
        <v>0</v>
      </c>
      <c r="AD309" s="580">
        <f t="shared" si="53"/>
        <v>5</v>
      </c>
      <c r="AE309" s="580">
        <f t="shared" si="54"/>
        <v>2.5</v>
      </c>
      <c r="AF309" s="580">
        <f t="shared" si="55"/>
        <v>2.5</v>
      </c>
      <c r="AG309" s="580">
        <f t="shared" si="56"/>
        <v>0</v>
      </c>
      <c r="AH309" s="580">
        <f t="shared" si="57"/>
        <v>0</v>
      </c>
    </row>
    <row r="310" spans="2:34">
      <c r="B310" s="235"/>
      <c r="C310" s="692"/>
      <c r="D310" s="690" t="s">
        <v>521</v>
      </c>
      <c r="E310" s="258"/>
      <c r="F310" s="241"/>
      <c r="G310" s="241"/>
      <c r="H310" s="242"/>
      <c r="I310" s="241"/>
      <c r="J310" s="241"/>
      <c r="K310" s="259" t="s">
        <v>486</v>
      </c>
      <c r="L310" s="254">
        <f>HLOOKUP("GF"&amp;perim_zone&amp;"_Ceiling:Surface Int Convection Heat Rate [W](Hourly)",'Eplus results'!1:65536,'graph data'!D4,FALSE)</f>
        <v>0</v>
      </c>
      <c r="M310" s="255"/>
      <c r="N310" s="255"/>
      <c r="O310" s="260"/>
      <c r="P310" s="256"/>
      <c r="Q310" s="235"/>
      <c r="R310" s="235"/>
      <c r="AB310" s="580">
        <f>HLOOKUP("*"&amp;'Output annual'!$AC$2&amp;'Output annual'!$AD$2&amp;"*Zone People Number Of Occupants [](Hourly)",'Eplus results'!$1:$1048576,ROW(),FALSE)</f>
        <v>0</v>
      </c>
      <c r="AC310" s="580">
        <f>HLOOKUP("*"&amp;'Output annual'!$AC$2&amp;'Output annual'!$AD$2&amp;"*FangerPMV(Hourly)",'Eplus results'!$1:$1048576,ROW(),FALSE)</f>
        <v>0</v>
      </c>
      <c r="AD310" s="580">
        <f t="shared" si="53"/>
        <v>5</v>
      </c>
      <c r="AE310" s="580">
        <f t="shared" si="54"/>
        <v>2.5</v>
      </c>
      <c r="AF310" s="580">
        <f t="shared" si="55"/>
        <v>2.5</v>
      </c>
      <c r="AG310" s="580">
        <f t="shared" si="56"/>
        <v>0</v>
      </c>
      <c r="AH310" s="580">
        <f t="shared" si="57"/>
        <v>0</v>
      </c>
    </row>
    <row r="311" spans="2:34">
      <c r="B311" s="235"/>
      <c r="C311" s="692"/>
      <c r="D311" s="690"/>
      <c r="E311" s="258" t="s">
        <v>510</v>
      </c>
      <c r="F311" s="241"/>
      <c r="G311" s="247" t="s">
        <v>485</v>
      </c>
      <c r="H311" s="242" t="e">
        <f>HLOOKUP("GF"&amp;perim_zone&amp;":UF Mixed Subzone Temperature[C](Hourly)",'Eplus results'!1:65536,'graph data'!D4, FALSE)</f>
        <v>#N/A</v>
      </c>
      <c r="I311" s="241"/>
      <c r="J311" s="241"/>
      <c r="K311" s="259"/>
      <c r="L311" s="254"/>
      <c r="M311" s="255"/>
      <c r="N311" s="255"/>
      <c r="O311" s="260"/>
      <c r="P311" s="256"/>
      <c r="Q311" s="235"/>
      <c r="R311" s="235"/>
      <c r="AB311" s="580">
        <f>HLOOKUP("*"&amp;'Output annual'!$AC$2&amp;'Output annual'!$AD$2&amp;"*Zone People Number Of Occupants [](Hourly)",'Eplus results'!$1:$1048576,ROW(),FALSE)</f>
        <v>0</v>
      </c>
      <c r="AC311" s="580">
        <f>HLOOKUP("*"&amp;'Output annual'!$AC$2&amp;'Output annual'!$AD$2&amp;"*FangerPMV(Hourly)",'Eplus results'!$1:$1048576,ROW(),FALSE)</f>
        <v>0</v>
      </c>
      <c r="AD311" s="580">
        <f t="shared" si="53"/>
        <v>5</v>
      </c>
      <c r="AE311" s="580">
        <f t="shared" si="54"/>
        <v>2.5</v>
      </c>
      <c r="AF311" s="580">
        <f t="shared" si="55"/>
        <v>2.5</v>
      </c>
      <c r="AG311" s="580">
        <f t="shared" si="56"/>
        <v>0</v>
      </c>
      <c r="AH311" s="580">
        <f t="shared" si="57"/>
        <v>0</v>
      </c>
    </row>
    <row r="312" spans="2:34">
      <c r="B312" s="235"/>
      <c r="C312" s="692"/>
      <c r="D312" s="690"/>
      <c r="E312" s="258"/>
      <c r="F312" s="241"/>
      <c r="G312" s="241"/>
      <c r="H312" s="242"/>
      <c r="I312" s="241"/>
      <c r="J312" s="241"/>
      <c r="K312" s="259"/>
      <c r="L312" s="254"/>
      <c r="M312" s="255"/>
      <c r="N312" s="255"/>
      <c r="O312" s="260"/>
      <c r="P312" s="256" t="s">
        <v>457</v>
      </c>
      <c r="Q312" s="235"/>
      <c r="R312" s="235"/>
      <c r="AB312" s="580">
        <f>HLOOKUP("*"&amp;'Output annual'!$AC$2&amp;'Output annual'!$AD$2&amp;"*Zone People Number Of Occupants [](Hourly)",'Eplus results'!$1:$1048576,ROW(),FALSE)</f>
        <v>0</v>
      </c>
      <c r="AC312" s="580">
        <f>HLOOKUP("*"&amp;'Output annual'!$AC$2&amp;'Output annual'!$AD$2&amp;"*FangerPMV(Hourly)",'Eplus results'!$1:$1048576,ROW(),FALSE)</f>
        <v>0</v>
      </c>
      <c r="AD312" s="580">
        <f t="shared" si="53"/>
        <v>5</v>
      </c>
      <c r="AE312" s="580">
        <f t="shared" si="54"/>
        <v>2.5</v>
      </c>
      <c r="AF312" s="580">
        <f t="shared" si="55"/>
        <v>2.5</v>
      </c>
      <c r="AG312" s="580">
        <f t="shared" si="56"/>
        <v>0</v>
      </c>
      <c r="AH312" s="580">
        <f t="shared" si="57"/>
        <v>0</v>
      </c>
    </row>
    <row r="313" spans="2:34">
      <c r="B313" s="235"/>
      <c r="C313" s="692"/>
      <c r="D313" s="690"/>
      <c r="E313" s="258"/>
      <c r="F313" s="241"/>
      <c r="G313" s="241"/>
      <c r="H313" s="242"/>
      <c r="I313" s="241"/>
      <c r="J313" s="241"/>
      <c r="K313" s="259"/>
      <c r="L313" s="254"/>
      <c r="M313" s="255" t="s">
        <v>518</v>
      </c>
      <c r="N313" s="255" t="e">
        <f>HLOOKUP("GF"&amp;perim_zone&amp;":Zone/Sys Sensible Cooling Rate[W](Hourly)",'Eplus results'!1:65536,'graph data'!D4,FALSE)</f>
        <v>#N/A</v>
      </c>
      <c r="O313" s="260" t="s">
        <v>158</v>
      </c>
      <c r="P313" s="256" t="e">
        <f>N313/(N315+N316+L315)</f>
        <v>#N/A</v>
      </c>
      <c r="Q313" s="235"/>
      <c r="R313" s="235"/>
      <c r="AB313" s="580">
        <f>HLOOKUP("*"&amp;'Output annual'!$AC$2&amp;'Output annual'!$AD$2&amp;"*Zone People Number Of Occupants [](Hourly)",'Eplus results'!$1:$1048576,ROW(),FALSE)</f>
        <v>0</v>
      </c>
      <c r="AC313" s="580">
        <f>HLOOKUP("*"&amp;'Output annual'!$AC$2&amp;'Output annual'!$AD$2&amp;"*FangerPMV(Hourly)",'Eplus results'!$1:$1048576,ROW(),FALSE)</f>
        <v>0</v>
      </c>
      <c r="AD313" s="580">
        <f t="shared" si="53"/>
        <v>5</v>
      </c>
      <c r="AE313" s="580">
        <f t="shared" si="54"/>
        <v>2.5</v>
      </c>
      <c r="AF313" s="580">
        <f t="shared" si="55"/>
        <v>2.5</v>
      </c>
      <c r="AG313" s="580">
        <f t="shared" si="56"/>
        <v>0</v>
      </c>
      <c r="AH313" s="580">
        <f t="shared" si="57"/>
        <v>0</v>
      </c>
    </row>
    <row r="314" spans="2:34">
      <c r="B314" s="235"/>
      <c r="C314" s="692"/>
      <c r="D314" s="690"/>
      <c r="E314" s="258"/>
      <c r="F314" s="241"/>
      <c r="G314" s="241"/>
      <c r="H314" s="242"/>
      <c r="I314" s="241"/>
      <c r="J314" s="241"/>
      <c r="K314" s="259"/>
      <c r="L314" s="254"/>
      <c r="M314" s="255"/>
      <c r="N314" s="255"/>
      <c r="O314" s="260"/>
      <c r="P314" s="256"/>
      <c r="Q314" s="235"/>
      <c r="R314" s="235"/>
      <c r="AB314" s="580">
        <f>HLOOKUP("*"&amp;'Output annual'!$AC$2&amp;'Output annual'!$AD$2&amp;"*Zone People Number Of Occupants [](Hourly)",'Eplus results'!$1:$1048576,ROW(),FALSE)</f>
        <v>0</v>
      </c>
      <c r="AC314" s="580">
        <f>HLOOKUP("*"&amp;'Output annual'!$AC$2&amp;'Output annual'!$AD$2&amp;"*FangerPMV(Hourly)",'Eplus results'!$1:$1048576,ROW(),FALSE)</f>
        <v>0</v>
      </c>
      <c r="AD314" s="580">
        <f t="shared" si="53"/>
        <v>5</v>
      </c>
      <c r="AE314" s="580">
        <f t="shared" si="54"/>
        <v>2.5</v>
      </c>
      <c r="AF314" s="580">
        <f t="shared" si="55"/>
        <v>2.5</v>
      </c>
      <c r="AG314" s="580">
        <f t="shared" si="56"/>
        <v>0</v>
      </c>
      <c r="AH314" s="580">
        <f t="shared" si="57"/>
        <v>0</v>
      </c>
    </row>
    <row r="315" spans="2:34">
      <c r="B315" s="235"/>
      <c r="C315" s="692"/>
      <c r="D315" s="690"/>
      <c r="E315" s="258" t="s">
        <v>509</v>
      </c>
      <c r="F315" s="241"/>
      <c r="G315" s="247" t="s">
        <v>485</v>
      </c>
      <c r="H315" s="242" t="e">
        <f>IF(RunType="OH",HLOOKUP("GF"&amp;perim_zone&amp;":Zone/Sys Air Temperature[C](Hourly)",'Eplus results'!1:65536,'graph data'!D4, FALSE), HLOOKUP("GF"&amp;perim_zone&amp;":UF Occupied Subzone Temperature[C](Hourly)",'Eplus results'!1:65536,'graph data'!D4, FALSE))</f>
        <v>#N/A</v>
      </c>
      <c r="I315" s="241"/>
      <c r="J315" s="241"/>
      <c r="K315" s="281" t="s">
        <v>528</v>
      </c>
      <c r="L315" s="254">
        <f>HLOOKUP("GF"&amp;perim_zone&amp;"_WALL_"&amp;LEFT(perim_zone, 1)&amp;":Surface Int Convection Heat Rate [W](Hourly)",'Eplus results'!1:65536,'graph data'!D4,FALSE)</f>
        <v>0</v>
      </c>
      <c r="M315" s="255" t="s">
        <v>458</v>
      </c>
      <c r="N315" s="255">
        <f>(HLOOKUP("GF"&amp;perim_zone&amp;":Zone Total Internal Convective Heat Gain [J](Hourly)",'Eplus results'!1:65536,'graph data'!D4,FALSE)/3600)</f>
        <v>0</v>
      </c>
      <c r="O315" s="260"/>
      <c r="P315" s="256"/>
      <c r="Q315" s="235"/>
      <c r="R315" s="235"/>
      <c r="AB315" s="580">
        <f>HLOOKUP("*"&amp;'Output annual'!$AC$2&amp;'Output annual'!$AD$2&amp;"*Zone People Number Of Occupants [](Hourly)",'Eplus results'!$1:$1048576,ROW(),FALSE)</f>
        <v>0</v>
      </c>
      <c r="AC315" s="580">
        <f>HLOOKUP("*"&amp;'Output annual'!$AC$2&amp;'Output annual'!$AD$2&amp;"*FangerPMV(Hourly)",'Eplus results'!$1:$1048576,ROW(),FALSE)</f>
        <v>0</v>
      </c>
      <c r="AD315" s="580">
        <f t="shared" si="53"/>
        <v>5</v>
      </c>
      <c r="AE315" s="580">
        <f t="shared" si="54"/>
        <v>2.5</v>
      </c>
      <c r="AF315" s="580">
        <f t="shared" si="55"/>
        <v>2.5</v>
      </c>
      <c r="AG315" s="580">
        <f t="shared" si="56"/>
        <v>0</v>
      </c>
      <c r="AH315" s="580">
        <f t="shared" si="57"/>
        <v>0</v>
      </c>
    </row>
    <row r="316" spans="2:34">
      <c r="B316" s="235"/>
      <c r="C316" s="692"/>
      <c r="D316" s="690"/>
      <c r="E316" s="258"/>
      <c r="F316" s="241"/>
      <c r="G316" s="241"/>
      <c r="H316" s="242"/>
      <c r="I316" s="241"/>
      <c r="J316" s="241"/>
      <c r="K316" s="259"/>
      <c r="L316" s="254"/>
      <c r="M316" s="255" t="s">
        <v>459</v>
      </c>
      <c r="N316" s="255">
        <f>HLOOKUP("GF"&amp;perim_zone&amp;":Zone Window Heat Gain[W](Hourly)",'Eplus results'!1:65536,'graph data'!D4,FALSE)</f>
        <v>0</v>
      </c>
      <c r="O316" s="260"/>
      <c r="P316" s="256"/>
      <c r="Q316" s="255">
        <f>N315+L315+L307+L306+L305</f>
        <v>0</v>
      </c>
      <c r="R316" s="235"/>
      <c r="AB316" s="580">
        <f>HLOOKUP("*"&amp;'Output annual'!$AC$2&amp;'Output annual'!$AD$2&amp;"*Zone People Number Of Occupants [](Hourly)",'Eplus results'!$1:$1048576,ROW(),FALSE)</f>
        <v>0</v>
      </c>
      <c r="AC316" s="580">
        <f>HLOOKUP("*"&amp;'Output annual'!$AC$2&amp;'Output annual'!$AD$2&amp;"*FangerPMV(Hourly)",'Eplus results'!$1:$1048576,ROW(),FALSE)</f>
        <v>0</v>
      </c>
      <c r="AD316" s="580">
        <f t="shared" si="53"/>
        <v>5</v>
      </c>
      <c r="AE316" s="580">
        <f t="shared" si="54"/>
        <v>2.5</v>
      </c>
      <c r="AF316" s="580">
        <f t="shared" si="55"/>
        <v>2.5</v>
      </c>
      <c r="AG316" s="580">
        <f t="shared" si="56"/>
        <v>0</v>
      </c>
      <c r="AH316" s="580">
        <f t="shared" si="57"/>
        <v>0</v>
      </c>
    </row>
    <row r="317" spans="2:34">
      <c r="B317" s="235"/>
      <c r="C317" s="692"/>
      <c r="D317" s="690"/>
      <c r="E317" s="258"/>
      <c r="F317" s="241"/>
      <c r="G317" s="241"/>
      <c r="H317" s="242"/>
      <c r="I317" s="241"/>
      <c r="J317" s="241"/>
      <c r="K317" s="259" t="s">
        <v>486</v>
      </c>
      <c r="L317" s="254">
        <f>HLOOKUP("GF"&amp;perim_zone&amp;"_Floor:Surface Int Convection Heat Rate [W](Hourly)",'Eplus results'!1:65536,'graph data'!D4,FALSE)</f>
        <v>0</v>
      </c>
      <c r="M317" s="255"/>
      <c r="N317" s="255"/>
      <c r="O317" s="260"/>
      <c r="P317" s="256"/>
      <c r="Q317" s="235"/>
      <c r="R317" s="235"/>
      <c r="AB317" s="580">
        <f>HLOOKUP("*"&amp;'Output annual'!$AC$2&amp;'Output annual'!$AD$2&amp;"*Zone People Number Of Occupants [](Hourly)",'Eplus results'!$1:$1048576,ROW(),FALSE)</f>
        <v>0</v>
      </c>
      <c r="AC317" s="580">
        <f>HLOOKUP("*"&amp;'Output annual'!$AC$2&amp;'Output annual'!$AD$2&amp;"*FangerPMV(Hourly)",'Eplus results'!$1:$1048576,ROW(),FALSE)</f>
        <v>0</v>
      </c>
      <c r="AD317" s="580">
        <f t="shared" si="53"/>
        <v>5</v>
      </c>
      <c r="AE317" s="580">
        <f t="shared" si="54"/>
        <v>2.5</v>
      </c>
      <c r="AF317" s="580">
        <f t="shared" si="55"/>
        <v>2.5</v>
      </c>
      <c r="AG317" s="580">
        <f t="shared" si="56"/>
        <v>0</v>
      </c>
      <c r="AH317" s="580">
        <f t="shared" si="57"/>
        <v>0</v>
      </c>
    </row>
    <row r="318" spans="2:34">
      <c r="B318" s="235"/>
      <c r="C318" s="692"/>
      <c r="D318" s="689" t="s">
        <v>522</v>
      </c>
      <c r="E318" s="258"/>
      <c r="F318" s="241"/>
      <c r="G318" s="247" t="s">
        <v>484</v>
      </c>
      <c r="H318" s="242" t="e">
        <f>HLOOKUP("GFSP"&amp;perim_zone&amp;"_CEILING:Surface Outside Temperature[C](Hourly)",'Eplus results'!1:65536,'graph data'!D4,FALSE)</f>
        <v>#N/A</v>
      </c>
      <c r="I318" s="241"/>
      <c r="J318" s="241"/>
      <c r="K318" s="259"/>
      <c r="L318" s="254"/>
      <c r="M318" s="235"/>
      <c r="N318" s="255"/>
      <c r="O318" s="260"/>
      <c r="P318" s="256"/>
      <c r="Q318" s="235"/>
      <c r="R318" s="235"/>
      <c r="AB318" s="580">
        <f>HLOOKUP("*"&amp;'Output annual'!$AC$2&amp;'Output annual'!$AD$2&amp;"*Zone People Number Of Occupants [](Hourly)",'Eplus results'!$1:$1048576,ROW(),FALSE)</f>
        <v>0</v>
      </c>
      <c r="AC318" s="580">
        <f>HLOOKUP("*"&amp;'Output annual'!$AC$2&amp;'Output annual'!$AD$2&amp;"*FangerPMV(Hourly)",'Eplus results'!$1:$1048576,ROW(),FALSE)</f>
        <v>0</v>
      </c>
      <c r="AD318" s="580">
        <f t="shared" si="53"/>
        <v>5</v>
      </c>
      <c r="AE318" s="580">
        <f t="shared" si="54"/>
        <v>2.5</v>
      </c>
      <c r="AF318" s="580">
        <f t="shared" si="55"/>
        <v>2.5</v>
      </c>
      <c r="AG318" s="580">
        <f t="shared" si="56"/>
        <v>0</v>
      </c>
      <c r="AH318" s="580">
        <f t="shared" si="57"/>
        <v>0</v>
      </c>
    </row>
    <row r="319" spans="2:34">
      <c r="B319" s="235"/>
      <c r="C319" s="692"/>
      <c r="D319" s="689"/>
      <c r="E319" s="258"/>
      <c r="F319" s="241"/>
      <c r="G319" s="247" t="s">
        <v>484</v>
      </c>
      <c r="H319" s="242" t="e">
        <f>HLOOKUP("GFSP"&amp;perim_zone&amp;"_CEILING:Surface Inside Temperature[C](Hourly)",'Eplus results'!1:65536,'graph data'!D4,FALSE)</f>
        <v>#N/A</v>
      </c>
      <c r="I319" s="241"/>
      <c r="J319" s="241"/>
      <c r="K319" s="259"/>
      <c r="L319" s="284"/>
      <c r="M319" s="255"/>
      <c r="N319" s="255"/>
      <c r="O319" s="260"/>
      <c r="P319" s="256"/>
      <c r="Q319" s="235"/>
      <c r="R319" s="235"/>
      <c r="AB319" s="580">
        <f>HLOOKUP("*"&amp;'Output annual'!$AC$2&amp;'Output annual'!$AD$2&amp;"*Zone People Number Of Occupants [](Hourly)",'Eplus results'!$1:$1048576,ROW(),FALSE)</f>
        <v>0</v>
      </c>
      <c r="AC319" s="580">
        <f>HLOOKUP("*"&amp;'Output annual'!$AC$2&amp;'Output annual'!$AD$2&amp;"*FangerPMV(Hourly)",'Eplus results'!$1:$1048576,ROW(),FALSE)</f>
        <v>0</v>
      </c>
      <c r="AD319" s="580">
        <f t="shared" si="53"/>
        <v>5</v>
      </c>
      <c r="AE319" s="580">
        <f t="shared" si="54"/>
        <v>2.5</v>
      </c>
      <c r="AF319" s="580">
        <f t="shared" si="55"/>
        <v>2.5</v>
      </c>
      <c r="AG319" s="580">
        <f t="shared" si="56"/>
        <v>0</v>
      </c>
      <c r="AH319" s="580">
        <f t="shared" si="57"/>
        <v>0</v>
      </c>
    </row>
    <row r="320" spans="2:34">
      <c r="B320" s="235"/>
      <c r="C320" s="692"/>
      <c r="D320" s="235"/>
      <c r="E320" s="258"/>
      <c r="F320" s="241"/>
      <c r="G320" s="241"/>
      <c r="H320" s="242"/>
      <c r="I320" s="241"/>
      <c r="J320" s="241"/>
      <c r="K320" s="259" t="s">
        <v>486</v>
      </c>
      <c r="L320" s="254">
        <f>HLOOKUP("GFSP"&amp;perim_zone&amp;"_Ceiling:Surface Int Convection Heat Rate [W](Hourly)",'Eplus results'!1:65536,'graph data'!D4,FALSE)</f>
        <v>0</v>
      </c>
      <c r="M320" s="255"/>
      <c r="N320" s="255"/>
      <c r="O320" s="260"/>
      <c r="P320" s="256" t="s">
        <v>457</v>
      </c>
      <c r="Q320" s="235"/>
      <c r="R320" s="235"/>
      <c r="AB320" s="580">
        <f>HLOOKUP("*"&amp;'Output annual'!$AC$2&amp;'Output annual'!$AD$2&amp;"*Zone People Number Of Occupants [](Hourly)",'Eplus results'!$1:$1048576,ROW(),FALSE)</f>
        <v>0</v>
      </c>
      <c r="AC320" s="580">
        <f>HLOOKUP("*"&amp;'Output annual'!$AC$2&amp;'Output annual'!$AD$2&amp;"*FangerPMV(Hourly)",'Eplus results'!$1:$1048576,ROW(),FALSE)</f>
        <v>0</v>
      </c>
      <c r="AD320" s="580">
        <f t="shared" si="53"/>
        <v>5</v>
      </c>
      <c r="AE320" s="580">
        <f t="shared" si="54"/>
        <v>2.5</v>
      </c>
      <c r="AF320" s="580">
        <f t="shared" si="55"/>
        <v>2.5</v>
      </c>
      <c r="AG320" s="580">
        <f t="shared" si="56"/>
        <v>0</v>
      </c>
      <c r="AH320" s="580">
        <f t="shared" si="57"/>
        <v>0</v>
      </c>
    </row>
    <row r="321" spans="2:34">
      <c r="B321" s="235"/>
      <c r="C321" s="692"/>
      <c r="D321" s="257"/>
      <c r="E321" s="258" t="s">
        <v>3</v>
      </c>
      <c r="F321" s="241"/>
      <c r="G321" s="247" t="s">
        <v>485</v>
      </c>
      <c r="H321" s="242" t="e">
        <f>HLOOKUP("GFSP"&amp;perim_zone&amp;":Zone/Sys Air Temperature[C](Hourly)",'Eplus results'!1:65536,'graph data'!D4, FALSE)</f>
        <v>#N/A</v>
      </c>
      <c r="I321" s="241"/>
      <c r="J321" s="241"/>
      <c r="K321" s="281" t="s">
        <v>528</v>
      </c>
      <c r="L321" s="254">
        <f>HLOOKUP("GFSP"&amp;perim_zone&amp;"_WALL_"&amp;LEFT(perim_zone, 1)&amp;":Surface Int Convection Heat Rate [W](Hourly)",'Eplus results'!1:65536,'graph data'!D4,FALSE)</f>
        <v>0</v>
      </c>
      <c r="M321" s="255" t="s">
        <v>519</v>
      </c>
      <c r="N321" s="255" t="e">
        <f>HLOOKUP("GFSP"&amp;perim_zone&amp;":Zone/Sys Sensible Cooling Rate[W](Hourly)",'Eplus results'!1:65536,'graph data'!D4,FALSE)</f>
        <v>#N/A</v>
      </c>
      <c r="O321" s="260" t="s">
        <v>158</v>
      </c>
      <c r="P321" s="256" t="e">
        <f>N321/(L320+L322+L321)</f>
        <v>#N/A</v>
      </c>
      <c r="Q321" s="235"/>
      <c r="R321" s="235"/>
      <c r="AB321" s="580">
        <f>HLOOKUP("*"&amp;'Output annual'!$AC$2&amp;'Output annual'!$AD$2&amp;"*Zone People Number Of Occupants [](Hourly)",'Eplus results'!$1:$1048576,ROW(),FALSE)</f>
        <v>0</v>
      </c>
      <c r="AC321" s="580">
        <f>HLOOKUP("*"&amp;'Output annual'!$AC$2&amp;'Output annual'!$AD$2&amp;"*FangerPMV(Hourly)",'Eplus results'!$1:$1048576,ROW(),FALSE)</f>
        <v>0</v>
      </c>
      <c r="AD321" s="580">
        <f t="shared" si="53"/>
        <v>5</v>
      </c>
      <c r="AE321" s="580">
        <f t="shared" si="54"/>
        <v>2.5</v>
      </c>
      <c r="AF321" s="580">
        <f t="shared" si="55"/>
        <v>2.5</v>
      </c>
      <c r="AG321" s="580">
        <f t="shared" si="56"/>
        <v>0</v>
      </c>
      <c r="AH321" s="580">
        <f t="shared" si="57"/>
        <v>0</v>
      </c>
    </row>
    <row r="322" spans="2:34" ht="13.5" thickBot="1">
      <c r="B322" s="235"/>
      <c r="C322" s="693"/>
      <c r="D322" s="261"/>
      <c r="E322" s="279"/>
      <c r="F322" s="263"/>
      <c r="G322" s="263"/>
      <c r="H322" s="264"/>
      <c r="I322" s="263"/>
      <c r="J322" s="263"/>
      <c r="K322" s="265" t="s">
        <v>486</v>
      </c>
      <c r="L322" s="254">
        <f>IF(RunType="OH",HLOOKUP("GF"&amp;perim_zone&amp;"_FLOOR:Surface Int Convection Heat Rate [W](Hourly)",'Eplus results'!1:65536,'graph data'!D4, FALSE), HLOOKUP("GFSP"&amp;perim_zone&amp;"_Floor:Surface Int Convection Heat Rate [W](Hourly)",'Eplus results'!1:65536,'graph data'!D4,FALSE))</f>
        <v>0</v>
      </c>
      <c r="M322" s="255"/>
      <c r="N322" s="235"/>
      <c r="O322" s="235"/>
      <c r="P322" s="235"/>
      <c r="Q322" s="235"/>
      <c r="R322" s="235"/>
      <c r="AB322" s="580">
        <f>HLOOKUP("*"&amp;'Output annual'!$AC$2&amp;'Output annual'!$AD$2&amp;"*Zone People Number Of Occupants [](Hourly)",'Eplus results'!$1:$1048576,ROW(),FALSE)</f>
        <v>0</v>
      </c>
      <c r="AC322" s="580">
        <f>HLOOKUP("*"&amp;'Output annual'!$AC$2&amp;'Output annual'!$AD$2&amp;"*FangerPMV(Hourly)",'Eplus results'!$1:$1048576,ROW(),FALSE)</f>
        <v>0</v>
      </c>
      <c r="AD322" s="580">
        <f t="shared" si="53"/>
        <v>5</v>
      </c>
      <c r="AE322" s="580">
        <f t="shared" si="54"/>
        <v>2.5</v>
      </c>
      <c r="AF322" s="580">
        <f t="shared" si="55"/>
        <v>2.5</v>
      </c>
      <c r="AG322" s="580">
        <f t="shared" si="56"/>
        <v>0</v>
      </c>
      <c r="AH322" s="580">
        <f t="shared" si="57"/>
        <v>0</v>
      </c>
    </row>
    <row r="323" spans="2:34">
      <c r="B323" s="235"/>
      <c r="C323" s="236"/>
      <c r="D323" s="238"/>
      <c r="E323" s="241"/>
      <c r="F323" s="241"/>
      <c r="G323" s="247" t="s">
        <v>484</v>
      </c>
      <c r="H323" s="242" t="e">
        <f>IF(RunType="OH",HLOOKUP("GF"&amp;perim_zone&amp;"_FLOOR:Surface Inside Temperature[C](Hourly)",'Eplus results'!1:65536,'graph data'!D4, FALSE), HLOOKUP("GFSP"&amp;perim_zone&amp;"_FLOOR:Surface Inside Temperature[C](Hourly)",'Eplus results'!1:65536,'graph data'!D4,FALSE))</f>
        <v>#N/A</v>
      </c>
      <c r="I323" s="241"/>
      <c r="J323" s="241"/>
      <c r="K323" s="241" t="s">
        <v>529</v>
      </c>
      <c r="L323" s="269" t="e">
        <f>IF(RunType="OH",HLOOKUP("GF"&amp;perim_zone&amp;"_FLOOR:Opaque Surface Inside Face Conduction[W](Hourly)",'Eplus results'!1:65536,'graph data'!D4,FALSE), HLOOKUP("GFSP"&amp;perim_zone&amp;"_FLOOR:Opaque Surface Inside Face Conduction[W](Hourly)",'Eplus results'!1:65536,'graph data'!D4,FALSE))</f>
        <v>#N/A</v>
      </c>
      <c r="M323" s="270"/>
      <c r="N323" s="235"/>
      <c r="O323" s="235"/>
      <c r="P323" s="235"/>
      <c r="Q323" s="235"/>
      <c r="R323" s="235"/>
      <c r="AB323" s="580">
        <f>HLOOKUP("*"&amp;'Output annual'!$AC$2&amp;'Output annual'!$AD$2&amp;"*Zone People Number Of Occupants [](Hourly)",'Eplus results'!$1:$1048576,ROW(),FALSE)</f>
        <v>0</v>
      </c>
      <c r="AC323" s="580">
        <f>HLOOKUP("*"&amp;'Output annual'!$AC$2&amp;'Output annual'!$AD$2&amp;"*FangerPMV(Hourly)",'Eplus results'!$1:$1048576,ROW(),FALSE)</f>
        <v>0</v>
      </c>
      <c r="AD323" s="580">
        <f t="shared" ref="AD323:AD386" si="58">100-95*EXP(-0.03353*AC323^4-0.2179*AC323^2)</f>
        <v>5</v>
      </c>
      <c r="AE323" s="580">
        <f t="shared" ref="AE323:AE386" si="59">AD323*(1/(1+EXP(-6.3*$AC323)))</f>
        <v>2.5</v>
      </c>
      <c r="AF323" s="580">
        <f t="shared" ref="AF323:AF386" si="60">(AD323-AE323)</f>
        <v>2.5</v>
      </c>
      <c r="AG323" s="580">
        <f t="shared" ref="AG323:AG386" si="61">AE323*AB323</f>
        <v>0</v>
      </c>
      <c r="AH323" s="580">
        <f t="shared" ref="AH323:AH386" si="62">AF323*AB323</f>
        <v>0</v>
      </c>
    </row>
    <row r="324" spans="2:34">
      <c r="B324" s="235"/>
      <c r="C324" s="235" t="s">
        <v>512</v>
      </c>
      <c r="D324" s="247"/>
      <c r="E324" s="241"/>
      <c r="F324" s="241"/>
      <c r="G324" s="241"/>
      <c r="H324" s="242"/>
      <c r="I324" s="241"/>
      <c r="J324" s="241"/>
      <c r="K324" s="241"/>
      <c r="L324" s="243"/>
      <c r="M324" s="244"/>
      <c r="N324" s="235"/>
      <c r="O324" s="235"/>
      <c r="P324" s="235"/>
      <c r="Q324" s="235"/>
      <c r="R324" s="235"/>
      <c r="AB324" s="580">
        <f>HLOOKUP("*"&amp;'Output annual'!$AC$2&amp;'Output annual'!$AD$2&amp;"*Zone People Number Of Occupants [](Hourly)",'Eplus results'!$1:$1048576,ROW(),FALSE)</f>
        <v>0</v>
      </c>
      <c r="AC324" s="580">
        <f>HLOOKUP("*"&amp;'Output annual'!$AC$2&amp;'Output annual'!$AD$2&amp;"*FangerPMV(Hourly)",'Eplus results'!$1:$1048576,ROW(),FALSE)</f>
        <v>0</v>
      </c>
      <c r="AD324" s="580">
        <f t="shared" si="58"/>
        <v>5</v>
      </c>
      <c r="AE324" s="580">
        <f t="shared" si="59"/>
        <v>2.5</v>
      </c>
      <c r="AF324" s="580">
        <f t="shared" si="60"/>
        <v>2.5</v>
      </c>
      <c r="AG324" s="580">
        <f t="shared" si="61"/>
        <v>0</v>
      </c>
      <c r="AH324" s="580">
        <f t="shared" si="62"/>
        <v>0</v>
      </c>
    </row>
    <row r="325" spans="2:34">
      <c r="B325" s="235"/>
      <c r="C325" s="245"/>
      <c r="D325" s="271"/>
      <c r="E325" s="246"/>
      <c r="F325" s="246"/>
      <c r="G325" s="271" t="s">
        <v>484</v>
      </c>
      <c r="H325" s="280" t="e">
        <f>IF(RunType="OH",HLOOKUP("GF"&amp;perim_zone&amp;"_FLOOR:Surface Outside Temperature[C](Hourly)",'Eplus results'!1:65536,'graph data'!D4, FALSE), HLOOKUP("GFSP"&amp;perim_zone&amp;"_FLOOR:Surface Outside Temperature[C](Hourly)",'Eplus results'!1:65536,'graph data'!D4,FALSE))</f>
        <v>#N/A</v>
      </c>
      <c r="I325" s="246"/>
      <c r="J325" s="246"/>
      <c r="K325" s="285"/>
      <c r="L325" s="248"/>
      <c r="M325" s="286"/>
      <c r="N325" s="235"/>
      <c r="O325" s="235"/>
      <c r="P325" s="235"/>
      <c r="Q325" s="235"/>
      <c r="R325" s="235"/>
      <c r="AB325" s="580">
        <f>HLOOKUP("*"&amp;'Output annual'!$AC$2&amp;'Output annual'!$AD$2&amp;"*Zone People Number Of Occupants [](Hourly)",'Eplus results'!$1:$1048576,ROW(),FALSE)</f>
        <v>0</v>
      </c>
      <c r="AC325" s="580">
        <f>HLOOKUP("*"&amp;'Output annual'!$AC$2&amp;'Output annual'!$AD$2&amp;"*FangerPMV(Hourly)",'Eplus results'!$1:$1048576,ROW(),FALSE)</f>
        <v>0</v>
      </c>
      <c r="AD325" s="580">
        <f t="shared" si="58"/>
        <v>5</v>
      </c>
      <c r="AE325" s="580">
        <f t="shared" si="59"/>
        <v>2.5</v>
      </c>
      <c r="AF325" s="580">
        <f t="shared" si="60"/>
        <v>2.5</v>
      </c>
      <c r="AG325" s="580">
        <f t="shared" si="61"/>
        <v>0</v>
      </c>
      <c r="AH325" s="580">
        <f t="shared" si="62"/>
        <v>0</v>
      </c>
    </row>
    <row r="326" spans="2:34">
      <c r="AB326" s="580">
        <f>HLOOKUP("*"&amp;'Output annual'!$AC$2&amp;'Output annual'!$AD$2&amp;"*Zone People Number Of Occupants [](Hourly)",'Eplus results'!$1:$1048576,ROW(),FALSE)</f>
        <v>0</v>
      </c>
      <c r="AC326" s="580">
        <f>HLOOKUP("*"&amp;'Output annual'!$AC$2&amp;'Output annual'!$AD$2&amp;"*FangerPMV(Hourly)",'Eplus results'!$1:$1048576,ROW(),FALSE)</f>
        <v>0</v>
      </c>
      <c r="AD326" s="580">
        <f t="shared" si="58"/>
        <v>5</v>
      </c>
      <c r="AE326" s="580">
        <f t="shared" si="59"/>
        <v>2.5</v>
      </c>
      <c r="AF326" s="580">
        <f t="shared" si="60"/>
        <v>2.5</v>
      </c>
      <c r="AG326" s="580">
        <f t="shared" si="61"/>
        <v>0</v>
      </c>
      <c r="AH326" s="580">
        <f t="shared" si="62"/>
        <v>0</v>
      </c>
    </row>
    <row r="327" spans="2:34">
      <c r="AB327" s="580">
        <f>HLOOKUP("*"&amp;'Output annual'!$AC$2&amp;'Output annual'!$AD$2&amp;"*Zone People Number Of Occupants [](Hourly)",'Eplus results'!$1:$1048576,ROW(),FALSE)</f>
        <v>0</v>
      </c>
      <c r="AC327" s="580">
        <f>HLOOKUP("*"&amp;'Output annual'!$AC$2&amp;'Output annual'!$AD$2&amp;"*FangerPMV(Hourly)",'Eplus results'!$1:$1048576,ROW(),FALSE)</f>
        <v>0</v>
      </c>
      <c r="AD327" s="580">
        <f t="shared" si="58"/>
        <v>5</v>
      </c>
      <c r="AE327" s="580">
        <f t="shared" si="59"/>
        <v>2.5</v>
      </c>
      <c r="AF327" s="580">
        <f t="shared" si="60"/>
        <v>2.5</v>
      </c>
      <c r="AG327" s="580">
        <f t="shared" si="61"/>
        <v>0</v>
      </c>
      <c r="AH327" s="580">
        <f t="shared" si="62"/>
        <v>0</v>
      </c>
    </row>
    <row r="328" spans="2:34">
      <c r="AB328" s="580">
        <f>HLOOKUP("*"&amp;'Output annual'!$AC$2&amp;'Output annual'!$AD$2&amp;"*Zone People Number Of Occupants [](Hourly)",'Eplus results'!$1:$1048576,ROW(),FALSE)</f>
        <v>0</v>
      </c>
      <c r="AC328" s="580">
        <f>HLOOKUP("*"&amp;'Output annual'!$AC$2&amp;'Output annual'!$AD$2&amp;"*FangerPMV(Hourly)",'Eplus results'!$1:$1048576,ROW(),FALSE)</f>
        <v>0</v>
      </c>
      <c r="AD328" s="580">
        <f t="shared" si="58"/>
        <v>5</v>
      </c>
      <c r="AE328" s="580">
        <f t="shared" si="59"/>
        <v>2.5</v>
      </c>
      <c r="AF328" s="580">
        <f t="shared" si="60"/>
        <v>2.5</v>
      </c>
      <c r="AG328" s="580">
        <f t="shared" si="61"/>
        <v>0</v>
      </c>
      <c r="AH328" s="580">
        <f t="shared" si="62"/>
        <v>0</v>
      </c>
    </row>
    <row r="329" spans="2:34">
      <c r="AB329" s="580">
        <f>HLOOKUP("*"&amp;'Output annual'!$AC$2&amp;'Output annual'!$AD$2&amp;"*Zone People Number Of Occupants [](Hourly)",'Eplus results'!$1:$1048576,ROW(),FALSE)</f>
        <v>0</v>
      </c>
      <c r="AC329" s="580">
        <f>HLOOKUP("*"&amp;'Output annual'!$AC$2&amp;'Output annual'!$AD$2&amp;"*FangerPMV(Hourly)",'Eplus results'!$1:$1048576,ROW(),FALSE)</f>
        <v>0</v>
      </c>
      <c r="AD329" s="580">
        <f t="shared" si="58"/>
        <v>5</v>
      </c>
      <c r="AE329" s="580">
        <f t="shared" si="59"/>
        <v>2.5</v>
      </c>
      <c r="AF329" s="580">
        <f t="shared" si="60"/>
        <v>2.5</v>
      </c>
      <c r="AG329" s="580">
        <f t="shared" si="61"/>
        <v>0</v>
      </c>
      <c r="AH329" s="580">
        <f t="shared" si="62"/>
        <v>0</v>
      </c>
    </row>
    <row r="330" spans="2:34">
      <c r="B330" s="149" t="str">
        <f>"Thermal Decay for "&amp;floor</f>
        <v>Thermal Decay for MF</v>
      </c>
      <c r="C330" s="149"/>
      <c r="AB330" s="580">
        <f>HLOOKUP("*"&amp;'Output annual'!$AC$2&amp;'Output annual'!$AD$2&amp;"*Zone People Number Of Occupants [](Hourly)",'Eplus results'!$1:$1048576,ROW(),FALSE)</f>
        <v>0</v>
      </c>
      <c r="AC330" s="580">
        <f>HLOOKUP("*"&amp;'Output annual'!$AC$2&amp;'Output annual'!$AD$2&amp;"*FangerPMV(Hourly)",'Eplus results'!$1:$1048576,ROW(),FALSE)</f>
        <v>0</v>
      </c>
      <c r="AD330" s="580">
        <f t="shared" si="58"/>
        <v>5</v>
      </c>
      <c r="AE330" s="580">
        <f t="shared" si="59"/>
        <v>2.5</v>
      </c>
      <c r="AF330" s="580">
        <f t="shared" si="60"/>
        <v>2.5</v>
      </c>
      <c r="AG330" s="580">
        <f t="shared" si="61"/>
        <v>0</v>
      </c>
      <c r="AH330" s="580">
        <f t="shared" si="62"/>
        <v>0</v>
      </c>
    </row>
    <row r="331" spans="2:34">
      <c r="B331" s="149" t="s">
        <v>363</v>
      </c>
      <c r="C331" s="152">
        <f>'graph data'!H33</f>
        <v>0</v>
      </c>
      <c r="AB331" s="580">
        <f>HLOOKUP("*"&amp;'Output annual'!$AC$2&amp;'Output annual'!$AD$2&amp;"*Zone People Number Of Occupants [](Hourly)",'Eplus results'!$1:$1048576,ROW(),FALSE)</f>
        <v>0</v>
      </c>
      <c r="AC331" s="580">
        <f>HLOOKUP("*"&amp;'Output annual'!$AC$2&amp;'Output annual'!$AD$2&amp;"*FangerPMV(Hourly)",'Eplus results'!$1:$1048576,ROW(),FALSE)</f>
        <v>0</v>
      </c>
      <c r="AD331" s="580">
        <f t="shared" si="58"/>
        <v>5</v>
      </c>
      <c r="AE331" s="580">
        <f t="shared" si="59"/>
        <v>2.5</v>
      </c>
      <c r="AF331" s="580">
        <f t="shared" si="60"/>
        <v>2.5</v>
      </c>
      <c r="AG331" s="580">
        <f t="shared" si="61"/>
        <v>0</v>
      </c>
      <c r="AH331" s="580">
        <f t="shared" si="62"/>
        <v>0</v>
      </c>
    </row>
    <row r="332" spans="2:34">
      <c r="B332" s="149" t="s">
        <v>364</v>
      </c>
      <c r="C332" s="152">
        <f>'graph data'!H34</f>
        <v>0</v>
      </c>
      <c r="AB332" s="580">
        <f>HLOOKUP("*"&amp;'Output annual'!$AC$2&amp;'Output annual'!$AD$2&amp;"*Zone People Number Of Occupants [](Hourly)",'Eplus results'!$1:$1048576,ROW(),FALSE)</f>
        <v>0</v>
      </c>
      <c r="AC332" s="580">
        <f>HLOOKUP("*"&amp;'Output annual'!$AC$2&amp;'Output annual'!$AD$2&amp;"*FangerPMV(Hourly)",'Eplus results'!$1:$1048576,ROW(),FALSE)</f>
        <v>0</v>
      </c>
      <c r="AD332" s="580">
        <f t="shared" si="58"/>
        <v>5</v>
      </c>
      <c r="AE332" s="580">
        <f t="shared" si="59"/>
        <v>2.5</v>
      </c>
      <c r="AF332" s="580">
        <f t="shared" si="60"/>
        <v>2.5</v>
      </c>
      <c r="AG332" s="580">
        <f t="shared" si="61"/>
        <v>0</v>
      </c>
      <c r="AH332" s="580">
        <f t="shared" si="62"/>
        <v>0</v>
      </c>
    </row>
    <row r="333" spans="2:34">
      <c r="B333" s="149" t="s">
        <v>362</v>
      </c>
      <c r="C333" s="152">
        <f>'graph data'!H35</f>
        <v>0</v>
      </c>
      <c r="AB333" s="580">
        <f>HLOOKUP("*"&amp;'Output annual'!$AC$2&amp;'Output annual'!$AD$2&amp;"*Zone People Number Of Occupants [](Hourly)",'Eplus results'!$1:$1048576,ROW(),FALSE)</f>
        <v>0</v>
      </c>
      <c r="AC333" s="580">
        <f>HLOOKUP("*"&amp;'Output annual'!$AC$2&amp;'Output annual'!$AD$2&amp;"*FangerPMV(Hourly)",'Eplus results'!$1:$1048576,ROW(),FALSE)</f>
        <v>0</v>
      </c>
      <c r="AD333" s="580">
        <f t="shared" si="58"/>
        <v>5</v>
      </c>
      <c r="AE333" s="580">
        <f t="shared" si="59"/>
        <v>2.5</v>
      </c>
      <c r="AF333" s="580">
        <f t="shared" si="60"/>
        <v>2.5</v>
      </c>
      <c r="AG333" s="580">
        <f t="shared" si="61"/>
        <v>0</v>
      </c>
      <c r="AH333" s="580">
        <f t="shared" si="62"/>
        <v>0</v>
      </c>
    </row>
    <row r="334" spans="2:34">
      <c r="B334" s="149" t="s">
        <v>361</v>
      </c>
      <c r="C334" s="152">
        <f>'graph data'!H36</f>
        <v>0</v>
      </c>
      <c r="AB334" s="580">
        <f>HLOOKUP("*"&amp;'Output annual'!$AC$2&amp;'Output annual'!$AD$2&amp;"*Zone People Number Of Occupants [](Hourly)",'Eplus results'!$1:$1048576,ROW(),FALSE)</f>
        <v>0</v>
      </c>
      <c r="AC334" s="580">
        <f>HLOOKUP("*"&amp;'Output annual'!$AC$2&amp;'Output annual'!$AD$2&amp;"*FangerPMV(Hourly)",'Eplus results'!$1:$1048576,ROW(),FALSE)</f>
        <v>0</v>
      </c>
      <c r="AD334" s="580">
        <f t="shared" si="58"/>
        <v>5</v>
      </c>
      <c r="AE334" s="580">
        <f t="shared" si="59"/>
        <v>2.5</v>
      </c>
      <c r="AF334" s="580">
        <f t="shared" si="60"/>
        <v>2.5</v>
      </c>
      <c r="AG334" s="580">
        <f t="shared" si="61"/>
        <v>0</v>
      </c>
      <c r="AH334" s="580">
        <f t="shared" si="62"/>
        <v>0</v>
      </c>
    </row>
    <row r="335" spans="2:34">
      <c r="B335" s="149" t="s">
        <v>365</v>
      </c>
      <c r="C335" s="152">
        <f>'graph data'!H37</f>
        <v>0</v>
      </c>
      <c r="AB335" s="580">
        <f>HLOOKUP("*"&amp;'Output annual'!$AC$2&amp;'Output annual'!$AD$2&amp;"*Zone People Number Of Occupants [](Hourly)",'Eplus results'!$1:$1048576,ROW(),FALSE)</f>
        <v>0</v>
      </c>
      <c r="AC335" s="580">
        <f>HLOOKUP("*"&amp;'Output annual'!$AC$2&amp;'Output annual'!$AD$2&amp;"*FangerPMV(Hourly)",'Eplus results'!$1:$1048576,ROW(),FALSE)</f>
        <v>0</v>
      </c>
      <c r="AD335" s="580">
        <f t="shared" si="58"/>
        <v>5</v>
      </c>
      <c r="AE335" s="580">
        <f t="shared" si="59"/>
        <v>2.5</v>
      </c>
      <c r="AF335" s="580">
        <f t="shared" si="60"/>
        <v>2.5</v>
      </c>
      <c r="AG335" s="580">
        <f t="shared" si="61"/>
        <v>0</v>
      </c>
      <c r="AH335" s="580">
        <f t="shared" si="62"/>
        <v>0</v>
      </c>
    </row>
    <row r="336" spans="2:34">
      <c r="B336" s="149" t="s">
        <v>175</v>
      </c>
      <c r="C336" s="152">
        <f>'graph data'!H38</f>
        <v>0</v>
      </c>
      <c r="AB336" s="580">
        <f>HLOOKUP("*"&amp;'Output annual'!$AC$2&amp;'Output annual'!$AD$2&amp;"*Zone People Number Of Occupants [](Hourly)",'Eplus results'!$1:$1048576,ROW(),FALSE)</f>
        <v>0</v>
      </c>
      <c r="AC336" s="580">
        <f>HLOOKUP("*"&amp;'Output annual'!$AC$2&amp;'Output annual'!$AD$2&amp;"*FangerPMV(Hourly)",'Eplus results'!$1:$1048576,ROW(),FALSE)</f>
        <v>0</v>
      </c>
      <c r="AD336" s="580">
        <f t="shared" si="58"/>
        <v>5</v>
      </c>
      <c r="AE336" s="580">
        <f t="shared" si="59"/>
        <v>2.5</v>
      </c>
      <c r="AF336" s="580">
        <f t="shared" si="60"/>
        <v>2.5</v>
      </c>
      <c r="AG336" s="580">
        <f t="shared" si="61"/>
        <v>0</v>
      </c>
      <c r="AH336" s="580">
        <f t="shared" si="62"/>
        <v>0</v>
      </c>
    </row>
    <row r="337" spans="2:34">
      <c r="AB337" s="580">
        <f>HLOOKUP("*"&amp;'Output annual'!$AC$2&amp;'Output annual'!$AD$2&amp;"*Zone People Number Of Occupants [](Hourly)",'Eplus results'!$1:$1048576,ROW(),FALSE)</f>
        <v>0</v>
      </c>
      <c r="AC337" s="580">
        <f>HLOOKUP("*"&amp;'Output annual'!$AC$2&amp;'Output annual'!$AD$2&amp;"*FangerPMV(Hourly)",'Eplus results'!$1:$1048576,ROW(),FALSE)</f>
        <v>0</v>
      </c>
      <c r="AD337" s="580">
        <f t="shared" si="58"/>
        <v>5</v>
      </c>
      <c r="AE337" s="580">
        <f t="shared" si="59"/>
        <v>2.5</v>
      </c>
      <c r="AF337" s="580">
        <f t="shared" si="60"/>
        <v>2.5</v>
      </c>
      <c r="AG337" s="580">
        <f t="shared" si="61"/>
        <v>0</v>
      </c>
      <c r="AH337" s="580">
        <f t="shared" si="62"/>
        <v>0</v>
      </c>
    </row>
    <row r="338" spans="2:34">
      <c r="B338" s="51"/>
      <c r="C338" s="52"/>
      <c r="D338" s="287"/>
      <c r="E338" s="233"/>
      <c r="AB338" s="580">
        <f>HLOOKUP("*"&amp;'Output annual'!$AC$2&amp;'Output annual'!$AD$2&amp;"*Zone People Number Of Occupants [](Hourly)",'Eplus results'!$1:$1048576,ROW(),FALSE)</f>
        <v>0</v>
      </c>
      <c r="AC338" s="580">
        <f>HLOOKUP("*"&amp;'Output annual'!$AC$2&amp;'Output annual'!$AD$2&amp;"*FangerPMV(Hourly)",'Eplus results'!$1:$1048576,ROW(),FALSE)</f>
        <v>0</v>
      </c>
      <c r="AD338" s="580">
        <f t="shared" si="58"/>
        <v>5</v>
      </c>
      <c r="AE338" s="580">
        <f t="shared" si="59"/>
        <v>2.5</v>
      </c>
      <c r="AF338" s="580">
        <f t="shared" si="60"/>
        <v>2.5</v>
      </c>
      <c r="AG338" s="580">
        <f t="shared" si="61"/>
        <v>0</v>
      </c>
      <c r="AH338" s="580">
        <f t="shared" si="62"/>
        <v>0</v>
      </c>
    </row>
    <row r="339" spans="2:34" ht="15">
      <c r="B339" s="221"/>
      <c r="C339" s="54"/>
      <c r="D339" s="54"/>
      <c r="E339" s="288" t="s">
        <v>474</v>
      </c>
      <c r="AB339" s="580">
        <f>HLOOKUP("*"&amp;'Output annual'!$AC$2&amp;'Output annual'!$AD$2&amp;"*Zone People Number Of Occupants [](Hourly)",'Eplus results'!$1:$1048576,ROW(),FALSE)</f>
        <v>0</v>
      </c>
      <c r="AC339" s="580">
        <f>HLOOKUP("*"&amp;'Output annual'!$AC$2&amp;'Output annual'!$AD$2&amp;"*FangerPMV(Hourly)",'Eplus results'!$1:$1048576,ROW(),FALSE)</f>
        <v>0</v>
      </c>
      <c r="AD339" s="580">
        <f t="shared" si="58"/>
        <v>5</v>
      </c>
      <c r="AE339" s="580">
        <f t="shared" si="59"/>
        <v>2.5</v>
      </c>
      <c r="AF339" s="580">
        <f t="shared" si="60"/>
        <v>2.5</v>
      </c>
      <c r="AG339" s="580">
        <f t="shared" si="61"/>
        <v>0</v>
      </c>
      <c r="AH339" s="580">
        <f t="shared" si="62"/>
        <v>0</v>
      </c>
    </row>
    <row r="340" spans="2:34" ht="15">
      <c r="B340" s="289" t="s">
        <v>349</v>
      </c>
      <c r="C340" s="290" t="e">
        <f>HLOOKUP(floor&amp;Int_zone&amp;":Zone/Sys Sensible Cooling Rate[W](Hourly)",'Eplus results'!1:1048576,'graph data'!D4,FALSE)</f>
        <v>#N/A</v>
      </c>
      <c r="D340" s="291" t="s">
        <v>232</v>
      </c>
      <c r="E340" s="292" t="e">
        <f>C340/'Output hourly'!$D$11</f>
        <v>#N/A</v>
      </c>
      <c r="AB340" s="580">
        <f>HLOOKUP("*"&amp;'Output annual'!$AC$2&amp;'Output annual'!$AD$2&amp;"*Zone People Number Of Occupants [](Hourly)",'Eplus results'!$1:$1048576,ROW(),FALSE)</f>
        <v>0</v>
      </c>
      <c r="AC340" s="580">
        <f>HLOOKUP("*"&amp;'Output annual'!$AC$2&amp;'Output annual'!$AD$2&amp;"*FangerPMV(Hourly)",'Eplus results'!$1:$1048576,ROW(),FALSE)</f>
        <v>0</v>
      </c>
      <c r="AD340" s="580">
        <f t="shared" si="58"/>
        <v>5</v>
      </c>
      <c r="AE340" s="580">
        <f t="shared" si="59"/>
        <v>2.5</v>
      </c>
      <c r="AF340" s="580">
        <f t="shared" si="60"/>
        <v>2.5</v>
      </c>
      <c r="AG340" s="580">
        <f t="shared" si="61"/>
        <v>0</v>
      </c>
      <c r="AH340" s="580">
        <f t="shared" si="62"/>
        <v>0</v>
      </c>
    </row>
    <row r="341" spans="2:34" ht="15">
      <c r="B341" s="293" t="s">
        <v>458</v>
      </c>
      <c r="C341" s="62">
        <f>(HLOOKUP(floor&amp;Int_zone&amp;":Zone Total Internal Total Heat Gain [J](Hourly)",'Eplus results'!1:1048576,'graph data'!D4,FALSE)/3600)</f>
        <v>0</v>
      </c>
      <c r="D341" s="60" t="s">
        <v>232</v>
      </c>
      <c r="E341" s="292">
        <f>C341/'Output hourly'!$D$11</f>
        <v>0</v>
      </c>
      <c r="AB341" s="580">
        <f>HLOOKUP("*"&amp;'Output annual'!$AC$2&amp;'Output annual'!$AD$2&amp;"*Zone People Number Of Occupants [](Hourly)",'Eplus results'!$1:$1048576,ROW(),FALSE)</f>
        <v>0</v>
      </c>
      <c r="AC341" s="580">
        <f>HLOOKUP("*"&amp;'Output annual'!$AC$2&amp;'Output annual'!$AD$2&amp;"*FangerPMV(Hourly)",'Eplus results'!$1:$1048576,ROW(),FALSE)</f>
        <v>0</v>
      </c>
      <c r="AD341" s="580">
        <f t="shared" si="58"/>
        <v>5</v>
      </c>
      <c r="AE341" s="580">
        <f t="shared" si="59"/>
        <v>2.5</v>
      </c>
      <c r="AF341" s="580">
        <f t="shared" si="60"/>
        <v>2.5</v>
      </c>
      <c r="AG341" s="580">
        <f t="shared" si="61"/>
        <v>0</v>
      </c>
      <c r="AH341" s="580">
        <f t="shared" si="62"/>
        <v>0</v>
      </c>
    </row>
    <row r="342" spans="2:34" ht="15.75">
      <c r="B342" s="293" t="s">
        <v>459</v>
      </c>
      <c r="C342" s="62">
        <f>HLOOKUP(floor&amp;Int_zone&amp;":Zone Window Heat Gain[W](Hourly)",'Eplus results'!1:1048576,'graph data'!D4,FALSE)</f>
        <v>0</v>
      </c>
      <c r="D342" s="60" t="s">
        <v>232</v>
      </c>
      <c r="E342" s="294">
        <f>-1.1*'Output hourly'!H53*('graph data'!C165-'graph data'!C155)/3.41</f>
        <v>0</v>
      </c>
      <c r="AB342" s="580">
        <f>HLOOKUP("*"&amp;'Output annual'!$AC$2&amp;'Output annual'!$AD$2&amp;"*Zone People Number Of Occupants [](Hourly)",'Eplus results'!$1:$1048576,ROW(),FALSE)</f>
        <v>0</v>
      </c>
      <c r="AC342" s="580">
        <f>HLOOKUP("*"&amp;'Output annual'!$AC$2&amp;'Output annual'!$AD$2&amp;"*FangerPMV(Hourly)",'Eplus results'!$1:$1048576,ROW(),FALSE)</f>
        <v>0</v>
      </c>
      <c r="AD342" s="580">
        <f t="shared" si="58"/>
        <v>5</v>
      </c>
      <c r="AE342" s="580">
        <f t="shared" si="59"/>
        <v>2.5</v>
      </c>
      <c r="AF342" s="580">
        <f t="shared" si="60"/>
        <v>2.5</v>
      </c>
      <c r="AG342" s="580">
        <f t="shared" si="61"/>
        <v>0</v>
      </c>
      <c r="AH342" s="580">
        <f t="shared" si="62"/>
        <v>0</v>
      </c>
    </row>
    <row r="343" spans="2:34" ht="15">
      <c r="B343" s="295" t="s">
        <v>457</v>
      </c>
      <c r="C343" s="296" t="e">
        <f>E340/E341</f>
        <v>#N/A</v>
      </c>
      <c r="D343" s="60"/>
      <c r="E343" s="297"/>
      <c r="AB343" s="580">
        <f>HLOOKUP("*"&amp;'Output annual'!$AC$2&amp;'Output annual'!$AD$2&amp;"*Zone People Number Of Occupants [](Hourly)",'Eplus results'!$1:$1048576,ROW(),FALSE)</f>
        <v>0</v>
      </c>
      <c r="AC343" s="580">
        <f>HLOOKUP("*"&amp;'Output annual'!$AC$2&amp;'Output annual'!$AD$2&amp;"*FangerPMV(Hourly)",'Eplus results'!$1:$1048576,ROW(),FALSE)</f>
        <v>0</v>
      </c>
      <c r="AD343" s="580">
        <f t="shared" si="58"/>
        <v>5</v>
      </c>
      <c r="AE343" s="580">
        <f t="shared" si="59"/>
        <v>2.5</v>
      </c>
      <c r="AF343" s="580">
        <f t="shared" si="60"/>
        <v>2.5</v>
      </c>
      <c r="AG343" s="580">
        <f t="shared" si="61"/>
        <v>0</v>
      </c>
      <c r="AH343" s="580">
        <f t="shared" si="62"/>
        <v>0</v>
      </c>
    </row>
    <row r="344" spans="2:34">
      <c r="B344" s="221"/>
      <c r="C344" s="54"/>
      <c r="D344" s="54"/>
      <c r="E344" s="297"/>
      <c r="AB344" s="580">
        <f>HLOOKUP("*"&amp;'Output annual'!$AC$2&amp;'Output annual'!$AD$2&amp;"*Zone People Number Of Occupants [](Hourly)",'Eplus results'!$1:$1048576,ROW(),FALSE)</f>
        <v>0</v>
      </c>
      <c r="AC344" s="580">
        <f>HLOOKUP("*"&amp;'Output annual'!$AC$2&amp;'Output annual'!$AD$2&amp;"*FangerPMV(Hourly)",'Eplus results'!$1:$1048576,ROW(),FALSE)</f>
        <v>0</v>
      </c>
      <c r="AD344" s="580">
        <f t="shared" si="58"/>
        <v>5</v>
      </c>
      <c r="AE344" s="580">
        <f t="shared" si="59"/>
        <v>2.5</v>
      </c>
      <c r="AF344" s="580">
        <f t="shared" si="60"/>
        <v>2.5</v>
      </c>
      <c r="AG344" s="580">
        <f t="shared" si="61"/>
        <v>0</v>
      </c>
      <c r="AH344" s="580">
        <f t="shared" si="62"/>
        <v>0</v>
      </c>
    </row>
    <row r="345" spans="2:34" ht="15">
      <c r="B345" s="298"/>
      <c r="C345" s="299"/>
      <c r="D345" s="61"/>
      <c r="E345" s="288" t="s">
        <v>474</v>
      </c>
      <c r="AB345" s="580">
        <f>HLOOKUP("*"&amp;'Output annual'!$AC$2&amp;'Output annual'!$AD$2&amp;"*Zone People Number Of Occupants [](Hourly)",'Eplus results'!$1:$1048576,ROW(),FALSE)</f>
        <v>0</v>
      </c>
      <c r="AC345" s="580">
        <f>HLOOKUP("*"&amp;'Output annual'!$AC$2&amp;'Output annual'!$AD$2&amp;"*FangerPMV(Hourly)",'Eplus results'!$1:$1048576,ROW(),FALSE)</f>
        <v>0</v>
      </c>
      <c r="AD345" s="580">
        <f t="shared" si="58"/>
        <v>5</v>
      </c>
      <c r="AE345" s="580">
        <f t="shared" si="59"/>
        <v>2.5</v>
      </c>
      <c r="AF345" s="580">
        <f t="shared" si="60"/>
        <v>2.5</v>
      </c>
      <c r="AG345" s="580">
        <f t="shared" si="61"/>
        <v>0</v>
      </c>
      <c r="AH345" s="580">
        <f t="shared" si="62"/>
        <v>0</v>
      </c>
    </row>
    <row r="346" spans="2:34" ht="15.75">
      <c r="B346" s="289" t="s">
        <v>349</v>
      </c>
      <c r="C346" s="62" t="e">
        <f>HLOOKUP(floor&amp;perim_zone&amp;":Zone/Sys Sensible Cooling Rate[W](Hourly)",'Eplus results'!1:1048576,'graph data'!D4,FALSE)</f>
        <v>#N/A</v>
      </c>
      <c r="D346" s="300" t="s">
        <v>232</v>
      </c>
      <c r="E346" s="294" t="e">
        <f>C346/'Output hourly'!$D$12</f>
        <v>#N/A</v>
      </c>
      <c r="AB346" s="580">
        <f>HLOOKUP("*"&amp;'Output annual'!$AC$2&amp;'Output annual'!$AD$2&amp;"*Zone People Number Of Occupants [](Hourly)",'Eplus results'!$1:$1048576,ROW(),FALSE)</f>
        <v>0</v>
      </c>
      <c r="AC346" s="580">
        <f>HLOOKUP("*"&amp;'Output annual'!$AC$2&amp;'Output annual'!$AD$2&amp;"*FangerPMV(Hourly)",'Eplus results'!$1:$1048576,ROW(),FALSE)</f>
        <v>0</v>
      </c>
      <c r="AD346" s="580">
        <f t="shared" si="58"/>
        <v>5</v>
      </c>
      <c r="AE346" s="580">
        <f t="shared" si="59"/>
        <v>2.5</v>
      </c>
      <c r="AF346" s="580">
        <f t="shared" si="60"/>
        <v>2.5</v>
      </c>
      <c r="AG346" s="580">
        <f t="shared" si="61"/>
        <v>0</v>
      </c>
      <c r="AH346" s="580">
        <f t="shared" si="62"/>
        <v>0</v>
      </c>
    </row>
    <row r="347" spans="2:34" ht="15.75">
      <c r="B347" s="293" t="s">
        <v>458</v>
      </c>
      <c r="C347" s="62">
        <f>HLOOKUP(floor&amp;perim_zone&amp;":Zone Total Internal Total Heat Gain [J](Hourly)",'Eplus results'!1:1048576,'graph data'!D4,FALSE)/3600</f>
        <v>0</v>
      </c>
      <c r="D347" s="300" t="s">
        <v>232</v>
      </c>
      <c r="E347" s="301">
        <f>C347/'Output hourly'!$D$12</f>
        <v>0</v>
      </c>
      <c r="AB347" s="580">
        <f>HLOOKUP("*"&amp;'Output annual'!$AC$2&amp;'Output annual'!$AD$2&amp;"*Zone People Number Of Occupants [](Hourly)",'Eplus results'!$1:$1048576,ROW(),FALSE)</f>
        <v>0</v>
      </c>
      <c r="AC347" s="580">
        <f>HLOOKUP("*"&amp;'Output annual'!$AC$2&amp;'Output annual'!$AD$2&amp;"*FangerPMV(Hourly)",'Eplus results'!$1:$1048576,ROW(),FALSE)</f>
        <v>0</v>
      </c>
      <c r="AD347" s="580">
        <f t="shared" si="58"/>
        <v>5</v>
      </c>
      <c r="AE347" s="580">
        <f t="shared" si="59"/>
        <v>2.5</v>
      </c>
      <c r="AF347" s="580">
        <f t="shared" si="60"/>
        <v>2.5</v>
      </c>
      <c r="AG347" s="580">
        <f t="shared" si="61"/>
        <v>0</v>
      </c>
      <c r="AH347" s="580">
        <f t="shared" si="62"/>
        <v>0</v>
      </c>
    </row>
    <row r="348" spans="2:34" ht="15.75">
      <c r="B348" s="293" t="s">
        <v>459</v>
      </c>
      <c r="C348" s="302">
        <f>HLOOKUP(floor&amp;perim_zone&amp;":Zone Window Heat Gain[W](Hourly)",'Eplus results'!1:1048576,'graph data'!D4,FALSE)</f>
        <v>0</v>
      </c>
      <c r="D348" s="303" t="s">
        <v>232</v>
      </c>
      <c r="E348" s="301">
        <f>C348/'Output hourly'!$D$12</f>
        <v>0</v>
      </c>
      <c r="AB348" s="580">
        <f>HLOOKUP("*"&amp;'Output annual'!$AC$2&amp;'Output annual'!$AD$2&amp;"*Zone People Number Of Occupants [](Hourly)",'Eplus results'!$1:$1048576,ROW(),FALSE)</f>
        <v>0</v>
      </c>
      <c r="AC348" s="580">
        <f>HLOOKUP("*"&amp;'Output annual'!$AC$2&amp;'Output annual'!$AD$2&amp;"*FangerPMV(Hourly)",'Eplus results'!$1:$1048576,ROW(),FALSE)</f>
        <v>0</v>
      </c>
      <c r="AD348" s="580">
        <f t="shared" si="58"/>
        <v>5</v>
      </c>
      <c r="AE348" s="580">
        <f t="shared" si="59"/>
        <v>2.5</v>
      </c>
      <c r="AF348" s="580">
        <f t="shared" si="60"/>
        <v>2.5</v>
      </c>
      <c r="AG348" s="580">
        <f t="shared" si="61"/>
        <v>0</v>
      </c>
      <c r="AH348" s="580">
        <f t="shared" si="62"/>
        <v>0</v>
      </c>
    </row>
    <row r="349" spans="2:34" ht="15.75">
      <c r="B349" s="304" t="s">
        <v>457</v>
      </c>
      <c r="C349" s="305" t="e">
        <f>E346/E349</f>
        <v>#N/A</v>
      </c>
      <c r="D349" s="300"/>
      <c r="E349" s="306">
        <f>SUM(E347:E348)</f>
        <v>0</v>
      </c>
      <c r="AB349" s="580">
        <f>HLOOKUP("*"&amp;'Output annual'!$AC$2&amp;'Output annual'!$AD$2&amp;"*Zone People Number Of Occupants [](Hourly)",'Eplus results'!$1:$1048576,ROW(),FALSE)</f>
        <v>0</v>
      </c>
      <c r="AC349" s="580">
        <f>HLOOKUP("*"&amp;'Output annual'!$AC$2&amp;'Output annual'!$AD$2&amp;"*FangerPMV(Hourly)",'Eplus results'!$1:$1048576,ROW(),FALSE)</f>
        <v>0</v>
      </c>
      <c r="AD349" s="580">
        <f t="shared" si="58"/>
        <v>5</v>
      </c>
      <c r="AE349" s="580">
        <f t="shared" si="59"/>
        <v>2.5</v>
      </c>
      <c r="AF349" s="580">
        <f t="shared" si="60"/>
        <v>2.5</v>
      </c>
      <c r="AG349" s="580">
        <f t="shared" si="61"/>
        <v>0</v>
      </c>
      <c r="AH349" s="580">
        <f t="shared" si="62"/>
        <v>0</v>
      </c>
    </row>
    <row r="350" spans="2:34" ht="15.75">
      <c r="B350" s="307" t="s">
        <v>476</v>
      </c>
      <c r="C350" s="308" t="e">
        <f>E350/E349</f>
        <v>#DIV/0!</v>
      </c>
      <c r="D350" s="300"/>
      <c r="E350" s="301">
        <f>1.08*'Output hourly'!$I$53*('graph data'!C164-'graph data'!C165)/3.41</f>
        <v>0</v>
      </c>
      <c r="AB350" s="580">
        <f>HLOOKUP("*"&amp;'Output annual'!$AC$2&amp;'Output annual'!$AD$2&amp;"*Zone People Number Of Occupants [](Hourly)",'Eplus results'!$1:$1048576,ROW(),FALSE)</f>
        <v>0</v>
      </c>
      <c r="AC350" s="580">
        <f>HLOOKUP("*"&amp;'Output annual'!$AC$2&amp;'Output annual'!$AD$2&amp;"*FangerPMV(Hourly)",'Eplus results'!$1:$1048576,ROW(),FALSE)</f>
        <v>0</v>
      </c>
      <c r="AD350" s="580">
        <f t="shared" si="58"/>
        <v>5</v>
      </c>
      <c r="AE350" s="580">
        <f t="shared" si="59"/>
        <v>2.5</v>
      </c>
      <c r="AF350" s="580">
        <f t="shared" si="60"/>
        <v>2.5</v>
      </c>
      <c r="AG350" s="580">
        <f t="shared" si="61"/>
        <v>0</v>
      </c>
      <c r="AH350" s="580">
        <f t="shared" si="62"/>
        <v>0</v>
      </c>
    </row>
    <row r="351" spans="2:34" ht="15.75">
      <c r="B351" s="221" t="s">
        <v>477</v>
      </c>
      <c r="C351" s="308" t="e">
        <f>E351/E349</f>
        <v>#DIV/0!</v>
      </c>
      <c r="D351" s="61"/>
      <c r="E351" s="301">
        <f>1.08*'Output hourly'!$I$53*('graph data'!C153-'graph data'!C157)/3.41</f>
        <v>0</v>
      </c>
      <c r="AB351" s="580">
        <f>HLOOKUP("*"&amp;'Output annual'!$AC$2&amp;'Output annual'!$AD$2&amp;"*Zone People Number Of Occupants [](Hourly)",'Eplus results'!$1:$1048576,ROW(),FALSE)</f>
        <v>0</v>
      </c>
      <c r="AC351" s="580">
        <f>HLOOKUP("*"&amp;'Output annual'!$AC$2&amp;'Output annual'!$AD$2&amp;"*FangerPMV(Hourly)",'Eplus results'!$1:$1048576,ROW(),FALSE)</f>
        <v>0</v>
      </c>
      <c r="AD351" s="580">
        <f t="shared" si="58"/>
        <v>5</v>
      </c>
      <c r="AE351" s="580">
        <f t="shared" si="59"/>
        <v>2.5</v>
      </c>
      <c r="AF351" s="580">
        <f t="shared" si="60"/>
        <v>2.5</v>
      </c>
      <c r="AG351" s="580">
        <f t="shared" si="61"/>
        <v>0</v>
      </c>
      <c r="AH351" s="580">
        <f t="shared" si="62"/>
        <v>0</v>
      </c>
    </row>
    <row r="352" spans="2:34" ht="15">
      <c r="B352" s="309"/>
      <c r="C352" s="310" t="e">
        <f>SUM(C349:C351)</f>
        <v>#N/A</v>
      </c>
      <c r="D352" s="60"/>
      <c r="E352" s="311"/>
      <c r="AB352" s="580">
        <f>HLOOKUP("*"&amp;'Output annual'!$AC$2&amp;'Output annual'!$AD$2&amp;"*Zone People Number Of Occupants [](Hourly)",'Eplus results'!$1:$1048576,ROW(),FALSE)</f>
        <v>0</v>
      </c>
      <c r="AC352" s="580">
        <f>HLOOKUP("*"&amp;'Output annual'!$AC$2&amp;'Output annual'!$AD$2&amp;"*FangerPMV(Hourly)",'Eplus results'!$1:$1048576,ROW(),FALSE)</f>
        <v>0</v>
      </c>
      <c r="AD352" s="580">
        <f t="shared" si="58"/>
        <v>5</v>
      </c>
      <c r="AE352" s="580">
        <f t="shared" si="59"/>
        <v>2.5</v>
      </c>
      <c r="AF352" s="580">
        <f t="shared" si="60"/>
        <v>2.5</v>
      </c>
      <c r="AG352" s="580">
        <f t="shared" si="61"/>
        <v>0</v>
      </c>
      <c r="AH352" s="580">
        <f t="shared" si="62"/>
        <v>0</v>
      </c>
    </row>
    <row r="353" spans="2:34" ht="15">
      <c r="B353" s="309" t="s">
        <v>478</v>
      </c>
      <c r="C353" s="310" t="e">
        <f>C352-1</f>
        <v>#N/A</v>
      </c>
      <c r="D353" s="60"/>
      <c r="E353" s="311"/>
      <c r="AB353" s="580">
        <f>HLOOKUP("*"&amp;'Output annual'!$AC$2&amp;'Output annual'!$AD$2&amp;"*Zone People Number Of Occupants [](Hourly)",'Eplus results'!$1:$1048576,ROW(),FALSE)</f>
        <v>0</v>
      </c>
      <c r="AC353" s="580">
        <f>HLOOKUP("*"&amp;'Output annual'!$AC$2&amp;'Output annual'!$AD$2&amp;"*FangerPMV(Hourly)",'Eplus results'!$1:$1048576,ROW(),FALSE)</f>
        <v>0</v>
      </c>
      <c r="AD353" s="580">
        <f t="shared" si="58"/>
        <v>5</v>
      </c>
      <c r="AE353" s="580">
        <f t="shared" si="59"/>
        <v>2.5</v>
      </c>
      <c r="AF353" s="580">
        <f t="shared" si="60"/>
        <v>2.5</v>
      </c>
      <c r="AG353" s="580">
        <f t="shared" si="61"/>
        <v>0</v>
      </c>
      <c r="AH353" s="580">
        <f t="shared" si="62"/>
        <v>0</v>
      </c>
    </row>
    <row r="354" spans="2:34" ht="15">
      <c r="B354" s="312"/>
      <c r="C354" s="299"/>
      <c r="D354" s="54"/>
      <c r="E354" s="297"/>
      <c r="AB354" s="580">
        <f>HLOOKUP("*"&amp;'Output annual'!$AC$2&amp;'Output annual'!$AD$2&amp;"*Zone People Number Of Occupants [](Hourly)",'Eplus results'!$1:$1048576,ROW(),FALSE)</f>
        <v>0</v>
      </c>
      <c r="AC354" s="580">
        <f>HLOOKUP("*"&amp;'Output annual'!$AC$2&amp;'Output annual'!$AD$2&amp;"*FangerPMV(Hourly)",'Eplus results'!$1:$1048576,ROW(),FALSE)</f>
        <v>0</v>
      </c>
      <c r="AD354" s="580">
        <f t="shared" si="58"/>
        <v>5</v>
      </c>
      <c r="AE354" s="580">
        <f t="shared" si="59"/>
        <v>2.5</v>
      </c>
      <c r="AF354" s="580">
        <f t="shared" si="60"/>
        <v>2.5</v>
      </c>
      <c r="AG354" s="580">
        <f t="shared" si="61"/>
        <v>0</v>
      </c>
      <c r="AH354" s="580">
        <f t="shared" si="62"/>
        <v>0</v>
      </c>
    </row>
    <row r="355" spans="2:34" ht="15.75">
      <c r="B355" s="312" t="s">
        <v>479</v>
      </c>
      <c r="C355" s="299"/>
      <c r="D355" s="61" t="s">
        <v>475</v>
      </c>
      <c r="E355" s="313">
        <f>1.1*'Output hourly'!$I$53*('graph data'!C165-'graph data'!C153)/3.41</f>
        <v>0</v>
      </c>
      <c r="AB355" s="580">
        <f>HLOOKUP("*"&amp;'Output annual'!$AC$2&amp;'Output annual'!$AD$2&amp;"*Zone People Number Of Occupants [](Hourly)",'Eplus results'!$1:$1048576,ROW(),FALSE)</f>
        <v>0</v>
      </c>
      <c r="AC355" s="580">
        <f>HLOOKUP("*"&amp;'Output annual'!$AC$2&amp;'Output annual'!$AD$2&amp;"*FangerPMV(Hourly)",'Eplus results'!$1:$1048576,ROW(),FALSE)</f>
        <v>0</v>
      </c>
      <c r="AD355" s="580">
        <f t="shared" si="58"/>
        <v>5</v>
      </c>
      <c r="AE355" s="580">
        <f t="shared" si="59"/>
        <v>2.5</v>
      </c>
      <c r="AF355" s="580">
        <f t="shared" si="60"/>
        <v>2.5</v>
      </c>
      <c r="AG355" s="580">
        <f t="shared" si="61"/>
        <v>0</v>
      </c>
      <c r="AH355" s="580">
        <f t="shared" si="62"/>
        <v>0</v>
      </c>
    </row>
    <row r="356" spans="2:34" ht="15.75">
      <c r="B356" s="314" t="s">
        <v>480</v>
      </c>
      <c r="C356" s="54"/>
      <c r="D356" s="315" t="e">
        <f>E356/E359</f>
        <v>#DIV/0!</v>
      </c>
      <c r="E356" s="294">
        <f>-1.1*'Output hourly'!$I$53*(('graph data'!C155*(2.7432-1.7)+'graph data'!C160*1.7)/2.7432-'graph data'!C164)/3.41</f>
        <v>0</v>
      </c>
      <c r="AB356" s="580">
        <f>HLOOKUP("*"&amp;'Output annual'!$AC$2&amp;'Output annual'!$AD$2&amp;"*Zone People Number Of Occupants [](Hourly)",'Eplus results'!$1:$1048576,ROW(),FALSE)</f>
        <v>0</v>
      </c>
      <c r="AC356" s="580">
        <f>HLOOKUP("*"&amp;'Output annual'!$AC$2&amp;'Output annual'!$AD$2&amp;"*FangerPMV(Hourly)",'Eplus results'!$1:$1048576,ROW(),FALSE)</f>
        <v>0</v>
      </c>
      <c r="AD356" s="580">
        <f t="shared" si="58"/>
        <v>5</v>
      </c>
      <c r="AE356" s="580">
        <f t="shared" si="59"/>
        <v>2.5</v>
      </c>
      <c r="AF356" s="580">
        <f t="shared" si="60"/>
        <v>2.5</v>
      </c>
      <c r="AG356" s="580">
        <f t="shared" si="61"/>
        <v>0</v>
      </c>
      <c r="AH356" s="580">
        <f t="shared" si="62"/>
        <v>0</v>
      </c>
    </row>
    <row r="357" spans="2:34" ht="15.75">
      <c r="B357" s="314" t="s">
        <v>481</v>
      </c>
      <c r="C357" s="54"/>
      <c r="D357" s="315" t="e">
        <f>E357/E359</f>
        <v>#DIV/0!</v>
      </c>
      <c r="E357" s="301">
        <f>-1.1*'Output hourly'!$I$53*('graph data'!C164-'graph data'!C165)/3.41</f>
        <v>0</v>
      </c>
      <c r="AB357" s="580">
        <f>HLOOKUP("*"&amp;'Output annual'!$AC$2&amp;'Output annual'!$AD$2&amp;"*Zone People Number Of Occupants [](Hourly)",'Eplus results'!$1:$1048576,ROW(),FALSE)</f>
        <v>0</v>
      </c>
      <c r="AC357" s="580">
        <f>HLOOKUP("*"&amp;'Output annual'!$AC$2&amp;'Output annual'!$AD$2&amp;"*FangerPMV(Hourly)",'Eplus results'!$1:$1048576,ROW(),FALSE)</f>
        <v>0</v>
      </c>
      <c r="AD357" s="580">
        <f t="shared" si="58"/>
        <v>5</v>
      </c>
      <c r="AE357" s="580">
        <f t="shared" si="59"/>
        <v>2.5</v>
      </c>
      <c r="AF357" s="580">
        <f t="shared" si="60"/>
        <v>2.5</v>
      </c>
      <c r="AG357" s="580">
        <f t="shared" si="61"/>
        <v>0</v>
      </c>
      <c r="AH357" s="580">
        <f t="shared" si="62"/>
        <v>0</v>
      </c>
    </row>
    <row r="358" spans="2:34" ht="15.75">
      <c r="B358" s="314" t="s">
        <v>482</v>
      </c>
      <c r="C358" s="54"/>
      <c r="D358" s="315" t="e">
        <f>E358/E359</f>
        <v>#DIV/0!</v>
      </c>
      <c r="E358" s="301">
        <f>-1.1*'Output hourly'!$I$53*('graph data'!C154-'graph data'!C157)/3.41</f>
        <v>0</v>
      </c>
      <c r="AB358" s="580">
        <f>HLOOKUP("*"&amp;'Output annual'!$AC$2&amp;'Output annual'!$AD$2&amp;"*Zone People Number Of Occupants [](Hourly)",'Eplus results'!$1:$1048576,ROW(),FALSE)</f>
        <v>0</v>
      </c>
      <c r="AC358" s="580">
        <f>HLOOKUP("*"&amp;'Output annual'!$AC$2&amp;'Output annual'!$AD$2&amp;"*FangerPMV(Hourly)",'Eplus results'!$1:$1048576,ROW(),FALSE)</f>
        <v>0</v>
      </c>
      <c r="AD358" s="580">
        <f t="shared" si="58"/>
        <v>5</v>
      </c>
      <c r="AE358" s="580">
        <f t="shared" si="59"/>
        <v>2.5</v>
      </c>
      <c r="AF358" s="580">
        <f t="shared" si="60"/>
        <v>2.5</v>
      </c>
      <c r="AG358" s="580">
        <f t="shared" si="61"/>
        <v>0</v>
      </c>
      <c r="AH358" s="580">
        <f t="shared" si="62"/>
        <v>0</v>
      </c>
    </row>
    <row r="359" spans="2:34" ht="15.75">
      <c r="B359" s="316"/>
      <c r="C359" s="57"/>
      <c r="D359" s="317"/>
      <c r="E359" s="318">
        <f>SUM(E356:E358)</f>
        <v>0</v>
      </c>
      <c r="AB359" s="580">
        <f>HLOOKUP("*"&amp;'Output annual'!$AC$2&amp;'Output annual'!$AD$2&amp;"*Zone People Number Of Occupants [](Hourly)",'Eplus results'!$1:$1048576,ROW(),FALSE)</f>
        <v>0</v>
      </c>
      <c r="AC359" s="580">
        <f>HLOOKUP("*"&amp;'Output annual'!$AC$2&amp;'Output annual'!$AD$2&amp;"*FangerPMV(Hourly)",'Eplus results'!$1:$1048576,ROW(),FALSE)</f>
        <v>0</v>
      </c>
      <c r="AD359" s="580">
        <f t="shared" si="58"/>
        <v>5</v>
      </c>
      <c r="AE359" s="580">
        <f t="shared" si="59"/>
        <v>2.5</v>
      </c>
      <c r="AF359" s="580">
        <f t="shared" si="60"/>
        <v>2.5</v>
      </c>
      <c r="AG359" s="580">
        <f t="shared" si="61"/>
        <v>0</v>
      </c>
      <c r="AH359" s="580">
        <f t="shared" si="62"/>
        <v>0</v>
      </c>
    </row>
    <row r="360" spans="2:34">
      <c r="AB360" s="580">
        <f>HLOOKUP("*"&amp;'Output annual'!$AC$2&amp;'Output annual'!$AD$2&amp;"*Zone People Number Of Occupants [](Hourly)",'Eplus results'!$1:$1048576,ROW(),FALSE)</f>
        <v>0</v>
      </c>
      <c r="AC360" s="580">
        <f>HLOOKUP("*"&amp;'Output annual'!$AC$2&amp;'Output annual'!$AD$2&amp;"*FangerPMV(Hourly)",'Eplus results'!$1:$1048576,ROW(),FALSE)</f>
        <v>0</v>
      </c>
      <c r="AD360" s="580">
        <f t="shared" si="58"/>
        <v>5</v>
      </c>
      <c r="AE360" s="580">
        <f t="shared" si="59"/>
        <v>2.5</v>
      </c>
      <c r="AF360" s="580">
        <f t="shared" si="60"/>
        <v>2.5</v>
      </c>
      <c r="AG360" s="580">
        <f t="shared" si="61"/>
        <v>0</v>
      </c>
      <c r="AH360" s="580">
        <f t="shared" si="62"/>
        <v>0</v>
      </c>
    </row>
    <row r="361" spans="2:34" ht="15">
      <c r="B361" s="319"/>
      <c r="C361" s="320" t="str">
        <f>floor&amp;perim_zone</f>
        <v>MFWest</v>
      </c>
      <c r="D361" s="59" t="s">
        <v>233</v>
      </c>
      <c r="E361" s="59" t="s">
        <v>239</v>
      </c>
      <c r="F361" s="59" t="s">
        <v>460</v>
      </c>
      <c r="G361" s="59" t="s">
        <v>239</v>
      </c>
      <c r="H361" s="59" t="s">
        <v>232</v>
      </c>
      <c r="I361" s="321" t="s">
        <v>461</v>
      </c>
      <c r="AB361" s="580">
        <f>HLOOKUP("*"&amp;'Output annual'!$AC$2&amp;'Output annual'!$AD$2&amp;"*Zone People Number Of Occupants [](Hourly)",'Eplus results'!$1:$1048576,ROW(),FALSE)</f>
        <v>0</v>
      </c>
      <c r="AC361" s="580">
        <f>HLOOKUP("*"&amp;'Output annual'!$AC$2&amp;'Output annual'!$AD$2&amp;"*FangerPMV(Hourly)",'Eplus results'!$1:$1048576,ROW(),FALSE)</f>
        <v>0</v>
      </c>
      <c r="AD361" s="580">
        <f t="shared" si="58"/>
        <v>5</v>
      </c>
      <c r="AE361" s="580">
        <f t="shared" si="59"/>
        <v>2.5</v>
      </c>
      <c r="AF361" s="580">
        <f t="shared" si="60"/>
        <v>2.5</v>
      </c>
      <c r="AG361" s="580">
        <f t="shared" si="61"/>
        <v>0</v>
      </c>
      <c r="AH361" s="580">
        <f t="shared" si="62"/>
        <v>0</v>
      </c>
    </row>
    <row r="362" spans="2:34" ht="15">
      <c r="B362" s="314"/>
      <c r="C362" s="61"/>
      <c r="D362" s="60" t="s">
        <v>76</v>
      </c>
      <c r="E362" s="60" t="s">
        <v>462</v>
      </c>
      <c r="F362" s="60" t="s">
        <v>463</v>
      </c>
      <c r="G362" s="60" t="s">
        <v>464</v>
      </c>
      <c r="H362" s="60" t="s">
        <v>465</v>
      </c>
      <c r="I362" s="288" t="s">
        <v>465</v>
      </c>
      <c r="AB362" s="580">
        <f>HLOOKUP("*"&amp;'Output annual'!$AC$2&amp;'Output annual'!$AD$2&amp;"*Zone People Number Of Occupants [](Hourly)",'Eplus results'!$1:$1048576,ROW(),FALSE)</f>
        <v>0</v>
      </c>
      <c r="AC362" s="580">
        <f>HLOOKUP("*"&amp;'Output annual'!$AC$2&amp;'Output annual'!$AD$2&amp;"*FangerPMV(Hourly)",'Eplus results'!$1:$1048576,ROW(),FALSE)</f>
        <v>0</v>
      </c>
      <c r="AD362" s="580">
        <f t="shared" si="58"/>
        <v>5</v>
      </c>
      <c r="AE362" s="580">
        <f t="shared" si="59"/>
        <v>2.5</v>
      </c>
      <c r="AF362" s="580">
        <f t="shared" si="60"/>
        <v>2.5</v>
      </c>
      <c r="AG362" s="580">
        <f t="shared" si="61"/>
        <v>0</v>
      </c>
      <c r="AH362" s="580">
        <f t="shared" si="62"/>
        <v>0</v>
      </c>
    </row>
    <row r="363" spans="2:34" ht="15">
      <c r="B363" s="322" t="s">
        <v>468</v>
      </c>
      <c r="C363" s="61" t="s">
        <v>466</v>
      </c>
      <c r="D363" s="323">
        <f>IF(perim_zone="East",34.528,IF(perim_zone="West",34.528,IF(perim_zone="South",52.198,IF(perim_zone="North",52.198))))*IF(RunType="UFAD_C",0.4059,IF(RunType="OH",0))</f>
        <v>0</v>
      </c>
      <c r="E363" s="323" t="e">
        <f>HLOOKUP(floor&amp;"SP"&amp;perim_zone&amp;"_WALL_"&amp;LEFT(perim_zone, 1)&amp;":Surface Outside Temperature[C](Hourly)",'Eplus results'!1:65536,'graph data'!D4,FALSE)</f>
        <v>#N/A</v>
      </c>
      <c r="F363" s="323" t="e">
        <f>1/((1/HLOOKUP(floor&amp;"SP"&amp;perim_zone&amp;"_WALL_"&amp;LEFT(perim_zone, 1)&amp;":Surface Int Convection Coeff[W/m2-K](Hourly)",'Eplus results'!1:65536,'graph data'!D4,FALSE))+(0.0254/1.8029326)+0.516+0.15664+(0.0159004/0.160062))</f>
        <v>#N/A</v>
      </c>
      <c r="G363" s="323" t="e">
        <f>HLOOKUP(floor&amp;"SP"&amp;perim_zone&amp;":Zone/Sys Air Temperature[C](Hourly)",'Eplus results'!1:65536,'graph data'!D4,FALSE)</f>
        <v>#N/A</v>
      </c>
      <c r="H363" s="324" t="e">
        <f t="shared" ref="H363:H368" si="63">(E363-G363)*D363*F363</f>
        <v>#N/A</v>
      </c>
      <c r="I363" s="325" t="e">
        <f t="shared" ref="I363:I368" si="64">H363/D363</f>
        <v>#N/A</v>
      </c>
      <c r="AB363" s="580">
        <f>HLOOKUP("*"&amp;'Output annual'!$AC$2&amp;'Output annual'!$AD$2&amp;"*Zone People Number Of Occupants [](Hourly)",'Eplus results'!$1:$1048576,ROW(),FALSE)</f>
        <v>0</v>
      </c>
      <c r="AC363" s="580">
        <f>HLOOKUP("*"&amp;'Output annual'!$AC$2&amp;'Output annual'!$AD$2&amp;"*FangerPMV(Hourly)",'Eplus results'!$1:$1048576,ROW(),FALSE)</f>
        <v>0</v>
      </c>
      <c r="AD363" s="580">
        <f t="shared" si="58"/>
        <v>5</v>
      </c>
      <c r="AE363" s="580">
        <f t="shared" si="59"/>
        <v>2.5</v>
      </c>
      <c r="AF363" s="580">
        <f t="shared" si="60"/>
        <v>2.5</v>
      </c>
      <c r="AG363" s="580">
        <f t="shared" si="61"/>
        <v>0</v>
      </c>
      <c r="AH363" s="580">
        <f t="shared" si="62"/>
        <v>0</v>
      </c>
    </row>
    <row r="364" spans="2:34" ht="15">
      <c r="B364" s="322" t="s">
        <v>469</v>
      </c>
      <c r="C364" s="61" t="s">
        <v>473</v>
      </c>
      <c r="D364" s="323">
        <f>'Output hourly'!D12/10.36</f>
        <v>145.47742632425238</v>
      </c>
      <c r="E364" s="323" t="e">
        <f>HLOOKUP(floor&amp;"SP"&amp;perim_zone&amp;"_CEILING:Surface Outside Temperature[C](Hourly)",'Eplus results'!1:65536,'graph data'!D4,FALSE)</f>
        <v>#N/A</v>
      </c>
      <c r="F364" s="323" t="e">
        <f>1/((1/HLOOKUP(floor&amp;"SP"&amp;perim_zone&amp;"_CEILING:Surface Int Convection Coeff[W/m2-K](Hourly)",'Eplus results'!1:65536,'graph data'!D4,FALSE))+(0.0406908/0.1440558)+0.36608)</f>
        <v>#N/A</v>
      </c>
      <c r="G364" s="323" t="e">
        <f>HLOOKUP(floor&amp;"SP"&amp;perim_zone&amp;":Zone/Sys Air Temperature[C](Hourly)",'Eplus results'!1:65536,'graph data'!D4,FALSE)</f>
        <v>#N/A</v>
      </c>
      <c r="H364" s="323" t="e">
        <f t="shared" si="63"/>
        <v>#N/A</v>
      </c>
      <c r="I364" s="325" t="e">
        <f t="shared" si="64"/>
        <v>#N/A</v>
      </c>
      <c r="AB364" s="580">
        <f>HLOOKUP("*"&amp;'Output annual'!$AC$2&amp;'Output annual'!$AD$2&amp;"*Zone People Number Of Occupants [](Hourly)",'Eplus results'!$1:$1048576,ROW(),FALSE)</f>
        <v>0</v>
      </c>
      <c r="AC364" s="580">
        <f>HLOOKUP("*"&amp;'Output annual'!$AC$2&amp;'Output annual'!$AD$2&amp;"*FangerPMV(Hourly)",'Eplus results'!$1:$1048576,ROW(),FALSE)</f>
        <v>0</v>
      </c>
      <c r="AD364" s="580">
        <f t="shared" si="58"/>
        <v>5</v>
      </c>
      <c r="AE364" s="580">
        <f t="shared" si="59"/>
        <v>2.5</v>
      </c>
      <c r="AF364" s="580">
        <f t="shared" si="60"/>
        <v>2.5</v>
      </c>
      <c r="AG364" s="580">
        <f t="shared" si="61"/>
        <v>0</v>
      </c>
      <c r="AH364" s="580">
        <f t="shared" si="62"/>
        <v>0</v>
      </c>
    </row>
    <row r="365" spans="2:34" ht="45">
      <c r="B365" s="221"/>
      <c r="C365" s="211" t="s">
        <v>467</v>
      </c>
      <c r="D365" s="326">
        <f>'Output hourly'!D12/10.36</f>
        <v>145.47742632425238</v>
      </c>
      <c r="E365" s="326" t="e">
        <f>HLOOKUP(floor&amp;"SP"&amp;perim_zone&amp;"_FLOOR:Surface Outside Temperature[C](Hourly)",'Eplus results'!1:65536,'graph data'!D4,FALSE)</f>
        <v>#N/A</v>
      </c>
      <c r="F365" s="326"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6" t="e">
        <f>HLOOKUP(floor&amp;"SP"&amp;perim_zone&amp;":Zone/Sys Air Temperature[C](Hourly)",'Eplus results'!1:65536,'graph data'!D4,FALSE)</f>
        <v>#N/A</v>
      </c>
      <c r="H365" s="323" t="e">
        <f t="shared" si="63"/>
        <v>#N/A</v>
      </c>
      <c r="I365" s="325" t="e">
        <f t="shared" si="64"/>
        <v>#N/A</v>
      </c>
      <c r="AB365" s="580">
        <f>HLOOKUP("*"&amp;'Output annual'!$AC$2&amp;'Output annual'!$AD$2&amp;"*Zone People Number Of Occupants [](Hourly)",'Eplus results'!$1:$1048576,ROW(),FALSE)</f>
        <v>0</v>
      </c>
      <c r="AC365" s="580">
        <f>HLOOKUP("*"&amp;'Output annual'!$AC$2&amp;'Output annual'!$AD$2&amp;"*FangerPMV(Hourly)",'Eplus results'!$1:$1048576,ROW(),FALSE)</f>
        <v>0</v>
      </c>
      <c r="AD365" s="580">
        <f t="shared" si="58"/>
        <v>5</v>
      </c>
      <c r="AE365" s="580">
        <f t="shared" si="59"/>
        <v>2.5</v>
      </c>
      <c r="AF365" s="580">
        <f t="shared" si="60"/>
        <v>2.5</v>
      </c>
      <c r="AG365" s="580">
        <f t="shared" si="61"/>
        <v>0</v>
      </c>
      <c r="AH365" s="580">
        <f t="shared" si="62"/>
        <v>0</v>
      </c>
    </row>
    <row r="366" spans="2:34" ht="15">
      <c r="B366" s="322" t="s">
        <v>470</v>
      </c>
      <c r="C366" s="61" t="s">
        <v>466</v>
      </c>
      <c r="D366" s="323">
        <f>IF(perim_zone="East",34.528,IF(perim_zone="West",34.528,IF(perim_zone="South",52.198,IF(perim_zone="North",52.198))))*IF(RunType="UFAD_C",0.8142,IF(RunType="OH",1.2192))</f>
        <v>0</v>
      </c>
      <c r="E366" s="323" t="e">
        <f>HLOOKUP(floor&amp;"RP"&amp;perim_zone&amp;"_WALL_"&amp;LEFT(perim_zone, 1)&amp;":Surface Outside Temperature[C](Hourly)",'Eplus results'!1:65536,'graph data'!D4,FALSE)</f>
        <v>#N/A</v>
      </c>
      <c r="F366" s="323" t="e">
        <f>1/((1/HLOOKUP(floor&amp;"RP"&amp;perim_zone&amp;"_WALL_"&amp;LEFT(perim_zone, 1)&amp;":Surface Int Convection Coeff[W/m2-K](Hourly)",'Eplus results'!1:65536,'graph data'!D4,FALSE))+(0.0254/1.8029326)+0.516+0.15664+(0.0159004/0.160062))</f>
        <v>#N/A</v>
      </c>
      <c r="G366" s="323" t="e">
        <f>HLOOKUP(floor&amp;"RP"&amp;perim_zone&amp;":Zone/Sys Air Temperature[C](Hourly)",'Eplus results'!1:65536,'graph data'!D4,FALSE)</f>
        <v>#N/A</v>
      </c>
      <c r="H366" s="323" t="e">
        <f t="shared" si="63"/>
        <v>#N/A</v>
      </c>
      <c r="I366" s="325" t="e">
        <f t="shared" si="64"/>
        <v>#N/A</v>
      </c>
      <c r="AB366" s="580">
        <f>HLOOKUP("*"&amp;'Output annual'!$AC$2&amp;'Output annual'!$AD$2&amp;"*Zone People Number Of Occupants [](Hourly)",'Eplus results'!$1:$1048576,ROW(),FALSE)</f>
        <v>0</v>
      </c>
      <c r="AC366" s="580">
        <f>HLOOKUP("*"&amp;'Output annual'!$AC$2&amp;'Output annual'!$AD$2&amp;"*FangerPMV(Hourly)",'Eplus results'!$1:$1048576,ROW(),FALSE)</f>
        <v>0</v>
      </c>
      <c r="AD366" s="580">
        <f t="shared" si="58"/>
        <v>5</v>
      </c>
      <c r="AE366" s="580">
        <f t="shared" si="59"/>
        <v>2.5</v>
      </c>
      <c r="AF366" s="580">
        <f t="shared" si="60"/>
        <v>2.5</v>
      </c>
      <c r="AG366" s="580">
        <f t="shared" si="61"/>
        <v>0</v>
      </c>
      <c r="AH366" s="580">
        <f t="shared" si="62"/>
        <v>0</v>
      </c>
    </row>
    <row r="367" spans="2:34" ht="15">
      <c r="B367" s="322" t="s">
        <v>469</v>
      </c>
      <c r="C367" s="61" t="s">
        <v>471</v>
      </c>
      <c r="D367" s="323">
        <f>'Output hourly'!D12/10.36</f>
        <v>145.47742632425238</v>
      </c>
      <c r="E367" s="323" t="e">
        <f>HLOOKUP(floor&amp;"RP"&amp;perim_zone&amp;"_CEILING:Surface Outside Temperature[C](Hourly)",'Eplus results'!1:65536,'graph data'!D4,FALSE)</f>
        <v>#N/A</v>
      </c>
      <c r="F367" s="323" t="e">
        <f>1/((1/HLOOKUP(floor&amp;"RP"&amp;perim_zone&amp;"_CEILING:Surface Int Convection Coeff[W/m2-K](Hourly)",'Eplus results'!1:65536,'graph data'!D4,FALSE))+IF(floor="TF", 0.009525/0.162946+0.1016/0.3609326+2.727+0.16192+0.0127/0.056959, 0.1016/0.3609326))</f>
        <v>#N/A</v>
      </c>
      <c r="G367" s="323" t="e">
        <f>HLOOKUP(floor&amp;"RP"&amp;perim_zone&amp;":Zone/Sys Air Temperature[C](Hourly)",'Eplus results'!1:65536,'graph data'!D4,FALSE)</f>
        <v>#N/A</v>
      </c>
      <c r="H367" s="323" t="e">
        <f t="shared" si="63"/>
        <v>#N/A</v>
      </c>
      <c r="I367" s="325" t="e">
        <f t="shared" si="64"/>
        <v>#N/A</v>
      </c>
      <c r="AB367" s="580">
        <f>HLOOKUP("*"&amp;'Output annual'!$AC$2&amp;'Output annual'!$AD$2&amp;"*Zone People Number Of Occupants [](Hourly)",'Eplus results'!$1:$1048576,ROW(),FALSE)</f>
        <v>0</v>
      </c>
      <c r="AC367" s="580">
        <f>HLOOKUP("*"&amp;'Output annual'!$AC$2&amp;'Output annual'!$AD$2&amp;"*FangerPMV(Hourly)",'Eplus results'!$1:$1048576,ROW(),FALSE)</f>
        <v>0</v>
      </c>
      <c r="AD367" s="580">
        <f t="shared" si="58"/>
        <v>5</v>
      </c>
      <c r="AE367" s="580">
        <f t="shared" si="59"/>
        <v>2.5</v>
      </c>
      <c r="AF367" s="580">
        <f t="shared" si="60"/>
        <v>2.5</v>
      </c>
      <c r="AG367" s="580">
        <f t="shared" si="61"/>
        <v>0</v>
      </c>
      <c r="AH367" s="580">
        <f t="shared" si="62"/>
        <v>0</v>
      </c>
    </row>
    <row r="368" spans="2:34" ht="30">
      <c r="B368" s="221"/>
      <c r="C368" s="211" t="s">
        <v>472</v>
      </c>
      <c r="D368" s="326">
        <f>'Output hourly'!D12/10.36</f>
        <v>145.47742632425238</v>
      </c>
      <c r="E368" s="326" t="e">
        <f>HLOOKUP(floor&amp;"RP"&amp;perim_zone&amp;"_FLOOR:Surface Outside Temperature[C](Hourly)",'Eplus results'!1:65536,'graph data'!D4,FALSE)</f>
        <v>#N/A</v>
      </c>
      <c r="F368" s="326" t="e">
        <f>1/((1/HLOOKUP(floor&amp;"RP"&amp;perim_zone&amp;"_FLOOR:Surface Int Convection Coeff[W/m2-K](Hourly)",'Eplus results'!1:65536,'graph data'!D4,FALSE))+(0.0127/0.056959))</f>
        <v>#N/A</v>
      </c>
      <c r="G368" s="326" t="e">
        <f>HLOOKUP(floor&amp;"RP"&amp;perim_zone&amp;":Zone/Sys Air Temperature[C](Hourly)",'Eplus results'!1:65536,'graph data'!D4,FALSE)</f>
        <v>#N/A</v>
      </c>
      <c r="H368" s="323" t="e">
        <f t="shared" si="63"/>
        <v>#N/A</v>
      </c>
      <c r="I368" s="325" t="e">
        <f t="shared" si="64"/>
        <v>#N/A</v>
      </c>
      <c r="AB368" s="580">
        <f>HLOOKUP("*"&amp;'Output annual'!$AC$2&amp;'Output annual'!$AD$2&amp;"*Zone People Number Of Occupants [](Hourly)",'Eplus results'!$1:$1048576,ROW(),FALSE)</f>
        <v>0</v>
      </c>
      <c r="AC368" s="580">
        <f>HLOOKUP("*"&amp;'Output annual'!$AC$2&amp;'Output annual'!$AD$2&amp;"*FangerPMV(Hourly)",'Eplus results'!$1:$1048576,ROW(),FALSE)</f>
        <v>0</v>
      </c>
      <c r="AD368" s="580">
        <f t="shared" si="58"/>
        <v>5</v>
      </c>
      <c r="AE368" s="580">
        <f t="shared" si="59"/>
        <v>2.5</v>
      </c>
      <c r="AF368" s="580">
        <f t="shared" si="60"/>
        <v>2.5</v>
      </c>
      <c r="AG368" s="580">
        <f t="shared" si="61"/>
        <v>0</v>
      </c>
      <c r="AH368" s="580">
        <f t="shared" si="62"/>
        <v>0</v>
      </c>
    </row>
    <row r="369" spans="2:34">
      <c r="B369" s="221"/>
      <c r="C369" s="54"/>
      <c r="D369" s="54"/>
      <c r="E369" s="54"/>
      <c r="F369" s="54"/>
      <c r="G369" s="54"/>
      <c r="H369" s="54"/>
      <c r="I369" s="297"/>
      <c r="AB369" s="580">
        <f>HLOOKUP("*"&amp;'Output annual'!$AC$2&amp;'Output annual'!$AD$2&amp;"*Zone People Number Of Occupants [](Hourly)",'Eplus results'!$1:$1048576,ROW(),FALSE)</f>
        <v>0</v>
      </c>
      <c r="AC369" s="580">
        <f>HLOOKUP("*"&amp;'Output annual'!$AC$2&amp;'Output annual'!$AD$2&amp;"*FangerPMV(Hourly)",'Eplus results'!$1:$1048576,ROW(),FALSE)</f>
        <v>0</v>
      </c>
      <c r="AD369" s="580">
        <f t="shared" si="58"/>
        <v>5</v>
      </c>
      <c r="AE369" s="580">
        <f t="shared" si="59"/>
        <v>2.5</v>
      </c>
      <c r="AF369" s="580">
        <f t="shared" si="60"/>
        <v>2.5</v>
      </c>
      <c r="AG369" s="580">
        <f t="shared" si="61"/>
        <v>0</v>
      </c>
      <c r="AH369" s="580">
        <f t="shared" si="62"/>
        <v>0</v>
      </c>
    </row>
    <row r="370" spans="2:34">
      <c r="B370" s="221"/>
      <c r="C370" s="54"/>
      <c r="D370" s="54"/>
      <c r="E370" s="54"/>
      <c r="F370" s="54"/>
      <c r="G370" s="54"/>
      <c r="H370" s="54"/>
      <c r="I370" s="297"/>
      <c r="AB370" s="580">
        <f>HLOOKUP("*"&amp;'Output annual'!$AC$2&amp;'Output annual'!$AD$2&amp;"*Zone People Number Of Occupants [](Hourly)",'Eplus results'!$1:$1048576,ROW(),FALSE)</f>
        <v>0</v>
      </c>
      <c r="AC370" s="580">
        <f>HLOOKUP("*"&amp;'Output annual'!$AC$2&amp;'Output annual'!$AD$2&amp;"*FangerPMV(Hourly)",'Eplus results'!$1:$1048576,ROW(),FALSE)</f>
        <v>0</v>
      </c>
      <c r="AD370" s="580">
        <f t="shared" si="58"/>
        <v>5</v>
      </c>
      <c r="AE370" s="580">
        <f t="shared" si="59"/>
        <v>2.5</v>
      </c>
      <c r="AF370" s="580">
        <f t="shared" si="60"/>
        <v>2.5</v>
      </c>
      <c r="AG370" s="580">
        <f t="shared" si="61"/>
        <v>0</v>
      </c>
      <c r="AH370" s="580">
        <f t="shared" si="62"/>
        <v>0</v>
      </c>
    </row>
    <row r="371" spans="2:34" ht="15">
      <c r="B371" s="314"/>
      <c r="C371" s="327" t="str">
        <f>floor&amp;Int_zone</f>
        <v>MFCore</v>
      </c>
      <c r="D371" s="60" t="s">
        <v>233</v>
      </c>
      <c r="E371" s="60" t="s">
        <v>239</v>
      </c>
      <c r="F371" s="60" t="s">
        <v>460</v>
      </c>
      <c r="G371" s="60" t="s">
        <v>239</v>
      </c>
      <c r="H371" s="60" t="s">
        <v>232</v>
      </c>
      <c r="I371" s="288" t="s">
        <v>461</v>
      </c>
      <c r="AB371" s="580">
        <f>HLOOKUP("*"&amp;'Output annual'!$AC$2&amp;'Output annual'!$AD$2&amp;"*Zone People Number Of Occupants [](Hourly)",'Eplus results'!$1:$1048576,ROW(),FALSE)</f>
        <v>0</v>
      </c>
      <c r="AC371" s="580">
        <f>HLOOKUP("*"&amp;'Output annual'!$AC$2&amp;'Output annual'!$AD$2&amp;"*FangerPMV(Hourly)",'Eplus results'!$1:$1048576,ROW(),FALSE)</f>
        <v>0</v>
      </c>
      <c r="AD371" s="580">
        <f t="shared" si="58"/>
        <v>5</v>
      </c>
      <c r="AE371" s="580">
        <f t="shared" si="59"/>
        <v>2.5</v>
      </c>
      <c r="AF371" s="580">
        <f t="shared" si="60"/>
        <v>2.5</v>
      </c>
      <c r="AG371" s="580">
        <f t="shared" si="61"/>
        <v>0</v>
      </c>
      <c r="AH371" s="580">
        <f t="shared" si="62"/>
        <v>0</v>
      </c>
    </row>
    <row r="372" spans="2:34" ht="15">
      <c r="B372" s="314"/>
      <c r="C372" s="61"/>
      <c r="D372" s="60" t="s">
        <v>76</v>
      </c>
      <c r="E372" s="60" t="s">
        <v>462</v>
      </c>
      <c r="F372" s="60" t="s">
        <v>463</v>
      </c>
      <c r="G372" s="60" t="s">
        <v>464</v>
      </c>
      <c r="H372" s="60" t="s">
        <v>465</v>
      </c>
      <c r="I372" s="288" t="s">
        <v>465</v>
      </c>
      <c r="AB372" s="580">
        <f>HLOOKUP("*"&amp;'Output annual'!$AC$2&amp;'Output annual'!$AD$2&amp;"*Zone People Number Of Occupants [](Hourly)",'Eplus results'!$1:$1048576,ROW(),FALSE)</f>
        <v>0</v>
      </c>
      <c r="AC372" s="580">
        <f>HLOOKUP("*"&amp;'Output annual'!$AC$2&amp;'Output annual'!$AD$2&amp;"*FangerPMV(Hourly)",'Eplus results'!$1:$1048576,ROW(),FALSE)</f>
        <v>0</v>
      </c>
      <c r="AD372" s="580">
        <f t="shared" si="58"/>
        <v>5</v>
      </c>
      <c r="AE372" s="580">
        <f t="shared" si="59"/>
        <v>2.5</v>
      </c>
      <c r="AF372" s="580">
        <f t="shared" si="60"/>
        <v>2.5</v>
      </c>
      <c r="AG372" s="580">
        <f t="shared" si="61"/>
        <v>0</v>
      </c>
      <c r="AH372" s="580">
        <f t="shared" si="62"/>
        <v>0</v>
      </c>
    </row>
    <row r="373" spans="2:34" ht="15">
      <c r="B373" s="322" t="s">
        <v>468</v>
      </c>
      <c r="C373" s="61" t="s">
        <v>473</v>
      </c>
      <c r="D373" s="323">
        <f>'Output hourly'!D11/10.36</f>
        <v>1181.3934222180367</v>
      </c>
      <c r="E373" s="323" t="e">
        <f>HLOOKUP(floor&amp;"SP"&amp;Int_zone&amp;"_CEILING1:Surface Outside Temperature[C](Hourly)",'Eplus results'!1:65536,'graph data'!D4,FALSE)</f>
        <v>#N/A</v>
      </c>
      <c r="F373" s="323" t="e">
        <f>1/((1/HLOOKUP(floor&amp;"SP"&amp;Int_zone&amp;"_CEILING1:Surface Int Convection Coeff[W/m2-K](Hourly)",'Eplus results'!1:65536,'graph data'!D4,FALSE))+(0.0406908/0.1440558)+0.36608)</f>
        <v>#N/A</v>
      </c>
      <c r="G373" s="323" t="e">
        <f>HLOOKUP(floor&amp;"SP"&amp;Int_zone&amp;":Zone/Sys Air Temperature[C](Hourly)",'Eplus results'!1:65536,'graph data'!D4,FALSE)</f>
        <v>#N/A</v>
      </c>
      <c r="H373" s="323" t="e">
        <f>(E373-G373)*D373*F373</f>
        <v>#N/A</v>
      </c>
      <c r="I373" s="325" t="e">
        <f>H373/D373</f>
        <v>#N/A</v>
      </c>
      <c r="AB373" s="580">
        <f>HLOOKUP("*"&amp;'Output annual'!$AC$2&amp;'Output annual'!$AD$2&amp;"*Zone People Number Of Occupants [](Hourly)",'Eplus results'!$1:$1048576,ROW(),FALSE)</f>
        <v>0</v>
      </c>
      <c r="AC373" s="580">
        <f>HLOOKUP("*"&amp;'Output annual'!$AC$2&amp;'Output annual'!$AD$2&amp;"*FangerPMV(Hourly)",'Eplus results'!$1:$1048576,ROW(),FALSE)</f>
        <v>0</v>
      </c>
      <c r="AD373" s="580">
        <f t="shared" si="58"/>
        <v>5</v>
      </c>
      <c r="AE373" s="580">
        <f t="shared" si="59"/>
        <v>2.5</v>
      </c>
      <c r="AF373" s="580">
        <f t="shared" si="60"/>
        <v>2.5</v>
      </c>
      <c r="AG373" s="580">
        <f t="shared" si="61"/>
        <v>0</v>
      </c>
      <c r="AH373" s="580">
        <f t="shared" si="62"/>
        <v>0</v>
      </c>
    </row>
    <row r="374" spans="2:34" ht="45">
      <c r="B374" s="322" t="s">
        <v>469</v>
      </c>
      <c r="C374" s="211" t="s">
        <v>467</v>
      </c>
      <c r="D374" s="326">
        <f>'Output hourly'!D11/10.36</f>
        <v>1181.3934222180367</v>
      </c>
      <c r="E374" s="326" t="e">
        <f>HLOOKUP(floor&amp;"SP"&amp;Int_zone&amp;"_FLOOR1:Surface Outside Temperature[C](Hourly)",'Eplus results'!1:65536,'graph data'!D4,FALSE)</f>
        <v>#N/A</v>
      </c>
      <c r="F374" s="326" t="e">
        <f>1/((1/HLOOKUP(floor&amp;"SP"&amp;Int_zone&amp;"_FLOOR1:Surface Int Convection Coeff[W/m2-K](Hourly)",'Eplus results'!1:65536,'graph data'!D4,FALSE))+IF(floor="GF", 175.22+0.6096/1.7309768+0.2032/1.801779+0.36608, 0.1016/0.3609326))</f>
        <v>#N/A</v>
      </c>
      <c r="G374" s="326" t="e">
        <f>HLOOKUP(floor&amp;"SP"&amp;Int_zone&amp;":Zone/Sys Air Temperature[C](Hourly)",'Eplus results'!1:65536,'graph data'!D4,FALSE)</f>
        <v>#N/A</v>
      </c>
      <c r="H374" s="323" t="e">
        <f>(E374-G374)*D374*F374</f>
        <v>#N/A</v>
      </c>
      <c r="I374" s="325" t="e">
        <f>H374/D374</f>
        <v>#N/A</v>
      </c>
      <c r="AB374" s="580">
        <f>HLOOKUP("*"&amp;'Output annual'!$AC$2&amp;'Output annual'!$AD$2&amp;"*Zone People Number Of Occupants [](Hourly)",'Eplus results'!$1:$1048576,ROW(),FALSE)</f>
        <v>0</v>
      </c>
      <c r="AC374" s="580">
        <f>HLOOKUP("*"&amp;'Output annual'!$AC$2&amp;'Output annual'!$AD$2&amp;"*FangerPMV(Hourly)",'Eplus results'!$1:$1048576,ROW(),FALSE)</f>
        <v>0</v>
      </c>
      <c r="AD374" s="580">
        <f t="shared" si="58"/>
        <v>5</v>
      </c>
      <c r="AE374" s="580">
        <f t="shared" si="59"/>
        <v>2.5</v>
      </c>
      <c r="AF374" s="580">
        <f t="shared" si="60"/>
        <v>2.5</v>
      </c>
      <c r="AG374" s="580">
        <f t="shared" si="61"/>
        <v>0</v>
      </c>
      <c r="AH374" s="580">
        <f t="shared" si="62"/>
        <v>0</v>
      </c>
    </row>
    <row r="375" spans="2:34" ht="15">
      <c r="B375" s="322" t="s">
        <v>470</v>
      </c>
      <c r="C375" s="61" t="s">
        <v>471</v>
      </c>
      <c r="D375" s="323">
        <f>'Output hourly'!D11/10.36</f>
        <v>1181.3934222180367</v>
      </c>
      <c r="E375" s="323" t="e">
        <f>HLOOKUP(floor&amp;"RP"&amp;Int_zone&amp;"_CEILING1:Surface Outside Temperature[C](Hourly)",'Eplus results'!1:65536,'graph data'!D4,FALSE)</f>
        <v>#N/A</v>
      </c>
      <c r="F375" s="323" t="e">
        <f>1/((1/HLOOKUP(floor&amp;"RP"&amp;Int_zone&amp;"_CEILING1:Surface Int Convection Coeff[W/m2-K](Hourly)",'Eplus results'!1:65536,'graph data'!D4,FALSE))+IF(floor="TF", 0.009525/0.162946+0.1016/0.3609326+2.727+0.16192+0.0127/0.056959, 0.1016/0.3609326))</f>
        <v>#N/A</v>
      </c>
      <c r="G375" s="323" t="e">
        <f>HLOOKUP(floor&amp;"RP"&amp;Int_zone&amp;":Zone/Sys Air Temperature[C](Hourly)",'Eplus results'!1:65536,'graph data'!D4,FALSE)</f>
        <v>#N/A</v>
      </c>
      <c r="H375" s="324" t="e">
        <f>(E375-G375)*D375*F375</f>
        <v>#N/A</v>
      </c>
      <c r="I375" s="325" t="e">
        <f>H375/D375</f>
        <v>#N/A</v>
      </c>
      <c r="AB375" s="580">
        <f>HLOOKUP("*"&amp;'Output annual'!$AC$2&amp;'Output annual'!$AD$2&amp;"*Zone People Number Of Occupants [](Hourly)",'Eplus results'!$1:$1048576,ROW(),FALSE)</f>
        <v>0</v>
      </c>
      <c r="AC375" s="580">
        <f>HLOOKUP("*"&amp;'Output annual'!$AC$2&amp;'Output annual'!$AD$2&amp;"*FangerPMV(Hourly)",'Eplus results'!$1:$1048576,ROW(),FALSE)</f>
        <v>0</v>
      </c>
      <c r="AD375" s="580">
        <f t="shared" si="58"/>
        <v>5</v>
      </c>
      <c r="AE375" s="580">
        <f t="shared" si="59"/>
        <v>2.5</v>
      </c>
      <c r="AF375" s="580">
        <f t="shared" si="60"/>
        <v>2.5</v>
      </c>
      <c r="AG375" s="580">
        <f t="shared" si="61"/>
        <v>0</v>
      </c>
      <c r="AH375" s="580">
        <f t="shared" si="62"/>
        <v>0</v>
      </c>
    </row>
    <row r="376" spans="2:34" ht="30">
      <c r="B376" s="328" t="s">
        <v>469</v>
      </c>
      <c r="C376" s="216" t="s">
        <v>472</v>
      </c>
      <c r="D376" s="329">
        <f>'Output hourly'!D11/10.36</f>
        <v>1181.3934222180367</v>
      </c>
      <c r="E376" s="329" t="e">
        <f>HLOOKUP(floor&amp;"RP"&amp;Int_zone&amp;"_FLOOR1:Surface Outside Temperature[C](Hourly)",'Eplus results'!1:65536,'graph data'!D4,FALSE)</f>
        <v>#N/A</v>
      </c>
      <c r="F376" s="329" t="e">
        <f>1/((1/HLOOKUP(floor&amp;"RP"&amp;Int_zone&amp;"_FLOOR1:Surface Int Convection Coeff[W/m2-K](Hourly)",'Eplus results'!1:65536,'graph data'!D4,FALSE))+(0.0127/0.056959))</f>
        <v>#N/A</v>
      </c>
      <c r="G376" s="329" t="e">
        <f>HLOOKUP(floor&amp;"RP"&amp;Int_zone&amp;":Zone/Sys Air Temperature[C](Hourly)",'Eplus results'!1:65536,'graph data'!D4,FALSE)</f>
        <v>#N/A</v>
      </c>
      <c r="H376" s="330" t="e">
        <f>(E376-G376)*D376*F376</f>
        <v>#N/A</v>
      </c>
      <c r="I376" s="331" t="e">
        <f>H376/D376</f>
        <v>#N/A</v>
      </c>
      <c r="AB376" s="580">
        <f>HLOOKUP("*"&amp;'Output annual'!$AC$2&amp;'Output annual'!$AD$2&amp;"*Zone People Number Of Occupants [](Hourly)",'Eplus results'!$1:$1048576,ROW(),FALSE)</f>
        <v>0</v>
      </c>
      <c r="AC376" s="580">
        <f>HLOOKUP("*"&amp;'Output annual'!$AC$2&amp;'Output annual'!$AD$2&amp;"*FangerPMV(Hourly)",'Eplus results'!$1:$1048576,ROW(),FALSE)</f>
        <v>0</v>
      </c>
      <c r="AD376" s="580">
        <f t="shared" si="58"/>
        <v>5</v>
      </c>
      <c r="AE376" s="580">
        <f t="shared" si="59"/>
        <v>2.5</v>
      </c>
      <c r="AF376" s="580">
        <f t="shared" si="60"/>
        <v>2.5</v>
      </c>
      <c r="AG376" s="580">
        <f t="shared" si="61"/>
        <v>0</v>
      </c>
      <c r="AH376" s="580">
        <f t="shared" si="62"/>
        <v>0</v>
      </c>
    </row>
    <row r="377" spans="2:34">
      <c r="AB377" s="580">
        <f>HLOOKUP("*"&amp;'Output annual'!$AC$2&amp;'Output annual'!$AD$2&amp;"*Zone People Number Of Occupants [](Hourly)",'Eplus results'!$1:$1048576,ROW(),FALSE)</f>
        <v>0</v>
      </c>
      <c r="AC377" s="580">
        <f>HLOOKUP("*"&amp;'Output annual'!$AC$2&amp;'Output annual'!$AD$2&amp;"*FangerPMV(Hourly)",'Eplus results'!$1:$1048576,ROW(),FALSE)</f>
        <v>0</v>
      </c>
      <c r="AD377" s="580">
        <f t="shared" si="58"/>
        <v>5</v>
      </c>
      <c r="AE377" s="580">
        <f t="shared" si="59"/>
        <v>2.5</v>
      </c>
      <c r="AF377" s="580">
        <f t="shared" si="60"/>
        <v>2.5</v>
      </c>
      <c r="AG377" s="580">
        <f t="shared" si="61"/>
        <v>0</v>
      </c>
      <c r="AH377" s="580">
        <f t="shared" si="62"/>
        <v>0</v>
      </c>
    </row>
    <row r="378" spans="2:34">
      <c r="AB378" s="580">
        <f>HLOOKUP("*"&amp;'Output annual'!$AC$2&amp;'Output annual'!$AD$2&amp;"*Zone People Number Of Occupants [](Hourly)",'Eplus results'!$1:$1048576,ROW(),FALSE)</f>
        <v>0</v>
      </c>
      <c r="AC378" s="580">
        <f>HLOOKUP("*"&amp;'Output annual'!$AC$2&amp;'Output annual'!$AD$2&amp;"*FangerPMV(Hourly)",'Eplus results'!$1:$1048576,ROW(),FALSE)</f>
        <v>0</v>
      </c>
      <c r="AD378" s="580">
        <f t="shared" si="58"/>
        <v>5</v>
      </c>
      <c r="AE378" s="580">
        <f t="shared" si="59"/>
        <v>2.5</v>
      </c>
      <c r="AF378" s="580">
        <f t="shared" si="60"/>
        <v>2.5</v>
      </c>
      <c r="AG378" s="580">
        <f t="shared" si="61"/>
        <v>0</v>
      </c>
      <c r="AH378" s="580">
        <f t="shared" si="62"/>
        <v>0</v>
      </c>
    </row>
    <row r="379" spans="2:34">
      <c r="AB379" s="580">
        <f>HLOOKUP("*"&amp;'Output annual'!$AC$2&amp;'Output annual'!$AD$2&amp;"*Zone People Number Of Occupants [](Hourly)",'Eplus results'!$1:$1048576,ROW(),FALSE)</f>
        <v>0</v>
      </c>
      <c r="AC379" s="580">
        <f>HLOOKUP("*"&amp;'Output annual'!$AC$2&amp;'Output annual'!$AD$2&amp;"*FangerPMV(Hourly)",'Eplus results'!$1:$1048576,ROW(),FALSE)</f>
        <v>0</v>
      </c>
      <c r="AD379" s="580">
        <f t="shared" si="58"/>
        <v>5</v>
      </c>
      <c r="AE379" s="580">
        <f t="shared" si="59"/>
        <v>2.5</v>
      </c>
      <c r="AF379" s="580">
        <f t="shared" si="60"/>
        <v>2.5</v>
      </c>
      <c r="AG379" s="580">
        <f t="shared" si="61"/>
        <v>0</v>
      </c>
      <c r="AH379" s="580">
        <f t="shared" si="62"/>
        <v>0</v>
      </c>
    </row>
    <row r="380" spans="2:34">
      <c r="B380" s="54" t="s">
        <v>70</v>
      </c>
      <c r="C380" s="54" t="s">
        <v>71</v>
      </c>
      <c r="AB380" s="580">
        <f>HLOOKUP("*"&amp;'Output annual'!$AC$2&amp;'Output annual'!$AD$2&amp;"*Zone People Number Of Occupants [](Hourly)",'Eplus results'!$1:$1048576,ROW(),FALSE)</f>
        <v>0</v>
      </c>
      <c r="AC380" s="580">
        <f>HLOOKUP("*"&amp;'Output annual'!$AC$2&amp;'Output annual'!$AD$2&amp;"*FangerPMV(Hourly)",'Eplus results'!$1:$1048576,ROW(),FALSE)</f>
        <v>0</v>
      </c>
      <c r="AD380" s="580">
        <f t="shared" si="58"/>
        <v>5</v>
      </c>
      <c r="AE380" s="580">
        <f t="shared" si="59"/>
        <v>2.5</v>
      </c>
      <c r="AF380" s="580">
        <f t="shared" si="60"/>
        <v>2.5</v>
      </c>
      <c r="AG380" s="580">
        <f t="shared" si="61"/>
        <v>0</v>
      </c>
      <c r="AH380" s="580">
        <f t="shared" si="62"/>
        <v>0</v>
      </c>
    </row>
    <row r="381" spans="2:34">
      <c r="B381" s="54">
        <v>0</v>
      </c>
      <c r="C381" s="54">
        <v>0</v>
      </c>
      <c r="AB381" s="580">
        <f>HLOOKUP("*"&amp;'Output annual'!$AC$2&amp;'Output annual'!$AD$2&amp;"*Zone People Number Of Occupants [](Hourly)",'Eplus results'!$1:$1048576,ROW(),FALSE)</f>
        <v>0</v>
      </c>
      <c r="AC381" s="580">
        <f>HLOOKUP("*"&amp;'Output annual'!$AC$2&amp;'Output annual'!$AD$2&amp;"*FangerPMV(Hourly)",'Eplus results'!$1:$1048576,ROW(),FALSE)</f>
        <v>0</v>
      </c>
      <c r="AD381" s="580">
        <f t="shared" si="58"/>
        <v>5</v>
      </c>
      <c r="AE381" s="580">
        <f t="shared" si="59"/>
        <v>2.5</v>
      </c>
      <c r="AF381" s="580">
        <f t="shared" si="60"/>
        <v>2.5</v>
      </c>
      <c r="AG381" s="580">
        <f t="shared" si="61"/>
        <v>0</v>
      </c>
      <c r="AH381" s="580">
        <f t="shared" si="62"/>
        <v>0</v>
      </c>
    </row>
    <row r="382" spans="2:34">
      <c r="B382" s="54">
        <v>1</v>
      </c>
      <c r="C382" s="54">
        <v>31</v>
      </c>
      <c r="AB382" s="580">
        <f>HLOOKUP("*"&amp;'Output annual'!$AC$2&amp;'Output annual'!$AD$2&amp;"*Zone People Number Of Occupants [](Hourly)",'Eplus results'!$1:$1048576,ROW(),FALSE)</f>
        <v>0</v>
      </c>
      <c r="AC382" s="580">
        <f>HLOOKUP("*"&amp;'Output annual'!$AC$2&amp;'Output annual'!$AD$2&amp;"*FangerPMV(Hourly)",'Eplus results'!$1:$1048576,ROW(),FALSE)</f>
        <v>0</v>
      </c>
      <c r="AD382" s="580">
        <f t="shared" si="58"/>
        <v>5</v>
      </c>
      <c r="AE382" s="580">
        <f t="shared" si="59"/>
        <v>2.5</v>
      </c>
      <c r="AF382" s="580">
        <f t="shared" si="60"/>
        <v>2.5</v>
      </c>
      <c r="AG382" s="580">
        <f t="shared" si="61"/>
        <v>0</v>
      </c>
      <c r="AH382" s="580">
        <f t="shared" si="62"/>
        <v>0</v>
      </c>
    </row>
    <row r="383" spans="2:34">
      <c r="B383" s="54">
        <v>2</v>
      </c>
      <c r="C383" s="54">
        <v>59</v>
      </c>
      <c r="AB383" s="580">
        <f>HLOOKUP("*"&amp;'Output annual'!$AC$2&amp;'Output annual'!$AD$2&amp;"*Zone People Number Of Occupants [](Hourly)",'Eplus results'!$1:$1048576,ROW(),FALSE)</f>
        <v>0</v>
      </c>
      <c r="AC383" s="580">
        <f>HLOOKUP("*"&amp;'Output annual'!$AC$2&amp;'Output annual'!$AD$2&amp;"*FangerPMV(Hourly)",'Eplus results'!$1:$1048576,ROW(),FALSE)</f>
        <v>0</v>
      </c>
      <c r="AD383" s="580">
        <f t="shared" si="58"/>
        <v>5</v>
      </c>
      <c r="AE383" s="580">
        <f t="shared" si="59"/>
        <v>2.5</v>
      </c>
      <c r="AF383" s="580">
        <f t="shared" si="60"/>
        <v>2.5</v>
      </c>
      <c r="AG383" s="580">
        <f t="shared" si="61"/>
        <v>0</v>
      </c>
      <c r="AH383" s="580">
        <f t="shared" si="62"/>
        <v>0</v>
      </c>
    </row>
    <row r="384" spans="2:34">
      <c r="B384" s="54">
        <v>3</v>
      </c>
      <c r="C384" s="54">
        <v>90</v>
      </c>
      <c r="AB384" s="580">
        <f>HLOOKUP("*"&amp;'Output annual'!$AC$2&amp;'Output annual'!$AD$2&amp;"*Zone People Number Of Occupants [](Hourly)",'Eplus results'!$1:$1048576,ROW(),FALSE)</f>
        <v>0</v>
      </c>
      <c r="AC384" s="580">
        <f>HLOOKUP("*"&amp;'Output annual'!$AC$2&amp;'Output annual'!$AD$2&amp;"*FangerPMV(Hourly)",'Eplus results'!$1:$1048576,ROW(),FALSE)</f>
        <v>0</v>
      </c>
      <c r="AD384" s="580">
        <f t="shared" si="58"/>
        <v>5</v>
      </c>
      <c r="AE384" s="580">
        <f t="shared" si="59"/>
        <v>2.5</v>
      </c>
      <c r="AF384" s="580">
        <f t="shared" si="60"/>
        <v>2.5</v>
      </c>
      <c r="AG384" s="580">
        <f t="shared" si="61"/>
        <v>0</v>
      </c>
      <c r="AH384" s="580">
        <f t="shared" si="62"/>
        <v>0</v>
      </c>
    </row>
    <row r="385" spans="2:34">
      <c r="B385" s="54">
        <v>4</v>
      </c>
      <c r="C385" s="54">
        <v>120</v>
      </c>
      <c r="AB385" s="580">
        <f>HLOOKUP("*"&amp;'Output annual'!$AC$2&amp;'Output annual'!$AD$2&amp;"*Zone People Number Of Occupants [](Hourly)",'Eplus results'!$1:$1048576,ROW(),FALSE)</f>
        <v>0</v>
      </c>
      <c r="AC385" s="580">
        <f>HLOOKUP("*"&amp;'Output annual'!$AC$2&amp;'Output annual'!$AD$2&amp;"*FangerPMV(Hourly)",'Eplus results'!$1:$1048576,ROW(),FALSE)</f>
        <v>0</v>
      </c>
      <c r="AD385" s="580">
        <f t="shared" si="58"/>
        <v>5</v>
      </c>
      <c r="AE385" s="580">
        <f t="shared" si="59"/>
        <v>2.5</v>
      </c>
      <c r="AF385" s="580">
        <f t="shared" si="60"/>
        <v>2.5</v>
      </c>
      <c r="AG385" s="580">
        <f t="shared" si="61"/>
        <v>0</v>
      </c>
      <c r="AH385" s="580">
        <f t="shared" si="62"/>
        <v>0</v>
      </c>
    </row>
    <row r="386" spans="2:34">
      <c r="B386" s="54">
        <v>5</v>
      </c>
      <c r="C386" s="54">
        <v>151</v>
      </c>
      <c r="AB386" s="580">
        <f>HLOOKUP("*"&amp;'Output annual'!$AC$2&amp;'Output annual'!$AD$2&amp;"*Zone People Number Of Occupants [](Hourly)",'Eplus results'!$1:$1048576,ROW(),FALSE)</f>
        <v>0</v>
      </c>
      <c r="AC386" s="580">
        <f>HLOOKUP("*"&amp;'Output annual'!$AC$2&amp;'Output annual'!$AD$2&amp;"*FangerPMV(Hourly)",'Eplus results'!$1:$1048576,ROW(),FALSE)</f>
        <v>0</v>
      </c>
      <c r="AD386" s="580">
        <f t="shared" si="58"/>
        <v>5</v>
      </c>
      <c r="AE386" s="580">
        <f t="shared" si="59"/>
        <v>2.5</v>
      </c>
      <c r="AF386" s="580">
        <f t="shared" si="60"/>
        <v>2.5</v>
      </c>
      <c r="AG386" s="580">
        <f t="shared" si="61"/>
        <v>0</v>
      </c>
      <c r="AH386" s="580">
        <f t="shared" si="62"/>
        <v>0</v>
      </c>
    </row>
    <row r="387" spans="2:34">
      <c r="B387" s="54">
        <v>6</v>
      </c>
      <c r="C387" s="54">
        <v>181</v>
      </c>
      <c r="AB387" s="580">
        <f>HLOOKUP("*"&amp;'Output annual'!$AC$2&amp;'Output annual'!$AD$2&amp;"*Zone People Number Of Occupants [](Hourly)",'Eplus results'!$1:$1048576,ROW(),FALSE)</f>
        <v>0</v>
      </c>
      <c r="AC387" s="580">
        <f>HLOOKUP("*"&amp;'Output annual'!$AC$2&amp;'Output annual'!$AD$2&amp;"*FangerPMV(Hourly)",'Eplus results'!$1:$1048576,ROW(),FALSE)</f>
        <v>0</v>
      </c>
      <c r="AD387" s="580">
        <f t="shared" ref="AD387:AD450" si="65">100-95*EXP(-0.03353*AC387^4-0.2179*AC387^2)</f>
        <v>5</v>
      </c>
      <c r="AE387" s="580">
        <f t="shared" ref="AE387:AE450" si="66">AD387*(1/(1+EXP(-6.3*$AC387)))</f>
        <v>2.5</v>
      </c>
      <c r="AF387" s="580">
        <f t="shared" ref="AF387:AF450" si="67">(AD387-AE387)</f>
        <v>2.5</v>
      </c>
      <c r="AG387" s="580">
        <f t="shared" ref="AG387:AG450" si="68">AE387*AB387</f>
        <v>0</v>
      </c>
      <c r="AH387" s="580">
        <f t="shared" ref="AH387:AH450" si="69">AF387*AB387</f>
        <v>0</v>
      </c>
    </row>
    <row r="388" spans="2:34">
      <c r="B388" s="54">
        <v>7</v>
      </c>
      <c r="C388" s="54">
        <v>212</v>
      </c>
      <c r="AB388" s="580">
        <f>HLOOKUP("*"&amp;'Output annual'!$AC$2&amp;'Output annual'!$AD$2&amp;"*Zone People Number Of Occupants [](Hourly)",'Eplus results'!$1:$1048576,ROW(),FALSE)</f>
        <v>0</v>
      </c>
      <c r="AC388" s="580">
        <f>HLOOKUP("*"&amp;'Output annual'!$AC$2&amp;'Output annual'!$AD$2&amp;"*FangerPMV(Hourly)",'Eplus results'!$1:$1048576,ROW(),FALSE)</f>
        <v>0</v>
      </c>
      <c r="AD388" s="580">
        <f t="shared" si="65"/>
        <v>5</v>
      </c>
      <c r="AE388" s="580">
        <f t="shared" si="66"/>
        <v>2.5</v>
      </c>
      <c r="AF388" s="580">
        <f t="shared" si="67"/>
        <v>2.5</v>
      </c>
      <c r="AG388" s="580">
        <f t="shared" si="68"/>
        <v>0</v>
      </c>
      <c r="AH388" s="580">
        <f t="shared" si="69"/>
        <v>0</v>
      </c>
    </row>
    <row r="389" spans="2:34">
      <c r="B389" s="54">
        <v>8</v>
      </c>
      <c r="C389" s="54">
        <v>243</v>
      </c>
      <c r="AB389" s="580">
        <f>HLOOKUP("*"&amp;'Output annual'!$AC$2&amp;'Output annual'!$AD$2&amp;"*Zone People Number Of Occupants [](Hourly)",'Eplus results'!$1:$1048576,ROW(),FALSE)</f>
        <v>0</v>
      </c>
      <c r="AC389" s="580">
        <f>HLOOKUP("*"&amp;'Output annual'!$AC$2&amp;'Output annual'!$AD$2&amp;"*FangerPMV(Hourly)",'Eplus results'!$1:$1048576,ROW(),FALSE)</f>
        <v>0</v>
      </c>
      <c r="AD389" s="580">
        <f t="shared" si="65"/>
        <v>5</v>
      </c>
      <c r="AE389" s="580">
        <f t="shared" si="66"/>
        <v>2.5</v>
      </c>
      <c r="AF389" s="580">
        <f t="shared" si="67"/>
        <v>2.5</v>
      </c>
      <c r="AG389" s="580">
        <f t="shared" si="68"/>
        <v>0</v>
      </c>
      <c r="AH389" s="580">
        <f t="shared" si="69"/>
        <v>0</v>
      </c>
    </row>
    <row r="390" spans="2:34">
      <c r="B390" s="54">
        <v>9</v>
      </c>
      <c r="C390" s="54">
        <v>273</v>
      </c>
      <c r="AB390" s="580">
        <f>HLOOKUP("*"&amp;'Output annual'!$AC$2&amp;'Output annual'!$AD$2&amp;"*Zone People Number Of Occupants [](Hourly)",'Eplus results'!$1:$1048576,ROW(),FALSE)</f>
        <v>0</v>
      </c>
      <c r="AC390" s="580">
        <f>HLOOKUP("*"&amp;'Output annual'!$AC$2&amp;'Output annual'!$AD$2&amp;"*FangerPMV(Hourly)",'Eplus results'!$1:$1048576,ROW(),FALSE)</f>
        <v>0</v>
      </c>
      <c r="AD390" s="580">
        <f t="shared" si="65"/>
        <v>5</v>
      </c>
      <c r="AE390" s="580">
        <f t="shared" si="66"/>
        <v>2.5</v>
      </c>
      <c r="AF390" s="580">
        <f t="shared" si="67"/>
        <v>2.5</v>
      </c>
      <c r="AG390" s="580">
        <f t="shared" si="68"/>
        <v>0</v>
      </c>
      <c r="AH390" s="580">
        <f t="shared" si="69"/>
        <v>0</v>
      </c>
    </row>
    <row r="391" spans="2:34">
      <c r="B391" s="54">
        <v>10</v>
      </c>
      <c r="C391" s="54">
        <v>304</v>
      </c>
      <c r="AB391" s="580">
        <f>HLOOKUP("*"&amp;'Output annual'!$AC$2&amp;'Output annual'!$AD$2&amp;"*Zone People Number Of Occupants [](Hourly)",'Eplus results'!$1:$1048576,ROW(),FALSE)</f>
        <v>0</v>
      </c>
      <c r="AC391" s="580">
        <f>HLOOKUP("*"&amp;'Output annual'!$AC$2&amp;'Output annual'!$AD$2&amp;"*FangerPMV(Hourly)",'Eplus results'!$1:$1048576,ROW(),FALSE)</f>
        <v>0</v>
      </c>
      <c r="AD391" s="580">
        <f t="shared" si="65"/>
        <v>5</v>
      </c>
      <c r="AE391" s="580">
        <f t="shared" si="66"/>
        <v>2.5</v>
      </c>
      <c r="AF391" s="580">
        <f t="shared" si="67"/>
        <v>2.5</v>
      </c>
      <c r="AG391" s="580">
        <f t="shared" si="68"/>
        <v>0</v>
      </c>
      <c r="AH391" s="580">
        <f t="shared" si="69"/>
        <v>0</v>
      </c>
    </row>
    <row r="392" spans="2:34">
      <c r="B392" s="54">
        <v>11</v>
      </c>
      <c r="C392" s="54">
        <v>334</v>
      </c>
      <c r="AB392" s="580">
        <f>HLOOKUP("*"&amp;'Output annual'!$AC$2&amp;'Output annual'!$AD$2&amp;"*Zone People Number Of Occupants [](Hourly)",'Eplus results'!$1:$1048576,ROW(),FALSE)</f>
        <v>0</v>
      </c>
      <c r="AC392" s="580">
        <f>HLOOKUP("*"&amp;'Output annual'!$AC$2&amp;'Output annual'!$AD$2&amp;"*FangerPMV(Hourly)",'Eplus results'!$1:$1048576,ROW(),FALSE)</f>
        <v>0</v>
      </c>
      <c r="AD392" s="580">
        <f t="shared" si="65"/>
        <v>5</v>
      </c>
      <c r="AE392" s="580">
        <f t="shared" si="66"/>
        <v>2.5</v>
      </c>
      <c r="AF392" s="580">
        <f t="shared" si="67"/>
        <v>2.5</v>
      </c>
      <c r="AG392" s="580">
        <f t="shared" si="68"/>
        <v>0</v>
      </c>
      <c r="AH392" s="580">
        <f t="shared" si="69"/>
        <v>0</v>
      </c>
    </row>
    <row r="393" spans="2:34">
      <c r="B393" s="54">
        <v>12</v>
      </c>
      <c r="C393" s="54">
        <v>365</v>
      </c>
      <c r="AB393" s="580">
        <f>HLOOKUP("*"&amp;'Output annual'!$AC$2&amp;'Output annual'!$AD$2&amp;"*Zone People Number Of Occupants [](Hourly)",'Eplus results'!$1:$1048576,ROW(),FALSE)</f>
        <v>0</v>
      </c>
      <c r="AC393" s="580">
        <f>HLOOKUP("*"&amp;'Output annual'!$AC$2&amp;'Output annual'!$AD$2&amp;"*FangerPMV(Hourly)",'Eplus results'!$1:$1048576,ROW(),FALSE)</f>
        <v>0</v>
      </c>
      <c r="AD393" s="580">
        <f t="shared" si="65"/>
        <v>5</v>
      </c>
      <c r="AE393" s="580">
        <f t="shared" si="66"/>
        <v>2.5</v>
      </c>
      <c r="AF393" s="580">
        <f t="shared" si="67"/>
        <v>2.5</v>
      </c>
      <c r="AG393" s="580">
        <f t="shared" si="68"/>
        <v>0</v>
      </c>
      <c r="AH393" s="580">
        <f t="shared" si="69"/>
        <v>0</v>
      </c>
    </row>
    <row r="394" spans="2:34">
      <c r="AB394" s="580">
        <f>HLOOKUP("*"&amp;'Output annual'!$AC$2&amp;'Output annual'!$AD$2&amp;"*Zone People Number Of Occupants [](Hourly)",'Eplus results'!$1:$1048576,ROW(),FALSE)</f>
        <v>0</v>
      </c>
      <c r="AC394" s="580">
        <f>HLOOKUP("*"&amp;'Output annual'!$AC$2&amp;'Output annual'!$AD$2&amp;"*FangerPMV(Hourly)",'Eplus results'!$1:$1048576,ROW(),FALSE)</f>
        <v>0</v>
      </c>
      <c r="AD394" s="580">
        <f t="shared" si="65"/>
        <v>5</v>
      </c>
      <c r="AE394" s="580">
        <f t="shared" si="66"/>
        <v>2.5</v>
      </c>
      <c r="AF394" s="580">
        <f t="shared" si="67"/>
        <v>2.5</v>
      </c>
      <c r="AG394" s="580">
        <f t="shared" si="68"/>
        <v>0</v>
      </c>
      <c r="AH394" s="580">
        <f t="shared" si="69"/>
        <v>0</v>
      </c>
    </row>
    <row r="395" spans="2:34">
      <c r="AB395" s="580">
        <f>HLOOKUP("*"&amp;'Output annual'!$AC$2&amp;'Output annual'!$AD$2&amp;"*Zone People Number Of Occupants [](Hourly)",'Eplus results'!$1:$1048576,ROW(),FALSE)</f>
        <v>0</v>
      </c>
      <c r="AC395" s="580">
        <f>HLOOKUP("*"&amp;'Output annual'!$AC$2&amp;'Output annual'!$AD$2&amp;"*FangerPMV(Hourly)",'Eplus results'!$1:$1048576,ROW(),FALSE)</f>
        <v>0</v>
      </c>
      <c r="AD395" s="580">
        <f t="shared" si="65"/>
        <v>5</v>
      </c>
      <c r="AE395" s="580">
        <f t="shared" si="66"/>
        <v>2.5</v>
      </c>
      <c r="AF395" s="580">
        <f t="shared" si="67"/>
        <v>2.5</v>
      </c>
      <c r="AG395" s="580">
        <f t="shared" si="68"/>
        <v>0</v>
      </c>
      <c r="AH395" s="580">
        <f t="shared" si="69"/>
        <v>0</v>
      </c>
    </row>
    <row r="396" spans="2:34">
      <c r="B396" s="51"/>
      <c r="C396" s="52"/>
      <c r="D396" s="52" t="s">
        <v>70</v>
      </c>
      <c r="E396" s="339" t="s">
        <v>71</v>
      </c>
      <c r="AB396" s="580">
        <f>HLOOKUP("*"&amp;'Output annual'!$AC$2&amp;'Output annual'!$AD$2&amp;"*Zone People Number Of Occupants [](Hourly)",'Eplus results'!$1:$1048576,ROW(),FALSE)</f>
        <v>0</v>
      </c>
      <c r="AC396" s="580">
        <f>HLOOKUP("*"&amp;'Output annual'!$AC$2&amp;'Output annual'!$AD$2&amp;"*FangerPMV(Hourly)",'Eplus results'!$1:$1048576,ROW(),FALSE)</f>
        <v>0</v>
      </c>
      <c r="AD396" s="580">
        <f t="shared" si="65"/>
        <v>5</v>
      </c>
      <c r="AE396" s="580">
        <f t="shared" si="66"/>
        <v>2.5</v>
      </c>
      <c r="AF396" s="580">
        <f t="shared" si="67"/>
        <v>2.5</v>
      </c>
      <c r="AG396" s="580">
        <f t="shared" si="68"/>
        <v>0</v>
      </c>
      <c r="AH396" s="580">
        <f t="shared" si="69"/>
        <v>0</v>
      </c>
    </row>
    <row r="397" spans="2:34">
      <c r="B397" s="340" t="s">
        <v>70</v>
      </c>
      <c r="C397" s="229" t="s">
        <v>483</v>
      </c>
      <c r="D397" s="54">
        <v>0</v>
      </c>
      <c r="E397" s="224">
        <v>0</v>
      </c>
      <c r="AB397" s="580">
        <f>HLOOKUP("*"&amp;'Output annual'!$AC$2&amp;'Output annual'!$AD$2&amp;"*Zone People Number Of Occupants [](Hourly)",'Eplus results'!$1:$1048576,ROW(),FALSE)</f>
        <v>0</v>
      </c>
      <c r="AC397" s="580">
        <f>HLOOKUP("*"&amp;'Output annual'!$AC$2&amp;'Output annual'!$AD$2&amp;"*FangerPMV(Hourly)",'Eplus results'!$1:$1048576,ROW(),FALSE)</f>
        <v>0</v>
      </c>
      <c r="AD397" s="580">
        <f t="shared" si="65"/>
        <v>5</v>
      </c>
      <c r="AE397" s="580">
        <f t="shared" si="66"/>
        <v>2.5</v>
      </c>
      <c r="AF397" s="580">
        <f t="shared" si="67"/>
        <v>2.5</v>
      </c>
      <c r="AG397" s="580">
        <f t="shared" si="68"/>
        <v>0</v>
      </c>
      <c r="AH397" s="580">
        <f t="shared" si="69"/>
        <v>0</v>
      </c>
    </row>
    <row r="398" spans="2:34">
      <c r="B398" s="221">
        <v>1</v>
      </c>
      <c r="C398" s="54">
        <v>23.265471292019239</v>
      </c>
      <c r="D398" s="54">
        <v>1</v>
      </c>
      <c r="E398" s="224">
        <v>31</v>
      </c>
      <c r="AB398" s="580">
        <f>HLOOKUP("*"&amp;'Output annual'!$AC$2&amp;'Output annual'!$AD$2&amp;"*Zone People Number Of Occupants [](Hourly)",'Eplus results'!$1:$1048576,ROW(),FALSE)</f>
        <v>0</v>
      </c>
      <c r="AC398" s="580">
        <f>HLOOKUP("*"&amp;'Output annual'!$AC$2&amp;'Output annual'!$AD$2&amp;"*FangerPMV(Hourly)",'Eplus results'!$1:$1048576,ROW(),FALSE)</f>
        <v>0</v>
      </c>
      <c r="AD398" s="580">
        <f t="shared" si="65"/>
        <v>5</v>
      </c>
      <c r="AE398" s="580">
        <f t="shared" si="66"/>
        <v>2.5</v>
      </c>
      <c r="AF398" s="580">
        <f t="shared" si="67"/>
        <v>2.5</v>
      </c>
      <c r="AG398" s="580">
        <f t="shared" si="68"/>
        <v>0</v>
      </c>
      <c r="AH398" s="580">
        <f t="shared" si="69"/>
        <v>0</v>
      </c>
    </row>
    <row r="399" spans="2:34">
      <c r="B399" s="221">
        <v>2</v>
      </c>
      <c r="C399" s="54">
        <v>23.866880555242826</v>
      </c>
      <c r="D399" s="54">
        <v>2</v>
      </c>
      <c r="E399" s="224">
        <v>59</v>
      </c>
      <c r="AB399" s="580">
        <f>HLOOKUP("*"&amp;'Output annual'!$AC$2&amp;'Output annual'!$AD$2&amp;"*Zone People Number Of Occupants [](Hourly)",'Eplus results'!$1:$1048576,ROW(),FALSE)</f>
        <v>0</v>
      </c>
      <c r="AC399" s="580">
        <f>HLOOKUP("*"&amp;'Output annual'!$AC$2&amp;'Output annual'!$AD$2&amp;"*FangerPMV(Hourly)",'Eplus results'!$1:$1048576,ROW(),FALSE)</f>
        <v>0</v>
      </c>
      <c r="AD399" s="580">
        <f t="shared" si="65"/>
        <v>5</v>
      </c>
      <c r="AE399" s="580">
        <f t="shared" si="66"/>
        <v>2.5</v>
      </c>
      <c r="AF399" s="580">
        <f t="shared" si="67"/>
        <v>2.5</v>
      </c>
      <c r="AG399" s="580">
        <f t="shared" si="68"/>
        <v>0</v>
      </c>
      <c r="AH399" s="580">
        <f t="shared" si="69"/>
        <v>0</v>
      </c>
    </row>
    <row r="400" spans="2:34">
      <c r="B400" s="221">
        <v>3</v>
      </c>
      <c r="C400" s="54">
        <v>24.201371233629231</v>
      </c>
      <c r="D400" s="54">
        <v>3</v>
      </c>
      <c r="E400" s="224">
        <v>90</v>
      </c>
      <c r="AB400" s="580">
        <f>HLOOKUP("*"&amp;'Output annual'!$AC$2&amp;'Output annual'!$AD$2&amp;"*Zone People Number Of Occupants [](Hourly)",'Eplus results'!$1:$1048576,ROW(),FALSE)</f>
        <v>0</v>
      </c>
      <c r="AC400" s="580">
        <f>HLOOKUP("*"&amp;'Output annual'!$AC$2&amp;'Output annual'!$AD$2&amp;"*FangerPMV(Hourly)",'Eplus results'!$1:$1048576,ROW(),FALSE)</f>
        <v>0</v>
      </c>
      <c r="AD400" s="580">
        <f t="shared" si="65"/>
        <v>5</v>
      </c>
      <c r="AE400" s="580">
        <f t="shared" si="66"/>
        <v>2.5</v>
      </c>
      <c r="AF400" s="580">
        <f t="shared" si="67"/>
        <v>2.5</v>
      </c>
      <c r="AG400" s="580">
        <f t="shared" si="68"/>
        <v>0</v>
      </c>
      <c r="AH400" s="580">
        <f t="shared" si="69"/>
        <v>0</v>
      </c>
    </row>
    <row r="401" spans="2:34">
      <c r="B401" s="221">
        <v>4</v>
      </c>
      <c r="C401" s="54">
        <v>24.718927811475524</v>
      </c>
      <c r="D401" s="54">
        <v>4</v>
      </c>
      <c r="E401" s="224">
        <v>120</v>
      </c>
      <c r="AB401" s="580">
        <f>HLOOKUP("*"&amp;'Output annual'!$AC$2&amp;'Output annual'!$AD$2&amp;"*Zone People Number Of Occupants [](Hourly)",'Eplus results'!$1:$1048576,ROW(),FALSE)</f>
        <v>0</v>
      </c>
      <c r="AC401" s="580">
        <f>HLOOKUP("*"&amp;'Output annual'!$AC$2&amp;'Output annual'!$AD$2&amp;"*FangerPMV(Hourly)",'Eplus results'!$1:$1048576,ROW(),FALSE)</f>
        <v>0</v>
      </c>
      <c r="AD401" s="580">
        <f t="shared" si="65"/>
        <v>5</v>
      </c>
      <c r="AE401" s="580">
        <f t="shared" si="66"/>
        <v>2.5</v>
      </c>
      <c r="AF401" s="580">
        <f t="shared" si="67"/>
        <v>2.5</v>
      </c>
      <c r="AG401" s="580">
        <f t="shared" si="68"/>
        <v>0</v>
      </c>
      <c r="AH401" s="580">
        <f t="shared" si="69"/>
        <v>0</v>
      </c>
    </row>
    <row r="402" spans="2:34">
      <c r="B402" s="221">
        <v>5</v>
      </c>
      <c r="C402" s="54">
        <v>25.343302155529383</v>
      </c>
      <c r="D402" s="54">
        <v>5</v>
      </c>
      <c r="E402" s="224">
        <v>151</v>
      </c>
      <c r="AB402" s="580">
        <f>HLOOKUP("*"&amp;'Output annual'!$AC$2&amp;'Output annual'!$AD$2&amp;"*Zone People Number Of Occupants [](Hourly)",'Eplus results'!$1:$1048576,ROW(),FALSE)</f>
        <v>0</v>
      </c>
      <c r="AC402" s="580">
        <f>HLOOKUP("*"&amp;'Output annual'!$AC$2&amp;'Output annual'!$AD$2&amp;"*FangerPMV(Hourly)",'Eplus results'!$1:$1048576,ROW(),FALSE)</f>
        <v>0</v>
      </c>
      <c r="AD402" s="580">
        <f t="shared" si="65"/>
        <v>5</v>
      </c>
      <c r="AE402" s="580">
        <f t="shared" si="66"/>
        <v>2.5</v>
      </c>
      <c r="AF402" s="580">
        <f t="shared" si="67"/>
        <v>2.5</v>
      </c>
      <c r="AG402" s="580">
        <f t="shared" si="68"/>
        <v>0</v>
      </c>
      <c r="AH402" s="580">
        <f t="shared" si="69"/>
        <v>0</v>
      </c>
    </row>
    <row r="403" spans="2:34">
      <c r="B403" s="221">
        <v>6</v>
      </c>
      <c r="C403" s="54">
        <v>25.66490221828035</v>
      </c>
      <c r="D403" s="54">
        <v>6</v>
      </c>
      <c r="E403" s="224">
        <v>181</v>
      </c>
      <c r="AB403" s="580">
        <f>HLOOKUP("*"&amp;'Output annual'!$AC$2&amp;'Output annual'!$AD$2&amp;"*Zone People Number Of Occupants [](Hourly)",'Eplus results'!$1:$1048576,ROW(),FALSE)</f>
        <v>0</v>
      </c>
      <c r="AC403" s="580">
        <f>HLOOKUP("*"&amp;'Output annual'!$AC$2&amp;'Output annual'!$AD$2&amp;"*FangerPMV(Hourly)",'Eplus results'!$1:$1048576,ROW(),FALSE)</f>
        <v>0</v>
      </c>
      <c r="AD403" s="580">
        <f t="shared" si="65"/>
        <v>5</v>
      </c>
      <c r="AE403" s="580">
        <f t="shared" si="66"/>
        <v>2.5</v>
      </c>
      <c r="AF403" s="580">
        <f t="shared" si="67"/>
        <v>2.5</v>
      </c>
      <c r="AG403" s="580">
        <f t="shared" si="68"/>
        <v>0</v>
      </c>
      <c r="AH403" s="580">
        <f t="shared" si="69"/>
        <v>0</v>
      </c>
    </row>
    <row r="404" spans="2:34">
      <c r="B404" s="221">
        <v>7</v>
      </c>
      <c r="C404" s="54">
        <v>26.0118147048852</v>
      </c>
      <c r="D404" s="54">
        <v>7</v>
      </c>
      <c r="E404" s="224">
        <v>212</v>
      </c>
      <c r="AB404" s="580">
        <f>HLOOKUP("*"&amp;'Output annual'!$AC$2&amp;'Output annual'!$AD$2&amp;"*Zone People Number Of Occupants [](Hourly)",'Eplus results'!$1:$1048576,ROW(),FALSE)</f>
        <v>0</v>
      </c>
      <c r="AC404" s="580">
        <f>HLOOKUP("*"&amp;'Output annual'!$AC$2&amp;'Output annual'!$AD$2&amp;"*FangerPMV(Hourly)",'Eplus results'!$1:$1048576,ROW(),FALSE)</f>
        <v>0</v>
      </c>
      <c r="AD404" s="580">
        <f t="shared" si="65"/>
        <v>5</v>
      </c>
      <c r="AE404" s="580">
        <f t="shared" si="66"/>
        <v>2.5</v>
      </c>
      <c r="AF404" s="580">
        <f t="shared" si="67"/>
        <v>2.5</v>
      </c>
      <c r="AG404" s="580">
        <f t="shared" si="68"/>
        <v>0</v>
      </c>
      <c r="AH404" s="580">
        <f t="shared" si="69"/>
        <v>0</v>
      </c>
    </row>
    <row r="405" spans="2:34">
      <c r="B405" s="221">
        <v>8</v>
      </c>
      <c r="C405" s="54">
        <v>25.853416477047983</v>
      </c>
      <c r="D405" s="54">
        <v>8</v>
      </c>
      <c r="E405" s="224">
        <v>243</v>
      </c>
      <c r="AB405" s="580">
        <f>HLOOKUP("*"&amp;'Output annual'!$AC$2&amp;'Output annual'!$AD$2&amp;"*Zone People Number Of Occupants [](Hourly)",'Eplus results'!$1:$1048576,ROW(),FALSE)</f>
        <v>0</v>
      </c>
      <c r="AC405" s="580">
        <f>HLOOKUP("*"&amp;'Output annual'!$AC$2&amp;'Output annual'!$AD$2&amp;"*FangerPMV(Hourly)",'Eplus results'!$1:$1048576,ROW(),FALSE)</f>
        <v>0</v>
      </c>
      <c r="AD405" s="580">
        <f t="shared" si="65"/>
        <v>5</v>
      </c>
      <c r="AE405" s="580">
        <f t="shared" si="66"/>
        <v>2.5</v>
      </c>
      <c r="AF405" s="580">
        <f t="shared" si="67"/>
        <v>2.5</v>
      </c>
      <c r="AG405" s="580">
        <f t="shared" si="68"/>
        <v>0</v>
      </c>
      <c r="AH405" s="580">
        <f t="shared" si="69"/>
        <v>0</v>
      </c>
    </row>
    <row r="406" spans="2:34">
      <c r="B406" s="221">
        <v>9</v>
      </c>
      <c r="C406" s="54">
        <v>25.667531184947503</v>
      </c>
      <c r="D406" s="54">
        <v>9</v>
      </c>
      <c r="E406" s="224">
        <v>273</v>
      </c>
      <c r="AB406" s="580">
        <f>HLOOKUP("*"&amp;'Output annual'!$AC$2&amp;'Output annual'!$AD$2&amp;"*Zone People Number Of Occupants [](Hourly)",'Eplus results'!$1:$1048576,ROW(),FALSE)</f>
        <v>0</v>
      </c>
      <c r="AC406" s="580">
        <f>HLOOKUP("*"&amp;'Output annual'!$AC$2&amp;'Output annual'!$AD$2&amp;"*FangerPMV(Hourly)",'Eplus results'!$1:$1048576,ROW(),FALSE)</f>
        <v>0</v>
      </c>
      <c r="AD406" s="580">
        <f t="shared" si="65"/>
        <v>5</v>
      </c>
      <c r="AE406" s="580">
        <f t="shared" si="66"/>
        <v>2.5</v>
      </c>
      <c r="AF406" s="580">
        <f t="shared" si="67"/>
        <v>2.5</v>
      </c>
      <c r="AG406" s="580">
        <f t="shared" si="68"/>
        <v>0</v>
      </c>
      <c r="AH406" s="580">
        <f t="shared" si="69"/>
        <v>0</v>
      </c>
    </row>
    <row r="407" spans="2:34">
      <c r="B407" s="221">
        <v>10</v>
      </c>
      <c r="C407" s="54">
        <v>25.132583626683431</v>
      </c>
      <c r="D407" s="54">
        <v>10</v>
      </c>
      <c r="E407" s="224">
        <v>304</v>
      </c>
      <c r="AB407" s="580">
        <f>HLOOKUP("*"&amp;'Output annual'!$AC$2&amp;'Output annual'!$AD$2&amp;"*Zone People Number Of Occupants [](Hourly)",'Eplus results'!$1:$1048576,ROW(),FALSE)</f>
        <v>0</v>
      </c>
      <c r="AC407" s="580">
        <f>HLOOKUP("*"&amp;'Output annual'!$AC$2&amp;'Output annual'!$AD$2&amp;"*FangerPMV(Hourly)",'Eplus results'!$1:$1048576,ROW(),FALSE)</f>
        <v>0</v>
      </c>
      <c r="AD407" s="580">
        <f t="shared" si="65"/>
        <v>5</v>
      </c>
      <c r="AE407" s="580">
        <f t="shared" si="66"/>
        <v>2.5</v>
      </c>
      <c r="AF407" s="580">
        <f t="shared" si="67"/>
        <v>2.5</v>
      </c>
      <c r="AG407" s="580">
        <f t="shared" si="68"/>
        <v>0</v>
      </c>
      <c r="AH407" s="580">
        <f t="shared" si="69"/>
        <v>0</v>
      </c>
    </row>
    <row r="408" spans="2:34">
      <c r="B408" s="221">
        <v>11</v>
      </c>
      <c r="C408" s="54">
        <v>24.155219094794493</v>
      </c>
      <c r="D408" s="54">
        <v>11</v>
      </c>
      <c r="E408" s="224">
        <v>334</v>
      </c>
      <c r="AB408" s="580">
        <f>HLOOKUP("*"&amp;'Output annual'!$AC$2&amp;'Output annual'!$AD$2&amp;"*Zone People Number Of Occupants [](Hourly)",'Eplus results'!$1:$1048576,ROW(),FALSE)</f>
        <v>0</v>
      </c>
      <c r="AC408" s="580">
        <f>HLOOKUP("*"&amp;'Output annual'!$AC$2&amp;'Output annual'!$AD$2&amp;"*FangerPMV(Hourly)",'Eplus results'!$1:$1048576,ROW(),FALSE)</f>
        <v>0</v>
      </c>
      <c r="AD408" s="580">
        <f t="shared" si="65"/>
        <v>5</v>
      </c>
      <c r="AE408" s="580">
        <f t="shared" si="66"/>
        <v>2.5</v>
      </c>
      <c r="AF408" s="580">
        <f t="shared" si="67"/>
        <v>2.5</v>
      </c>
      <c r="AG408" s="580">
        <f t="shared" si="68"/>
        <v>0</v>
      </c>
      <c r="AH408" s="580">
        <f t="shared" si="69"/>
        <v>0</v>
      </c>
    </row>
    <row r="409" spans="2:34">
      <c r="B409" s="56">
        <v>12</v>
      </c>
      <c r="C409" s="57">
        <v>23.206129352817769</v>
      </c>
      <c r="D409" s="57">
        <v>12</v>
      </c>
      <c r="E409" s="341">
        <v>365</v>
      </c>
      <c r="AB409" s="580">
        <f>HLOOKUP("*"&amp;'Output annual'!$AC$2&amp;'Output annual'!$AD$2&amp;"*Zone People Number Of Occupants [](Hourly)",'Eplus results'!$1:$1048576,ROW(),FALSE)</f>
        <v>0</v>
      </c>
      <c r="AC409" s="580">
        <f>HLOOKUP("*"&amp;'Output annual'!$AC$2&amp;'Output annual'!$AD$2&amp;"*FangerPMV(Hourly)",'Eplus results'!$1:$1048576,ROW(),FALSE)</f>
        <v>0</v>
      </c>
      <c r="AD409" s="580">
        <f t="shared" si="65"/>
        <v>5</v>
      </c>
      <c r="AE409" s="580">
        <f t="shared" si="66"/>
        <v>2.5</v>
      </c>
      <c r="AF409" s="580">
        <f t="shared" si="67"/>
        <v>2.5</v>
      </c>
      <c r="AG409" s="580">
        <f t="shared" si="68"/>
        <v>0</v>
      </c>
      <c r="AH409" s="580">
        <f t="shared" si="69"/>
        <v>0</v>
      </c>
    </row>
    <row r="410" spans="2:34">
      <c r="AB410" s="580">
        <f>HLOOKUP("*"&amp;'Output annual'!$AC$2&amp;'Output annual'!$AD$2&amp;"*Zone People Number Of Occupants [](Hourly)",'Eplus results'!$1:$1048576,ROW(),FALSE)</f>
        <v>0</v>
      </c>
      <c r="AC410" s="580">
        <f>HLOOKUP("*"&amp;'Output annual'!$AC$2&amp;'Output annual'!$AD$2&amp;"*FangerPMV(Hourly)",'Eplus results'!$1:$1048576,ROW(),FALSE)</f>
        <v>0</v>
      </c>
      <c r="AD410" s="580">
        <f t="shared" si="65"/>
        <v>5</v>
      </c>
      <c r="AE410" s="580">
        <f t="shared" si="66"/>
        <v>2.5</v>
      </c>
      <c r="AF410" s="580">
        <f t="shared" si="67"/>
        <v>2.5</v>
      </c>
      <c r="AG410" s="580">
        <f t="shared" si="68"/>
        <v>0</v>
      </c>
      <c r="AH410" s="580">
        <f t="shared" si="69"/>
        <v>0</v>
      </c>
    </row>
    <row r="411" spans="2:34">
      <c r="B411" s="332" t="s">
        <v>70</v>
      </c>
      <c r="C411" s="219">
        <v>8</v>
      </c>
      <c r="D411" s="52"/>
      <c r="E411" s="52"/>
      <c r="F411" s="53"/>
      <c r="G411" s="149"/>
      <c r="H411" s="149"/>
      <c r="I411" s="149"/>
      <c r="J411" s="149"/>
      <c r="K411" s="149"/>
      <c r="L411" s="149"/>
      <c r="M411" s="149"/>
      <c r="N411" s="149"/>
      <c r="O411" s="149"/>
      <c r="P411" s="149"/>
      <c r="Q411" s="149"/>
      <c r="R411" s="149"/>
      <c r="S411" s="149"/>
      <c r="AB411" s="580">
        <f>HLOOKUP("*"&amp;'Output annual'!$AC$2&amp;'Output annual'!$AD$2&amp;"*Zone People Number Of Occupants [](Hourly)",'Eplus results'!$1:$1048576,ROW(),FALSE)</f>
        <v>0</v>
      </c>
      <c r="AC411" s="580">
        <f>HLOOKUP("*"&amp;'Output annual'!$AC$2&amp;'Output annual'!$AD$2&amp;"*FangerPMV(Hourly)",'Eplus results'!$1:$1048576,ROW(),FALSE)</f>
        <v>0</v>
      </c>
      <c r="AD411" s="580">
        <f t="shared" si="65"/>
        <v>5</v>
      </c>
      <c r="AE411" s="580">
        <f t="shared" si="66"/>
        <v>2.5</v>
      </c>
      <c r="AF411" s="580">
        <f t="shared" si="67"/>
        <v>2.5</v>
      </c>
      <c r="AG411" s="580">
        <f t="shared" si="68"/>
        <v>0</v>
      </c>
      <c r="AH411" s="580">
        <f t="shared" si="69"/>
        <v>0</v>
      </c>
    </row>
    <row r="412" spans="2:34">
      <c r="B412" s="333"/>
      <c r="C412" s="179"/>
      <c r="D412" s="54"/>
      <c r="E412" s="54" t="s">
        <v>69</v>
      </c>
      <c r="F412" s="297" t="s">
        <v>69</v>
      </c>
      <c r="G412" s="149"/>
      <c r="H412" s="149"/>
      <c r="I412" s="149"/>
      <c r="J412" s="149"/>
      <c r="K412" s="149"/>
      <c r="L412" s="149"/>
      <c r="M412" s="149"/>
      <c r="N412" s="149"/>
      <c r="O412" s="149"/>
      <c r="P412" s="149"/>
      <c r="Q412" s="149"/>
      <c r="R412" s="149"/>
      <c r="S412" s="149"/>
      <c r="AB412" s="580">
        <f>HLOOKUP("*"&amp;'Output annual'!$AC$2&amp;'Output annual'!$AD$2&amp;"*Zone People Number Of Occupants [](Hourly)",'Eplus results'!$1:$1048576,ROW(),FALSE)</f>
        <v>0</v>
      </c>
      <c r="AC412" s="580">
        <f>HLOOKUP("*"&amp;'Output annual'!$AC$2&amp;'Output annual'!$AD$2&amp;"*FangerPMV(Hourly)",'Eplus results'!$1:$1048576,ROW(),FALSE)</f>
        <v>0</v>
      </c>
      <c r="AD412" s="580">
        <f t="shared" si="65"/>
        <v>5</v>
      </c>
      <c r="AE412" s="580">
        <f t="shared" si="66"/>
        <v>2.5</v>
      </c>
      <c r="AF412" s="580">
        <f t="shared" si="67"/>
        <v>2.5</v>
      </c>
      <c r="AG412" s="580">
        <f t="shared" si="68"/>
        <v>0</v>
      </c>
      <c r="AH412" s="580">
        <f t="shared" si="69"/>
        <v>0</v>
      </c>
    </row>
    <row r="413" spans="2:34">
      <c r="B413" s="333"/>
      <c r="C413" s="179"/>
      <c r="D413" s="54" t="s">
        <v>29</v>
      </c>
      <c r="E413" s="54" t="s">
        <v>67</v>
      </c>
      <c r="F413" s="297" t="s">
        <v>68</v>
      </c>
      <c r="G413" s="149"/>
      <c r="H413" s="149"/>
      <c r="I413" s="149"/>
      <c r="J413" s="149"/>
      <c r="K413" s="149"/>
      <c r="L413" s="149"/>
      <c r="M413" s="149"/>
      <c r="N413" s="149"/>
      <c r="O413" s="149"/>
      <c r="P413" s="149"/>
      <c r="Q413" s="149"/>
      <c r="R413" s="149"/>
      <c r="S413" s="149"/>
      <c r="AB413" s="580">
        <f>HLOOKUP("*"&amp;'Output annual'!$AC$2&amp;'Output annual'!$AD$2&amp;"*Zone People Number Of Occupants [](Hourly)",'Eplus results'!$1:$1048576,ROW(),FALSE)</f>
        <v>0</v>
      </c>
      <c r="AC413" s="580">
        <f>HLOOKUP("*"&amp;'Output annual'!$AC$2&amp;'Output annual'!$AD$2&amp;"*FangerPMV(Hourly)",'Eplus results'!$1:$1048576,ROW(),FALSE)</f>
        <v>0</v>
      </c>
      <c r="AD413" s="580">
        <f t="shared" si="65"/>
        <v>5</v>
      </c>
      <c r="AE413" s="580">
        <f t="shared" si="66"/>
        <v>2.5</v>
      </c>
      <c r="AF413" s="580">
        <f t="shared" si="67"/>
        <v>2.5</v>
      </c>
      <c r="AG413" s="580">
        <f t="shared" si="68"/>
        <v>0</v>
      </c>
      <c r="AH413" s="580">
        <f t="shared" si="69"/>
        <v>0</v>
      </c>
    </row>
    <row r="414" spans="2:34">
      <c r="B414" s="333">
        <v>1</v>
      </c>
      <c r="C414" s="334">
        <v>0</v>
      </c>
      <c r="D414" s="335">
        <f t="shared" ref="D414:D437" si="70">35.314667*C414*60/58201</f>
        <v>0</v>
      </c>
      <c r="E414" s="54">
        <v>0</v>
      </c>
      <c r="F414" s="297">
        <v>0</v>
      </c>
      <c r="G414" s="149"/>
      <c r="H414" s="149"/>
      <c r="I414" s="149"/>
      <c r="J414" s="149"/>
      <c r="K414" s="149"/>
      <c r="L414" s="149"/>
      <c r="M414" s="149"/>
      <c r="N414" s="149"/>
      <c r="O414" s="149"/>
      <c r="P414" s="149"/>
      <c r="Q414" s="149"/>
      <c r="R414" s="149"/>
      <c r="S414" s="149"/>
      <c r="AB414" s="580">
        <f>HLOOKUP("*"&amp;'Output annual'!$AC$2&amp;'Output annual'!$AD$2&amp;"*Zone People Number Of Occupants [](Hourly)",'Eplus results'!$1:$1048576,ROW(),FALSE)</f>
        <v>0</v>
      </c>
      <c r="AC414" s="580">
        <f>HLOOKUP("*"&amp;'Output annual'!$AC$2&amp;'Output annual'!$AD$2&amp;"*FangerPMV(Hourly)",'Eplus results'!$1:$1048576,ROW(),FALSE)</f>
        <v>0</v>
      </c>
      <c r="AD414" s="580">
        <f t="shared" si="65"/>
        <v>5</v>
      </c>
      <c r="AE414" s="580">
        <f t="shared" si="66"/>
        <v>2.5</v>
      </c>
      <c r="AF414" s="580">
        <f t="shared" si="67"/>
        <v>2.5</v>
      </c>
      <c r="AG414" s="580">
        <f t="shared" si="68"/>
        <v>0</v>
      </c>
      <c r="AH414" s="580">
        <f t="shared" si="69"/>
        <v>0</v>
      </c>
    </row>
    <row r="415" spans="2:34">
      <c r="B415" s="333">
        <v>2</v>
      </c>
      <c r="C415" s="334">
        <v>0</v>
      </c>
      <c r="D415" s="335">
        <f t="shared" si="70"/>
        <v>0</v>
      </c>
      <c r="E415" s="54">
        <v>0</v>
      </c>
      <c r="F415" s="297">
        <v>0</v>
      </c>
      <c r="G415" s="149"/>
      <c r="H415" s="149"/>
      <c r="I415" s="149"/>
      <c r="J415" s="149"/>
      <c r="K415" s="149"/>
      <c r="L415" s="149"/>
      <c r="M415" s="149"/>
      <c r="N415" s="149"/>
      <c r="O415" s="149"/>
      <c r="P415" s="149"/>
      <c r="Q415" s="149"/>
      <c r="R415" s="149"/>
      <c r="S415" s="149"/>
      <c r="AB415" s="580">
        <f>HLOOKUP("*"&amp;'Output annual'!$AC$2&amp;'Output annual'!$AD$2&amp;"*Zone People Number Of Occupants [](Hourly)",'Eplus results'!$1:$1048576,ROW(),FALSE)</f>
        <v>0</v>
      </c>
      <c r="AC415" s="580">
        <f>HLOOKUP("*"&amp;'Output annual'!$AC$2&amp;'Output annual'!$AD$2&amp;"*FangerPMV(Hourly)",'Eplus results'!$1:$1048576,ROW(),FALSE)</f>
        <v>0</v>
      </c>
      <c r="AD415" s="580">
        <f t="shared" si="65"/>
        <v>5</v>
      </c>
      <c r="AE415" s="580">
        <f t="shared" si="66"/>
        <v>2.5</v>
      </c>
      <c r="AF415" s="580">
        <f t="shared" si="67"/>
        <v>2.5</v>
      </c>
      <c r="AG415" s="580">
        <f t="shared" si="68"/>
        <v>0</v>
      </c>
      <c r="AH415" s="580">
        <f t="shared" si="69"/>
        <v>0</v>
      </c>
    </row>
    <row r="416" spans="2:34">
      <c r="B416" s="333">
        <v>3</v>
      </c>
      <c r="C416" s="334">
        <v>0</v>
      </c>
      <c r="D416" s="335">
        <f t="shared" si="70"/>
        <v>0</v>
      </c>
      <c r="E416" s="54">
        <v>0</v>
      </c>
      <c r="F416" s="297">
        <v>0</v>
      </c>
      <c r="G416" s="149"/>
      <c r="H416" s="149"/>
      <c r="I416" s="149"/>
      <c r="J416" s="149"/>
      <c r="K416" s="149"/>
      <c r="L416" s="149"/>
      <c r="M416" s="149"/>
      <c r="N416" s="149"/>
      <c r="O416" s="149"/>
      <c r="P416" s="149"/>
      <c r="Q416" s="149"/>
      <c r="R416" s="149"/>
      <c r="S416" s="149"/>
      <c r="AB416" s="580">
        <f>HLOOKUP("*"&amp;'Output annual'!$AC$2&amp;'Output annual'!$AD$2&amp;"*Zone People Number Of Occupants [](Hourly)",'Eplus results'!$1:$1048576,ROW(),FALSE)</f>
        <v>0</v>
      </c>
      <c r="AC416" s="580">
        <f>HLOOKUP("*"&amp;'Output annual'!$AC$2&amp;'Output annual'!$AD$2&amp;"*FangerPMV(Hourly)",'Eplus results'!$1:$1048576,ROW(),FALSE)</f>
        <v>0</v>
      </c>
      <c r="AD416" s="580">
        <f t="shared" si="65"/>
        <v>5</v>
      </c>
      <c r="AE416" s="580">
        <f t="shared" si="66"/>
        <v>2.5</v>
      </c>
      <c r="AF416" s="580">
        <f t="shared" si="67"/>
        <v>2.5</v>
      </c>
      <c r="AG416" s="580">
        <f t="shared" si="68"/>
        <v>0</v>
      </c>
      <c r="AH416" s="580">
        <f t="shared" si="69"/>
        <v>0</v>
      </c>
    </row>
    <row r="417" spans="2:34">
      <c r="B417" s="333">
        <v>4</v>
      </c>
      <c r="C417" s="334">
        <v>0</v>
      </c>
      <c r="D417" s="335">
        <f t="shared" si="70"/>
        <v>0</v>
      </c>
      <c r="E417" s="54">
        <v>0</v>
      </c>
      <c r="F417" s="297">
        <v>0</v>
      </c>
      <c r="G417" s="149"/>
      <c r="H417" s="149"/>
      <c r="I417" s="149"/>
      <c r="J417" s="149"/>
      <c r="K417" s="149"/>
      <c r="L417" s="149"/>
      <c r="M417" s="149"/>
      <c r="N417" s="149"/>
      <c r="O417" s="149"/>
      <c r="P417" s="149"/>
      <c r="Q417" s="149"/>
      <c r="R417" s="149"/>
      <c r="S417" s="149"/>
      <c r="AB417" s="580">
        <f>HLOOKUP("*"&amp;'Output annual'!$AC$2&amp;'Output annual'!$AD$2&amp;"*Zone People Number Of Occupants [](Hourly)",'Eplus results'!$1:$1048576,ROW(),FALSE)</f>
        <v>0</v>
      </c>
      <c r="AC417" s="580">
        <f>HLOOKUP("*"&amp;'Output annual'!$AC$2&amp;'Output annual'!$AD$2&amp;"*FangerPMV(Hourly)",'Eplus results'!$1:$1048576,ROW(),FALSE)</f>
        <v>0</v>
      </c>
      <c r="AD417" s="580">
        <f t="shared" si="65"/>
        <v>5</v>
      </c>
      <c r="AE417" s="580">
        <f t="shared" si="66"/>
        <v>2.5</v>
      </c>
      <c r="AF417" s="580">
        <f t="shared" si="67"/>
        <v>2.5</v>
      </c>
      <c r="AG417" s="580">
        <f t="shared" si="68"/>
        <v>0</v>
      </c>
      <c r="AH417" s="580">
        <f t="shared" si="69"/>
        <v>0</v>
      </c>
    </row>
    <row r="418" spans="2:34">
      <c r="B418" s="333">
        <v>5</v>
      </c>
      <c r="C418" s="334">
        <v>12.207797282636841</v>
      </c>
      <c r="D418" s="335">
        <f t="shared" si="70"/>
        <v>0.44444009124223804</v>
      </c>
      <c r="E418" s="54">
        <v>7.9016313984901112</v>
      </c>
      <c r="F418" s="297">
        <v>5.5061750760364561</v>
      </c>
      <c r="G418" s="149"/>
      <c r="H418" s="149"/>
      <c r="I418" s="149"/>
      <c r="J418" s="149"/>
      <c r="K418" s="149"/>
      <c r="L418" s="149"/>
      <c r="M418" s="149"/>
      <c r="N418" s="149"/>
      <c r="O418" s="149"/>
      <c r="P418" s="149"/>
      <c r="Q418" s="149"/>
      <c r="R418" s="149"/>
      <c r="S418" s="149"/>
      <c r="AB418" s="580">
        <f>HLOOKUP("*"&amp;'Output annual'!$AC$2&amp;'Output annual'!$AD$2&amp;"*Zone People Number Of Occupants [](Hourly)",'Eplus results'!$1:$1048576,ROW(),FALSE)</f>
        <v>0</v>
      </c>
      <c r="AC418" s="580">
        <f>HLOOKUP("*"&amp;'Output annual'!$AC$2&amp;'Output annual'!$AD$2&amp;"*FangerPMV(Hourly)",'Eplus results'!$1:$1048576,ROW(),FALSE)</f>
        <v>0</v>
      </c>
      <c r="AD418" s="580">
        <f t="shared" si="65"/>
        <v>5</v>
      </c>
      <c r="AE418" s="580">
        <f t="shared" si="66"/>
        <v>2.5</v>
      </c>
      <c r="AF418" s="580">
        <f t="shared" si="67"/>
        <v>2.5</v>
      </c>
      <c r="AG418" s="580">
        <f t="shared" si="68"/>
        <v>0</v>
      </c>
      <c r="AH418" s="580">
        <f t="shared" si="69"/>
        <v>0</v>
      </c>
    </row>
    <row r="419" spans="2:34">
      <c r="B419" s="333">
        <v>6</v>
      </c>
      <c r="C419" s="334">
        <v>11.523267777784072</v>
      </c>
      <c r="D419" s="335">
        <f t="shared" si="70"/>
        <v>0.41951894055869265</v>
      </c>
      <c r="E419" s="54">
        <v>7.3121590273285886</v>
      </c>
      <c r="F419" s="297">
        <v>5.1752068132343814</v>
      </c>
      <c r="G419" s="149"/>
      <c r="H419" s="149"/>
      <c r="I419" s="149"/>
      <c r="J419" s="149"/>
      <c r="K419" s="149"/>
      <c r="L419" s="149"/>
      <c r="M419" s="149"/>
      <c r="N419" s="149"/>
      <c r="O419" s="149"/>
      <c r="P419" s="149"/>
      <c r="Q419" s="149"/>
      <c r="R419" s="149"/>
      <c r="S419" s="149"/>
      <c r="AB419" s="580">
        <f>HLOOKUP("*"&amp;'Output annual'!$AC$2&amp;'Output annual'!$AD$2&amp;"*Zone People Number Of Occupants [](Hourly)",'Eplus results'!$1:$1048576,ROW(),FALSE)</f>
        <v>0</v>
      </c>
      <c r="AC419" s="580">
        <f>HLOOKUP("*"&amp;'Output annual'!$AC$2&amp;'Output annual'!$AD$2&amp;"*FangerPMV(Hourly)",'Eplus results'!$1:$1048576,ROW(),FALSE)</f>
        <v>0</v>
      </c>
      <c r="AD419" s="580">
        <f t="shared" si="65"/>
        <v>5</v>
      </c>
      <c r="AE419" s="580">
        <f t="shared" si="66"/>
        <v>2.5</v>
      </c>
      <c r="AF419" s="580">
        <f t="shared" si="67"/>
        <v>2.5</v>
      </c>
      <c r="AG419" s="580">
        <f t="shared" si="68"/>
        <v>0</v>
      </c>
      <c r="AH419" s="580">
        <f t="shared" si="69"/>
        <v>0</v>
      </c>
    </row>
    <row r="420" spans="2:34">
      <c r="B420" s="333">
        <v>7</v>
      </c>
      <c r="C420" s="334">
        <v>18.441410350764173</v>
      </c>
      <c r="D420" s="335">
        <f t="shared" si="70"/>
        <v>0.67138255241070421</v>
      </c>
      <c r="E420" s="54">
        <v>9.4361667697597582</v>
      </c>
      <c r="F420" s="297">
        <v>9.3363127024198445</v>
      </c>
      <c r="G420" s="149"/>
      <c r="H420" s="149"/>
      <c r="I420" s="149"/>
      <c r="J420" s="149"/>
      <c r="K420" s="149"/>
      <c r="L420" s="149"/>
      <c r="M420" s="149"/>
      <c r="N420" s="149"/>
      <c r="O420" s="149"/>
      <c r="P420" s="149"/>
      <c r="Q420" s="149"/>
      <c r="R420" s="149"/>
      <c r="S420" s="149"/>
      <c r="AB420" s="580">
        <f>HLOOKUP("*"&amp;'Output annual'!$AC$2&amp;'Output annual'!$AD$2&amp;"*Zone People Number Of Occupants [](Hourly)",'Eplus results'!$1:$1048576,ROW(),FALSE)</f>
        <v>0</v>
      </c>
      <c r="AC420" s="580">
        <f>HLOOKUP("*"&amp;'Output annual'!$AC$2&amp;'Output annual'!$AD$2&amp;"*FangerPMV(Hourly)",'Eplus results'!$1:$1048576,ROW(),FALSE)</f>
        <v>0</v>
      </c>
      <c r="AD420" s="580">
        <f t="shared" si="65"/>
        <v>5</v>
      </c>
      <c r="AE420" s="580">
        <f t="shared" si="66"/>
        <v>2.5</v>
      </c>
      <c r="AF420" s="580">
        <f t="shared" si="67"/>
        <v>2.5</v>
      </c>
      <c r="AG420" s="580">
        <f t="shared" si="68"/>
        <v>0</v>
      </c>
      <c r="AH420" s="580">
        <f t="shared" si="69"/>
        <v>0</v>
      </c>
    </row>
    <row r="421" spans="2:34">
      <c r="B421" s="333">
        <v>8</v>
      </c>
      <c r="C421" s="334">
        <v>16.77134110238762</v>
      </c>
      <c r="D421" s="335">
        <f t="shared" si="70"/>
        <v>0.6105815977466692</v>
      </c>
      <c r="E421" s="54">
        <v>6.6709513023120142</v>
      </c>
      <c r="F421" s="297">
        <v>11.801608893095578</v>
      </c>
      <c r="G421" s="149"/>
      <c r="H421" s="149"/>
      <c r="I421" s="149"/>
      <c r="J421" s="149"/>
      <c r="K421" s="149"/>
      <c r="L421" s="149"/>
      <c r="M421" s="149"/>
      <c r="N421" s="149"/>
      <c r="O421" s="149"/>
      <c r="P421" s="149"/>
      <c r="Q421" s="149"/>
      <c r="R421" s="149"/>
      <c r="S421" s="149"/>
      <c r="AB421" s="580">
        <f>HLOOKUP("*"&amp;'Output annual'!$AC$2&amp;'Output annual'!$AD$2&amp;"*Zone People Number Of Occupants [](Hourly)",'Eplus results'!$1:$1048576,ROW(),FALSE)</f>
        <v>0</v>
      </c>
      <c r="AC421" s="580">
        <f>HLOOKUP("*"&amp;'Output annual'!$AC$2&amp;'Output annual'!$AD$2&amp;"*FangerPMV(Hourly)",'Eplus results'!$1:$1048576,ROW(),FALSE)</f>
        <v>0</v>
      </c>
      <c r="AD421" s="580">
        <f t="shared" si="65"/>
        <v>5</v>
      </c>
      <c r="AE421" s="580">
        <f t="shared" si="66"/>
        <v>2.5</v>
      </c>
      <c r="AF421" s="580">
        <f t="shared" si="67"/>
        <v>2.5</v>
      </c>
      <c r="AG421" s="580">
        <f t="shared" si="68"/>
        <v>0</v>
      </c>
      <c r="AH421" s="580">
        <f t="shared" si="69"/>
        <v>0</v>
      </c>
    </row>
    <row r="422" spans="2:34">
      <c r="B422" s="333">
        <v>9</v>
      </c>
      <c r="C422" s="334">
        <v>17.962575561072292</v>
      </c>
      <c r="D422" s="335">
        <f t="shared" si="70"/>
        <v>0.65394997446944858</v>
      </c>
      <c r="E422" s="54">
        <v>4.6261310023865194</v>
      </c>
      <c r="F422" s="297">
        <v>15.998093992041236</v>
      </c>
      <c r="G422" s="149"/>
      <c r="H422" s="149"/>
      <c r="I422" s="149"/>
      <c r="J422" s="149"/>
      <c r="K422" s="149"/>
      <c r="L422" s="149"/>
      <c r="M422" s="149"/>
      <c r="N422" s="149"/>
      <c r="O422" s="149"/>
      <c r="P422" s="149"/>
      <c r="Q422" s="149"/>
      <c r="R422" s="149"/>
      <c r="S422" s="149"/>
      <c r="AB422" s="580">
        <f>HLOOKUP("*"&amp;'Output annual'!$AC$2&amp;'Output annual'!$AD$2&amp;"*Zone People Number Of Occupants [](Hourly)",'Eplus results'!$1:$1048576,ROW(),FALSE)</f>
        <v>0</v>
      </c>
      <c r="AC422" s="580">
        <f>HLOOKUP("*"&amp;'Output annual'!$AC$2&amp;'Output annual'!$AD$2&amp;"*FangerPMV(Hourly)",'Eplus results'!$1:$1048576,ROW(),FALSE)</f>
        <v>0</v>
      </c>
      <c r="AD422" s="580">
        <f t="shared" si="65"/>
        <v>5</v>
      </c>
      <c r="AE422" s="580">
        <f t="shared" si="66"/>
        <v>2.5</v>
      </c>
      <c r="AF422" s="580">
        <f t="shared" si="67"/>
        <v>2.5</v>
      </c>
      <c r="AG422" s="580">
        <f t="shared" si="68"/>
        <v>0</v>
      </c>
      <c r="AH422" s="580">
        <f t="shared" si="69"/>
        <v>0</v>
      </c>
    </row>
    <row r="423" spans="2:34">
      <c r="B423" s="333">
        <v>10</v>
      </c>
      <c r="C423" s="334">
        <v>18.769720518734587</v>
      </c>
      <c r="D423" s="335">
        <f t="shared" si="70"/>
        <v>0.68333509369479473</v>
      </c>
      <c r="E423" s="54">
        <v>2.3959784226924419</v>
      </c>
      <c r="F423" s="297">
        <v>19.170858285247281</v>
      </c>
      <c r="G423" s="149"/>
      <c r="H423" s="149"/>
      <c r="I423" s="149"/>
      <c r="J423" s="149"/>
      <c r="K423" s="149"/>
      <c r="L423" s="149"/>
      <c r="M423" s="149"/>
      <c r="N423" s="149"/>
      <c r="O423" s="149"/>
      <c r="P423" s="149"/>
      <c r="Q423" s="149"/>
      <c r="R423" s="149"/>
      <c r="S423" s="149"/>
      <c r="AB423" s="580">
        <f>HLOOKUP("*"&amp;'Output annual'!$AC$2&amp;'Output annual'!$AD$2&amp;"*Zone People Number Of Occupants [](Hourly)",'Eplus results'!$1:$1048576,ROW(),FALSE)</f>
        <v>0</v>
      </c>
      <c r="AC423" s="580">
        <f>HLOOKUP("*"&amp;'Output annual'!$AC$2&amp;'Output annual'!$AD$2&amp;"*FangerPMV(Hourly)",'Eplus results'!$1:$1048576,ROW(),FALSE)</f>
        <v>0</v>
      </c>
      <c r="AD423" s="580">
        <f t="shared" si="65"/>
        <v>5</v>
      </c>
      <c r="AE423" s="580">
        <f t="shared" si="66"/>
        <v>2.5</v>
      </c>
      <c r="AF423" s="580">
        <f t="shared" si="67"/>
        <v>2.5</v>
      </c>
      <c r="AG423" s="580">
        <f t="shared" si="68"/>
        <v>0</v>
      </c>
      <c r="AH423" s="580">
        <f t="shared" si="69"/>
        <v>0</v>
      </c>
    </row>
    <row r="424" spans="2:34">
      <c r="B424" s="333">
        <v>11</v>
      </c>
      <c r="C424" s="334">
        <v>19.049304756137783</v>
      </c>
      <c r="D424" s="335">
        <f t="shared" si="70"/>
        <v>0.69351370668324108</v>
      </c>
      <c r="E424" s="54">
        <v>0.81014431741221016</v>
      </c>
      <c r="F424" s="297">
        <v>20.427354137246358</v>
      </c>
      <c r="G424" s="149"/>
      <c r="H424" s="149"/>
      <c r="I424" s="149"/>
      <c r="J424" s="149"/>
      <c r="K424" s="149"/>
      <c r="L424" s="149"/>
      <c r="M424" s="149"/>
      <c r="N424" s="149"/>
      <c r="O424" s="149"/>
      <c r="P424" s="149"/>
      <c r="Q424" s="149"/>
      <c r="R424" s="149"/>
      <c r="S424" s="149"/>
      <c r="AB424" s="580">
        <f>HLOOKUP("*"&amp;'Output annual'!$AC$2&amp;'Output annual'!$AD$2&amp;"*Zone People Number Of Occupants [](Hourly)",'Eplus results'!$1:$1048576,ROW(),FALSE)</f>
        <v>0</v>
      </c>
      <c r="AC424" s="580">
        <f>HLOOKUP("*"&amp;'Output annual'!$AC$2&amp;'Output annual'!$AD$2&amp;"*FangerPMV(Hourly)",'Eplus results'!$1:$1048576,ROW(),FALSE)</f>
        <v>0</v>
      </c>
      <c r="AD424" s="580">
        <f t="shared" si="65"/>
        <v>5</v>
      </c>
      <c r="AE424" s="580">
        <f t="shared" si="66"/>
        <v>2.5</v>
      </c>
      <c r="AF424" s="580">
        <f t="shared" si="67"/>
        <v>2.5</v>
      </c>
      <c r="AG424" s="580">
        <f t="shared" si="68"/>
        <v>0</v>
      </c>
      <c r="AH424" s="580">
        <f t="shared" si="69"/>
        <v>0</v>
      </c>
    </row>
    <row r="425" spans="2:34">
      <c r="B425" s="333">
        <v>12</v>
      </c>
      <c r="C425" s="334">
        <v>19.071718474019455</v>
      </c>
      <c r="D425" s="335">
        <f t="shared" si="70"/>
        <v>0.69432970604739963</v>
      </c>
      <c r="E425" s="54">
        <v>-0.22767239142789408</v>
      </c>
      <c r="F425" s="297">
        <v>21.277363111154791</v>
      </c>
      <c r="G425" s="149"/>
      <c r="H425" s="149"/>
      <c r="I425" s="149"/>
      <c r="J425" s="149"/>
      <c r="K425" s="149"/>
      <c r="L425" s="149"/>
      <c r="M425" s="149"/>
      <c r="N425" s="149"/>
      <c r="O425" s="149"/>
      <c r="P425" s="149"/>
      <c r="Q425" s="149"/>
      <c r="R425" s="149"/>
      <c r="S425" s="149"/>
      <c r="AB425" s="580">
        <f>HLOOKUP("*"&amp;'Output annual'!$AC$2&amp;'Output annual'!$AD$2&amp;"*Zone People Number Of Occupants [](Hourly)",'Eplus results'!$1:$1048576,ROW(),FALSE)</f>
        <v>0</v>
      </c>
      <c r="AC425" s="580">
        <f>HLOOKUP("*"&amp;'Output annual'!$AC$2&amp;'Output annual'!$AD$2&amp;"*FangerPMV(Hourly)",'Eplus results'!$1:$1048576,ROW(),FALSE)</f>
        <v>0</v>
      </c>
      <c r="AD425" s="580">
        <f t="shared" si="65"/>
        <v>5</v>
      </c>
      <c r="AE425" s="580">
        <f t="shared" si="66"/>
        <v>2.5</v>
      </c>
      <c r="AF425" s="580">
        <f t="shared" si="67"/>
        <v>2.5</v>
      </c>
      <c r="AG425" s="580">
        <f t="shared" si="68"/>
        <v>0</v>
      </c>
      <c r="AH425" s="580">
        <f t="shared" si="69"/>
        <v>0</v>
      </c>
    </row>
    <row r="426" spans="2:34">
      <c r="B426" s="333">
        <v>13</v>
      </c>
      <c r="C426" s="334">
        <v>16.775899356421643</v>
      </c>
      <c r="D426" s="335">
        <f t="shared" si="70"/>
        <v>0.61074754667192455</v>
      </c>
      <c r="E426" s="54">
        <v>-0.59080605273387454</v>
      </c>
      <c r="F426" s="297">
        <v>19.427246076288299</v>
      </c>
      <c r="G426" s="149"/>
      <c r="H426" s="149"/>
      <c r="I426" s="149"/>
      <c r="J426" s="149"/>
      <c r="K426" s="149"/>
      <c r="L426" s="149"/>
      <c r="M426" s="149"/>
      <c r="N426" s="149"/>
      <c r="O426" s="149"/>
      <c r="P426" s="149"/>
      <c r="Q426" s="149"/>
      <c r="R426" s="149"/>
      <c r="S426" s="149"/>
      <c r="AB426" s="580">
        <f>HLOOKUP("*"&amp;'Output annual'!$AC$2&amp;'Output annual'!$AD$2&amp;"*Zone People Number Of Occupants [](Hourly)",'Eplus results'!$1:$1048576,ROW(),FALSE)</f>
        <v>0</v>
      </c>
      <c r="AC426" s="580">
        <f>HLOOKUP("*"&amp;'Output annual'!$AC$2&amp;'Output annual'!$AD$2&amp;"*FangerPMV(Hourly)",'Eplus results'!$1:$1048576,ROW(),FALSE)</f>
        <v>0</v>
      </c>
      <c r="AD426" s="580">
        <f t="shared" si="65"/>
        <v>5</v>
      </c>
      <c r="AE426" s="580">
        <f t="shared" si="66"/>
        <v>2.5</v>
      </c>
      <c r="AF426" s="580">
        <f t="shared" si="67"/>
        <v>2.5</v>
      </c>
      <c r="AG426" s="580">
        <f t="shared" si="68"/>
        <v>0</v>
      </c>
      <c r="AH426" s="580">
        <f t="shared" si="69"/>
        <v>0</v>
      </c>
    </row>
    <row r="427" spans="2:34">
      <c r="B427" s="333">
        <v>14</v>
      </c>
      <c r="C427" s="334">
        <v>17.356172359508214</v>
      </c>
      <c r="D427" s="335">
        <f t="shared" si="70"/>
        <v>0.63187310933211138</v>
      </c>
      <c r="E427" s="54">
        <v>-0.946468900813766</v>
      </c>
      <c r="F427" s="297">
        <v>20.016264382426115</v>
      </c>
      <c r="G427" s="149"/>
      <c r="H427" s="149"/>
      <c r="I427" s="149"/>
      <c r="J427" s="149"/>
      <c r="K427" s="149"/>
      <c r="L427" s="149"/>
      <c r="M427" s="149"/>
      <c r="N427" s="149"/>
      <c r="O427" s="149"/>
      <c r="P427" s="149"/>
      <c r="Q427" s="149"/>
      <c r="R427" s="149"/>
      <c r="S427" s="149"/>
      <c r="AB427" s="580">
        <f>HLOOKUP("*"&amp;'Output annual'!$AC$2&amp;'Output annual'!$AD$2&amp;"*Zone People Number Of Occupants [](Hourly)",'Eplus results'!$1:$1048576,ROW(),FALSE)</f>
        <v>0</v>
      </c>
      <c r="AC427" s="580">
        <f>HLOOKUP("*"&amp;'Output annual'!$AC$2&amp;'Output annual'!$AD$2&amp;"*FangerPMV(Hourly)",'Eplus results'!$1:$1048576,ROW(),FALSE)</f>
        <v>0</v>
      </c>
      <c r="AD427" s="580">
        <f t="shared" si="65"/>
        <v>5</v>
      </c>
      <c r="AE427" s="580">
        <f t="shared" si="66"/>
        <v>2.5</v>
      </c>
      <c r="AF427" s="580">
        <f t="shared" si="67"/>
        <v>2.5</v>
      </c>
      <c r="AG427" s="580">
        <f t="shared" si="68"/>
        <v>0</v>
      </c>
      <c r="AH427" s="580">
        <f t="shared" si="69"/>
        <v>0</v>
      </c>
    </row>
    <row r="428" spans="2:34">
      <c r="B428" s="333">
        <v>15</v>
      </c>
      <c r="C428" s="334">
        <v>17.331309676086573</v>
      </c>
      <c r="D428" s="335">
        <f t="shared" si="70"/>
        <v>0.63096795232199632</v>
      </c>
      <c r="E428" s="54">
        <v>-0.96254290364721495</v>
      </c>
      <c r="F428" s="297">
        <v>19.705496626361839</v>
      </c>
      <c r="G428" s="149"/>
      <c r="H428" s="149"/>
      <c r="I428" s="149"/>
      <c r="J428" s="149"/>
      <c r="K428" s="149"/>
      <c r="L428" s="149"/>
      <c r="M428" s="149"/>
      <c r="N428" s="149"/>
      <c r="O428" s="149"/>
      <c r="P428" s="149"/>
      <c r="Q428" s="149"/>
      <c r="R428" s="149"/>
      <c r="S428" s="149"/>
      <c r="AB428" s="580">
        <f>HLOOKUP("*"&amp;'Output annual'!$AC$2&amp;'Output annual'!$AD$2&amp;"*Zone People Number Of Occupants [](Hourly)",'Eplus results'!$1:$1048576,ROW(),FALSE)</f>
        <v>0</v>
      </c>
      <c r="AC428" s="580">
        <f>HLOOKUP("*"&amp;'Output annual'!$AC$2&amp;'Output annual'!$AD$2&amp;"*FangerPMV(Hourly)",'Eplus results'!$1:$1048576,ROW(),FALSE)</f>
        <v>0</v>
      </c>
      <c r="AD428" s="580">
        <f t="shared" si="65"/>
        <v>5</v>
      </c>
      <c r="AE428" s="580">
        <f t="shared" si="66"/>
        <v>2.5</v>
      </c>
      <c r="AF428" s="580">
        <f t="shared" si="67"/>
        <v>2.5</v>
      </c>
      <c r="AG428" s="580">
        <f t="shared" si="68"/>
        <v>0</v>
      </c>
      <c r="AH428" s="580">
        <f t="shared" si="69"/>
        <v>0</v>
      </c>
    </row>
    <row r="429" spans="2:34">
      <c r="B429" s="333">
        <v>16</v>
      </c>
      <c r="C429" s="334">
        <v>16.789422085162595</v>
      </c>
      <c r="D429" s="335">
        <f t="shared" si="70"/>
        <v>0.61123985848349283</v>
      </c>
      <c r="E429" s="54">
        <v>-0.65551648668955886</v>
      </c>
      <c r="F429" s="297">
        <v>19.066528665005368</v>
      </c>
      <c r="G429" s="149"/>
      <c r="H429" s="149"/>
      <c r="I429" s="149"/>
      <c r="J429" s="149"/>
      <c r="K429" s="149"/>
      <c r="L429" s="149"/>
      <c r="M429" s="149"/>
      <c r="N429" s="149"/>
      <c r="O429" s="149"/>
      <c r="P429" s="149"/>
      <c r="Q429" s="149"/>
      <c r="R429" s="149"/>
      <c r="S429" s="149"/>
      <c r="AB429" s="580">
        <f>HLOOKUP("*"&amp;'Output annual'!$AC$2&amp;'Output annual'!$AD$2&amp;"*Zone People Number Of Occupants [](Hourly)",'Eplus results'!$1:$1048576,ROW(),FALSE)</f>
        <v>0</v>
      </c>
      <c r="AC429" s="580">
        <f>HLOOKUP("*"&amp;'Output annual'!$AC$2&amp;'Output annual'!$AD$2&amp;"*FangerPMV(Hourly)",'Eplus results'!$1:$1048576,ROW(),FALSE)</f>
        <v>0</v>
      </c>
      <c r="AD429" s="580">
        <f t="shared" si="65"/>
        <v>5</v>
      </c>
      <c r="AE429" s="580">
        <f t="shared" si="66"/>
        <v>2.5</v>
      </c>
      <c r="AF429" s="580">
        <f t="shared" si="67"/>
        <v>2.5</v>
      </c>
      <c r="AG429" s="580">
        <f t="shared" si="68"/>
        <v>0</v>
      </c>
      <c r="AH429" s="580">
        <f t="shared" si="69"/>
        <v>0</v>
      </c>
    </row>
    <row r="430" spans="2:34">
      <c r="B430" s="333">
        <v>17</v>
      </c>
      <c r="C430" s="334">
        <v>8.2246329787408978</v>
      </c>
      <c r="D430" s="335">
        <f t="shared" si="70"/>
        <v>0.29942802512821381</v>
      </c>
      <c r="E430" s="54">
        <v>-0.39798947101721888</v>
      </c>
      <c r="F430" s="297">
        <v>9.3433460191311237</v>
      </c>
      <c r="G430" s="149"/>
      <c r="H430" s="149"/>
      <c r="I430" s="149"/>
      <c r="J430" s="149"/>
      <c r="K430" s="149"/>
      <c r="L430" s="149"/>
      <c r="M430" s="149"/>
      <c r="N430" s="149"/>
      <c r="O430" s="149"/>
      <c r="P430" s="149"/>
      <c r="Q430" s="149"/>
      <c r="R430" s="149"/>
      <c r="S430" s="149"/>
      <c r="AB430" s="580">
        <f>HLOOKUP("*"&amp;'Output annual'!$AC$2&amp;'Output annual'!$AD$2&amp;"*Zone People Number Of Occupants [](Hourly)",'Eplus results'!$1:$1048576,ROW(),FALSE)</f>
        <v>0</v>
      </c>
      <c r="AC430" s="580">
        <f>HLOOKUP("*"&amp;'Output annual'!$AC$2&amp;'Output annual'!$AD$2&amp;"*FangerPMV(Hourly)",'Eplus results'!$1:$1048576,ROW(),FALSE)</f>
        <v>0</v>
      </c>
      <c r="AD430" s="580">
        <f t="shared" si="65"/>
        <v>5</v>
      </c>
      <c r="AE430" s="580">
        <f t="shared" si="66"/>
        <v>2.5</v>
      </c>
      <c r="AF430" s="580">
        <f t="shared" si="67"/>
        <v>2.5</v>
      </c>
      <c r="AG430" s="580">
        <f t="shared" si="68"/>
        <v>0</v>
      </c>
      <c r="AH430" s="580">
        <f t="shared" si="69"/>
        <v>0</v>
      </c>
    </row>
    <row r="431" spans="2:34">
      <c r="B431" s="333">
        <v>18</v>
      </c>
      <c r="C431" s="334">
        <v>6.6041514380376318</v>
      </c>
      <c r="D431" s="335">
        <f t="shared" si="70"/>
        <v>0.24043237283057348</v>
      </c>
      <c r="E431" s="54">
        <v>-1.9493752562040445E-2</v>
      </c>
      <c r="F431" s="297">
        <v>7.2955778776794649</v>
      </c>
      <c r="G431" s="149"/>
      <c r="H431" s="149"/>
      <c r="I431" s="149"/>
      <c r="J431" s="149"/>
      <c r="K431" s="149"/>
      <c r="L431" s="149"/>
      <c r="M431" s="149"/>
      <c r="N431" s="149"/>
      <c r="O431" s="149"/>
      <c r="P431" s="149"/>
      <c r="Q431" s="149"/>
      <c r="R431" s="149"/>
      <c r="S431" s="149"/>
      <c r="AB431" s="580">
        <f>HLOOKUP("*"&amp;'Output annual'!$AC$2&amp;'Output annual'!$AD$2&amp;"*Zone People Number Of Occupants [](Hourly)",'Eplus results'!$1:$1048576,ROW(),FALSE)</f>
        <v>0</v>
      </c>
      <c r="AC431" s="580">
        <f>HLOOKUP("*"&amp;'Output annual'!$AC$2&amp;'Output annual'!$AD$2&amp;"*FangerPMV(Hourly)",'Eplus results'!$1:$1048576,ROW(),FALSE)</f>
        <v>0</v>
      </c>
      <c r="AD431" s="580">
        <f t="shared" si="65"/>
        <v>5</v>
      </c>
      <c r="AE431" s="580">
        <f t="shared" si="66"/>
        <v>2.5</v>
      </c>
      <c r="AF431" s="580">
        <f t="shared" si="67"/>
        <v>2.5</v>
      </c>
      <c r="AG431" s="580">
        <f t="shared" si="68"/>
        <v>0</v>
      </c>
      <c r="AH431" s="580">
        <f t="shared" si="69"/>
        <v>0</v>
      </c>
    </row>
    <row r="432" spans="2:34">
      <c r="B432" s="333">
        <v>19</v>
      </c>
      <c r="C432" s="334">
        <v>0</v>
      </c>
      <c r="D432" s="335">
        <f t="shared" si="70"/>
        <v>0</v>
      </c>
      <c r="E432" s="54">
        <v>0</v>
      </c>
      <c r="F432" s="297">
        <v>0</v>
      </c>
      <c r="G432" s="149"/>
      <c r="H432" s="149"/>
      <c r="I432" s="149"/>
      <c r="J432" s="149"/>
      <c r="K432" s="149"/>
      <c r="L432" s="149"/>
      <c r="M432" s="149"/>
      <c r="N432" s="149"/>
      <c r="O432" s="149"/>
      <c r="P432" s="149"/>
      <c r="Q432" s="149"/>
      <c r="R432" s="149"/>
      <c r="S432" s="149"/>
      <c r="AB432" s="580">
        <f>HLOOKUP("*"&amp;'Output annual'!$AC$2&amp;'Output annual'!$AD$2&amp;"*Zone People Number Of Occupants [](Hourly)",'Eplus results'!$1:$1048576,ROW(),FALSE)</f>
        <v>0</v>
      </c>
      <c r="AC432" s="580">
        <f>HLOOKUP("*"&amp;'Output annual'!$AC$2&amp;'Output annual'!$AD$2&amp;"*FangerPMV(Hourly)",'Eplus results'!$1:$1048576,ROW(),FALSE)</f>
        <v>0</v>
      </c>
      <c r="AD432" s="580">
        <f t="shared" si="65"/>
        <v>5</v>
      </c>
      <c r="AE432" s="580">
        <f t="shared" si="66"/>
        <v>2.5</v>
      </c>
      <c r="AF432" s="580">
        <f t="shared" si="67"/>
        <v>2.5</v>
      </c>
      <c r="AG432" s="580">
        <f t="shared" si="68"/>
        <v>0</v>
      </c>
      <c r="AH432" s="580">
        <f t="shared" si="69"/>
        <v>0</v>
      </c>
    </row>
    <row r="433" spans="2:42">
      <c r="B433" s="333">
        <v>20</v>
      </c>
      <c r="C433" s="334">
        <v>0</v>
      </c>
      <c r="D433" s="335">
        <f t="shared" si="70"/>
        <v>0</v>
      </c>
      <c r="E433" s="54">
        <v>0</v>
      </c>
      <c r="F433" s="297">
        <v>0</v>
      </c>
      <c r="G433" s="149"/>
      <c r="H433" s="149"/>
      <c r="I433" s="149"/>
      <c r="J433" s="149"/>
      <c r="K433" s="149"/>
      <c r="L433" s="149"/>
      <c r="M433" s="149"/>
      <c r="N433" s="149"/>
      <c r="O433" s="149"/>
      <c r="P433" s="149"/>
      <c r="Q433" s="149"/>
      <c r="R433" s="149"/>
      <c r="S433" s="149"/>
      <c r="AB433" s="580">
        <f>HLOOKUP("*"&amp;'Output annual'!$AC$2&amp;'Output annual'!$AD$2&amp;"*Zone People Number Of Occupants [](Hourly)",'Eplus results'!$1:$1048576,ROW(),FALSE)</f>
        <v>0</v>
      </c>
      <c r="AC433" s="580">
        <f>HLOOKUP("*"&amp;'Output annual'!$AC$2&amp;'Output annual'!$AD$2&amp;"*FangerPMV(Hourly)",'Eplus results'!$1:$1048576,ROW(),FALSE)</f>
        <v>0</v>
      </c>
      <c r="AD433" s="580">
        <f t="shared" si="65"/>
        <v>5</v>
      </c>
      <c r="AE433" s="580">
        <f t="shared" si="66"/>
        <v>2.5</v>
      </c>
      <c r="AF433" s="580">
        <f t="shared" si="67"/>
        <v>2.5</v>
      </c>
      <c r="AG433" s="580">
        <f t="shared" si="68"/>
        <v>0</v>
      </c>
      <c r="AH433" s="580">
        <f t="shared" si="69"/>
        <v>0</v>
      </c>
    </row>
    <row r="434" spans="2:42">
      <c r="B434" s="333">
        <v>21</v>
      </c>
      <c r="C434" s="334">
        <v>0</v>
      </c>
      <c r="D434" s="335">
        <f t="shared" si="70"/>
        <v>0</v>
      </c>
      <c r="E434" s="54">
        <v>0</v>
      </c>
      <c r="F434" s="297">
        <v>0</v>
      </c>
      <c r="G434" s="149"/>
      <c r="H434" s="149"/>
      <c r="I434" s="149"/>
      <c r="J434" s="149"/>
      <c r="K434" s="149"/>
      <c r="L434" s="149"/>
      <c r="M434" s="149"/>
      <c r="N434" s="149"/>
      <c r="O434" s="149"/>
      <c r="P434" s="149"/>
      <c r="Q434" s="149"/>
      <c r="R434" s="149"/>
      <c r="S434" s="149"/>
      <c r="AB434" s="580">
        <f>HLOOKUP("*"&amp;'Output annual'!$AC$2&amp;'Output annual'!$AD$2&amp;"*Zone People Number Of Occupants [](Hourly)",'Eplus results'!$1:$1048576,ROW(),FALSE)</f>
        <v>0</v>
      </c>
      <c r="AC434" s="580">
        <f>HLOOKUP("*"&amp;'Output annual'!$AC$2&amp;'Output annual'!$AD$2&amp;"*FangerPMV(Hourly)",'Eplus results'!$1:$1048576,ROW(),FALSE)</f>
        <v>0</v>
      </c>
      <c r="AD434" s="580">
        <f t="shared" si="65"/>
        <v>5</v>
      </c>
      <c r="AE434" s="580">
        <f t="shared" si="66"/>
        <v>2.5</v>
      </c>
      <c r="AF434" s="580">
        <f t="shared" si="67"/>
        <v>2.5</v>
      </c>
      <c r="AG434" s="580">
        <f t="shared" si="68"/>
        <v>0</v>
      </c>
      <c r="AH434" s="580">
        <f t="shared" si="69"/>
        <v>0</v>
      </c>
    </row>
    <row r="435" spans="2:42">
      <c r="B435" s="333">
        <v>22</v>
      </c>
      <c r="C435" s="334">
        <v>0</v>
      </c>
      <c r="D435" s="335">
        <f t="shared" si="70"/>
        <v>0</v>
      </c>
      <c r="E435" s="54">
        <v>0</v>
      </c>
      <c r="F435" s="297">
        <v>0</v>
      </c>
      <c r="G435" s="149"/>
      <c r="H435" s="149"/>
      <c r="I435" s="149"/>
      <c r="J435" s="149"/>
      <c r="K435" s="149"/>
      <c r="L435" s="149"/>
      <c r="M435" s="149"/>
      <c r="N435" s="149"/>
      <c r="O435" s="149"/>
      <c r="P435" s="149"/>
      <c r="Q435" s="149"/>
      <c r="R435" s="149"/>
      <c r="S435" s="149"/>
      <c r="AB435" s="580">
        <f>HLOOKUP("*"&amp;'Output annual'!$AC$2&amp;'Output annual'!$AD$2&amp;"*Zone People Number Of Occupants [](Hourly)",'Eplus results'!$1:$1048576,ROW(),FALSE)</f>
        <v>0</v>
      </c>
      <c r="AC435" s="580">
        <f>HLOOKUP("*"&amp;'Output annual'!$AC$2&amp;'Output annual'!$AD$2&amp;"*FangerPMV(Hourly)",'Eplus results'!$1:$1048576,ROW(),FALSE)</f>
        <v>0</v>
      </c>
      <c r="AD435" s="580">
        <f t="shared" si="65"/>
        <v>5</v>
      </c>
      <c r="AE435" s="580">
        <f t="shared" si="66"/>
        <v>2.5</v>
      </c>
      <c r="AF435" s="580">
        <f t="shared" si="67"/>
        <v>2.5</v>
      </c>
      <c r="AG435" s="580">
        <f t="shared" si="68"/>
        <v>0</v>
      </c>
      <c r="AH435" s="580">
        <f t="shared" si="69"/>
        <v>0</v>
      </c>
    </row>
    <row r="436" spans="2:42">
      <c r="B436" s="333">
        <v>23</v>
      </c>
      <c r="C436" s="334">
        <v>0</v>
      </c>
      <c r="D436" s="335">
        <f t="shared" si="70"/>
        <v>0</v>
      </c>
      <c r="E436" s="54">
        <v>0</v>
      </c>
      <c r="F436" s="297">
        <v>0</v>
      </c>
      <c r="G436" s="149"/>
      <c r="H436" s="149"/>
      <c r="I436" s="149"/>
      <c r="J436" s="149"/>
      <c r="K436" s="149"/>
      <c r="L436" s="149"/>
      <c r="M436" s="149"/>
      <c r="N436" s="149"/>
      <c r="O436" s="149"/>
      <c r="P436" s="149"/>
      <c r="Q436" s="149"/>
      <c r="R436" s="149"/>
      <c r="S436" s="149"/>
      <c r="AB436" s="580">
        <f>HLOOKUP("*"&amp;'Output annual'!$AC$2&amp;'Output annual'!$AD$2&amp;"*Zone People Number Of Occupants [](Hourly)",'Eplus results'!$1:$1048576,ROW(),FALSE)</f>
        <v>0</v>
      </c>
      <c r="AC436" s="580">
        <f>HLOOKUP("*"&amp;'Output annual'!$AC$2&amp;'Output annual'!$AD$2&amp;"*FangerPMV(Hourly)",'Eplus results'!$1:$1048576,ROW(),FALSE)</f>
        <v>0</v>
      </c>
      <c r="AD436" s="580">
        <f t="shared" si="65"/>
        <v>5</v>
      </c>
      <c r="AE436" s="580">
        <f t="shared" si="66"/>
        <v>2.5</v>
      </c>
      <c r="AF436" s="580">
        <f t="shared" si="67"/>
        <v>2.5</v>
      </c>
      <c r="AG436" s="580">
        <f t="shared" si="68"/>
        <v>0</v>
      </c>
      <c r="AH436" s="580">
        <f t="shared" si="69"/>
        <v>0</v>
      </c>
    </row>
    <row r="437" spans="2:42">
      <c r="B437" s="336">
        <v>24</v>
      </c>
      <c r="C437" s="337">
        <v>0</v>
      </c>
      <c r="D437" s="338">
        <f t="shared" si="70"/>
        <v>0</v>
      </c>
      <c r="E437" s="57">
        <v>0</v>
      </c>
      <c r="F437" s="58">
        <v>0</v>
      </c>
      <c r="G437" s="149"/>
      <c r="H437" s="149"/>
      <c r="I437" s="149"/>
      <c r="J437" s="149"/>
      <c r="K437" s="149"/>
      <c r="L437" s="149"/>
      <c r="M437" s="149"/>
      <c r="N437" s="149"/>
      <c r="O437" s="149"/>
      <c r="P437" s="149"/>
      <c r="Q437" s="149"/>
      <c r="R437" s="149"/>
      <c r="S437" s="149"/>
      <c r="AB437" s="580">
        <f>HLOOKUP("*"&amp;'Output annual'!$AC$2&amp;'Output annual'!$AD$2&amp;"*Zone People Number Of Occupants [](Hourly)",'Eplus results'!$1:$1048576,ROW(),FALSE)</f>
        <v>0</v>
      </c>
      <c r="AC437" s="580">
        <f>HLOOKUP("*"&amp;'Output annual'!$AC$2&amp;'Output annual'!$AD$2&amp;"*FangerPMV(Hourly)",'Eplus results'!$1:$1048576,ROW(),FALSE)</f>
        <v>0</v>
      </c>
      <c r="AD437" s="580">
        <f t="shared" si="65"/>
        <v>5</v>
      </c>
      <c r="AE437" s="580">
        <f t="shared" si="66"/>
        <v>2.5</v>
      </c>
      <c r="AF437" s="580">
        <f t="shared" si="67"/>
        <v>2.5</v>
      </c>
      <c r="AG437" s="580">
        <f t="shared" si="68"/>
        <v>0</v>
      </c>
      <c r="AH437" s="580">
        <f t="shared" si="69"/>
        <v>0</v>
      </c>
    </row>
    <row r="438" spans="2:42">
      <c r="AB438" s="580">
        <f>HLOOKUP("*"&amp;'Output annual'!$AC$2&amp;'Output annual'!$AD$2&amp;"*Zone People Number Of Occupants [](Hourly)",'Eplus results'!$1:$1048576,ROW(),FALSE)</f>
        <v>0</v>
      </c>
      <c r="AC438" s="580">
        <f>HLOOKUP("*"&amp;'Output annual'!$AC$2&amp;'Output annual'!$AD$2&amp;"*FangerPMV(Hourly)",'Eplus results'!$1:$1048576,ROW(),FALSE)</f>
        <v>0</v>
      </c>
      <c r="AD438" s="580">
        <f t="shared" si="65"/>
        <v>5</v>
      </c>
      <c r="AE438" s="580">
        <f t="shared" si="66"/>
        <v>2.5</v>
      </c>
      <c r="AF438" s="580">
        <f t="shared" si="67"/>
        <v>2.5</v>
      </c>
      <c r="AG438" s="580">
        <f t="shared" si="68"/>
        <v>0</v>
      </c>
      <c r="AH438" s="580">
        <f t="shared" si="69"/>
        <v>0</v>
      </c>
    </row>
    <row r="439" spans="2:42">
      <c r="AB439" s="580">
        <f>HLOOKUP("*"&amp;'Output annual'!$AC$2&amp;'Output annual'!$AD$2&amp;"*Zone People Number Of Occupants [](Hourly)",'Eplus results'!$1:$1048576,ROW(),FALSE)</f>
        <v>0</v>
      </c>
      <c r="AC439" s="580">
        <f>HLOOKUP("*"&amp;'Output annual'!$AC$2&amp;'Output annual'!$AD$2&amp;"*FangerPMV(Hourly)",'Eplus results'!$1:$1048576,ROW(),FALSE)</f>
        <v>0</v>
      </c>
      <c r="AD439" s="580">
        <f t="shared" si="65"/>
        <v>5</v>
      </c>
      <c r="AE439" s="580">
        <f t="shared" si="66"/>
        <v>2.5</v>
      </c>
      <c r="AF439" s="580">
        <f t="shared" si="67"/>
        <v>2.5</v>
      </c>
      <c r="AG439" s="580">
        <f t="shared" si="68"/>
        <v>0</v>
      </c>
      <c r="AH439" s="580">
        <f t="shared" si="69"/>
        <v>0</v>
      </c>
    </row>
    <row r="440" spans="2:42">
      <c r="B440" s="149"/>
      <c r="C440" s="149"/>
      <c r="D440" s="155"/>
      <c r="E440" s="150" t="s">
        <v>75</v>
      </c>
      <c r="F440" s="150" t="s">
        <v>75</v>
      </c>
      <c r="G440" s="150"/>
      <c r="H440" s="149"/>
      <c r="I440" s="149"/>
      <c r="J440" s="149"/>
      <c r="K440" s="149"/>
      <c r="L440" s="149"/>
      <c r="M440" s="149"/>
      <c r="N440" s="149"/>
      <c r="O440" s="149"/>
      <c r="P440" s="149"/>
      <c r="Q440" s="149"/>
      <c r="R440" s="149"/>
      <c r="S440" s="149"/>
      <c r="T440" s="149"/>
      <c r="U440" s="149"/>
      <c r="V440" s="149"/>
      <c r="W440" s="149"/>
      <c r="X440" s="149"/>
      <c r="Y440" s="149"/>
      <c r="Z440" s="149"/>
      <c r="AA440" s="149"/>
      <c r="AB440" s="580">
        <f>HLOOKUP("*"&amp;'Output annual'!$AC$2&amp;'Output annual'!$AD$2&amp;"*Zone People Number Of Occupants [](Hourly)",'Eplus results'!$1:$1048576,ROW(),FALSE)</f>
        <v>0</v>
      </c>
      <c r="AC440" s="580">
        <f>HLOOKUP("*"&amp;'Output annual'!$AC$2&amp;'Output annual'!$AD$2&amp;"*FangerPMV(Hourly)",'Eplus results'!$1:$1048576,ROW(),FALSE)</f>
        <v>0</v>
      </c>
      <c r="AD440" s="580">
        <f t="shared" si="65"/>
        <v>5</v>
      </c>
      <c r="AE440" s="580">
        <f t="shared" si="66"/>
        <v>2.5</v>
      </c>
      <c r="AF440" s="580">
        <f t="shared" si="67"/>
        <v>2.5</v>
      </c>
      <c r="AG440" s="580">
        <f t="shared" si="68"/>
        <v>0</v>
      </c>
      <c r="AH440" s="580">
        <f t="shared" si="69"/>
        <v>0</v>
      </c>
      <c r="AI440" s="149"/>
      <c r="AJ440" s="149"/>
      <c r="AK440" s="149"/>
      <c r="AL440" s="149"/>
      <c r="AM440" s="149"/>
      <c r="AN440" s="149"/>
      <c r="AO440" s="149"/>
      <c r="AP440" s="149"/>
    </row>
    <row r="441" spans="2:42">
      <c r="B441" s="51"/>
      <c r="C441" s="52" t="s">
        <v>356</v>
      </c>
      <c r="D441" s="232" t="s">
        <v>90</v>
      </c>
      <c r="E441" s="219" t="s">
        <v>70</v>
      </c>
      <c r="F441" s="219" t="s">
        <v>71</v>
      </c>
      <c r="G441" s="343" t="s">
        <v>869</v>
      </c>
      <c r="H441" s="52"/>
      <c r="I441" s="53"/>
      <c r="J441" s="149"/>
      <c r="K441" s="149"/>
      <c r="L441" s="149"/>
      <c r="M441" s="149"/>
      <c r="N441" s="149"/>
      <c r="O441" s="149"/>
      <c r="P441" s="149"/>
      <c r="Q441" s="149"/>
      <c r="R441" s="149"/>
      <c r="S441" s="149"/>
      <c r="T441" s="149"/>
      <c r="U441" s="149"/>
      <c r="V441" s="149"/>
      <c r="W441" s="149"/>
      <c r="X441" s="149"/>
      <c r="Y441" s="149"/>
      <c r="Z441" s="149"/>
      <c r="AA441" s="149"/>
      <c r="AB441" s="580">
        <f>HLOOKUP("*"&amp;'Output annual'!$AC$2&amp;'Output annual'!$AD$2&amp;"*Zone People Number Of Occupants [](Hourly)",'Eplus results'!$1:$1048576,ROW(),FALSE)</f>
        <v>0</v>
      </c>
      <c r="AC441" s="580">
        <f>HLOOKUP("*"&amp;'Output annual'!$AC$2&amp;'Output annual'!$AD$2&amp;"*FangerPMV(Hourly)",'Eplus results'!$1:$1048576,ROW(),FALSE)</f>
        <v>0</v>
      </c>
      <c r="AD441" s="580">
        <f t="shared" si="65"/>
        <v>5</v>
      </c>
      <c r="AE441" s="580">
        <f t="shared" si="66"/>
        <v>2.5</v>
      </c>
      <c r="AF441" s="580">
        <f t="shared" si="67"/>
        <v>2.5</v>
      </c>
      <c r="AG441" s="580">
        <f t="shared" si="68"/>
        <v>0</v>
      </c>
      <c r="AH441" s="580">
        <f t="shared" si="69"/>
        <v>0</v>
      </c>
      <c r="AI441" s="149"/>
      <c r="AJ441" s="149"/>
      <c r="AK441" s="149"/>
      <c r="AL441" s="149"/>
      <c r="AM441" s="149"/>
      <c r="AN441" s="149"/>
      <c r="AO441" s="149"/>
      <c r="AP441" s="149"/>
    </row>
    <row r="442" spans="2:42">
      <c r="B442" s="221"/>
      <c r="C442" s="54" t="s">
        <v>360</v>
      </c>
      <c r="D442" s="223" t="s">
        <v>365</v>
      </c>
      <c r="E442" s="179">
        <v>1</v>
      </c>
      <c r="F442" s="179">
        <v>4</v>
      </c>
      <c r="G442" s="179">
        <v>7</v>
      </c>
      <c r="H442" s="54"/>
      <c r="I442" s="297"/>
      <c r="J442" s="149"/>
      <c r="K442" s="149"/>
      <c r="L442" s="149"/>
      <c r="M442" s="149"/>
      <c r="N442" s="149"/>
      <c r="O442" s="149"/>
      <c r="P442" s="149"/>
      <c r="Q442" s="149"/>
      <c r="R442" s="149"/>
      <c r="S442" s="149"/>
      <c r="T442" s="149"/>
      <c r="U442" s="149"/>
      <c r="V442" s="149"/>
      <c r="W442" s="149"/>
      <c r="X442" s="149"/>
      <c r="Y442" s="149"/>
      <c r="Z442" s="149"/>
      <c r="AA442" s="149"/>
      <c r="AB442" s="580">
        <f>HLOOKUP("*"&amp;'Output annual'!$AC$2&amp;'Output annual'!$AD$2&amp;"*Zone People Number Of Occupants [](Hourly)",'Eplus results'!$1:$1048576,ROW(),FALSE)</f>
        <v>0</v>
      </c>
      <c r="AC442" s="580">
        <f>HLOOKUP("*"&amp;'Output annual'!$AC$2&amp;'Output annual'!$AD$2&amp;"*FangerPMV(Hourly)",'Eplus results'!$1:$1048576,ROW(),FALSE)</f>
        <v>0</v>
      </c>
      <c r="AD442" s="580">
        <f t="shared" si="65"/>
        <v>5</v>
      </c>
      <c r="AE442" s="580">
        <f t="shared" si="66"/>
        <v>2.5</v>
      </c>
      <c r="AF442" s="580">
        <f t="shared" si="67"/>
        <v>2.5</v>
      </c>
      <c r="AG442" s="580">
        <f t="shared" si="68"/>
        <v>0</v>
      </c>
      <c r="AH442" s="580">
        <f t="shared" si="69"/>
        <v>0</v>
      </c>
      <c r="AI442" s="149"/>
      <c r="AJ442" s="149"/>
      <c r="AK442" s="149"/>
      <c r="AL442" s="149"/>
      <c r="AM442" s="149"/>
      <c r="AN442" s="149"/>
      <c r="AO442" s="149"/>
      <c r="AP442" s="149"/>
    </row>
    <row r="443" spans="2:42">
      <c r="B443" s="221"/>
      <c r="C443" s="54" t="str">
        <f>IF(RunType="OH", C442&amp;D442&amp;":Zone/sys Air Temperature[C](hourly)", C442&amp;D442&amp;":UF Occupied Subzone Temperature[C](Hourly)")</f>
        <v>TFCore:UF Occupied Subzone Temperature[C](Hourly)</v>
      </c>
      <c r="D443" s="223" t="str">
        <f>C442&amp;D442&amp;" ATU OUTLET NODE:System Node VolFlowRate[m3/s](hourly)"</f>
        <v>TFCore ATU OUTLET NODE:System Node VolFlowRate[m3/s](hourly)</v>
      </c>
      <c r="E443" s="179" t="str">
        <f>C442&amp;D442&amp;":Zone/sys Thermostat Cooling Setpoint[C](hourly)"</f>
        <v>TFCore:Zone/sys Thermostat Cooling Setpoint[C](hourly)</v>
      </c>
      <c r="F443" s="179" t="str">
        <f>C442&amp;D442&amp;":Zone/sys Thermostat Heating Setpoint[C](hourly)"</f>
        <v>TFCore:Zone/sys Thermostat Heating Setpoint[C](hourly)</v>
      </c>
      <c r="G443" s="179" t="str">
        <f>C442&amp;D442&amp;" ATU OUTLET NODE:System Node Temp[C](hourly)"</f>
        <v>TFCore ATU OUTLET NODE:System Node Temp[C](hourly)</v>
      </c>
      <c r="H443" s="229" t="s">
        <v>457</v>
      </c>
      <c r="I443" s="297"/>
      <c r="J443" s="149"/>
      <c r="K443" s="149"/>
      <c r="L443" s="149"/>
      <c r="M443" s="149"/>
      <c r="N443" s="149"/>
      <c r="O443" s="149"/>
      <c r="P443" s="149"/>
      <c r="Q443" s="149"/>
      <c r="R443" s="149"/>
      <c r="S443" s="149"/>
      <c r="T443" s="149"/>
      <c r="U443" s="149"/>
      <c r="V443" s="149"/>
      <c r="W443" s="149"/>
      <c r="X443" s="149"/>
      <c r="Y443" s="149"/>
      <c r="Z443" s="149"/>
      <c r="AA443" s="149"/>
      <c r="AB443" s="580">
        <f>HLOOKUP("*"&amp;'Output annual'!$AC$2&amp;'Output annual'!$AD$2&amp;"*Zone People Number Of Occupants [](Hourly)",'Eplus results'!$1:$1048576,ROW(),FALSE)</f>
        <v>0</v>
      </c>
      <c r="AC443" s="580">
        <f>HLOOKUP("*"&amp;'Output annual'!$AC$2&amp;'Output annual'!$AD$2&amp;"*FangerPMV(Hourly)",'Eplus results'!$1:$1048576,ROW(),FALSE)</f>
        <v>0</v>
      </c>
      <c r="AD443" s="580">
        <f t="shared" si="65"/>
        <v>5</v>
      </c>
      <c r="AE443" s="580">
        <f t="shared" si="66"/>
        <v>2.5</v>
      </c>
      <c r="AF443" s="580">
        <f t="shared" si="67"/>
        <v>2.5</v>
      </c>
      <c r="AG443" s="580">
        <f t="shared" si="68"/>
        <v>0</v>
      </c>
      <c r="AH443" s="580">
        <f t="shared" si="69"/>
        <v>0</v>
      </c>
      <c r="AI443" s="149"/>
      <c r="AJ443" s="149"/>
      <c r="AK443" s="149"/>
      <c r="AL443" s="149"/>
      <c r="AM443" s="149"/>
      <c r="AN443" s="149"/>
      <c r="AO443" s="149"/>
      <c r="AP443" s="149"/>
    </row>
    <row r="444" spans="2:42">
      <c r="B444" s="221"/>
      <c r="C444" s="54" t="s">
        <v>25</v>
      </c>
      <c r="D444" s="223" t="s">
        <v>104</v>
      </c>
      <c r="E444" s="179" t="s">
        <v>323</v>
      </c>
      <c r="F444" s="179" t="s">
        <v>343</v>
      </c>
      <c r="G444" s="179" t="s">
        <v>344</v>
      </c>
      <c r="H444" s="54" t="s">
        <v>31</v>
      </c>
      <c r="I444" s="297" t="s">
        <v>457</v>
      </c>
      <c r="J444" s="149"/>
      <c r="K444" s="149"/>
      <c r="L444" s="149"/>
      <c r="M444" s="149"/>
      <c r="N444" s="149"/>
      <c r="O444" s="149"/>
      <c r="P444" s="149"/>
      <c r="Q444" s="149"/>
      <c r="R444" s="149"/>
      <c r="S444" s="149"/>
      <c r="T444" s="149"/>
      <c r="U444" s="149"/>
      <c r="V444" s="149"/>
      <c r="W444" s="149"/>
      <c r="X444" s="149"/>
      <c r="Y444" s="149"/>
      <c r="Z444" s="149"/>
      <c r="AA444" s="149"/>
      <c r="AB444" s="580">
        <f>HLOOKUP("*"&amp;'Output annual'!$AC$2&amp;'Output annual'!$AD$2&amp;"*Zone People Number Of Occupants [](Hourly)",'Eplus results'!$1:$1048576,ROW(),FALSE)</f>
        <v>0</v>
      </c>
      <c r="AC444" s="580">
        <f>HLOOKUP("*"&amp;'Output annual'!$AC$2&amp;'Output annual'!$AD$2&amp;"*FangerPMV(Hourly)",'Eplus results'!$1:$1048576,ROW(),FALSE)</f>
        <v>0</v>
      </c>
      <c r="AD444" s="580">
        <f t="shared" si="65"/>
        <v>5</v>
      </c>
      <c r="AE444" s="580">
        <f t="shared" si="66"/>
        <v>2.5</v>
      </c>
      <c r="AF444" s="580">
        <f t="shared" si="67"/>
        <v>2.5</v>
      </c>
      <c r="AG444" s="580">
        <f t="shared" si="68"/>
        <v>0</v>
      </c>
      <c r="AH444" s="580">
        <f t="shared" si="69"/>
        <v>0</v>
      </c>
      <c r="AI444" s="149"/>
      <c r="AJ444" s="149"/>
      <c r="AK444" s="149"/>
      <c r="AL444" s="149"/>
      <c r="AM444" s="149"/>
      <c r="AN444" s="149"/>
      <c r="AO444" s="149"/>
      <c r="AP444" s="149"/>
    </row>
    <row r="445" spans="2:42">
      <c r="B445" s="221">
        <v>1</v>
      </c>
      <c r="C445" s="54" t="s">
        <v>109</v>
      </c>
      <c r="D445" s="223">
        <v>19.754105066848901</v>
      </c>
      <c r="E445" s="344">
        <v>0</v>
      </c>
      <c r="F445" s="179">
        <v>32.22</v>
      </c>
      <c r="G445" s="179">
        <v>12.78</v>
      </c>
      <c r="H445" s="223">
        <v>22.0671196179335</v>
      </c>
      <c r="I445" s="297">
        <v>0</v>
      </c>
      <c r="J445" s="149"/>
      <c r="K445" s="149"/>
      <c r="L445" s="149"/>
      <c r="M445" s="149"/>
      <c r="N445" s="149"/>
      <c r="O445" s="149"/>
      <c r="P445" s="149"/>
      <c r="Q445" s="149"/>
      <c r="R445" s="149"/>
      <c r="S445" s="149"/>
      <c r="T445" s="149"/>
      <c r="U445" s="149"/>
      <c r="V445" s="149"/>
      <c r="W445" s="149"/>
      <c r="X445" s="149"/>
      <c r="Y445" s="149"/>
      <c r="Z445" s="149"/>
      <c r="AA445" s="149"/>
      <c r="AB445" s="580">
        <f>HLOOKUP("*"&amp;'Output annual'!$AC$2&amp;'Output annual'!$AD$2&amp;"*Zone People Number Of Occupants [](Hourly)",'Eplus results'!$1:$1048576,ROW(),FALSE)</f>
        <v>0</v>
      </c>
      <c r="AC445" s="580">
        <f>HLOOKUP("*"&amp;'Output annual'!$AC$2&amp;'Output annual'!$AD$2&amp;"*FangerPMV(Hourly)",'Eplus results'!$1:$1048576,ROW(),FALSE)</f>
        <v>0</v>
      </c>
      <c r="AD445" s="580">
        <f t="shared" si="65"/>
        <v>5</v>
      </c>
      <c r="AE445" s="580">
        <f t="shared" si="66"/>
        <v>2.5</v>
      </c>
      <c r="AF445" s="580">
        <f t="shared" si="67"/>
        <v>2.5</v>
      </c>
      <c r="AG445" s="580">
        <f t="shared" si="68"/>
        <v>0</v>
      </c>
      <c r="AH445" s="580">
        <f t="shared" si="69"/>
        <v>0</v>
      </c>
      <c r="AI445" s="149"/>
      <c r="AJ445" s="149"/>
      <c r="AK445" s="149"/>
      <c r="AL445" s="149"/>
      <c r="AM445" s="149"/>
      <c r="AN445" s="149"/>
      <c r="AO445" s="149"/>
      <c r="AP445" s="149"/>
    </row>
    <row r="446" spans="2:42">
      <c r="B446" s="221">
        <v>2</v>
      </c>
      <c r="C446" s="54" t="s">
        <v>110</v>
      </c>
      <c r="D446" s="223">
        <v>19.278015591485499</v>
      </c>
      <c r="E446" s="344">
        <v>0</v>
      </c>
      <c r="F446" s="179">
        <v>32.22</v>
      </c>
      <c r="G446" s="179">
        <v>12.78</v>
      </c>
      <c r="H446" s="223">
        <v>21.904502249218101</v>
      </c>
      <c r="I446" s="297">
        <v>0</v>
      </c>
      <c r="J446" s="149"/>
      <c r="K446" s="149"/>
      <c r="L446" s="149"/>
      <c r="M446" s="149"/>
      <c r="N446" s="149"/>
      <c r="O446" s="149"/>
      <c r="P446" s="149"/>
      <c r="Q446" s="149"/>
      <c r="R446" s="149"/>
      <c r="S446" s="149"/>
      <c r="T446" s="149"/>
      <c r="U446" s="149"/>
      <c r="V446" s="149"/>
      <c r="W446" s="149"/>
      <c r="X446" s="149"/>
      <c r="Y446" s="149"/>
      <c r="Z446" s="149"/>
      <c r="AA446" s="149"/>
      <c r="AB446" s="580">
        <f>HLOOKUP("*"&amp;'Output annual'!$AC$2&amp;'Output annual'!$AD$2&amp;"*Zone People Number Of Occupants [](Hourly)",'Eplus results'!$1:$1048576,ROW(),FALSE)</f>
        <v>0</v>
      </c>
      <c r="AC446" s="580">
        <f>HLOOKUP("*"&amp;'Output annual'!$AC$2&amp;'Output annual'!$AD$2&amp;"*FangerPMV(Hourly)",'Eplus results'!$1:$1048576,ROW(),FALSE)</f>
        <v>0</v>
      </c>
      <c r="AD446" s="580">
        <f t="shared" si="65"/>
        <v>5</v>
      </c>
      <c r="AE446" s="580">
        <f t="shared" si="66"/>
        <v>2.5</v>
      </c>
      <c r="AF446" s="580">
        <f t="shared" si="67"/>
        <v>2.5</v>
      </c>
      <c r="AG446" s="580">
        <f t="shared" si="68"/>
        <v>0</v>
      </c>
      <c r="AH446" s="580">
        <f t="shared" si="69"/>
        <v>0</v>
      </c>
      <c r="AI446" s="149"/>
      <c r="AJ446" s="149"/>
      <c r="AK446" s="149"/>
      <c r="AL446" s="149"/>
      <c r="AM446" s="149"/>
      <c r="AN446" s="149"/>
      <c r="AO446" s="149"/>
      <c r="AP446" s="149"/>
    </row>
    <row r="447" spans="2:42">
      <c r="B447" s="221">
        <v>3</v>
      </c>
      <c r="C447" s="54" t="s">
        <v>111</v>
      </c>
      <c r="D447" s="223">
        <v>18.7986474088924</v>
      </c>
      <c r="E447" s="344">
        <v>0</v>
      </c>
      <c r="F447" s="179">
        <v>32.22</v>
      </c>
      <c r="G447" s="179">
        <v>12.78</v>
      </c>
      <c r="H447" s="223">
        <v>21.729320069404299</v>
      </c>
      <c r="I447" s="297">
        <v>0</v>
      </c>
      <c r="J447" s="149"/>
      <c r="K447" s="149"/>
      <c r="L447" s="149"/>
      <c r="M447" s="149"/>
      <c r="N447" s="149"/>
      <c r="O447" s="149"/>
      <c r="P447" s="149"/>
      <c r="Q447" s="149"/>
      <c r="R447" s="149"/>
      <c r="S447" s="149"/>
      <c r="T447" s="149"/>
      <c r="U447" s="149"/>
      <c r="V447" s="149"/>
      <c r="W447" s="149"/>
      <c r="X447" s="149"/>
      <c r="Y447" s="149"/>
      <c r="Z447" s="149"/>
      <c r="AA447" s="149"/>
      <c r="AB447" s="580">
        <f>HLOOKUP("*"&amp;'Output annual'!$AC$2&amp;'Output annual'!$AD$2&amp;"*Zone People Number Of Occupants [](Hourly)",'Eplus results'!$1:$1048576,ROW(),FALSE)</f>
        <v>0</v>
      </c>
      <c r="AC447" s="580">
        <f>HLOOKUP("*"&amp;'Output annual'!$AC$2&amp;'Output annual'!$AD$2&amp;"*FangerPMV(Hourly)",'Eplus results'!$1:$1048576,ROW(),FALSE)</f>
        <v>0</v>
      </c>
      <c r="AD447" s="580">
        <f t="shared" si="65"/>
        <v>5</v>
      </c>
      <c r="AE447" s="580">
        <f t="shared" si="66"/>
        <v>2.5</v>
      </c>
      <c r="AF447" s="580">
        <f t="shared" si="67"/>
        <v>2.5</v>
      </c>
      <c r="AG447" s="580">
        <f t="shared" si="68"/>
        <v>0</v>
      </c>
      <c r="AH447" s="580">
        <f t="shared" si="69"/>
        <v>0</v>
      </c>
      <c r="AI447" s="149"/>
      <c r="AJ447" s="149"/>
      <c r="AK447" s="149"/>
      <c r="AL447" s="149"/>
      <c r="AM447" s="149"/>
      <c r="AN447" s="149"/>
      <c r="AO447" s="149"/>
      <c r="AP447" s="149"/>
    </row>
    <row r="448" spans="2:42">
      <c r="B448" s="221">
        <v>4</v>
      </c>
      <c r="C448" s="54" t="s">
        <v>112</v>
      </c>
      <c r="D448" s="223">
        <v>18.303187145472901</v>
      </c>
      <c r="E448" s="344">
        <v>0</v>
      </c>
      <c r="F448" s="179">
        <v>32.22</v>
      </c>
      <c r="G448" s="179">
        <v>12.78</v>
      </c>
      <c r="H448" s="223">
        <v>21.5430728174723</v>
      </c>
      <c r="I448" s="297">
        <v>0</v>
      </c>
      <c r="J448" s="149"/>
      <c r="K448" s="149"/>
      <c r="L448" s="149"/>
      <c r="M448" s="149"/>
      <c r="N448" s="149"/>
      <c r="O448" s="149"/>
      <c r="P448" s="149"/>
      <c r="Q448" s="149"/>
      <c r="R448" s="149"/>
      <c r="S448" s="149"/>
      <c r="T448" s="149"/>
      <c r="U448" s="149"/>
      <c r="V448" s="149"/>
      <c r="W448" s="149"/>
      <c r="X448" s="149"/>
      <c r="Y448" s="149"/>
      <c r="Z448" s="149"/>
      <c r="AA448" s="149"/>
      <c r="AB448" s="580">
        <f>HLOOKUP("*"&amp;'Output annual'!$AC$2&amp;'Output annual'!$AD$2&amp;"*Zone People Number Of Occupants [](Hourly)",'Eplus results'!$1:$1048576,ROW(),FALSE)</f>
        <v>0</v>
      </c>
      <c r="AC448" s="580">
        <f>HLOOKUP("*"&amp;'Output annual'!$AC$2&amp;'Output annual'!$AD$2&amp;"*FangerPMV(Hourly)",'Eplus results'!$1:$1048576,ROW(),FALSE)</f>
        <v>0</v>
      </c>
      <c r="AD448" s="580">
        <f t="shared" si="65"/>
        <v>5</v>
      </c>
      <c r="AE448" s="580">
        <f t="shared" si="66"/>
        <v>2.5</v>
      </c>
      <c r="AF448" s="580">
        <f t="shared" si="67"/>
        <v>2.5</v>
      </c>
      <c r="AG448" s="580">
        <f t="shared" si="68"/>
        <v>0</v>
      </c>
      <c r="AH448" s="580">
        <f t="shared" si="69"/>
        <v>0</v>
      </c>
      <c r="AI448" s="149"/>
      <c r="AJ448" s="149"/>
      <c r="AK448" s="149"/>
      <c r="AL448" s="149"/>
      <c r="AM448" s="149"/>
      <c r="AN448" s="149"/>
      <c r="AO448" s="149"/>
      <c r="AP448" s="149"/>
    </row>
    <row r="449" spans="2:42">
      <c r="B449" s="221">
        <v>5</v>
      </c>
      <c r="C449" s="54" t="s">
        <v>113</v>
      </c>
      <c r="D449" s="223">
        <v>17.8164049282638</v>
      </c>
      <c r="E449" s="344">
        <v>0</v>
      </c>
      <c r="F449" s="179">
        <v>32.22</v>
      </c>
      <c r="G449" s="179">
        <v>12.78</v>
      </c>
      <c r="H449" s="223">
        <v>21.345317012512201</v>
      </c>
      <c r="I449" s="297">
        <v>0</v>
      </c>
      <c r="J449" s="149"/>
      <c r="K449" s="149"/>
      <c r="L449" s="149"/>
      <c r="M449" s="149"/>
      <c r="N449" s="149"/>
      <c r="O449" s="149"/>
      <c r="P449" s="149"/>
      <c r="Q449" s="149"/>
      <c r="R449" s="149"/>
      <c r="S449" s="149"/>
      <c r="T449" s="149"/>
      <c r="U449" s="149"/>
      <c r="V449" s="149"/>
      <c r="W449" s="149"/>
      <c r="X449" s="149"/>
      <c r="Y449" s="149"/>
      <c r="Z449" s="149"/>
      <c r="AA449" s="149"/>
      <c r="AB449" s="580">
        <f>HLOOKUP("*"&amp;'Output annual'!$AC$2&amp;'Output annual'!$AD$2&amp;"*Zone People Number Of Occupants [](Hourly)",'Eplus results'!$1:$1048576,ROW(),FALSE)</f>
        <v>0</v>
      </c>
      <c r="AC449" s="580">
        <f>HLOOKUP("*"&amp;'Output annual'!$AC$2&amp;'Output annual'!$AD$2&amp;"*FangerPMV(Hourly)",'Eplus results'!$1:$1048576,ROW(),FALSE)</f>
        <v>0</v>
      </c>
      <c r="AD449" s="580">
        <f t="shared" si="65"/>
        <v>5</v>
      </c>
      <c r="AE449" s="580">
        <f t="shared" si="66"/>
        <v>2.5</v>
      </c>
      <c r="AF449" s="580">
        <f t="shared" si="67"/>
        <v>2.5</v>
      </c>
      <c r="AG449" s="580">
        <f t="shared" si="68"/>
        <v>0</v>
      </c>
      <c r="AH449" s="580">
        <f t="shared" si="69"/>
        <v>0</v>
      </c>
      <c r="AI449" s="149"/>
      <c r="AJ449" s="149"/>
      <c r="AK449" s="149"/>
      <c r="AL449" s="149"/>
      <c r="AM449" s="149"/>
      <c r="AN449" s="149"/>
      <c r="AO449" s="149"/>
      <c r="AP449" s="149"/>
    </row>
    <row r="450" spans="2:42">
      <c r="B450" s="221">
        <v>6</v>
      </c>
      <c r="C450" s="54" t="s">
        <v>114</v>
      </c>
      <c r="D450" s="223">
        <v>17.726202303246598</v>
      </c>
      <c r="E450" s="344">
        <v>0.33183981472282698</v>
      </c>
      <c r="F450" s="179">
        <v>23.89</v>
      </c>
      <c r="G450" s="179">
        <v>21.11</v>
      </c>
      <c r="H450" s="223">
        <v>20.022496384484299</v>
      </c>
      <c r="I450" s="297">
        <v>0</v>
      </c>
      <c r="J450" s="149"/>
      <c r="K450" s="149"/>
      <c r="L450" s="149"/>
      <c r="M450" s="149"/>
      <c r="N450" s="149"/>
      <c r="O450" s="149"/>
      <c r="P450" s="149"/>
      <c r="Q450" s="149"/>
      <c r="R450" s="149"/>
      <c r="S450" s="149"/>
      <c r="T450" s="149"/>
      <c r="U450" s="149"/>
      <c r="V450" s="149"/>
      <c r="W450" s="149"/>
      <c r="X450" s="149"/>
      <c r="Y450" s="149"/>
      <c r="Z450" s="149"/>
      <c r="AA450" s="149"/>
      <c r="AB450" s="580">
        <f>HLOOKUP("*"&amp;'Output annual'!$AC$2&amp;'Output annual'!$AD$2&amp;"*Zone People Number Of Occupants [](Hourly)",'Eplus results'!$1:$1048576,ROW(),FALSE)</f>
        <v>0</v>
      </c>
      <c r="AC450" s="580">
        <f>HLOOKUP("*"&amp;'Output annual'!$AC$2&amp;'Output annual'!$AD$2&amp;"*FangerPMV(Hourly)",'Eplus results'!$1:$1048576,ROW(),FALSE)</f>
        <v>0</v>
      </c>
      <c r="AD450" s="580">
        <f t="shared" si="65"/>
        <v>5</v>
      </c>
      <c r="AE450" s="580">
        <f t="shared" si="66"/>
        <v>2.5</v>
      </c>
      <c r="AF450" s="580">
        <f t="shared" si="67"/>
        <v>2.5</v>
      </c>
      <c r="AG450" s="580">
        <f t="shared" si="68"/>
        <v>0</v>
      </c>
      <c r="AH450" s="580">
        <f t="shared" si="69"/>
        <v>0</v>
      </c>
      <c r="AI450" s="149"/>
      <c r="AJ450" s="149"/>
      <c r="AK450" s="149"/>
      <c r="AL450" s="149"/>
      <c r="AM450" s="149"/>
      <c r="AN450" s="149"/>
      <c r="AO450" s="149"/>
      <c r="AP450" s="149"/>
    </row>
    <row r="451" spans="2:42">
      <c r="B451" s="221">
        <v>7</v>
      </c>
      <c r="C451" s="54" t="s">
        <v>115</v>
      </c>
      <c r="D451" s="223">
        <v>17.9926549646685</v>
      </c>
      <c r="E451" s="344">
        <v>0.33183981472282698</v>
      </c>
      <c r="F451" s="179">
        <v>23.89</v>
      </c>
      <c r="G451" s="179">
        <v>21.11</v>
      </c>
      <c r="H451" s="223">
        <v>19.493803987139</v>
      </c>
      <c r="I451" s="297">
        <v>0</v>
      </c>
      <c r="J451" s="149"/>
      <c r="K451" s="149"/>
      <c r="L451" s="149"/>
      <c r="M451" s="149"/>
      <c r="N451" s="149"/>
      <c r="O451" s="149"/>
      <c r="P451" s="149"/>
      <c r="Q451" s="149"/>
      <c r="R451" s="149"/>
      <c r="S451" s="149"/>
      <c r="T451" s="149"/>
      <c r="U451" s="149"/>
      <c r="V451" s="149"/>
      <c r="W451" s="149"/>
      <c r="X451" s="149"/>
      <c r="Y451" s="149"/>
      <c r="Z451" s="149"/>
      <c r="AA451" s="149"/>
      <c r="AB451" s="580">
        <f>HLOOKUP("*"&amp;'Output annual'!$AC$2&amp;'Output annual'!$AD$2&amp;"*Zone People Number Of Occupants [](Hourly)",'Eplus results'!$1:$1048576,ROW(),FALSE)</f>
        <v>0</v>
      </c>
      <c r="AC451" s="580">
        <f>HLOOKUP("*"&amp;'Output annual'!$AC$2&amp;'Output annual'!$AD$2&amp;"*FangerPMV(Hourly)",'Eplus results'!$1:$1048576,ROW(),FALSE)</f>
        <v>0</v>
      </c>
      <c r="AD451" s="580">
        <f t="shared" ref="AD451:AD514" si="71">100-95*EXP(-0.03353*AC451^4-0.2179*AC451^2)</f>
        <v>5</v>
      </c>
      <c r="AE451" s="580">
        <f t="shared" ref="AE451:AE514" si="72">AD451*(1/(1+EXP(-6.3*$AC451)))</f>
        <v>2.5</v>
      </c>
      <c r="AF451" s="580">
        <f t="shared" ref="AF451:AF514" si="73">(AD451-AE451)</f>
        <v>2.5</v>
      </c>
      <c r="AG451" s="580">
        <f t="shared" ref="AG451:AG514" si="74">AE451*AB451</f>
        <v>0</v>
      </c>
      <c r="AH451" s="580">
        <f t="shared" ref="AH451:AH514" si="75">AF451*AB451</f>
        <v>0</v>
      </c>
      <c r="AI451" s="149"/>
      <c r="AJ451" s="149"/>
      <c r="AK451" s="149"/>
      <c r="AL451" s="149"/>
      <c r="AM451" s="149"/>
      <c r="AN451" s="149"/>
      <c r="AO451" s="149"/>
      <c r="AP451" s="149"/>
    </row>
    <row r="452" spans="2:42" ht="15">
      <c r="B452" s="221">
        <v>8</v>
      </c>
      <c r="C452" s="345" t="s">
        <v>116</v>
      </c>
      <c r="D452" s="346">
        <v>21.2557632640316</v>
      </c>
      <c r="E452" s="347">
        <v>0.33183981472282698</v>
      </c>
      <c r="F452" s="348">
        <v>23.89</v>
      </c>
      <c r="G452" s="348">
        <v>21.11</v>
      </c>
      <c r="H452" s="349">
        <v>19.4559683142678</v>
      </c>
      <c r="I452" s="350">
        <v>4.6955642876078237E-2</v>
      </c>
      <c r="J452" s="178"/>
      <c r="K452" s="178"/>
      <c r="L452" s="178"/>
      <c r="M452" s="178"/>
      <c r="N452" s="178"/>
      <c r="O452" s="178"/>
      <c r="P452" s="178"/>
      <c r="Q452" s="178"/>
      <c r="R452" s="178"/>
      <c r="S452" s="178"/>
      <c r="T452" s="178"/>
      <c r="U452" s="178"/>
      <c r="V452" s="178"/>
      <c r="W452" s="178"/>
      <c r="X452" s="178"/>
      <c r="Y452" s="178"/>
      <c r="Z452" s="178"/>
      <c r="AA452" s="178"/>
      <c r="AB452" s="580">
        <f>HLOOKUP("*"&amp;'Output annual'!$AC$2&amp;'Output annual'!$AD$2&amp;"*Zone People Number Of Occupants [](Hourly)",'Eplus results'!$1:$1048576,ROW(),FALSE)</f>
        <v>0</v>
      </c>
      <c r="AC452" s="580">
        <f>HLOOKUP("*"&amp;'Output annual'!$AC$2&amp;'Output annual'!$AD$2&amp;"*FangerPMV(Hourly)",'Eplus results'!$1:$1048576,ROW(),FALSE)</f>
        <v>0</v>
      </c>
      <c r="AD452" s="580">
        <f t="shared" si="71"/>
        <v>5</v>
      </c>
      <c r="AE452" s="580">
        <f t="shared" si="72"/>
        <v>2.5</v>
      </c>
      <c r="AF452" s="580">
        <f t="shared" si="73"/>
        <v>2.5</v>
      </c>
      <c r="AG452" s="580">
        <f t="shared" si="74"/>
        <v>0</v>
      </c>
      <c r="AH452" s="580">
        <f t="shared" si="75"/>
        <v>0</v>
      </c>
      <c r="AI452" s="178"/>
      <c r="AJ452" s="178"/>
      <c r="AK452" s="178"/>
      <c r="AL452" s="178"/>
      <c r="AM452" s="178"/>
      <c r="AN452" s="178"/>
      <c r="AO452" s="178"/>
      <c r="AP452" s="178"/>
    </row>
    <row r="453" spans="2:42" ht="15">
      <c r="B453" s="221">
        <v>9</v>
      </c>
      <c r="C453" s="351" t="s">
        <v>117</v>
      </c>
      <c r="D453" s="352">
        <v>22.606565212647901</v>
      </c>
      <c r="E453" s="353">
        <v>0.33183981472282698</v>
      </c>
      <c r="F453" s="354">
        <v>23.89</v>
      </c>
      <c r="G453" s="354">
        <v>21.11</v>
      </c>
      <c r="H453" s="55">
        <v>19.4068524465713</v>
      </c>
      <c r="I453" s="355">
        <v>8.9126306453532658E-2</v>
      </c>
      <c r="J453" s="176"/>
      <c r="K453" s="176"/>
      <c r="L453" s="176"/>
      <c r="M453" s="176"/>
      <c r="N453" s="176"/>
      <c r="O453" s="176"/>
      <c r="P453" s="176"/>
      <c r="Q453" s="176"/>
      <c r="R453" s="176"/>
      <c r="S453" s="176"/>
      <c r="T453" s="176"/>
      <c r="U453" s="176"/>
      <c r="V453" s="176"/>
      <c r="W453" s="176"/>
      <c r="X453" s="176"/>
      <c r="Y453" s="176"/>
      <c r="Z453" s="176"/>
      <c r="AA453" s="176"/>
      <c r="AB453" s="580">
        <f>HLOOKUP("*"&amp;'Output annual'!$AC$2&amp;'Output annual'!$AD$2&amp;"*Zone People Number Of Occupants [](Hourly)",'Eplus results'!$1:$1048576,ROW(),FALSE)</f>
        <v>0</v>
      </c>
      <c r="AC453" s="580">
        <f>HLOOKUP("*"&amp;'Output annual'!$AC$2&amp;'Output annual'!$AD$2&amp;"*FangerPMV(Hourly)",'Eplus results'!$1:$1048576,ROW(),FALSE)</f>
        <v>0</v>
      </c>
      <c r="AD453" s="580">
        <f t="shared" si="71"/>
        <v>5</v>
      </c>
      <c r="AE453" s="580">
        <f t="shared" si="72"/>
        <v>2.5</v>
      </c>
      <c r="AF453" s="580">
        <f t="shared" si="73"/>
        <v>2.5</v>
      </c>
      <c r="AG453" s="580">
        <f t="shared" si="74"/>
        <v>0</v>
      </c>
      <c r="AH453" s="580">
        <f t="shared" si="75"/>
        <v>0</v>
      </c>
      <c r="AI453" s="176"/>
      <c r="AJ453" s="176"/>
      <c r="AK453" s="176"/>
      <c r="AL453" s="176"/>
      <c r="AM453" s="176"/>
      <c r="AN453" s="176"/>
      <c r="AO453" s="176"/>
      <c r="AP453" s="176"/>
    </row>
    <row r="454" spans="2:42">
      <c r="B454" s="221">
        <v>10</v>
      </c>
      <c r="C454" s="54" t="s">
        <v>118</v>
      </c>
      <c r="D454" s="223">
        <v>23.8870884467655</v>
      </c>
      <c r="E454" s="344">
        <v>0.71385611290902395</v>
      </c>
      <c r="F454" s="179">
        <v>23.89</v>
      </c>
      <c r="G454" s="179">
        <v>21.11</v>
      </c>
      <c r="H454" s="223">
        <v>18.626919820198601</v>
      </c>
      <c r="I454" s="297">
        <v>0.22191721864439798</v>
      </c>
      <c r="J454" s="149"/>
      <c r="K454" s="149"/>
      <c r="L454" s="149"/>
      <c r="M454" s="149"/>
      <c r="N454" s="149"/>
      <c r="O454" s="149"/>
      <c r="P454" s="149"/>
      <c r="Q454" s="149"/>
      <c r="R454" s="149"/>
      <c r="S454" s="149"/>
      <c r="T454" s="149"/>
      <c r="U454" s="149"/>
      <c r="V454" s="149"/>
      <c r="W454" s="149"/>
      <c r="X454" s="149"/>
      <c r="Y454" s="149"/>
      <c r="Z454" s="149"/>
      <c r="AA454" s="149"/>
      <c r="AB454" s="580">
        <f>HLOOKUP("*"&amp;'Output annual'!$AC$2&amp;'Output annual'!$AD$2&amp;"*Zone People Number Of Occupants [](Hourly)",'Eplus results'!$1:$1048576,ROW(),FALSE)</f>
        <v>0</v>
      </c>
      <c r="AC454" s="580">
        <f>HLOOKUP("*"&amp;'Output annual'!$AC$2&amp;'Output annual'!$AD$2&amp;"*FangerPMV(Hourly)",'Eplus results'!$1:$1048576,ROW(),FALSE)</f>
        <v>0</v>
      </c>
      <c r="AD454" s="580">
        <f t="shared" si="71"/>
        <v>5</v>
      </c>
      <c r="AE454" s="580">
        <f t="shared" si="72"/>
        <v>2.5</v>
      </c>
      <c r="AF454" s="580">
        <f t="shared" si="73"/>
        <v>2.5</v>
      </c>
      <c r="AG454" s="580">
        <f t="shared" si="74"/>
        <v>0</v>
      </c>
      <c r="AH454" s="580">
        <f t="shared" si="75"/>
        <v>0</v>
      </c>
      <c r="AI454" s="149"/>
      <c r="AJ454" s="149"/>
      <c r="AK454" s="149"/>
      <c r="AL454" s="149"/>
      <c r="AM454" s="149"/>
      <c r="AN454" s="149"/>
      <c r="AO454" s="149"/>
      <c r="AP454" s="149"/>
    </row>
    <row r="455" spans="2:42">
      <c r="B455" s="221">
        <v>11</v>
      </c>
      <c r="C455" s="54" t="s">
        <v>119</v>
      </c>
      <c r="D455" s="223">
        <v>24.307925178089</v>
      </c>
      <c r="E455" s="344">
        <v>1.25612099677224</v>
      </c>
      <c r="F455" s="179">
        <v>23.89</v>
      </c>
      <c r="G455" s="179">
        <v>21.11</v>
      </c>
      <c r="H455" s="223">
        <v>18.3625781565189</v>
      </c>
      <c r="I455" s="297">
        <v>0.38128351061152199</v>
      </c>
      <c r="J455" s="149"/>
      <c r="K455" s="149"/>
      <c r="L455" s="149"/>
      <c r="M455" s="149"/>
      <c r="N455" s="149"/>
      <c r="O455" s="149"/>
      <c r="P455" s="149"/>
      <c r="Q455" s="149"/>
      <c r="R455" s="149"/>
      <c r="S455" s="149"/>
      <c r="T455" s="149"/>
      <c r="U455" s="149"/>
      <c r="V455" s="149"/>
      <c r="W455" s="149"/>
      <c r="X455" s="149"/>
      <c r="Y455" s="149"/>
      <c r="Z455" s="149"/>
      <c r="AA455" s="149"/>
      <c r="AB455" s="580">
        <f>HLOOKUP("*"&amp;'Output annual'!$AC$2&amp;'Output annual'!$AD$2&amp;"*Zone People Number Of Occupants [](Hourly)",'Eplus results'!$1:$1048576,ROW(),FALSE)</f>
        <v>0</v>
      </c>
      <c r="AC455" s="580">
        <f>HLOOKUP("*"&amp;'Output annual'!$AC$2&amp;'Output annual'!$AD$2&amp;"*FangerPMV(Hourly)",'Eplus results'!$1:$1048576,ROW(),FALSE)</f>
        <v>0</v>
      </c>
      <c r="AD455" s="580">
        <f t="shared" si="71"/>
        <v>5</v>
      </c>
      <c r="AE455" s="580">
        <f t="shared" si="72"/>
        <v>2.5</v>
      </c>
      <c r="AF455" s="580">
        <f t="shared" si="73"/>
        <v>2.5</v>
      </c>
      <c r="AG455" s="580">
        <f t="shared" si="74"/>
        <v>0</v>
      </c>
      <c r="AH455" s="580">
        <f t="shared" si="75"/>
        <v>0</v>
      </c>
      <c r="AI455" s="149"/>
      <c r="AJ455" s="149"/>
      <c r="AK455" s="149"/>
      <c r="AL455" s="149"/>
      <c r="AM455" s="149"/>
      <c r="AN455" s="149"/>
      <c r="AO455" s="149"/>
      <c r="AP455" s="149"/>
    </row>
    <row r="456" spans="2:42">
      <c r="B456" s="221">
        <v>12</v>
      </c>
      <c r="C456" s="54" t="s">
        <v>120</v>
      </c>
      <c r="D456" s="223">
        <v>24.2488075341384</v>
      </c>
      <c r="E456" s="344">
        <v>1.6961329489817401</v>
      </c>
      <c r="F456" s="179">
        <v>23.89</v>
      </c>
      <c r="G456" s="179">
        <v>21.11</v>
      </c>
      <c r="H456" s="223">
        <v>18.267247001040399</v>
      </c>
      <c r="I456" s="297">
        <v>0.48521171479859154</v>
      </c>
      <c r="J456" s="149"/>
      <c r="K456" s="149"/>
      <c r="L456" s="149"/>
      <c r="M456" s="149"/>
      <c r="N456" s="149"/>
      <c r="O456" s="149"/>
      <c r="P456" s="149"/>
      <c r="Q456" s="149"/>
      <c r="R456" s="149"/>
      <c r="S456" s="149"/>
      <c r="T456" s="149"/>
      <c r="U456" s="149"/>
      <c r="V456" s="149"/>
      <c r="W456" s="149"/>
      <c r="X456" s="149"/>
      <c r="Y456" s="149"/>
      <c r="Z456" s="149"/>
      <c r="AA456" s="149"/>
      <c r="AB456" s="580">
        <f>HLOOKUP("*"&amp;'Output annual'!$AC$2&amp;'Output annual'!$AD$2&amp;"*Zone People Number Of Occupants [](Hourly)",'Eplus results'!$1:$1048576,ROW(),FALSE)</f>
        <v>0</v>
      </c>
      <c r="AC456" s="580">
        <f>HLOOKUP("*"&amp;'Output annual'!$AC$2&amp;'Output annual'!$AD$2&amp;"*FangerPMV(Hourly)",'Eplus results'!$1:$1048576,ROW(),FALSE)</f>
        <v>0</v>
      </c>
      <c r="AD456" s="580">
        <f t="shared" si="71"/>
        <v>5</v>
      </c>
      <c r="AE456" s="580">
        <f t="shared" si="72"/>
        <v>2.5</v>
      </c>
      <c r="AF456" s="580">
        <f t="shared" si="73"/>
        <v>2.5</v>
      </c>
      <c r="AG456" s="580">
        <f t="shared" si="74"/>
        <v>0</v>
      </c>
      <c r="AH456" s="580">
        <f t="shared" si="75"/>
        <v>0</v>
      </c>
      <c r="AI456" s="149"/>
      <c r="AJ456" s="149"/>
      <c r="AK456" s="149"/>
      <c r="AL456" s="149"/>
      <c r="AM456" s="149"/>
      <c r="AN456" s="149"/>
      <c r="AO456" s="149"/>
      <c r="AP456" s="149"/>
    </row>
    <row r="457" spans="2:42">
      <c r="B457" s="221">
        <v>13</v>
      </c>
      <c r="C457" s="54" t="s">
        <v>121</v>
      </c>
      <c r="D457" s="223">
        <v>24.060139554026801</v>
      </c>
      <c r="E457" s="344">
        <v>2.0736828271385601</v>
      </c>
      <c r="F457" s="179">
        <v>23.89</v>
      </c>
      <c r="G457" s="179">
        <v>21.11</v>
      </c>
      <c r="H457" s="223">
        <v>18.2274324442539</v>
      </c>
      <c r="I457" s="297">
        <v>0.55372091110019295</v>
      </c>
      <c r="J457" s="149"/>
      <c r="K457" s="149"/>
      <c r="L457" s="149"/>
      <c r="M457" s="149"/>
      <c r="N457" s="149"/>
      <c r="O457" s="149"/>
      <c r="P457" s="149"/>
      <c r="Q457" s="149"/>
      <c r="R457" s="149"/>
      <c r="S457" s="149"/>
      <c r="T457" s="149"/>
      <c r="U457" s="149"/>
      <c r="V457" s="149"/>
      <c r="W457" s="149"/>
      <c r="X457" s="149"/>
      <c r="Y457" s="149"/>
      <c r="Z457" s="149"/>
      <c r="AA457" s="149"/>
      <c r="AB457" s="580">
        <f>HLOOKUP("*"&amp;'Output annual'!$AC$2&amp;'Output annual'!$AD$2&amp;"*Zone People Number Of Occupants [](Hourly)",'Eplus results'!$1:$1048576,ROW(),FALSE)</f>
        <v>0</v>
      </c>
      <c r="AC457" s="580">
        <f>HLOOKUP("*"&amp;'Output annual'!$AC$2&amp;'Output annual'!$AD$2&amp;"*FangerPMV(Hourly)",'Eplus results'!$1:$1048576,ROW(),FALSE)</f>
        <v>0</v>
      </c>
      <c r="AD457" s="580">
        <f t="shared" si="71"/>
        <v>5</v>
      </c>
      <c r="AE457" s="580">
        <f t="shared" si="72"/>
        <v>2.5</v>
      </c>
      <c r="AF457" s="580">
        <f t="shared" si="73"/>
        <v>2.5</v>
      </c>
      <c r="AG457" s="580">
        <f t="shared" si="74"/>
        <v>0</v>
      </c>
      <c r="AH457" s="580">
        <f t="shared" si="75"/>
        <v>0</v>
      </c>
      <c r="AI457" s="149"/>
      <c r="AJ457" s="149"/>
      <c r="AK457" s="149"/>
      <c r="AL457" s="149"/>
      <c r="AM457" s="149"/>
      <c r="AN457" s="149"/>
      <c r="AO457" s="149"/>
      <c r="AP457" s="149"/>
    </row>
    <row r="458" spans="2:42">
      <c r="B458" s="221">
        <v>14</v>
      </c>
      <c r="C458" s="54" t="s">
        <v>122</v>
      </c>
      <c r="D458" s="223">
        <v>23.924254152923002</v>
      </c>
      <c r="E458" s="344">
        <v>2.2440906472313702</v>
      </c>
      <c r="F458" s="179">
        <v>23.89</v>
      </c>
      <c r="G458" s="179">
        <v>21.11</v>
      </c>
      <c r="H458" s="223">
        <v>18.215320179754599</v>
      </c>
      <c r="I458" s="297">
        <v>0.57314163348318381</v>
      </c>
      <c r="J458" s="149"/>
      <c r="K458" s="149"/>
      <c r="L458" s="149"/>
      <c r="M458" s="149"/>
      <c r="N458" s="149"/>
      <c r="O458" s="149"/>
      <c r="P458" s="149"/>
      <c r="Q458" s="149"/>
      <c r="R458" s="149"/>
      <c r="S458" s="149"/>
      <c r="T458" s="149"/>
      <c r="U458" s="149"/>
      <c r="V458" s="149"/>
      <c r="W458" s="149"/>
      <c r="X458" s="149"/>
      <c r="Y458" s="149"/>
      <c r="Z458" s="149"/>
      <c r="AA458" s="149"/>
      <c r="AB458" s="580">
        <f>HLOOKUP("*"&amp;'Output annual'!$AC$2&amp;'Output annual'!$AD$2&amp;"*Zone People Number Of Occupants [](Hourly)",'Eplus results'!$1:$1048576,ROW(),FALSE)</f>
        <v>0</v>
      </c>
      <c r="AC458" s="580">
        <f>HLOOKUP("*"&amp;'Output annual'!$AC$2&amp;'Output annual'!$AD$2&amp;"*FangerPMV(Hourly)",'Eplus results'!$1:$1048576,ROW(),FALSE)</f>
        <v>0</v>
      </c>
      <c r="AD458" s="580">
        <f t="shared" si="71"/>
        <v>5</v>
      </c>
      <c r="AE458" s="580">
        <f t="shared" si="72"/>
        <v>2.5</v>
      </c>
      <c r="AF458" s="580">
        <f t="shared" si="73"/>
        <v>2.5</v>
      </c>
      <c r="AG458" s="580">
        <f t="shared" si="74"/>
        <v>0</v>
      </c>
      <c r="AH458" s="580">
        <f t="shared" si="75"/>
        <v>0</v>
      </c>
      <c r="AI458" s="149"/>
      <c r="AJ458" s="149"/>
      <c r="AK458" s="149"/>
      <c r="AL458" s="149"/>
      <c r="AM458" s="149"/>
      <c r="AN458" s="149"/>
      <c r="AO458" s="149"/>
      <c r="AP458" s="149"/>
    </row>
    <row r="459" spans="2:42">
      <c r="B459" s="221">
        <v>15</v>
      </c>
      <c r="C459" s="54" t="s">
        <v>123</v>
      </c>
      <c r="D459" s="223">
        <v>23.910820298451299</v>
      </c>
      <c r="E459" s="344">
        <v>2.31163937160263</v>
      </c>
      <c r="F459" s="179">
        <v>23.89</v>
      </c>
      <c r="G459" s="179">
        <v>21.11</v>
      </c>
      <c r="H459" s="223">
        <v>18.227354941485199</v>
      </c>
      <c r="I459" s="297">
        <v>0.58367730720496069</v>
      </c>
      <c r="J459" s="149"/>
      <c r="K459" s="149"/>
      <c r="L459" s="149"/>
      <c r="M459" s="149"/>
      <c r="N459" s="149"/>
      <c r="O459" s="149"/>
      <c r="P459" s="149"/>
      <c r="Q459" s="149"/>
      <c r="R459" s="149"/>
      <c r="S459" s="149"/>
      <c r="T459" s="149"/>
      <c r="U459" s="149"/>
      <c r="V459" s="149"/>
      <c r="W459" s="149"/>
      <c r="X459" s="149"/>
      <c r="Y459" s="149"/>
      <c r="Z459" s="149"/>
      <c r="AA459" s="149"/>
      <c r="AB459" s="580">
        <f>HLOOKUP("*"&amp;'Output annual'!$AC$2&amp;'Output annual'!$AD$2&amp;"*Zone People Number Of Occupants [](Hourly)",'Eplus results'!$1:$1048576,ROW(),FALSE)</f>
        <v>0</v>
      </c>
      <c r="AC459" s="580">
        <f>HLOOKUP("*"&amp;'Output annual'!$AC$2&amp;'Output annual'!$AD$2&amp;"*FangerPMV(Hourly)",'Eplus results'!$1:$1048576,ROW(),FALSE)</f>
        <v>0</v>
      </c>
      <c r="AD459" s="580">
        <f t="shared" si="71"/>
        <v>5</v>
      </c>
      <c r="AE459" s="580">
        <f t="shared" si="72"/>
        <v>2.5</v>
      </c>
      <c r="AF459" s="580">
        <f t="shared" si="73"/>
        <v>2.5</v>
      </c>
      <c r="AG459" s="580">
        <f t="shared" si="74"/>
        <v>0</v>
      </c>
      <c r="AH459" s="580">
        <f t="shared" si="75"/>
        <v>0</v>
      </c>
      <c r="AI459" s="149"/>
      <c r="AJ459" s="149"/>
      <c r="AK459" s="149"/>
      <c r="AL459" s="149"/>
      <c r="AM459" s="149"/>
      <c r="AN459" s="149"/>
      <c r="AO459" s="149"/>
      <c r="AP459" s="149"/>
    </row>
    <row r="460" spans="2:42">
      <c r="B460" s="221">
        <v>16</v>
      </c>
      <c r="C460" s="54" t="s">
        <v>124</v>
      </c>
      <c r="D460" s="223">
        <v>23.914042337321899</v>
      </c>
      <c r="E460" s="344">
        <v>2.3605717224960201</v>
      </c>
      <c r="F460" s="179">
        <v>23.89</v>
      </c>
      <c r="G460" s="179">
        <v>21.11</v>
      </c>
      <c r="H460" s="223">
        <v>18.303537930477699</v>
      </c>
      <c r="I460" s="297">
        <v>0.58541767601435146</v>
      </c>
      <c r="J460" s="149"/>
      <c r="K460" s="149"/>
      <c r="L460" s="149"/>
      <c r="M460" s="149"/>
      <c r="N460" s="149"/>
      <c r="O460" s="149"/>
      <c r="P460" s="149"/>
      <c r="Q460" s="149"/>
      <c r="R460" s="149"/>
      <c r="S460" s="149"/>
      <c r="T460" s="149"/>
      <c r="U460" s="149"/>
      <c r="V460" s="149"/>
      <c r="W460" s="149"/>
      <c r="X460" s="149"/>
      <c r="Y460" s="149"/>
      <c r="Z460" s="149"/>
      <c r="AA460" s="149"/>
      <c r="AB460" s="580">
        <f>HLOOKUP("*"&amp;'Output annual'!$AC$2&amp;'Output annual'!$AD$2&amp;"*Zone People Number Of Occupants [](Hourly)",'Eplus results'!$1:$1048576,ROW(),FALSE)</f>
        <v>0</v>
      </c>
      <c r="AC460" s="580">
        <f>HLOOKUP("*"&amp;'Output annual'!$AC$2&amp;'Output annual'!$AD$2&amp;"*FangerPMV(Hourly)",'Eplus results'!$1:$1048576,ROW(),FALSE)</f>
        <v>0</v>
      </c>
      <c r="AD460" s="580">
        <f t="shared" si="71"/>
        <v>5</v>
      </c>
      <c r="AE460" s="580">
        <f t="shared" si="72"/>
        <v>2.5</v>
      </c>
      <c r="AF460" s="580">
        <f t="shared" si="73"/>
        <v>2.5</v>
      </c>
      <c r="AG460" s="580">
        <f t="shared" si="74"/>
        <v>0</v>
      </c>
      <c r="AH460" s="580">
        <f t="shared" si="75"/>
        <v>0</v>
      </c>
      <c r="AI460" s="149"/>
      <c r="AJ460" s="149"/>
      <c r="AK460" s="149"/>
      <c r="AL460" s="149"/>
      <c r="AM460" s="149"/>
      <c r="AN460" s="149"/>
      <c r="AO460" s="149"/>
      <c r="AP460" s="149"/>
    </row>
    <row r="461" spans="2:42">
      <c r="B461" s="221">
        <v>17</v>
      </c>
      <c r="C461" s="54" t="s">
        <v>125</v>
      </c>
      <c r="D461" s="223">
        <v>23.9071668496344</v>
      </c>
      <c r="E461" s="344">
        <v>2.3460248284793201</v>
      </c>
      <c r="F461" s="179">
        <v>23.89</v>
      </c>
      <c r="G461" s="179">
        <v>21.11</v>
      </c>
      <c r="H461" s="223">
        <v>18.494579463590298</v>
      </c>
      <c r="I461" s="297">
        <v>0.5639810155178635</v>
      </c>
      <c r="J461" s="149"/>
      <c r="K461" s="149"/>
      <c r="L461" s="149"/>
      <c r="M461" s="149"/>
      <c r="N461" s="149"/>
      <c r="O461" s="149"/>
      <c r="P461" s="149"/>
      <c r="Q461" s="149"/>
      <c r="R461" s="149"/>
      <c r="S461" s="149"/>
      <c r="T461" s="149"/>
      <c r="U461" s="149"/>
      <c r="V461" s="149"/>
      <c r="W461" s="149"/>
      <c r="X461" s="149"/>
      <c r="Y461" s="149"/>
      <c r="Z461" s="149"/>
      <c r="AA461" s="149"/>
      <c r="AB461" s="580">
        <f>HLOOKUP("*"&amp;'Output annual'!$AC$2&amp;'Output annual'!$AD$2&amp;"*Zone People Number Of Occupants [](Hourly)",'Eplus results'!$1:$1048576,ROW(),FALSE)</f>
        <v>0</v>
      </c>
      <c r="AC461" s="580">
        <f>HLOOKUP("*"&amp;'Output annual'!$AC$2&amp;'Output annual'!$AD$2&amp;"*FangerPMV(Hourly)",'Eplus results'!$1:$1048576,ROW(),FALSE)</f>
        <v>0</v>
      </c>
      <c r="AD461" s="580">
        <f t="shared" si="71"/>
        <v>5</v>
      </c>
      <c r="AE461" s="580">
        <f t="shared" si="72"/>
        <v>2.5</v>
      </c>
      <c r="AF461" s="580">
        <f t="shared" si="73"/>
        <v>2.5</v>
      </c>
      <c r="AG461" s="580">
        <f t="shared" si="74"/>
        <v>0</v>
      </c>
      <c r="AH461" s="580">
        <f t="shared" si="75"/>
        <v>0</v>
      </c>
      <c r="AI461" s="149"/>
      <c r="AJ461" s="149"/>
      <c r="AK461" s="149"/>
      <c r="AL461" s="149"/>
      <c r="AM461" s="149"/>
      <c r="AN461" s="149"/>
      <c r="AO461" s="149"/>
      <c r="AP461" s="149"/>
    </row>
    <row r="462" spans="2:42">
      <c r="B462" s="221">
        <v>18</v>
      </c>
      <c r="C462" s="54" t="s">
        <v>126</v>
      </c>
      <c r="D462" s="223">
        <v>23.135378070997</v>
      </c>
      <c r="E462" s="344">
        <v>0.33264403602593501</v>
      </c>
      <c r="F462" s="179">
        <v>23.89</v>
      </c>
      <c r="G462" s="179">
        <v>21.11</v>
      </c>
      <c r="H462" s="223">
        <v>20.2655406954662</v>
      </c>
      <c r="I462" s="297">
        <v>0.22402349041389774</v>
      </c>
      <c r="J462" s="149"/>
      <c r="K462" s="149"/>
      <c r="L462" s="149"/>
      <c r="M462" s="149"/>
      <c r="N462" s="149"/>
      <c r="O462" s="149"/>
      <c r="P462" s="149"/>
      <c r="Q462" s="149"/>
      <c r="R462" s="149"/>
      <c r="S462" s="149"/>
      <c r="T462" s="149"/>
      <c r="U462" s="149"/>
      <c r="V462" s="149"/>
      <c r="W462" s="149"/>
      <c r="X462" s="149"/>
      <c r="Y462" s="149"/>
      <c r="Z462" s="149"/>
      <c r="AA462" s="149"/>
      <c r="AB462" s="580">
        <f>HLOOKUP("*"&amp;'Output annual'!$AC$2&amp;'Output annual'!$AD$2&amp;"*Zone People Number Of Occupants [](Hourly)",'Eplus results'!$1:$1048576,ROW(),FALSE)</f>
        <v>0</v>
      </c>
      <c r="AC462" s="580">
        <f>HLOOKUP("*"&amp;'Output annual'!$AC$2&amp;'Output annual'!$AD$2&amp;"*FangerPMV(Hourly)",'Eplus results'!$1:$1048576,ROW(),FALSE)</f>
        <v>0</v>
      </c>
      <c r="AD462" s="580">
        <f t="shared" si="71"/>
        <v>5</v>
      </c>
      <c r="AE462" s="580">
        <f t="shared" si="72"/>
        <v>2.5</v>
      </c>
      <c r="AF462" s="580">
        <f t="shared" si="73"/>
        <v>2.5</v>
      </c>
      <c r="AG462" s="580">
        <f t="shared" si="74"/>
        <v>0</v>
      </c>
      <c r="AH462" s="580">
        <f t="shared" si="75"/>
        <v>0</v>
      </c>
      <c r="AI462" s="149"/>
      <c r="AJ462" s="149"/>
      <c r="AK462" s="149"/>
      <c r="AL462" s="149"/>
      <c r="AM462" s="149"/>
      <c r="AN462" s="149"/>
      <c r="AO462" s="149"/>
      <c r="AP462" s="149"/>
    </row>
    <row r="463" spans="2:42">
      <c r="B463" s="221">
        <v>19</v>
      </c>
      <c r="C463" s="54" t="s">
        <v>127</v>
      </c>
      <c r="D463" s="223">
        <v>21.809779854992001</v>
      </c>
      <c r="E463" s="344">
        <v>0.33183981472282698</v>
      </c>
      <c r="F463" s="179">
        <v>23.89</v>
      </c>
      <c r="G463" s="179">
        <v>21.11</v>
      </c>
      <c r="H463" s="223">
        <v>21.2235010305731</v>
      </c>
      <c r="I463" s="297">
        <v>0.25972067214695455</v>
      </c>
      <c r="J463" s="149"/>
      <c r="K463" s="149"/>
      <c r="L463" s="149"/>
      <c r="M463" s="149"/>
      <c r="N463" s="149"/>
      <c r="O463" s="149"/>
      <c r="P463" s="149"/>
      <c r="Q463" s="149"/>
      <c r="R463" s="149"/>
      <c r="S463" s="149"/>
      <c r="T463" s="149"/>
      <c r="U463" s="149"/>
      <c r="V463" s="149"/>
      <c r="W463" s="149"/>
      <c r="X463" s="149"/>
      <c r="Y463" s="149"/>
      <c r="Z463" s="149"/>
      <c r="AA463" s="149"/>
      <c r="AB463" s="580">
        <f>HLOOKUP("*"&amp;'Output annual'!$AC$2&amp;'Output annual'!$AD$2&amp;"*Zone People Number Of Occupants [](Hourly)",'Eplus results'!$1:$1048576,ROW(),FALSE)</f>
        <v>0</v>
      </c>
      <c r="AC463" s="580">
        <f>HLOOKUP("*"&amp;'Output annual'!$AC$2&amp;'Output annual'!$AD$2&amp;"*FangerPMV(Hourly)",'Eplus results'!$1:$1048576,ROW(),FALSE)</f>
        <v>0</v>
      </c>
      <c r="AD463" s="580">
        <f t="shared" si="71"/>
        <v>5</v>
      </c>
      <c r="AE463" s="580">
        <f t="shared" si="72"/>
        <v>2.5</v>
      </c>
      <c r="AF463" s="580">
        <f t="shared" si="73"/>
        <v>2.5</v>
      </c>
      <c r="AG463" s="580">
        <f t="shared" si="74"/>
        <v>0</v>
      </c>
      <c r="AH463" s="580">
        <f t="shared" si="75"/>
        <v>0</v>
      </c>
      <c r="AI463" s="149"/>
      <c r="AJ463" s="149"/>
      <c r="AK463" s="149"/>
      <c r="AL463" s="149"/>
      <c r="AM463" s="149"/>
      <c r="AN463" s="149"/>
      <c r="AO463" s="149"/>
      <c r="AP463" s="149"/>
    </row>
    <row r="464" spans="2:42">
      <c r="B464" s="221">
        <v>20</v>
      </c>
      <c r="C464" s="54" t="s">
        <v>128</v>
      </c>
      <c r="D464" s="223">
        <v>22.8114040707706</v>
      </c>
      <c r="E464" s="344">
        <v>0</v>
      </c>
      <c r="F464" s="179">
        <v>32.22</v>
      </c>
      <c r="G464" s="179">
        <v>12.78</v>
      </c>
      <c r="H464" s="223">
        <v>21.226967928925099</v>
      </c>
      <c r="I464" s="297">
        <v>0</v>
      </c>
      <c r="J464" s="149"/>
      <c r="K464" s="149"/>
      <c r="L464" s="149"/>
      <c r="M464" s="149"/>
      <c r="N464" s="149"/>
      <c r="O464" s="149"/>
      <c r="P464" s="149"/>
      <c r="Q464" s="149"/>
      <c r="R464" s="149"/>
      <c r="S464" s="149"/>
      <c r="T464" s="149"/>
      <c r="U464" s="149"/>
      <c r="V464" s="149"/>
      <c r="W464" s="149"/>
      <c r="X464" s="149"/>
      <c r="Y464" s="149"/>
      <c r="Z464" s="149"/>
      <c r="AA464" s="149"/>
      <c r="AB464" s="580">
        <f>HLOOKUP("*"&amp;'Output annual'!$AC$2&amp;'Output annual'!$AD$2&amp;"*Zone People Number Of Occupants [](Hourly)",'Eplus results'!$1:$1048576,ROW(),FALSE)</f>
        <v>0</v>
      </c>
      <c r="AC464" s="580">
        <f>HLOOKUP("*"&amp;'Output annual'!$AC$2&amp;'Output annual'!$AD$2&amp;"*FangerPMV(Hourly)",'Eplus results'!$1:$1048576,ROW(),FALSE)</f>
        <v>0</v>
      </c>
      <c r="AD464" s="580">
        <f t="shared" si="71"/>
        <v>5</v>
      </c>
      <c r="AE464" s="580">
        <f t="shared" si="72"/>
        <v>2.5</v>
      </c>
      <c r="AF464" s="580">
        <f t="shared" si="73"/>
        <v>2.5</v>
      </c>
      <c r="AG464" s="580">
        <f t="shared" si="74"/>
        <v>0</v>
      </c>
      <c r="AH464" s="580">
        <f t="shared" si="75"/>
        <v>0</v>
      </c>
      <c r="AI464" s="149"/>
      <c r="AJ464" s="149"/>
      <c r="AK464" s="149"/>
      <c r="AL464" s="149"/>
      <c r="AM464" s="149"/>
      <c r="AN464" s="149"/>
      <c r="AO464" s="149"/>
      <c r="AP464" s="149"/>
    </row>
    <row r="465" spans="2:42">
      <c r="B465" s="221">
        <v>21</v>
      </c>
      <c r="C465" s="54" t="s">
        <v>129</v>
      </c>
      <c r="D465" s="223">
        <v>21.9821420466055</v>
      </c>
      <c r="E465" s="344">
        <v>0</v>
      </c>
      <c r="F465" s="179">
        <v>32.22</v>
      </c>
      <c r="G465" s="179">
        <v>12.78</v>
      </c>
      <c r="H465" s="223">
        <v>22.412722763684801</v>
      </c>
      <c r="I465" s="297">
        <v>0</v>
      </c>
      <c r="J465" s="149"/>
      <c r="K465" s="149"/>
      <c r="L465" s="149"/>
      <c r="M465" s="149"/>
      <c r="N465" s="149"/>
      <c r="O465" s="149"/>
      <c r="P465" s="149"/>
      <c r="Q465" s="149"/>
      <c r="R465" s="149"/>
      <c r="S465" s="149"/>
      <c r="T465" s="149"/>
      <c r="U465" s="149"/>
      <c r="V465" s="149"/>
      <c r="W465" s="149"/>
      <c r="X465" s="149"/>
      <c r="Y465" s="149"/>
      <c r="Z465" s="149"/>
      <c r="AA465" s="149"/>
      <c r="AB465" s="580">
        <f>HLOOKUP("*"&amp;'Output annual'!$AC$2&amp;'Output annual'!$AD$2&amp;"*Zone People Number Of Occupants [](Hourly)",'Eplus results'!$1:$1048576,ROW(),FALSE)</f>
        <v>0</v>
      </c>
      <c r="AC465" s="580">
        <f>HLOOKUP("*"&amp;'Output annual'!$AC$2&amp;'Output annual'!$AD$2&amp;"*FangerPMV(Hourly)",'Eplus results'!$1:$1048576,ROW(),FALSE)</f>
        <v>0</v>
      </c>
      <c r="AD465" s="580">
        <f t="shared" si="71"/>
        <v>5</v>
      </c>
      <c r="AE465" s="580">
        <f t="shared" si="72"/>
        <v>2.5</v>
      </c>
      <c r="AF465" s="580">
        <f t="shared" si="73"/>
        <v>2.5</v>
      </c>
      <c r="AG465" s="580">
        <f t="shared" si="74"/>
        <v>0</v>
      </c>
      <c r="AH465" s="580">
        <f t="shared" si="75"/>
        <v>0</v>
      </c>
      <c r="AI465" s="149"/>
      <c r="AJ465" s="149"/>
      <c r="AK465" s="149"/>
      <c r="AL465" s="149"/>
      <c r="AM465" s="149"/>
      <c r="AN465" s="149"/>
      <c r="AO465" s="149"/>
      <c r="AP465" s="149"/>
    </row>
    <row r="466" spans="2:42">
      <c r="B466" s="221">
        <v>22</v>
      </c>
      <c r="C466" s="54" t="s">
        <v>130</v>
      </c>
      <c r="D466" s="223">
        <v>21.2891726718365</v>
      </c>
      <c r="E466" s="344">
        <v>0</v>
      </c>
      <c r="F466" s="179">
        <v>32.22</v>
      </c>
      <c r="G466" s="179">
        <v>12.78</v>
      </c>
      <c r="H466" s="223">
        <v>22.436018172793901</v>
      </c>
      <c r="I466" s="297">
        <v>0</v>
      </c>
      <c r="J466" s="149"/>
      <c r="K466" s="149"/>
      <c r="L466" s="149"/>
      <c r="M466" s="149"/>
      <c r="N466" s="149"/>
      <c r="O466" s="149"/>
      <c r="P466" s="149"/>
      <c r="Q466" s="149"/>
      <c r="R466" s="149"/>
      <c r="S466" s="149"/>
      <c r="T466" s="149"/>
      <c r="U466" s="149"/>
      <c r="V466" s="149"/>
      <c r="W466" s="149"/>
      <c r="X466" s="149"/>
      <c r="Y466" s="149"/>
      <c r="Z466" s="149"/>
      <c r="AA466" s="149"/>
      <c r="AB466" s="580">
        <f>HLOOKUP("*"&amp;'Output annual'!$AC$2&amp;'Output annual'!$AD$2&amp;"*Zone People Number Of Occupants [](Hourly)",'Eplus results'!$1:$1048576,ROW(),FALSE)</f>
        <v>0</v>
      </c>
      <c r="AC466" s="580">
        <f>HLOOKUP("*"&amp;'Output annual'!$AC$2&amp;'Output annual'!$AD$2&amp;"*FangerPMV(Hourly)",'Eplus results'!$1:$1048576,ROW(),FALSE)</f>
        <v>0</v>
      </c>
      <c r="AD466" s="580">
        <f t="shared" si="71"/>
        <v>5</v>
      </c>
      <c r="AE466" s="580">
        <f t="shared" si="72"/>
        <v>2.5</v>
      </c>
      <c r="AF466" s="580">
        <f t="shared" si="73"/>
        <v>2.5</v>
      </c>
      <c r="AG466" s="580">
        <f t="shared" si="74"/>
        <v>0</v>
      </c>
      <c r="AH466" s="580">
        <f t="shared" si="75"/>
        <v>0</v>
      </c>
      <c r="AI466" s="149"/>
      <c r="AJ466" s="149"/>
      <c r="AK466" s="149"/>
      <c r="AL466" s="149"/>
      <c r="AM466" s="149"/>
      <c r="AN466" s="149"/>
      <c r="AO466" s="149"/>
      <c r="AP466" s="149"/>
    </row>
    <row r="467" spans="2:42">
      <c r="B467" s="221">
        <v>23</v>
      </c>
      <c r="C467" s="54" t="s">
        <v>386</v>
      </c>
      <c r="D467" s="223">
        <v>20.634394652006002</v>
      </c>
      <c r="E467" s="344">
        <v>0</v>
      </c>
      <c r="F467" s="179">
        <v>32.22</v>
      </c>
      <c r="G467" s="179">
        <v>12.78</v>
      </c>
      <c r="H467" s="223">
        <v>22.353891992235301</v>
      </c>
      <c r="I467" s="297">
        <v>0</v>
      </c>
      <c r="J467" s="149"/>
      <c r="K467" s="149"/>
      <c r="L467" s="149"/>
      <c r="M467" s="149"/>
      <c r="N467" s="149"/>
      <c r="O467" s="149"/>
      <c r="P467" s="149"/>
      <c r="Q467" s="149"/>
      <c r="R467" s="149"/>
      <c r="S467" s="149"/>
      <c r="T467" s="149"/>
      <c r="U467" s="149"/>
      <c r="V467" s="149"/>
      <c r="W467" s="149"/>
      <c r="X467" s="149"/>
      <c r="Y467" s="149"/>
      <c r="Z467" s="149"/>
      <c r="AA467" s="149"/>
      <c r="AB467" s="580">
        <f>HLOOKUP("*"&amp;'Output annual'!$AC$2&amp;'Output annual'!$AD$2&amp;"*Zone People Number Of Occupants [](Hourly)",'Eplus results'!$1:$1048576,ROW(),FALSE)</f>
        <v>0</v>
      </c>
      <c r="AC467" s="580">
        <f>HLOOKUP("*"&amp;'Output annual'!$AC$2&amp;'Output annual'!$AD$2&amp;"*FangerPMV(Hourly)",'Eplus results'!$1:$1048576,ROW(),FALSE)</f>
        <v>0</v>
      </c>
      <c r="AD467" s="580">
        <f t="shared" si="71"/>
        <v>5</v>
      </c>
      <c r="AE467" s="580">
        <f t="shared" si="72"/>
        <v>2.5</v>
      </c>
      <c r="AF467" s="580">
        <f t="shared" si="73"/>
        <v>2.5</v>
      </c>
      <c r="AG467" s="580">
        <f t="shared" si="74"/>
        <v>0</v>
      </c>
      <c r="AH467" s="580">
        <f t="shared" si="75"/>
        <v>0</v>
      </c>
      <c r="AI467" s="149"/>
      <c r="AJ467" s="149"/>
      <c r="AK467" s="149"/>
      <c r="AL467" s="149"/>
      <c r="AM467" s="149"/>
      <c r="AN467" s="149"/>
      <c r="AO467" s="149"/>
      <c r="AP467" s="149"/>
    </row>
    <row r="468" spans="2:42">
      <c r="B468" s="221">
        <v>24</v>
      </c>
      <c r="C468" s="54" t="s">
        <v>387</v>
      </c>
      <c r="D468" s="223">
        <v>20.0084521957696</v>
      </c>
      <c r="E468" s="344">
        <v>0</v>
      </c>
      <c r="F468" s="179">
        <v>32.22</v>
      </c>
      <c r="G468" s="179">
        <v>12.78</v>
      </c>
      <c r="H468" s="223">
        <v>22.224681008409199</v>
      </c>
      <c r="I468" s="297">
        <v>0</v>
      </c>
      <c r="J468" s="149"/>
      <c r="K468" s="149"/>
      <c r="L468" s="149"/>
      <c r="M468" s="149"/>
      <c r="N468" s="149"/>
      <c r="O468" s="149"/>
      <c r="P468" s="149"/>
      <c r="Q468" s="149"/>
      <c r="R468" s="149"/>
      <c r="S468" s="149"/>
      <c r="T468" s="149"/>
      <c r="U468" s="149"/>
      <c r="V468" s="149"/>
      <c r="W468" s="149"/>
      <c r="X468" s="149"/>
      <c r="Y468" s="149"/>
      <c r="Z468" s="149"/>
      <c r="AA468" s="149"/>
      <c r="AB468" s="580">
        <f>HLOOKUP("*"&amp;'Output annual'!$AC$2&amp;'Output annual'!$AD$2&amp;"*Zone People Number Of Occupants [](Hourly)",'Eplus results'!$1:$1048576,ROW(),FALSE)</f>
        <v>0</v>
      </c>
      <c r="AC468" s="580">
        <f>HLOOKUP("*"&amp;'Output annual'!$AC$2&amp;'Output annual'!$AD$2&amp;"*FangerPMV(Hourly)",'Eplus results'!$1:$1048576,ROW(),FALSE)</f>
        <v>0</v>
      </c>
      <c r="AD468" s="580">
        <f t="shared" si="71"/>
        <v>5</v>
      </c>
      <c r="AE468" s="580">
        <f t="shared" si="72"/>
        <v>2.5</v>
      </c>
      <c r="AF468" s="580">
        <f t="shared" si="73"/>
        <v>2.5</v>
      </c>
      <c r="AG468" s="580">
        <f t="shared" si="74"/>
        <v>0</v>
      </c>
      <c r="AH468" s="580">
        <f t="shared" si="75"/>
        <v>0</v>
      </c>
      <c r="AI468" s="149"/>
      <c r="AJ468" s="149"/>
      <c r="AK468" s="149"/>
      <c r="AL468" s="149"/>
      <c r="AM468" s="149"/>
      <c r="AN468" s="149"/>
      <c r="AO468" s="149"/>
      <c r="AP468" s="149"/>
    </row>
    <row r="469" spans="2:42">
      <c r="B469" s="221">
        <v>25</v>
      </c>
      <c r="C469" s="54" t="s">
        <v>388</v>
      </c>
      <c r="D469" s="223">
        <v>19.4078268593275</v>
      </c>
      <c r="E469" s="344">
        <v>0</v>
      </c>
      <c r="F469" s="179">
        <v>32.22</v>
      </c>
      <c r="G469" s="179">
        <v>12.78</v>
      </c>
      <c r="H469" s="223">
        <v>22.066242013157002</v>
      </c>
      <c r="I469" s="297">
        <v>0</v>
      </c>
      <c r="J469" s="149"/>
      <c r="K469" s="149"/>
      <c r="L469" s="149"/>
      <c r="M469" s="149"/>
      <c r="N469" s="149"/>
      <c r="O469" s="149"/>
      <c r="P469" s="149"/>
      <c r="Q469" s="149"/>
      <c r="R469" s="149"/>
      <c r="S469" s="149"/>
      <c r="T469" s="149"/>
      <c r="U469" s="149"/>
      <c r="V469" s="149"/>
      <c r="W469" s="149"/>
      <c r="X469" s="149"/>
      <c r="Y469" s="149"/>
      <c r="Z469" s="149"/>
      <c r="AA469" s="149"/>
      <c r="AB469" s="580">
        <f>HLOOKUP("*"&amp;'Output annual'!$AC$2&amp;'Output annual'!$AD$2&amp;"*Zone People Number Of Occupants [](Hourly)",'Eplus results'!$1:$1048576,ROW(),FALSE)</f>
        <v>0</v>
      </c>
      <c r="AC469" s="580">
        <f>HLOOKUP("*"&amp;'Output annual'!$AC$2&amp;'Output annual'!$AD$2&amp;"*FangerPMV(Hourly)",'Eplus results'!$1:$1048576,ROW(),FALSE)</f>
        <v>0</v>
      </c>
      <c r="AD469" s="580">
        <f t="shared" si="71"/>
        <v>5</v>
      </c>
      <c r="AE469" s="580">
        <f t="shared" si="72"/>
        <v>2.5</v>
      </c>
      <c r="AF469" s="580">
        <f t="shared" si="73"/>
        <v>2.5</v>
      </c>
      <c r="AG469" s="580">
        <f t="shared" si="74"/>
        <v>0</v>
      </c>
      <c r="AH469" s="580">
        <f t="shared" si="75"/>
        <v>0</v>
      </c>
      <c r="AI469" s="149"/>
      <c r="AJ469" s="149"/>
      <c r="AK469" s="149"/>
      <c r="AL469" s="149"/>
      <c r="AM469" s="149"/>
      <c r="AN469" s="149"/>
      <c r="AO469" s="149"/>
      <c r="AP469" s="149"/>
    </row>
    <row r="470" spans="2:42">
      <c r="B470" s="221">
        <v>26</v>
      </c>
      <c r="C470" s="54" t="s">
        <v>389</v>
      </c>
      <c r="D470" s="223">
        <v>18.840632544158002</v>
      </c>
      <c r="E470" s="344">
        <v>0</v>
      </c>
      <c r="F470" s="179">
        <v>32.22</v>
      </c>
      <c r="G470" s="179">
        <v>12.78</v>
      </c>
      <c r="H470" s="223">
        <v>21.883693731166399</v>
      </c>
      <c r="I470" s="297">
        <v>0</v>
      </c>
      <c r="J470" s="149"/>
      <c r="K470" s="149"/>
      <c r="L470" s="149"/>
      <c r="M470" s="149"/>
      <c r="N470" s="149"/>
      <c r="O470" s="149"/>
      <c r="P470" s="149"/>
      <c r="Q470" s="149"/>
      <c r="R470" s="149"/>
      <c r="S470" s="149"/>
      <c r="T470" s="149"/>
      <c r="U470" s="149"/>
      <c r="V470" s="149"/>
      <c r="W470" s="149"/>
      <c r="X470" s="149"/>
      <c r="Y470" s="149"/>
      <c r="Z470" s="149"/>
      <c r="AA470" s="149"/>
      <c r="AB470" s="580">
        <f>HLOOKUP("*"&amp;'Output annual'!$AC$2&amp;'Output annual'!$AD$2&amp;"*Zone People Number Of Occupants [](Hourly)",'Eplus results'!$1:$1048576,ROW(),FALSE)</f>
        <v>0</v>
      </c>
      <c r="AC470" s="580">
        <f>HLOOKUP("*"&amp;'Output annual'!$AC$2&amp;'Output annual'!$AD$2&amp;"*FangerPMV(Hourly)",'Eplus results'!$1:$1048576,ROW(),FALSE)</f>
        <v>0</v>
      </c>
      <c r="AD470" s="580">
        <f t="shared" si="71"/>
        <v>5</v>
      </c>
      <c r="AE470" s="580">
        <f t="shared" si="72"/>
        <v>2.5</v>
      </c>
      <c r="AF470" s="580">
        <f t="shared" si="73"/>
        <v>2.5</v>
      </c>
      <c r="AG470" s="580">
        <f t="shared" si="74"/>
        <v>0</v>
      </c>
      <c r="AH470" s="580">
        <f t="shared" si="75"/>
        <v>0</v>
      </c>
      <c r="AI470" s="149"/>
      <c r="AJ470" s="149"/>
      <c r="AK470" s="149"/>
      <c r="AL470" s="149"/>
      <c r="AM470" s="149"/>
      <c r="AN470" s="149"/>
      <c r="AO470" s="149"/>
      <c r="AP470" s="149"/>
    </row>
    <row r="471" spans="2:42">
      <c r="B471" s="221">
        <v>27</v>
      </c>
      <c r="C471" s="54" t="s">
        <v>390</v>
      </c>
      <c r="D471" s="223">
        <v>18.304093859207299</v>
      </c>
      <c r="E471" s="344">
        <v>0</v>
      </c>
      <c r="F471" s="179">
        <v>32.22</v>
      </c>
      <c r="G471" s="179">
        <v>12.78</v>
      </c>
      <c r="H471" s="223">
        <v>21.682528036000502</v>
      </c>
      <c r="I471" s="297">
        <v>0</v>
      </c>
      <c r="J471" s="149"/>
      <c r="K471" s="149"/>
      <c r="L471" s="149"/>
      <c r="M471" s="149"/>
      <c r="N471" s="149"/>
      <c r="O471" s="149"/>
      <c r="P471" s="149"/>
      <c r="Q471" s="149"/>
      <c r="R471" s="149"/>
      <c r="S471" s="149"/>
      <c r="T471" s="149"/>
      <c r="U471" s="149"/>
      <c r="V471" s="149"/>
      <c r="W471" s="149"/>
      <c r="X471" s="149"/>
      <c r="Y471" s="149"/>
      <c r="Z471" s="149"/>
      <c r="AA471" s="149"/>
      <c r="AB471" s="580">
        <f>HLOOKUP("*"&amp;'Output annual'!$AC$2&amp;'Output annual'!$AD$2&amp;"*Zone People Number Of Occupants [](Hourly)",'Eplus results'!$1:$1048576,ROW(),FALSE)</f>
        <v>0</v>
      </c>
      <c r="AC471" s="580">
        <f>HLOOKUP("*"&amp;'Output annual'!$AC$2&amp;'Output annual'!$AD$2&amp;"*FangerPMV(Hourly)",'Eplus results'!$1:$1048576,ROW(),FALSE)</f>
        <v>0</v>
      </c>
      <c r="AD471" s="580">
        <f t="shared" si="71"/>
        <v>5</v>
      </c>
      <c r="AE471" s="580">
        <f t="shared" si="72"/>
        <v>2.5</v>
      </c>
      <c r="AF471" s="580">
        <f t="shared" si="73"/>
        <v>2.5</v>
      </c>
      <c r="AG471" s="580">
        <f t="shared" si="74"/>
        <v>0</v>
      </c>
      <c r="AH471" s="580">
        <f t="shared" si="75"/>
        <v>0</v>
      </c>
      <c r="AI471" s="149"/>
      <c r="AJ471" s="149"/>
      <c r="AK471" s="149"/>
      <c r="AL471" s="149"/>
      <c r="AM471" s="149"/>
      <c r="AN471" s="149"/>
      <c r="AO471" s="149"/>
      <c r="AP471" s="149"/>
    </row>
    <row r="472" spans="2:42">
      <c r="B472" s="221">
        <v>28</v>
      </c>
      <c r="C472" s="54" t="s">
        <v>391</v>
      </c>
      <c r="D472" s="223">
        <v>17.786208882484601</v>
      </c>
      <c r="E472" s="344">
        <v>0</v>
      </c>
      <c r="F472" s="179">
        <v>32.22</v>
      </c>
      <c r="G472" s="179">
        <v>12.78</v>
      </c>
      <c r="H472" s="223">
        <v>21.466805692979801</v>
      </c>
      <c r="I472" s="297">
        <v>0</v>
      </c>
      <c r="J472" s="149"/>
      <c r="K472" s="149"/>
      <c r="L472" s="149"/>
      <c r="M472" s="149"/>
      <c r="N472" s="149"/>
      <c r="O472" s="149"/>
      <c r="P472" s="149"/>
      <c r="Q472" s="149"/>
      <c r="R472" s="149"/>
      <c r="S472" s="149"/>
      <c r="T472" s="149"/>
      <c r="U472" s="149"/>
      <c r="V472" s="149"/>
      <c r="W472" s="149"/>
      <c r="X472" s="149"/>
      <c r="Y472" s="149"/>
      <c r="Z472" s="149"/>
      <c r="AA472" s="149"/>
      <c r="AB472" s="580">
        <f>HLOOKUP("*"&amp;'Output annual'!$AC$2&amp;'Output annual'!$AD$2&amp;"*Zone People Number Of Occupants [](Hourly)",'Eplus results'!$1:$1048576,ROW(),FALSE)</f>
        <v>0</v>
      </c>
      <c r="AC472" s="580">
        <f>HLOOKUP("*"&amp;'Output annual'!$AC$2&amp;'Output annual'!$AD$2&amp;"*FangerPMV(Hourly)",'Eplus results'!$1:$1048576,ROW(),FALSE)</f>
        <v>0</v>
      </c>
      <c r="AD472" s="580">
        <f t="shared" si="71"/>
        <v>5</v>
      </c>
      <c r="AE472" s="580">
        <f t="shared" si="72"/>
        <v>2.5</v>
      </c>
      <c r="AF472" s="580">
        <f t="shared" si="73"/>
        <v>2.5</v>
      </c>
      <c r="AG472" s="580">
        <f t="shared" si="74"/>
        <v>0</v>
      </c>
      <c r="AH472" s="580">
        <f t="shared" si="75"/>
        <v>0</v>
      </c>
      <c r="AI472" s="149"/>
      <c r="AJ472" s="149"/>
      <c r="AK472" s="149"/>
      <c r="AL472" s="149"/>
      <c r="AM472" s="149"/>
      <c r="AN472" s="149"/>
      <c r="AO472" s="149"/>
      <c r="AP472" s="149"/>
    </row>
    <row r="473" spans="2:42">
      <c r="B473" s="221">
        <v>29</v>
      </c>
      <c r="C473" s="54" t="s">
        <v>392</v>
      </c>
      <c r="D473" s="223">
        <v>17.2976139292558</v>
      </c>
      <c r="E473" s="344">
        <v>0</v>
      </c>
      <c r="F473" s="179">
        <v>32.22</v>
      </c>
      <c r="G473" s="179">
        <v>12.78</v>
      </c>
      <c r="H473" s="223">
        <v>21.2393571454195</v>
      </c>
      <c r="I473" s="297">
        <v>0</v>
      </c>
      <c r="J473" s="149"/>
      <c r="K473" s="149"/>
      <c r="L473" s="149"/>
      <c r="M473" s="149"/>
      <c r="N473" s="149"/>
      <c r="O473" s="149"/>
      <c r="P473" s="149"/>
      <c r="Q473" s="149"/>
      <c r="R473" s="149"/>
      <c r="S473" s="149"/>
      <c r="T473" s="149"/>
      <c r="U473" s="149"/>
      <c r="V473" s="149"/>
      <c r="W473" s="149"/>
      <c r="X473" s="149"/>
      <c r="Y473" s="149"/>
      <c r="Z473" s="149"/>
      <c r="AA473" s="149"/>
      <c r="AB473" s="580">
        <f>HLOOKUP("*"&amp;'Output annual'!$AC$2&amp;'Output annual'!$AD$2&amp;"*Zone People Number Of Occupants [](Hourly)",'Eplus results'!$1:$1048576,ROW(),FALSE)</f>
        <v>0</v>
      </c>
      <c r="AC473" s="580">
        <f>HLOOKUP("*"&amp;'Output annual'!$AC$2&amp;'Output annual'!$AD$2&amp;"*FangerPMV(Hourly)",'Eplus results'!$1:$1048576,ROW(),FALSE)</f>
        <v>0</v>
      </c>
      <c r="AD473" s="580">
        <f t="shared" si="71"/>
        <v>5</v>
      </c>
      <c r="AE473" s="580">
        <f t="shared" si="72"/>
        <v>2.5</v>
      </c>
      <c r="AF473" s="580">
        <f t="shared" si="73"/>
        <v>2.5</v>
      </c>
      <c r="AG473" s="580">
        <f t="shared" si="74"/>
        <v>0</v>
      </c>
      <c r="AH473" s="580">
        <f t="shared" si="75"/>
        <v>0</v>
      </c>
      <c r="AI473" s="149"/>
      <c r="AJ473" s="149"/>
      <c r="AK473" s="149"/>
      <c r="AL473" s="149"/>
      <c r="AM473" s="149"/>
      <c r="AN473" s="149"/>
      <c r="AO473" s="149"/>
      <c r="AP473" s="149"/>
    </row>
    <row r="474" spans="2:42">
      <c r="B474" s="221">
        <v>30</v>
      </c>
      <c r="C474" s="54" t="s">
        <v>393</v>
      </c>
      <c r="D474" s="223">
        <v>17.270501243975801</v>
      </c>
      <c r="E474" s="344">
        <v>0.33183981472282698</v>
      </c>
      <c r="F474" s="179">
        <v>23.89</v>
      </c>
      <c r="G474" s="179">
        <v>21.11</v>
      </c>
      <c r="H474" s="223">
        <v>19.897872788724101</v>
      </c>
      <c r="I474" s="297">
        <v>0</v>
      </c>
      <c r="J474" s="149"/>
      <c r="K474" s="149"/>
      <c r="L474" s="149"/>
      <c r="M474" s="149"/>
      <c r="N474" s="149"/>
      <c r="O474" s="149"/>
      <c r="P474" s="149"/>
      <c r="Q474" s="149"/>
      <c r="R474" s="149"/>
      <c r="S474" s="149"/>
      <c r="T474" s="149"/>
      <c r="U474" s="149"/>
      <c r="V474" s="149"/>
      <c r="W474" s="149"/>
      <c r="X474" s="149"/>
      <c r="Y474" s="149"/>
      <c r="Z474" s="149"/>
      <c r="AA474" s="149"/>
      <c r="AB474" s="580">
        <f>HLOOKUP("*"&amp;'Output annual'!$AC$2&amp;'Output annual'!$AD$2&amp;"*Zone People Number Of Occupants [](Hourly)",'Eplus results'!$1:$1048576,ROW(),FALSE)</f>
        <v>0</v>
      </c>
      <c r="AC474" s="580">
        <f>HLOOKUP("*"&amp;'Output annual'!$AC$2&amp;'Output annual'!$AD$2&amp;"*FangerPMV(Hourly)",'Eplus results'!$1:$1048576,ROW(),FALSE)</f>
        <v>0</v>
      </c>
      <c r="AD474" s="580">
        <f t="shared" si="71"/>
        <v>5</v>
      </c>
      <c r="AE474" s="580">
        <f t="shared" si="72"/>
        <v>2.5</v>
      </c>
      <c r="AF474" s="580">
        <f t="shared" si="73"/>
        <v>2.5</v>
      </c>
      <c r="AG474" s="580">
        <f t="shared" si="74"/>
        <v>0</v>
      </c>
      <c r="AH474" s="580">
        <f t="shared" si="75"/>
        <v>0</v>
      </c>
      <c r="AI474" s="149"/>
      <c r="AJ474" s="149"/>
      <c r="AK474" s="149"/>
      <c r="AL474" s="149"/>
      <c r="AM474" s="149"/>
      <c r="AN474" s="149"/>
      <c r="AO474" s="149"/>
      <c r="AP474" s="149"/>
    </row>
    <row r="475" spans="2:42">
      <c r="B475" s="221">
        <v>31</v>
      </c>
      <c r="C475" s="54" t="s">
        <v>394</v>
      </c>
      <c r="D475" s="223">
        <v>17.651565150569802</v>
      </c>
      <c r="E475" s="344">
        <v>0.33183981472282698</v>
      </c>
      <c r="F475" s="179">
        <v>23.89</v>
      </c>
      <c r="G475" s="179">
        <v>21.11</v>
      </c>
      <c r="H475" s="223">
        <v>19.3939853145359</v>
      </c>
      <c r="I475" s="297">
        <v>0</v>
      </c>
      <c r="J475" s="149"/>
      <c r="K475" s="149"/>
      <c r="L475" s="149"/>
      <c r="M475" s="149"/>
      <c r="N475" s="149"/>
      <c r="O475" s="149"/>
      <c r="P475" s="149"/>
      <c r="Q475" s="149"/>
      <c r="R475" s="149"/>
      <c r="S475" s="149"/>
      <c r="T475" s="149"/>
      <c r="U475" s="149"/>
      <c r="V475" s="149"/>
      <c r="W475" s="149"/>
      <c r="X475" s="149"/>
      <c r="Y475" s="149"/>
      <c r="Z475" s="149"/>
      <c r="AA475" s="149"/>
      <c r="AB475" s="580">
        <f>HLOOKUP("*"&amp;'Output annual'!$AC$2&amp;'Output annual'!$AD$2&amp;"*Zone People Number Of Occupants [](Hourly)",'Eplus results'!$1:$1048576,ROW(),FALSE)</f>
        <v>0</v>
      </c>
      <c r="AC475" s="580">
        <f>HLOOKUP("*"&amp;'Output annual'!$AC$2&amp;'Output annual'!$AD$2&amp;"*FangerPMV(Hourly)",'Eplus results'!$1:$1048576,ROW(),FALSE)</f>
        <v>0</v>
      </c>
      <c r="AD475" s="580">
        <f t="shared" si="71"/>
        <v>5</v>
      </c>
      <c r="AE475" s="580">
        <f t="shared" si="72"/>
        <v>2.5</v>
      </c>
      <c r="AF475" s="580">
        <f t="shared" si="73"/>
        <v>2.5</v>
      </c>
      <c r="AG475" s="580">
        <f t="shared" si="74"/>
        <v>0</v>
      </c>
      <c r="AH475" s="580">
        <f t="shared" si="75"/>
        <v>0</v>
      </c>
      <c r="AI475" s="149"/>
      <c r="AJ475" s="149"/>
      <c r="AK475" s="149"/>
      <c r="AL475" s="149"/>
      <c r="AM475" s="149"/>
      <c r="AN475" s="149"/>
      <c r="AO475" s="149"/>
      <c r="AP475" s="149"/>
    </row>
    <row r="476" spans="2:42">
      <c r="B476" s="221">
        <v>32</v>
      </c>
      <c r="C476" s="54" t="s">
        <v>395</v>
      </c>
      <c r="D476" s="223">
        <v>21.004700268040601</v>
      </c>
      <c r="E476" s="344">
        <v>0.33183981472282698</v>
      </c>
      <c r="F476" s="179">
        <v>23.89</v>
      </c>
      <c r="G476" s="179">
        <v>21.11</v>
      </c>
      <c r="H476" s="223">
        <v>19.2783903041069</v>
      </c>
      <c r="I476" s="297">
        <v>4.5944780611348345E-2</v>
      </c>
      <c r="J476" s="149"/>
      <c r="K476" s="149"/>
      <c r="L476" s="149"/>
      <c r="M476" s="149"/>
      <c r="N476" s="149"/>
      <c r="O476" s="149"/>
      <c r="P476" s="149"/>
      <c r="Q476" s="149"/>
      <c r="R476" s="149"/>
      <c r="S476" s="149"/>
      <c r="T476" s="149"/>
      <c r="U476" s="149"/>
      <c r="V476" s="149"/>
      <c r="W476" s="149"/>
      <c r="X476" s="149"/>
      <c r="Y476" s="149"/>
      <c r="Z476" s="149"/>
      <c r="AA476" s="149"/>
      <c r="AB476" s="580">
        <f>HLOOKUP("*"&amp;'Output annual'!$AC$2&amp;'Output annual'!$AD$2&amp;"*Zone People Number Of Occupants [](Hourly)",'Eplus results'!$1:$1048576,ROW(),FALSE)</f>
        <v>0</v>
      </c>
      <c r="AC476" s="580">
        <f>HLOOKUP("*"&amp;'Output annual'!$AC$2&amp;'Output annual'!$AD$2&amp;"*FangerPMV(Hourly)",'Eplus results'!$1:$1048576,ROW(),FALSE)</f>
        <v>0</v>
      </c>
      <c r="AD476" s="580">
        <f t="shared" si="71"/>
        <v>5</v>
      </c>
      <c r="AE476" s="580">
        <f t="shared" si="72"/>
        <v>2.5</v>
      </c>
      <c r="AF476" s="580">
        <f t="shared" si="73"/>
        <v>2.5</v>
      </c>
      <c r="AG476" s="580">
        <f t="shared" si="74"/>
        <v>0</v>
      </c>
      <c r="AH476" s="580">
        <f t="shared" si="75"/>
        <v>0</v>
      </c>
      <c r="AI476" s="149"/>
      <c r="AJ476" s="149"/>
      <c r="AK476" s="149"/>
      <c r="AL476" s="149"/>
      <c r="AM476" s="149"/>
      <c r="AN476" s="149"/>
      <c r="AO476" s="149"/>
      <c r="AP476" s="149"/>
    </row>
    <row r="477" spans="2:42">
      <c r="B477" s="221">
        <v>33</v>
      </c>
      <c r="C477" s="54" t="s">
        <v>32</v>
      </c>
      <c r="D477" s="223">
        <v>22.367155094818401</v>
      </c>
      <c r="E477" s="344">
        <v>0.33183981472282698</v>
      </c>
      <c r="F477" s="179">
        <v>23.89</v>
      </c>
      <c r="G477" s="179">
        <v>21.11</v>
      </c>
      <c r="H477" s="223">
        <v>19.283976508271699</v>
      </c>
      <c r="I477" s="297">
        <v>8.8092095058555808E-2</v>
      </c>
      <c r="J477" s="149"/>
      <c r="K477" s="149"/>
      <c r="L477" s="149"/>
      <c r="M477" s="149"/>
      <c r="N477" s="149"/>
      <c r="O477" s="149"/>
      <c r="P477" s="149"/>
      <c r="Q477" s="149"/>
      <c r="R477" s="149"/>
      <c r="S477" s="149"/>
      <c r="T477" s="149"/>
      <c r="U477" s="149"/>
      <c r="V477" s="149"/>
      <c r="W477" s="149"/>
      <c r="X477" s="149"/>
      <c r="Y477" s="149"/>
      <c r="Z477" s="149"/>
      <c r="AA477" s="149"/>
      <c r="AB477" s="580">
        <f>HLOOKUP("*"&amp;'Output annual'!$AC$2&amp;'Output annual'!$AD$2&amp;"*Zone People Number Of Occupants [](Hourly)",'Eplus results'!$1:$1048576,ROW(),FALSE)</f>
        <v>0</v>
      </c>
      <c r="AC477" s="580">
        <f>HLOOKUP("*"&amp;'Output annual'!$AC$2&amp;'Output annual'!$AD$2&amp;"*FangerPMV(Hourly)",'Eplus results'!$1:$1048576,ROW(),FALSE)</f>
        <v>0</v>
      </c>
      <c r="AD477" s="580">
        <f t="shared" si="71"/>
        <v>5</v>
      </c>
      <c r="AE477" s="580">
        <f t="shared" si="72"/>
        <v>2.5</v>
      </c>
      <c r="AF477" s="580">
        <f t="shared" si="73"/>
        <v>2.5</v>
      </c>
      <c r="AG477" s="580">
        <f t="shared" si="74"/>
        <v>0</v>
      </c>
      <c r="AH477" s="580">
        <f t="shared" si="75"/>
        <v>0</v>
      </c>
      <c r="AI477" s="149"/>
      <c r="AJ477" s="149"/>
      <c r="AK477" s="149"/>
      <c r="AL477" s="149"/>
      <c r="AM477" s="149"/>
      <c r="AN477" s="149"/>
      <c r="AO477" s="149"/>
      <c r="AP477" s="149"/>
    </row>
    <row r="478" spans="2:42">
      <c r="B478" s="221">
        <v>34</v>
      </c>
      <c r="C478" s="54" t="s">
        <v>33</v>
      </c>
      <c r="D478" s="223">
        <v>23.753760606362299</v>
      </c>
      <c r="E478" s="344">
        <v>0.608690387683404</v>
      </c>
      <c r="F478" s="179">
        <v>23.89</v>
      </c>
      <c r="G478" s="179">
        <v>21.11</v>
      </c>
      <c r="H478" s="223">
        <v>18.590158446683098</v>
      </c>
      <c r="I478" s="297">
        <v>0.19321215826818722</v>
      </c>
      <c r="J478" s="149"/>
      <c r="K478" s="149"/>
      <c r="L478" s="149"/>
      <c r="M478" s="149"/>
      <c r="N478" s="149"/>
      <c r="O478" s="149"/>
      <c r="P478" s="149"/>
      <c r="Q478" s="149"/>
      <c r="R478" s="149"/>
      <c r="S478" s="149"/>
      <c r="T478" s="149"/>
      <c r="U478" s="149"/>
      <c r="V478" s="149"/>
      <c r="W478" s="149"/>
      <c r="X478" s="149"/>
      <c r="Y478" s="149"/>
      <c r="Z478" s="149"/>
      <c r="AA478" s="149"/>
      <c r="AB478" s="580">
        <f>HLOOKUP("*"&amp;'Output annual'!$AC$2&amp;'Output annual'!$AD$2&amp;"*Zone People Number Of Occupants [](Hourly)",'Eplus results'!$1:$1048576,ROW(),FALSE)</f>
        <v>0</v>
      </c>
      <c r="AC478" s="580">
        <f>HLOOKUP("*"&amp;'Output annual'!$AC$2&amp;'Output annual'!$AD$2&amp;"*FangerPMV(Hourly)",'Eplus results'!$1:$1048576,ROW(),FALSE)</f>
        <v>0</v>
      </c>
      <c r="AD478" s="580">
        <f t="shared" si="71"/>
        <v>5</v>
      </c>
      <c r="AE478" s="580">
        <f t="shared" si="72"/>
        <v>2.5</v>
      </c>
      <c r="AF478" s="580">
        <f t="shared" si="73"/>
        <v>2.5</v>
      </c>
      <c r="AG478" s="580">
        <f t="shared" si="74"/>
        <v>0</v>
      </c>
      <c r="AH478" s="580">
        <f t="shared" si="75"/>
        <v>0</v>
      </c>
      <c r="AI478" s="149"/>
      <c r="AJ478" s="149"/>
      <c r="AK478" s="149"/>
      <c r="AL478" s="149"/>
      <c r="AM478" s="149"/>
      <c r="AN478" s="149"/>
      <c r="AO478" s="149"/>
      <c r="AP478" s="149"/>
    </row>
    <row r="479" spans="2:42">
      <c r="B479" s="221">
        <v>35</v>
      </c>
      <c r="C479" s="54" t="s">
        <v>34</v>
      </c>
      <c r="D479" s="223">
        <v>24.3111886080647</v>
      </c>
      <c r="E479" s="344">
        <v>1.1504586944123301</v>
      </c>
      <c r="F479" s="179">
        <v>23.89</v>
      </c>
      <c r="G479" s="179">
        <v>21.11</v>
      </c>
      <c r="H479" s="223">
        <v>18.333492332360802</v>
      </c>
      <c r="I479" s="297">
        <v>0.3585999480634452</v>
      </c>
      <c r="J479" s="149"/>
      <c r="K479" s="149"/>
      <c r="L479" s="149"/>
      <c r="M479" s="149"/>
      <c r="N479" s="149"/>
      <c r="O479" s="149"/>
      <c r="P479" s="149"/>
      <c r="Q479" s="149"/>
      <c r="R479" s="149"/>
      <c r="S479" s="149"/>
      <c r="T479" s="149"/>
      <c r="U479" s="149"/>
      <c r="V479" s="149"/>
      <c r="W479" s="149"/>
      <c r="X479" s="149"/>
      <c r="Y479" s="149"/>
      <c r="Z479" s="149"/>
      <c r="AA479" s="149"/>
      <c r="AB479" s="580">
        <f>HLOOKUP("*"&amp;'Output annual'!$AC$2&amp;'Output annual'!$AD$2&amp;"*Zone People Number Of Occupants [](Hourly)",'Eplus results'!$1:$1048576,ROW(),FALSE)</f>
        <v>0</v>
      </c>
      <c r="AC479" s="580">
        <f>HLOOKUP("*"&amp;'Output annual'!$AC$2&amp;'Output annual'!$AD$2&amp;"*FangerPMV(Hourly)",'Eplus results'!$1:$1048576,ROW(),FALSE)</f>
        <v>0</v>
      </c>
      <c r="AD479" s="580">
        <f t="shared" si="71"/>
        <v>5</v>
      </c>
      <c r="AE479" s="580">
        <f t="shared" si="72"/>
        <v>2.5</v>
      </c>
      <c r="AF479" s="580">
        <f t="shared" si="73"/>
        <v>2.5</v>
      </c>
      <c r="AG479" s="580">
        <f t="shared" si="74"/>
        <v>0</v>
      </c>
      <c r="AH479" s="580">
        <f t="shared" si="75"/>
        <v>0</v>
      </c>
      <c r="AI479" s="149"/>
      <c r="AJ479" s="149"/>
      <c r="AK479" s="149"/>
      <c r="AL479" s="149"/>
      <c r="AM479" s="149"/>
      <c r="AN479" s="149"/>
      <c r="AO479" s="149"/>
      <c r="AP479" s="149"/>
    </row>
    <row r="480" spans="2:42">
      <c r="B480" s="221">
        <v>36</v>
      </c>
      <c r="C480" s="54" t="s">
        <v>35</v>
      </c>
      <c r="D480" s="223">
        <v>24.288236874052</v>
      </c>
      <c r="E480" s="344">
        <v>1.6353823665226701</v>
      </c>
      <c r="F480" s="179">
        <v>23.89</v>
      </c>
      <c r="G480" s="179">
        <v>21.11</v>
      </c>
      <c r="H480" s="223">
        <v>18.243814351338699</v>
      </c>
      <c r="I480" s="297">
        <v>0.47608153187187668</v>
      </c>
      <c r="J480" s="149"/>
      <c r="K480" s="149"/>
      <c r="L480" s="149"/>
      <c r="M480" s="149"/>
      <c r="N480" s="149"/>
      <c r="O480" s="149"/>
      <c r="P480" s="149"/>
      <c r="Q480" s="149"/>
      <c r="R480" s="149"/>
      <c r="S480" s="149"/>
      <c r="T480" s="149"/>
      <c r="U480" s="149"/>
      <c r="V480" s="149"/>
      <c r="W480" s="149"/>
      <c r="X480" s="149"/>
      <c r="Y480" s="149"/>
      <c r="Z480" s="149"/>
      <c r="AA480" s="149"/>
      <c r="AB480" s="580">
        <f>HLOOKUP("*"&amp;'Output annual'!$AC$2&amp;'Output annual'!$AD$2&amp;"*Zone People Number Of Occupants [](Hourly)",'Eplus results'!$1:$1048576,ROW(),FALSE)</f>
        <v>0</v>
      </c>
      <c r="AC480" s="580">
        <f>HLOOKUP("*"&amp;'Output annual'!$AC$2&amp;'Output annual'!$AD$2&amp;"*FangerPMV(Hourly)",'Eplus results'!$1:$1048576,ROW(),FALSE)</f>
        <v>0</v>
      </c>
      <c r="AD480" s="580">
        <f t="shared" si="71"/>
        <v>5</v>
      </c>
      <c r="AE480" s="580">
        <f t="shared" si="72"/>
        <v>2.5</v>
      </c>
      <c r="AF480" s="580">
        <f t="shared" si="73"/>
        <v>2.5</v>
      </c>
      <c r="AG480" s="580">
        <f t="shared" si="74"/>
        <v>0</v>
      </c>
      <c r="AH480" s="580">
        <f t="shared" si="75"/>
        <v>0</v>
      </c>
      <c r="AI480" s="149"/>
      <c r="AJ480" s="149"/>
      <c r="AK480" s="149"/>
      <c r="AL480" s="149"/>
      <c r="AM480" s="149"/>
      <c r="AN480" s="149"/>
      <c r="AO480" s="149"/>
      <c r="AP480" s="149"/>
    </row>
    <row r="481" spans="2:42">
      <c r="B481" s="221">
        <v>37</v>
      </c>
      <c r="C481" s="54" t="s">
        <v>36</v>
      </c>
      <c r="D481" s="223">
        <v>24.119936683565399</v>
      </c>
      <c r="E481" s="344">
        <v>2.0475387107691501</v>
      </c>
      <c r="F481" s="179">
        <v>23.89</v>
      </c>
      <c r="G481" s="179">
        <v>21.11</v>
      </c>
      <c r="H481" s="223">
        <v>18.206158505358498</v>
      </c>
      <c r="I481" s="297">
        <v>0.55402927349316877</v>
      </c>
      <c r="J481" s="149"/>
      <c r="K481" s="149"/>
      <c r="L481" s="149"/>
      <c r="M481" s="149"/>
      <c r="N481" s="149"/>
      <c r="O481" s="149"/>
      <c r="P481" s="149"/>
      <c r="Q481" s="149"/>
      <c r="R481" s="149"/>
      <c r="S481" s="149"/>
      <c r="T481" s="149"/>
      <c r="U481" s="149"/>
      <c r="V481" s="149"/>
      <c r="W481" s="149"/>
      <c r="X481" s="149"/>
      <c r="Y481" s="149"/>
      <c r="Z481" s="149"/>
      <c r="AA481" s="149"/>
      <c r="AB481" s="580">
        <f>HLOOKUP("*"&amp;'Output annual'!$AC$2&amp;'Output annual'!$AD$2&amp;"*Zone People Number Of Occupants [](Hourly)",'Eplus results'!$1:$1048576,ROW(),FALSE)</f>
        <v>0</v>
      </c>
      <c r="AC481" s="580">
        <f>HLOOKUP("*"&amp;'Output annual'!$AC$2&amp;'Output annual'!$AD$2&amp;"*FangerPMV(Hourly)",'Eplus results'!$1:$1048576,ROW(),FALSE)</f>
        <v>0</v>
      </c>
      <c r="AD481" s="580">
        <f t="shared" si="71"/>
        <v>5</v>
      </c>
      <c r="AE481" s="580">
        <f t="shared" si="72"/>
        <v>2.5</v>
      </c>
      <c r="AF481" s="580">
        <f t="shared" si="73"/>
        <v>2.5</v>
      </c>
      <c r="AG481" s="580">
        <f t="shared" si="74"/>
        <v>0</v>
      </c>
      <c r="AH481" s="580">
        <f t="shared" si="75"/>
        <v>0</v>
      </c>
      <c r="AI481" s="149"/>
      <c r="AJ481" s="149"/>
      <c r="AK481" s="149"/>
      <c r="AL481" s="149"/>
      <c r="AM481" s="149"/>
      <c r="AN481" s="149"/>
      <c r="AO481" s="149"/>
      <c r="AP481" s="149"/>
    </row>
    <row r="482" spans="2:42">
      <c r="B482" s="221">
        <v>38</v>
      </c>
      <c r="C482" s="54" t="s">
        <v>37</v>
      </c>
      <c r="D482" s="223">
        <v>23.933106696645599</v>
      </c>
      <c r="E482" s="344">
        <v>2.27650735019719</v>
      </c>
      <c r="F482" s="179">
        <v>23.89</v>
      </c>
      <c r="G482" s="179">
        <v>21.11</v>
      </c>
      <c r="H482" s="223">
        <v>18.186944952266298</v>
      </c>
      <c r="I482" s="297">
        <v>0.58139317422916048</v>
      </c>
      <c r="J482" s="149"/>
      <c r="K482" s="149"/>
      <c r="L482" s="149"/>
      <c r="M482" s="149"/>
      <c r="N482" s="149"/>
      <c r="O482" s="149"/>
      <c r="P482" s="149"/>
      <c r="Q482" s="149"/>
      <c r="R482" s="149"/>
      <c r="S482" s="149"/>
      <c r="T482" s="149"/>
      <c r="U482" s="149"/>
      <c r="V482" s="149"/>
      <c r="W482" s="149"/>
      <c r="X482" s="149"/>
      <c r="Y482" s="149"/>
      <c r="Z482" s="149"/>
      <c r="AA482" s="149"/>
      <c r="AB482" s="580">
        <f>HLOOKUP("*"&amp;'Output annual'!$AC$2&amp;'Output annual'!$AD$2&amp;"*Zone People Number Of Occupants [](Hourly)",'Eplus results'!$1:$1048576,ROW(),FALSE)</f>
        <v>0</v>
      </c>
      <c r="AC482" s="580">
        <f>HLOOKUP("*"&amp;'Output annual'!$AC$2&amp;'Output annual'!$AD$2&amp;"*FangerPMV(Hourly)",'Eplus results'!$1:$1048576,ROW(),FALSE)</f>
        <v>0</v>
      </c>
      <c r="AD482" s="580">
        <f t="shared" si="71"/>
        <v>5</v>
      </c>
      <c r="AE482" s="580">
        <f t="shared" si="72"/>
        <v>2.5</v>
      </c>
      <c r="AF482" s="580">
        <f t="shared" si="73"/>
        <v>2.5</v>
      </c>
      <c r="AG482" s="580">
        <f t="shared" si="74"/>
        <v>0</v>
      </c>
      <c r="AH482" s="580">
        <f t="shared" si="75"/>
        <v>0</v>
      </c>
      <c r="AI482" s="149"/>
      <c r="AJ482" s="149"/>
      <c r="AK482" s="149"/>
      <c r="AL482" s="149"/>
      <c r="AM482" s="149"/>
      <c r="AN482" s="149"/>
      <c r="AO482" s="149"/>
      <c r="AP482" s="149"/>
    </row>
    <row r="483" spans="2:42">
      <c r="B483" s="221">
        <v>39</v>
      </c>
      <c r="C483" s="54" t="s">
        <v>38</v>
      </c>
      <c r="D483" s="223">
        <v>23.9129901534439</v>
      </c>
      <c r="E483" s="344">
        <v>2.3501947863750798</v>
      </c>
      <c r="F483" s="179">
        <v>23.89</v>
      </c>
      <c r="G483" s="179">
        <v>21.11</v>
      </c>
      <c r="H483" s="223">
        <v>18.203976523660099</v>
      </c>
      <c r="I483" s="297">
        <v>0.59192758818018298</v>
      </c>
      <c r="J483" s="149"/>
      <c r="K483" s="149"/>
      <c r="L483" s="149"/>
      <c r="M483" s="149"/>
      <c r="N483" s="149"/>
      <c r="O483" s="149"/>
      <c r="P483" s="149"/>
      <c r="Q483" s="149"/>
      <c r="R483" s="149"/>
      <c r="S483" s="149"/>
      <c r="T483" s="149"/>
      <c r="U483" s="149"/>
      <c r="V483" s="149"/>
      <c r="W483" s="149"/>
      <c r="X483" s="149"/>
      <c r="Y483" s="149"/>
      <c r="Z483" s="149"/>
      <c r="AA483" s="149"/>
      <c r="AB483" s="580">
        <f>HLOOKUP("*"&amp;'Output annual'!$AC$2&amp;'Output annual'!$AD$2&amp;"*Zone People Number Of Occupants [](Hourly)",'Eplus results'!$1:$1048576,ROW(),FALSE)</f>
        <v>0</v>
      </c>
      <c r="AC483" s="580">
        <f>HLOOKUP("*"&amp;'Output annual'!$AC$2&amp;'Output annual'!$AD$2&amp;"*FangerPMV(Hourly)",'Eplus results'!$1:$1048576,ROW(),FALSE)</f>
        <v>0</v>
      </c>
      <c r="AD483" s="580">
        <f t="shared" si="71"/>
        <v>5</v>
      </c>
      <c r="AE483" s="580">
        <f t="shared" si="72"/>
        <v>2.5</v>
      </c>
      <c r="AF483" s="580">
        <f t="shared" si="73"/>
        <v>2.5</v>
      </c>
      <c r="AG483" s="580">
        <f t="shared" si="74"/>
        <v>0</v>
      </c>
      <c r="AH483" s="580">
        <f t="shared" si="75"/>
        <v>0</v>
      </c>
      <c r="AI483" s="149"/>
      <c r="AJ483" s="149"/>
      <c r="AK483" s="149"/>
      <c r="AL483" s="149"/>
      <c r="AM483" s="149"/>
      <c r="AN483" s="149"/>
      <c r="AO483" s="149"/>
      <c r="AP483" s="149"/>
    </row>
    <row r="484" spans="2:42">
      <c r="B484" s="221">
        <v>40</v>
      </c>
      <c r="C484" s="54" t="s">
        <v>39</v>
      </c>
      <c r="D484" s="223">
        <v>23.911689094261401</v>
      </c>
      <c r="E484" s="344">
        <v>2.4005374659027501</v>
      </c>
      <c r="F484" s="179">
        <v>23.89</v>
      </c>
      <c r="G484" s="179">
        <v>21.11</v>
      </c>
      <c r="H484" s="223">
        <v>18.2734204024873</v>
      </c>
      <c r="I484" s="297">
        <v>0.5943054789132326</v>
      </c>
      <c r="J484" s="149"/>
      <c r="K484" s="149"/>
      <c r="L484" s="149"/>
      <c r="M484" s="149"/>
      <c r="N484" s="149"/>
      <c r="O484" s="149"/>
      <c r="P484" s="149"/>
      <c r="Q484" s="149"/>
      <c r="R484" s="149"/>
      <c r="S484" s="149"/>
      <c r="T484" s="149"/>
      <c r="U484" s="149"/>
      <c r="V484" s="149"/>
      <c r="W484" s="149"/>
      <c r="X484" s="149"/>
      <c r="Y484" s="149"/>
      <c r="Z484" s="149"/>
      <c r="AA484" s="149"/>
      <c r="AB484" s="580">
        <f>HLOOKUP("*"&amp;'Output annual'!$AC$2&amp;'Output annual'!$AD$2&amp;"*Zone People Number Of Occupants [](Hourly)",'Eplus results'!$1:$1048576,ROW(),FALSE)</f>
        <v>0</v>
      </c>
      <c r="AC484" s="580">
        <f>HLOOKUP("*"&amp;'Output annual'!$AC$2&amp;'Output annual'!$AD$2&amp;"*FangerPMV(Hourly)",'Eplus results'!$1:$1048576,ROW(),FALSE)</f>
        <v>0</v>
      </c>
      <c r="AD484" s="580">
        <f t="shared" si="71"/>
        <v>5</v>
      </c>
      <c r="AE484" s="580">
        <f t="shared" si="72"/>
        <v>2.5</v>
      </c>
      <c r="AF484" s="580">
        <f t="shared" si="73"/>
        <v>2.5</v>
      </c>
      <c r="AG484" s="580">
        <f t="shared" si="74"/>
        <v>0</v>
      </c>
      <c r="AH484" s="580">
        <f t="shared" si="75"/>
        <v>0</v>
      </c>
      <c r="AI484" s="149"/>
      <c r="AJ484" s="149"/>
      <c r="AK484" s="149"/>
      <c r="AL484" s="149"/>
      <c r="AM484" s="149"/>
      <c r="AN484" s="149"/>
      <c r="AO484" s="149"/>
      <c r="AP484" s="149"/>
    </row>
    <row r="485" spans="2:42">
      <c r="B485" s="221">
        <v>41</v>
      </c>
      <c r="C485" s="54" t="s">
        <v>40</v>
      </c>
      <c r="D485" s="223">
        <v>23.9048077047043</v>
      </c>
      <c r="E485" s="344">
        <v>2.3829566236904798</v>
      </c>
      <c r="F485" s="179">
        <v>23.89</v>
      </c>
      <c r="G485" s="179">
        <v>21.11</v>
      </c>
      <c r="H485" s="223">
        <v>18.455685477381799</v>
      </c>
      <c r="I485" s="297">
        <v>0.57313799280838018</v>
      </c>
      <c r="J485" s="149"/>
      <c r="K485" s="149"/>
      <c r="L485" s="149"/>
      <c r="M485" s="149"/>
      <c r="N485" s="149"/>
      <c r="O485" s="149"/>
      <c r="P485" s="149"/>
      <c r="Q485" s="149"/>
      <c r="R485" s="149"/>
      <c r="S485" s="149"/>
      <c r="T485" s="149"/>
      <c r="U485" s="149"/>
      <c r="V485" s="149"/>
      <c r="W485" s="149"/>
      <c r="X485" s="149"/>
      <c r="Y485" s="149"/>
      <c r="Z485" s="149"/>
      <c r="AA485" s="149"/>
      <c r="AB485" s="580">
        <f>HLOOKUP("*"&amp;'Output annual'!$AC$2&amp;'Output annual'!$AD$2&amp;"*Zone People Number Of Occupants [](Hourly)",'Eplus results'!$1:$1048576,ROW(),FALSE)</f>
        <v>0</v>
      </c>
      <c r="AC485" s="580">
        <f>HLOOKUP("*"&amp;'Output annual'!$AC$2&amp;'Output annual'!$AD$2&amp;"*FangerPMV(Hourly)",'Eplus results'!$1:$1048576,ROW(),FALSE)</f>
        <v>0</v>
      </c>
      <c r="AD485" s="580">
        <f t="shared" si="71"/>
        <v>5</v>
      </c>
      <c r="AE485" s="580">
        <f t="shared" si="72"/>
        <v>2.5</v>
      </c>
      <c r="AF485" s="580">
        <f t="shared" si="73"/>
        <v>2.5</v>
      </c>
      <c r="AG485" s="580">
        <f t="shared" si="74"/>
        <v>0</v>
      </c>
      <c r="AH485" s="580">
        <f t="shared" si="75"/>
        <v>0</v>
      </c>
      <c r="AI485" s="149"/>
      <c r="AJ485" s="149"/>
      <c r="AK485" s="149"/>
      <c r="AL485" s="149"/>
      <c r="AM485" s="149"/>
      <c r="AN485" s="149"/>
      <c r="AO485" s="149"/>
      <c r="AP485" s="149"/>
    </row>
    <row r="486" spans="2:42">
      <c r="B486" s="221">
        <v>42</v>
      </c>
      <c r="C486" s="54" t="s">
        <v>41</v>
      </c>
      <c r="D486" s="223">
        <v>23.218762055115601</v>
      </c>
      <c r="E486" s="344">
        <v>0.34336493488410902</v>
      </c>
      <c r="F486" s="179">
        <v>23.89</v>
      </c>
      <c r="G486" s="179">
        <v>21.11</v>
      </c>
      <c r="H486" s="223">
        <v>20.0886483577397</v>
      </c>
      <c r="I486" s="297">
        <v>0.23881937241517115</v>
      </c>
      <c r="J486" s="149"/>
      <c r="K486" s="149"/>
      <c r="L486" s="149"/>
      <c r="M486" s="149"/>
      <c r="N486" s="149"/>
      <c r="O486" s="149"/>
      <c r="P486" s="149"/>
      <c r="Q486" s="149"/>
      <c r="R486" s="149"/>
      <c r="S486" s="149"/>
      <c r="T486" s="149"/>
      <c r="U486" s="149"/>
      <c r="V486" s="149"/>
      <c r="W486" s="149"/>
      <c r="X486" s="149"/>
      <c r="Y486" s="149"/>
      <c r="Z486" s="149"/>
      <c r="AA486" s="149"/>
      <c r="AB486" s="580">
        <f>HLOOKUP("*"&amp;'Output annual'!$AC$2&amp;'Output annual'!$AD$2&amp;"*Zone People Number Of Occupants [](Hourly)",'Eplus results'!$1:$1048576,ROW(),FALSE)</f>
        <v>0</v>
      </c>
      <c r="AC486" s="580">
        <f>HLOOKUP("*"&amp;'Output annual'!$AC$2&amp;'Output annual'!$AD$2&amp;"*FangerPMV(Hourly)",'Eplus results'!$1:$1048576,ROW(),FALSE)</f>
        <v>0</v>
      </c>
      <c r="AD486" s="580">
        <f t="shared" si="71"/>
        <v>5</v>
      </c>
      <c r="AE486" s="580">
        <f t="shared" si="72"/>
        <v>2.5</v>
      </c>
      <c r="AF486" s="580">
        <f t="shared" si="73"/>
        <v>2.5</v>
      </c>
      <c r="AG486" s="580">
        <f t="shared" si="74"/>
        <v>0</v>
      </c>
      <c r="AH486" s="580">
        <f t="shared" si="75"/>
        <v>0</v>
      </c>
      <c r="AI486" s="149"/>
      <c r="AJ486" s="149"/>
      <c r="AK486" s="149"/>
      <c r="AL486" s="149"/>
      <c r="AM486" s="149"/>
      <c r="AN486" s="149"/>
      <c r="AO486" s="149"/>
      <c r="AP486" s="149"/>
    </row>
    <row r="487" spans="2:42">
      <c r="B487" s="221">
        <v>43</v>
      </c>
      <c r="C487" s="54" t="s">
        <v>42</v>
      </c>
      <c r="D487" s="223">
        <v>22.0047722803723</v>
      </c>
      <c r="E487" s="344">
        <v>0.33183981472282698</v>
      </c>
      <c r="F487" s="179">
        <v>23.89</v>
      </c>
      <c r="G487" s="179">
        <v>21.11</v>
      </c>
      <c r="H487" s="223">
        <v>21.241615650460101</v>
      </c>
      <c r="I487" s="297">
        <v>0.26323110847782055</v>
      </c>
      <c r="J487" s="149"/>
      <c r="K487" s="149"/>
      <c r="L487" s="149"/>
      <c r="M487" s="149"/>
      <c r="N487" s="149"/>
      <c r="O487" s="149"/>
      <c r="P487" s="149"/>
      <c r="Q487" s="149"/>
      <c r="R487" s="149"/>
      <c r="S487" s="149"/>
      <c r="T487" s="149"/>
      <c r="U487" s="149"/>
      <c r="V487" s="149"/>
      <c r="W487" s="149"/>
      <c r="X487" s="149"/>
      <c r="Y487" s="149"/>
      <c r="Z487" s="149"/>
      <c r="AA487" s="149"/>
      <c r="AB487" s="580">
        <f>HLOOKUP("*"&amp;'Output annual'!$AC$2&amp;'Output annual'!$AD$2&amp;"*Zone People Number Of Occupants [](Hourly)",'Eplus results'!$1:$1048576,ROW(),FALSE)</f>
        <v>0</v>
      </c>
      <c r="AC487" s="580">
        <f>HLOOKUP("*"&amp;'Output annual'!$AC$2&amp;'Output annual'!$AD$2&amp;"*FangerPMV(Hourly)",'Eplus results'!$1:$1048576,ROW(),FALSE)</f>
        <v>0</v>
      </c>
      <c r="AD487" s="580">
        <f t="shared" si="71"/>
        <v>5</v>
      </c>
      <c r="AE487" s="580">
        <f t="shared" si="72"/>
        <v>2.5</v>
      </c>
      <c r="AF487" s="580">
        <f t="shared" si="73"/>
        <v>2.5</v>
      </c>
      <c r="AG487" s="580">
        <f t="shared" si="74"/>
        <v>0</v>
      </c>
      <c r="AH487" s="580">
        <f t="shared" si="75"/>
        <v>0</v>
      </c>
      <c r="AI487" s="149"/>
      <c r="AJ487" s="149"/>
      <c r="AK487" s="149"/>
      <c r="AL487" s="149"/>
      <c r="AM487" s="149"/>
      <c r="AN487" s="149"/>
      <c r="AO487" s="149"/>
      <c r="AP487" s="149"/>
    </row>
    <row r="488" spans="2:42">
      <c r="B488" s="221">
        <v>44</v>
      </c>
      <c r="C488" s="54" t="s">
        <v>43</v>
      </c>
      <c r="D488" s="223">
        <v>23.062722113402</v>
      </c>
      <c r="E488" s="344">
        <v>0</v>
      </c>
      <c r="F488" s="179">
        <v>32.22</v>
      </c>
      <c r="G488" s="179">
        <v>12.78</v>
      </c>
      <c r="H488" s="223">
        <v>21.948931639337101</v>
      </c>
      <c r="I488" s="297">
        <v>0</v>
      </c>
      <c r="J488" s="149"/>
      <c r="K488" s="149"/>
      <c r="L488" s="149"/>
      <c r="M488" s="149"/>
      <c r="N488" s="149"/>
      <c r="O488" s="149"/>
      <c r="P488" s="149"/>
      <c r="Q488" s="149"/>
      <c r="R488" s="149"/>
      <c r="S488" s="149"/>
      <c r="T488" s="149"/>
      <c r="U488" s="149"/>
      <c r="V488" s="149"/>
      <c r="W488" s="149"/>
      <c r="X488" s="149"/>
      <c r="Y488" s="149"/>
      <c r="Z488" s="149"/>
      <c r="AA488" s="149"/>
      <c r="AB488" s="580">
        <f>HLOOKUP("*"&amp;'Output annual'!$AC$2&amp;'Output annual'!$AD$2&amp;"*Zone People Number Of Occupants [](Hourly)",'Eplus results'!$1:$1048576,ROW(),FALSE)</f>
        <v>0</v>
      </c>
      <c r="AC488" s="580">
        <f>HLOOKUP("*"&amp;'Output annual'!$AC$2&amp;'Output annual'!$AD$2&amp;"*FangerPMV(Hourly)",'Eplus results'!$1:$1048576,ROW(),FALSE)</f>
        <v>0</v>
      </c>
      <c r="AD488" s="580">
        <f t="shared" si="71"/>
        <v>5</v>
      </c>
      <c r="AE488" s="580">
        <f t="shared" si="72"/>
        <v>2.5</v>
      </c>
      <c r="AF488" s="580">
        <f t="shared" si="73"/>
        <v>2.5</v>
      </c>
      <c r="AG488" s="580">
        <f t="shared" si="74"/>
        <v>0</v>
      </c>
      <c r="AH488" s="580">
        <f t="shared" si="75"/>
        <v>0</v>
      </c>
      <c r="AI488" s="149"/>
      <c r="AJ488" s="149"/>
      <c r="AK488" s="149"/>
      <c r="AL488" s="149"/>
      <c r="AM488" s="149"/>
      <c r="AN488" s="149"/>
      <c r="AO488" s="149"/>
      <c r="AP488" s="149"/>
    </row>
    <row r="489" spans="2:42">
      <c r="B489" s="221">
        <v>45</v>
      </c>
      <c r="C489" s="54" t="s">
        <v>44</v>
      </c>
      <c r="D489" s="223">
        <v>22.266225659584101</v>
      </c>
      <c r="E489" s="344">
        <v>0</v>
      </c>
      <c r="F489" s="179">
        <v>32.22</v>
      </c>
      <c r="G489" s="179">
        <v>12.78</v>
      </c>
      <c r="H489" s="223">
        <v>22.4966294343836</v>
      </c>
      <c r="I489" s="297">
        <v>0</v>
      </c>
      <c r="J489" s="149"/>
      <c r="K489" s="149"/>
      <c r="L489" s="149"/>
      <c r="M489" s="149"/>
      <c r="N489" s="149"/>
      <c r="O489" s="149"/>
      <c r="P489" s="149"/>
      <c r="Q489" s="149"/>
      <c r="R489" s="149"/>
      <c r="S489" s="149"/>
      <c r="T489" s="149"/>
      <c r="U489" s="149"/>
      <c r="V489" s="149"/>
      <c r="W489" s="149"/>
      <c r="X489" s="149"/>
      <c r="Y489" s="149"/>
      <c r="Z489" s="149"/>
      <c r="AA489" s="149"/>
      <c r="AB489" s="580">
        <f>HLOOKUP("*"&amp;'Output annual'!$AC$2&amp;'Output annual'!$AD$2&amp;"*Zone People Number Of Occupants [](Hourly)",'Eplus results'!$1:$1048576,ROW(),FALSE)</f>
        <v>0</v>
      </c>
      <c r="AC489" s="580">
        <f>HLOOKUP("*"&amp;'Output annual'!$AC$2&amp;'Output annual'!$AD$2&amp;"*FangerPMV(Hourly)",'Eplus results'!$1:$1048576,ROW(),FALSE)</f>
        <v>0</v>
      </c>
      <c r="AD489" s="580">
        <f t="shared" si="71"/>
        <v>5</v>
      </c>
      <c r="AE489" s="580">
        <f t="shared" si="72"/>
        <v>2.5</v>
      </c>
      <c r="AF489" s="580">
        <f t="shared" si="73"/>
        <v>2.5</v>
      </c>
      <c r="AG489" s="580">
        <f t="shared" si="74"/>
        <v>0</v>
      </c>
      <c r="AH489" s="580">
        <f t="shared" si="75"/>
        <v>0</v>
      </c>
      <c r="AI489" s="149"/>
      <c r="AJ489" s="149"/>
      <c r="AK489" s="149"/>
      <c r="AL489" s="149"/>
      <c r="AM489" s="149"/>
      <c r="AN489" s="149"/>
      <c r="AO489" s="149"/>
      <c r="AP489" s="149"/>
    </row>
    <row r="490" spans="2:42">
      <c r="B490" s="221">
        <v>46</v>
      </c>
      <c r="C490" s="54" t="s">
        <v>45</v>
      </c>
      <c r="D490" s="223">
        <v>21.585188779184101</v>
      </c>
      <c r="E490" s="344">
        <v>0</v>
      </c>
      <c r="F490" s="179">
        <v>32.22</v>
      </c>
      <c r="G490" s="179">
        <v>12.78</v>
      </c>
      <c r="H490" s="223">
        <v>22.507165124061</v>
      </c>
      <c r="I490" s="297">
        <v>0</v>
      </c>
      <c r="J490" s="149"/>
      <c r="K490" s="149"/>
      <c r="L490" s="149"/>
      <c r="M490" s="149"/>
      <c r="N490" s="149"/>
      <c r="O490" s="149"/>
      <c r="P490" s="149"/>
      <c r="Q490" s="149"/>
      <c r="R490" s="149"/>
      <c r="S490" s="149"/>
      <c r="T490" s="149"/>
      <c r="U490" s="149"/>
      <c r="V490" s="149"/>
      <c r="W490" s="149"/>
      <c r="X490" s="149"/>
      <c r="Y490" s="149"/>
      <c r="Z490" s="149"/>
      <c r="AA490" s="149"/>
      <c r="AB490" s="580">
        <f>HLOOKUP("*"&amp;'Output annual'!$AC$2&amp;'Output annual'!$AD$2&amp;"*Zone People Number Of Occupants [](Hourly)",'Eplus results'!$1:$1048576,ROW(),FALSE)</f>
        <v>0</v>
      </c>
      <c r="AC490" s="580">
        <f>HLOOKUP("*"&amp;'Output annual'!$AC$2&amp;'Output annual'!$AD$2&amp;"*FangerPMV(Hourly)",'Eplus results'!$1:$1048576,ROW(),FALSE)</f>
        <v>0</v>
      </c>
      <c r="AD490" s="580">
        <f t="shared" si="71"/>
        <v>5</v>
      </c>
      <c r="AE490" s="580">
        <f t="shared" si="72"/>
        <v>2.5</v>
      </c>
      <c r="AF490" s="580">
        <f t="shared" si="73"/>
        <v>2.5</v>
      </c>
      <c r="AG490" s="580">
        <f t="shared" si="74"/>
        <v>0</v>
      </c>
      <c r="AH490" s="580">
        <f t="shared" si="75"/>
        <v>0</v>
      </c>
      <c r="AI490" s="149"/>
      <c r="AJ490" s="149"/>
      <c r="AK490" s="149"/>
      <c r="AL490" s="149"/>
      <c r="AM490" s="149"/>
      <c r="AN490" s="149"/>
      <c r="AO490" s="149"/>
      <c r="AP490" s="149"/>
    </row>
    <row r="491" spans="2:42">
      <c r="B491" s="221">
        <v>47</v>
      </c>
      <c r="C491" s="54" t="s">
        <v>46</v>
      </c>
      <c r="D491" s="223">
        <v>20.931015152051</v>
      </c>
      <c r="E491" s="344">
        <v>0</v>
      </c>
      <c r="F491" s="179">
        <v>32.22</v>
      </c>
      <c r="G491" s="179">
        <v>12.78</v>
      </c>
      <c r="H491" s="223">
        <v>22.436137283353101</v>
      </c>
      <c r="I491" s="297">
        <v>0</v>
      </c>
      <c r="J491" s="149"/>
      <c r="K491" s="149"/>
      <c r="L491" s="149"/>
      <c r="M491" s="149"/>
      <c r="N491" s="149"/>
      <c r="O491" s="149"/>
      <c r="P491" s="149"/>
      <c r="Q491" s="149"/>
      <c r="R491" s="149"/>
      <c r="S491" s="149"/>
      <c r="T491" s="149"/>
      <c r="U491" s="149"/>
      <c r="V491" s="149"/>
      <c r="W491" s="149"/>
      <c r="X491" s="149"/>
      <c r="Y491" s="149"/>
      <c r="Z491" s="149"/>
      <c r="AA491" s="149"/>
      <c r="AB491" s="580">
        <f>HLOOKUP("*"&amp;'Output annual'!$AC$2&amp;'Output annual'!$AD$2&amp;"*Zone People Number Of Occupants [](Hourly)",'Eplus results'!$1:$1048576,ROW(),FALSE)</f>
        <v>0</v>
      </c>
      <c r="AC491" s="580">
        <f>HLOOKUP("*"&amp;'Output annual'!$AC$2&amp;'Output annual'!$AD$2&amp;"*FangerPMV(Hourly)",'Eplus results'!$1:$1048576,ROW(),FALSE)</f>
        <v>0</v>
      </c>
      <c r="AD491" s="580">
        <f t="shared" si="71"/>
        <v>5</v>
      </c>
      <c r="AE491" s="580">
        <f t="shared" si="72"/>
        <v>2.5</v>
      </c>
      <c r="AF491" s="580">
        <f t="shared" si="73"/>
        <v>2.5</v>
      </c>
      <c r="AG491" s="580">
        <f t="shared" si="74"/>
        <v>0</v>
      </c>
      <c r="AH491" s="580">
        <f t="shared" si="75"/>
        <v>0</v>
      </c>
      <c r="AI491" s="149"/>
      <c r="AJ491" s="149"/>
      <c r="AK491" s="149"/>
      <c r="AL491" s="149"/>
      <c r="AM491" s="149"/>
      <c r="AN491" s="149"/>
      <c r="AO491" s="149"/>
      <c r="AP491" s="149"/>
    </row>
    <row r="492" spans="2:42">
      <c r="B492" s="221">
        <v>48</v>
      </c>
      <c r="C492" s="54" t="s">
        <v>47</v>
      </c>
      <c r="D492" s="223">
        <v>20.325982829283799</v>
      </c>
      <c r="E492" s="344">
        <v>0</v>
      </c>
      <c r="F492" s="179">
        <v>32.22</v>
      </c>
      <c r="G492" s="179">
        <v>12.78</v>
      </c>
      <c r="H492" s="223">
        <v>22.3182112163745</v>
      </c>
      <c r="I492" s="297">
        <v>0</v>
      </c>
      <c r="J492" s="149"/>
      <c r="K492" s="149"/>
      <c r="L492" s="149"/>
      <c r="M492" s="149"/>
      <c r="N492" s="149"/>
      <c r="O492" s="149"/>
      <c r="P492" s="149"/>
      <c r="Q492" s="149"/>
      <c r="R492" s="149"/>
      <c r="S492" s="149"/>
      <c r="T492" s="149"/>
      <c r="U492" s="149"/>
      <c r="V492" s="149"/>
      <c r="W492" s="149"/>
      <c r="X492" s="149"/>
      <c r="Y492" s="149"/>
      <c r="Z492" s="149"/>
      <c r="AA492" s="149"/>
      <c r="AB492" s="580">
        <f>HLOOKUP("*"&amp;'Output annual'!$AC$2&amp;'Output annual'!$AD$2&amp;"*Zone People Number Of Occupants [](Hourly)",'Eplus results'!$1:$1048576,ROW(),FALSE)</f>
        <v>0</v>
      </c>
      <c r="AC492" s="580">
        <f>HLOOKUP("*"&amp;'Output annual'!$AC$2&amp;'Output annual'!$AD$2&amp;"*FangerPMV(Hourly)",'Eplus results'!$1:$1048576,ROW(),FALSE)</f>
        <v>0</v>
      </c>
      <c r="AD492" s="580">
        <f t="shared" si="71"/>
        <v>5</v>
      </c>
      <c r="AE492" s="580">
        <f t="shared" si="72"/>
        <v>2.5</v>
      </c>
      <c r="AF492" s="580">
        <f t="shared" si="73"/>
        <v>2.5</v>
      </c>
      <c r="AG492" s="580">
        <f t="shared" si="74"/>
        <v>0</v>
      </c>
      <c r="AH492" s="580">
        <f t="shared" si="75"/>
        <v>0</v>
      </c>
      <c r="AI492" s="149"/>
      <c r="AJ492" s="149"/>
      <c r="AK492" s="149"/>
      <c r="AL492" s="149"/>
      <c r="AM492" s="149"/>
      <c r="AN492" s="149"/>
      <c r="AO492" s="149"/>
      <c r="AP492" s="149"/>
    </row>
    <row r="493" spans="2:42">
      <c r="B493" s="221">
        <v>49</v>
      </c>
      <c r="C493" s="54" t="s">
        <v>48</v>
      </c>
      <c r="D493" s="223">
        <v>19.7662947552035</v>
      </c>
      <c r="E493" s="344">
        <v>0</v>
      </c>
      <c r="F493" s="179">
        <v>32.22</v>
      </c>
      <c r="G493" s="179">
        <v>12.78</v>
      </c>
      <c r="H493" s="223">
        <v>22.169729391866799</v>
      </c>
      <c r="I493" s="297">
        <v>0</v>
      </c>
      <c r="J493" s="149"/>
      <c r="K493" s="149"/>
      <c r="L493" s="149"/>
      <c r="M493" s="149"/>
      <c r="N493" s="149"/>
      <c r="O493" s="149"/>
      <c r="P493" s="149"/>
      <c r="Q493" s="149"/>
      <c r="R493" s="149"/>
      <c r="S493" s="149"/>
      <c r="T493" s="149"/>
      <c r="U493" s="149"/>
      <c r="V493" s="149"/>
      <c r="W493" s="149"/>
      <c r="X493" s="149"/>
      <c r="Y493" s="149"/>
      <c r="Z493" s="149"/>
      <c r="AA493" s="149"/>
      <c r="AB493" s="580">
        <f>HLOOKUP("*"&amp;'Output annual'!$AC$2&amp;'Output annual'!$AD$2&amp;"*Zone People Number Of Occupants [](Hourly)",'Eplus results'!$1:$1048576,ROW(),FALSE)</f>
        <v>0</v>
      </c>
      <c r="AC493" s="580">
        <f>HLOOKUP("*"&amp;'Output annual'!$AC$2&amp;'Output annual'!$AD$2&amp;"*FangerPMV(Hourly)",'Eplus results'!$1:$1048576,ROW(),FALSE)</f>
        <v>0</v>
      </c>
      <c r="AD493" s="580">
        <f t="shared" si="71"/>
        <v>5</v>
      </c>
      <c r="AE493" s="580">
        <f t="shared" si="72"/>
        <v>2.5</v>
      </c>
      <c r="AF493" s="580">
        <f t="shared" si="73"/>
        <v>2.5</v>
      </c>
      <c r="AG493" s="580">
        <f t="shared" si="74"/>
        <v>0</v>
      </c>
      <c r="AH493" s="580">
        <f t="shared" si="75"/>
        <v>0</v>
      </c>
      <c r="AI493" s="149"/>
      <c r="AJ493" s="149"/>
      <c r="AK493" s="149"/>
      <c r="AL493" s="149"/>
      <c r="AM493" s="149"/>
      <c r="AN493" s="149"/>
      <c r="AO493" s="149"/>
      <c r="AP493" s="149"/>
    </row>
    <row r="494" spans="2:42">
      <c r="B494" s="221">
        <v>50</v>
      </c>
      <c r="C494" s="54" t="s">
        <v>49</v>
      </c>
      <c r="D494" s="223">
        <v>19.2183886650005</v>
      </c>
      <c r="E494" s="344">
        <v>0</v>
      </c>
      <c r="F494" s="179">
        <v>32.22</v>
      </c>
      <c r="G494" s="179">
        <v>12.78</v>
      </c>
      <c r="H494" s="223">
        <v>21.998830443088099</v>
      </c>
      <c r="I494" s="297">
        <v>0</v>
      </c>
      <c r="J494" s="149"/>
      <c r="K494" s="149"/>
      <c r="L494" s="149"/>
      <c r="M494" s="149"/>
      <c r="N494" s="149"/>
      <c r="O494" s="149"/>
      <c r="P494" s="149"/>
      <c r="Q494" s="149"/>
      <c r="R494" s="149"/>
      <c r="S494" s="149"/>
      <c r="T494" s="149"/>
      <c r="U494" s="149"/>
      <c r="V494" s="149"/>
      <c r="W494" s="149"/>
      <c r="X494" s="149"/>
      <c r="Y494" s="149"/>
      <c r="Z494" s="149"/>
      <c r="AA494" s="149"/>
      <c r="AB494" s="580">
        <f>HLOOKUP("*"&amp;'Output annual'!$AC$2&amp;'Output annual'!$AD$2&amp;"*Zone People Number Of Occupants [](Hourly)",'Eplus results'!$1:$1048576,ROW(),FALSE)</f>
        <v>0</v>
      </c>
      <c r="AC494" s="580">
        <f>HLOOKUP("*"&amp;'Output annual'!$AC$2&amp;'Output annual'!$AD$2&amp;"*FangerPMV(Hourly)",'Eplus results'!$1:$1048576,ROW(),FALSE)</f>
        <v>0</v>
      </c>
      <c r="AD494" s="580">
        <f t="shared" si="71"/>
        <v>5</v>
      </c>
      <c r="AE494" s="580">
        <f t="shared" si="72"/>
        <v>2.5</v>
      </c>
      <c r="AF494" s="580">
        <f t="shared" si="73"/>
        <v>2.5</v>
      </c>
      <c r="AG494" s="580">
        <f t="shared" si="74"/>
        <v>0</v>
      </c>
      <c r="AH494" s="580">
        <f t="shared" si="75"/>
        <v>0</v>
      </c>
      <c r="AI494" s="149"/>
      <c r="AJ494" s="149"/>
      <c r="AK494" s="149"/>
      <c r="AL494" s="149"/>
      <c r="AM494" s="149"/>
      <c r="AN494" s="149"/>
      <c r="AO494" s="149"/>
      <c r="AP494" s="149"/>
    </row>
    <row r="495" spans="2:42">
      <c r="B495" s="221">
        <v>51</v>
      </c>
      <c r="C495" s="54" t="s">
        <v>50</v>
      </c>
      <c r="D495" s="223">
        <v>18.6499442497832</v>
      </c>
      <c r="E495" s="344">
        <v>0</v>
      </c>
      <c r="F495" s="179">
        <v>32.22</v>
      </c>
      <c r="G495" s="179">
        <v>12.78</v>
      </c>
      <c r="H495" s="223">
        <v>21.810595466240098</v>
      </c>
      <c r="I495" s="297">
        <v>0</v>
      </c>
      <c r="J495" s="149"/>
      <c r="K495" s="149"/>
      <c r="L495" s="149"/>
      <c r="M495" s="149"/>
      <c r="N495" s="149"/>
      <c r="O495" s="149"/>
      <c r="P495" s="149"/>
      <c r="Q495" s="149"/>
      <c r="R495" s="149"/>
      <c r="S495" s="149"/>
      <c r="T495" s="149"/>
      <c r="U495" s="149"/>
      <c r="V495" s="149"/>
      <c r="W495" s="149"/>
      <c r="X495" s="149"/>
      <c r="Y495" s="149"/>
      <c r="Z495" s="149"/>
      <c r="AA495" s="149"/>
      <c r="AB495" s="580">
        <f>HLOOKUP("*"&amp;'Output annual'!$AC$2&amp;'Output annual'!$AD$2&amp;"*Zone People Number Of Occupants [](Hourly)",'Eplus results'!$1:$1048576,ROW(),FALSE)</f>
        <v>0</v>
      </c>
      <c r="AC495" s="580">
        <f>HLOOKUP("*"&amp;'Output annual'!$AC$2&amp;'Output annual'!$AD$2&amp;"*FangerPMV(Hourly)",'Eplus results'!$1:$1048576,ROW(),FALSE)</f>
        <v>0</v>
      </c>
      <c r="AD495" s="580">
        <f t="shared" si="71"/>
        <v>5</v>
      </c>
      <c r="AE495" s="580">
        <f t="shared" si="72"/>
        <v>2.5</v>
      </c>
      <c r="AF495" s="580">
        <f t="shared" si="73"/>
        <v>2.5</v>
      </c>
      <c r="AG495" s="580">
        <f t="shared" si="74"/>
        <v>0</v>
      </c>
      <c r="AH495" s="580">
        <f t="shared" si="75"/>
        <v>0</v>
      </c>
      <c r="AI495" s="149"/>
      <c r="AJ495" s="149"/>
      <c r="AK495" s="149"/>
      <c r="AL495" s="149"/>
      <c r="AM495" s="149"/>
      <c r="AN495" s="149"/>
      <c r="AO495" s="149"/>
      <c r="AP495" s="149"/>
    </row>
    <row r="496" spans="2:42">
      <c r="B496" s="221">
        <v>52</v>
      </c>
      <c r="C496" s="54" t="s">
        <v>51</v>
      </c>
      <c r="D496" s="223">
        <v>18.049953866703</v>
      </c>
      <c r="E496" s="344">
        <v>0</v>
      </c>
      <c r="F496" s="179">
        <v>32.22</v>
      </c>
      <c r="G496" s="179">
        <v>12.78</v>
      </c>
      <c r="H496" s="223">
        <v>21.606648546578501</v>
      </c>
      <c r="I496" s="297">
        <v>0</v>
      </c>
      <c r="J496" s="149"/>
      <c r="K496" s="149"/>
      <c r="L496" s="149"/>
      <c r="M496" s="149"/>
      <c r="N496" s="149"/>
      <c r="O496" s="149"/>
      <c r="P496" s="149"/>
      <c r="Q496" s="149"/>
      <c r="R496" s="149"/>
      <c r="S496" s="149"/>
      <c r="T496" s="149"/>
      <c r="U496" s="149"/>
      <c r="V496" s="149"/>
      <c r="W496" s="149"/>
      <c r="X496" s="149"/>
      <c r="Y496" s="149"/>
      <c r="Z496" s="149"/>
      <c r="AA496" s="149"/>
      <c r="AB496" s="580">
        <f>HLOOKUP("*"&amp;'Output annual'!$AC$2&amp;'Output annual'!$AD$2&amp;"*Zone People Number Of Occupants [](Hourly)",'Eplus results'!$1:$1048576,ROW(),FALSE)</f>
        <v>0</v>
      </c>
      <c r="AC496" s="580">
        <f>HLOOKUP("*"&amp;'Output annual'!$AC$2&amp;'Output annual'!$AD$2&amp;"*FangerPMV(Hourly)",'Eplus results'!$1:$1048576,ROW(),FALSE)</f>
        <v>0</v>
      </c>
      <c r="AD496" s="580">
        <f t="shared" si="71"/>
        <v>5</v>
      </c>
      <c r="AE496" s="580">
        <f t="shared" si="72"/>
        <v>2.5</v>
      </c>
      <c r="AF496" s="580">
        <f t="shared" si="73"/>
        <v>2.5</v>
      </c>
      <c r="AG496" s="580">
        <f t="shared" si="74"/>
        <v>0</v>
      </c>
      <c r="AH496" s="580">
        <f t="shared" si="75"/>
        <v>0</v>
      </c>
      <c r="AI496" s="149"/>
      <c r="AJ496" s="149"/>
      <c r="AK496" s="149"/>
      <c r="AL496" s="149"/>
      <c r="AM496" s="149"/>
      <c r="AN496" s="149"/>
      <c r="AO496" s="149"/>
      <c r="AP496" s="149"/>
    </row>
    <row r="497" spans="2:42">
      <c r="B497" s="221">
        <v>53</v>
      </c>
      <c r="C497" s="54" t="s">
        <v>52</v>
      </c>
      <c r="D497" s="223">
        <v>17.502545502726299</v>
      </c>
      <c r="E497" s="344">
        <v>0</v>
      </c>
      <c r="F497" s="179">
        <v>32.22</v>
      </c>
      <c r="G497" s="179">
        <v>12.78</v>
      </c>
      <c r="H497" s="223">
        <v>21.385962821364799</v>
      </c>
      <c r="I497" s="297">
        <v>0</v>
      </c>
      <c r="J497" s="149"/>
      <c r="K497" s="149"/>
      <c r="L497" s="149"/>
      <c r="M497" s="149"/>
      <c r="N497" s="149"/>
      <c r="O497" s="149"/>
      <c r="P497" s="149"/>
      <c r="Q497" s="149"/>
      <c r="R497" s="149"/>
      <c r="S497" s="149"/>
      <c r="T497" s="149"/>
      <c r="U497" s="149"/>
      <c r="V497" s="149"/>
      <c r="W497" s="149"/>
      <c r="X497" s="149"/>
      <c r="Y497" s="149"/>
      <c r="Z497" s="149"/>
      <c r="AA497" s="149"/>
      <c r="AB497" s="580">
        <f>HLOOKUP("*"&amp;'Output annual'!$AC$2&amp;'Output annual'!$AD$2&amp;"*Zone People Number Of Occupants [](Hourly)",'Eplus results'!$1:$1048576,ROW(),FALSE)</f>
        <v>0</v>
      </c>
      <c r="AC497" s="580">
        <f>HLOOKUP("*"&amp;'Output annual'!$AC$2&amp;'Output annual'!$AD$2&amp;"*FangerPMV(Hourly)",'Eplus results'!$1:$1048576,ROW(),FALSE)</f>
        <v>0</v>
      </c>
      <c r="AD497" s="580">
        <f t="shared" si="71"/>
        <v>5</v>
      </c>
      <c r="AE497" s="580">
        <f t="shared" si="72"/>
        <v>2.5</v>
      </c>
      <c r="AF497" s="580">
        <f t="shared" si="73"/>
        <v>2.5</v>
      </c>
      <c r="AG497" s="580">
        <f t="shared" si="74"/>
        <v>0</v>
      </c>
      <c r="AH497" s="580">
        <f t="shared" si="75"/>
        <v>0</v>
      </c>
      <c r="AI497" s="149"/>
      <c r="AJ497" s="149"/>
      <c r="AK497" s="149"/>
      <c r="AL497" s="149"/>
      <c r="AM497" s="149"/>
      <c r="AN497" s="149"/>
      <c r="AO497" s="149"/>
      <c r="AP497" s="149"/>
    </row>
    <row r="498" spans="2:42">
      <c r="B498" s="221">
        <v>54</v>
      </c>
      <c r="C498" s="54" t="s">
        <v>53</v>
      </c>
      <c r="D498" s="223">
        <v>17.4662006874998</v>
      </c>
      <c r="E498" s="344">
        <v>0.33183981472282698</v>
      </c>
      <c r="F498" s="179">
        <v>23.89</v>
      </c>
      <c r="G498" s="179">
        <v>21.11</v>
      </c>
      <c r="H498" s="223">
        <v>20.008794005706299</v>
      </c>
      <c r="I498" s="297">
        <v>0</v>
      </c>
      <c r="J498" s="149"/>
      <c r="K498" s="149"/>
      <c r="L498" s="149"/>
      <c r="M498" s="149"/>
      <c r="N498" s="149"/>
      <c r="O498" s="149"/>
      <c r="P498" s="149"/>
      <c r="Q498" s="149"/>
      <c r="R498" s="149"/>
      <c r="S498" s="149"/>
      <c r="T498" s="149"/>
      <c r="U498" s="149"/>
      <c r="V498" s="149"/>
      <c r="W498" s="149"/>
      <c r="X498" s="149"/>
      <c r="Y498" s="149"/>
      <c r="Z498" s="149"/>
      <c r="AA498" s="149"/>
      <c r="AB498" s="580">
        <f>HLOOKUP("*"&amp;'Output annual'!$AC$2&amp;'Output annual'!$AD$2&amp;"*Zone People Number Of Occupants [](Hourly)",'Eplus results'!$1:$1048576,ROW(),FALSE)</f>
        <v>0</v>
      </c>
      <c r="AC498" s="580">
        <f>HLOOKUP("*"&amp;'Output annual'!$AC$2&amp;'Output annual'!$AD$2&amp;"*FangerPMV(Hourly)",'Eplus results'!$1:$1048576,ROW(),FALSE)</f>
        <v>0</v>
      </c>
      <c r="AD498" s="580">
        <f t="shared" si="71"/>
        <v>5</v>
      </c>
      <c r="AE498" s="580">
        <f t="shared" si="72"/>
        <v>2.5</v>
      </c>
      <c r="AF498" s="580">
        <f t="shared" si="73"/>
        <v>2.5</v>
      </c>
      <c r="AG498" s="580">
        <f t="shared" si="74"/>
        <v>0</v>
      </c>
      <c r="AH498" s="580">
        <f t="shared" si="75"/>
        <v>0</v>
      </c>
      <c r="AI498" s="149"/>
      <c r="AJ498" s="149"/>
      <c r="AK498" s="149"/>
      <c r="AL498" s="149"/>
      <c r="AM498" s="149"/>
      <c r="AN498" s="149"/>
      <c r="AO498" s="149"/>
      <c r="AP498" s="149"/>
    </row>
    <row r="499" spans="2:42">
      <c r="B499" s="221">
        <v>55</v>
      </c>
      <c r="C499" s="54" t="s">
        <v>54</v>
      </c>
      <c r="D499" s="223">
        <v>17.840401515286199</v>
      </c>
      <c r="E499" s="344">
        <v>0.33183981472282698</v>
      </c>
      <c r="F499" s="179">
        <v>23.89</v>
      </c>
      <c r="G499" s="179">
        <v>21.11</v>
      </c>
      <c r="H499" s="223">
        <v>19.485973254885099</v>
      </c>
      <c r="I499" s="297">
        <v>0</v>
      </c>
      <c r="J499" s="149"/>
      <c r="K499" s="149"/>
      <c r="L499" s="149"/>
      <c r="M499" s="149"/>
      <c r="N499" s="149"/>
      <c r="O499" s="149"/>
      <c r="P499" s="149"/>
      <c r="Q499" s="149"/>
      <c r="R499" s="149"/>
      <c r="S499" s="149"/>
      <c r="T499" s="149"/>
      <c r="U499" s="149"/>
      <c r="V499" s="149"/>
      <c r="W499" s="149"/>
      <c r="X499" s="149"/>
      <c r="Y499" s="149"/>
      <c r="Z499" s="149"/>
      <c r="AA499" s="149"/>
      <c r="AB499" s="580">
        <f>HLOOKUP("*"&amp;'Output annual'!$AC$2&amp;'Output annual'!$AD$2&amp;"*Zone People Number Of Occupants [](Hourly)",'Eplus results'!$1:$1048576,ROW(),FALSE)</f>
        <v>0</v>
      </c>
      <c r="AC499" s="580">
        <f>HLOOKUP("*"&amp;'Output annual'!$AC$2&amp;'Output annual'!$AD$2&amp;"*FangerPMV(Hourly)",'Eplus results'!$1:$1048576,ROW(),FALSE)</f>
        <v>0</v>
      </c>
      <c r="AD499" s="580">
        <f t="shared" si="71"/>
        <v>5</v>
      </c>
      <c r="AE499" s="580">
        <f t="shared" si="72"/>
        <v>2.5</v>
      </c>
      <c r="AF499" s="580">
        <f t="shared" si="73"/>
        <v>2.5</v>
      </c>
      <c r="AG499" s="580">
        <f t="shared" si="74"/>
        <v>0</v>
      </c>
      <c r="AH499" s="580">
        <f t="shared" si="75"/>
        <v>0</v>
      </c>
      <c r="AI499" s="149"/>
      <c r="AJ499" s="149"/>
      <c r="AK499" s="149"/>
      <c r="AL499" s="149"/>
      <c r="AM499" s="149"/>
      <c r="AN499" s="149"/>
      <c r="AO499" s="149"/>
      <c r="AP499" s="149"/>
    </row>
    <row r="500" spans="2:42">
      <c r="B500" s="221">
        <v>56</v>
      </c>
      <c r="C500" s="54" t="s">
        <v>55</v>
      </c>
      <c r="D500" s="223">
        <v>21.198327530895799</v>
      </c>
      <c r="E500" s="344">
        <v>0.33183981472282698</v>
      </c>
      <c r="F500" s="179">
        <v>23.89</v>
      </c>
      <c r="G500" s="179">
        <v>21.11</v>
      </c>
      <c r="H500" s="223">
        <v>19.438041897906601</v>
      </c>
      <c r="I500" s="297">
        <v>4.6090767089117086E-2</v>
      </c>
      <c r="J500" s="149"/>
      <c r="K500" s="149"/>
      <c r="L500" s="149"/>
      <c r="M500" s="149"/>
      <c r="N500" s="149"/>
      <c r="O500" s="149"/>
      <c r="P500" s="149"/>
      <c r="Q500" s="149"/>
      <c r="R500" s="149"/>
      <c r="S500" s="149"/>
      <c r="T500" s="149"/>
      <c r="U500" s="149"/>
      <c r="V500" s="149"/>
      <c r="W500" s="149"/>
      <c r="X500" s="149"/>
      <c r="Y500" s="149"/>
      <c r="Z500" s="149"/>
      <c r="AA500" s="149"/>
      <c r="AB500" s="580">
        <f>HLOOKUP("*"&amp;'Output annual'!$AC$2&amp;'Output annual'!$AD$2&amp;"*Zone People Number Of Occupants [](Hourly)",'Eplus results'!$1:$1048576,ROW(),FALSE)</f>
        <v>0</v>
      </c>
      <c r="AC500" s="580">
        <f>HLOOKUP("*"&amp;'Output annual'!$AC$2&amp;'Output annual'!$AD$2&amp;"*FangerPMV(Hourly)",'Eplus results'!$1:$1048576,ROW(),FALSE)</f>
        <v>0</v>
      </c>
      <c r="AD500" s="580">
        <f t="shared" si="71"/>
        <v>5</v>
      </c>
      <c r="AE500" s="580">
        <f t="shared" si="72"/>
        <v>2.5</v>
      </c>
      <c r="AF500" s="580">
        <f t="shared" si="73"/>
        <v>2.5</v>
      </c>
      <c r="AG500" s="580">
        <f t="shared" si="74"/>
        <v>0</v>
      </c>
      <c r="AH500" s="580">
        <f t="shared" si="75"/>
        <v>0</v>
      </c>
      <c r="AI500" s="149"/>
      <c r="AJ500" s="149"/>
      <c r="AK500" s="149"/>
      <c r="AL500" s="149"/>
      <c r="AM500" s="149"/>
      <c r="AN500" s="149"/>
      <c r="AO500" s="149"/>
      <c r="AP500" s="149"/>
    </row>
    <row r="501" spans="2:42">
      <c r="B501" s="221">
        <v>57</v>
      </c>
      <c r="C501" s="54" t="s">
        <v>56</v>
      </c>
      <c r="D501" s="223">
        <v>22.558439464409499</v>
      </c>
      <c r="E501" s="344">
        <v>0.33183981472282698</v>
      </c>
      <c r="F501" s="179">
        <v>23.89</v>
      </c>
      <c r="G501" s="179">
        <v>21.11</v>
      </c>
      <c r="H501" s="223">
        <v>19.7147852029014</v>
      </c>
      <c r="I501" s="297">
        <v>8.3850376181559425E-2</v>
      </c>
      <c r="J501" s="149"/>
      <c r="K501" s="149"/>
      <c r="L501" s="149"/>
      <c r="M501" s="149"/>
      <c r="N501" s="149"/>
      <c r="O501" s="149"/>
      <c r="P501" s="149"/>
      <c r="Q501" s="149"/>
      <c r="R501" s="149"/>
      <c r="S501" s="149"/>
      <c r="T501" s="149"/>
      <c r="U501" s="149"/>
      <c r="V501" s="149"/>
      <c r="W501" s="149"/>
      <c r="X501" s="149"/>
      <c r="Y501" s="149"/>
      <c r="Z501" s="149"/>
      <c r="AA501" s="149"/>
      <c r="AB501" s="580">
        <f>HLOOKUP("*"&amp;'Output annual'!$AC$2&amp;'Output annual'!$AD$2&amp;"*Zone People Number Of Occupants [](Hourly)",'Eplus results'!$1:$1048576,ROW(),FALSE)</f>
        <v>0</v>
      </c>
      <c r="AC501" s="580">
        <f>HLOOKUP("*"&amp;'Output annual'!$AC$2&amp;'Output annual'!$AD$2&amp;"*FangerPMV(Hourly)",'Eplus results'!$1:$1048576,ROW(),FALSE)</f>
        <v>0</v>
      </c>
      <c r="AD501" s="580">
        <f t="shared" si="71"/>
        <v>5</v>
      </c>
      <c r="AE501" s="580">
        <f t="shared" si="72"/>
        <v>2.5</v>
      </c>
      <c r="AF501" s="580">
        <f t="shared" si="73"/>
        <v>2.5</v>
      </c>
      <c r="AG501" s="580">
        <f t="shared" si="74"/>
        <v>0</v>
      </c>
      <c r="AH501" s="580">
        <f t="shared" si="75"/>
        <v>0</v>
      </c>
      <c r="AI501" s="149"/>
      <c r="AJ501" s="149"/>
      <c r="AK501" s="149"/>
      <c r="AL501" s="149"/>
      <c r="AM501" s="149"/>
      <c r="AN501" s="149"/>
      <c r="AO501" s="149"/>
      <c r="AP501" s="149"/>
    </row>
    <row r="502" spans="2:42">
      <c r="B502" s="221">
        <v>58</v>
      </c>
      <c r="C502" s="54" t="s">
        <v>57</v>
      </c>
      <c r="D502" s="223">
        <v>23.8285450015299</v>
      </c>
      <c r="E502" s="344">
        <v>0.66873871831329001</v>
      </c>
      <c r="F502" s="179">
        <v>23.89</v>
      </c>
      <c r="G502" s="179">
        <v>21.11</v>
      </c>
      <c r="H502" s="223">
        <v>18.8743921543523</v>
      </c>
      <c r="I502" s="297">
        <v>0.20141643132763837</v>
      </c>
      <c r="J502" s="149"/>
      <c r="K502" s="149"/>
      <c r="L502" s="149"/>
      <c r="M502" s="149"/>
      <c r="N502" s="149"/>
      <c r="O502" s="149"/>
      <c r="P502" s="149"/>
      <c r="Q502" s="149"/>
      <c r="R502" s="149"/>
      <c r="S502" s="149"/>
      <c r="T502" s="149"/>
      <c r="U502" s="149"/>
      <c r="V502" s="149"/>
      <c r="W502" s="149"/>
      <c r="X502" s="149"/>
      <c r="Y502" s="149"/>
      <c r="Z502" s="149"/>
      <c r="AA502" s="149"/>
      <c r="AB502" s="580">
        <f>HLOOKUP("*"&amp;'Output annual'!$AC$2&amp;'Output annual'!$AD$2&amp;"*Zone People Number Of Occupants [](Hourly)",'Eplus results'!$1:$1048576,ROW(),FALSE)</f>
        <v>0</v>
      </c>
      <c r="AC502" s="580">
        <f>HLOOKUP("*"&amp;'Output annual'!$AC$2&amp;'Output annual'!$AD$2&amp;"*FangerPMV(Hourly)",'Eplus results'!$1:$1048576,ROW(),FALSE)</f>
        <v>0</v>
      </c>
      <c r="AD502" s="580">
        <f t="shared" si="71"/>
        <v>5</v>
      </c>
      <c r="AE502" s="580">
        <f t="shared" si="72"/>
        <v>2.5</v>
      </c>
      <c r="AF502" s="580">
        <f t="shared" si="73"/>
        <v>2.5</v>
      </c>
      <c r="AG502" s="580">
        <f t="shared" si="74"/>
        <v>0</v>
      </c>
      <c r="AH502" s="580">
        <f t="shared" si="75"/>
        <v>0</v>
      </c>
      <c r="AI502" s="149"/>
      <c r="AJ502" s="149"/>
      <c r="AK502" s="149"/>
      <c r="AL502" s="149"/>
      <c r="AM502" s="149"/>
      <c r="AN502" s="149"/>
      <c r="AO502" s="149"/>
      <c r="AP502" s="149"/>
    </row>
    <row r="503" spans="2:42">
      <c r="B503" s="221">
        <v>59</v>
      </c>
      <c r="C503" s="54" t="s">
        <v>58</v>
      </c>
      <c r="D503" s="223">
        <v>24.275464423139798</v>
      </c>
      <c r="E503" s="344">
        <v>1.19699217502491</v>
      </c>
      <c r="F503" s="179">
        <v>23.89</v>
      </c>
      <c r="G503" s="179">
        <v>21.11</v>
      </c>
      <c r="H503" s="223">
        <v>18.457763759903301</v>
      </c>
      <c r="I503" s="297">
        <v>0.36051558150696911</v>
      </c>
      <c r="J503" s="149"/>
      <c r="K503" s="149"/>
      <c r="L503" s="149"/>
      <c r="M503" s="149"/>
      <c r="N503" s="149"/>
      <c r="O503" s="149"/>
      <c r="P503" s="149"/>
      <c r="Q503" s="149"/>
      <c r="R503" s="149"/>
      <c r="S503" s="149"/>
      <c r="T503" s="149"/>
      <c r="U503" s="149"/>
      <c r="V503" s="149"/>
      <c r="W503" s="149"/>
      <c r="X503" s="149"/>
      <c r="Y503" s="149"/>
      <c r="Z503" s="149"/>
      <c r="AA503" s="149"/>
      <c r="AB503" s="580">
        <f>HLOOKUP("*"&amp;'Output annual'!$AC$2&amp;'Output annual'!$AD$2&amp;"*Zone People Number Of Occupants [](Hourly)",'Eplus results'!$1:$1048576,ROW(),FALSE)</f>
        <v>0</v>
      </c>
      <c r="AC503" s="580">
        <f>HLOOKUP("*"&amp;'Output annual'!$AC$2&amp;'Output annual'!$AD$2&amp;"*FangerPMV(Hourly)",'Eplus results'!$1:$1048576,ROW(),FALSE)</f>
        <v>0</v>
      </c>
      <c r="AD503" s="580">
        <f t="shared" si="71"/>
        <v>5</v>
      </c>
      <c r="AE503" s="580">
        <f t="shared" si="72"/>
        <v>2.5</v>
      </c>
      <c r="AF503" s="580">
        <f t="shared" si="73"/>
        <v>2.5</v>
      </c>
      <c r="AG503" s="580">
        <f t="shared" si="74"/>
        <v>0</v>
      </c>
      <c r="AH503" s="580">
        <f t="shared" si="75"/>
        <v>0</v>
      </c>
      <c r="AI503" s="149"/>
      <c r="AJ503" s="149"/>
      <c r="AK503" s="149"/>
      <c r="AL503" s="149"/>
      <c r="AM503" s="149"/>
      <c r="AN503" s="149"/>
      <c r="AO503" s="149"/>
      <c r="AP503" s="149"/>
    </row>
    <row r="504" spans="2:42">
      <c r="B504" s="221">
        <v>60</v>
      </c>
      <c r="C504" s="54" t="s">
        <v>59</v>
      </c>
      <c r="D504" s="223">
        <v>24.257857652844301</v>
      </c>
      <c r="E504" s="344">
        <v>1.6431253476493499</v>
      </c>
      <c r="F504" s="179">
        <v>23.89</v>
      </c>
      <c r="G504" s="179">
        <v>21.11</v>
      </c>
      <c r="H504" s="223">
        <v>18.345546515207801</v>
      </c>
      <c r="I504" s="297">
        <v>0.46907110702954519</v>
      </c>
      <c r="J504" s="149"/>
      <c r="K504" s="149"/>
      <c r="L504" s="149"/>
      <c r="M504" s="149"/>
      <c r="N504" s="149"/>
      <c r="O504" s="149"/>
      <c r="P504" s="149"/>
      <c r="Q504" s="149"/>
      <c r="R504" s="149"/>
      <c r="S504" s="149"/>
      <c r="T504" s="149"/>
      <c r="U504" s="149"/>
      <c r="V504" s="149"/>
      <c r="W504" s="149"/>
      <c r="X504" s="149"/>
      <c r="Y504" s="149"/>
      <c r="Z504" s="149"/>
      <c r="AA504" s="149"/>
      <c r="AB504" s="580">
        <f>HLOOKUP("*"&amp;'Output annual'!$AC$2&amp;'Output annual'!$AD$2&amp;"*Zone People Number Of Occupants [](Hourly)",'Eplus results'!$1:$1048576,ROW(),FALSE)</f>
        <v>0</v>
      </c>
      <c r="AC504" s="580">
        <f>HLOOKUP("*"&amp;'Output annual'!$AC$2&amp;'Output annual'!$AD$2&amp;"*FangerPMV(Hourly)",'Eplus results'!$1:$1048576,ROW(),FALSE)</f>
        <v>0</v>
      </c>
      <c r="AD504" s="580">
        <f t="shared" si="71"/>
        <v>5</v>
      </c>
      <c r="AE504" s="580">
        <f t="shared" si="72"/>
        <v>2.5</v>
      </c>
      <c r="AF504" s="580">
        <f t="shared" si="73"/>
        <v>2.5</v>
      </c>
      <c r="AG504" s="580">
        <f t="shared" si="74"/>
        <v>0</v>
      </c>
      <c r="AH504" s="580">
        <f t="shared" si="75"/>
        <v>0</v>
      </c>
      <c r="AI504" s="149"/>
      <c r="AJ504" s="149"/>
      <c r="AK504" s="149"/>
      <c r="AL504" s="149"/>
      <c r="AM504" s="149"/>
      <c r="AN504" s="149"/>
      <c r="AO504" s="149"/>
      <c r="AP504" s="149"/>
    </row>
    <row r="505" spans="2:42">
      <c r="B505" s="221">
        <v>61</v>
      </c>
      <c r="C505" s="54" t="s">
        <v>60</v>
      </c>
      <c r="D505" s="223">
        <v>24.090177618745599</v>
      </c>
      <c r="E505" s="344">
        <v>2.0369901747669301</v>
      </c>
      <c r="F505" s="179">
        <v>23.89</v>
      </c>
      <c r="G505" s="179">
        <v>21.11</v>
      </c>
      <c r="H505" s="223">
        <v>18.313606576751901</v>
      </c>
      <c r="I505" s="297">
        <v>0.54246021239286168</v>
      </c>
      <c r="J505" s="149"/>
      <c r="K505" s="149"/>
      <c r="L505" s="149"/>
      <c r="M505" s="149"/>
      <c r="N505" s="149"/>
      <c r="O505" s="149"/>
      <c r="P505" s="149"/>
      <c r="Q505" s="149"/>
      <c r="R505" s="149"/>
      <c r="S505" s="149"/>
      <c r="T505" s="149"/>
      <c r="U505" s="149"/>
      <c r="V505" s="149"/>
      <c r="W505" s="149"/>
      <c r="X505" s="149"/>
      <c r="Y505" s="149"/>
      <c r="Z505" s="149"/>
      <c r="AA505" s="149"/>
      <c r="AB505" s="580">
        <f>HLOOKUP("*"&amp;'Output annual'!$AC$2&amp;'Output annual'!$AD$2&amp;"*Zone People Number Of Occupants [](Hourly)",'Eplus results'!$1:$1048576,ROW(),FALSE)</f>
        <v>0</v>
      </c>
      <c r="AC505" s="580">
        <f>HLOOKUP("*"&amp;'Output annual'!$AC$2&amp;'Output annual'!$AD$2&amp;"*FangerPMV(Hourly)",'Eplus results'!$1:$1048576,ROW(),FALSE)</f>
        <v>0</v>
      </c>
      <c r="AD505" s="580">
        <f t="shared" si="71"/>
        <v>5</v>
      </c>
      <c r="AE505" s="580">
        <f t="shared" si="72"/>
        <v>2.5</v>
      </c>
      <c r="AF505" s="580">
        <f t="shared" si="73"/>
        <v>2.5</v>
      </c>
      <c r="AG505" s="580">
        <f t="shared" si="74"/>
        <v>0</v>
      </c>
      <c r="AH505" s="580">
        <f t="shared" si="75"/>
        <v>0</v>
      </c>
      <c r="AI505" s="149"/>
      <c r="AJ505" s="149"/>
      <c r="AK505" s="149"/>
      <c r="AL505" s="149"/>
      <c r="AM505" s="149"/>
      <c r="AN505" s="149"/>
      <c r="AO505" s="149"/>
      <c r="AP505" s="149"/>
    </row>
    <row r="506" spans="2:42">
      <c r="B506" s="221">
        <v>62</v>
      </c>
      <c r="C506" s="54" t="s">
        <v>61</v>
      </c>
      <c r="D506" s="223">
        <v>23.927234943203</v>
      </c>
      <c r="E506" s="344">
        <v>2.2386044193196599</v>
      </c>
      <c r="F506" s="179">
        <v>23.89</v>
      </c>
      <c r="G506" s="179">
        <v>21.11</v>
      </c>
      <c r="H506" s="223">
        <v>18.280307097562002</v>
      </c>
      <c r="I506" s="297">
        <v>0.56744400904292447</v>
      </c>
      <c r="J506" s="149"/>
      <c r="K506" s="149"/>
      <c r="L506" s="149"/>
      <c r="M506" s="149"/>
      <c r="N506" s="149"/>
      <c r="O506" s="149"/>
      <c r="P506" s="149"/>
      <c r="Q506" s="149"/>
      <c r="R506" s="149"/>
      <c r="S506" s="149"/>
      <c r="T506" s="149"/>
      <c r="U506" s="149"/>
      <c r="V506" s="149"/>
      <c r="W506" s="149"/>
      <c r="X506" s="149"/>
      <c r="Y506" s="149"/>
      <c r="Z506" s="149"/>
      <c r="AA506" s="149"/>
      <c r="AB506" s="580">
        <f>HLOOKUP("*"&amp;'Output annual'!$AC$2&amp;'Output annual'!$AD$2&amp;"*Zone People Number Of Occupants [](Hourly)",'Eplus results'!$1:$1048576,ROW(),FALSE)</f>
        <v>0</v>
      </c>
      <c r="AC506" s="580">
        <f>HLOOKUP("*"&amp;'Output annual'!$AC$2&amp;'Output annual'!$AD$2&amp;"*FangerPMV(Hourly)",'Eplus results'!$1:$1048576,ROW(),FALSE)</f>
        <v>0</v>
      </c>
      <c r="AD506" s="580">
        <f t="shared" si="71"/>
        <v>5</v>
      </c>
      <c r="AE506" s="580">
        <f t="shared" si="72"/>
        <v>2.5</v>
      </c>
      <c r="AF506" s="580">
        <f t="shared" si="73"/>
        <v>2.5</v>
      </c>
      <c r="AG506" s="580">
        <f t="shared" si="74"/>
        <v>0</v>
      </c>
      <c r="AH506" s="580">
        <f t="shared" si="75"/>
        <v>0</v>
      </c>
      <c r="AI506" s="149"/>
      <c r="AJ506" s="149"/>
      <c r="AK506" s="149"/>
      <c r="AL506" s="149"/>
      <c r="AM506" s="149"/>
      <c r="AN506" s="149"/>
      <c r="AO506" s="149"/>
      <c r="AP506" s="149"/>
    </row>
    <row r="507" spans="2:42">
      <c r="B507" s="221">
        <v>63</v>
      </c>
      <c r="C507" s="54" t="s">
        <v>62</v>
      </c>
      <c r="D507" s="223">
        <v>23.9112772883594</v>
      </c>
      <c r="E507" s="344">
        <v>2.31017988262278</v>
      </c>
      <c r="F507" s="179">
        <v>23.89</v>
      </c>
      <c r="G507" s="179">
        <v>21.11</v>
      </c>
      <c r="H507" s="223">
        <v>18.273784602276301</v>
      </c>
      <c r="I507" s="297">
        <v>0.57978188874137393</v>
      </c>
      <c r="J507" s="149"/>
      <c r="K507" s="149"/>
      <c r="L507" s="149"/>
      <c r="M507" s="149"/>
      <c r="N507" s="149"/>
      <c r="O507" s="149"/>
      <c r="P507" s="149"/>
      <c r="Q507" s="149"/>
      <c r="R507" s="149"/>
      <c r="S507" s="149"/>
      <c r="T507" s="149"/>
      <c r="U507" s="149"/>
      <c r="V507" s="149"/>
      <c r="W507" s="149"/>
      <c r="X507" s="149"/>
      <c r="Y507" s="149"/>
      <c r="Z507" s="149"/>
      <c r="AA507" s="149"/>
      <c r="AB507" s="580">
        <f>HLOOKUP("*"&amp;'Output annual'!$AC$2&amp;'Output annual'!$AD$2&amp;"*Zone People Number Of Occupants [](Hourly)",'Eplus results'!$1:$1048576,ROW(),FALSE)</f>
        <v>0</v>
      </c>
      <c r="AC507" s="580">
        <f>HLOOKUP("*"&amp;'Output annual'!$AC$2&amp;'Output annual'!$AD$2&amp;"*FangerPMV(Hourly)",'Eplus results'!$1:$1048576,ROW(),FALSE)</f>
        <v>0</v>
      </c>
      <c r="AD507" s="580">
        <f t="shared" si="71"/>
        <v>5</v>
      </c>
      <c r="AE507" s="580">
        <f t="shared" si="72"/>
        <v>2.5</v>
      </c>
      <c r="AF507" s="580">
        <f t="shared" si="73"/>
        <v>2.5</v>
      </c>
      <c r="AG507" s="580">
        <f t="shared" si="74"/>
        <v>0</v>
      </c>
      <c r="AH507" s="580">
        <f t="shared" si="75"/>
        <v>0</v>
      </c>
      <c r="AI507" s="149"/>
      <c r="AJ507" s="149"/>
      <c r="AK507" s="149"/>
      <c r="AL507" s="149"/>
      <c r="AM507" s="149"/>
      <c r="AN507" s="149"/>
      <c r="AO507" s="149"/>
      <c r="AP507" s="149"/>
    </row>
    <row r="508" spans="2:42">
      <c r="B508" s="221">
        <v>64</v>
      </c>
      <c r="C508" s="54" t="s">
        <v>63</v>
      </c>
      <c r="D508" s="223">
        <v>23.913817245605902</v>
      </c>
      <c r="E508" s="344">
        <v>2.36287217855114</v>
      </c>
      <c r="F508" s="179">
        <v>23.89</v>
      </c>
      <c r="G508" s="179">
        <v>21.11</v>
      </c>
      <c r="H508" s="223">
        <v>18.330584033023499</v>
      </c>
      <c r="I508" s="297">
        <v>0.58376894378845889</v>
      </c>
      <c r="J508" s="149"/>
      <c r="K508" s="149"/>
      <c r="L508" s="149"/>
      <c r="M508" s="149"/>
      <c r="N508" s="149"/>
      <c r="O508" s="149"/>
      <c r="P508" s="149"/>
      <c r="Q508" s="149"/>
      <c r="R508" s="149"/>
      <c r="S508" s="149"/>
      <c r="T508" s="149"/>
      <c r="U508" s="149"/>
      <c r="V508" s="149"/>
      <c r="W508" s="149"/>
      <c r="X508" s="149"/>
      <c r="Y508" s="149"/>
      <c r="Z508" s="149"/>
      <c r="AA508" s="149"/>
      <c r="AB508" s="580">
        <f>HLOOKUP("*"&amp;'Output annual'!$AC$2&amp;'Output annual'!$AD$2&amp;"*Zone People Number Of Occupants [](Hourly)",'Eplus results'!$1:$1048576,ROW(),FALSE)</f>
        <v>0</v>
      </c>
      <c r="AC508" s="580">
        <f>HLOOKUP("*"&amp;'Output annual'!$AC$2&amp;'Output annual'!$AD$2&amp;"*FangerPMV(Hourly)",'Eplus results'!$1:$1048576,ROW(),FALSE)</f>
        <v>0</v>
      </c>
      <c r="AD508" s="580">
        <f t="shared" si="71"/>
        <v>5</v>
      </c>
      <c r="AE508" s="580">
        <f t="shared" si="72"/>
        <v>2.5</v>
      </c>
      <c r="AF508" s="580">
        <f t="shared" si="73"/>
        <v>2.5</v>
      </c>
      <c r="AG508" s="580">
        <f t="shared" si="74"/>
        <v>0</v>
      </c>
      <c r="AH508" s="580">
        <f t="shared" si="75"/>
        <v>0</v>
      </c>
      <c r="AI508" s="149"/>
      <c r="AJ508" s="149"/>
      <c r="AK508" s="149"/>
      <c r="AL508" s="149"/>
      <c r="AM508" s="149"/>
      <c r="AN508" s="149"/>
      <c r="AO508" s="149"/>
      <c r="AP508" s="149"/>
    </row>
    <row r="509" spans="2:42">
      <c r="B509" s="221">
        <v>65</v>
      </c>
      <c r="C509" s="54" t="s">
        <v>64</v>
      </c>
      <c r="D509" s="223">
        <v>23.905696875673701</v>
      </c>
      <c r="E509" s="344">
        <v>2.3500111971045698</v>
      </c>
      <c r="F509" s="179">
        <v>23.89</v>
      </c>
      <c r="G509" s="179">
        <v>21.11</v>
      </c>
      <c r="H509" s="223">
        <v>18.499809788676799</v>
      </c>
      <c r="I509" s="297">
        <v>0.56453849221113783</v>
      </c>
      <c r="J509" s="149"/>
      <c r="K509" s="149"/>
      <c r="L509" s="149"/>
      <c r="M509" s="149"/>
      <c r="N509" s="149"/>
      <c r="O509" s="149"/>
      <c r="P509" s="149"/>
      <c r="Q509" s="149"/>
      <c r="R509" s="149"/>
      <c r="S509" s="149"/>
      <c r="T509" s="149"/>
      <c r="U509" s="149"/>
      <c r="V509" s="149"/>
      <c r="W509" s="149"/>
      <c r="X509" s="149"/>
      <c r="Y509" s="149"/>
      <c r="Z509" s="149"/>
      <c r="AA509" s="149"/>
      <c r="AB509" s="580">
        <f>HLOOKUP("*"&amp;'Output annual'!$AC$2&amp;'Output annual'!$AD$2&amp;"*Zone People Number Of Occupants [](Hourly)",'Eplus results'!$1:$1048576,ROW(),FALSE)</f>
        <v>0</v>
      </c>
      <c r="AC509" s="580">
        <f>HLOOKUP("*"&amp;'Output annual'!$AC$2&amp;'Output annual'!$AD$2&amp;"*FangerPMV(Hourly)",'Eplus results'!$1:$1048576,ROW(),FALSE)</f>
        <v>0</v>
      </c>
      <c r="AD509" s="580">
        <f t="shared" si="71"/>
        <v>5</v>
      </c>
      <c r="AE509" s="580">
        <f t="shared" si="72"/>
        <v>2.5</v>
      </c>
      <c r="AF509" s="580">
        <f t="shared" si="73"/>
        <v>2.5</v>
      </c>
      <c r="AG509" s="580">
        <f t="shared" si="74"/>
        <v>0</v>
      </c>
      <c r="AH509" s="580">
        <f t="shared" si="75"/>
        <v>0</v>
      </c>
      <c r="AI509" s="149"/>
      <c r="AJ509" s="149"/>
      <c r="AK509" s="149"/>
      <c r="AL509" s="149"/>
      <c r="AM509" s="149"/>
      <c r="AN509" s="149"/>
      <c r="AO509" s="149"/>
      <c r="AP509" s="149"/>
    </row>
    <row r="510" spans="2:42">
      <c r="B510" s="221">
        <v>66</v>
      </c>
      <c r="C510" s="54" t="s">
        <v>369</v>
      </c>
      <c r="D510" s="223">
        <v>23.145553859761499</v>
      </c>
      <c r="E510" s="344">
        <v>0.33426789428044801</v>
      </c>
      <c r="F510" s="179">
        <v>23.89</v>
      </c>
      <c r="G510" s="179">
        <v>21.11</v>
      </c>
      <c r="H510" s="223">
        <v>20.178201440611801</v>
      </c>
      <c r="I510" s="297">
        <v>0.22847667406383096</v>
      </c>
      <c r="J510" s="149"/>
      <c r="K510" s="149"/>
      <c r="L510" s="149"/>
      <c r="M510" s="149"/>
      <c r="N510" s="149"/>
      <c r="O510" s="149"/>
      <c r="P510" s="149"/>
      <c r="Q510" s="149"/>
      <c r="R510" s="149"/>
      <c r="S510" s="149"/>
      <c r="T510" s="149"/>
      <c r="U510" s="149"/>
      <c r="V510" s="149"/>
      <c r="W510" s="149"/>
      <c r="X510" s="149"/>
      <c r="Y510" s="149"/>
      <c r="Z510" s="149"/>
      <c r="AA510" s="149"/>
      <c r="AB510" s="580">
        <f>HLOOKUP("*"&amp;'Output annual'!$AC$2&amp;'Output annual'!$AD$2&amp;"*Zone People Number Of Occupants [](Hourly)",'Eplus results'!$1:$1048576,ROW(),FALSE)</f>
        <v>0</v>
      </c>
      <c r="AC510" s="580">
        <f>HLOOKUP("*"&amp;'Output annual'!$AC$2&amp;'Output annual'!$AD$2&amp;"*FangerPMV(Hourly)",'Eplus results'!$1:$1048576,ROW(),FALSE)</f>
        <v>0</v>
      </c>
      <c r="AD510" s="580">
        <f t="shared" si="71"/>
        <v>5</v>
      </c>
      <c r="AE510" s="580">
        <f t="shared" si="72"/>
        <v>2.5</v>
      </c>
      <c r="AF510" s="580">
        <f t="shared" si="73"/>
        <v>2.5</v>
      </c>
      <c r="AG510" s="580">
        <f t="shared" si="74"/>
        <v>0</v>
      </c>
      <c r="AH510" s="580">
        <f t="shared" si="75"/>
        <v>0</v>
      </c>
      <c r="AI510" s="149"/>
      <c r="AJ510" s="149"/>
      <c r="AK510" s="149"/>
      <c r="AL510" s="149"/>
      <c r="AM510" s="149"/>
      <c r="AN510" s="149"/>
      <c r="AO510" s="149"/>
      <c r="AP510" s="149"/>
    </row>
    <row r="511" spans="2:42">
      <c r="B511" s="221">
        <v>67</v>
      </c>
      <c r="C511" s="54" t="s">
        <v>370</v>
      </c>
      <c r="D511" s="223">
        <v>21.859030126574702</v>
      </c>
      <c r="E511" s="344">
        <v>0.33183981472282698</v>
      </c>
      <c r="F511" s="179">
        <v>23.89</v>
      </c>
      <c r="G511" s="179">
        <v>21.11</v>
      </c>
      <c r="H511" s="223">
        <v>21.322626269994799</v>
      </c>
      <c r="I511" s="297">
        <v>0.25386030555146483</v>
      </c>
      <c r="J511" s="149"/>
      <c r="K511" s="149"/>
      <c r="L511" s="149"/>
      <c r="M511" s="149"/>
      <c r="N511" s="149"/>
      <c r="O511" s="149"/>
      <c r="P511" s="149"/>
      <c r="Q511" s="149"/>
      <c r="R511" s="149"/>
      <c r="S511" s="149"/>
      <c r="T511" s="149"/>
      <c r="U511" s="149"/>
      <c r="V511" s="149"/>
      <c r="W511" s="149"/>
      <c r="X511" s="149"/>
      <c r="Y511" s="149"/>
      <c r="Z511" s="149"/>
      <c r="AA511" s="149"/>
      <c r="AB511" s="580">
        <f>HLOOKUP("*"&amp;'Output annual'!$AC$2&amp;'Output annual'!$AD$2&amp;"*Zone People Number Of Occupants [](Hourly)",'Eplus results'!$1:$1048576,ROW(),FALSE)</f>
        <v>0</v>
      </c>
      <c r="AC511" s="580">
        <f>HLOOKUP("*"&amp;'Output annual'!$AC$2&amp;'Output annual'!$AD$2&amp;"*FangerPMV(Hourly)",'Eplus results'!$1:$1048576,ROW(),FALSE)</f>
        <v>0</v>
      </c>
      <c r="AD511" s="580">
        <f t="shared" si="71"/>
        <v>5</v>
      </c>
      <c r="AE511" s="580">
        <f t="shared" si="72"/>
        <v>2.5</v>
      </c>
      <c r="AF511" s="580">
        <f t="shared" si="73"/>
        <v>2.5</v>
      </c>
      <c r="AG511" s="580">
        <f t="shared" si="74"/>
        <v>0</v>
      </c>
      <c r="AH511" s="580">
        <f t="shared" si="75"/>
        <v>0</v>
      </c>
      <c r="AI511" s="149"/>
      <c r="AJ511" s="149"/>
      <c r="AK511" s="149"/>
      <c r="AL511" s="149"/>
      <c r="AM511" s="149"/>
      <c r="AN511" s="149"/>
      <c r="AO511" s="149"/>
      <c r="AP511" s="149"/>
    </row>
    <row r="512" spans="2:42">
      <c r="B512" s="221">
        <v>68</v>
      </c>
      <c r="C512" s="54" t="s">
        <v>371</v>
      </c>
      <c r="D512" s="223">
        <v>22.925624912825999</v>
      </c>
      <c r="E512" s="344">
        <v>0</v>
      </c>
      <c r="F512" s="179">
        <v>32.22</v>
      </c>
      <c r="G512" s="179">
        <v>12.78</v>
      </c>
      <c r="H512" s="223">
        <v>21.970213631506901</v>
      </c>
      <c r="I512" s="297">
        <v>0</v>
      </c>
      <c r="J512" s="149"/>
      <c r="K512" s="149"/>
      <c r="L512" s="149"/>
      <c r="M512" s="149"/>
      <c r="N512" s="149"/>
      <c r="O512" s="149"/>
      <c r="P512" s="149"/>
      <c r="Q512" s="149"/>
      <c r="R512" s="149"/>
      <c r="S512" s="149"/>
      <c r="T512" s="149"/>
      <c r="U512" s="149"/>
      <c r="V512" s="149"/>
      <c r="W512" s="149"/>
      <c r="X512" s="149"/>
      <c r="Y512" s="149"/>
      <c r="Z512" s="149"/>
      <c r="AA512" s="149"/>
      <c r="AB512" s="580">
        <f>HLOOKUP("*"&amp;'Output annual'!$AC$2&amp;'Output annual'!$AD$2&amp;"*Zone People Number Of Occupants [](Hourly)",'Eplus results'!$1:$1048576,ROW(),FALSE)</f>
        <v>0</v>
      </c>
      <c r="AC512" s="580">
        <f>HLOOKUP("*"&amp;'Output annual'!$AC$2&amp;'Output annual'!$AD$2&amp;"*FangerPMV(Hourly)",'Eplus results'!$1:$1048576,ROW(),FALSE)</f>
        <v>0</v>
      </c>
      <c r="AD512" s="580">
        <f t="shared" si="71"/>
        <v>5</v>
      </c>
      <c r="AE512" s="580">
        <f t="shared" si="72"/>
        <v>2.5</v>
      </c>
      <c r="AF512" s="580">
        <f t="shared" si="73"/>
        <v>2.5</v>
      </c>
      <c r="AG512" s="580">
        <f t="shared" si="74"/>
        <v>0</v>
      </c>
      <c r="AH512" s="580">
        <f t="shared" si="75"/>
        <v>0</v>
      </c>
      <c r="AI512" s="149"/>
      <c r="AJ512" s="149"/>
      <c r="AK512" s="149"/>
      <c r="AL512" s="149"/>
      <c r="AM512" s="149"/>
      <c r="AN512" s="149"/>
      <c r="AO512" s="149"/>
      <c r="AP512" s="149"/>
    </row>
    <row r="513" spans="2:42">
      <c r="B513" s="221">
        <v>69</v>
      </c>
      <c r="C513" s="54" t="s">
        <v>372</v>
      </c>
      <c r="D513" s="223">
        <v>22.154661787143301</v>
      </c>
      <c r="E513" s="344">
        <v>0</v>
      </c>
      <c r="F513" s="179">
        <v>32.22</v>
      </c>
      <c r="G513" s="179">
        <v>12.78</v>
      </c>
      <c r="H513" s="223">
        <v>22.5041014672247</v>
      </c>
      <c r="I513" s="297">
        <v>0</v>
      </c>
      <c r="J513" s="149"/>
      <c r="K513" s="149"/>
      <c r="L513" s="149"/>
      <c r="M513" s="149"/>
      <c r="N513" s="149"/>
      <c r="O513" s="149"/>
      <c r="P513" s="149"/>
      <c r="Q513" s="149"/>
      <c r="R513" s="149"/>
      <c r="S513" s="149"/>
      <c r="T513" s="149"/>
      <c r="U513" s="149"/>
      <c r="V513" s="149"/>
      <c r="W513" s="149"/>
      <c r="X513" s="149"/>
      <c r="Y513" s="149"/>
      <c r="Z513" s="149"/>
      <c r="AA513" s="149"/>
      <c r="AB513" s="580">
        <f>HLOOKUP("*"&amp;'Output annual'!$AC$2&amp;'Output annual'!$AD$2&amp;"*Zone People Number Of Occupants [](Hourly)",'Eplus results'!$1:$1048576,ROW(),FALSE)</f>
        <v>0</v>
      </c>
      <c r="AC513" s="580">
        <f>HLOOKUP("*"&amp;'Output annual'!$AC$2&amp;'Output annual'!$AD$2&amp;"*FangerPMV(Hourly)",'Eplus results'!$1:$1048576,ROW(),FALSE)</f>
        <v>0</v>
      </c>
      <c r="AD513" s="580">
        <f t="shared" si="71"/>
        <v>5</v>
      </c>
      <c r="AE513" s="580">
        <f t="shared" si="72"/>
        <v>2.5</v>
      </c>
      <c r="AF513" s="580">
        <f t="shared" si="73"/>
        <v>2.5</v>
      </c>
      <c r="AG513" s="580">
        <f t="shared" si="74"/>
        <v>0</v>
      </c>
      <c r="AH513" s="580">
        <f t="shared" si="75"/>
        <v>0</v>
      </c>
      <c r="AI513" s="149"/>
      <c r="AJ513" s="149"/>
      <c r="AK513" s="149"/>
      <c r="AL513" s="149"/>
      <c r="AM513" s="149"/>
      <c r="AN513" s="149"/>
      <c r="AO513" s="149"/>
      <c r="AP513" s="149"/>
    </row>
    <row r="514" spans="2:42">
      <c r="B514" s="221">
        <v>70</v>
      </c>
      <c r="C514" s="54" t="s">
        <v>373</v>
      </c>
      <c r="D514" s="223">
        <v>21.520704223327499</v>
      </c>
      <c r="E514" s="344">
        <v>0</v>
      </c>
      <c r="F514" s="179">
        <v>32.22</v>
      </c>
      <c r="G514" s="179">
        <v>12.78</v>
      </c>
      <c r="H514" s="223">
        <v>22.5044669650228</v>
      </c>
      <c r="I514" s="297">
        <v>0</v>
      </c>
      <c r="J514" s="149"/>
      <c r="K514" s="149"/>
      <c r="L514" s="149"/>
      <c r="M514" s="149"/>
      <c r="N514" s="149"/>
      <c r="O514" s="149"/>
      <c r="P514" s="149"/>
      <c r="Q514" s="149"/>
      <c r="R514" s="149"/>
      <c r="S514" s="149"/>
      <c r="T514" s="149"/>
      <c r="U514" s="149"/>
      <c r="V514" s="149"/>
      <c r="W514" s="149"/>
      <c r="X514" s="149"/>
      <c r="Y514" s="149"/>
      <c r="Z514" s="149"/>
      <c r="AA514" s="149"/>
      <c r="AB514" s="580">
        <f>HLOOKUP("*"&amp;'Output annual'!$AC$2&amp;'Output annual'!$AD$2&amp;"*Zone People Number Of Occupants [](Hourly)",'Eplus results'!$1:$1048576,ROW(),FALSE)</f>
        <v>0</v>
      </c>
      <c r="AC514" s="580">
        <f>HLOOKUP("*"&amp;'Output annual'!$AC$2&amp;'Output annual'!$AD$2&amp;"*FangerPMV(Hourly)",'Eplus results'!$1:$1048576,ROW(),FALSE)</f>
        <v>0</v>
      </c>
      <c r="AD514" s="580">
        <f t="shared" si="71"/>
        <v>5</v>
      </c>
      <c r="AE514" s="580">
        <f t="shared" si="72"/>
        <v>2.5</v>
      </c>
      <c r="AF514" s="580">
        <f t="shared" si="73"/>
        <v>2.5</v>
      </c>
      <c r="AG514" s="580">
        <f t="shared" si="74"/>
        <v>0</v>
      </c>
      <c r="AH514" s="580">
        <f t="shared" si="75"/>
        <v>0</v>
      </c>
      <c r="AI514" s="149"/>
      <c r="AJ514" s="149"/>
      <c r="AK514" s="149"/>
      <c r="AL514" s="149"/>
      <c r="AM514" s="149"/>
      <c r="AN514" s="149"/>
      <c r="AO514" s="149"/>
      <c r="AP514" s="149"/>
    </row>
    <row r="515" spans="2:42">
      <c r="B515" s="221">
        <v>71</v>
      </c>
      <c r="C515" s="54" t="s">
        <v>374</v>
      </c>
      <c r="D515" s="223">
        <v>20.9251080011399</v>
      </c>
      <c r="E515" s="344">
        <v>0</v>
      </c>
      <c r="F515" s="179">
        <v>32.22</v>
      </c>
      <c r="G515" s="179">
        <v>12.78</v>
      </c>
      <c r="H515" s="223">
        <v>22.426319016136201</v>
      </c>
      <c r="I515" s="297">
        <v>0</v>
      </c>
      <c r="J515" s="149"/>
      <c r="K515" s="149"/>
      <c r="L515" s="149"/>
      <c r="M515" s="149"/>
      <c r="N515" s="149"/>
      <c r="O515" s="149"/>
      <c r="P515" s="149"/>
      <c r="Q515" s="149"/>
      <c r="R515" s="149"/>
      <c r="S515" s="149"/>
      <c r="T515" s="149"/>
      <c r="U515" s="149"/>
      <c r="V515" s="149"/>
      <c r="W515" s="149"/>
      <c r="X515" s="149"/>
      <c r="Y515" s="149"/>
      <c r="Z515" s="149"/>
      <c r="AA515" s="149"/>
      <c r="AB515" s="580">
        <f>HLOOKUP("*"&amp;'Output annual'!$AC$2&amp;'Output annual'!$AD$2&amp;"*Zone People Number Of Occupants [](Hourly)",'Eplus results'!$1:$1048576,ROW(),FALSE)</f>
        <v>0</v>
      </c>
      <c r="AC515" s="580">
        <f>HLOOKUP("*"&amp;'Output annual'!$AC$2&amp;'Output annual'!$AD$2&amp;"*FangerPMV(Hourly)",'Eplus results'!$1:$1048576,ROW(),FALSE)</f>
        <v>0</v>
      </c>
      <c r="AD515" s="580">
        <f t="shared" ref="AD515:AD578" si="76">100-95*EXP(-0.03353*AC515^4-0.2179*AC515^2)</f>
        <v>5</v>
      </c>
      <c r="AE515" s="580">
        <f t="shared" ref="AE515:AE578" si="77">AD515*(1/(1+EXP(-6.3*$AC515)))</f>
        <v>2.5</v>
      </c>
      <c r="AF515" s="580">
        <f t="shared" ref="AF515:AF578" si="78">(AD515-AE515)</f>
        <v>2.5</v>
      </c>
      <c r="AG515" s="580">
        <f t="shared" ref="AG515:AG578" si="79">AE515*AB515</f>
        <v>0</v>
      </c>
      <c r="AH515" s="580">
        <f t="shared" ref="AH515:AH578" si="80">AF515*AB515</f>
        <v>0</v>
      </c>
      <c r="AI515" s="149"/>
      <c r="AJ515" s="149"/>
      <c r="AK515" s="149"/>
      <c r="AL515" s="149"/>
      <c r="AM515" s="149"/>
      <c r="AN515" s="149"/>
      <c r="AO515" s="149"/>
      <c r="AP515" s="149"/>
    </row>
    <row r="516" spans="2:42">
      <c r="B516" s="221">
        <v>72</v>
      </c>
      <c r="C516" s="54" t="s">
        <v>375</v>
      </c>
      <c r="D516" s="223">
        <v>20.345991561873198</v>
      </c>
      <c r="E516" s="344">
        <v>0</v>
      </c>
      <c r="F516" s="179">
        <v>32.22</v>
      </c>
      <c r="G516" s="179">
        <v>12.78</v>
      </c>
      <c r="H516" s="223">
        <v>22.306039321488601</v>
      </c>
      <c r="I516" s="297">
        <v>0</v>
      </c>
      <c r="J516" s="149"/>
      <c r="K516" s="149"/>
      <c r="L516" s="149"/>
      <c r="M516" s="149"/>
      <c r="N516" s="149"/>
      <c r="O516" s="149"/>
      <c r="P516" s="149"/>
      <c r="Q516" s="149"/>
      <c r="R516" s="149"/>
      <c r="S516" s="149"/>
      <c r="T516" s="149"/>
      <c r="U516" s="149"/>
      <c r="V516" s="149"/>
      <c r="W516" s="149"/>
      <c r="X516" s="149"/>
      <c r="Y516" s="149"/>
      <c r="Z516" s="149"/>
      <c r="AA516" s="149"/>
      <c r="AB516" s="580">
        <f>HLOOKUP("*"&amp;'Output annual'!$AC$2&amp;'Output annual'!$AD$2&amp;"*Zone People Number Of Occupants [](Hourly)",'Eplus results'!$1:$1048576,ROW(),FALSE)</f>
        <v>0</v>
      </c>
      <c r="AC516" s="580">
        <f>HLOOKUP("*"&amp;'Output annual'!$AC$2&amp;'Output annual'!$AD$2&amp;"*FangerPMV(Hourly)",'Eplus results'!$1:$1048576,ROW(),FALSE)</f>
        <v>0</v>
      </c>
      <c r="AD516" s="580">
        <f t="shared" si="76"/>
        <v>5</v>
      </c>
      <c r="AE516" s="580">
        <f t="shared" si="77"/>
        <v>2.5</v>
      </c>
      <c r="AF516" s="580">
        <f t="shared" si="78"/>
        <v>2.5</v>
      </c>
      <c r="AG516" s="580">
        <f t="shared" si="79"/>
        <v>0</v>
      </c>
      <c r="AH516" s="580">
        <f t="shared" si="80"/>
        <v>0</v>
      </c>
      <c r="AI516" s="149"/>
      <c r="AJ516" s="149"/>
      <c r="AK516" s="149"/>
      <c r="AL516" s="149"/>
      <c r="AM516" s="149"/>
      <c r="AN516" s="149"/>
      <c r="AO516" s="149"/>
      <c r="AP516" s="149"/>
    </row>
    <row r="517" spans="2:42">
      <c r="B517" s="221">
        <v>73</v>
      </c>
      <c r="C517" s="54" t="s">
        <v>376</v>
      </c>
      <c r="D517" s="223">
        <v>19.7810648487458</v>
      </c>
      <c r="E517" s="344">
        <v>0</v>
      </c>
      <c r="F517" s="179">
        <v>32.22</v>
      </c>
      <c r="G517" s="179">
        <v>12.78</v>
      </c>
      <c r="H517" s="223">
        <v>22.160155022406201</v>
      </c>
      <c r="I517" s="297">
        <v>0</v>
      </c>
      <c r="J517" s="149"/>
      <c r="K517" s="149"/>
      <c r="L517" s="149"/>
      <c r="M517" s="149"/>
      <c r="N517" s="149"/>
      <c r="O517" s="149"/>
      <c r="P517" s="149"/>
      <c r="Q517" s="149"/>
      <c r="R517" s="149"/>
      <c r="S517" s="149"/>
      <c r="T517" s="149"/>
      <c r="U517" s="149"/>
      <c r="V517" s="149"/>
      <c r="W517" s="149"/>
      <c r="X517" s="149"/>
      <c r="Y517" s="149"/>
      <c r="Z517" s="149"/>
      <c r="AA517" s="149"/>
      <c r="AB517" s="580">
        <f>HLOOKUP("*"&amp;'Output annual'!$AC$2&amp;'Output annual'!$AD$2&amp;"*Zone People Number Of Occupants [](Hourly)",'Eplus results'!$1:$1048576,ROW(),FALSE)</f>
        <v>0</v>
      </c>
      <c r="AC517" s="580">
        <f>HLOOKUP("*"&amp;'Output annual'!$AC$2&amp;'Output annual'!$AD$2&amp;"*FangerPMV(Hourly)",'Eplus results'!$1:$1048576,ROW(),FALSE)</f>
        <v>0</v>
      </c>
      <c r="AD517" s="580">
        <f t="shared" si="76"/>
        <v>5</v>
      </c>
      <c r="AE517" s="580">
        <f t="shared" si="77"/>
        <v>2.5</v>
      </c>
      <c r="AF517" s="580">
        <f t="shared" si="78"/>
        <v>2.5</v>
      </c>
      <c r="AG517" s="580">
        <f t="shared" si="79"/>
        <v>0</v>
      </c>
      <c r="AH517" s="580">
        <f t="shared" si="80"/>
        <v>0</v>
      </c>
      <c r="AI517" s="149"/>
      <c r="AJ517" s="149"/>
      <c r="AK517" s="149"/>
      <c r="AL517" s="149"/>
      <c r="AM517" s="149"/>
      <c r="AN517" s="149"/>
      <c r="AO517" s="149"/>
      <c r="AP517" s="149"/>
    </row>
    <row r="518" spans="2:42">
      <c r="B518" s="221">
        <v>74</v>
      </c>
      <c r="C518" s="54" t="s">
        <v>377</v>
      </c>
      <c r="D518" s="223">
        <v>19.2425849197502</v>
      </c>
      <c r="E518" s="344">
        <v>0</v>
      </c>
      <c r="F518" s="179">
        <v>32.22</v>
      </c>
      <c r="G518" s="179">
        <v>12.78</v>
      </c>
      <c r="H518" s="223">
        <v>21.9927406418023</v>
      </c>
      <c r="I518" s="297">
        <v>0</v>
      </c>
      <c r="J518" s="149"/>
      <c r="K518" s="149"/>
      <c r="L518" s="149"/>
      <c r="M518" s="149"/>
      <c r="N518" s="149"/>
      <c r="O518" s="149"/>
      <c r="P518" s="149"/>
      <c r="Q518" s="149"/>
      <c r="R518" s="149"/>
      <c r="S518" s="149"/>
      <c r="T518" s="149"/>
      <c r="U518" s="149"/>
      <c r="V518" s="149"/>
      <c r="W518" s="149"/>
      <c r="X518" s="149"/>
      <c r="Y518" s="149"/>
      <c r="Z518" s="149"/>
      <c r="AA518" s="149"/>
      <c r="AB518" s="580">
        <f>HLOOKUP("*"&amp;'Output annual'!$AC$2&amp;'Output annual'!$AD$2&amp;"*Zone People Number Of Occupants [](Hourly)",'Eplus results'!$1:$1048576,ROW(),FALSE)</f>
        <v>0</v>
      </c>
      <c r="AC518" s="580">
        <f>HLOOKUP("*"&amp;'Output annual'!$AC$2&amp;'Output annual'!$AD$2&amp;"*FangerPMV(Hourly)",'Eplus results'!$1:$1048576,ROW(),FALSE)</f>
        <v>0</v>
      </c>
      <c r="AD518" s="580">
        <f t="shared" si="76"/>
        <v>5</v>
      </c>
      <c r="AE518" s="580">
        <f t="shared" si="77"/>
        <v>2.5</v>
      </c>
      <c r="AF518" s="580">
        <f t="shared" si="78"/>
        <v>2.5</v>
      </c>
      <c r="AG518" s="580">
        <f t="shared" si="79"/>
        <v>0</v>
      </c>
      <c r="AH518" s="580">
        <f t="shared" si="80"/>
        <v>0</v>
      </c>
      <c r="AI518" s="149"/>
      <c r="AJ518" s="149"/>
      <c r="AK518" s="149"/>
      <c r="AL518" s="149"/>
      <c r="AM518" s="149"/>
      <c r="AN518" s="149"/>
      <c r="AO518" s="149"/>
      <c r="AP518" s="149"/>
    </row>
    <row r="519" spans="2:42">
      <c r="B519" s="221">
        <v>75</v>
      </c>
      <c r="C519" s="54" t="s">
        <v>378</v>
      </c>
      <c r="D519" s="223">
        <v>18.7395665948683</v>
      </c>
      <c r="E519" s="344">
        <v>0</v>
      </c>
      <c r="F519" s="179">
        <v>32.22</v>
      </c>
      <c r="G519" s="179">
        <v>12.78</v>
      </c>
      <c r="H519" s="223">
        <v>21.807877018109</v>
      </c>
      <c r="I519" s="297">
        <v>0</v>
      </c>
      <c r="J519" s="149"/>
      <c r="K519" s="149"/>
      <c r="L519" s="149"/>
      <c r="M519" s="149"/>
      <c r="N519" s="149"/>
      <c r="O519" s="149"/>
      <c r="P519" s="149"/>
      <c r="Q519" s="149"/>
      <c r="R519" s="149"/>
      <c r="S519" s="149"/>
      <c r="T519" s="149"/>
      <c r="U519" s="149"/>
      <c r="V519" s="149"/>
      <c r="W519" s="149"/>
      <c r="X519" s="149"/>
      <c r="Y519" s="149"/>
      <c r="Z519" s="149"/>
      <c r="AA519" s="149"/>
      <c r="AB519" s="580">
        <f>HLOOKUP("*"&amp;'Output annual'!$AC$2&amp;'Output annual'!$AD$2&amp;"*Zone People Number Of Occupants [](Hourly)",'Eplus results'!$1:$1048576,ROW(),FALSE)</f>
        <v>0</v>
      </c>
      <c r="AC519" s="580">
        <f>HLOOKUP("*"&amp;'Output annual'!$AC$2&amp;'Output annual'!$AD$2&amp;"*FangerPMV(Hourly)",'Eplus results'!$1:$1048576,ROW(),FALSE)</f>
        <v>0</v>
      </c>
      <c r="AD519" s="580">
        <f t="shared" si="76"/>
        <v>5</v>
      </c>
      <c r="AE519" s="580">
        <f t="shared" si="77"/>
        <v>2.5</v>
      </c>
      <c r="AF519" s="580">
        <f t="shared" si="78"/>
        <v>2.5</v>
      </c>
      <c r="AG519" s="580">
        <f t="shared" si="79"/>
        <v>0</v>
      </c>
      <c r="AH519" s="580">
        <f t="shared" si="80"/>
        <v>0</v>
      </c>
      <c r="AI519" s="149"/>
      <c r="AJ519" s="149"/>
      <c r="AK519" s="149"/>
      <c r="AL519" s="149"/>
      <c r="AM519" s="149"/>
      <c r="AN519" s="149"/>
      <c r="AO519" s="149"/>
      <c r="AP519" s="149"/>
    </row>
    <row r="520" spans="2:42">
      <c r="B520" s="221">
        <v>76</v>
      </c>
      <c r="C520" s="54" t="s">
        <v>379</v>
      </c>
      <c r="D520" s="223">
        <v>18.272736914423799</v>
      </c>
      <c r="E520" s="344">
        <v>0</v>
      </c>
      <c r="F520" s="179">
        <v>32.22</v>
      </c>
      <c r="G520" s="179">
        <v>12.78</v>
      </c>
      <c r="H520" s="223">
        <v>21.609182098978302</v>
      </c>
      <c r="I520" s="297">
        <v>0</v>
      </c>
      <c r="J520" s="149"/>
      <c r="K520" s="149"/>
      <c r="L520" s="149"/>
      <c r="M520" s="149"/>
      <c r="N520" s="149"/>
      <c r="O520" s="149"/>
      <c r="P520" s="149"/>
      <c r="Q520" s="149"/>
      <c r="R520" s="149"/>
      <c r="S520" s="149"/>
      <c r="T520" s="149"/>
      <c r="U520" s="149"/>
      <c r="V520" s="149"/>
      <c r="W520" s="149"/>
      <c r="X520" s="149"/>
      <c r="Y520" s="149"/>
      <c r="Z520" s="149"/>
      <c r="AA520" s="149"/>
      <c r="AB520" s="580">
        <f>HLOOKUP("*"&amp;'Output annual'!$AC$2&amp;'Output annual'!$AD$2&amp;"*Zone People Number Of Occupants [](Hourly)",'Eplus results'!$1:$1048576,ROW(),FALSE)</f>
        <v>0</v>
      </c>
      <c r="AC520" s="580">
        <f>HLOOKUP("*"&amp;'Output annual'!$AC$2&amp;'Output annual'!$AD$2&amp;"*FangerPMV(Hourly)",'Eplus results'!$1:$1048576,ROW(),FALSE)</f>
        <v>0</v>
      </c>
      <c r="AD520" s="580">
        <f t="shared" si="76"/>
        <v>5</v>
      </c>
      <c r="AE520" s="580">
        <f t="shared" si="77"/>
        <v>2.5</v>
      </c>
      <c r="AF520" s="580">
        <f t="shared" si="78"/>
        <v>2.5</v>
      </c>
      <c r="AG520" s="580">
        <f t="shared" si="79"/>
        <v>0</v>
      </c>
      <c r="AH520" s="580">
        <f t="shared" si="80"/>
        <v>0</v>
      </c>
      <c r="AI520" s="149"/>
      <c r="AJ520" s="149"/>
      <c r="AK520" s="149"/>
      <c r="AL520" s="149"/>
      <c r="AM520" s="149"/>
      <c r="AN520" s="149"/>
      <c r="AO520" s="149"/>
      <c r="AP520" s="149"/>
    </row>
    <row r="521" spans="2:42">
      <c r="B521" s="221">
        <v>77</v>
      </c>
      <c r="C521" s="54" t="s">
        <v>380</v>
      </c>
      <c r="D521" s="223">
        <v>17.836793484439099</v>
      </c>
      <c r="E521" s="344">
        <v>0</v>
      </c>
      <c r="F521" s="179">
        <v>32.22</v>
      </c>
      <c r="G521" s="179">
        <v>12.78</v>
      </c>
      <c r="H521" s="223">
        <v>21.400011238207899</v>
      </c>
      <c r="I521" s="297">
        <v>0</v>
      </c>
      <c r="J521" s="149"/>
      <c r="K521" s="149"/>
      <c r="L521" s="149"/>
      <c r="M521" s="149"/>
      <c r="N521" s="149"/>
      <c r="O521" s="149"/>
      <c r="P521" s="149"/>
      <c r="Q521" s="149"/>
      <c r="R521" s="149"/>
      <c r="S521" s="149"/>
      <c r="T521" s="149"/>
      <c r="U521" s="149"/>
      <c r="V521" s="149"/>
      <c r="W521" s="149"/>
      <c r="X521" s="149"/>
      <c r="Y521" s="149"/>
      <c r="Z521" s="149"/>
      <c r="AA521" s="149"/>
      <c r="AB521" s="580">
        <f>HLOOKUP("*"&amp;'Output annual'!$AC$2&amp;'Output annual'!$AD$2&amp;"*Zone People Number Of Occupants [](Hourly)",'Eplus results'!$1:$1048576,ROW(),FALSE)</f>
        <v>0</v>
      </c>
      <c r="AC521" s="580">
        <f>HLOOKUP("*"&amp;'Output annual'!$AC$2&amp;'Output annual'!$AD$2&amp;"*FangerPMV(Hourly)",'Eplus results'!$1:$1048576,ROW(),FALSE)</f>
        <v>0</v>
      </c>
      <c r="AD521" s="580">
        <f t="shared" si="76"/>
        <v>5</v>
      </c>
      <c r="AE521" s="580">
        <f t="shared" si="77"/>
        <v>2.5</v>
      </c>
      <c r="AF521" s="580">
        <f t="shared" si="78"/>
        <v>2.5</v>
      </c>
      <c r="AG521" s="580">
        <f t="shared" si="79"/>
        <v>0</v>
      </c>
      <c r="AH521" s="580">
        <f t="shared" si="80"/>
        <v>0</v>
      </c>
      <c r="AI521" s="149"/>
      <c r="AJ521" s="149"/>
      <c r="AK521" s="149"/>
      <c r="AL521" s="149"/>
      <c r="AM521" s="149"/>
      <c r="AN521" s="149"/>
      <c r="AO521" s="149"/>
      <c r="AP521" s="149"/>
    </row>
    <row r="522" spans="2:42">
      <c r="B522" s="221">
        <v>78</v>
      </c>
      <c r="C522" s="54" t="s">
        <v>381</v>
      </c>
      <c r="D522" s="223">
        <v>17.425487572825499</v>
      </c>
      <c r="E522" s="344">
        <v>0</v>
      </c>
      <c r="F522" s="179">
        <v>32.22</v>
      </c>
      <c r="G522" s="179">
        <v>12.78</v>
      </c>
      <c r="H522" s="223">
        <v>21.183258251465102</v>
      </c>
      <c r="I522" s="297">
        <v>0</v>
      </c>
      <c r="J522" s="149"/>
      <c r="K522" s="149"/>
      <c r="L522" s="149"/>
      <c r="M522" s="149"/>
      <c r="N522" s="149"/>
      <c r="O522" s="149"/>
      <c r="P522" s="149"/>
      <c r="Q522" s="149"/>
      <c r="R522" s="149"/>
      <c r="S522" s="149"/>
      <c r="T522" s="149"/>
      <c r="U522" s="149"/>
      <c r="V522" s="149"/>
      <c r="W522" s="149"/>
      <c r="X522" s="149"/>
      <c r="Y522" s="149"/>
      <c r="Z522" s="149"/>
      <c r="AA522" s="149"/>
      <c r="AB522" s="580">
        <f>HLOOKUP("*"&amp;'Output annual'!$AC$2&amp;'Output annual'!$AD$2&amp;"*Zone People Number Of Occupants [](Hourly)",'Eplus results'!$1:$1048576,ROW(),FALSE)</f>
        <v>0</v>
      </c>
      <c r="AC522" s="580">
        <f>HLOOKUP("*"&amp;'Output annual'!$AC$2&amp;'Output annual'!$AD$2&amp;"*FangerPMV(Hourly)",'Eplus results'!$1:$1048576,ROW(),FALSE)</f>
        <v>0</v>
      </c>
      <c r="AD522" s="580">
        <f t="shared" si="76"/>
        <v>5</v>
      </c>
      <c r="AE522" s="580">
        <f t="shared" si="77"/>
        <v>2.5</v>
      </c>
      <c r="AF522" s="580">
        <f t="shared" si="78"/>
        <v>2.5</v>
      </c>
      <c r="AG522" s="580">
        <f t="shared" si="79"/>
        <v>0</v>
      </c>
      <c r="AH522" s="580">
        <f t="shared" si="80"/>
        <v>0</v>
      </c>
      <c r="AI522" s="149"/>
      <c r="AJ522" s="149"/>
      <c r="AK522" s="149"/>
      <c r="AL522" s="149"/>
      <c r="AM522" s="149"/>
      <c r="AN522" s="149"/>
      <c r="AO522" s="149"/>
      <c r="AP522" s="149"/>
    </row>
    <row r="523" spans="2:42">
      <c r="B523" s="221">
        <v>79</v>
      </c>
      <c r="C523" s="54" t="s">
        <v>382</v>
      </c>
      <c r="D523" s="223">
        <v>17.411331538909</v>
      </c>
      <c r="E523" s="344">
        <v>0.33183981472282698</v>
      </c>
      <c r="F523" s="179">
        <v>23.89</v>
      </c>
      <c r="G523" s="179">
        <v>21.11</v>
      </c>
      <c r="H523" s="223">
        <v>19.880163463724799</v>
      </c>
      <c r="I523" s="297">
        <v>0</v>
      </c>
      <c r="J523" s="149"/>
      <c r="K523" s="149"/>
      <c r="L523" s="149"/>
      <c r="M523" s="149"/>
      <c r="N523" s="149"/>
      <c r="O523" s="149"/>
      <c r="P523" s="149"/>
      <c r="Q523" s="149"/>
      <c r="R523" s="149"/>
      <c r="S523" s="149"/>
      <c r="T523" s="149"/>
      <c r="U523" s="149"/>
      <c r="V523" s="149"/>
      <c r="W523" s="149"/>
      <c r="X523" s="149"/>
      <c r="Y523" s="149"/>
      <c r="Z523" s="149"/>
      <c r="AA523" s="149"/>
      <c r="AB523" s="580">
        <f>HLOOKUP("*"&amp;'Output annual'!$AC$2&amp;'Output annual'!$AD$2&amp;"*Zone People Number Of Occupants [](Hourly)",'Eplus results'!$1:$1048576,ROW(),FALSE)</f>
        <v>0</v>
      </c>
      <c r="AC523" s="580">
        <f>HLOOKUP("*"&amp;'Output annual'!$AC$2&amp;'Output annual'!$AD$2&amp;"*FangerPMV(Hourly)",'Eplus results'!$1:$1048576,ROW(),FALSE)</f>
        <v>0</v>
      </c>
      <c r="AD523" s="580">
        <f t="shared" si="76"/>
        <v>5</v>
      </c>
      <c r="AE523" s="580">
        <f t="shared" si="77"/>
        <v>2.5</v>
      </c>
      <c r="AF523" s="580">
        <f t="shared" si="78"/>
        <v>2.5</v>
      </c>
      <c r="AG523" s="580">
        <f t="shared" si="79"/>
        <v>0</v>
      </c>
      <c r="AH523" s="580">
        <f t="shared" si="80"/>
        <v>0</v>
      </c>
      <c r="AI523" s="149"/>
      <c r="AJ523" s="149"/>
      <c r="AK523" s="149"/>
      <c r="AL523" s="149"/>
      <c r="AM523" s="149"/>
      <c r="AN523" s="149"/>
      <c r="AO523" s="149"/>
      <c r="AP523" s="149"/>
    </row>
    <row r="524" spans="2:42">
      <c r="B524" s="221">
        <v>80</v>
      </c>
      <c r="C524" s="54" t="s">
        <v>383</v>
      </c>
      <c r="D524" s="223">
        <v>17.9362020352985</v>
      </c>
      <c r="E524" s="344">
        <v>0.33183981472282698</v>
      </c>
      <c r="F524" s="179">
        <v>23.89</v>
      </c>
      <c r="G524" s="179">
        <v>21.11</v>
      </c>
      <c r="H524" s="223">
        <v>19.380172313227298</v>
      </c>
      <c r="I524" s="297">
        <v>0</v>
      </c>
      <c r="J524" s="149"/>
      <c r="K524" s="149"/>
      <c r="L524" s="149"/>
      <c r="M524" s="149"/>
      <c r="N524" s="149"/>
      <c r="O524" s="149"/>
      <c r="P524" s="149"/>
      <c r="Q524" s="149"/>
      <c r="R524" s="149"/>
      <c r="S524" s="149"/>
      <c r="T524" s="149"/>
      <c r="U524" s="149"/>
      <c r="V524" s="149"/>
      <c r="W524" s="149"/>
      <c r="X524" s="149"/>
      <c r="Y524" s="149"/>
      <c r="Z524" s="149"/>
      <c r="AA524" s="149"/>
      <c r="AB524" s="580">
        <f>HLOOKUP("*"&amp;'Output annual'!$AC$2&amp;'Output annual'!$AD$2&amp;"*Zone People Number Of Occupants [](Hourly)",'Eplus results'!$1:$1048576,ROW(),FALSE)</f>
        <v>0</v>
      </c>
      <c r="AC524" s="580">
        <f>HLOOKUP("*"&amp;'Output annual'!$AC$2&amp;'Output annual'!$AD$2&amp;"*FangerPMV(Hourly)",'Eplus results'!$1:$1048576,ROW(),FALSE)</f>
        <v>0</v>
      </c>
      <c r="AD524" s="580">
        <f t="shared" si="76"/>
        <v>5</v>
      </c>
      <c r="AE524" s="580">
        <f t="shared" si="77"/>
        <v>2.5</v>
      </c>
      <c r="AF524" s="580">
        <f t="shared" si="78"/>
        <v>2.5</v>
      </c>
      <c r="AG524" s="580">
        <f t="shared" si="79"/>
        <v>0</v>
      </c>
      <c r="AH524" s="580">
        <f t="shared" si="80"/>
        <v>0</v>
      </c>
      <c r="AI524" s="149"/>
      <c r="AJ524" s="149"/>
      <c r="AK524" s="149"/>
      <c r="AL524" s="149"/>
      <c r="AM524" s="149"/>
      <c r="AN524" s="149"/>
      <c r="AO524" s="149"/>
      <c r="AP524" s="149"/>
    </row>
    <row r="525" spans="2:42">
      <c r="B525" s="221">
        <v>81</v>
      </c>
      <c r="C525" s="54" t="s">
        <v>384</v>
      </c>
      <c r="D525" s="223">
        <v>18.6772669816987</v>
      </c>
      <c r="E525" s="344">
        <v>0.33183981472282698</v>
      </c>
      <c r="F525" s="179">
        <v>23.89</v>
      </c>
      <c r="G525" s="179">
        <v>21.11</v>
      </c>
      <c r="H525" s="223">
        <v>19.2177339616373</v>
      </c>
      <c r="I525" s="297">
        <v>0</v>
      </c>
      <c r="J525" s="149"/>
      <c r="K525" s="149"/>
      <c r="L525" s="149"/>
      <c r="M525" s="149"/>
      <c r="N525" s="149"/>
      <c r="O525" s="149"/>
      <c r="P525" s="149"/>
      <c r="Q525" s="149"/>
      <c r="R525" s="149"/>
      <c r="S525" s="149"/>
      <c r="T525" s="149"/>
      <c r="U525" s="149"/>
      <c r="V525" s="149"/>
      <c r="W525" s="149"/>
      <c r="X525" s="149"/>
      <c r="Y525" s="149"/>
      <c r="Z525" s="149"/>
      <c r="AA525" s="149"/>
      <c r="AB525" s="580">
        <f>HLOOKUP("*"&amp;'Output annual'!$AC$2&amp;'Output annual'!$AD$2&amp;"*Zone People Number Of Occupants [](Hourly)",'Eplus results'!$1:$1048576,ROW(),FALSE)</f>
        <v>0</v>
      </c>
      <c r="AC525" s="580">
        <f>HLOOKUP("*"&amp;'Output annual'!$AC$2&amp;'Output annual'!$AD$2&amp;"*FangerPMV(Hourly)",'Eplus results'!$1:$1048576,ROW(),FALSE)</f>
        <v>0</v>
      </c>
      <c r="AD525" s="580">
        <f t="shared" si="76"/>
        <v>5</v>
      </c>
      <c r="AE525" s="580">
        <f t="shared" si="77"/>
        <v>2.5</v>
      </c>
      <c r="AF525" s="580">
        <f t="shared" si="78"/>
        <v>2.5</v>
      </c>
      <c r="AG525" s="580">
        <f t="shared" si="79"/>
        <v>0</v>
      </c>
      <c r="AH525" s="580">
        <f t="shared" si="80"/>
        <v>0</v>
      </c>
      <c r="AI525" s="149"/>
      <c r="AJ525" s="149"/>
      <c r="AK525" s="149"/>
      <c r="AL525" s="149"/>
      <c r="AM525" s="149"/>
      <c r="AN525" s="149"/>
      <c r="AO525" s="149"/>
      <c r="AP525" s="149"/>
    </row>
    <row r="526" spans="2:42">
      <c r="B526" s="221">
        <v>82</v>
      </c>
      <c r="C526" s="54" t="s">
        <v>385</v>
      </c>
      <c r="D526" s="223">
        <v>19.231517660392701</v>
      </c>
      <c r="E526" s="344">
        <v>0.33183981472282698</v>
      </c>
      <c r="F526" s="179">
        <v>23.89</v>
      </c>
      <c r="G526" s="179">
        <v>21.11</v>
      </c>
      <c r="H526" s="223">
        <v>19.240852268851398</v>
      </c>
      <c r="I526" s="297">
        <v>2.4642719705227089E-2</v>
      </c>
      <c r="J526" s="149"/>
      <c r="K526" s="149"/>
      <c r="L526" s="149"/>
      <c r="M526" s="149"/>
      <c r="N526" s="149"/>
      <c r="O526" s="149"/>
      <c r="P526" s="149"/>
      <c r="Q526" s="149"/>
      <c r="R526" s="149"/>
      <c r="S526" s="149"/>
      <c r="T526" s="149"/>
      <c r="U526" s="149"/>
      <c r="V526" s="149"/>
      <c r="W526" s="149"/>
      <c r="X526" s="149"/>
      <c r="Y526" s="149"/>
      <c r="Z526" s="149"/>
      <c r="AA526" s="149"/>
      <c r="AB526" s="580">
        <f>HLOOKUP("*"&amp;'Output annual'!$AC$2&amp;'Output annual'!$AD$2&amp;"*Zone People Number Of Occupants [](Hourly)",'Eplus results'!$1:$1048576,ROW(),FALSE)</f>
        <v>0</v>
      </c>
      <c r="AC526" s="580">
        <f>HLOOKUP("*"&amp;'Output annual'!$AC$2&amp;'Output annual'!$AD$2&amp;"*FangerPMV(Hourly)",'Eplus results'!$1:$1048576,ROW(),FALSE)</f>
        <v>0</v>
      </c>
      <c r="AD526" s="580">
        <f t="shared" si="76"/>
        <v>5</v>
      </c>
      <c r="AE526" s="580">
        <f t="shared" si="77"/>
        <v>2.5</v>
      </c>
      <c r="AF526" s="580">
        <f t="shared" si="78"/>
        <v>2.5</v>
      </c>
      <c r="AG526" s="580">
        <f t="shared" si="79"/>
        <v>0</v>
      </c>
      <c r="AH526" s="580">
        <f t="shared" si="80"/>
        <v>0</v>
      </c>
      <c r="AI526" s="149"/>
      <c r="AJ526" s="149"/>
      <c r="AK526" s="149"/>
      <c r="AL526" s="149"/>
      <c r="AM526" s="149"/>
      <c r="AN526" s="149"/>
      <c r="AO526" s="149"/>
      <c r="AP526" s="149"/>
    </row>
    <row r="527" spans="2:42">
      <c r="B527" s="221">
        <v>83</v>
      </c>
      <c r="C527" s="54" t="s">
        <v>413</v>
      </c>
      <c r="D527" s="223">
        <v>19.121927983620001</v>
      </c>
      <c r="E527" s="344">
        <v>0.33183981472282698</v>
      </c>
      <c r="F527" s="179">
        <v>23.89</v>
      </c>
      <c r="G527" s="179">
        <v>21.11</v>
      </c>
      <c r="H527" s="223">
        <v>18.836331401754499</v>
      </c>
      <c r="I527" s="297">
        <v>0.11918960165744312</v>
      </c>
      <c r="J527" s="149"/>
      <c r="K527" s="149"/>
      <c r="L527" s="149"/>
      <c r="M527" s="149"/>
      <c r="N527" s="149"/>
      <c r="O527" s="149"/>
      <c r="P527" s="149"/>
      <c r="Q527" s="149"/>
      <c r="R527" s="149"/>
      <c r="S527" s="149"/>
      <c r="T527" s="149"/>
      <c r="U527" s="149"/>
      <c r="V527" s="149"/>
      <c r="W527" s="149"/>
      <c r="X527" s="149"/>
      <c r="Y527" s="149"/>
      <c r="Z527" s="149"/>
      <c r="AA527" s="149"/>
      <c r="AB527" s="580">
        <f>HLOOKUP("*"&amp;'Output annual'!$AC$2&amp;'Output annual'!$AD$2&amp;"*Zone People Number Of Occupants [](Hourly)",'Eplus results'!$1:$1048576,ROW(),FALSE)</f>
        <v>0</v>
      </c>
      <c r="AC527" s="580">
        <f>HLOOKUP("*"&amp;'Output annual'!$AC$2&amp;'Output annual'!$AD$2&amp;"*FangerPMV(Hourly)",'Eplus results'!$1:$1048576,ROW(),FALSE)</f>
        <v>0</v>
      </c>
      <c r="AD527" s="580">
        <f t="shared" si="76"/>
        <v>5</v>
      </c>
      <c r="AE527" s="580">
        <f t="shared" si="77"/>
        <v>2.5</v>
      </c>
      <c r="AF527" s="580">
        <f t="shared" si="78"/>
        <v>2.5</v>
      </c>
      <c r="AG527" s="580">
        <f t="shared" si="79"/>
        <v>0</v>
      </c>
      <c r="AH527" s="580">
        <f t="shared" si="80"/>
        <v>0</v>
      </c>
      <c r="AI527" s="149"/>
      <c r="AJ527" s="149"/>
      <c r="AK527" s="149"/>
      <c r="AL527" s="149"/>
      <c r="AM527" s="149"/>
      <c r="AN527" s="149"/>
      <c r="AO527" s="149"/>
      <c r="AP527" s="149"/>
    </row>
    <row r="528" spans="2:42">
      <c r="B528" s="221">
        <v>84</v>
      </c>
      <c r="C528" s="54" t="s">
        <v>414</v>
      </c>
      <c r="D528" s="223">
        <v>19.7520777727362</v>
      </c>
      <c r="E528" s="344">
        <v>0.33183981472282698</v>
      </c>
      <c r="F528" s="179">
        <v>23.89</v>
      </c>
      <c r="G528" s="179">
        <v>21.11</v>
      </c>
      <c r="H528" s="223">
        <v>18.599070397570902</v>
      </c>
      <c r="I528" s="297">
        <v>0.17209182169898005</v>
      </c>
      <c r="J528" s="149"/>
      <c r="K528" s="149"/>
      <c r="L528" s="149"/>
      <c r="M528" s="149"/>
      <c r="N528" s="149"/>
      <c r="O528" s="149"/>
      <c r="P528" s="149"/>
      <c r="Q528" s="149"/>
      <c r="R528" s="149"/>
      <c r="S528" s="149"/>
      <c r="T528" s="149"/>
      <c r="U528" s="149"/>
      <c r="V528" s="149"/>
      <c r="W528" s="149"/>
      <c r="X528" s="149"/>
      <c r="Y528" s="149"/>
      <c r="Z528" s="149"/>
      <c r="AA528" s="149"/>
      <c r="AB528" s="580">
        <f>HLOOKUP("*"&amp;'Output annual'!$AC$2&amp;'Output annual'!$AD$2&amp;"*Zone People Number Of Occupants [](Hourly)",'Eplus results'!$1:$1048576,ROW(),FALSE)</f>
        <v>0</v>
      </c>
      <c r="AC528" s="580">
        <f>HLOOKUP("*"&amp;'Output annual'!$AC$2&amp;'Output annual'!$AD$2&amp;"*FangerPMV(Hourly)",'Eplus results'!$1:$1048576,ROW(),FALSE)</f>
        <v>0</v>
      </c>
      <c r="AD528" s="580">
        <f t="shared" si="76"/>
        <v>5</v>
      </c>
      <c r="AE528" s="580">
        <f t="shared" si="77"/>
        <v>2.5</v>
      </c>
      <c r="AF528" s="580">
        <f t="shared" si="78"/>
        <v>2.5</v>
      </c>
      <c r="AG528" s="580">
        <f t="shared" si="79"/>
        <v>0</v>
      </c>
      <c r="AH528" s="580">
        <f t="shared" si="80"/>
        <v>0</v>
      </c>
      <c r="AI528" s="149"/>
      <c r="AJ528" s="149"/>
      <c r="AK528" s="149"/>
      <c r="AL528" s="149"/>
      <c r="AM528" s="149"/>
      <c r="AN528" s="149"/>
      <c r="AO528" s="149"/>
      <c r="AP528" s="149"/>
    </row>
    <row r="529" spans="2:42">
      <c r="B529" s="221">
        <v>85</v>
      </c>
      <c r="C529" s="54" t="s">
        <v>415</v>
      </c>
      <c r="D529" s="223">
        <v>20.234933321325201</v>
      </c>
      <c r="E529" s="344">
        <v>0.33183981472282698</v>
      </c>
      <c r="F529" s="179">
        <v>23.89</v>
      </c>
      <c r="G529" s="179">
        <v>21.11</v>
      </c>
      <c r="H529" s="223">
        <v>18.517996288723999</v>
      </c>
      <c r="I529" s="297">
        <v>0.2295026776709887</v>
      </c>
      <c r="J529" s="149"/>
      <c r="K529" s="149"/>
      <c r="L529" s="149"/>
      <c r="M529" s="149"/>
      <c r="N529" s="149"/>
      <c r="O529" s="149"/>
      <c r="P529" s="149"/>
      <c r="Q529" s="149"/>
      <c r="R529" s="149"/>
      <c r="S529" s="149"/>
      <c r="T529" s="149"/>
      <c r="U529" s="149"/>
      <c r="V529" s="149"/>
      <c r="W529" s="149"/>
      <c r="X529" s="149"/>
      <c r="Y529" s="149"/>
      <c r="Z529" s="149"/>
      <c r="AA529" s="149"/>
      <c r="AB529" s="580">
        <f>HLOOKUP("*"&amp;'Output annual'!$AC$2&amp;'Output annual'!$AD$2&amp;"*Zone People Number Of Occupants [](Hourly)",'Eplus results'!$1:$1048576,ROW(),FALSE)</f>
        <v>0</v>
      </c>
      <c r="AC529" s="580">
        <f>HLOOKUP("*"&amp;'Output annual'!$AC$2&amp;'Output annual'!$AD$2&amp;"*FangerPMV(Hourly)",'Eplus results'!$1:$1048576,ROW(),FALSE)</f>
        <v>0</v>
      </c>
      <c r="AD529" s="580">
        <f t="shared" si="76"/>
        <v>5</v>
      </c>
      <c r="AE529" s="580">
        <f t="shared" si="77"/>
        <v>2.5</v>
      </c>
      <c r="AF529" s="580">
        <f t="shared" si="78"/>
        <v>2.5</v>
      </c>
      <c r="AG529" s="580">
        <f t="shared" si="79"/>
        <v>0</v>
      </c>
      <c r="AH529" s="580">
        <f t="shared" si="80"/>
        <v>0</v>
      </c>
      <c r="AI529" s="149"/>
      <c r="AJ529" s="149"/>
      <c r="AK529" s="149"/>
      <c r="AL529" s="149"/>
      <c r="AM529" s="149"/>
      <c r="AN529" s="149"/>
      <c r="AO529" s="149"/>
      <c r="AP529" s="149"/>
    </row>
    <row r="530" spans="2:42">
      <c r="B530" s="221">
        <v>86</v>
      </c>
      <c r="C530" s="54" t="s">
        <v>416</v>
      </c>
      <c r="D530" s="223">
        <v>22.4127262873549</v>
      </c>
      <c r="E530" s="344">
        <v>0</v>
      </c>
      <c r="F530" s="179">
        <v>32.22</v>
      </c>
      <c r="G530" s="179">
        <v>12.78</v>
      </c>
      <c r="H530" s="223">
        <v>19.765392317176701</v>
      </c>
      <c r="I530" s="297">
        <v>0</v>
      </c>
      <c r="J530" s="149"/>
      <c r="K530" s="149"/>
      <c r="L530" s="149"/>
      <c r="M530" s="149"/>
      <c r="N530" s="149"/>
      <c r="O530" s="149"/>
      <c r="P530" s="149"/>
      <c r="Q530" s="149"/>
      <c r="R530" s="149"/>
      <c r="S530" s="149"/>
      <c r="T530" s="149"/>
      <c r="U530" s="149"/>
      <c r="V530" s="149"/>
      <c r="W530" s="149"/>
      <c r="X530" s="149"/>
      <c r="Y530" s="149"/>
      <c r="Z530" s="149"/>
      <c r="AA530" s="149"/>
      <c r="AB530" s="580">
        <f>HLOOKUP("*"&amp;'Output annual'!$AC$2&amp;'Output annual'!$AD$2&amp;"*Zone People Number Of Occupants [](Hourly)",'Eplus results'!$1:$1048576,ROW(),FALSE)</f>
        <v>0</v>
      </c>
      <c r="AC530" s="580">
        <f>HLOOKUP("*"&amp;'Output annual'!$AC$2&amp;'Output annual'!$AD$2&amp;"*FangerPMV(Hourly)",'Eplus results'!$1:$1048576,ROW(),FALSE)</f>
        <v>0</v>
      </c>
      <c r="AD530" s="580">
        <f t="shared" si="76"/>
        <v>5</v>
      </c>
      <c r="AE530" s="580">
        <f t="shared" si="77"/>
        <v>2.5</v>
      </c>
      <c r="AF530" s="580">
        <f t="shared" si="78"/>
        <v>2.5</v>
      </c>
      <c r="AG530" s="580">
        <f t="shared" si="79"/>
        <v>0</v>
      </c>
      <c r="AH530" s="580">
        <f t="shared" si="80"/>
        <v>0</v>
      </c>
      <c r="AI530" s="149"/>
      <c r="AJ530" s="149"/>
      <c r="AK530" s="149"/>
      <c r="AL530" s="149"/>
      <c r="AM530" s="149"/>
      <c r="AN530" s="149"/>
      <c r="AO530" s="149"/>
      <c r="AP530" s="149"/>
    </row>
    <row r="531" spans="2:42">
      <c r="B531" s="221">
        <v>87</v>
      </c>
      <c r="C531" s="54" t="s">
        <v>417</v>
      </c>
      <c r="D531" s="223">
        <v>23.004666512598799</v>
      </c>
      <c r="E531" s="344">
        <v>0</v>
      </c>
      <c r="F531" s="179">
        <v>32.22</v>
      </c>
      <c r="G531" s="179">
        <v>12.78</v>
      </c>
      <c r="H531" s="223">
        <v>20.5122229453744</v>
      </c>
      <c r="I531" s="297">
        <v>0</v>
      </c>
      <c r="J531" s="149"/>
      <c r="K531" s="149"/>
      <c r="L531" s="149"/>
      <c r="M531" s="149"/>
      <c r="N531" s="149"/>
      <c r="O531" s="149"/>
      <c r="P531" s="149"/>
      <c r="Q531" s="149"/>
      <c r="R531" s="149"/>
      <c r="S531" s="149"/>
      <c r="T531" s="149"/>
      <c r="U531" s="149"/>
      <c r="V531" s="149"/>
      <c r="W531" s="149"/>
      <c r="X531" s="149"/>
      <c r="Y531" s="149"/>
      <c r="Z531" s="149"/>
      <c r="AA531" s="149"/>
      <c r="AB531" s="580">
        <f>HLOOKUP("*"&amp;'Output annual'!$AC$2&amp;'Output annual'!$AD$2&amp;"*Zone People Number Of Occupants [](Hourly)",'Eplus results'!$1:$1048576,ROW(),FALSE)</f>
        <v>0</v>
      </c>
      <c r="AC531" s="580">
        <f>HLOOKUP("*"&amp;'Output annual'!$AC$2&amp;'Output annual'!$AD$2&amp;"*FangerPMV(Hourly)",'Eplus results'!$1:$1048576,ROW(),FALSE)</f>
        <v>0</v>
      </c>
      <c r="AD531" s="580">
        <f t="shared" si="76"/>
        <v>5</v>
      </c>
      <c r="AE531" s="580">
        <f t="shared" si="77"/>
        <v>2.5</v>
      </c>
      <c r="AF531" s="580">
        <f t="shared" si="78"/>
        <v>2.5</v>
      </c>
      <c r="AG531" s="580">
        <f t="shared" si="79"/>
        <v>0</v>
      </c>
      <c r="AH531" s="580">
        <f t="shared" si="80"/>
        <v>0</v>
      </c>
      <c r="AI531" s="149"/>
      <c r="AJ531" s="149"/>
      <c r="AK531" s="149"/>
      <c r="AL531" s="149"/>
      <c r="AM531" s="149"/>
      <c r="AN531" s="149"/>
      <c r="AO531" s="149"/>
      <c r="AP531" s="149"/>
    </row>
    <row r="532" spans="2:42">
      <c r="B532" s="221">
        <v>88</v>
      </c>
      <c r="C532" s="54" t="s">
        <v>418</v>
      </c>
      <c r="D532" s="223">
        <v>23.429158578532501</v>
      </c>
      <c r="E532" s="344">
        <v>0</v>
      </c>
      <c r="F532" s="179">
        <v>32.22</v>
      </c>
      <c r="G532" s="179">
        <v>12.78</v>
      </c>
      <c r="H532" s="223">
        <v>20.7843165423707</v>
      </c>
      <c r="I532" s="297">
        <v>0</v>
      </c>
      <c r="J532" s="149"/>
      <c r="K532" s="149"/>
      <c r="L532" s="149"/>
      <c r="M532" s="149"/>
      <c r="N532" s="149"/>
      <c r="O532" s="149"/>
      <c r="P532" s="149"/>
      <c r="Q532" s="149"/>
      <c r="R532" s="149"/>
      <c r="S532" s="149"/>
      <c r="T532" s="149"/>
      <c r="U532" s="149"/>
      <c r="V532" s="149"/>
      <c r="W532" s="149"/>
      <c r="X532" s="149"/>
      <c r="Y532" s="149"/>
      <c r="Z532" s="149"/>
      <c r="AA532" s="149"/>
      <c r="AB532" s="580">
        <f>HLOOKUP("*"&amp;'Output annual'!$AC$2&amp;'Output annual'!$AD$2&amp;"*Zone People Number Of Occupants [](Hourly)",'Eplus results'!$1:$1048576,ROW(),FALSE)</f>
        <v>0</v>
      </c>
      <c r="AC532" s="580">
        <f>HLOOKUP("*"&amp;'Output annual'!$AC$2&amp;'Output annual'!$AD$2&amp;"*FangerPMV(Hourly)",'Eplus results'!$1:$1048576,ROW(),FALSE)</f>
        <v>0</v>
      </c>
      <c r="AD532" s="580">
        <f t="shared" si="76"/>
        <v>5</v>
      </c>
      <c r="AE532" s="580">
        <f t="shared" si="77"/>
        <v>2.5</v>
      </c>
      <c r="AF532" s="580">
        <f t="shared" si="78"/>
        <v>2.5</v>
      </c>
      <c r="AG532" s="580">
        <f t="shared" si="79"/>
        <v>0</v>
      </c>
      <c r="AH532" s="580">
        <f t="shared" si="80"/>
        <v>0</v>
      </c>
      <c r="AI532" s="149"/>
      <c r="AJ532" s="149"/>
      <c r="AK532" s="149"/>
      <c r="AL532" s="149"/>
      <c r="AM532" s="149"/>
      <c r="AN532" s="149"/>
      <c r="AO532" s="149"/>
      <c r="AP532" s="149"/>
    </row>
    <row r="533" spans="2:42">
      <c r="B533" s="221">
        <v>89</v>
      </c>
      <c r="C533" s="54" t="s">
        <v>419</v>
      </c>
      <c r="D533" s="223">
        <v>23.477901086684799</v>
      </c>
      <c r="E533" s="344">
        <v>0</v>
      </c>
      <c r="F533" s="179">
        <v>32.22</v>
      </c>
      <c r="G533" s="179">
        <v>12.78</v>
      </c>
      <c r="H533" s="223">
        <v>21.019610029967499</v>
      </c>
      <c r="I533" s="297">
        <v>0</v>
      </c>
      <c r="J533" s="149"/>
      <c r="K533" s="149"/>
      <c r="L533" s="149"/>
      <c r="M533" s="149"/>
      <c r="N533" s="149"/>
      <c r="O533" s="149"/>
      <c r="P533" s="149"/>
      <c r="Q533" s="149"/>
      <c r="R533" s="149"/>
      <c r="S533" s="149"/>
      <c r="T533" s="149"/>
      <c r="U533" s="149"/>
      <c r="V533" s="149"/>
      <c r="W533" s="149"/>
      <c r="X533" s="149"/>
      <c r="Y533" s="149"/>
      <c r="Z533" s="149"/>
      <c r="AA533" s="149"/>
      <c r="AB533" s="580">
        <f>HLOOKUP("*"&amp;'Output annual'!$AC$2&amp;'Output annual'!$AD$2&amp;"*Zone People Number Of Occupants [](Hourly)",'Eplus results'!$1:$1048576,ROW(),FALSE)</f>
        <v>0</v>
      </c>
      <c r="AC533" s="580">
        <f>HLOOKUP("*"&amp;'Output annual'!$AC$2&amp;'Output annual'!$AD$2&amp;"*FangerPMV(Hourly)",'Eplus results'!$1:$1048576,ROW(),FALSE)</f>
        <v>0</v>
      </c>
      <c r="AD533" s="580">
        <f t="shared" si="76"/>
        <v>5</v>
      </c>
      <c r="AE533" s="580">
        <f t="shared" si="77"/>
        <v>2.5</v>
      </c>
      <c r="AF533" s="580">
        <f t="shared" si="78"/>
        <v>2.5</v>
      </c>
      <c r="AG533" s="580">
        <f t="shared" si="79"/>
        <v>0</v>
      </c>
      <c r="AH533" s="580">
        <f t="shared" si="80"/>
        <v>0</v>
      </c>
      <c r="AI533" s="149"/>
      <c r="AJ533" s="149"/>
      <c r="AK533" s="149"/>
      <c r="AL533" s="149"/>
      <c r="AM533" s="149"/>
      <c r="AN533" s="149"/>
      <c r="AO533" s="149"/>
      <c r="AP533" s="149"/>
    </row>
    <row r="534" spans="2:42">
      <c r="B534" s="221">
        <v>90</v>
      </c>
      <c r="C534" s="54" t="s">
        <v>420</v>
      </c>
      <c r="D534" s="223">
        <v>23.125854453203502</v>
      </c>
      <c r="E534" s="344">
        <v>0</v>
      </c>
      <c r="F534" s="179">
        <v>32.22</v>
      </c>
      <c r="G534" s="179">
        <v>12.78</v>
      </c>
      <c r="H534" s="223">
        <v>21.213111622989501</v>
      </c>
      <c r="I534" s="297">
        <v>0</v>
      </c>
      <c r="J534" s="149"/>
      <c r="K534" s="149"/>
      <c r="L534" s="149"/>
      <c r="M534" s="149"/>
      <c r="N534" s="149"/>
      <c r="O534" s="149"/>
      <c r="P534" s="149"/>
      <c r="Q534" s="149"/>
      <c r="R534" s="149"/>
      <c r="S534" s="149"/>
      <c r="T534" s="149"/>
      <c r="U534" s="149"/>
      <c r="V534" s="149"/>
      <c r="W534" s="149"/>
      <c r="X534" s="149"/>
      <c r="Y534" s="149"/>
      <c r="Z534" s="149"/>
      <c r="AA534" s="149"/>
      <c r="AB534" s="580">
        <f>HLOOKUP("*"&amp;'Output annual'!$AC$2&amp;'Output annual'!$AD$2&amp;"*Zone People Number Of Occupants [](Hourly)",'Eplus results'!$1:$1048576,ROW(),FALSE)</f>
        <v>0</v>
      </c>
      <c r="AC534" s="580">
        <f>HLOOKUP("*"&amp;'Output annual'!$AC$2&amp;'Output annual'!$AD$2&amp;"*FangerPMV(Hourly)",'Eplus results'!$1:$1048576,ROW(),FALSE)</f>
        <v>0</v>
      </c>
      <c r="AD534" s="580">
        <f t="shared" si="76"/>
        <v>5</v>
      </c>
      <c r="AE534" s="580">
        <f t="shared" si="77"/>
        <v>2.5</v>
      </c>
      <c r="AF534" s="580">
        <f t="shared" si="78"/>
        <v>2.5</v>
      </c>
      <c r="AG534" s="580">
        <f t="shared" si="79"/>
        <v>0</v>
      </c>
      <c r="AH534" s="580">
        <f t="shared" si="80"/>
        <v>0</v>
      </c>
      <c r="AI534" s="149"/>
      <c r="AJ534" s="149"/>
      <c r="AK534" s="149"/>
      <c r="AL534" s="149"/>
      <c r="AM534" s="149"/>
      <c r="AN534" s="149"/>
      <c r="AO534" s="149"/>
      <c r="AP534" s="149"/>
    </row>
    <row r="535" spans="2:42">
      <c r="B535" s="221">
        <v>91</v>
      </c>
      <c r="C535" s="54" t="s">
        <v>421</v>
      </c>
      <c r="D535" s="223">
        <v>22.6630951435769</v>
      </c>
      <c r="E535" s="344">
        <v>0</v>
      </c>
      <c r="F535" s="179">
        <v>32.22</v>
      </c>
      <c r="G535" s="179">
        <v>12.78</v>
      </c>
      <c r="H535" s="223">
        <v>21.350763410660701</v>
      </c>
      <c r="I535" s="297">
        <v>0</v>
      </c>
      <c r="J535" s="149"/>
      <c r="K535" s="149"/>
      <c r="L535" s="149"/>
      <c r="M535" s="149"/>
      <c r="N535" s="149"/>
      <c r="O535" s="149"/>
      <c r="P535" s="149"/>
      <c r="Q535" s="149"/>
      <c r="R535" s="149"/>
      <c r="S535" s="149"/>
      <c r="T535" s="149"/>
      <c r="U535" s="149"/>
      <c r="V535" s="149"/>
      <c r="W535" s="149"/>
      <c r="X535" s="149"/>
      <c r="Y535" s="149"/>
      <c r="Z535" s="149"/>
      <c r="AA535" s="149"/>
      <c r="AB535" s="580">
        <f>HLOOKUP("*"&amp;'Output annual'!$AC$2&amp;'Output annual'!$AD$2&amp;"*Zone People Number Of Occupants [](Hourly)",'Eplus results'!$1:$1048576,ROW(),FALSE)</f>
        <v>0</v>
      </c>
      <c r="AC535" s="580">
        <f>HLOOKUP("*"&amp;'Output annual'!$AC$2&amp;'Output annual'!$AD$2&amp;"*FangerPMV(Hourly)",'Eplus results'!$1:$1048576,ROW(),FALSE)</f>
        <v>0</v>
      </c>
      <c r="AD535" s="580">
        <f t="shared" si="76"/>
        <v>5</v>
      </c>
      <c r="AE535" s="580">
        <f t="shared" si="77"/>
        <v>2.5</v>
      </c>
      <c r="AF535" s="580">
        <f t="shared" si="78"/>
        <v>2.5</v>
      </c>
      <c r="AG535" s="580">
        <f t="shared" si="79"/>
        <v>0</v>
      </c>
      <c r="AH535" s="580">
        <f t="shared" si="80"/>
        <v>0</v>
      </c>
      <c r="AI535" s="149"/>
      <c r="AJ535" s="149"/>
      <c r="AK535" s="149"/>
      <c r="AL535" s="149"/>
      <c r="AM535" s="149"/>
      <c r="AN535" s="149"/>
      <c r="AO535" s="149"/>
      <c r="AP535" s="149"/>
    </row>
    <row r="536" spans="2:42">
      <c r="B536" s="221">
        <v>92</v>
      </c>
      <c r="C536" s="54" t="s">
        <v>422</v>
      </c>
      <c r="D536" s="223">
        <v>22.183678650997699</v>
      </c>
      <c r="E536" s="344">
        <v>0</v>
      </c>
      <c r="F536" s="179">
        <v>32.22</v>
      </c>
      <c r="G536" s="179">
        <v>12.78</v>
      </c>
      <c r="H536" s="223">
        <v>21.432233530307201</v>
      </c>
      <c r="I536" s="297">
        <v>0</v>
      </c>
      <c r="J536" s="149"/>
      <c r="K536" s="149"/>
      <c r="L536" s="149"/>
      <c r="M536" s="149"/>
      <c r="N536" s="149"/>
      <c r="O536" s="149"/>
      <c r="P536" s="149"/>
      <c r="Q536" s="149"/>
      <c r="R536" s="149"/>
      <c r="S536" s="149"/>
      <c r="T536" s="149"/>
      <c r="U536" s="149"/>
      <c r="V536" s="149"/>
      <c r="W536" s="149"/>
      <c r="X536" s="149"/>
      <c r="Y536" s="149"/>
      <c r="Z536" s="149"/>
      <c r="AA536" s="149"/>
      <c r="AB536" s="580">
        <f>HLOOKUP("*"&amp;'Output annual'!$AC$2&amp;'Output annual'!$AD$2&amp;"*Zone People Number Of Occupants [](Hourly)",'Eplus results'!$1:$1048576,ROW(),FALSE)</f>
        <v>0</v>
      </c>
      <c r="AC536" s="580">
        <f>HLOOKUP("*"&amp;'Output annual'!$AC$2&amp;'Output annual'!$AD$2&amp;"*FangerPMV(Hourly)",'Eplus results'!$1:$1048576,ROW(),FALSE)</f>
        <v>0</v>
      </c>
      <c r="AD536" s="580">
        <f t="shared" si="76"/>
        <v>5</v>
      </c>
      <c r="AE536" s="580">
        <f t="shared" si="77"/>
        <v>2.5</v>
      </c>
      <c r="AF536" s="580">
        <f t="shared" si="78"/>
        <v>2.5</v>
      </c>
      <c r="AG536" s="580">
        <f t="shared" si="79"/>
        <v>0</v>
      </c>
      <c r="AH536" s="580">
        <f t="shared" si="80"/>
        <v>0</v>
      </c>
      <c r="AI536" s="149"/>
      <c r="AJ536" s="149"/>
      <c r="AK536" s="149"/>
      <c r="AL536" s="149"/>
      <c r="AM536" s="149"/>
      <c r="AN536" s="149"/>
      <c r="AO536" s="149"/>
      <c r="AP536" s="149"/>
    </row>
    <row r="537" spans="2:42">
      <c r="B537" s="221">
        <v>93</v>
      </c>
      <c r="C537" s="54" t="s">
        <v>423</v>
      </c>
      <c r="D537" s="223">
        <v>21.709471841878901</v>
      </c>
      <c r="E537" s="344">
        <v>0</v>
      </c>
      <c r="F537" s="179">
        <v>32.22</v>
      </c>
      <c r="G537" s="179">
        <v>12.78</v>
      </c>
      <c r="H537" s="223">
        <v>21.465031919462099</v>
      </c>
      <c r="I537" s="297">
        <v>0</v>
      </c>
      <c r="J537" s="149"/>
      <c r="K537" s="149"/>
      <c r="L537" s="149"/>
      <c r="M537" s="149"/>
      <c r="N537" s="149"/>
      <c r="O537" s="149"/>
      <c r="P537" s="149"/>
      <c r="Q537" s="149"/>
      <c r="R537" s="149"/>
      <c r="S537" s="149"/>
      <c r="T537" s="149"/>
      <c r="U537" s="149"/>
      <c r="V537" s="149"/>
      <c r="W537" s="149"/>
      <c r="X537" s="149"/>
      <c r="Y537" s="149"/>
      <c r="Z537" s="149"/>
      <c r="AA537" s="149"/>
      <c r="AB537" s="580">
        <f>HLOOKUP("*"&amp;'Output annual'!$AC$2&amp;'Output annual'!$AD$2&amp;"*Zone People Number Of Occupants [](Hourly)",'Eplus results'!$1:$1048576,ROW(),FALSE)</f>
        <v>0</v>
      </c>
      <c r="AC537" s="580">
        <f>HLOOKUP("*"&amp;'Output annual'!$AC$2&amp;'Output annual'!$AD$2&amp;"*FangerPMV(Hourly)",'Eplus results'!$1:$1048576,ROW(),FALSE)</f>
        <v>0</v>
      </c>
      <c r="AD537" s="580">
        <f t="shared" si="76"/>
        <v>5</v>
      </c>
      <c r="AE537" s="580">
        <f t="shared" si="77"/>
        <v>2.5</v>
      </c>
      <c r="AF537" s="580">
        <f t="shared" si="78"/>
        <v>2.5</v>
      </c>
      <c r="AG537" s="580">
        <f t="shared" si="79"/>
        <v>0</v>
      </c>
      <c r="AH537" s="580">
        <f t="shared" si="80"/>
        <v>0</v>
      </c>
      <c r="AI537" s="149"/>
      <c r="AJ537" s="149"/>
      <c r="AK537" s="149"/>
      <c r="AL537" s="149"/>
      <c r="AM537" s="149"/>
      <c r="AN537" s="149"/>
      <c r="AO537" s="149"/>
      <c r="AP537" s="149"/>
    </row>
    <row r="538" spans="2:42">
      <c r="B538" s="221">
        <v>94</v>
      </c>
      <c r="C538" s="54" t="s">
        <v>424</v>
      </c>
      <c r="D538" s="223">
        <v>21.251638582592602</v>
      </c>
      <c r="E538" s="344">
        <v>0</v>
      </c>
      <c r="F538" s="179">
        <v>32.22</v>
      </c>
      <c r="G538" s="179">
        <v>12.78</v>
      </c>
      <c r="H538" s="223">
        <v>21.457590689981402</v>
      </c>
      <c r="I538" s="297">
        <v>0</v>
      </c>
      <c r="J538" s="149"/>
      <c r="K538" s="149"/>
      <c r="L538" s="149"/>
      <c r="M538" s="149"/>
      <c r="N538" s="149"/>
      <c r="O538" s="149"/>
      <c r="P538" s="149"/>
      <c r="Q538" s="149"/>
      <c r="R538" s="149"/>
      <c r="S538" s="149"/>
      <c r="T538" s="149"/>
      <c r="U538" s="149"/>
      <c r="V538" s="149"/>
      <c r="W538" s="149"/>
      <c r="X538" s="149"/>
      <c r="Y538" s="149"/>
      <c r="Z538" s="149"/>
      <c r="AA538" s="149"/>
      <c r="AB538" s="580">
        <f>HLOOKUP("*"&amp;'Output annual'!$AC$2&amp;'Output annual'!$AD$2&amp;"*Zone People Number Of Occupants [](Hourly)",'Eplus results'!$1:$1048576,ROW(),FALSE)</f>
        <v>0</v>
      </c>
      <c r="AC538" s="580">
        <f>HLOOKUP("*"&amp;'Output annual'!$AC$2&amp;'Output annual'!$AD$2&amp;"*FangerPMV(Hourly)",'Eplus results'!$1:$1048576,ROW(),FALSE)</f>
        <v>0</v>
      </c>
      <c r="AD538" s="580">
        <f t="shared" si="76"/>
        <v>5</v>
      </c>
      <c r="AE538" s="580">
        <f t="shared" si="77"/>
        <v>2.5</v>
      </c>
      <c r="AF538" s="580">
        <f t="shared" si="78"/>
        <v>2.5</v>
      </c>
      <c r="AG538" s="580">
        <f t="shared" si="79"/>
        <v>0</v>
      </c>
      <c r="AH538" s="580">
        <f t="shared" si="80"/>
        <v>0</v>
      </c>
      <c r="AI538" s="149"/>
      <c r="AJ538" s="149"/>
      <c r="AK538" s="149"/>
      <c r="AL538" s="149"/>
      <c r="AM538" s="149"/>
      <c r="AN538" s="149"/>
      <c r="AO538" s="149"/>
      <c r="AP538" s="149"/>
    </row>
    <row r="539" spans="2:42">
      <c r="B539" s="221">
        <v>95</v>
      </c>
      <c r="C539" s="54" t="s">
        <v>425</v>
      </c>
      <c r="D539" s="223">
        <v>20.784396746747099</v>
      </c>
      <c r="E539" s="344">
        <v>0</v>
      </c>
      <c r="F539" s="179">
        <v>32.22</v>
      </c>
      <c r="G539" s="179">
        <v>12.78</v>
      </c>
      <c r="H539" s="223">
        <v>21.417184418589901</v>
      </c>
      <c r="I539" s="297">
        <v>0</v>
      </c>
      <c r="J539" s="149"/>
      <c r="K539" s="149"/>
      <c r="L539" s="149"/>
      <c r="M539" s="149"/>
      <c r="N539" s="149"/>
      <c r="O539" s="149"/>
      <c r="P539" s="149"/>
      <c r="Q539" s="149"/>
      <c r="R539" s="149"/>
      <c r="S539" s="149"/>
      <c r="T539" s="149"/>
      <c r="U539" s="149"/>
      <c r="V539" s="149"/>
      <c r="W539" s="149"/>
      <c r="X539" s="149"/>
      <c r="Y539" s="149"/>
      <c r="Z539" s="149"/>
      <c r="AA539" s="149"/>
      <c r="AB539" s="580">
        <f>HLOOKUP("*"&amp;'Output annual'!$AC$2&amp;'Output annual'!$AD$2&amp;"*Zone People Number Of Occupants [](Hourly)",'Eplus results'!$1:$1048576,ROW(),FALSE)</f>
        <v>0</v>
      </c>
      <c r="AC539" s="580">
        <f>HLOOKUP("*"&amp;'Output annual'!$AC$2&amp;'Output annual'!$AD$2&amp;"*FangerPMV(Hourly)",'Eplus results'!$1:$1048576,ROW(),FALSE)</f>
        <v>0</v>
      </c>
      <c r="AD539" s="580">
        <f t="shared" si="76"/>
        <v>5</v>
      </c>
      <c r="AE539" s="580">
        <f t="shared" si="77"/>
        <v>2.5</v>
      </c>
      <c r="AF539" s="580">
        <f t="shared" si="78"/>
        <v>2.5</v>
      </c>
      <c r="AG539" s="580">
        <f t="shared" si="79"/>
        <v>0</v>
      </c>
      <c r="AH539" s="580">
        <f t="shared" si="80"/>
        <v>0</v>
      </c>
      <c r="AI539" s="149"/>
      <c r="AJ539" s="149"/>
      <c r="AK539" s="149"/>
      <c r="AL539" s="149"/>
      <c r="AM539" s="149"/>
      <c r="AN539" s="149"/>
      <c r="AO539" s="149"/>
      <c r="AP539" s="149"/>
    </row>
    <row r="540" spans="2:42">
      <c r="B540" s="221">
        <v>96</v>
      </c>
      <c r="C540" s="54" t="s">
        <v>426</v>
      </c>
      <c r="D540" s="223">
        <v>20.3067394002002</v>
      </c>
      <c r="E540" s="344">
        <v>0</v>
      </c>
      <c r="F540" s="179">
        <v>32.22</v>
      </c>
      <c r="G540" s="179">
        <v>12.78</v>
      </c>
      <c r="H540" s="223">
        <v>21.346919342501401</v>
      </c>
      <c r="I540" s="297">
        <v>0</v>
      </c>
      <c r="J540" s="149"/>
      <c r="K540" s="149"/>
      <c r="L540" s="149"/>
      <c r="M540" s="149"/>
      <c r="N540" s="149"/>
      <c r="O540" s="149"/>
      <c r="P540" s="149"/>
      <c r="Q540" s="149"/>
      <c r="R540" s="149"/>
      <c r="S540" s="149"/>
      <c r="T540" s="149"/>
      <c r="U540" s="149"/>
      <c r="V540" s="149"/>
      <c r="W540" s="149"/>
      <c r="X540" s="149"/>
      <c r="Y540" s="149"/>
      <c r="Z540" s="149"/>
      <c r="AA540" s="149"/>
      <c r="AB540" s="580">
        <f>HLOOKUP("*"&amp;'Output annual'!$AC$2&amp;'Output annual'!$AD$2&amp;"*Zone People Number Of Occupants [](Hourly)",'Eplus results'!$1:$1048576,ROW(),FALSE)</f>
        <v>0</v>
      </c>
      <c r="AC540" s="580">
        <f>HLOOKUP("*"&amp;'Output annual'!$AC$2&amp;'Output annual'!$AD$2&amp;"*FangerPMV(Hourly)",'Eplus results'!$1:$1048576,ROW(),FALSE)</f>
        <v>0</v>
      </c>
      <c r="AD540" s="580">
        <f t="shared" si="76"/>
        <v>5</v>
      </c>
      <c r="AE540" s="580">
        <f t="shared" si="77"/>
        <v>2.5</v>
      </c>
      <c r="AF540" s="580">
        <f t="shared" si="78"/>
        <v>2.5</v>
      </c>
      <c r="AG540" s="580">
        <f t="shared" si="79"/>
        <v>0</v>
      </c>
      <c r="AH540" s="580">
        <f t="shared" si="80"/>
        <v>0</v>
      </c>
      <c r="AI540" s="149"/>
      <c r="AJ540" s="149"/>
      <c r="AK540" s="149"/>
      <c r="AL540" s="149"/>
      <c r="AM540" s="149"/>
      <c r="AN540" s="149"/>
      <c r="AO540" s="149"/>
      <c r="AP540" s="149"/>
    </row>
    <row r="541" spans="2:42">
      <c r="B541" s="221">
        <v>97</v>
      </c>
      <c r="C541" s="54" t="s">
        <v>427</v>
      </c>
      <c r="D541" s="223">
        <v>19.8222348437275</v>
      </c>
      <c r="E541" s="344">
        <v>0</v>
      </c>
      <c r="F541" s="179">
        <v>32.22</v>
      </c>
      <c r="G541" s="179">
        <v>12.78</v>
      </c>
      <c r="H541" s="223">
        <v>21.2614279444958</v>
      </c>
      <c r="I541" s="297">
        <v>0</v>
      </c>
      <c r="J541" s="149"/>
      <c r="K541" s="149"/>
      <c r="L541" s="149"/>
      <c r="M541" s="149"/>
      <c r="N541" s="149"/>
      <c r="O541" s="149"/>
      <c r="P541" s="149"/>
      <c r="Q541" s="149"/>
      <c r="R541" s="149"/>
      <c r="S541" s="149"/>
      <c r="T541" s="149"/>
      <c r="U541" s="149"/>
      <c r="V541" s="149"/>
      <c r="W541" s="149"/>
      <c r="X541" s="149"/>
      <c r="Y541" s="149"/>
      <c r="Z541" s="149"/>
      <c r="AA541" s="149"/>
      <c r="AB541" s="580">
        <f>HLOOKUP("*"&amp;'Output annual'!$AC$2&amp;'Output annual'!$AD$2&amp;"*Zone People Number Of Occupants [](Hourly)",'Eplus results'!$1:$1048576,ROW(),FALSE)</f>
        <v>0</v>
      </c>
      <c r="AC541" s="580">
        <f>HLOOKUP("*"&amp;'Output annual'!$AC$2&amp;'Output annual'!$AD$2&amp;"*FangerPMV(Hourly)",'Eplus results'!$1:$1048576,ROW(),FALSE)</f>
        <v>0</v>
      </c>
      <c r="AD541" s="580">
        <f t="shared" si="76"/>
        <v>5</v>
      </c>
      <c r="AE541" s="580">
        <f t="shared" si="77"/>
        <v>2.5</v>
      </c>
      <c r="AF541" s="580">
        <f t="shared" si="78"/>
        <v>2.5</v>
      </c>
      <c r="AG541" s="580">
        <f t="shared" si="79"/>
        <v>0</v>
      </c>
      <c r="AH541" s="580">
        <f t="shared" si="80"/>
        <v>0</v>
      </c>
      <c r="AI541" s="149"/>
      <c r="AJ541" s="149"/>
      <c r="AK541" s="149"/>
      <c r="AL541" s="149"/>
      <c r="AM541" s="149"/>
      <c r="AN541" s="149"/>
      <c r="AO541" s="149"/>
      <c r="AP541" s="149"/>
    </row>
    <row r="542" spans="2:42">
      <c r="B542" s="221">
        <v>98</v>
      </c>
      <c r="C542" s="54" t="s">
        <v>428</v>
      </c>
      <c r="D542" s="223">
        <v>19.324863875431099</v>
      </c>
      <c r="E542" s="344">
        <v>0</v>
      </c>
      <c r="F542" s="179">
        <v>32.22</v>
      </c>
      <c r="G542" s="179">
        <v>12.78</v>
      </c>
      <c r="H542" s="223">
        <v>21.1565041886826</v>
      </c>
      <c r="I542" s="297">
        <v>0</v>
      </c>
      <c r="J542" s="149"/>
      <c r="K542" s="149"/>
      <c r="L542" s="149"/>
      <c r="M542" s="149"/>
      <c r="N542" s="149"/>
      <c r="O542" s="149"/>
      <c r="P542" s="149"/>
      <c r="Q542" s="149"/>
      <c r="R542" s="149"/>
      <c r="S542" s="149"/>
      <c r="T542" s="149"/>
      <c r="U542" s="149"/>
      <c r="V542" s="149"/>
      <c r="W542" s="149"/>
      <c r="X542" s="149"/>
      <c r="Y542" s="149"/>
      <c r="Z542" s="149"/>
      <c r="AA542" s="149"/>
      <c r="AB542" s="580">
        <f>HLOOKUP("*"&amp;'Output annual'!$AC$2&amp;'Output annual'!$AD$2&amp;"*Zone People Number Of Occupants [](Hourly)",'Eplus results'!$1:$1048576,ROW(),FALSE)</f>
        <v>0</v>
      </c>
      <c r="AC542" s="580">
        <f>HLOOKUP("*"&amp;'Output annual'!$AC$2&amp;'Output annual'!$AD$2&amp;"*FangerPMV(Hourly)",'Eplus results'!$1:$1048576,ROW(),FALSE)</f>
        <v>0</v>
      </c>
      <c r="AD542" s="580">
        <f t="shared" si="76"/>
        <v>5</v>
      </c>
      <c r="AE542" s="580">
        <f t="shared" si="77"/>
        <v>2.5</v>
      </c>
      <c r="AF542" s="580">
        <f t="shared" si="78"/>
        <v>2.5</v>
      </c>
      <c r="AG542" s="580">
        <f t="shared" si="79"/>
        <v>0</v>
      </c>
      <c r="AH542" s="580">
        <f t="shared" si="80"/>
        <v>0</v>
      </c>
      <c r="AI542" s="149"/>
      <c r="AJ542" s="149"/>
      <c r="AK542" s="149"/>
      <c r="AL542" s="149"/>
      <c r="AM542" s="149"/>
      <c r="AN542" s="149"/>
      <c r="AO542" s="149"/>
      <c r="AP542" s="149"/>
    </row>
    <row r="543" spans="2:42">
      <c r="B543" s="221">
        <v>99</v>
      </c>
      <c r="C543" s="54" t="s">
        <v>429</v>
      </c>
      <c r="D543" s="223">
        <v>18.8105458786947</v>
      </c>
      <c r="E543" s="344">
        <v>0</v>
      </c>
      <c r="F543" s="179">
        <v>32.22</v>
      </c>
      <c r="G543" s="179">
        <v>12.78</v>
      </c>
      <c r="H543" s="223">
        <v>21.029549083593199</v>
      </c>
      <c r="I543" s="297">
        <v>0</v>
      </c>
      <c r="J543" s="149"/>
      <c r="K543" s="149"/>
      <c r="L543" s="149"/>
      <c r="M543" s="149"/>
      <c r="N543" s="149"/>
      <c r="O543" s="149"/>
      <c r="P543" s="149"/>
      <c r="Q543" s="149"/>
      <c r="R543" s="149"/>
      <c r="S543" s="149"/>
      <c r="T543" s="149"/>
      <c r="U543" s="149"/>
      <c r="V543" s="149"/>
      <c r="W543" s="149"/>
      <c r="X543" s="149"/>
      <c r="Y543" s="149"/>
      <c r="Z543" s="149"/>
      <c r="AA543" s="149"/>
      <c r="AB543" s="580">
        <f>HLOOKUP("*"&amp;'Output annual'!$AC$2&amp;'Output annual'!$AD$2&amp;"*Zone People Number Of Occupants [](Hourly)",'Eplus results'!$1:$1048576,ROW(),FALSE)</f>
        <v>0</v>
      </c>
      <c r="AC543" s="580">
        <f>HLOOKUP("*"&amp;'Output annual'!$AC$2&amp;'Output annual'!$AD$2&amp;"*FangerPMV(Hourly)",'Eplus results'!$1:$1048576,ROW(),FALSE)</f>
        <v>0</v>
      </c>
      <c r="AD543" s="580">
        <f t="shared" si="76"/>
        <v>5</v>
      </c>
      <c r="AE543" s="580">
        <f t="shared" si="77"/>
        <v>2.5</v>
      </c>
      <c r="AF543" s="580">
        <f t="shared" si="78"/>
        <v>2.5</v>
      </c>
      <c r="AG543" s="580">
        <f t="shared" si="79"/>
        <v>0</v>
      </c>
      <c r="AH543" s="580">
        <f t="shared" si="80"/>
        <v>0</v>
      </c>
      <c r="AI543" s="149"/>
      <c r="AJ543" s="149"/>
      <c r="AK543" s="149"/>
      <c r="AL543" s="149"/>
      <c r="AM543" s="149"/>
      <c r="AN543" s="149"/>
      <c r="AO543" s="149"/>
      <c r="AP543" s="149"/>
    </row>
    <row r="544" spans="2:42">
      <c r="B544" s="221">
        <v>100</v>
      </c>
      <c r="C544" s="54" t="s">
        <v>430</v>
      </c>
      <c r="D544" s="223">
        <v>18.293355543117901</v>
      </c>
      <c r="E544" s="344">
        <v>0</v>
      </c>
      <c r="F544" s="179">
        <v>32.22</v>
      </c>
      <c r="G544" s="179">
        <v>12.78</v>
      </c>
      <c r="H544" s="223">
        <v>20.883596049447799</v>
      </c>
      <c r="I544" s="297">
        <v>0</v>
      </c>
      <c r="J544" s="149"/>
      <c r="K544" s="149"/>
      <c r="L544" s="149"/>
      <c r="M544" s="149"/>
      <c r="N544" s="149"/>
      <c r="O544" s="149"/>
      <c r="P544" s="149"/>
      <c r="Q544" s="149"/>
      <c r="R544" s="149"/>
      <c r="S544" s="149"/>
      <c r="T544" s="149"/>
      <c r="U544" s="149"/>
      <c r="V544" s="149"/>
      <c r="W544" s="149"/>
      <c r="X544" s="149"/>
      <c r="Y544" s="149"/>
      <c r="Z544" s="149"/>
      <c r="AA544" s="149"/>
      <c r="AB544" s="580">
        <f>HLOOKUP("*"&amp;'Output annual'!$AC$2&amp;'Output annual'!$AD$2&amp;"*Zone People Number Of Occupants [](Hourly)",'Eplus results'!$1:$1048576,ROW(),FALSE)</f>
        <v>0</v>
      </c>
      <c r="AC544" s="580">
        <f>HLOOKUP("*"&amp;'Output annual'!$AC$2&amp;'Output annual'!$AD$2&amp;"*FangerPMV(Hourly)",'Eplus results'!$1:$1048576,ROW(),FALSE)</f>
        <v>0</v>
      </c>
      <c r="AD544" s="580">
        <f t="shared" si="76"/>
        <v>5</v>
      </c>
      <c r="AE544" s="580">
        <f t="shared" si="77"/>
        <v>2.5</v>
      </c>
      <c r="AF544" s="580">
        <f t="shared" si="78"/>
        <v>2.5</v>
      </c>
      <c r="AG544" s="580">
        <f t="shared" si="79"/>
        <v>0</v>
      </c>
      <c r="AH544" s="580">
        <f t="shared" si="80"/>
        <v>0</v>
      </c>
      <c r="AI544" s="149"/>
      <c r="AJ544" s="149"/>
      <c r="AK544" s="149"/>
      <c r="AL544" s="149"/>
      <c r="AM544" s="149"/>
      <c r="AN544" s="149"/>
      <c r="AO544" s="149"/>
      <c r="AP544" s="149"/>
    </row>
    <row r="545" spans="2:42">
      <c r="B545" s="221">
        <v>101</v>
      </c>
      <c r="C545" s="54" t="s">
        <v>431</v>
      </c>
      <c r="D545" s="223">
        <v>17.793259281125</v>
      </c>
      <c r="E545" s="344">
        <v>0</v>
      </c>
      <c r="F545" s="179">
        <v>32.22</v>
      </c>
      <c r="G545" s="179">
        <v>12.78</v>
      </c>
      <c r="H545" s="223">
        <v>20.719610771735798</v>
      </c>
      <c r="I545" s="297">
        <v>0</v>
      </c>
      <c r="J545" s="149"/>
      <c r="K545" s="149"/>
      <c r="L545" s="149"/>
      <c r="M545" s="149"/>
      <c r="N545" s="149"/>
      <c r="O545" s="149"/>
      <c r="P545" s="149"/>
      <c r="Q545" s="149"/>
      <c r="R545" s="149"/>
      <c r="S545" s="149"/>
      <c r="T545" s="149"/>
      <c r="U545" s="149"/>
      <c r="V545" s="149"/>
      <c r="W545" s="149"/>
      <c r="X545" s="149"/>
      <c r="Y545" s="149"/>
      <c r="Z545" s="149"/>
      <c r="AA545" s="149"/>
      <c r="AB545" s="580">
        <f>HLOOKUP("*"&amp;'Output annual'!$AC$2&amp;'Output annual'!$AD$2&amp;"*Zone People Number Of Occupants [](Hourly)",'Eplus results'!$1:$1048576,ROW(),FALSE)</f>
        <v>0</v>
      </c>
      <c r="AC545" s="580">
        <f>HLOOKUP("*"&amp;'Output annual'!$AC$2&amp;'Output annual'!$AD$2&amp;"*FangerPMV(Hourly)",'Eplus results'!$1:$1048576,ROW(),FALSE)</f>
        <v>0</v>
      </c>
      <c r="AD545" s="580">
        <f t="shared" si="76"/>
        <v>5</v>
      </c>
      <c r="AE545" s="580">
        <f t="shared" si="77"/>
        <v>2.5</v>
      </c>
      <c r="AF545" s="580">
        <f t="shared" si="78"/>
        <v>2.5</v>
      </c>
      <c r="AG545" s="580">
        <f t="shared" si="79"/>
        <v>0</v>
      </c>
      <c r="AH545" s="580">
        <f t="shared" si="80"/>
        <v>0</v>
      </c>
      <c r="AI545" s="149"/>
      <c r="AJ545" s="149"/>
      <c r="AK545" s="149"/>
      <c r="AL545" s="149"/>
      <c r="AM545" s="149"/>
      <c r="AN545" s="149"/>
      <c r="AO545" s="149"/>
      <c r="AP545" s="149"/>
    </row>
    <row r="546" spans="2:42">
      <c r="B546" s="221">
        <v>102</v>
      </c>
      <c r="C546" s="54" t="s">
        <v>432</v>
      </c>
      <c r="D546" s="223">
        <v>17.331094448699101</v>
      </c>
      <c r="E546" s="344">
        <v>0</v>
      </c>
      <c r="F546" s="179">
        <v>32.22</v>
      </c>
      <c r="G546" s="179">
        <v>12.78</v>
      </c>
      <c r="H546" s="223">
        <v>20.5387893685735</v>
      </c>
      <c r="I546" s="297">
        <v>0</v>
      </c>
      <c r="J546" s="149"/>
      <c r="K546" s="149"/>
      <c r="L546" s="149"/>
      <c r="M546" s="149"/>
      <c r="N546" s="149"/>
      <c r="O546" s="149"/>
      <c r="P546" s="149"/>
      <c r="Q546" s="149"/>
      <c r="R546" s="149"/>
      <c r="S546" s="149"/>
      <c r="T546" s="149"/>
      <c r="U546" s="149"/>
      <c r="V546" s="149"/>
      <c r="W546" s="149"/>
      <c r="X546" s="149"/>
      <c r="Y546" s="149"/>
      <c r="Z546" s="149"/>
      <c r="AA546" s="149"/>
      <c r="AB546" s="580">
        <f>HLOOKUP("*"&amp;'Output annual'!$AC$2&amp;'Output annual'!$AD$2&amp;"*Zone People Number Of Occupants [](Hourly)",'Eplus results'!$1:$1048576,ROW(),FALSE)</f>
        <v>0</v>
      </c>
      <c r="AC546" s="580">
        <f>HLOOKUP("*"&amp;'Output annual'!$AC$2&amp;'Output annual'!$AD$2&amp;"*FangerPMV(Hourly)",'Eplus results'!$1:$1048576,ROW(),FALSE)</f>
        <v>0</v>
      </c>
      <c r="AD546" s="580">
        <f t="shared" si="76"/>
        <v>5</v>
      </c>
      <c r="AE546" s="580">
        <f t="shared" si="77"/>
        <v>2.5</v>
      </c>
      <c r="AF546" s="580">
        <f t="shared" si="78"/>
        <v>2.5</v>
      </c>
      <c r="AG546" s="580">
        <f t="shared" si="79"/>
        <v>0</v>
      </c>
      <c r="AH546" s="580">
        <f t="shared" si="80"/>
        <v>0</v>
      </c>
      <c r="AI546" s="149"/>
      <c r="AJ546" s="149"/>
      <c r="AK546" s="149"/>
      <c r="AL546" s="149"/>
      <c r="AM546" s="149"/>
      <c r="AN546" s="149"/>
      <c r="AO546" s="149"/>
      <c r="AP546" s="149"/>
    </row>
    <row r="547" spans="2:42">
      <c r="B547" s="221">
        <v>103</v>
      </c>
      <c r="C547" s="54" t="s">
        <v>433</v>
      </c>
      <c r="D547" s="223">
        <v>17.239524987413599</v>
      </c>
      <c r="E547" s="344">
        <v>0.33183981472282698</v>
      </c>
      <c r="F547" s="179">
        <v>23.89</v>
      </c>
      <c r="G547" s="179">
        <v>21.11</v>
      </c>
      <c r="H547" s="223">
        <v>19.411790659061801</v>
      </c>
      <c r="I547" s="297">
        <v>0</v>
      </c>
      <c r="J547" s="149"/>
      <c r="K547" s="149"/>
      <c r="L547" s="149"/>
      <c r="M547" s="149"/>
      <c r="N547" s="149"/>
      <c r="O547" s="149"/>
      <c r="P547" s="149"/>
      <c r="Q547" s="149"/>
      <c r="R547" s="149"/>
      <c r="S547" s="149"/>
      <c r="T547" s="149"/>
      <c r="U547" s="149"/>
      <c r="V547" s="149"/>
      <c r="W547" s="149"/>
      <c r="X547" s="149"/>
      <c r="Y547" s="149"/>
      <c r="Z547" s="149"/>
      <c r="AA547" s="149"/>
      <c r="AB547" s="580">
        <f>HLOOKUP("*"&amp;'Output annual'!$AC$2&amp;'Output annual'!$AD$2&amp;"*Zone People Number Of Occupants [](Hourly)",'Eplus results'!$1:$1048576,ROW(),FALSE)</f>
        <v>0</v>
      </c>
      <c r="AC547" s="580">
        <f>HLOOKUP("*"&amp;'Output annual'!$AC$2&amp;'Output annual'!$AD$2&amp;"*FangerPMV(Hourly)",'Eplus results'!$1:$1048576,ROW(),FALSE)</f>
        <v>0</v>
      </c>
      <c r="AD547" s="580">
        <f t="shared" si="76"/>
        <v>5</v>
      </c>
      <c r="AE547" s="580">
        <f t="shared" si="77"/>
        <v>2.5</v>
      </c>
      <c r="AF547" s="580">
        <f t="shared" si="78"/>
        <v>2.5</v>
      </c>
      <c r="AG547" s="580">
        <f t="shared" si="79"/>
        <v>0</v>
      </c>
      <c r="AH547" s="580">
        <f t="shared" si="80"/>
        <v>0</v>
      </c>
      <c r="AI547" s="149"/>
      <c r="AJ547" s="149"/>
      <c r="AK547" s="149"/>
      <c r="AL547" s="149"/>
      <c r="AM547" s="149"/>
      <c r="AN547" s="149"/>
      <c r="AO547" s="149"/>
      <c r="AP547" s="149"/>
    </row>
    <row r="548" spans="2:42">
      <c r="B548" s="221">
        <v>104</v>
      </c>
      <c r="C548" s="54" t="s">
        <v>434</v>
      </c>
      <c r="D548" s="223">
        <v>17.713707633378402</v>
      </c>
      <c r="E548" s="344">
        <v>0.33183981472282698</v>
      </c>
      <c r="F548" s="179">
        <v>23.89</v>
      </c>
      <c r="G548" s="179">
        <v>21.11</v>
      </c>
      <c r="H548" s="223">
        <v>18.9854568215633</v>
      </c>
      <c r="I548" s="297">
        <v>0</v>
      </c>
      <c r="J548" s="149"/>
      <c r="K548" s="149"/>
      <c r="L548" s="149"/>
      <c r="M548" s="149"/>
      <c r="N548" s="149"/>
      <c r="O548" s="149"/>
      <c r="P548" s="149"/>
      <c r="Q548" s="149"/>
      <c r="R548" s="149"/>
      <c r="S548" s="149"/>
      <c r="T548" s="149"/>
      <c r="U548" s="149"/>
      <c r="V548" s="149"/>
      <c r="W548" s="149"/>
      <c r="X548" s="149"/>
      <c r="Y548" s="149"/>
      <c r="Z548" s="149"/>
      <c r="AA548" s="149"/>
      <c r="AB548" s="580">
        <f>HLOOKUP("*"&amp;'Output annual'!$AC$2&amp;'Output annual'!$AD$2&amp;"*Zone People Number Of Occupants [](Hourly)",'Eplus results'!$1:$1048576,ROW(),FALSE)</f>
        <v>0</v>
      </c>
      <c r="AC548" s="580">
        <f>HLOOKUP("*"&amp;'Output annual'!$AC$2&amp;'Output annual'!$AD$2&amp;"*FangerPMV(Hourly)",'Eplus results'!$1:$1048576,ROW(),FALSE)</f>
        <v>0</v>
      </c>
      <c r="AD548" s="580">
        <f t="shared" si="76"/>
        <v>5</v>
      </c>
      <c r="AE548" s="580">
        <f t="shared" si="77"/>
        <v>2.5</v>
      </c>
      <c r="AF548" s="580">
        <f t="shared" si="78"/>
        <v>2.5</v>
      </c>
      <c r="AG548" s="580">
        <f t="shared" si="79"/>
        <v>0</v>
      </c>
      <c r="AH548" s="580">
        <f t="shared" si="80"/>
        <v>0</v>
      </c>
      <c r="AI548" s="149"/>
      <c r="AJ548" s="149"/>
      <c r="AK548" s="149"/>
      <c r="AL548" s="149"/>
      <c r="AM548" s="149"/>
      <c r="AN548" s="149"/>
      <c r="AO548" s="149"/>
      <c r="AP548" s="149"/>
    </row>
    <row r="549" spans="2:42">
      <c r="B549" s="221">
        <v>105</v>
      </c>
      <c r="C549" s="54" t="s">
        <v>435</v>
      </c>
      <c r="D549" s="223">
        <v>18.401129022050402</v>
      </c>
      <c r="E549" s="344">
        <v>0.33183981472282698</v>
      </c>
      <c r="F549" s="179">
        <v>23.89</v>
      </c>
      <c r="G549" s="179">
        <v>21.11</v>
      </c>
      <c r="H549" s="223">
        <v>18.849117050749499</v>
      </c>
      <c r="I549" s="297">
        <v>0</v>
      </c>
      <c r="J549" s="149"/>
      <c r="K549" s="149"/>
      <c r="L549" s="149"/>
      <c r="M549" s="149"/>
      <c r="N549" s="149"/>
      <c r="O549" s="149"/>
      <c r="P549" s="149"/>
      <c r="Q549" s="149"/>
      <c r="R549" s="149"/>
      <c r="S549" s="149"/>
      <c r="T549" s="149"/>
      <c r="U549" s="149"/>
      <c r="V549" s="149"/>
      <c r="W549" s="149"/>
      <c r="X549" s="149"/>
      <c r="Y549" s="149"/>
      <c r="Z549" s="149"/>
      <c r="AA549" s="149"/>
      <c r="AB549" s="580">
        <f>HLOOKUP("*"&amp;'Output annual'!$AC$2&amp;'Output annual'!$AD$2&amp;"*Zone People Number Of Occupants [](Hourly)",'Eplus results'!$1:$1048576,ROW(),FALSE)</f>
        <v>0</v>
      </c>
      <c r="AC549" s="580">
        <f>HLOOKUP("*"&amp;'Output annual'!$AC$2&amp;'Output annual'!$AD$2&amp;"*FangerPMV(Hourly)",'Eplus results'!$1:$1048576,ROW(),FALSE)</f>
        <v>0</v>
      </c>
      <c r="AD549" s="580">
        <f t="shared" si="76"/>
        <v>5</v>
      </c>
      <c r="AE549" s="580">
        <f t="shared" si="77"/>
        <v>2.5</v>
      </c>
      <c r="AF549" s="580">
        <f t="shared" si="78"/>
        <v>2.5</v>
      </c>
      <c r="AG549" s="580">
        <f t="shared" si="79"/>
        <v>0</v>
      </c>
      <c r="AH549" s="580">
        <f t="shared" si="80"/>
        <v>0</v>
      </c>
      <c r="AI549" s="149"/>
      <c r="AJ549" s="149"/>
      <c r="AK549" s="149"/>
      <c r="AL549" s="149"/>
      <c r="AM549" s="149"/>
      <c r="AN549" s="149"/>
      <c r="AO549" s="149"/>
      <c r="AP549" s="149"/>
    </row>
    <row r="550" spans="2:42">
      <c r="B550" s="221">
        <v>106</v>
      </c>
      <c r="C550" s="54" t="s">
        <v>436</v>
      </c>
      <c r="D550" s="223">
        <v>18.546041383554801</v>
      </c>
      <c r="E550" s="344">
        <v>0.33183981472282698</v>
      </c>
      <c r="F550" s="179">
        <v>23.89</v>
      </c>
      <c r="G550" s="179">
        <v>21.11</v>
      </c>
      <c r="H550" s="223">
        <v>18.789839308353798</v>
      </c>
      <c r="I550" s="297">
        <v>4.0279691511684743E-2</v>
      </c>
      <c r="J550" s="149"/>
      <c r="K550" s="149"/>
      <c r="L550" s="149"/>
      <c r="M550" s="149"/>
      <c r="N550" s="149"/>
      <c r="O550" s="149"/>
      <c r="P550" s="149"/>
      <c r="Q550" s="149"/>
      <c r="R550" s="149"/>
      <c r="S550" s="149"/>
      <c r="T550" s="149"/>
      <c r="U550" s="149"/>
      <c r="V550" s="149"/>
      <c r="W550" s="149"/>
      <c r="X550" s="149"/>
      <c r="Y550" s="149"/>
      <c r="Z550" s="149"/>
      <c r="AA550" s="149"/>
      <c r="AB550" s="580">
        <f>HLOOKUP("*"&amp;'Output annual'!$AC$2&amp;'Output annual'!$AD$2&amp;"*Zone People Number Of Occupants [](Hourly)",'Eplus results'!$1:$1048576,ROW(),FALSE)</f>
        <v>0</v>
      </c>
      <c r="AC550" s="580">
        <f>HLOOKUP("*"&amp;'Output annual'!$AC$2&amp;'Output annual'!$AD$2&amp;"*FangerPMV(Hourly)",'Eplus results'!$1:$1048576,ROW(),FALSE)</f>
        <v>0</v>
      </c>
      <c r="AD550" s="580">
        <f t="shared" si="76"/>
        <v>5</v>
      </c>
      <c r="AE550" s="580">
        <f t="shared" si="77"/>
        <v>2.5</v>
      </c>
      <c r="AF550" s="580">
        <f t="shared" si="78"/>
        <v>2.5</v>
      </c>
      <c r="AG550" s="580">
        <f t="shared" si="79"/>
        <v>0</v>
      </c>
      <c r="AH550" s="580">
        <f t="shared" si="80"/>
        <v>0</v>
      </c>
      <c r="AI550" s="149"/>
      <c r="AJ550" s="149"/>
      <c r="AK550" s="149"/>
      <c r="AL550" s="149"/>
      <c r="AM550" s="149"/>
      <c r="AN550" s="149"/>
      <c r="AO550" s="149"/>
      <c r="AP550" s="149"/>
    </row>
    <row r="551" spans="2:42">
      <c r="B551" s="221">
        <v>107</v>
      </c>
      <c r="C551" s="54" t="s">
        <v>437</v>
      </c>
      <c r="D551" s="223">
        <v>18.584442743933099</v>
      </c>
      <c r="E551" s="344">
        <v>0.33183981472282698</v>
      </c>
      <c r="F551" s="179">
        <v>23.89</v>
      </c>
      <c r="G551" s="179">
        <v>21.11</v>
      </c>
      <c r="H551" s="223">
        <v>18.8513954469909</v>
      </c>
      <c r="I551" s="297">
        <v>9.5071961118743789E-2</v>
      </c>
      <c r="J551" s="149"/>
      <c r="K551" s="149"/>
      <c r="L551" s="149"/>
      <c r="M551" s="149"/>
      <c r="N551" s="149"/>
      <c r="O551" s="149"/>
      <c r="P551" s="149"/>
      <c r="Q551" s="149"/>
      <c r="R551" s="149"/>
      <c r="S551" s="149"/>
      <c r="T551" s="149"/>
      <c r="U551" s="149"/>
      <c r="V551" s="149"/>
      <c r="W551" s="149"/>
      <c r="X551" s="149"/>
      <c r="Y551" s="149"/>
      <c r="Z551" s="149"/>
      <c r="AA551" s="149"/>
      <c r="AB551" s="580">
        <f>HLOOKUP("*"&amp;'Output annual'!$AC$2&amp;'Output annual'!$AD$2&amp;"*Zone People Number Of Occupants [](Hourly)",'Eplus results'!$1:$1048576,ROW(),FALSE)</f>
        <v>0</v>
      </c>
      <c r="AC551" s="580">
        <f>HLOOKUP("*"&amp;'Output annual'!$AC$2&amp;'Output annual'!$AD$2&amp;"*FangerPMV(Hourly)",'Eplus results'!$1:$1048576,ROW(),FALSE)</f>
        <v>0</v>
      </c>
      <c r="AD551" s="580">
        <f t="shared" si="76"/>
        <v>5</v>
      </c>
      <c r="AE551" s="580">
        <f t="shared" si="77"/>
        <v>2.5</v>
      </c>
      <c r="AF551" s="580">
        <f t="shared" si="78"/>
        <v>2.5</v>
      </c>
      <c r="AG551" s="580">
        <f t="shared" si="79"/>
        <v>0</v>
      </c>
      <c r="AH551" s="580">
        <f t="shared" si="80"/>
        <v>0</v>
      </c>
      <c r="AI551" s="149"/>
      <c r="AJ551" s="149"/>
      <c r="AK551" s="149"/>
      <c r="AL551" s="149"/>
      <c r="AM551" s="149"/>
      <c r="AN551" s="149"/>
      <c r="AO551" s="149"/>
      <c r="AP551" s="149"/>
    </row>
    <row r="552" spans="2:42">
      <c r="B552" s="221">
        <v>108</v>
      </c>
      <c r="C552" s="54" t="s">
        <v>438</v>
      </c>
      <c r="D552" s="223">
        <v>19.3050333613707</v>
      </c>
      <c r="E552" s="344">
        <v>0.33183981472282698</v>
      </c>
      <c r="F552" s="179">
        <v>23.89</v>
      </c>
      <c r="G552" s="179">
        <v>21.11</v>
      </c>
      <c r="H552" s="223">
        <v>18.563750277792401</v>
      </c>
      <c r="I552" s="297">
        <v>0.14298187110260413</v>
      </c>
      <c r="J552" s="149"/>
      <c r="K552" s="149"/>
      <c r="L552" s="149"/>
      <c r="M552" s="149"/>
      <c r="N552" s="149"/>
      <c r="O552" s="149"/>
      <c r="P552" s="149"/>
      <c r="Q552" s="149"/>
      <c r="R552" s="149"/>
      <c r="S552" s="149"/>
      <c r="T552" s="149"/>
      <c r="U552" s="149"/>
      <c r="V552" s="149"/>
      <c r="W552" s="149"/>
      <c r="X552" s="149"/>
      <c r="Y552" s="149"/>
      <c r="Z552" s="149"/>
      <c r="AA552" s="149"/>
      <c r="AB552" s="580">
        <f>HLOOKUP("*"&amp;'Output annual'!$AC$2&amp;'Output annual'!$AD$2&amp;"*Zone People Number Of Occupants [](Hourly)",'Eplus results'!$1:$1048576,ROW(),FALSE)</f>
        <v>0</v>
      </c>
      <c r="AC552" s="580">
        <f>HLOOKUP("*"&amp;'Output annual'!$AC$2&amp;'Output annual'!$AD$2&amp;"*FangerPMV(Hourly)",'Eplus results'!$1:$1048576,ROW(),FALSE)</f>
        <v>0</v>
      </c>
      <c r="AD552" s="580">
        <f t="shared" si="76"/>
        <v>5</v>
      </c>
      <c r="AE552" s="580">
        <f t="shared" si="77"/>
        <v>2.5</v>
      </c>
      <c r="AF552" s="580">
        <f t="shared" si="78"/>
        <v>2.5</v>
      </c>
      <c r="AG552" s="580">
        <f t="shared" si="79"/>
        <v>0</v>
      </c>
      <c r="AH552" s="580">
        <f t="shared" si="80"/>
        <v>0</v>
      </c>
      <c r="AI552" s="149"/>
      <c r="AJ552" s="149"/>
      <c r="AK552" s="149"/>
      <c r="AL552" s="149"/>
      <c r="AM552" s="149"/>
      <c r="AN552" s="149"/>
      <c r="AO552" s="149"/>
      <c r="AP552" s="149"/>
    </row>
    <row r="553" spans="2:42">
      <c r="B553" s="221">
        <v>109</v>
      </c>
      <c r="C553" s="54" t="s">
        <v>439</v>
      </c>
      <c r="D553" s="223">
        <v>19.9519519158573</v>
      </c>
      <c r="E553" s="344">
        <v>0.33183981472282698</v>
      </c>
      <c r="F553" s="179">
        <v>23.89</v>
      </c>
      <c r="G553" s="179">
        <v>21.11</v>
      </c>
      <c r="H553" s="223">
        <v>18.3985468976798</v>
      </c>
      <c r="I553" s="297">
        <v>0.20463080662774974</v>
      </c>
      <c r="J553" s="149"/>
      <c r="K553" s="149"/>
      <c r="L553" s="149"/>
      <c r="M553" s="149"/>
      <c r="N553" s="149"/>
      <c r="O553" s="149"/>
      <c r="P553" s="149"/>
      <c r="Q553" s="149"/>
      <c r="R553" s="149"/>
      <c r="S553" s="149"/>
      <c r="T553" s="149"/>
      <c r="U553" s="149"/>
      <c r="V553" s="149"/>
      <c r="W553" s="149"/>
      <c r="X553" s="149"/>
      <c r="Y553" s="149"/>
      <c r="Z553" s="149"/>
      <c r="AA553" s="149"/>
      <c r="AB553" s="580">
        <f>HLOOKUP("*"&amp;'Output annual'!$AC$2&amp;'Output annual'!$AD$2&amp;"*Zone People Number Of Occupants [](Hourly)",'Eplus results'!$1:$1048576,ROW(),FALSE)</f>
        <v>0</v>
      </c>
      <c r="AC553" s="580">
        <f>HLOOKUP("*"&amp;'Output annual'!$AC$2&amp;'Output annual'!$AD$2&amp;"*FangerPMV(Hourly)",'Eplus results'!$1:$1048576,ROW(),FALSE)</f>
        <v>0</v>
      </c>
      <c r="AD553" s="580">
        <f t="shared" si="76"/>
        <v>5</v>
      </c>
      <c r="AE553" s="580">
        <f t="shared" si="77"/>
        <v>2.5</v>
      </c>
      <c r="AF553" s="580">
        <f t="shared" si="78"/>
        <v>2.5</v>
      </c>
      <c r="AG553" s="580">
        <f t="shared" si="79"/>
        <v>0</v>
      </c>
      <c r="AH553" s="580">
        <f t="shared" si="80"/>
        <v>0</v>
      </c>
      <c r="AI553" s="149"/>
      <c r="AJ553" s="149"/>
      <c r="AK553" s="149"/>
      <c r="AL553" s="149"/>
      <c r="AM553" s="149"/>
      <c r="AN553" s="149"/>
      <c r="AO553" s="149"/>
      <c r="AP553" s="149"/>
    </row>
    <row r="554" spans="2:42">
      <c r="B554" s="221">
        <v>110</v>
      </c>
      <c r="C554" s="54" t="s">
        <v>440</v>
      </c>
      <c r="D554" s="223">
        <v>22.129543972640601</v>
      </c>
      <c r="E554" s="344">
        <v>0</v>
      </c>
      <c r="F554" s="179">
        <v>32.22</v>
      </c>
      <c r="G554" s="179">
        <v>12.78</v>
      </c>
      <c r="H554" s="223">
        <v>19.400614053689001</v>
      </c>
      <c r="I554" s="297">
        <v>0</v>
      </c>
      <c r="J554" s="149"/>
      <c r="K554" s="149"/>
      <c r="L554" s="149"/>
      <c r="M554" s="149"/>
      <c r="N554" s="149"/>
      <c r="O554" s="149"/>
      <c r="P554" s="149"/>
      <c r="Q554" s="149"/>
      <c r="R554" s="149"/>
      <c r="S554" s="149"/>
      <c r="T554" s="149"/>
      <c r="U554" s="149"/>
      <c r="V554" s="149"/>
      <c r="W554" s="149"/>
      <c r="X554" s="149"/>
      <c r="Y554" s="149"/>
      <c r="Z554" s="149"/>
      <c r="AA554" s="149"/>
      <c r="AB554" s="580">
        <f>HLOOKUP("*"&amp;'Output annual'!$AC$2&amp;'Output annual'!$AD$2&amp;"*Zone People Number Of Occupants [](Hourly)",'Eplus results'!$1:$1048576,ROW(),FALSE)</f>
        <v>0</v>
      </c>
      <c r="AC554" s="580">
        <f>HLOOKUP("*"&amp;'Output annual'!$AC$2&amp;'Output annual'!$AD$2&amp;"*FangerPMV(Hourly)",'Eplus results'!$1:$1048576,ROW(),FALSE)</f>
        <v>0</v>
      </c>
      <c r="AD554" s="580">
        <f t="shared" si="76"/>
        <v>5</v>
      </c>
      <c r="AE554" s="580">
        <f t="shared" si="77"/>
        <v>2.5</v>
      </c>
      <c r="AF554" s="580">
        <f t="shared" si="78"/>
        <v>2.5</v>
      </c>
      <c r="AG554" s="580">
        <f t="shared" si="79"/>
        <v>0</v>
      </c>
      <c r="AH554" s="580">
        <f t="shared" si="80"/>
        <v>0</v>
      </c>
      <c r="AI554" s="149"/>
      <c r="AJ554" s="149"/>
      <c r="AK554" s="149"/>
      <c r="AL554" s="149"/>
      <c r="AM554" s="149"/>
      <c r="AN554" s="149"/>
      <c r="AO554" s="149"/>
      <c r="AP554" s="149"/>
    </row>
    <row r="555" spans="2:42">
      <c r="B555" s="221">
        <v>111</v>
      </c>
      <c r="C555" s="54" t="s">
        <v>441</v>
      </c>
      <c r="D555" s="223">
        <v>22.805657886197899</v>
      </c>
      <c r="E555" s="344">
        <v>0</v>
      </c>
      <c r="F555" s="179">
        <v>32.22</v>
      </c>
      <c r="G555" s="179">
        <v>12.78</v>
      </c>
      <c r="H555" s="223">
        <v>20.060871467026001</v>
      </c>
      <c r="I555" s="297">
        <v>0</v>
      </c>
      <c r="J555" s="149"/>
      <c r="K555" s="149"/>
      <c r="L555" s="149"/>
      <c r="M555" s="149"/>
      <c r="N555" s="149"/>
      <c r="O555" s="149"/>
      <c r="P555" s="149"/>
      <c r="Q555" s="149"/>
      <c r="R555" s="149"/>
      <c r="S555" s="149"/>
      <c r="T555" s="149"/>
      <c r="U555" s="149"/>
      <c r="V555" s="149"/>
      <c r="W555" s="149"/>
      <c r="X555" s="149"/>
      <c r="Y555" s="149"/>
      <c r="Z555" s="149"/>
      <c r="AA555" s="149"/>
      <c r="AB555" s="580">
        <f>HLOOKUP("*"&amp;'Output annual'!$AC$2&amp;'Output annual'!$AD$2&amp;"*Zone People Number Of Occupants [](Hourly)",'Eplus results'!$1:$1048576,ROW(),FALSE)</f>
        <v>0</v>
      </c>
      <c r="AC555" s="580">
        <f>HLOOKUP("*"&amp;'Output annual'!$AC$2&amp;'Output annual'!$AD$2&amp;"*FangerPMV(Hourly)",'Eplus results'!$1:$1048576,ROW(),FALSE)</f>
        <v>0</v>
      </c>
      <c r="AD555" s="580">
        <f t="shared" si="76"/>
        <v>5</v>
      </c>
      <c r="AE555" s="580">
        <f t="shared" si="77"/>
        <v>2.5</v>
      </c>
      <c r="AF555" s="580">
        <f t="shared" si="78"/>
        <v>2.5</v>
      </c>
      <c r="AG555" s="580">
        <f t="shared" si="79"/>
        <v>0</v>
      </c>
      <c r="AH555" s="580">
        <f t="shared" si="80"/>
        <v>0</v>
      </c>
      <c r="AI555" s="149"/>
      <c r="AJ555" s="149"/>
      <c r="AK555" s="149"/>
      <c r="AL555" s="149"/>
      <c r="AM555" s="149"/>
      <c r="AN555" s="149"/>
      <c r="AO555" s="149"/>
      <c r="AP555" s="149"/>
    </row>
    <row r="556" spans="2:42">
      <c r="B556" s="221">
        <v>112</v>
      </c>
      <c r="C556" s="54" t="s">
        <v>264</v>
      </c>
      <c r="D556" s="223">
        <v>23.303165878262401</v>
      </c>
      <c r="E556" s="344">
        <v>0</v>
      </c>
      <c r="F556" s="179">
        <v>32.22</v>
      </c>
      <c r="G556" s="179">
        <v>12.78</v>
      </c>
      <c r="H556" s="223">
        <v>20.339852003938802</v>
      </c>
      <c r="I556" s="297">
        <v>0</v>
      </c>
      <c r="J556" s="149"/>
      <c r="K556" s="149"/>
      <c r="L556" s="149"/>
      <c r="M556" s="149"/>
      <c r="N556" s="149"/>
      <c r="O556" s="149"/>
      <c r="P556" s="149"/>
      <c r="Q556" s="149"/>
      <c r="R556" s="149"/>
      <c r="S556" s="149"/>
      <c r="T556" s="149"/>
      <c r="U556" s="149"/>
      <c r="V556" s="149"/>
      <c r="W556" s="149"/>
      <c r="X556" s="149"/>
      <c r="Y556" s="149"/>
      <c r="Z556" s="149"/>
      <c r="AA556" s="149"/>
      <c r="AB556" s="580">
        <f>HLOOKUP("*"&amp;'Output annual'!$AC$2&amp;'Output annual'!$AD$2&amp;"*Zone People Number Of Occupants [](Hourly)",'Eplus results'!$1:$1048576,ROW(),FALSE)</f>
        <v>0</v>
      </c>
      <c r="AC556" s="580">
        <f>HLOOKUP("*"&amp;'Output annual'!$AC$2&amp;'Output annual'!$AD$2&amp;"*FangerPMV(Hourly)",'Eplus results'!$1:$1048576,ROW(),FALSE)</f>
        <v>0</v>
      </c>
      <c r="AD556" s="580">
        <f t="shared" si="76"/>
        <v>5</v>
      </c>
      <c r="AE556" s="580">
        <f t="shared" si="77"/>
        <v>2.5</v>
      </c>
      <c r="AF556" s="580">
        <f t="shared" si="78"/>
        <v>2.5</v>
      </c>
      <c r="AG556" s="580">
        <f t="shared" si="79"/>
        <v>0</v>
      </c>
      <c r="AH556" s="580">
        <f t="shared" si="80"/>
        <v>0</v>
      </c>
      <c r="AI556" s="149"/>
      <c r="AJ556" s="149"/>
      <c r="AK556" s="149"/>
      <c r="AL556" s="149"/>
      <c r="AM556" s="149"/>
      <c r="AN556" s="149"/>
      <c r="AO556" s="149"/>
      <c r="AP556" s="149"/>
    </row>
    <row r="557" spans="2:42">
      <c r="B557" s="221">
        <v>113</v>
      </c>
      <c r="C557" s="54" t="s">
        <v>265</v>
      </c>
      <c r="D557" s="223">
        <v>23.406731237391099</v>
      </c>
      <c r="E557" s="344">
        <v>0</v>
      </c>
      <c r="F557" s="179">
        <v>32.22</v>
      </c>
      <c r="G557" s="179">
        <v>12.78</v>
      </c>
      <c r="H557" s="223">
        <v>20.588920032041099</v>
      </c>
      <c r="I557" s="297">
        <v>0</v>
      </c>
      <c r="J557" s="149"/>
      <c r="K557" s="149"/>
      <c r="L557" s="149"/>
      <c r="M557" s="149"/>
      <c r="N557" s="149"/>
      <c r="O557" s="149"/>
      <c r="P557" s="149"/>
      <c r="Q557" s="149"/>
      <c r="R557" s="149"/>
      <c r="S557" s="149"/>
      <c r="T557" s="149"/>
      <c r="U557" s="149"/>
      <c r="V557" s="149"/>
      <c r="W557" s="149"/>
      <c r="X557" s="149"/>
      <c r="Y557" s="149"/>
      <c r="Z557" s="149"/>
      <c r="AA557" s="149"/>
      <c r="AB557" s="580">
        <f>HLOOKUP("*"&amp;'Output annual'!$AC$2&amp;'Output annual'!$AD$2&amp;"*Zone People Number Of Occupants [](Hourly)",'Eplus results'!$1:$1048576,ROW(),FALSE)</f>
        <v>0</v>
      </c>
      <c r="AC557" s="580">
        <f>HLOOKUP("*"&amp;'Output annual'!$AC$2&amp;'Output annual'!$AD$2&amp;"*FangerPMV(Hourly)",'Eplus results'!$1:$1048576,ROW(),FALSE)</f>
        <v>0</v>
      </c>
      <c r="AD557" s="580">
        <f t="shared" si="76"/>
        <v>5</v>
      </c>
      <c r="AE557" s="580">
        <f t="shared" si="77"/>
        <v>2.5</v>
      </c>
      <c r="AF557" s="580">
        <f t="shared" si="78"/>
        <v>2.5</v>
      </c>
      <c r="AG557" s="580">
        <f t="shared" si="79"/>
        <v>0</v>
      </c>
      <c r="AH557" s="580">
        <f t="shared" si="80"/>
        <v>0</v>
      </c>
      <c r="AI557" s="149"/>
      <c r="AJ557" s="149"/>
      <c r="AK557" s="149"/>
      <c r="AL557" s="149"/>
      <c r="AM557" s="149"/>
      <c r="AN557" s="149"/>
      <c r="AO557" s="149"/>
      <c r="AP557" s="149"/>
    </row>
    <row r="558" spans="2:42">
      <c r="B558" s="221">
        <v>114</v>
      </c>
      <c r="C558" s="54" t="s">
        <v>266</v>
      </c>
      <c r="D558" s="223">
        <v>23.0532526319097</v>
      </c>
      <c r="E558" s="344">
        <v>0</v>
      </c>
      <c r="F558" s="179">
        <v>32.22</v>
      </c>
      <c r="G558" s="179">
        <v>12.78</v>
      </c>
      <c r="H558" s="223">
        <v>20.8043531228465</v>
      </c>
      <c r="I558" s="297">
        <v>0</v>
      </c>
      <c r="J558" s="149"/>
      <c r="K558" s="149"/>
      <c r="L558" s="149"/>
      <c r="M558" s="149"/>
      <c r="N558" s="149"/>
      <c r="O558" s="149"/>
      <c r="P558" s="149"/>
      <c r="Q558" s="149"/>
      <c r="R558" s="149"/>
      <c r="S558" s="149"/>
      <c r="T558" s="149"/>
      <c r="U558" s="149"/>
      <c r="V558" s="149"/>
      <c r="W558" s="149"/>
      <c r="X558" s="149"/>
      <c r="Y558" s="149"/>
      <c r="Z558" s="149"/>
      <c r="AA558" s="149"/>
      <c r="AB558" s="580">
        <f>HLOOKUP("*"&amp;'Output annual'!$AC$2&amp;'Output annual'!$AD$2&amp;"*Zone People Number Of Occupants [](Hourly)",'Eplus results'!$1:$1048576,ROW(),FALSE)</f>
        <v>0</v>
      </c>
      <c r="AC558" s="580">
        <f>HLOOKUP("*"&amp;'Output annual'!$AC$2&amp;'Output annual'!$AD$2&amp;"*FangerPMV(Hourly)",'Eplus results'!$1:$1048576,ROW(),FALSE)</f>
        <v>0</v>
      </c>
      <c r="AD558" s="580">
        <f t="shared" si="76"/>
        <v>5</v>
      </c>
      <c r="AE558" s="580">
        <f t="shared" si="77"/>
        <v>2.5</v>
      </c>
      <c r="AF558" s="580">
        <f t="shared" si="78"/>
        <v>2.5</v>
      </c>
      <c r="AG558" s="580">
        <f t="shared" si="79"/>
        <v>0</v>
      </c>
      <c r="AH558" s="580">
        <f t="shared" si="80"/>
        <v>0</v>
      </c>
      <c r="AI558" s="149"/>
      <c r="AJ558" s="149"/>
      <c r="AK558" s="149"/>
      <c r="AL558" s="149"/>
      <c r="AM558" s="149"/>
      <c r="AN558" s="149"/>
      <c r="AO558" s="149"/>
      <c r="AP558" s="149"/>
    </row>
    <row r="559" spans="2:42">
      <c r="B559" s="221">
        <v>115</v>
      </c>
      <c r="C559" s="54" t="s">
        <v>267</v>
      </c>
      <c r="D559" s="223">
        <v>22.546365334003799</v>
      </c>
      <c r="E559" s="344">
        <v>0</v>
      </c>
      <c r="F559" s="179">
        <v>32.22</v>
      </c>
      <c r="G559" s="179">
        <v>12.78</v>
      </c>
      <c r="H559" s="223">
        <v>20.964812991349401</v>
      </c>
      <c r="I559" s="297">
        <v>0</v>
      </c>
      <c r="J559" s="149"/>
      <c r="K559" s="149"/>
      <c r="L559" s="149"/>
      <c r="M559" s="149"/>
      <c r="N559" s="149"/>
      <c r="O559" s="149"/>
      <c r="P559" s="149"/>
      <c r="Q559" s="149"/>
      <c r="R559" s="149"/>
      <c r="S559" s="149"/>
      <c r="T559" s="149"/>
      <c r="U559" s="149"/>
      <c r="V559" s="149"/>
      <c r="W559" s="149"/>
      <c r="X559" s="149"/>
      <c r="Y559" s="149"/>
      <c r="Z559" s="149"/>
      <c r="AA559" s="149"/>
      <c r="AB559" s="580">
        <f>HLOOKUP("*"&amp;'Output annual'!$AC$2&amp;'Output annual'!$AD$2&amp;"*Zone People Number Of Occupants [](Hourly)",'Eplus results'!$1:$1048576,ROW(),FALSE)</f>
        <v>0</v>
      </c>
      <c r="AC559" s="580">
        <f>HLOOKUP("*"&amp;'Output annual'!$AC$2&amp;'Output annual'!$AD$2&amp;"*FangerPMV(Hourly)",'Eplus results'!$1:$1048576,ROW(),FALSE)</f>
        <v>0</v>
      </c>
      <c r="AD559" s="580">
        <f t="shared" si="76"/>
        <v>5</v>
      </c>
      <c r="AE559" s="580">
        <f t="shared" si="77"/>
        <v>2.5</v>
      </c>
      <c r="AF559" s="580">
        <f t="shared" si="78"/>
        <v>2.5</v>
      </c>
      <c r="AG559" s="580">
        <f t="shared" si="79"/>
        <v>0</v>
      </c>
      <c r="AH559" s="580">
        <f t="shared" si="80"/>
        <v>0</v>
      </c>
      <c r="AI559" s="149"/>
      <c r="AJ559" s="149"/>
      <c r="AK559" s="149"/>
      <c r="AL559" s="149"/>
      <c r="AM559" s="149"/>
      <c r="AN559" s="149"/>
      <c r="AO559" s="149"/>
      <c r="AP559" s="149"/>
    </row>
    <row r="560" spans="2:42">
      <c r="B560" s="221">
        <v>116</v>
      </c>
      <c r="C560" s="54" t="s">
        <v>268</v>
      </c>
      <c r="D560" s="223">
        <v>22.0005480433915</v>
      </c>
      <c r="E560" s="344">
        <v>0</v>
      </c>
      <c r="F560" s="179">
        <v>32.22</v>
      </c>
      <c r="G560" s="179">
        <v>12.78</v>
      </c>
      <c r="H560" s="223">
        <v>21.065336605744999</v>
      </c>
      <c r="I560" s="297">
        <v>0</v>
      </c>
      <c r="J560" s="149"/>
      <c r="K560" s="149"/>
      <c r="L560" s="149"/>
      <c r="M560" s="149"/>
      <c r="N560" s="149"/>
      <c r="O560" s="149"/>
      <c r="P560" s="149"/>
      <c r="Q560" s="149"/>
      <c r="R560" s="149"/>
      <c r="S560" s="149"/>
      <c r="T560" s="149"/>
      <c r="U560" s="149"/>
      <c r="V560" s="149"/>
      <c r="W560" s="149"/>
      <c r="X560" s="149"/>
      <c r="Y560" s="149"/>
      <c r="Z560" s="149"/>
      <c r="AA560" s="149"/>
      <c r="AB560" s="580">
        <f>HLOOKUP("*"&amp;'Output annual'!$AC$2&amp;'Output annual'!$AD$2&amp;"*Zone People Number Of Occupants [](Hourly)",'Eplus results'!$1:$1048576,ROW(),FALSE)</f>
        <v>0</v>
      </c>
      <c r="AC560" s="580">
        <f>HLOOKUP("*"&amp;'Output annual'!$AC$2&amp;'Output annual'!$AD$2&amp;"*FangerPMV(Hourly)",'Eplus results'!$1:$1048576,ROW(),FALSE)</f>
        <v>0</v>
      </c>
      <c r="AD560" s="580">
        <f t="shared" si="76"/>
        <v>5</v>
      </c>
      <c r="AE560" s="580">
        <f t="shared" si="77"/>
        <v>2.5</v>
      </c>
      <c r="AF560" s="580">
        <f t="shared" si="78"/>
        <v>2.5</v>
      </c>
      <c r="AG560" s="580">
        <f t="shared" si="79"/>
        <v>0</v>
      </c>
      <c r="AH560" s="580">
        <f t="shared" si="80"/>
        <v>0</v>
      </c>
      <c r="AI560" s="149"/>
      <c r="AJ560" s="149"/>
      <c r="AK560" s="149"/>
      <c r="AL560" s="149"/>
      <c r="AM560" s="149"/>
      <c r="AN560" s="149"/>
      <c r="AO560" s="149"/>
      <c r="AP560" s="149"/>
    </row>
    <row r="561" spans="2:42">
      <c r="B561" s="221">
        <v>117</v>
      </c>
      <c r="C561" s="54" t="s">
        <v>269</v>
      </c>
      <c r="D561" s="223">
        <v>21.507930213340298</v>
      </c>
      <c r="E561" s="344">
        <v>0</v>
      </c>
      <c r="F561" s="179">
        <v>32.22</v>
      </c>
      <c r="G561" s="179">
        <v>12.78</v>
      </c>
      <c r="H561" s="223">
        <v>21.1113636096504</v>
      </c>
      <c r="I561" s="297">
        <v>0</v>
      </c>
      <c r="J561" s="149"/>
      <c r="K561" s="149"/>
      <c r="L561" s="149"/>
      <c r="M561" s="149"/>
      <c r="N561" s="149"/>
      <c r="O561" s="149"/>
      <c r="P561" s="149"/>
      <c r="Q561" s="149"/>
      <c r="R561" s="149"/>
      <c r="S561" s="149"/>
      <c r="T561" s="149"/>
      <c r="U561" s="149"/>
      <c r="V561" s="149"/>
      <c r="W561" s="149"/>
      <c r="X561" s="149"/>
      <c r="Y561" s="149"/>
      <c r="Z561" s="149"/>
      <c r="AA561" s="149"/>
      <c r="AB561" s="580">
        <f>HLOOKUP("*"&amp;'Output annual'!$AC$2&amp;'Output annual'!$AD$2&amp;"*Zone People Number Of Occupants [](Hourly)",'Eplus results'!$1:$1048576,ROW(),FALSE)</f>
        <v>0</v>
      </c>
      <c r="AC561" s="580">
        <f>HLOOKUP("*"&amp;'Output annual'!$AC$2&amp;'Output annual'!$AD$2&amp;"*FangerPMV(Hourly)",'Eplus results'!$1:$1048576,ROW(),FALSE)</f>
        <v>0</v>
      </c>
      <c r="AD561" s="580">
        <f t="shared" si="76"/>
        <v>5</v>
      </c>
      <c r="AE561" s="580">
        <f t="shared" si="77"/>
        <v>2.5</v>
      </c>
      <c r="AF561" s="580">
        <f t="shared" si="78"/>
        <v>2.5</v>
      </c>
      <c r="AG561" s="580">
        <f t="shared" si="79"/>
        <v>0</v>
      </c>
      <c r="AH561" s="580">
        <f t="shared" si="80"/>
        <v>0</v>
      </c>
      <c r="AI561" s="149"/>
      <c r="AJ561" s="149"/>
      <c r="AK561" s="149"/>
      <c r="AL561" s="149"/>
      <c r="AM561" s="149"/>
      <c r="AN561" s="149"/>
      <c r="AO561" s="149"/>
      <c r="AP561" s="149"/>
    </row>
    <row r="562" spans="2:42">
      <c r="B562" s="221">
        <v>118</v>
      </c>
      <c r="C562" s="54" t="s">
        <v>270</v>
      </c>
      <c r="D562" s="223">
        <v>21.048659302083799</v>
      </c>
      <c r="E562" s="344">
        <v>0</v>
      </c>
      <c r="F562" s="179">
        <v>32.22</v>
      </c>
      <c r="G562" s="179">
        <v>12.78</v>
      </c>
      <c r="H562" s="223">
        <v>21.112379841164799</v>
      </c>
      <c r="I562" s="297">
        <v>0</v>
      </c>
      <c r="J562" s="149"/>
      <c r="K562" s="149"/>
      <c r="L562" s="149"/>
      <c r="M562" s="149"/>
      <c r="N562" s="149"/>
      <c r="O562" s="149"/>
      <c r="P562" s="149"/>
      <c r="Q562" s="149"/>
      <c r="R562" s="149"/>
      <c r="S562" s="149"/>
      <c r="T562" s="149"/>
      <c r="U562" s="149"/>
      <c r="V562" s="149"/>
      <c r="W562" s="149"/>
      <c r="X562" s="149"/>
      <c r="Y562" s="149"/>
      <c r="Z562" s="149"/>
      <c r="AA562" s="149"/>
      <c r="AB562" s="580">
        <f>HLOOKUP("*"&amp;'Output annual'!$AC$2&amp;'Output annual'!$AD$2&amp;"*Zone People Number Of Occupants [](Hourly)",'Eplus results'!$1:$1048576,ROW(),FALSE)</f>
        <v>0</v>
      </c>
      <c r="AC562" s="580">
        <f>HLOOKUP("*"&amp;'Output annual'!$AC$2&amp;'Output annual'!$AD$2&amp;"*FangerPMV(Hourly)",'Eplus results'!$1:$1048576,ROW(),FALSE)</f>
        <v>0</v>
      </c>
      <c r="AD562" s="580">
        <f t="shared" si="76"/>
        <v>5</v>
      </c>
      <c r="AE562" s="580">
        <f t="shared" si="77"/>
        <v>2.5</v>
      </c>
      <c r="AF562" s="580">
        <f t="shared" si="78"/>
        <v>2.5</v>
      </c>
      <c r="AG562" s="580">
        <f t="shared" si="79"/>
        <v>0</v>
      </c>
      <c r="AH562" s="580">
        <f t="shared" si="80"/>
        <v>0</v>
      </c>
      <c r="AI562" s="149"/>
      <c r="AJ562" s="149"/>
      <c r="AK562" s="149"/>
      <c r="AL562" s="149"/>
      <c r="AM562" s="149"/>
      <c r="AN562" s="149"/>
      <c r="AO562" s="149"/>
      <c r="AP562" s="149"/>
    </row>
    <row r="563" spans="2:42">
      <c r="B563" s="221">
        <v>119</v>
      </c>
      <c r="C563" s="54" t="s">
        <v>271</v>
      </c>
      <c r="D563" s="223">
        <v>20.6117280303759</v>
      </c>
      <c r="E563" s="344">
        <v>0</v>
      </c>
      <c r="F563" s="179">
        <v>32.22</v>
      </c>
      <c r="G563" s="179">
        <v>12.78</v>
      </c>
      <c r="H563" s="223">
        <v>21.0784811205586</v>
      </c>
      <c r="I563" s="297">
        <v>0</v>
      </c>
      <c r="J563" s="149"/>
      <c r="K563" s="149"/>
      <c r="L563" s="149"/>
      <c r="M563" s="149"/>
      <c r="N563" s="149"/>
      <c r="O563" s="149"/>
      <c r="P563" s="149"/>
      <c r="Q563" s="149"/>
      <c r="R563" s="149"/>
      <c r="S563" s="149"/>
      <c r="T563" s="149"/>
      <c r="U563" s="149"/>
      <c r="V563" s="149"/>
      <c r="W563" s="149"/>
      <c r="X563" s="149"/>
      <c r="Y563" s="149"/>
      <c r="Z563" s="149"/>
      <c r="AA563" s="149"/>
      <c r="AB563" s="580">
        <f>HLOOKUP("*"&amp;'Output annual'!$AC$2&amp;'Output annual'!$AD$2&amp;"*Zone People Number Of Occupants [](Hourly)",'Eplus results'!$1:$1048576,ROW(),FALSE)</f>
        <v>0</v>
      </c>
      <c r="AC563" s="580">
        <f>HLOOKUP("*"&amp;'Output annual'!$AC$2&amp;'Output annual'!$AD$2&amp;"*FangerPMV(Hourly)",'Eplus results'!$1:$1048576,ROW(),FALSE)</f>
        <v>0</v>
      </c>
      <c r="AD563" s="580">
        <f t="shared" si="76"/>
        <v>5</v>
      </c>
      <c r="AE563" s="580">
        <f t="shared" si="77"/>
        <v>2.5</v>
      </c>
      <c r="AF563" s="580">
        <f t="shared" si="78"/>
        <v>2.5</v>
      </c>
      <c r="AG563" s="580">
        <f t="shared" si="79"/>
        <v>0</v>
      </c>
      <c r="AH563" s="580">
        <f t="shared" si="80"/>
        <v>0</v>
      </c>
      <c r="AI563" s="149"/>
      <c r="AJ563" s="149"/>
      <c r="AK563" s="149"/>
      <c r="AL563" s="149"/>
      <c r="AM563" s="149"/>
      <c r="AN563" s="149"/>
      <c r="AO563" s="149"/>
      <c r="AP563" s="149"/>
    </row>
    <row r="564" spans="2:42">
      <c r="B564" s="221">
        <v>120</v>
      </c>
      <c r="C564" s="54" t="s">
        <v>272</v>
      </c>
      <c r="D564" s="223">
        <v>20.194882386064201</v>
      </c>
      <c r="E564" s="344">
        <v>0</v>
      </c>
      <c r="F564" s="179">
        <v>32.22</v>
      </c>
      <c r="G564" s="179">
        <v>12.78</v>
      </c>
      <c r="H564" s="223">
        <v>21.0157583175639</v>
      </c>
      <c r="I564" s="297">
        <v>0</v>
      </c>
      <c r="J564" s="149"/>
      <c r="K564" s="149"/>
      <c r="L564" s="149"/>
      <c r="M564" s="149"/>
      <c r="N564" s="149"/>
      <c r="O564" s="149"/>
      <c r="P564" s="149"/>
      <c r="Q564" s="149"/>
      <c r="R564" s="149"/>
      <c r="S564" s="149"/>
      <c r="T564" s="149"/>
      <c r="U564" s="149"/>
      <c r="V564" s="149"/>
      <c r="W564" s="149"/>
      <c r="X564" s="149"/>
      <c r="Y564" s="149"/>
      <c r="Z564" s="149"/>
      <c r="AA564" s="149"/>
      <c r="AB564" s="580">
        <f>HLOOKUP("*"&amp;'Output annual'!$AC$2&amp;'Output annual'!$AD$2&amp;"*Zone People Number Of Occupants [](Hourly)",'Eplus results'!$1:$1048576,ROW(),FALSE)</f>
        <v>0</v>
      </c>
      <c r="AC564" s="580">
        <f>HLOOKUP("*"&amp;'Output annual'!$AC$2&amp;'Output annual'!$AD$2&amp;"*FangerPMV(Hourly)",'Eplus results'!$1:$1048576,ROW(),FALSE)</f>
        <v>0</v>
      </c>
      <c r="AD564" s="580">
        <f t="shared" si="76"/>
        <v>5</v>
      </c>
      <c r="AE564" s="580">
        <f t="shared" si="77"/>
        <v>2.5</v>
      </c>
      <c r="AF564" s="580">
        <f t="shared" si="78"/>
        <v>2.5</v>
      </c>
      <c r="AG564" s="580">
        <f t="shared" si="79"/>
        <v>0</v>
      </c>
      <c r="AH564" s="580">
        <f t="shared" si="80"/>
        <v>0</v>
      </c>
      <c r="AI564" s="149"/>
      <c r="AJ564" s="149"/>
      <c r="AK564" s="149"/>
      <c r="AL564" s="149"/>
      <c r="AM564" s="149"/>
      <c r="AN564" s="149"/>
      <c r="AO564" s="149"/>
      <c r="AP564" s="149"/>
    </row>
    <row r="565" spans="2:42">
      <c r="B565" s="221">
        <v>121</v>
      </c>
      <c r="C565" s="54" t="s">
        <v>273</v>
      </c>
      <c r="D565" s="223">
        <v>19.788242508262801</v>
      </c>
      <c r="E565" s="344">
        <v>0</v>
      </c>
      <c r="F565" s="179">
        <v>32.22</v>
      </c>
      <c r="G565" s="179">
        <v>12.78</v>
      </c>
      <c r="H565" s="223">
        <v>20.9319112105632</v>
      </c>
      <c r="I565" s="297">
        <v>0</v>
      </c>
      <c r="J565" s="149"/>
      <c r="K565" s="149"/>
      <c r="L565" s="149"/>
      <c r="M565" s="149"/>
      <c r="N565" s="149"/>
      <c r="O565" s="149"/>
      <c r="P565" s="149"/>
      <c r="Q565" s="149"/>
      <c r="R565" s="149"/>
      <c r="S565" s="149"/>
      <c r="T565" s="149"/>
      <c r="U565" s="149"/>
      <c r="V565" s="149"/>
      <c r="W565" s="149"/>
      <c r="X565" s="149"/>
      <c r="Y565" s="149"/>
      <c r="Z565" s="149"/>
      <c r="AA565" s="149"/>
      <c r="AB565" s="580">
        <f>HLOOKUP("*"&amp;'Output annual'!$AC$2&amp;'Output annual'!$AD$2&amp;"*Zone People Number Of Occupants [](Hourly)",'Eplus results'!$1:$1048576,ROW(),FALSE)</f>
        <v>0</v>
      </c>
      <c r="AC565" s="580">
        <f>HLOOKUP("*"&amp;'Output annual'!$AC$2&amp;'Output annual'!$AD$2&amp;"*FangerPMV(Hourly)",'Eplus results'!$1:$1048576,ROW(),FALSE)</f>
        <v>0</v>
      </c>
      <c r="AD565" s="580">
        <f t="shared" si="76"/>
        <v>5</v>
      </c>
      <c r="AE565" s="580">
        <f t="shared" si="77"/>
        <v>2.5</v>
      </c>
      <c r="AF565" s="580">
        <f t="shared" si="78"/>
        <v>2.5</v>
      </c>
      <c r="AG565" s="580">
        <f t="shared" si="79"/>
        <v>0</v>
      </c>
      <c r="AH565" s="580">
        <f t="shared" si="80"/>
        <v>0</v>
      </c>
      <c r="AI565" s="149"/>
      <c r="AJ565" s="149"/>
      <c r="AK565" s="149"/>
      <c r="AL565" s="149"/>
      <c r="AM565" s="149"/>
      <c r="AN565" s="149"/>
      <c r="AO565" s="149"/>
      <c r="AP565" s="149"/>
    </row>
    <row r="566" spans="2:42">
      <c r="B566" s="221">
        <v>122</v>
      </c>
      <c r="C566" s="54" t="s">
        <v>274</v>
      </c>
      <c r="D566" s="223">
        <v>19.374364957140799</v>
      </c>
      <c r="E566" s="344">
        <v>0</v>
      </c>
      <c r="F566" s="179">
        <v>32.22</v>
      </c>
      <c r="G566" s="179">
        <v>12.78</v>
      </c>
      <c r="H566" s="223">
        <v>20.844614989389299</v>
      </c>
      <c r="I566" s="297">
        <v>0</v>
      </c>
      <c r="J566" s="149"/>
      <c r="K566" s="149"/>
      <c r="L566" s="149"/>
      <c r="M566" s="149"/>
      <c r="N566" s="149"/>
      <c r="O566" s="149"/>
      <c r="P566" s="149"/>
      <c r="Q566" s="149"/>
      <c r="R566" s="149"/>
      <c r="S566" s="149"/>
      <c r="T566" s="149"/>
      <c r="U566" s="149"/>
      <c r="V566" s="149"/>
      <c r="W566" s="149"/>
      <c r="X566" s="149"/>
      <c r="Y566" s="149"/>
      <c r="Z566" s="149"/>
      <c r="AA566" s="149"/>
      <c r="AB566" s="580">
        <f>HLOOKUP("*"&amp;'Output annual'!$AC$2&amp;'Output annual'!$AD$2&amp;"*Zone People Number Of Occupants [](Hourly)",'Eplus results'!$1:$1048576,ROW(),FALSE)</f>
        <v>0</v>
      </c>
      <c r="AC566" s="580">
        <f>HLOOKUP("*"&amp;'Output annual'!$AC$2&amp;'Output annual'!$AD$2&amp;"*FangerPMV(Hourly)",'Eplus results'!$1:$1048576,ROW(),FALSE)</f>
        <v>0</v>
      </c>
      <c r="AD566" s="580">
        <f t="shared" si="76"/>
        <v>5</v>
      </c>
      <c r="AE566" s="580">
        <f t="shared" si="77"/>
        <v>2.5</v>
      </c>
      <c r="AF566" s="580">
        <f t="shared" si="78"/>
        <v>2.5</v>
      </c>
      <c r="AG566" s="580">
        <f t="shared" si="79"/>
        <v>0</v>
      </c>
      <c r="AH566" s="580">
        <f t="shared" si="80"/>
        <v>0</v>
      </c>
      <c r="AI566" s="149"/>
      <c r="AJ566" s="149"/>
      <c r="AK566" s="149"/>
      <c r="AL566" s="149"/>
      <c r="AM566" s="149"/>
      <c r="AN566" s="149"/>
      <c r="AO566" s="149"/>
      <c r="AP566" s="149"/>
    </row>
    <row r="567" spans="2:42">
      <c r="B567" s="221">
        <v>123</v>
      </c>
      <c r="C567" s="54" t="s">
        <v>275</v>
      </c>
      <c r="D567" s="223">
        <v>18.934639285437001</v>
      </c>
      <c r="E567" s="344">
        <v>0</v>
      </c>
      <c r="F567" s="179">
        <v>32.22</v>
      </c>
      <c r="G567" s="179">
        <v>12.78</v>
      </c>
      <c r="H567" s="223">
        <v>20.737214038574901</v>
      </c>
      <c r="I567" s="297">
        <v>0</v>
      </c>
      <c r="J567" s="149"/>
      <c r="K567" s="149"/>
      <c r="L567" s="149"/>
      <c r="M567" s="149"/>
      <c r="N567" s="149"/>
      <c r="O567" s="149"/>
      <c r="P567" s="149"/>
      <c r="Q567" s="149"/>
      <c r="R567" s="149"/>
      <c r="S567" s="149"/>
      <c r="T567" s="149"/>
      <c r="U567" s="149"/>
      <c r="V567" s="149"/>
      <c r="W567" s="149"/>
      <c r="X567" s="149"/>
      <c r="Y567" s="149"/>
      <c r="Z567" s="149"/>
      <c r="AA567" s="149"/>
      <c r="AB567" s="580">
        <f>HLOOKUP("*"&amp;'Output annual'!$AC$2&amp;'Output annual'!$AD$2&amp;"*Zone People Number Of Occupants [](Hourly)",'Eplus results'!$1:$1048576,ROW(),FALSE)</f>
        <v>0</v>
      </c>
      <c r="AC567" s="580">
        <f>HLOOKUP("*"&amp;'Output annual'!$AC$2&amp;'Output annual'!$AD$2&amp;"*FangerPMV(Hourly)",'Eplus results'!$1:$1048576,ROW(),FALSE)</f>
        <v>0</v>
      </c>
      <c r="AD567" s="580">
        <f t="shared" si="76"/>
        <v>5</v>
      </c>
      <c r="AE567" s="580">
        <f t="shared" si="77"/>
        <v>2.5</v>
      </c>
      <c r="AF567" s="580">
        <f t="shared" si="78"/>
        <v>2.5</v>
      </c>
      <c r="AG567" s="580">
        <f t="shared" si="79"/>
        <v>0</v>
      </c>
      <c r="AH567" s="580">
        <f t="shared" si="80"/>
        <v>0</v>
      </c>
      <c r="AI567" s="149"/>
      <c r="AJ567" s="149"/>
      <c r="AK567" s="149"/>
      <c r="AL567" s="149"/>
      <c r="AM567" s="149"/>
      <c r="AN567" s="149"/>
      <c r="AO567" s="149"/>
      <c r="AP567" s="149"/>
    </row>
    <row r="568" spans="2:42">
      <c r="B568" s="221">
        <v>124</v>
      </c>
      <c r="C568" s="54" t="s">
        <v>276</v>
      </c>
      <c r="D568" s="223">
        <v>18.463033847148001</v>
      </c>
      <c r="E568" s="344">
        <v>0</v>
      </c>
      <c r="F568" s="179">
        <v>32.22</v>
      </c>
      <c r="G568" s="179">
        <v>12.78</v>
      </c>
      <c r="H568" s="223">
        <v>20.615504803607799</v>
      </c>
      <c r="I568" s="297">
        <v>0</v>
      </c>
      <c r="J568" s="149"/>
      <c r="K568" s="149"/>
      <c r="L568" s="149"/>
      <c r="M568" s="149"/>
      <c r="N568" s="149"/>
      <c r="O568" s="149"/>
      <c r="P568" s="149"/>
      <c r="Q568" s="149"/>
      <c r="R568" s="149"/>
      <c r="S568" s="149"/>
      <c r="T568" s="149"/>
      <c r="U568" s="149"/>
      <c r="V568" s="149"/>
      <c r="W568" s="149"/>
      <c r="X568" s="149"/>
      <c r="Y568" s="149"/>
      <c r="Z568" s="149"/>
      <c r="AA568" s="149"/>
      <c r="AB568" s="580">
        <f>HLOOKUP("*"&amp;'Output annual'!$AC$2&amp;'Output annual'!$AD$2&amp;"*Zone People Number Of Occupants [](Hourly)",'Eplus results'!$1:$1048576,ROW(),FALSE)</f>
        <v>0</v>
      </c>
      <c r="AC568" s="580">
        <f>HLOOKUP("*"&amp;'Output annual'!$AC$2&amp;'Output annual'!$AD$2&amp;"*FangerPMV(Hourly)",'Eplus results'!$1:$1048576,ROW(),FALSE)</f>
        <v>0</v>
      </c>
      <c r="AD568" s="580">
        <f t="shared" si="76"/>
        <v>5</v>
      </c>
      <c r="AE568" s="580">
        <f t="shared" si="77"/>
        <v>2.5</v>
      </c>
      <c r="AF568" s="580">
        <f t="shared" si="78"/>
        <v>2.5</v>
      </c>
      <c r="AG568" s="580">
        <f t="shared" si="79"/>
        <v>0</v>
      </c>
      <c r="AH568" s="580">
        <f t="shared" si="80"/>
        <v>0</v>
      </c>
      <c r="AI568" s="149"/>
      <c r="AJ568" s="149"/>
      <c r="AK568" s="149"/>
      <c r="AL568" s="149"/>
      <c r="AM568" s="149"/>
      <c r="AN568" s="149"/>
      <c r="AO568" s="149"/>
      <c r="AP568" s="149"/>
    </row>
    <row r="569" spans="2:42">
      <c r="B569" s="221">
        <v>125</v>
      </c>
      <c r="C569" s="54" t="s">
        <v>277</v>
      </c>
      <c r="D569" s="223">
        <v>18.0066895746806</v>
      </c>
      <c r="E569" s="344">
        <v>0</v>
      </c>
      <c r="F569" s="179">
        <v>32.22</v>
      </c>
      <c r="G569" s="179">
        <v>12.78</v>
      </c>
      <c r="H569" s="223">
        <v>20.478496478963599</v>
      </c>
      <c r="I569" s="297">
        <v>0</v>
      </c>
      <c r="J569" s="149"/>
      <c r="K569" s="149"/>
      <c r="L569" s="149"/>
      <c r="M569" s="149"/>
      <c r="N569" s="149"/>
      <c r="O569" s="149"/>
      <c r="P569" s="149"/>
      <c r="Q569" s="149"/>
      <c r="R569" s="149"/>
      <c r="S569" s="149"/>
      <c r="T569" s="149"/>
      <c r="U569" s="149"/>
      <c r="V569" s="149"/>
      <c r="W569" s="149"/>
      <c r="X569" s="149"/>
      <c r="Y569" s="149"/>
      <c r="Z569" s="149"/>
      <c r="AA569" s="149"/>
      <c r="AB569" s="580">
        <f>HLOOKUP("*"&amp;'Output annual'!$AC$2&amp;'Output annual'!$AD$2&amp;"*Zone People Number Of Occupants [](Hourly)",'Eplus results'!$1:$1048576,ROW(),FALSE)</f>
        <v>0</v>
      </c>
      <c r="AC569" s="580">
        <f>HLOOKUP("*"&amp;'Output annual'!$AC$2&amp;'Output annual'!$AD$2&amp;"*FangerPMV(Hourly)",'Eplus results'!$1:$1048576,ROW(),FALSE)</f>
        <v>0</v>
      </c>
      <c r="AD569" s="580">
        <f t="shared" si="76"/>
        <v>5</v>
      </c>
      <c r="AE569" s="580">
        <f t="shared" si="77"/>
        <v>2.5</v>
      </c>
      <c r="AF569" s="580">
        <f t="shared" si="78"/>
        <v>2.5</v>
      </c>
      <c r="AG569" s="580">
        <f t="shared" si="79"/>
        <v>0</v>
      </c>
      <c r="AH569" s="580">
        <f t="shared" si="80"/>
        <v>0</v>
      </c>
      <c r="AI569" s="149"/>
      <c r="AJ569" s="149"/>
      <c r="AK569" s="149"/>
      <c r="AL569" s="149"/>
      <c r="AM569" s="149"/>
      <c r="AN569" s="149"/>
      <c r="AO569" s="149"/>
      <c r="AP569" s="149"/>
    </row>
    <row r="570" spans="2:42">
      <c r="B570" s="221">
        <v>126</v>
      </c>
      <c r="C570" s="54" t="s">
        <v>278</v>
      </c>
      <c r="D570" s="223">
        <v>17.879624090032198</v>
      </c>
      <c r="E570" s="344">
        <v>0.33183981472282698</v>
      </c>
      <c r="F570" s="179">
        <v>23.89</v>
      </c>
      <c r="G570" s="179">
        <v>21.11</v>
      </c>
      <c r="H570" s="223">
        <v>19.4149601303676</v>
      </c>
      <c r="I570" s="297">
        <v>0</v>
      </c>
      <c r="J570" s="149"/>
      <c r="K570" s="149"/>
      <c r="L570" s="149"/>
      <c r="M570" s="149"/>
      <c r="N570" s="149"/>
      <c r="O570" s="149"/>
      <c r="P570" s="149"/>
      <c r="Q570" s="149"/>
      <c r="R570" s="149"/>
      <c r="S570" s="149"/>
      <c r="T570" s="149"/>
      <c r="U570" s="149"/>
      <c r="V570" s="149"/>
      <c r="W570" s="149"/>
      <c r="X570" s="149"/>
      <c r="Y570" s="149"/>
      <c r="Z570" s="149"/>
      <c r="AA570" s="149"/>
      <c r="AB570" s="580">
        <f>HLOOKUP("*"&amp;'Output annual'!$AC$2&amp;'Output annual'!$AD$2&amp;"*Zone People Number Of Occupants [](Hourly)",'Eplus results'!$1:$1048576,ROW(),FALSE)</f>
        <v>0</v>
      </c>
      <c r="AC570" s="580">
        <f>HLOOKUP("*"&amp;'Output annual'!$AC$2&amp;'Output annual'!$AD$2&amp;"*FangerPMV(Hourly)",'Eplus results'!$1:$1048576,ROW(),FALSE)</f>
        <v>0</v>
      </c>
      <c r="AD570" s="580">
        <f t="shared" si="76"/>
        <v>5</v>
      </c>
      <c r="AE570" s="580">
        <f t="shared" si="77"/>
        <v>2.5</v>
      </c>
      <c r="AF570" s="580">
        <f t="shared" si="78"/>
        <v>2.5</v>
      </c>
      <c r="AG570" s="580">
        <f t="shared" si="79"/>
        <v>0</v>
      </c>
      <c r="AH570" s="580">
        <f t="shared" si="80"/>
        <v>0</v>
      </c>
      <c r="AI570" s="149"/>
      <c r="AJ570" s="149"/>
      <c r="AK570" s="149"/>
      <c r="AL570" s="149"/>
      <c r="AM570" s="149"/>
      <c r="AN570" s="149"/>
      <c r="AO570" s="149"/>
      <c r="AP570" s="149"/>
    </row>
    <row r="571" spans="2:42">
      <c r="B571" s="221">
        <v>127</v>
      </c>
      <c r="C571" s="54" t="s">
        <v>279</v>
      </c>
      <c r="D571" s="223">
        <v>18.125464223061901</v>
      </c>
      <c r="E571" s="344">
        <v>0.33183981472282698</v>
      </c>
      <c r="F571" s="179">
        <v>23.89</v>
      </c>
      <c r="G571" s="179">
        <v>21.11</v>
      </c>
      <c r="H571" s="223">
        <v>18.986493577056301</v>
      </c>
      <c r="I571" s="297">
        <v>0</v>
      </c>
      <c r="J571" s="149"/>
      <c r="K571" s="149"/>
      <c r="L571" s="149"/>
      <c r="M571" s="149"/>
      <c r="N571" s="149"/>
      <c r="O571" s="149"/>
      <c r="P571" s="149"/>
      <c r="Q571" s="149"/>
      <c r="R571" s="149"/>
      <c r="S571" s="149"/>
      <c r="T571" s="149"/>
      <c r="U571" s="149"/>
      <c r="V571" s="149"/>
      <c r="W571" s="149"/>
      <c r="X571" s="149"/>
      <c r="Y571" s="149"/>
      <c r="Z571" s="149"/>
      <c r="AA571" s="149"/>
      <c r="AB571" s="580">
        <f>HLOOKUP("*"&amp;'Output annual'!$AC$2&amp;'Output annual'!$AD$2&amp;"*Zone People Number Of Occupants [](Hourly)",'Eplus results'!$1:$1048576,ROW(),FALSE)</f>
        <v>0</v>
      </c>
      <c r="AC571" s="580">
        <f>HLOOKUP("*"&amp;'Output annual'!$AC$2&amp;'Output annual'!$AD$2&amp;"*FangerPMV(Hourly)",'Eplus results'!$1:$1048576,ROW(),FALSE)</f>
        <v>0</v>
      </c>
      <c r="AD571" s="580">
        <f t="shared" si="76"/>
        <v>5</v>
      </c>
      <c r="AE571" s="580">
        <f t="shared" si="77"/>
        <v>2.5</v>
      </c>
      <c r="AF571" s="580">
        <f t="shared" si="78"/>
        <v>2.5</v>
      </c>
      <c r="AG571" s="580">
        <f t="shared" si="79"/>
        <v>0</v>
      </c>
      <c r="AH571" s="580">
        <f t="shared" si="80"/>
        <v>0</v>
      </c>
      <c r="AI571" s="149"/>
      <c r="AJ571" s="149"/>
      <c r="AK571" s="149"/>
      <c r="AL571" s="149"/>
      <c r="AM571" s="149"/>
      <c r="AN571" s="149"/>
      <c r="AO571" s="149"/>
      <c r="AP571" s="149"/>
    </row>
    <row r="572" spans="2:42">
      <c r="B572" s="221">
        <v>128</v>
      </c>
      <c r="C572" s="54" t="s">
        <v>280</v>
      </c>
      <c r="D572" s="223">
        <v>21.4444939953495</v>
      </c>
      <c r="E572" s="344">
        <v>0.33183981472282698</v>
      </c>
      <c r="F572" s="179">
        <v>23.89</v>
      </c>
      <c r="G572" s="179">
        <v>21.11</v>
      </c>
      <c r="H572" s="223">
        <v>19.045272872691601</v>
      </c>
      <c r="I572" s="297">
        <v>5.4461657097689305E-2</v>
      </c>
      <c r="J572" s="149"/>
      <c r="K572" s="149"/>
      <c r="L572" s="149"/>
      <c r="M572" s="149"/>
      <c r="N572" s="149"/>
      <c r="O572" s="149"/>
      <c r="P572" s="149"/>
      <c r="Q572" s="149"/>
      <c r="R572" s="149"/>
      <c r="S572" s="149"/>
      <c r="T572" s="149"/>
      <c r="U572" s="149"/>
      <c r="V572" s="149"/>
      <c r="W572" s="149"/>
      <c r="X572" s="149"/>
      <c r="Y572" s="149"/>
      <c r="Z572" s="149"/>
      <c r="AA572" s="149"/>
      <c r="AB572" s="580">
        <f>HLOOKUP("*"&amp;'Output annual'!$AC$2&amp;'Output annual'!$AD$2&amp;"*Zone People Number Of Occupants [](Hourly)",'Eplus results'!$1:$1048576,ROW(),FALSE)</f>
        <v>0</v>
      </c>
      <c r="AC572" s="580">
        <f>HLOOKUP("*"&amp;'Output annual'!$AC$2&amp;'Output annual'!$AD$2&amp;"*FangerPMV(Hourly)",'Eplus results'!$1:$1048576,ROW(),FALSE)</f>
        <v>0</v>
      </c>
      <c r="AD572" s="580">
        <f t="shared" si="76"/>
        <v>5</v>
      </c>
      <c r="AE572" s="580">
        <f t="shared" si="77"/>
        <v>2.5</v>
      </c>
      <c r="AF572" s="580">
        <f t="shared" si="78"/>
        <v>2.5</v>
      </c>
      <c r="AG572" s="580">
        <f t="shared" si="79"/>
        <v>0</v>
      </c>
      <c r="AH572" s="580">
        <f t="shared" si="80"/>
        <v>0</v>
      </c>
      <c r="AI572" s="149"/>
      <c r="AJ572" s="149"/>
      <c r="AK572" s="149"/>
      <c r="AL572" s="149"/>
      <c r="AM572" s="149"/>
      <c r="AN572" s="149"/>
      <c r="AO572" s="149"/>
      <c r="AP572" s="149"/>
    </row>
    <row r="573" spans="2:42">
      <c r="B573" s="221">
        <v>129</v>
      </c>
      <c r="C573" s="54" t="s">
        <v>281</v>
      </c>
      <c r="D573" s="223">
        <v>22.7635672856469</v>
      </c>
      <c r="E573" s="344">
        <v>0.34162317312141699</v>
      </c>
      <c r="F573" s="179">
        <v>23.89</v>
      </c>
      <c r="G573" s="179">
        <v>21.11</v>
      </c>
      <c r="H573" s="223">
        <v>19.2422859464711</v>
      </c>
      <c r="I573" s="297">
        <v>9.4818132397658475E-2</v>
      </c>
      <c r="J573" s="149"/>
      <c r="K573" s="149"/>
      <c r="L573" s="149"/>
      <c r="M573" s="149"/>
      <c r="N573" s="149"/>
      <c r="O573" s="149"/>
      <c r="P573" s="149"/>
      <c r="Q573" s="149"/>
      <c r="R573" s="149"/>
      <c r="S573" s="149"/>
      <c r="T573" s="149"/>
      <c r="U573" s="149"/>
      <c r="V573" s="149"/>
      <c r="W573" s="149"/>
      <c r="X573" s="149"/>
      <c r="Y573" s="149"/>
      <c r="Z573" s="149"/>
      <c r="AA573" s="149"/>
      <c r="AB573" s="580">
        <f>HLOOKUP("*"&amp;'Output annual'!$AC$2&amp;'Output annual'!$AD$2&amp;"*Zone People Number Of Occupants [](Hourly)",'Eplus results'!$1:$1048576,ROW(),FALSE)</f>
        <v>0</v>
      </c>
      <c r="AC573" s="580">
        <f>HLOOKUP("*"&amp;'Output annual'!$AC$2&amp;'Output annual'!$AD$2&amp;"*FangerPMV(Hourly)",'Eplus results'!$1:$1048576,ROW(),FALSE)</f>
        <v>0</v>
      </c>
      <c r="AD573" s="580">
        <f t="shared" si="76"/>
        <v>5</v>
      </c>
      <c r="AE573" s="580">
        <f t="shared" si="77"/>
        <v>2.5</v>
      </c>
      <c r="AF573" s="580">
        <f t="shared" si="78"/>
        <v>2.5</v>
      </c>
      <c r="AG573" s="580">
        <f t="shared" si="79"/>
        <v>0</v>
      </c>
      <c r="AH573" s="580">
        <f t="shared" si="80"/>
        <v>0</v>
      </c>
      <c r="AI573" s="149"/>
      <c r="AJ573" s="149"/>
      <c r="AK573" s="149"/>
      <c r="AL573" s="149"/>
      <c r="AM573" s="149"/>
      <c r="AN573" s="149"/>
      <c r="AO573" s="149"/>
      <c r="AP573" s="149"/>
    </row>
    <row r="574" spans="2:42">
      <c r="B574" s="221">
        <v>130</v>
      </c>
      <c r="C574" s="54" t="s">
        <v>282</v>
      </c>
      <c r="D574" s="223">
        <v>23.9246046269731</v>
      </c>
      <c r="E574" s="344">
        <v>0.75667239037006695</v>
      </c>
      <c r="F574" s="179">
        <v>23.89</v>
      </c>
      <c r="G574" s="179">
        <v>21.11</v>
      </c>
      <c r="H574" s="223">
        <v>18.5207815140711</v>
      </c>
      <c r="I574" s="297">
        <v>0.2334676776715047</v>
      </c>
      <c r="J574" s="149"/>
      <c r="K574" s="149"/>
      <c r="L574" s="149"/>
      <c r="M574" s="149"/>
      <c r="N574" s="149"/>
      <c r="O574" s="149"/>
      <c r="P574" s="149"/>
      <c r="Q574" s="149"/>
      <c r="R574" s="149"/>
      <c r="S574" s="149"/>
      <c r="T574" s="149"/>
      <c r="U574" s="149"/>
      <c r="V574" s="149"/>
      <c r="W574" s="149"/>
      <c r="X574" s="149"/>
      <c r="Y574" s="149"/>
      <c r="Z574" s="149"/>
      <c r="AA574" s="149"/>
      <c r="AB574" s="580">
        <f>HLOOKUP("*"&amp;'Output annual'!$AC$2&amp;'Output annual'!$AD$2&amp;"*Zone People Number Of Occupants [](Hourly)",'Eplus results'!$1:$1048576,ROW(),FALSE)</f>
        <v>0</v>
      </c>
      <c r="AC574" s="580">
        <f>HLOOKUP("*"&amp;'Output annual'!$AC$2&amp;'Output annual'!$AD$2&amp;"*FangerPMV(Hourly)",'Eplus results'!$1:$1048576,ROW(),FALSE)</f>
        <v>0</v>
      </c>
      <c r="AD574" s="580">
        <f t="shared" si="76"/>
        <v>5</v>
      </c>
      <c r="AE574" s="580">
        <f t="shared" si="77"/>
        <v>2.5</v>
      </c>
      <c r="AF574" s="580">
        <f t="shared" si="78"/>
        <v>2.5</v>
      </c>
      <c r="AG574" s="580">
        <f t="shared" si="79"/>
        <v>0</v>
      </c>
      <c r="AH574" s="580">
        <f t="shared" si="80"/>
        <v>0</v>
      </c>
      <c r="AI574" s="149"/>
      <c r="AJ574" s="149"/>
      <c r="AK574" s="149"/>
      <c r="AL574" s="149"/>
      <c r="AM574" s="149"/>
      <c r="AN574" s="149"/>
      <c r="AO574" s="149"/>
      <c r="AP574" s="149"/>
    </row>
    <row r="575" spans="2:42">
      <c r="B575" s="221">
        <v>131</v>
      </c>
      <c r="C575" s="54" t="s">
        <v>283</v>
      </c>
      <c r="D575" s="223">
        <v>24.282117311712199</v>
      </c>
      <c r="E575" s="344">
        <v>1.2848003499327101</v>
      </c>
      <c r="F575" s="179">
        <v>23.89</v>
      </c>
      <c r="G575" s="179">
        <v>21.11</v>
      </c>
      <c r="H575" s="223">
        <v>18.2405986572129</v>
      </c>
      <c r="I575" s="297">
        <v>0.3900396173423829</v>
      </c>
      <c r="J575" s="149"/>
      <c r="K575" s="149"/>
      <c r="L575" s="149"/>
      <c r="M575" s="149"/>
      <c r="N575" s="149"/>
      <c r="O575" s="149"/>
      <c r="P575" s="149"/>
      <c r="Q575" s="149"/>
      <c r="R575" s="149"/>
      <c r="S575" s="149"/>
      <c r="T575" s="149"/>
      <c r="U575" s="149"/>
      <c r="V575" s="149"/>
      <c r="W575" s="149"/>
      <c r="X575" s="149"/>
      <c r="Y575" s="149"/>
      <c r="Z575" s="149"/>
      <c r="AA575" s="149"/>
      <c r="AB575" s="580">
        <f>HLOOKUP("*"&amp;'Output annual'!$AC$2&amp;'Output annual'!$AD$2&amp;"*Zone People Number Of Occupants [](Hourly)",'Eplus results'!$1:$1048576,ROW(),FALSE)</f>
        <v>0</v>
      </c>
      <c r="AC575" s="580">
        <f>HLOOKUP("*"&amp;'Output annual'!$AC$2&amp;'Output annual'!$AD$2&amp;"*FangerPMV(Hourly)",'Eplus results'!$1:$1048576,ROW(),FALSE)</f>
        <v>0</v>
      </c>
      <c r="AD575" s="580">
        <f t="shared" si="76"/>
        <v>5</v>
      </c>
      <c r="AE575" s="580">
        <f t="shared" si="77"/>
        <v>2.5</v>
      </c>
      <c r="AF575" s="580">
        <f t="shared" si="78"/>
        <v>2.5</v>
      </c>
      <c r="AG575" s="580">
        <f t="shared" si="79"/>
        <v>0</v>
      </c>
      <c r="AH575" s="580">
        <f t="shared" si="80"/>
        <v>0</v>
      </c>
      <c r="AI575" s="149"/>
      <c r="AJ575" s="149"/>
      <c r="AK575" s="149"/>
      <c r="AL575" s="149"/>
      <c r="AM575" s="149"/>
      <c r="AN575" s="149"/>
      <c r="AO575" s="149"/>
      <c r="AP575" s="149"/>
    </row>
    <row r="576" spans="2:42">
      <c r="B576" s="221">
        <v>132</v>
      </c>
      <c r="C576" s="54" t="s">
        <v>284</v>
      </c>
      <c r="D576" s="223">
        <v>24.246150326722098</v>
      </c>
      <c r="E576" s="344">
        <v>1.73445019872755</v>
      </c>
      <c r="F576" s="179">
        <v>23.89</v>
      </c>
      <c r="G576" s="179">
        <v>21.11</v>
      </c>
      <c r="H576" s="223">
        <v>18.139601785964398</v>
      </c>
      <c r="I576" s="297">
        <v>0.4992337374620493</v>
      </c>
      <c r="J576" s="149"/>
      <c r="K576" s="149"/>
      <c r="L576" s="149"/>
      <c r="M576" s="149"/>
      <c r="N576" s="149"/>
      <c r="O576" s="149"/>
      <c r="P576" s="149"/>
      <c r="Q576" s="149"/>
      <c r="R576" s="149"/>
      <c r="S576" s="149"/>
      <c r="T576" s="149"/>
      <c r="U576" s="149"/>
      <c r="V576" s="149"/>
      <c r="W576" s="149"/>
      <c r="X576" s="149"/>
      <c r="Y576" s="149"/>
      <c r="Z576" s="149"/>
      <c r="AA576" s="149"/>
      <c r="AB576" s="580">
        <f>HLOOKUP("*"&amp;'Output annual'!$AC$2&amp;'Output annual'!$AD$2&amp;"*Zone People Number Of Occupants [](Hourly)",'Eplus results'!$1:$1048576,ROW(),FALSE)</f>
        <v>0</v>
      </c>
      <c r="AC576" s="580">
        <f>HLOOKUP("*"&amp;'Output annual'!$AC$2&amp;'Output annual'!$AD$2&amp;"*FangerPMV(Hourly)",'Eplus results'!$1:$1048576,ROW(),FALSE)</f>
        <v>0</v>
      </c>
      <c r="AD576" s="580">
        <f t="shared" si="76"/>
        <v>5</v>
      </c>
      <c r="AE576" s="580">
        <f t="shared" si="77"/>
        <v>2.5</v>
      </c>
      <c r="AF576" s="580">
        <f t="shared" si="78"/>
        <v>2.5</v>
      </c>
      <c r="AG576" s="580">
        <f t="shared" si="79"/>
        <v>0</v>
      </c>
      <c r="AH576" s="580">
        <f t="shared" si="80"/>
        <v>0</v>
      </c>
      <c r="AI576" s="149"/>
      <c r="AJ576" s="149"/>
      <c r="AK576" s="149"/>
      <c r="AL576" s="149"/>
      <c r="AM576" s="149"/>
      <c r="AN576" s="149"/>
      <c r="AO576" s="149"/>
      <c r="AP576" s="149"/>
    </row>
    <row r="577" spans="2:42">
      <c r="B577" s="221">
        <v>133</v>
      </c>
      <c r="C577" s="54" t="s">
        <v>285</v>
      </c>
      <c r="D577" s="223">
        <v>24.063008159023202</v>
      </c>
      <c r="E577" s="344">
        <v>2.1374536537462698</v>
      </c>
      <c r="F577" s="179">
        <v>23.89</v>
      </c>
      <c r="G577" s="179">
        <v>21.11</v>
      </c>
      <c r="H577" s="223">
        <v>18.101742386306</v>
      </c>
      <c r="I577" s="297">
        <v>0.57410829147355724</v>
      </c>
      <c r="J577" s="149"/>
      <c r="K577" s="149"/>
      <c r="L577" s="149"/>
      <c r="M577" s="149"/>
      <c r="N577" s="149"/>
      <c r="O577" s="149"/>
      <c r="P577" s="149"/>
      <c r="Q577" s="149"/>
      <c r="R577" s="149"/>
      <c r="S577" s="149"/>
      <c r="T577" s="149"/>
      <c r="U577" s="149"/>
      <c r="V577" s="149"/>
      <c r="W577" s="149"/>
      <c r="X577" s="149"/>
      <c r="Y577" s="149"/>
      <c r="Z577" s="149"/>
      <c r="AA577" s="149"/>
      <c r="AB577" s="580">
        <f>HLOOKUP("*"&amp;'Output annual'!$AC$2&amp;'Output annual'!$AD$2&amp;"*Zone People Number Of Occupants [](Hourly)",'Eplus results'!$1:$1048576,ROW(),FALSE)</f>
        <v>0</v>
      </c>
      <c r="AC577" s="580">
        <f>HLOOKUP("*"&amp;'Output annual'!$AC$2&amp;'Output annual'!$AD$2&amp;"*FangerPMV(Hourly)",'Eplus results'!$1:$1048576,ROW(),FALSE)</f>
        <v>0</v>
      </c>
      <c r="AD577" s="580">
        <f t="shared" si="76"/>
        <v>5</v>
      </c>
      <c r="AE577" s="580">
        <f t="shared" si="77"/>
        <v>2.5</v>
      </c>
      <c r="AF577" s="580">
        <f t="shared" si="78"/>
        <v>2.5</v>
      </c>
      <c r="AG577" s="580">
        <f t="shared" si="79"/>
        <v>0</v>
      </c>
      <c r="AH577" s="580">
        <f t="shared" si="80"/>
        <v>0</v>
      </c>
      <c r="AI577" s="149"/>
      <c r="AJ577" s="149"/>
      <c r="AK577" s="149"/>
      <c r="AL577" s="149"/>
      <c r="AM577" s="149"/>
      <c r="AN577" s="149"/>
      <c r="AO577" s="149"/>
      <c r="AP577" s="149"/>
    </row>
    <row r="578" spans="2:42">
      <c r="B578" s="221">
        <v>134</v>
      </c>
      <c r="C578" s="54" t="s">
        <v>286</v>
      </c>
      <c r="D578" s="223">
        <v>23.927787795936698</v>
      </c>
      <c r="E578" s="344">
        <v>2.33256651478592</v>
      </c>
      <c r="F578" s="179">
        <v>23.89</v>
      </c>
      <c r="G578" s="179">
        <v>21.11</v>
      </c>
      <c r="H578" s="223">
        <v>18.0849059469714</v>
      </c>
      <c r="I578" s="297">
        <v>0.5994392795128024</v>
      </c>
      <c r="J578" s="149"/>
      <c r="K578" s="149"/>
      <c r="L578" s="149"/>
      <c r="M578" s="149"/>
      <c r="N578" s="149"/>
      <c r="O578" s="149"/>
      <c r="P578" s="149"/>
      <c r="Q578" s="149"/>
      <c r="R578" s="149"/>
      <c r="S578" s="149"/>
      <c r="T578" s="149"/>
      <c r="U578" s="149"/>
      <c r="V578" s="149"/>
      <c r="W578" s="149"/>
      <c r="X578" s="149"/>
      <c r="Y578" s="149"/>
      <c r="Z578" s="149"/>
      <c r="AA578" s="149"/>
      <c r="AB578" s="580">
        <f>HLOOKUP("*"&amp;'Output annual'!$AC$2&amp;'Output annual'!$AD$2&amp;"*Zone People Number Of Occupants [](Hourly)",'Eplus results'!$1:$1048576,ROW(),FALSE)</f>
        <v>0</v>
      </c>
      <c r="AC578" s="580">
        <f>HLOOKUP("*"&amp;'Output annual'!$AC$2&amp;'Output annual'!$AD$2&amp;"*FangerPMV(Hourly)",'Eplus results'!$1:$1048576,ROW(),FALSE)</f>
        <v>0</v>
      </c>
      <c r="AD578" s="580">
        <f t="shared" si="76"/>
        <v>5</v>
      </c>
      <c r="AE578" s="580">
        <f t="shared" si="77"/>
        <v>2.5</v>
      </c>
      <c r="AF578" s="580">
        <f t="shared" si="78"/>
        <v>2.5</v>
      </c>
      <c r="AG578" s="580">
        <f t="shared" si="79"/>
        <v>0</v>
      </c>
      <c r="AH578" s="580">
        <f t="shared" si="80"/>
        <v>0</v>
      </c>
      <c r="AI578" s="149"/>
      <c r="AJ578" s="149"/>
      <c r="AK578" s="149"/>
      <c r="AL578" s="149"/>
      <c r="AM578" s="149"/>
      <c r="AN578" s="149"/>
      <c r="AO578" s="149"/>
      <c r="AP578" s="149"/>
    </row>
    <row r="579" spans="2:42">
      <c r="B579" s="221">
        <v>135</v>
      </c>
      <c r="C579" s="54" t="s">
        <v>287</v>
      </c>
      <c r="D579" s="223">
        <v>23.912964986323601</v>
      </c>
      <c r="E579" s="344">
        <v>2.4124790221125898</v>
      </c>
      <c r="F579" s="179">
        <v>23.89</v>
      </c>
      <c r="G579" s="179">
        <v>21.11</v>
      </c>
      <c r="H579" s="223">
        <v>18.103092590723001</v>
      </c>
      <c r="I579" s="297">
        <v>0.61215388128821457</v>
      </c>
      <c r="J579" s="149"/>
      <c r="K579" s="149"/>
      <c r="L579" s="149"/>
      <c r="M579" s="149"/>
      <c r="N579" s="149"/>
      <c r="O579" s="149"/>
      <c r="P579" s="149"/>
      <c r="Q579" s="149"/>
      <c r="R579" s="149"/>
      <c r="S579" s="149"/>
      <c r="T579" s="149"/>
      <c r="U579" s="149"/>
      <c r="V579" s="149"/>
      <c r="W579" s="149"/>
      <c r="X579" s="149"/>
      <c r="Y579" s="149"/>
      <c r="Z579" s="149"/>
      <c r="AA579" s="149"/>
      <c r="AB579" s="580">
        <f>HLOOKUP("*"&amp;'Output annual'!$AC$2&amp;'Output annual'!$AD$2&amp;"*Zone People Number Of Occupants [](Hourly)",'Eplus results'!$1:$1048576,ROW(),FALSE)</f>
        <v>0</v>
      </c>
      <c r="AC579" s="580">
        <f>HLOOKUP("*"&amp;'Output annual'!$AC$2&amp;'Output annual'!$AD$2&amp;"*FangerPMV(Hourly)",'Eplus results'!$1:$1048576,ROW(),FALSE)</f>
        <v>0</v>
      </c>
      <c r="AD579" s="580">
        <f t="shared" ref="AD579:AD642" si="81">100-95*EXP(-0.03353*AC579^4-0.2179*AC579^2)</f>
        <v>5</v>
      </c>
      <c r="AE579" s="580">
        <f t="shared" ref="AE579:AE642" si="82">AD579*(1/(1+EXP(-6.3*$AC579)))</f>
        <v>2.5</v>
      </c>
      <c r="AF579" s="580">
        <f t="shared" ref="AF579:AF642" si="83">(AD579-AE579)</f>
        <v>2.5</v>
      </c>
      <c r="AG579" s="580">
        <f t="shared" ref="AG579:AG642" si="84">AE579*AB579</f>
        <v>0</v>
      </c>
      <c r="AH579" s="580">
        <f t="shared" ref="AH579:AH642" si="85">AF579*AB579</f>
        <v>0</v>
      </c>
      <c r="AI579" s="149"/>
      <c r="AJ579" s="149"/>
      <c r="AK579" s="149"/>
      <c r="AL579" s="149"/>
      <c r="AM579" s="149"/>
      <c r="AN579" s="149"/>
      <c r="AO579" s="149"/>
      <c r="AP579" s="149"/>
    </row>
    <row r="580" spans="2:42">
      <c r="B580" s="221">
        <v>136</v>
      </c>
      <c r="C580" s="54" t="s">
        <v>288</v>
      </c>
      <c r="D580" s="223">
        <v>23.916058156262899</v>
      </c>
      <c r="E580" s="344">
        <v>2.47194028261627</v>
      </c>
      <c r="F580" s="179">
        <v>23.89</v>
      </c>
      <c r="G580" s="179">
        <v>21.11</v>
      </c>
      <c r="H580" s="223">
        <v>18.1843741660423</v>
      </c>
      <c r="I580" s="297">
        <v>0.6154319330981568</v>
      </c>
      <c r="J580" s="149"/>
      <c r="K580" s="149"/>
      <c r="L580" s="149"/>
      <c r="M580" s="149"/>
      <c r="N580" s="149"/>
      <c r="O580" s="149"/>
      <c r="P580" s="149"/>
      <c r="Q580" s="149"/>
      <c r="R580" s="149"/>
      <c r="S580" s="149"/>
      <c r="T580" s="149"/>
      <c r="U580" s="149"/>
      <c r="V580" s="149"/>
      <c r="W580" s="149"/>
      <c r="X580" s="149"/>
      <c r="Y580" s="149"/>
      <c r="Z580" s="149"/>
      <c r="AA580" s="149"/>
      <c r="AB580" s="580">
        <f>HLOOKUP("*"&amp;'Output annual'!$AC$2&amp;'Output annual'!$AD$2&amp;"*Zone People Number Of Occupants [](Hourly)",'Eplus results'!$1:$1048576,ROW(),FALSE)</f>
        <v>0</v>
      </c>
      <c r="AC580" s="580">
        <f>HLOOKUP("*"&amp;'Output annual'!$AC$2&amp;'Output annual'!$AD$2&amp;"*FangerPMV(Hourly)",'Eplus results'!$1:$1048576,ROW(),FALSE)</f>
        <v>0</v>
      </c>
      <c r="AD580" s="580">
        <f t="shared" si="81"/>
        <v>5</v>
      </c>
      <c r="AE580" s="580">
        <f t="shared" si="82"/>
        <v>2.5</v>
      </c>
      <c r="AF580" s="580">
        <f t="shared" si="83"/>
        <v>2.5</v>
      </c>
      <c r="AG580" s="580">
        <f t="shared" si="84"/>
        <v>0</v>
      </c>
      <c r="AH580" s="580">
        <f t="shared" si="85"/>
        <v>0</v>
      </c>
      <c r="AI580" s="149"/>
      <c r="AJ580" s="149"/>
      <c r="AK580" s="149"/>
      <c r="AL580" s="149"/>
      <c r="AM580" s="149"/>
      <c r="AN580" s="149"/>
      <c r="AO580" s="149"/>
      <c r="AP580" s="149"/>
    </row>
    <row r="581" spans="2:42">
      <c r="B581" s="221">
        <v>137</v>
      </c>
      <c r="C581" s="54" t="s">
        <v>289</v>
      </c>
      <c r="D581" s="223">
        <v>23.9096620938857</v>
      </c>
      <c r="E581" s="344">
        <v>2.4764931482899799</v>
      </c>
      <c r="F581" s="179">
        <v>23.89</v>
      </c>
      <c r="G581" s="179">
        <v>21.11</v>
      </c>
      <c r="H581" s="223">
        <v>18.340148857339202</v>
      </c>
      <c r="I581" s="297">
        <v>0.59992929935862749</v>
      </c>
      <c r="J581" s="149"/>
      <c r="K581" s="149"/>
      <c r="L581" s="149"/>
      <c r="M581" s="149"/>
      <c r="N581" s="149"/>
      <c r="O581" s="149"/>
      <c r="P581" s="149"/>
      <c r="Q581" s="149"/>
      <c r="R581" s="149"/>
      <c r="S581" s="149"/>
      <c r="T581" s="149"/>
      <c r="U581" s="149"/>
      <c r="V581" s="149"/>
      <c r="W581" s="149"/>
      <c r="X581" s="149"/>
      <c r="Y581" s="149"/>
      <c r="Z581" s="149"/>
      <c r="AA581" s="149"/>
      <c r="AB581" s="580">
        <f>HLOOKUP("*"&amp;'Output annual'!$AC$2&amp;'Output annual'!$AD$2&amp;"*Zone People Number Of Occupants [](Hourly)",'Eplus results'!$1:$1048576,ROW(),FALSE)</f>
        <v>0</v>
      </c>
      <c r="AC581" s="580">
        <f>HLOOKUP("*"&amp;'Output annual'!$AC$2&amp;'Output annual'!$AD$2&amp;"*FangerPMV(Hourly)",'Eplus results'!$1:$1048576,ROW(),FALSE)</f>
        <v>0</v>
      </c>
      <c r="AD581" s="580">
        <f t="shared" si="81"/>
        <v>5</v>
      </c>
      <c r="AE581" s="580">
        <f t="shared" si="82"/>
        <v>2.5</v>
      </c>
      <c r="AF581" s="580">
        <f t="shared" si="83"/>
        <v>2.5</v>
      </c>
      <c r="AG581" s="580">
        <f t="shared" si="84"/>
        <v>0</v>
      </c>
      <c r="AH581" s="580">
        <f t="shared" si="85"/>
        <v>0</v>
      </c>
      <c r="AI581" s="149"/>
      <c r="AJ581" s="149"/>
      <c r="AK581" s="149"/>
      <c r="AL581" s="149"/>
      <c r="AM581" s="149"/>
      <c r="AN581" s="149"/>
      <c r="AO581" s="149"/>
      <c r="AP581" s="149"/>
    </row>
    <row r="582" spans="2:42">
      <c r="B582" s="221">
        <v>138</v>
      </c>
      <c r="C582" s="54" t="s">
        <v>290</v>
      </c>
      <c r="D582" s="223">
        <v>23.4659527395916</v>
      </c>
      <c r="E582" s="344">
        <v>0.37430623797950402</v>
      </c>
      <c r="F582" s="179">
        <v>23.89</v>
      </c>
      <c r="G582" s="179">
        <v>21.11</v>
      </c>
      <c r="H582" s="223">
        <v>19.691650851156599</v>
      </c>
      <c r="I582" s="297">
        <v>0.28111930141812286</v>
      </c>
      <c r="J582" s="149"/>
      <c r="K582" s="149"/>
      <c r="L582" s="149"/>
      <c r="M582" s="149"/>
      <c r="N582" s="149"/>
      <c r="O582" s="149"/>
      <c r="P582" s="149"/>
      <c r="Q582" s="149"/>
      <c r="R582" s="149"/>
      <c r="S582" s="149"/>
      <c r="T582" s="149"/>
      <c r="U582" s="149"/>
      <c r="V582" s="149"/>
      <c r="W582" s="149"/>
      <c r="X582" s="149"/>
      <c r="Y582" s="149"/>
      <c r="Z582" s="149"/>
      <c r="AA582" s="149"/>
      <c r="AB582" s="580">
        <f>HLOOKUP("*"&amp;'Output annual'!$AC$2&amp;'Output annual'!$AD$2&amp;"*Zone People Number Of Occupants [](Hourly)",'Eplus results'!$1:$1048576,ROW(),FALSE)</f>
        <v>0</v>
      </c>
      <c r="AC582" s="580">
        <f>HLOOKUP("*"&amp;'Output annual'!$AC$2&amp;'Output annual'!$AD$2&amp;"*FangerPMV(Hourly)",'Eplus results'!$1:$1048576,ROW(),FALSE)</f>
        <v>0</v>
      </c>
      <c r="AD582" s="580">
        <f t="shared" si="81"/>
        <v>5</v>
      </c>
      <c r="AE582" s="580">
        <f t="shared" si="82"/>
        <v>2.5</v>
      </c>
      <c r="AF582" s="580">
        <f t="shared" si="83"/>
        <v>2.5</v>
      </c>
      <c r="AG582" s="580">
        <f t="shared" si="84"/>
        <v>0</v>
      </c>
      <c r="AH582" s="580">
        <f t="shared" si="85"/>
        <v>0</v>
      </c>
      <c r="AI582" s="149"/>
      <c r="AJ582" s="149"/>
      <c r="AK582" s="149"/>
      <c r="AL582" s="149"/>
      <c r="AM582" s="149"/>
      <c r="AN582" s="149"/>
      <c r="AO582" s="149"/>
      <c r="AP582" s="149"/>
    </row>
    <row r="583" spans="2:42">
      <c r="B583" s="221">
        <v>139</v>
      </c>
      <c r="C583" s="54" t="s">
        <v>291</v>
      </c>
      <c r="D583" s="223">
        <v>22.506281775938699</v>
      </c>
      <c r="E583" s="344">
        <v>0.33183981472282698</v>
      </c>
      <c r="F583" s="179">
        <v>23.89</v>
      </c>
      <c r="G583" s="179">
        <v>21.11</v>
      </c>
      <c r="H583" s="223">
        <v>21.0425679310665</v>
      </c>
      <c r="I583" s="297">
        <v>0.29666140909475536</v>
      </c>
      <c r="J583" s="149"/>
      <c r="K583" s="149"/>
      <c r="L583" s="149"/>
      <c r="M583" s="149"/>
      <c r="N583" s="149"/>
      <c r="O583" s="149"/>
      <c r="P583" s="149"/>
      <c r="Q583" s="149"/>
      <c r="R583" s="149"/>
      <c r="S583" s="149"/>
      <c r="T583" s="149"/>
      <c r="U583" s="149"/>
      <c r="V583" s="149"/>
      <c r="W583" s="149"/>
      <c r="X583" s="149"/>
      <c r="Y583" s="149"/>
      <c r="Z583" s="149"/>
      <c r="AA583" s="149"/>
      <c r="AB583" s="580">
        <f>HLOOKUP("*"&amp;'Output annual'!$AC$2&amp;'Output annual'!$AD$2&amp;"*Zone People Number Of Occupants [](Hourly)",'Eplus results'!$1:$1048576,ROW(),FALSE)</f>
        <v>0</v>
      </c>
      <c r="AC583" s="580">
        <f>HLOOKUP("*"&amp;'Output annual'!$AC$2&amp;'Output annual'!$AD$2&amp;"*FangerPMV(Hourly)",'Eplus results'!$1:$1048576,ROW(),FALSE)</f>
        <v>0</v>
      </c>
      <c r="AD583" s="580">
        <f t="shared" si="81"/>
        <v>5</v>
      </c>
      <c r="AE583" s="580">
        <f t="shared" si="82"/>
        <v>2.5</v>
      </c>
      <c r="AF583" s="580">
        <f t="shared" si="83"/>
        <v>2.5</v>
      </c>
      <c r="AG583" s="580">
        <f t="shared" si="84"/>
        <v>0</v>
      </c>
      <c r="AH583" s="580">
        <f t="shared" si="85"/>
        <v>0</v>
      </c>
      <c r="AI583" s="149"/>
      <c r="AJ583" s="149"/>
      <c r="AK583" s="149"/>
      <c r="AL583" s="149"/>
      <c r="AM583" s="149"/>
      <c r="AN583" s="149"/>
      <c r="AO583" s="149"/>
      <c r="AP583" s="149"/>
    </row>
    <row r="584" spans="2:42">
      <c r="B584" s="221">
        <v>140</v>
      </c>
      <c r="C584" s="54" t="s">
        <v>292</v>
      </c>
      <c r="D584" s="223">
        <v>23.886607358303401</v>
      </c>
      <c r="E584" s="344">
        <v>0</v>
      </c>
      <c r="F584" s="179">
        <v>32.22</v>
      </c>
      <c r="G584" s="179">
        <v>12.78</v>
      </c>
      <c r="H584" s="223">
        <v>22.019067055571298</v>
      </c>
      <c r="I584" s="297">
        <v>0</v>
      </c>
      <c r="J584" s="149"/>
      <c r="K584" s="149"/>
      <c r="L584" s="149"/>
      <c r="M584" s="149"/>
      <c r="N584" s="149"/>
      <c r="O584" s="149"/>
      <c r="P584" s="149"/>
      <c r="Q584" s="149"/>
      <c r="R584" s="149"/>
      <c r="S584" s="149"/>
      <c r="T584" s="149"/>
      <c r="U584" s="149"/>
      <c r="V584" s="149"/>
      <c r="W584" s="149"/>
      <c r="X584" s="149"/>
      <c r="Y584" s="149"/>
      <c r="Z584" s="149"/>
      <c r="AA584" s="149"/>
      <c r="AB584" s="580">
        <f>HLOOKUP("*"&amp;'Output annual'!$AC$2&amp;'Output annual'!$AD$2&amp;"*Zone People Number Of Occupants [](Hourly)",'Eplus results'!$1:$1048576,ROW(),FALSE)</f>
        <v>0</v>
      </c>
      <c r="AC584" s="580">
        <f>HLOOKUP("*"&amp;'Output annual'!$AC$2&amp;'Output annual'!$AD$2&amp;"*FangerPMV(Hourly)",'Eplus results'!$1:$1048576,ROW(),FALSE)</f>
        <v>0</v>
      </c>
      <c r="AD584" s="580">
        <f t="shared" si="81"/>
        <v>5</v>
      </c>
      <c r="AE584" s="580">
        <f t="shared" si="82"/>
        <v>2.5</v>
      </c>
      <c r="AF584" s="580">
        <f t="shared" si="83"/>
        <v>2.5</v>
      </c>
      <c r="AG584" s="580">
        <f t="shared" si="84"/>
        <v>0</v>
      </c>
      <c r="AH584" s="580">
        <f t="shared" si="85"/>
        <v>0</v>
      </c>
      <c r="AI584" s="149"/>
      <c r="AJ584" s="149"/>
      <c r="AK584" s="149"/>
      <c r="AL584" s="149"/>
      <c r="AM584" s="149"/>
      <c r="AN584" s="149"/>
      <c r="AO584" s="149"/>
      <c r="AP584" s="149"/>
    </row>
    <row r="585" spans="2:42">
      <c r="B585" s="221">
        <v>141</v>
      </c>
      <c r="C585" s="54" t="s">
        <v>293</v>
      </c>
      <c r="D585" s="223">
        <v>23.336025570815199</v>
      </c>
      <c r="E585" s="344">
        <v>0</v>
      </c>
      <c r="F585" s="179">
        <v>32.22</v>
      </c>
      <c r="G585" s="179">
        <v>12.78</v>
      </c>
      <c r="H585" s="223">
        <v>22.480142390694098</v>
      </c>
      <c r="I585" s="297">
        <v>0</v>
      </c>
      <c r="J585" s="149"/>
      <c r="K585" s="149"/>
      <c r="L585" s="149"/>
      <c r="M585" s="149"/>
      <c r="N585" s="149"/>
      <c r="O585" s="149"/>
      <c r="P585" s="149"/>
      <c r="Q585" s="149"/>
      <c r="R585" s="149"/>
      <c r="S585" s="149"/>
      <c r="T585" s="149"/>
      <c r="U585" s="149"/>
      <c r="V585" s="149"/>
      <c r="W585" s="149"/>
      <c r="X585" s="149"/>
      <c r="Y585" s="149"/>
      <c r="Z585" s="149"/>
      <c r="AA585" s="149"/>
      <c r="AB585" s="580">
        <f>HLOOKUP("*"&amp;'Output annual'!$AC$2&amp;'Output annual'!$AD$2&amp;"*Zone People Number Of Occupants [](Hourly)",'Eplus results'!$1:$1048576,ROW(),FALSE)</f>
        <v>0</v>
      </c>
      <c r="AC585" s="580">
        <f>HLOOKUP("*"&amp;'Output annual'!$AC$2&amp;'Output annual'!$AD$2&amp;"*FangerPMV(Hourly)",'Eplus results'!$1:$1048576,ROW(),FALSE)</f>
        <v>0</v>
      </c>
      <c r="AD585" s="580">
        <f t="shared" si="81"/>
        <v>5</v>
      </c>
      <c r="AE585" s="580">
        <f t="shared" si="82"/>
        <v>2.5</v>
      </c>
      <c r="AF585" s="580">
        <f t="shared" si="83"/>
        <v>2.5</v>
      </c>
      <c r="AG585" s="580">
        <f t="shared" si="84"/>
        <v>0</v>
      </c>
      <c r="AH585" s="580">
        <f t="shared" si="85"/>
        <v>0</v>
      </c>
      <c r="AI585" s="149"/>
      <c r="AJ585" s="149"/>
      <c r="AK585" s="149"/>
      <c r="AL585" s="149"/>
      <c r="AM585" s="149"/>
      <c r="AN585" s="149"/>
      <c r="AO585" s="149"/>
      <c r="AP585" s="149"/>
    </row>
    <row r="586" spans="2:42">
      <c r="B586" s="221">
        <v>142</v>
      </c>
      <c r="C586" s="54" t="s">
        <v>294</v>
      </c>
      <c r="D586" s="223">
        <v>22.7738691403041</v>
      </c>
      <c r="E586" s="344">
        <v>0</v>
      </c>
      <c r="F586" s="179">
        <v>32.22</v>
      </c>
      <c r="G586" s="179">
        <v>12.78</v>
      </c>
      <c r="H586" s="223">
        <v>22.5471743167776</v>
      </c>
      <c r="I586" s="297">
        <v>0</v>
      </c>
      <c r="J586" s="149"/>
      <c r="K586" s="149"/>
      <c r="L586" s="149"/>
      <c r="M586" s="149"/>
      <c r="N586" s="149"/>
      <c r="O586" s="149"/>
      <c r="P586" s="149"/>
      <c r="Q586" s="149"/>
      <c r="R586" s="149"/>
      <c r="S586" s="149"/>
      <c r="T586" s="149"/>
      <c r="U586" s="149"/>
      <c r="V586" s="149"/>
      <c r="W586" s="149"/>
      <c r="X586" s="149"/>
      <c r="Y586" s="149"/>
      <c r="Z586" s="149"/>
      <c r="AA586" s="149"/>
      <c r="AB586" s="580">
        <f>HLOOKUP("*"&amp;'Output annual'!$AC$2&amp;'Output annual'!$AD$2&amp;"*Zone People Number Of Occupants [](Hourly)",'Eplus results'!$1:$1048576,ROW(),FALSE)</f>
        <v>0</v>
      </c>
      <c r="AC586" s="580">
        <f>HLOOKUP("*"&amp;'Output annual'!$AC$2&amp;'Output annual'!$AD$2&amp;"*FangerPMV(Hourly)",'Eplus results'!$1:$1048576,ROW(),FALSE)</f>
        <v>0</v>
      </c>
      <c r="AD586" s="580">
        <f t="shared" si="81"/>
        <v>5</v>
      </c>
      <c r="AE586" s="580">
        <f t="shared" si="82"/>
        <v>2.5</v>
      </c>
      <c r="AF586" s="580">
        <f t="shared" si="83"/>
        <v>2.5</v>
      </c>
      <c r="AG586" s="580">
        <f t="shared" si="84"/>
        <v>0</v>
      </c>
      <c r="AH586" s="580">
        <f t="shared" si="85"/>
        <v>0</v>
      </c>
      <c r="AI586" s="149"/>
      <c r="AJ586" s="149"/>
      <c r="AK586" s="149"/>
      <c r="AL586" s="149"/>
      <c r="AM586" s="149"/>
      <c r="AN586" s="149"/>
      <c r="AO586" s="149"/>
      <c r="AP586" s="149"/>
    </row>
    <row r="587" spans="2:42">
      <c r="B587" s="221">
        <v>143</v>
      </c>
      <c r="C587" s="54" t="s">
        <v>295</v>
      </c>
      <c r="D587" s="223">
        <v>22.229426389536599</v>
      </c>
      <c r="E587" s="344">
        <v>0</v>
      </c>
      <c r="F587" s="179">
        <v>32.22</v>
      </c>
      <c r="G587" s="179">
        <v>12.78</v>
      </c>
      <c r="H587" s="223">
        <v>22.5442002971302</v>
      </c>
      <c r="I587" s="297">
        <v>0</v>
      </c>
      <c r="J587" s="149"/>
      <c r="K587" s="149"/>
      <c r="L587" s="149"/>
      <c r="M587" s="149"/>
      <c r="N587" s="149"/>
      <c r="O587" s="149"/>
      <c r="P587" s="149"/>
      <c r="Q587" s="149"/>
      <c r="R587" s="149"/>
      <c r="S587" s="149"/>
      <c r="T587" s="149"/>
      <c r="U587" s="149"/>
      <c r="V587" s="149"/>
      <c r="W587" s="149"/>
      <c r="X587" s="149"/>
      <c r="Y587" s="149"/>
      <c r="Z587" s="149"/>
      <c r="AA587" s="149"/>
      <c r="AB587" s="580">
        <f>HLOOKUP("*"&amp;'Output annual'!$AC$2&amp;'Output annual'!$AD$2&amp;"*Zone People Number Of Occupants [](Hourly)",'Eplus results'!$1:$1048576,ROW(),FALSE)</f>
        <v>0</v>
      </c>
      <c r="AC587" s="580">
        <f>HLOOKUP("*"&amp;'Output annual'!$AC$2&amp;'Output annual'!$AD$2&amp;"*FangerPMV(Hourly)",'Eplus results'!$1:$1048576,ROW(),FALSE)</f>
        <v>0</v>
      </c>
      <c r="AD587" s="580">
        <f t="shared" si="81"/>
        <v>5</v>
      </c>
      <c r="AE587" s="580">
        <f t="shared" si="82"/>
        <v>2.5</v>
      </c>
      <c r="AF587" s="580">
        <f t="shared" si="83"/>
        <v>2.5</v>
      </c>
      <c r="AG587" s="580">
        <f t="shared" si="84"/>
        <v>0</v>
      </c>
      <c r="AH587" s="580">
        <f t="shared" si="85"/>
        <v>0</v>
      </c>
      <c r="AI587" s="149"/>
      <c r="AJ587" s="149"/>
      <c r="AK587" s="149"/>
      <c r="AL587" s="149"/>
      <c r="AM587" s="149"/>
      <c r="AN587" s="149"/>
      <c r="AO587" s="149"/>
      <c r="AP587" s="149"/>
    </row>
    <row r="588" spans="2:42">
      <c r="B588" s="221">
        <v>144</v>
      </c>
      <c r="C588" s="54" t="s">
        <v>296</v>
      </c>
      <c r="D588" s="223">
        <v>21.6899000840585</v>
      </c>
      <c r="E588" s="344">
        <v>0</v>
      </c>
      <c r="F588" s="179">
        <v>32.22</v>
      </c>
      <c r="G588" s="179">
        <v>12.78</v>
      </c>
      <c r="H588" s="223">
        <v>22.497906015345201</v>
      </c>
      <c r="I588" s="297">
        <v>0</v>
      </c>
      <c r="J588" s="149"/>
      <c r="K588" s="149"/>
      <c r="L588" s="149"/>
      <c r="M588" s="149"/>
      <c r="N588" s="149"/>
      <c r="O588" s="149"/>
      <c r="P588" s="149"/>
      <c r="Q588" s="149"/>
      <c r="R588" s="149"/>
      <c r="S588" s="149"/>
      <c r="T588" s="149"/>
      <c r="U588" s="149"/>
      <c r="V588" s="149"/>
      <c r="W588" s="149"/>
      <c r="X588" s="149"/>
      <c r="Y588" s="149"/>
      <c r="Z588" s="149"/>
      <c r="AA588" s="149"/>
      <c r="AB588" s="580">
        <f>HLOOKUP("*"&amp;'Output annual'!$AC$2&amp;'Output annual'!$AD$2&amp;"*Zone People Number Of Occupants [](Hourly)",'Eplus results'!$1:$1048576,ROW(),FALSE)</f>
        <v>0</v>
      </c>
      <c r="AC588" s="580">
        <f>HLOOKUP("*"&amp;'Output annual'!$AC$2&amp;'Output annual'!$AD$2&amp;"*FangerPMV(Hourly)",'Eplus results'!$1:$1048576,ROW(),FALSE)</f>
        <v>0</v>
      </c>
      <c r="AD588" s="580">
        <f t="shared" si="81"/>
        <v>5</v>
      </c>
      <c r="AE588" s="580">
        <f t="shared" si="82"/>
        <v>2.5</v>
      </c>
      <c r="AF588" s="580">
        <f t="shared" si="83"/>
        <v>2.5</v>
      </c>
      <c r="AG588" s="580">
        <f t="shared" si="84"/>
        <v>0</v>
      </c>
      <c r="AH588" s="580">
        <f t="shared" si="85"/>
        <v>0</v>
      </c>
      <c r="AI588" s="149"/>
      <c r="AJ588" s="149"/>
      <c r="AK588" s="149"/>
      <c r="AL588" s="149"/>
      <c r="AM588" s="149"/>
      <c r="AN588" s="149"/>
      <c r="AO588" s="149"/>
      <c r="AP588" s="149"/>
    </row>
    <row r="589" spans="2:42">
      <c r="B589" s="221">
        <v>145</v>
      </c>
      <c r="C589" s="54" t="s">
        <v>297</v>
      </c>
      <c r="D589" s="223">
        <v>21.159823671974099</v>
      </c>
      <c r="E589" s="344">
        <v>0</v>
      </c>
      <c r="F589" s="179">
        <v>32.22</v>
      </c>
      <c r="G589" s="179">
        <v>12.78</v>
      </c>
      <c r="H589" s="223">
        <v>22.4162432430957</v>
      </c>
      <c r="I589" s="297">
        <v>0</v>
      </c>
      <c r="J589" s="149"/>
      <c r="K589" s="149"/>
      <c r="L589" s="149"/>
      <c r="M589" s="149"/>
      <c r="N589" s="149"/>
      <c r="O589" s="149"/>
      <c r="P589" s="149"/>
      <c r="Q589" s="149"/>
      <c r="R589" s="149"/>
      <c r="S589" s="149"/>
      <c r="T589" s="149"/>
      <c r="U589" s="149"/>
      <c r="V589" s="149"/>
      <c r="W589" s="149"/>
      <c r="X589" s="149"/>
      <c r="Y589" s="149"/>
      <c r="Z589" s="149"/>
      <c r="AA589" s="149"/>
      <c r="AB589" s="580">
        <f>HLOOKUP("*"&amp;'Output annual'!$AC$2&amp;'Output annual'!$AD$2&amp;"*Zone People Number Of Occupants [](Hourly)",'Eplus results'!$1:$1048576,ROW(),FALSE)</f>
        <v>0</v>
      </c>
      <c r="AC589" s="580">
        <f>HLOOKUP("*"&amp;'Output annual'!$AC$2&amp;'Output annual'!$AD$2&amp;"*FangerPMV(Hourly)",'Eplus results'!$1:$1048576,ROW(),FALSE)</f>
        <v>0</v>
      </c>
      <c r="AD589" s="580">
        <f t="shared" si="81"/>
        <v>5</v>
      </c>
      <c r="AE589" s="580">
        <f t="shared" si="82"/>
        <v>2.5</v>
      </c>
      <c r="AF589" s="580">
        <f t="shared" si="83"/>
        <v>2.5</v>
      </c>
      <c r="AG589" s="580">
        <f t="shared" si="84"/>
        <v>0</v>
      </c>
      <c r="AH589" s="580">
        <f t="shared" si="85"/>
        <v>0</v>
      </c>
      <c r="AI589" s="149"/>
      <c r="AJ589" s="149"/>
      <c r="AK589" s="149"/>
      <c r="AL589" s="149"/>
      <c r="AM589" s="149"/>
      <c r="AN589" s="149"/>
      <c r="AO589" s="149"/>
      <c r="AP589" s="149"/>
    </row>
    <row r="590" spans="2:42">
      <c r="B590" s="221">
        <v>146</v>
      </c>
      <c r="C590" s="54" t="s">
        <v>298</v>
      </c>
      <c r="D590" s="223">
        <v>20.674070257654702</v>
      </c>
      <c r="E590" s="344">
        <v>0</v>
      </c>
      <c r="F590" s="179">
        <v>32.22</v>
      </c>
      <c r="G590" s="179">
        <v>12.78</v>
      </c>
      <c r="H590" s="223">
        <v>22.309566111132199</v>
      </c>
      <c r="I590" s="297">
        <v>0</v>
      </c>
      <c r="J590" s="149"/>
      <c r="K590" s="149"/>
      <c r="L590" s="149"/>
      <c r="M590" s="149"/>
      <c r="N590" s="149"/>
      <c r="O590" s="149"/>
      <c r="P590" s="149"/>
      <c r="Q590" s="149"/>
      <c r="R590" s="149"/>
      <c r="S590" s="149"/>
      <c r="T590" s="149"/>
      <c r="U590" s="149"/>
      <c r="V590" s="149"/>
      <c r="W590" s="149"/>
      <c r="X590" s="149"/>
      <c r="Y590" s="149"/>
      <c r="Z590" s="149"/>
      <c r="AA590" s="149"/>
      <c r="AB590" s="580">
        <f>HLOOKUP("*"&amp;'Output annual'!$AC$2&amp;'Output annual'!$AD$2&amp;"*Zone People Number Of Occupants [](Hourly)",'Eplus results'!$1:$1048576,ROW(),FALSE)</f>
        <v>0</v>
      </c>
      <c r="AC590" s="580">
        <f>HLOOKUP("*"&amp;'Output annual'!$AC$2&amp;'Output annual'!$AD$2&amp;"*FangerPMV(Hourly)",'Eplus results'!$1:$1048576,ROW(),FALSE)</f>
        <v>0</v>
      </c>
      <c r="AD590" s="580">
        <f t="shared" si="81"/>
        <v>5</v>
      </c>
      <c r="AE590" s="580">
        <f t="shared" si="82"/>
        <v>2.5</v>
      </c>
      <c r="AF590" s="580">
        <f t="shared" si="83"/>
        <v>2.5</v>
      </c>
      <c r="AG590" s="580">
        <f t="shared" si="84"/>
        <v>0</v>
      </c>
      <c r="AH590" s="580">
        <f t="shared" si="85"/>
        <v>0</v>
      </c>
      <c r="AI590" s="149"/>
      <c r="AJ590" s="149"/>
      <c r="AK590" s="149"/>
      <c r="AL590" s="149"/>
      <c r="AM590" s="149"/>
      <c r="AN590" s="149"/>
      <c r="AO590" s="149"/>
      <c r="AP590" s="149"/>
    </row>
    <row r="591" spans="2:42">
      <c r="B591" s="221">
        <v>147</v>
      </c>
      <c r="C591" s="54" t="s">
        <v>299</v>
      </c>
      <c r="D591" s="223">
        <v>20.272081032090899</v>
      </c>
      <c r="E591" s="344">
        <v>0</v>
      </c>
      <c r="F591" s="179">
        <v>32.22</v>
      </c>
      <c r="G591" s="179">
        <v>12.78</v>
      </c>
      <c r="H591" s="223">
        <v>22.182197200095601</v>
      </c>
      <c r="I591" s="297">
        <v>0</v>
      </c>
      <c r="J591" s="149"/>
      <c r="K591" s="149"/>
      <c r="L591" s="149"/>
      <c r="M591" s="149"/>
      <c r="N591" s="149"/>
      <c r="O591" s="149"/>
      <c r="P591" s="149"/>
      <c r="Q591" s="149"/>
      <c r="R591" s="149"/>
      <c r="S591" s="149"/>
      <c r="T591" s="149"/>
      <c r="U591" s="149"/>
      <c r="V591" s="149"/>
      <c r="W591" s="149"/>
      <c r="X591" s="149"/>
      <c r="Y591" s="149"/>
      <c r="Z591" s="149"/>
      <c r="AA591" s="149"/>
      <c r="AB591" s="580">
        <f>HLOOKUP("*"&amp;'Output annual'!$AC$2&amp;'Output annual'!$AD$2&amp;"*Zone People Number Of Occupants [](Hourly)",'Eplus results'!$1:$1048576,ROW(),FALSE)</f>
        <v>0</v>
      </c>
      <c r="AC591" s="580">
        <f>HLOOKUP("*"&amp;'Output annual'!$AC$2&amp;'Output annual'!$AD$2&amp;"*FangerPMV(Hourly)",'Eplus results'!$1:$1048576,ROW(),FALSE)</f>
        <v>0</v>
      </c>
      <c r="AD591" s="580">
        <f t="shared" si="81"/>
        <v>5</v>
      </c>
      <c r="AE591" s="580">
        <f t="shared" si="82"/>
        <v>2.5</v>
      </c>
      <c r="AF591" s="580">
        <f t="shared" si="83"/>
        <v>2.5</v>
      </c>
      <c r="AG591" s="580">
        <f t="shared" si="84"/>
        <v>0</v>
      </c>
      <c r="AH591" s="580">
        <f t="shared" si="85"/>
        <v>0</v>
      </c>
      <c r="AI591" s="149"/>
      <c r="AJ591" s="149"/>
      <c r="AK591" s="149"/>
      <c r="AL591" s="149"/>
      <c r="AM591" s="149"/>
      <c r="AN591" s="149"/>
      <c r="AO591" s="149"/>
      <c r="AP591" s="149"/>
    </row>
    <row r="592" spans="2:42">
      <c r="B592" s="221">
        <v>148</v>
      </c>
      <c r="C592" s="54" t="s">
        <v>300</v>
      </c>
      <c r="D592" s="223">
        <v>19.954909913004599</v>
      </c>
      <c r="E592" s="344">
        <v>0</v>
      </c>
      <c r="F592" s="179">
        <v>32.22</v>
      </c>
      <c r="G592" s="179">
        <v>12.78</v>
      </c>
      <c r="H592" s="223">
        <v>22.039686101153698</v>
      </c>
      <c r="I592" s="297">
        <v>0</v>
      </c>
      <c r="J592" s="149"/>
      <c r="K592" s="149"/>
      <c r="L592" s="149"/>
      <c r="M592" s="149"/>
      <c r="N592" s="149"/>
      <c r="O592" s="149"/>
      <c r="P592" s="149"/>
      <c r="Q592" s="149"/>
      <c r="R592" s="149"/>
      <c r="S592" s="149"/>
      <c r="T592" s="149"/>
      <c r="U592" s="149"/>
      <c r="V592" s="149"/>
      <c r="W592" s="149"/>
      <c r="X592" s="149"/>
      <c r="Y592" s="149"/>
      <c r="Z592" s="149"/>
      <c r="AA592" s="149"/>
      <c r="AB592" s="580">
        <f>HLOOKUP("*"&amp;'Output annual'!$AC$2&amp;'Output annual'!$AD$2&amp;"*Zone People Number Of Occupants [](Hourly)",'Eplus results'!$1:$1048576,ROW(),FALSE)</f>
        <v>0</v>
      </c>
      <c r="AC592" s="580">
        <f>HLOOKUP("*"&amp;'Output annual'!$AC$2&amp;'Output annual'!$AD$2&amp;"*FangerPMV(Hourly)",'Eplus results'!$1:$1048576,ROW(),FALSE)</f>
        <v>0</v>
      </c>
      <c r="AD592" s="580">
        <f t="shared" si="81"/>
        <v>5</v>
      </c>
      <c r="AE592" s="580">
        <f t="shared" si="82"/>
        <v>2.5</v>
      </c>
      <c r="AF592" s="580">
        <f t="shared" si="83"/>
        <v>2.5</v>
      </c>
      <c r="AG592" s="580">
        <f t="shared" si="84"/>
        <v>0</v>
      </c>
      <c r="AH592" s="580">
        <f t="shared" si="85"/>
        <v>0</v>
      </c>
      <c r="AI592" s="149"/>
      <c r="AJ592" s="149"/>
      <c r="AK592" s="149"/>
      <c r="AL592" s="149"/>
      <c r="AM592" s="149"/>
      <c r="AN592" s="149"/>
      <c r="AO592" s="149"/>
      <c r="AP592" s="149"/>
    </row>
    <row r="593" spans="2:42">
      <c r="B593" s="221">
        <v>149</v>
      </c>
      <c r="C593" s="54" t="s">
        <v>301</v>
      </c>
      <c r="D593" s="223">
        <v>19.701554114404701</v>
      </c>
      <c r="E593" s="344">
        <v>0</v>
      </c>
      <c r="F593" s="179">
        <v>32.22</v>
      </c>
      <c r="G593" s="179">
        <v>12.78</v>
      </c>
      <c r="H593" s="223">
        <v>21.890982468271201</v>
      </c>
      <c r="I593" s="297">
        <v>0</v>
      </c>
      <c r="J593" s="149"/>
      <c r="K593" s="149"/>
      <c r="L593" s="149"/>
      <c r="M593" s="149"/>
      <c r="N593" s="149"/>
      <c r="O593" s="149"/>
      <c r="P593" s="149"/>
      <c r="Q593" s="149"/>
      <c r="R593" s="149"/>
      <c r="S593" s="149"/>
      <c r="T593" s="149"/>
      <c r="U593" s="149"/>
      <c r="V593" s="149"/>
      <c r="W593" s="149"/>
      <c r="X593" s="149"/>
      <c r="Y593" s="149"/>
      <c r="Z593" s="149"/>
      <c r="AA593" s="149"/>
      <c r="AB593" s="580">
        <f>HLOOKUP("*"&amp;'Output annual'!$AC$2&amp;'Output annual'!$AD$2&amp;"*Zone People Number Of Occupants [](Hourly)",'Eplus results'!$1:$1048576,ROW(),FALSE)</f>
        <v>0</v>
      </c>
      <c r="AC593" s="580">
        <f>HLOOKUP("*"&amp;'Output annual'!$AC$2&amp;'Output annual'!$AD$2&amp;"*FangerPMV(Hourly)",'Eplus results'!$1:$1048576,ROW(),FALSE)</f>
        <v>0</v>
      </c>
      <c r="AD593" s="580">
        <f t="shared" si="81"/>
        <v>5</v>
      </c>
      <c r="AE593" s="580">
        <f t="shared" si="82"/>
        <v>2.5</v>
      </c>
      <c r="AF593" s="580">
        <f t="shared" si="83"/>
        <v>2.5</v>
      </c>
      <c r="AG593" s="580">
        <f t="shared" si="84"/>
        <v>0</v>
      </c>
      <c r="AH593" s="580">
        <f t="shared" si="85"/>
        <v>0</v>
      </c>
      <c r="AI593" s="149"/>
      <c r="AJ593" s="149"/>
      <c r="AK593" s="149"/>
      <c r="AL593" s="149"/>
      <c r="AM593" s="149"/>
      <c r="AN593" s="149"/>
      <c r="AO593" s="149"/>
      <c r="AP593" s="149"/>
    </row>
    <row r="594" spans="2:42">
      <c r="B594" s="221">
        <v>150</v>
      </c>
      <c r="C594" s="54" t="s">
        <v>302</v>
      </c>
      <c r="D594" s="223">
        <v>19.682412003572001</v>
      </c>
      <c r="E594" s="344">
        <v>0.33183981472282698</v>
      </c>
      <c r="F594" s="179">
        <v>23.89</v>
      </c>
      <c r="G594" s="179">
        <v>21.11</v>
      </c>
      <c r="H594" s="223">
        <v>20.474730928896001</v>
      </c>
      <c r="I594" s="297">
        <v>0</v>
      </c>
      <c r="J594" s="149"/>
      <c r="K594" s="149"/>
      <c r="L594" s="149"/>
      <c r="M594" s="149"/>
      <c r="N594" s="149"/>
      <c r="O594" s="149"/>
      <c r="P594" s="149"/>
      <c r="Q594" s="149"/>
      <c r="R594" s="149"/>
      <c r="S594" s="149"/>
      <c r="T594" s="149"/>
      <c r="U594" s="149"/>
      <c r="V594" s="149"/>
      <c r="W594" s="149"/>
      <c r="X594" s="149"/>
      <c r="Y594" s="149"/>
      <c r="Z594" s="149"/>
      <c r="AA594" s="149"/>
      <c r="AB594" s="580">
        <f>HLOOKUP("*"&amp;'Output annual'!$AC$2&amp;'Output annual'!$AD$2&amp;"*Zone People Number Of Occupants [](Hourly)",'Eplus results'!$1:$1048576,ROW(),FALSE)</f>
        <v>0</v>
      </c>
      <c r="AC594" s="580">
        <f>HLOOKUP("*"&amp;'Output annual'!$AC$2&amp;'Output annual'!$AD$2&amp;"*FangerPMV(Hourly)",'Eplus results'!$1:$1048576,ROW(),FALSE)</f>
        <v>0</v>
      </c>
      <c r="AD594" s="580">
        <f t="shared" si="81"/>
        <v>5</v>
      </c>
      <c r="AE594" s="580">
        <f t="shared" si="82"/>
        <v>2.5</v>
      </c>
      <c r="AF594" s="580">
        <f t="shared" si="83"/>
        <v>2.5</v>
      </c>
      <c r="AG594" s="580">
        <f t="shared" si="84"/>
        <v>0</v>
      </c>
      <c r="AH594" s="580">
        <f t="shared" si="85"/>
        <v>0</v>
      </c>
      <c r="AI594" s="149"/>
      <c r="AJ594" s="149"/>
      <c r="AK594" s="149"/>
      <c r="AL594" s="149"/>
      <c r="AM594" s="149"/>
      <c r="AN594" s="149"/>
      <c r="AO594" s="149"/>
      <c r="AP594" s="149"/>
    </row>
    <row r="595" spans="2:42">
      <c r="B595" s="221">
        <v>151</v>
      </c>
      <c r="C595" s="54" t="s">
        <v>303</v>
      </c>
      <c r="D595" s="223">
        <v>19.804911247364799</v>
      </c>
      <c r="E595" s="344">
        <v>0.33183981472282698</v>
      </c>
      <c r="F595" s="179">
        <v>23.89</v>
      </c>
      <c r="G595" s="179">
        <v>21.11</v>
      </c>
      <c r="H595" s="223">
        <v>19.9079369420859</v>
      </c>
      <c r="I595" s="297">
        <v>7.6674894865405635E-3</v>
      </c>
      <c r="J595" s="149"/>
      <c r="K595" s="149"/>
      <c r="L595" s="149"/>
      <c r="M595" s="149"/>
      <c r="N595" s="149"/>
      <c r="O595" s="149"/>
      <c r="P595" s="149"/>
      <c r="Q595" s="149"/>
      <c r="R595" s="149"/>
      <c r="S595" s="149"/>
      <c r="T595" s="149"/>
      <c r="U595" s="149"/>
      <c r="V595" s="149"/>
      <c r="W595" s="149"/>
      <c r="X595" s="149"/>
      <c r="Y595" s="149"/>
      <c r="Z595" s="149"/>
      <c r="AA595" s="149"/>
      <c r="AB595" s="580">
        <f>HLOOKUP("*"&amp;'Output annual'!$AC$2&amp;'Output annual'!$AD$2&amp;"*Zone People Number Of Occupants [](Hourly)",'Eplus results'!$1:$1048576,ROW(),FALSE)</f>
        <v>0</v>
      </c>
      <c r="AC595" s="580">
        <f>HLOOKUP("*"&amp;'Output annual'!$AC$2&amp;'Output annual'!$AD$2&amp;"*FangerPMV(Hourly)",'Eplus results'!$1:$1048576,ROW(),FALSE)</f>
        <v>0</v>
      </c>
      <c r="AD595" s="580">
        <f t="shared" si="81"/>
        <v>5</v>
      </c>
      <c r="AE595" s="580">
        <f t="shared" si="82"/>
        <v>2.5</v>
      </c>
      <c r="AF595" s="580">
        <f t="shared" si="83"/>
        <v>2.5</v>
      </c>
      <c r="AG595" s="580">
        <f t="shared" si="84"/>
        <v>0</v>
      </c>
      <c r="AH595" s="580">
        <f t="shared" si="85"/>
        <v>0</v>
      </c>
      <c r="AI595" s="149"/>
      <c r="AJ595" s="149"/>
      <c r="AK595" s="149"/>
      <c r="AL595" s="149"/>
      <c r="AM595" s="149"/>
      <c r="AN595" s="149"/>
      <c r="AO595" s="149"/>
      <c r="AP595" s="149"/>
    </row>
    <row r="596" spans="2:42">
      <c r="B596" s="221">
        <v>152</v>
      </c>
      <c r="C596" s="54" t="s">
        <v>304</v>
      </c>
      <c r="D596" s="223">
        <v>22.4055850402235</v>
      </c>
      <c r="E596" s="344">
        <v>1.1616174961793</v>
      </c>
      <c r="F596" s="179">
        <v>23.89</v>
      </c>
      <c r="G596" s="179">
        <v>21.11</v>
      </c>
      <c r="H596" s="223">
        <v>19.690225599368301</v>
      </c>
      <c r="I596" s="297">
        <v>0.19092765510713883</v>
      </c>
      <c r="J596" s="149"/>
      <c r="K596" s="149"/>
      <c r="L596" s="149"/>
      <c r="M596" s="149"/>
      <c r="N596" s="149"/>
      <c r="O596" s="149"/>
      <c r="P596" s="149"/>
      <c r="Q596" s="149"/>
      <c r="R596" s="149"/>
      <c r="S596" s="149"/>
      <c r="T596" s="149"/>
      <c r="U596" s="149"/>
      <c r="V596" s="149"/>
      <c r="W596" s="149"/>
      <c r="X596" s="149"/>
      <c r="Y596" s="149"/>
      <c r="Z596" s="149"/>
      <c r="AA596" s="149"/>
      <c r="AB596" s="580">
        <f>HLOOKUP("*"&amp;'Output annual'!$AC$2&amp;'Output annual'!$AD$2&amp;"*Zone People Number Of Occupants [](Hourly)",'Eplus results'!$1:$1048576,ROW(),FALSE)</f>
        <v>0</v>
      </c>
      <c r="AC596" s="580">
        <f>HLOOKUP("*"&amp;'Output annual'!$AC$2&amp;'Output annual'!$AD$2&amp;"*FangerPMV(Hourly)",'Eplus results'!$1:$1048576,ROW(),FALSE)</f>
        <v>0</v>
      </c>
      <c r="AD596" s="580">
        <f t="shared" si="81"/>
        <v>5</v>
      </c>
      <c r="AE596" s="580">
        <f t="shared" si="82"/>
        <v>2.5</v>
      </c>
      <c r="AF596" s="580">
        <f t="shared" si="83"/>
        <v>2.5</v>
      </c>
      <c r="AG596" s="580">
        <f t="shared" si="84"/>
        <v>0</v>
      </c>
      <c r="AH596" s="580">
        <f t="shared" si="85"/>
        <v>0</v>
      </c>
      <c r="AI596" s="149"/>
      <c r="AJ596" s="149"/>
      <c r="AK596" s="149"/>
      <c r="AL596" s="149"/>
      <c r="AM596" s="149"/>
      <c r="AN596" s="149"/>
      <c r="AO596" s="149"/>
      <c r="AP596" s="149"/>
    </row>
    <row r="597" spans="2:42">
      <c r="B597" s="221">
        <v>153</v>
      </c>
      <c r="C597" s="54" t="s">
        <v>305</v>
      </c>
      <c r="D597" s="223">
        <v>23.522880513266401</v>
      </c>
      <c r="E597" s="344">
        <v>1.26765522698183</v>
      </c>
      <c r="F597" s="179">
        <v>23.89</v>
      </c>
      <c r="G597" s="179">
        <v>21.11</v>
      </c>
      <c r="H597" s="223">
        <v>19.3128394968397</v>
      </c>
      <c r="I597" s="297">
        <v>0.29955324079562351</v>
      </c>
      <c r="J597" s="149"/>
      <c r="K597" s="149"/>
      <c r="L597" s="149"/>
      <c r="M597" s="149"/>
      <c r="N597" s="149"/>
      <c r="O597" s="149"/>
      <c r="P597" s="149"/>
      <c r="Q597" s="149"/>
      <c r="R597" s="149"/>
      <c r="S597" s="149"/>
      <c r="T597" s="149"/>
      <c r="U597" s="149"/>
      <c r="V597" s="149"/>
      <c r="W597" s="149"/>
      <c r="X597" s="149"/>
      <c r="Y597" s="149"/>
      <c r="Z597" s="149"/>
      <c r="AA597" s="149"/>
      <c r="AB597" s="580">
        <f>HLOOKUP("*"&amp;'Output annual'!$AC$2&amp;'Output annual'!$AD$2&amp;"*Zone People Number Of Occupants [](Hourly)",'Eplus results'!$1:$1048576,ROW(),FALSE)</f>
        <v>0</v>
      </c>
      <c r="AC597" s="580">
        <f>HLOOKUP("*"&amp;'Output annual'!$AC$2&amp;'Output annual'!$AD$2&amp;"*FangerPMV(Hourly)",'Eplus results'!$1:$1048576,ROW(),FALSE)</f>
        <v>0</v>
      </c>
      <c r="AD597" s="580">
        <f t="shared" si="81"/>
        <v>5</v>
      </c>
      <c r="AE597" s="580">
        <f t="shared" si="82"/>
        <v>2.5</v>
      </c>
      <c r="AF597" s="580">
        <f t="shared" si="83"/>
        <v>2.5</v>
      </c>
      <c r="AG597" s="580">
        <f t="shared" si="84"/>
        <v>0</v>
      </c>
      <c r="AH597" s="580">
        <f t="shared" si="85"/>
        <v>0</v>
      </c>
      <c r="AI597" s="149"/>
      <c r="AJ597" s="149"/>
      <c r="AK597" s="149"/>
      <c r="AL597" s="149"/>
      <c r="AM597" s="149"/>
      <c r="AN597" s="149"/>
      <c r="AO597" s="149"/>
      <c r="AP597" s="149"/>
    </row>
    <row r="598" spans="2:42">
      <c r="B598" s="221">
        <v>154</v>
      </c>
      <c r="C598" s="54" t="s">
        <v>306</v>
      </c>
      <c r="D598" s="223">
        <v>23.903981366745199</v>
      </c>
      <c r="E598" s="344">
        <v>1.55171926350931</v>
      </c>
      <c r="F598" s="179">
        <v>23.89</v>
      </c>
      <c r="G598" s="179">
        <v>21.11</v>
      </c>
      <c r="H598" s="223">
        <v>18.954872972100802</v>
      </c>
      <c r="I598" s="297">
        <v>0.37742185010237589</v>
      </c>
      <c r="J598" s="149"/>
      <c r="K598" s="149"/>
      <c r="L598" s="149"/>
      <c r="M598" s="149"/>
      <c r="N598" s="149"/>
      <c r="O598" s="149"/>
      <c r="P598" s="149"/>
      <c r="Q598" s="149"/>
      <c r="R598" s="149"/>
      <c r="S598" s="149"/>
      <c r="T598" s="149"/>
      <c r="U598" s="149"/>
      <c r="V598" s="149"/>
      <c r="W598" s="149"/>
      <c r="X598" s="149"/>
      <c r="Y598" s="149"/>
      <c r="Z598" s="149"/>
      <c r="AA598" s="149"/>
      <c r="AB598" s="580">
        <f>HLOOKUP("*"&amp;'Output annual'!$AC$2&amp;'Output annual'!$AD$2&amp;"*Zone People Number Of Occupants [](Hourly)",'Eplus results'!$1:$1048576,ROW(),FALSE)</f>
        <v>0</v>
      </c>
      <c r="AC598" s="580">
        <f>HLOOKUP("*"&amp;'Output annual'!$AC$2&amp;'Output annual'!$AD$2&amp;"*FangerPMV(Hourly)",'Eplus results'!$1:$1048576,ROW(),FALSE)</f>
        <v>0</v>
      </c>
      <c r="AD598" s="580">
        <f t="shared" si="81"/>
        <v>5</v>
      </c>
      <c r="AE598" s="580">
        <f t="shared" si="82"/>
        <v>2.5</v>
      </c>
      <c r="AF598" s="580">
        <f t="shared" si="83"/>
        <v>2.5</v>
      </c>
      <c r="AG598" s="580">
        <f t="shared" si="84"/>
        <v>0</v>
      </c>
      <c r="AH598" s="580">
        <f t="shared" si="85"/>
        <v>0</v>
      </c>
      <c r="AI598" s="149"/>
      <c r="AJ598" s="149"/>
      <c r="AK598" s="149"/>
      <c r="AL598" s="149"/>
      <c r="AM598" s="149"/>
      <c r="AN598" s="149"/>
      <c r="AO598" s="149"/>
      <c r="AP598" s="149"/>
    </row>
    <row r="599" spans="2:42">
      <c r="B599" s="221">
        <v>155</v>
      </c>
      <c r="C599" s="54" t="s">
        <v>307</v>
      </c>
      <c r="D599" s="223">
        <v>24.058113172237</v>
      </c>
      <c r="E599" s="344">
        <v>1.77617918494657</v>
      </c>
      <c r="F599" s="179">
        <v>23.89</v>
      </c>
      <c r="G599" s="179">
        <v>21.11</v>
      </c>
      <c r="H599" s="223">
        <v>18.767574125964298</v>
      </c>
      <c r="I599" s="297">
        <v>0.44699370892039403</v>
      </c>
      <c r="J599" s="149"/>
      <c r="K599" s="149"/>
      <c r="L599" s="149"/>
      <c r="M599" s="149"/>
      <c r="N599" s="149"/>
      <c r="O599" s="149"/>
      <c r="P599" s="149"/>
      <c r="Q599" s="149"/>
      <c r="R599" s="149"/>
      <c r="S599" s="149"/>
      <c r="T599" s="149"/>
      <c r="U599" s="149"/>
      <c r="V599" s="149"/>
      <c r="W599" s="149"/>
      <c r="X599" s="149"/>
      <c r="Y599" s="149"/>
      <c r="Z599" s="149"/>
      <c r="AA599" s="149"/>
      <c r="AB599" s="580">
        <f>HLOOKUP("*"&amp;'Output annual'!$AC$2&amp;'Output annual'!$AD$2&amp;"*Zone People Number Of Occupants [](Hourly)",'Eplus results'!$1:$1048576,ROW(),FALSE)</f>
        <v>0</v>
      </c>
      <c r="AC599" s="580">
        <f>HLOOKUP("*"&amp;'Output annual'!$AC$2&amp;'Output annual'!$AD$2&amp;"*FangerPMV(Hourly)",'Eplus results'!$1:$1048576,ROW(),FALSE)</f>
        <v>0</v>
      </c>
      <c r="AD599" s="580">
        <f t="shared" si="81"/>
        <v>5</v>
      </c>
      <c r="AE599" s="580">
        <f t="shared" si="82"/>
        <v>2.5</v>
      </c>
      <c r="AF599" s="580">
        <f t="shared" si="83"/>
        <v>2.5</v>
      </c>
      <c r="AG599" s="580">
        <f t="shared" si="84"/>
        <v>0</v>
      </c>
      <c r="AH599" s="580">
        <f t="shared" si="85"/>
        <v>0</v>
      </c>
      <c r="AI599" s="149"/>
      <c r="AJ599" s="149"/>
      <c r="AK599" s="149"/>
      <c r="AL599" s="149"/>
      <c r="AM599" s="149"/>
      <c r="AN599" s="149"/>
      <c r="AO599" s="149"/>
      <c r="AP599" s="149"/>
    </row>
    <row r="600" spans="2:42">
      <c r="B600" s="221">
        <v>156</v>
      </c>
      <c r="C600" s="54" t="s">
        <v>308</v>
      </c>
      <c r="D600" s="223">
        <v>24.019613435881599</v>
      </c>
      <c r="E600" s="344">
        <v>2.08944342483922</v>
      </c>
      <c r="F600" s="179">
        <v>23.89</v>
      </c>
      <c r="G600" s="179">
        <v>21.11</v>
      </c>
      <c r="H600" s="223">
        <v>18.630692599461302</v>
      </c>
      <c r="I600" s="297">
        <v>0.51586100180303573</v>
      </c>
      <c r="J600" s="149"/>
      <c r="K600" s="149"/>
      <c r="L600" s="149"/>
      <c r="M600" s="149"/>
      <c r="N600" s="149"/>
      <c r="O600" s="149"/>
      <c r="P600" s="149"/>
      <c r="Q600" s="149"/>
      <c r="R600" s="149"/>
      <c r="S600" s="149"/>
      <c r="T600" s="149"/>
      <c r="U600" s="149"/>
      <c r="V600" s="149"/>
      <c r="W600" s="149"/>
      <c r="X600" s="149"/>
      <c r="Y600" s="149"/>
      <c r="Z600" s="149"/>
      <c r="AA600" s="149"/>
      <c r="AB600" s="580">
        <f>HLOOKUP("*"&amp;'Output annual'!$AC$2&amp;'Output annual'!$AD$2&amp;"*Zone People Number Of Occupants [](Hourly)",'Eplus results'!$1:$1048576,ROW(),FALSE)</f>
        <v>0</v>
      </c>
      <c r="AC600" s="580">
        <f>HLOOKUP("*"&amp;'Output annual'!$AC$2&amp;'Output annual'!$AD$2&amp;"*FangerPMV(Hourly)",'Eplus results'!$1:$1048576,ROW(),FALSE)</f>
        <v>0</v>
      </c>
      <c r="AD600" s="580">
        <f t="shared" si="81"/>
        <v>5</v>
      </c>
      <c r="AE600" s="580">
        <f t="shared" si="82"/>
        <v>2.5</v>
      </c>
      <c r="AF600" s="580">
        <f t="shared" si="83"/>
        <v>2.5</v>
      </c>
      <c r="AG600" s="580">
        <f t="shared" si="84"/>
        <v>0</v>
      </c>
      <c r="AH600" s="580">
        <f t="shared" si="85"/>
        <v>0</v>
      </c>
      <c r="AI600" s="149"/>
      <c r="AJ600" s="149"/>
      <c r="AK600" s="149"/>
      <c r="AL600" s="149"/>
      <c r="AM600" s="149"/>
      <c r="AN600" s="149"/>
      <c r="AO600" s="149"/>
      <c r="AP600" s="149"/>
    </row>
    <row r="601" spans="2:42">
      <c r="B601" s="221">
        <v>157</v>
      </c>
      <c r="C601" s="54" t="s">
        <v>309</v>
      </c>
      <c r="D601" s="223">
        <v>23.9215877402786</v>
      </c>
      <c r="E601" s="344">
        <v>2.2852110958851202</v>
      </c>
      <c r="F601" s="179">
        <v>23.89</v>
      </c>
      <c r="G601" s="179">
        <v>21.11</v>
      </c>
      <c r="H601" s="223">
        <v>18.552212907213299</v>
      </c>
      <c r="I601" s="297">
        <v>0.54650307223753802</v>
      </c>
      <c r="J601" s="149"/>
      <c r="K601" s="149"/>
      <c r="L601" s="149"/>
      <c r="M601" s="149"/>
      <c r="N601" s="149"/>
      <c r="O601" s="149"/>
      <c r="P601" s="149"/>
      <c r="Q601" s="149"/>
      <c r="R601" s="149"/>
      <c r="S601" s="149"/>
      <c r="T601" s="149"/>
      <c r="U601" s="149"/>
      <c r="V601" s="149"/>
      <c r="W601" s="149"/>
      <c r="X601" s="149"/>
      <c r="Y601" s="149"/>
      <c r="Z601" s="149"/>
      <c r="AA601" s="149"/>
      <c r="AB601" s="580">
        <f>HLOOKUP("*"&amp;'Output annual'!$AC$2&amp;'Output annual'!$AD$2&amp;"*Zone People Number Of Occupants [](Hourly)",'Eplus results'!$1:$1048576,ROW(),FALSE)</f>
        <v>0</v>
      </c>
      <c r="AC601" s="580">
        <f>HLOOKUP("*"&amp;'Output annual'!$AC$2&amp;'Output annual'!$AD$2&amp;"*FangerPMV(Hourly)",'Eplus results'!$1:$1048576,ROW(),FALSE)</f>
        <v>0</v>
      </c>
      <c r="AD601" s="580">
        <f t="shared" si="81"/>
        <v>5</v>
      </c>
      <c r="AE601" s="580">
        <f t="shared" si="82"/>
        <v>2.5</v>
      </c>
      <c r="AF601" s="580">
        <f t="shared" si="83"/>
        <v>2.5</v>
      </c>
      <c r="AG601" s="580">
        <f t="shared" si="84"/>
        <v>0</v>
      </c>
      <c r="AH601" s="580">
        <f t="shared" si="85"/>
        <v>0</v>
      </c>
      <c r="AI601" s="149"/>
      <c r="AJ601" s="149"/>
      <c r="AK601" s="149"/>
      <c r="AL601" s="149"/>
      <c r="AM601" s="149"/>
      <c r="AN601" s="149"/>
      <c r="AO601" s="149"/>
      <c r="AP601" s="149"/>
    </row>
    <row r="602" spans="2:42">
      <c r="B602" s="221">
        <v>158</v>
      </c>
      <c r="C602" s="54" t="s">
        <v>163</v>
      </c>
      <c r="D602" s="223">
        <v>23.9096811660336</v>
      </c>
      <c r="E602" s="344">
        <v>2.36700795221447</v>
      </c>
      <c r="F602" s="179">
        <v>23.89</v>
      </c>
      <c r="G602" s="179">
        <v>21.11</v>
      </c>
      <c r="H602" s="223">
        <v>18.5298976356436</v>
      </c>
      <c r="I602" s="297">
        <v>0.56114182634309606</v>
      </c>
      <c r="J602" s="149"/>
      <c r="K602" s="149"/>
      <c r="L602" s="149"/>
      <c r="M602" s="149"/>
      <c r="N602" s="149"/>
      <c r="O602" s="149"/>
      <c r="P602" s="149"/>
      <c r="Q602" s="149"/>
      <c r="R602" s="149"/>
      <c r="S602" s="149"/>
      <c r="T602" s="149"/>
      <c r="U602" s="149"/>
      <c r="V602" s="149"/>
      <c r="W602" s="149"/>
      <c r="X602" s="149"/>
      <c r="Y602" s="149"/>
      <c r="Z602" s="149"/>
      <c r="AA602" s="149"/>
      <c r="AB602" s="580">
        <f>HLOOKUP("*"&amp;'Output annual'!$AC$2&amp;'Output annual'!$AD$2&amp;"*Zone People Number Of Occupants [](Hourly)",'Eplus results'!$1:$1048576,ROW(),FALSE)</f>
        <v>0</v>
      </c>
      <c r="AC602" s="580">
        <f>HLOOKUP("*"&amp;'Output annual'!$AC$2&amp;'Output annual'!$AD$2&amp;"*FangerPMV(Hourly)",'Eplus results'!$1:$1048576,ROW(),FALSE)</f>
        <v>0</v>
      </c>
      <c r="AD602" s="580">
        <f t="shared" si="81"/>
        <v>5</v>
      </c>
      <c r="AE602" s="580">
        <f t="shared" si="82"/>
        <v>2.5</v>
      </c>
      <c r="AF602" s="580">
        <f t="shared" si="83"/>
        <v>2.5</v>
      </c>
      <c r="AG602" s="580">
        <f t="shared" si="84"/>
        <v>0</v>
      </c>
      <c r="AH602" s="580">
        <f t="shared" si="85"/>
        <v>0</v>
      </c>
      <c r="AI602" s="149"/>
      <c r="AJ602" s="149"/>
      <c r="AK602" s="149"/>
      <c r="AL602" s="149"/>
      <c r="AM602" s="149"/>
      <c r="AN602" s="149"/>
      <c r="AO602" s="149"/>
      <c r="AP602" s="149"/>
    </row>
    <row r="603" spans="2:42">
      <c r="B603" s="221">
        <v>159</v>
      </c>
      <c r="C603" s="54" t="s">
        <v>164</v>
      </c>
      <c r="D603" s="223">
        <v>23.905180273099699</v>
      </c>
      <c r="E603" s="344">
        <v>2.4074788955383601</v>
      </c>
      <c r="F603" s="179">
        <v>23.89</v>
      </c>
      <c r="G603" s="179">
        <v>21.11</v>
      </c>
      <c r="H603" s="223">
        <v>18.538557061621901</v>
      </c>
      <c r="I603" s="297">
        <v>0.56700650294540222</v>
      </c>
      <c r="J603" s="149"/>
      <c r="K603" s="149"/>
      <c r="L603" s="149"/>
      <c r="M603" s="149"/>
      <c r="N603" s="149"/>
      <c r="O603" s="149"/>
      <c r="P603" s="149"/>
      <c r="Q603" s="149"/>
      <c r="R603" s="149"/>
      <c r="S603" s="149"/>
      <c r="T603" s="149"/>
      <c r="U603" s="149"/>
      <c r="V603" s="149"/>
      <c r="W603" s="149"/>
      <c r="X603" s="149"/>
      <c r="Y603" s="149"/>
      <c r="Z603" s="149"/>
      <c r="AA603" s="149"/>
      <c r="AB603" s="580">
        <f>HLOOKUP("*"&amp;'Output annual'!$AC$2&amp;'Output annual'!$AD$2&amp;"*Zone People Number Of Occupants [](Hourly)",'Eplus results'!$1:$1048576,ROW(),FALSE)</f>
        <v>0</v>
      </c>
      <c r="AC603" s="580">
        <f>HLOOKUP("*"&amp;'Output annual'!$AC$2&amp;'Output annual'!$AD$2&amp;"*FangerPMV(Hourly)",'Eplus results'!$1:$1048576,ROW(),FALSE)</f>
        <v>0</v>
      </c>
      <c r="AD603" s="580">
        <f t="shared" si="81"/>
        <v>5</v>
      </c>
      <c r="AE603" s="580">
        <f t="shared" si="82"/>
        <v>2.5</v>
      </c>
      <c r="AF603" s="580">
        <f t="shared" si="83"/>
        <v>2.5</v>
      </c>
      <c r="AG603" s="580">
        <f t="shared" si="84"/>
        <v>0</v>
      </c>
      <c r="AH603" s="580">
        <f t="shared" si="85"/>
        <v>0</v>
      </c>
      <c r="AI603" s="149"/>
      <c r="AJ603" s="149"/>
      <c r="AK603" s="149"/>
      <c r="AL603" s="149"/>
      <c r="AM603" s="149"/>
      <c r="AN603" s="149"/>
      <c r="AO603" s="149"/>
      <c r="AP603" s="149"/>
    </row>
    <row r="604" spans="2:42">
      <c r="B604" s="221">
        <v>160</v>
      </c>
      <c r="C604" s="54" t="s">
        <v>165</v>
      </c>
      <c r="D604" s="223">
        <v>23.906459970165098</v>
      </c>
      <c r="E604" s="344">
        <v>2.4371695669990201</v>
      </c>
      <c r="F604" s="179">
        <v>23.89</v>
      </c>
      <c r="G604" s="179">
        <v>21.11</v>
      </c>
      <c r="H604" s="223">
        <v>18.564191971506101</v>
      </c>
      <c r="I604" s="297">
        <v>0.56955441093945369</v>
      </c>
      <c r="J604" s="149"/>
      <c r="K604" s="149"/>
      <c r="L604" s="149"/>
      <c r="M604" s="149"/>
      <c r="N604" s="149"/>
      <c r="O604" s="149"/>
      <c r="P604" s="149"/>
      <c r="Q604" s="149"/>
      <c r="R604" s="149"/>
      <c r="S604" s="149"/>
      <c r="T604" s="149"/>
      <c r="U604" s="149"/>
      <c r="V604" s="149"/>
      <c r="W604" s="149"/>
      <c r="X604" s="149"/>
      <c r="Y604" s="149"/>
      <c r="Z604" s="149"/>
      <c r="AA604" s="149"/>
      <c r="AB604" s="580">
        <f>HLOOKUP("*"&amp;'Output annual'!$AC$2&amp;'Output annual'!$AD$2&amp;"*Zone People Number Of Occupants [](Hourly)",'Eplus results'!$1:$1048576,ROW(),FALSE)</f>
        <v>0</v>
      </c>
      <c r="AC604" s="580">
        <f>HLOOKUP("*"&amp;'Output annual'!$AC$2&amp;'Output annual'!$AD$2&amp;"*FangerPMV(Hourly)",'Eplus results'!$1:$1048576,ROW(),FALSE)</f>
        <v>0</v>
      </c>
      <c r="AD604" s="580">
        <f t="shared" si="81"/>
        <v>5</v>
      </c>
      <c r="AE604" s="580">
        <f t="shared" si="82"/>
        <v>2.5</v>
      </c>
      <c r="AF604" s="580">
        <f t="shared" si="83"/>
        <v>2.5</v>
      </c>
      <c r="AG604" s="580">
        <f t="shared" si="84"/>
        <v>0</v>
      </c>
      <c r="AH604" s="580">
        <f t="shared" si="85"/>
        <v>0</v>
      </c>
      <c r="AI604" s="149"/>
      <c r="AJ604" s="149"/>
      <c r="AK604" s="149"/>
      <c r="AL604" s="149"/>
      <c r="AM604" s="149"/>
      <c r="AN604" s="149"/>
      <c r="AO604" s="149"/>
      <c r="AP604" s="149"/>
    </row>
    <row r="605" spans="2:42">
      <c r="B605" s="221">
        <v>161</v>
      </c>
      <c r="C605" s="54" t="s">
        <v>166</v>
      </c>
      <c r="D605" s="223">
        <v>23.9021577900015</v>
      </c>
      <c r="E605" s="344">
        <v>2.4415026723549502</v>
      </c>
      <c r="F605" s="179">
        <v>23.89</v>
      </c>
      <c r="G605" s="179">
        <v>21.11</v>
      </c>
      <c r="H605" s="223">
        <v>18.6088262772668</v>
      </c>
      <c r="I605" s="297">
        <v>0.56553930997861113</v>
      </c>
      <c r="J605" s="149"/>
      <c r="K605" s="149"/>
      <c r="L605" s="149"/>
      <c r="M605" s="149"/>
      <c r="N605" s="149"/>
      <c r="O605" s="149"/>
      <c r="P605" s="149"/>
      <c r="Q605" s="149"/>
      <c r="R605" s="149"/>
      <c r="S605" s="149"/>
      <c r="T605" s="149"/>
      <c r="U605" s="149"/>
      <c r="V605" s="149"/>
      <c r="W605" s="149"/>
      <c r="X605" s="149"/>
      <c r="Y605" s="149"/>
      <c r="Z605" s="149"/>
      <c r="AA605" s="149"/>
      <c r="AB605" s="580">
        <f>HLOOKUP("*"&amp;'Output annual'!$AC$2&amp;'Output annual'!$AD$2&amp;"*Zone People Number Of Occupants [](Hourly)",'Eplus results'!$1:$1048576,ROW(),FALSE)</f>
        <v>0</v>
      </c>
      <c r="AC605" s="580">
        <f>HLOOKUP("*"&amp;'Output annual'!$AC$2&amp;'Output annual'!$AD$2&amp;"*FangerPMV(Hourly)",'Eplus results'!$1:$1048576,ROW(),FALSE)</f>
        <v>0</v>
      </c>
      <c r="AD605" s="580">
        <f t="shared" si="81"/>
        <v>5</v>
      </c>
      <c r="AE605" s="580">
        <f t="shared" si="82"/>
        <v>2.5</v>
      </c>
      <c r="AF605" s="580">
        <f t="shared" si="83"/>
        <v>2.5</v>
      </c>
      <c r="AG605" s="580">
        <f t="shared" si="84"/>
        <v>0</v>
      </c>
      <c r="AH605" s="580">
        <f t="shared" si="85"/>
        <v>0</v>
      </c>
      <c r="AI605" s="149"/>
      <c r="AJ605" s="149"/>
      <c r="AK605" s="149"/>
      <c r="AL605" s="149"/>
      <c r="AM605" s="149"/>
      <c r="AN605" s="149"/>
      <c r="AO605" s="149"/>
      <c r="AP605" s="149"/>
    </row>
    <row r="606" spans="2:42">
      <c r="B606" s="221">
        <v>162</v>
      </c>
      <c r="C606" s="54" t="s">
        <v>167</v>
      </c>
      <c r="D606" s="223">
        <v>23.379414323508701</v>
      </c>
      <c r="E606" s="344">
        <v>0.35554194751824297</v>
      </c>
      <c r="F606" s="179">
        <v>23.89</v>
      </c>
      <c r="G606" s="179">
        <v>21.11</v>
      </c>
      <c r="H606" s="223">
        <v>20.062222036061101</v>
      </c>
      <c r="I606" s="297">
        <v>0.24291403704507858</v>
      </c>
      <c r="J606" s="149"/>
      <c r="K606" s="149"/>
      <c r="L606" s="149"/>
      <c r="M606" s="149"/>
      <c r="N606" s="149"/>
      <c r="O606" s="149"/>
      <c r="P606" s="149"/>
      <c r="Q606" s="149"/>
      <c r="R606" s="149"/>
      <c r="S606" s="149"/>
      <c r="T606" s="149"/>
      <c r="U606" s="149"/>
      <c r="V606" s="149"/>
      <c r="W606" s="149"/>
      <c r="X606" s="149"/>
      <c r="Y606" s="149"/>
      <c r="Z606" s="149"/>
      <c r="AA606" s="149"/>
      <c r="AB606" s="580">
        <f>HLOOKUP("*"&amp;'Output annual'!$AC$2&amp;'Output annual'!$AD$2&amp;"*Zone People Number Of Occupants [](Hourly)",'Eplus results'!$1:$1048576,ROW(),FALSE)</f>
        <v>0</v>
      </c>
      <c r="AC606" s="580">
        <f>HLOOKUP("*"&amp;'Output annual'!$AC$2&amp;'Output annual'!$AD$2&amp;"*FangerPMV(Hourly)",'Eplus results'!$1:$1048576,ROW(),FALSE)</f>
        <v>0</v>
      </c>
      <c r="AD606" s="580">
        <f t="shared" si="81"/>
        <v>5</v>
      </c>
      <c r="AE606" s="580">
        <f t="shared" si="82"/>
        <v>2.5</v>
      </c>
      <c r="AF606" s="580">
        <f t="shared" si="83"/>
        <v>2.5</v>
      </c>
      <c r="AG606" s="580">
        <f t="shared" si="84"/>
        <v>0</v>
      </c>
      <c r="AH606" s="580">
        <f t="shared" si="85"/>
        <v>0</v>
      </c>
      <c r="AI606" s="149"/>
      <c r="AJ606" s="149"/>
      <c r="AK606" s="149"/>
      <c r="AL606" s="149"/>
      <c r="AM606" s="149"/>
      <c r="AN606" s="149"/>
      <c r="AO606" s="149"/>
      <c r="AP606" s="149"/>
    </row>
    <row r="607" spans="2:42">
      <c r="B607" s="221">
        <v>163</v>
      </c>
      <c r="C607" s="54" t="s">
        <v>168</v>
      </c>
      <c r="D607" s="223">
        <v>22.516988766805699</v>
      </c>
      <c r="E607" s="344">
        <v>0.33183981472282698</v>
      </c>
      <c r="F607" s="179">
        <v>23.89</v>
      </c>
      <c r="G607" s="179">
        <v>21.11</v>
      </c>
      <c r="H607" s="223">
        <v>21.359916711224301</v>
      </c>
      <c r="I607" s="297">
        <v>0.25327517661007415</v>
      </c>
      <c r="J607" s="149"/>
      <c r="K607" s="149"/>
      <c r="L607" s="149"/>
      <c r="M607" s="149"/>
      <c r="N607" s="149"/>
      <c r="O607" s="149"/>
      <c r="P607" s="149"/>
      <c r="Q607" s="149"/>
      <c r="R607" s="149"/>
      <c r="S607" s="149"/>
      <c r="T607" s="149"/>
      <c r="U607" s="149"/>
      <c r="V607" s="149"/>
      <c r="W607" s="149"/>
      <c r="X607" s="149"/>
      <c r="Y607" s="149"/>
      <c r="Z607" s="149"/>
      <c r="AA607" s="149"/>
      <c r="AB607" s="580">
        <f>HLOOKUP("*"&amp;'Output annual'!$AC$2&amp;'Output annual'!$AD$2&amp;"*Zone People Number Of Occupants [](Hourly)",'Eplus results'!$1:$1048576,ROW(),FALSE)</f>
        <v>0</v>
      </c>
      <c r="AC607" s="580">
        <f>HLOOKUP("*"&amp;'Output annual'!$AC$2&amp;'Output annual'!$AD$2&amp;"*FangerPMV(Hourly)",'Eplus results'!$1:$1048576,ROW(),FALSE)</f>
        <v>0</v>
      </c>
      <c r="AD607" s="580">
        <f t="shared" si="81"/>
        <v>5</v>
      </c>
      <c r="AE607" s="580">
        <f t="shared" si="82"/>
        <v>2.5</v>
      </c>
      <c r="AF607" s="580">
        <f t="shared" si="83"/>
        <v>2.5</v>
      </c>
      <c r="AG607" s="580">
        <f t="shared" si="84"/>
        <v>0</v>
      </c>
      <c r="AH607" s="580">
        <f t="shared" si="85"/>
        <v>0</v>
      </c>
      <c r="AI607" s="149"/>
      <c r="AJ607" s="149"/>
      <c r="AK607" s="149"/>
      <c r="AL607" s="149"/>
      <c r="AM607" s="149"/>
      <c r="AN607" s="149"/>
      <c r="AO607" s="149"/>
      <c r="AP607" s="149"/>
    </row>
    <row r="608" spans="2:42">
      <c r="B608" s="221">
        <v>164</v>
      </c>
      <c r="C608" s="54" t="s">
        <v>169</v>
      </c>
      <c r="D608" s="223">
        <v>23.7895485433821</v>
      </c>
      <c r="E608" s="344">
        <v>0</v>
      </c>
      <c r="F608" s="179">
        <v>32.22</v>
      </c>
      <c r="G608" s="179">
        <v>12.78</v>
      </c>
      <c r="H608" s="223">
        <v>22.203398248615301</v>
      </c>
      <c r="I608" s="297">
        <v>0</v>
      </c>
      <c r="J608" s="149"/>
      <c r="K608" s="149"/>
      <c r="L608" s="149"/>
      <c r="M608" s="149"/>
      <c r="N608" s="149"/>
      <c r="O608" s="149"/>
      <c r="P608" s="149"/>
      <c r="Q608" s="149"/>
      <c r="R608" s="149"/>
      <c r="S608" s="149"/>
      <c r="T608" s="149"/>
      <c r="U608" s="149"/>
      <c r="V608" s="149"/>
      <c r="W608" s="149"/>
      <c r="X608" s="149"/>
      <c r="Y608" s="149"/>
      <c r="Z608" s="149"/>
      <c r="AA608" s="149"/>
      <c r="AB608" s="580">
        <f>HLOOKUP("*"&amp;'Output annual'!$AC$2&amp;'Output annual'!$AD$2&amp;"*Zone People Number Of Occupants [](Hourly)",'Eplus results'!$1:$1048576,ROW(),FALSE)</f>
        <v>0</v>
      </c>
      <c r="AC608" s="580">
        <f>HLOOKUP("*"&amp;'Output annual'!$AC$2&amp;'Output annual'!$AD$2&amp;"*FangerPMV(Hourly)",'Eplus results'!$1:$1048576,ROW(),FALSE)</f>
        <v>0</v>
      </c>
      <c r="AD608" s="580">
        <f t="shared" si="81"/>
        <v>5</v>
      </c>
      <c r="AE608" s="580">
        <f t="shared" si="82"/>
        <v>2.5</v>
      </c>
      <c r="AF608" s="580">
        <f t="shared" si="83"/>
        <v>2.5</v>
      </c>
      <c r="AG608" s="580">
        <f t="shared" si="84"/>
        <v>0</v>
      </c>
      <c r="AH608" s="580">
        <f t="shared" si="85"/>
        <v>0</v>
      </c>
      <c r="AI608" s="149"/>
      <c r="AJ608" s="149"/>
      <c r="AK608" s="149"/>
      <c r="AL608" s="149"/>
      <c r="AM608" s="149"/>
      <c r="AN608" s="149"/>
      <c r="AO608" s="149"/>
      <c r="AP608" s="149"/>
    </row>
    <row r="609" spans="2:42">
      <c r="B609" s="221">
        <v>165</v>
      </c>
      <c r="C609" s="54" t="s">
        <v>170</v>
      </c>
      <c r="D609" s="223">
        <v>23.3508858635529</v>
      </c>
      <c r="E609" s="344">
        <v>0</v>
      </c>
      <c r="F609" s="179">
        <v>32.22</v>
      </c>
      <c r="G609" s="179">
        <v>12.78</v>
      </c>
      <c r="H609" s="223">
        <v>22.631557650753901</v>
      </c>
      <c r="I609" s="297">
        <v>0</v>
      </c>
      <c r="J609" s="149"/>
      <c r="K609" s="149"/>
      <c r="L609" s="149"/>
      <c r="M609" s="149"/>
      <c r="N609" s="149"/>
      <c r="O609" s="149"/>
      <c r="P609" s="149"/>
      <c r="Q609" s="149"/>
      <c r="R609" s="149"/>
      <c r="S609" s="149"/>
      <c r="T609" s="149"/>
      <c r="U609" s="149"/>
      <c r="V609" s="149"/>
      <c r="W609" s="149"/>
      <c r="X609" s="149"/>
      <c r="Y609" s="149"/>
      <c r="Z609" s="149"/>
      <c r="AA609" s="149"/>
      <c r="AB609" s="580">
        <f>HLOOKUP("*"&amp;'Output annual'!$AC$2&amp;'Output annual'!$AD$2&amp;"*Zone People Number Of Occupants [](Hourly)",'Eplus results'!$1:$1048576,ROW(),FALSE)</f>
        <v>0</v>
      </c>
      <c r="AC609" s="580">
        <f>HLOOKUP("*"&amp;'Output annual'!$AC$2&amp;'Output annual'!$AD$2&amp;"*FangerPMV(Hourly)",'Eplus results'!$1:$1048576,ROW(),FALSE)</f>
        <v>0</v>
      </c>
      <c r="AD609" s="580">
        <f t="shared" si="81"/>
        <v>5</v>
      </c>
      <c r="AE609" s="580">
        <f t="shared" si="82"/>
        <v>2.5</v>
      </c>
      <c r="AF609" s="580">
        <f t="shared" si="83"/>
        <v>2.5</v>
      </c>
      <c r="AG609" s="580">
        <f t="shared" si="84"/>
        <v>0</v>
      </c>
      <c r="AH609" s="580">
        <f t="shared" si="85"/>
        <v>0</v>
      </c>
      <c r="AI609" s="149"/>
      <c r="AJ609" s="149"/>
      <c r="AK609" s="149"/>
      <c r="AL609" s="149"/>
      <c r="AM609" s="149"/>
      <c r="AN609" s="149"/>
      <c r="AO609" s="149"/>
      <c r="AP609" s="149"/>
    </row>
    <row r="610" spans="2:42">
      <c r="B610" s="221">
        <v>166</v>
      </c>
      <c r="C610" s="54" t="s">
        <v>171</v>
      </c>
      <c r="D610" s="223">
        <v>22.967113169737399</v>
      </c>
      <c r="E610" s="344">
        <v>0</v>
      </c>
      <c r="F610" s="179">
        <v>32.22</v>
      </c>
      <c r="G610" s="179">
        <v>12.78</v>
      </c>
      <c r="H610" s="223">
        <v>22.683433864828899</v>
      </c>
      <c r="I610" s="297">
        <v>0</v>
      </c>
      <c r="J610" s="149"/>
      <c r="K610" s="149"/>
      <c r="L610" s="149"/>
      <c r="M610" s="149"/>
      <c r="N610" s="149"/>
      <c r="O610" s="149"/>
      <c r="P610" s="149"/>
      <c r="Q610" s="149"/>
      <c r="R610" s="149"/>
      <c r="S610" s="149"/>
      <c r="T610" s="149"/>
      <c r="U610" s="149"/>
      <c r="V610" s="149"/>
      <c r="W610" s="149"/>
      <c r="X610" s="149"/>
      <c r="Y610" s="149"/>
      <c r="Z610" s="149"/>
      <c r="AA610" s="149"/>
      <c r="AB610" s="580">
        <f>HLOOKUP("*"&amp;'Output annual'!$AC$2&amp;'Output annual'!$AD$2&amp;"*Zone People Number Of Occupants [](Hourly)",'Eplus results'!$1:$1048576,ROW(),FALSE)</f>
        <v>0</v>
      </c>
      <c r="AC610" s="580">
        <f>HLOOKUP("*"&amp;'Output annual'!$AC$2&amp;'Output annual'!$AD$2&amp;"*FangerPMV(Hourly)",'Eplus results'!$1:$1048576,ROW(),FALSE)</f>
        <v>0</v>
      </c>
      <c r="AD610" s="580">
        <f t="shared" si="81"/>
        <v>5</v>
      </c>
      <c r="AE610" s="580">
        <f t="shared" si="82"/>
        <v>2.5</v>
      </c>
      <c r="AF610" s="580">
        <f t="shared" si="83"/>
        <v>2.5</v>
      </c>
      <c r="AG610" s="580">
        <f t="shared" si="84"/>
        <v>0</v>
      </c>
      <c r="AH610" s="580">
        <f t="shared" si="85"/>
        <v>0</v>
      </c>
      <c r="AI610" s="149"/>
      <c r="AJ610" s="149"/>
      <c r="AK610" s="149"/>
      <c r="AL610" s="149"/>
      <c r="AM610" s="149"/>
      <c r="AN610" s="149"/>
      <c r="AO610" s="149"/>
      <c r="AP610" s="149"/>
    </row>
    <row r="611" spans="2:42">
      <c r="B611" s="221">
        <v>167</v>
      </c>
      <c r="C611" s="54" t="s">
        <v>172</v>
      </c>
      <c r="D611" s="223">
        <v>22.608346685793901</v>
      </c>
      <c r="E611" s="344">
        <v>0</v>
      </c>
      <c r="F611" s="179">
        <v>32.22</v>
      </c>
      <c r="G611" s="179">
        <v>12.78</v>
      </c>
      <c r="H611" s="223">
        <v>22.678899431993099</v>
      </c>
      <c r="I611" s="297">
        <v>0</v>
      </c>
      <c r="J611" s="149"/>
      <c r="K611" s="149"/>
      <c r="L611" s="149"/>
      <c r="M611" s="149"/>
      <c r="N611" s="149"/>
      <c r="O611" s="149"/>
      <c r="P611" s="149"/>
      <c r="Q611" s="149"/>
      <c r="R611" s="149"/>
      <c r="S611" s="149"/>
      <c r="T611" s="149"/>
      <c r="U611" s="149"/>
      <c r="V611" s="149"/>
      <c r="W611" s="149"/>
      <c r="X611" s="149"/>
      <c r="Y611" s="149"/>
      <c r="Z611" s="149"/>
      <c r="AA611" s="149"/>
      <c r="AB611" s="580">
        <f>HLOOKUP("*"&amp;'Output annual'!$AC$2&amp;'Output annual'!$AD$2&amp;"*Zone People Number Of Occupants [](Hourly)",'Eplus results'!$1:$1048576,ROW(),FALSE)</f>
        <v>0</v>
      </c>
      <c r="AC611" s="580">
        <f>HLOOKUP("*"&amp;'Output annual'!$AC$2&amp;'Output annual'!$AD$2&amp;"*FangerPMV(Hourly)",'Eplus results'!$1:$1048576,ROW(),FALSE)</f>
        <v>0</v>
      </c>
      <c r="AD611" s="580">
        <f t="shared" si="81"/>
        <v>5</v>
      </c>
      <c r="AE611" s="580">
        <f t="shared" si="82"/>
        <v>2.5</v>
      </c>
      <c r="AF611" s="580">
        <f t="shared" si="83"/>
        <v>2.5</v>
      </c>
      <c r="AG611" s="580">
        <f t="shared" si="84"/>
        <v>0</v>
      </c>
      <c r="AH611" s="580">
        <f t="shared" si="85"/>
        <v>0</v>
      </c>
      <c r="AI611" s="149"/>
      <c r="AJ611" s="149"/>
      <c r="AK611" s="149"/>
      <c r="AL611" s="149"/>
      <c r="AM611" s="149"/>
      <c r="AN611" s="149"/>
      <c r="AO611" s="149"/>
      <c r="AP611" s="149"/>
    </row>
    <row r="612" spans="2:42">
      <c r="B612" s="56">
        <v>168</v>
      </c>
      <c r="C612" s="57" t="s">
        <v>345</v>
      </c>
      <c r="D612" s="230">
        <v>22.287484894034701</v>
      </c>
      <c r="E612" s="356">
        <v>0</v>
      </c>
      <c r="F612" s="342">
        <v>32.22</v>
      </c>
      <c r="G612" s="342">
        <v>12.78</v>
      </c>
      <c r="H612" s="230">
        <v>22.646060867233199</v>
      </c>
      <c r="I612" s="58">
        <v>0</v>
      </c>
      <c r="J612" s="149"/>
      <c r="K612" s="149"/>
      <c r="L612" s="149"/>
      <c r="M612" s="149"/>
      <c r="N612" s="149"/>
      <c r="O612" s="149"/>
      <c r="P612" s="149"/>
      <c r="Q612" s="149"/>
      <c r="R612" s="149"/>
      <c r="S612" s="149"/>
      <c r="T612" s="149"/>
      <c r="U612" s="149"/>
      <c r="V612" s="149"/>
      <c r="W612" s="149"/>
      <c r="X612" s="149"/>
      <c r="Y612" s="149"/>
      <c r="Z612" s="149"/>
      <c r="AA612" s="149"/>
      <c r="AB612" s="580">
        <f>HLOOKUP("*"&amp;'Output annual'!$AC$2&amp;'Output annual'!$AD$2&amp;"*Zone People Number Of Occupants [](Hourly)",'Eplus results'!$1:$1048576,ROW(),FALSE)</f>
        <v>0</v>
      </c>
      <c r="AC612" s="580">
        <f>HLOOKUP("*"&amp;'Output annual'!$AC$2&amp;'Output annual'!$AD$2&amp;"*FangerPMV(Hourly)",'Eplus results'!$1:$1048576,ROW(),FALSE)</f>
        <v>0</v>
      </c>
      <c r="AD612" s="580">
        <f t="shared" si="81"/>
        <v>5</v>
      </c>
      <c r="AE612" s="580">
        <f t="shared" si="82"/>
        <v>2.5</v>
      </c>
      <c r="AF612" s="580">
        <f t="shared" si="83"/>
        <v>2.5</v>
      </c>
      <c r="AG612" s="580">
        <f t="shared" si="84"/>
        <v>0</v>
      </c>
      <c r="AH612" s="580">
        <f t="shared" si="85"/>
        <v>0</v>
      </c>
      <c r="AI612" s="149"/>
      <c r="AJ612" s="149"/>
      <c r="AK612" s="149"/>
      <c r="AL612" s="149"/>
      <c r="AM612" s="149"/>
      <c r="AN612" s="149"/>
      <c r="AO612" s="149"/>
      <c r="AP612" s="149"/>
    </row>
    <row r="613" spans="2:42">
      <c r="AB613" s="580">
        <f>HLOOKUP("*"&amp;'Output annual'!$AC$2&amp;'Output annual'!$AD$2&amp;"*Zone People Number Of Occupants [](Hourly)",'Eplus results'!$1:$1048576,ROW(),FALSE)</f>
        <v>0</v>
      </c>
      <c r="AC613" s="580">
        <f>HLOOKUP("*"&amp;'Output annual'!$AC$2&amp;'Output annual'!$AD$2&amp;"*FangerPMV(Hourly)",'Eplus results'!$1:$1048576,ROW(),FALSE)</f>
        <v>0</v>
      </c>
      <c r="AD613" s="580">
        <f t="shared" si="81"/>
        <v>5</v>
      </c>
      <c r="AE613" s="580">
        <f t="shared" si="82"/>
        <v>2.5</v>
      </c>
      <c r="AF613" s="580">
        <f t="shared" si="83"/>
        <v>2.5</v>
      </c>
      <c r="AG613" s="580">
        <f t="shared" si="84"/>
        <v>0</v>
      </c>
      <c r="AH613" s="580">
        <f t="shared" si="85"/>
        <v>0</v>
      </c>
    </row>
    <row r="614" spans="2:42">
      <c r="AB614" s="580">
        <f>HLOOKUP("*"&amp;'Output annual'!$AC$2&amp;'Output annual'!$AD$2&amp;"*Zone People Number Of Occupants [](Hourly)",'Eplus results'!$1:$1048576,ROW(),FALSE)</f>
        <v>0</v>
      </c>
      <c r="AC614" s="580">
        <f>HLOOKUP("*"&amp;'Output annual'!$AC$2&amp;'Output annual'!$AD$2&amp;"*FangerPMV(Hourly)",'Eplus results'!$1:$1048576,ROW(),FALSE)</f>
        <v>0</v>
      </c>
      <c r="AD614" s="580">
        <f t="shared" si="81"/>
        <v>5</v>
      </c>
      <c r="AE614" s="580">
        <f t="shared" si="82"/>
        <v>2.5</v>
      </c>
      <c r="AF614" s="580">
        <f t="shared" si="83"/>
        <v>2.5</v>
      </c>
      <c r="AG614" s="580">
        <f t="shared" si="84"/>
        <v>0</v>
      </c>
      <c r="AH614" s="580">
        <f t="shared" si="85"/>
        <v>0</v>
      </c>
    </row>
    <row r="615" spans="2:42">
      <c r="AB615" s="580">
        <f>HLOOKUP("*"&amp;'Output annual'!$AC$2&amp;'Output annual'!$AD$2&amp;"*Zone People Number Of Occupants [](Hourly)",'Eplus results'!$1:$1048576,ROW(),FALSE)</f>
        <v>0</v>
      </c>
      <c r="AC615" s="580">
        <f>HLOOKUP("*"&amp;'Output annual'!$AC$2&amp;'Output annual'!$AD$2&amp;"*FangerPMV(Hourly)",'Eplus results'!$1:$1048576,ROW(),FALSE)</f>
        <v>0</v>
      </c>
      <c r="AD615" s="580">
        <f t="shared" si="81"/>
        <v>5</v>
      </c>
      <c r="AE615" s="580">
        <f t="shared" si="82"/>
        <v>2.5</v>
      </c>
      <c r="AF615" s="580">
        <f t="shared" si="83"/>
        <v>2.5</v>
      </c>
      <c r="AG615" s="580">
        <f t="shared" si="84"/>
        <v>0</v>
      </c>
      <c r="AH615" s="580">
        <f t="shared" si="85"/>
        <v>0</v>
      </c>
    </row>
    <row r="616" spans="2:42">
      <c r="B616" s="128"/>
      <c r="C616" s="695" t="s">
        <v>720</v>
      </c>
      <c r="D616" s="696"/>
      <c r="E616" s="696"/>
      <c r="F616" s="697"/>
      <c r="G616" s="698" t="s">
        <v>919</v>
      </c>
      <c r="H616" s="696"/>
      <c r="I616" s="696"/>
      <c r="J616" s="697"/>
      <c r="K616" s="699" t="s">
        <v>837</v>
      </c>
      <c r="L616" s="699"/>
      <c r="M616" s="699"/>
      <c r="N616" s="699"/>
      <c r="AB616" s="580">
        <f>HLOOKUP("*"&amp;'Output annual'!$AC$2&amp;'Output annual'!$AD$2&amp;"*Zone People Number Of Occupants [](Hourly)",'Eplus results'!$1:$1048576,ROW(),FALSE)</f>
        <v>0</v>
      </c>
      <c r="AC616" s="580">
        <f>HLOOKUP("*"&amp;'Output annual'!$AC$2&amp;'Output annual'!$AD$2&amp;"*FangerPMV(Hourly)",'Eplus results'!$1:$1048576,ROW(),FALSE)</f>
        <v>0</v>
      </c>
      <c r="AD616" s="580">
        <f t="shared" si="81"/>
        <v>5</v>
      </c>
      <c r="AE616" s="580">
        <f t="shared" si="82"/>
        <v>2.5</v>
      </c>
      <c r="AF616" s="580">
        <f t="shared" si="83"/>
        <v>2.5</v>
      </c>
      <c r="AG616" s="580">
        <f t="shared" si="84"/>
        <v>0</v>
      </c>
      <c r="AH616" s="580">
        <f t="shared" si="85"/>
        <v>0</v>
      </c>
    </row>
    <row r="617" spans="2:42">
      <c r="B617" s="128" t="s">
        <v>832</v>
      </c>
      <c r="C617" s="128" t="s">
        <v>833</v>
      </c>
      <c r="D617" s="128" t="s">
        <v>834</v>
      </c>
      <c r="E617" s="128" t="s">
        <v>835</v>
      </c>
      <c r="F617" s="128" t="s">
        <v>836</v>
      </c>
      <c r="G617" s="128" t="s">
        <v>833</v>
      </c>
      <c r="H617" s="128" t="s">
        <v>834</v>
      </c>
      <c r="I617" s="128" t="s">
        <v>835</v>
      </c>
      <c r="J617" s="128" t="s">
        <v>836</v>
      </c>
      <c r="K617" s="128" t="s">
        <v>833</v>
      </c>
      <c r="L617" s="128" t="s">
        <v>834</v>
      </c>
      <c r="M617" s="128" t="s">
        <v>835</v>
      </c>
      <c r="N617" s="128" t="s">
        <v>836</v>
      </c>
      <c r="AB617" s="580">
        <f>HLOOKUP("*"&amp;'Output annual'!$AC$2&amp;'Output annual'!$AD$2&amp;"*Zone People Number Of Occupants [](Hourly)",'Eplus results'!$1:$1048576,ROW(),FALSE)</f>
        <v>0</v>
      </c>
      <c r="AC617" s="580">
        <f>HLOOKUP("*"&amp;'Output annual'!$AC$2&amp;'Output annual'!$AD$2&amp;"*FangerPMV(Hourly)",'Eplus results'!$1:$1048576,ROW(),FALSE)</f>
        <v>0</v>
      </c>
      <c r="AD617" s="580">
        <f t="shared" si="81"/>
        <v>5</v>
      </c>
      <c r="AE617" s="580">
        <f t="shared" si="82"/>
        <v>2.5</v>
      </c>
      <c r="AF617" s="580">
        <f t="shared" si="83"/>
        <v>2.5</v>
      </c>
      <c r="AG617" s="580">
        <f t="shared" si="84"/>
        <v>0</v>
      </c>
      <c r="AH617" s="580">
        <f t="shared" si="85"/>
        <v>0</v>
      </c>
    </row>
    <row r="618" spans="2:42">
      <c r="B618" s="132">
        <v>0</v>
      </c>
      <c r="C618" s="132">
        <v>0</v>
      </c>
      <c r="D618" s="132">
        <v>0.17</v>
      </c>
      <c r="E618" s="132">
        <v>0.3</v>
      </c>
      <c r="F618" s="132">
        <v>0</v>
      </c>
      <c r="G618" s="132">
        <v>0</v>
      </c>
      <c r="H618" s="133">
        <v>0.2</v>
      </c>
      <c r="I618" s="132">
        <v>0.1</v>
      </c>
      <c r="J618" s="133">
        <v>0</v>
      </c>
      <c r="K618" s="134">
        <f>IF(Input!$D$15="LBL",C618,G618)</f>
        <v>0</v>
      </c>
      <c r="L618" s="134">
        <f>IF(Input!$D$15="LBL",D618,H618)</f>
        <v>0.2</v>
      </c>
      <c r="M618" s="134">
        <f>IF(Input!$D$15="LBL",E618,I618)</f>
        <v>0.1</v>
      </c>
      <c r="N618" s="134">
        <f>IF(Input!$D$15="LBL",F618,J618)</f>
        <v>0</v>
      </c>
      <c r="AB618" s="580">
        <f>HLOOKUP("*"&amp;'Output annual'!$AC$2&amp;'Output annual'!$AD$2&amp;"*Zone People Number Of Occupants [](Hourly)",'Eplus results'!$1:$1048576,ROW(),FALSE)</f>
        <v>0</v>
      </c>
      <c r="AC618" s="580">
        <f>HLOOKUP("*"&amp;'Output annual'!$AC$2&amp;'Output annual'!$AD$2&amp;"*FangerPMV(Hourly)",'Eplus results'!$1:$1048576,ROW(),FALSE)</f>
        <v>0</v>
      </c>
      <c r="AD618" s="580">
        <f t="shared" si="81"/>
        <v>5</v>
      </c>
      <c r="AE618" s="580">
        <f t="shared" si="82"/>
        <v>2.5</v>
      </c>
      <c r="AF618" s="580">
        <f t="shared" si="83"/>
        <v>2.5</v>
      </c>
      <c r="AG618" s="580">
        <f t="shared" si="84"/>
        <v>0</v>
      </c>
      <c r="AH618" s="580">
        <f t="shared" si="85"/>
        <v>0</v>
      </c>
    </row>
    <row r="619" spans="2:42">
      <c r="B619" s="132">
        <v>1</v>
      </c>
      <c r="C619" s="132">
        <v>0</v>
      </c>
      <c r="D619" s="132">
        <v>0.17</v>
      </c>
      <c r="E619" s="132">
        <v>0.3</v>
      </c>
      <c r="F619" s="132">
        <v>0</v>
      </c>
      <c r="G619" s="132">
        <v>0</v>
      </c>
      <c r="H619" s="133">
        <v>0.2</v>
      </c>
      <c r="I619" s="132">
        <v>0.1</v>
      </c>
      <c r="J619" s="133">
        <v>0</v>
      </c>
      <c r="K619" s="134">
        <f>IF(Input!$D$15="LBL",C619,G619)</f>
        <v>0</v>
      </c>
      <c r="L619" s="134">
        <f>IF(Input!$D$15="LBL",D619,H619)</f>
        <v>0.2</v>
      </c>
      <c r="M619" s="134">
        <f>IF(Input!$D$15="LBL",E619,I619)</f>
        <v>0.1</v>
      </c>
      <c r="N619" s="134">
        <f>IF(Input!$D$15="LBL",F619,J619)</f>
        <v>0</v>
      </c>
      <c r="AB619" s="580">
        <f>HLOOKUP("*"&amp;'Output annual'!$AC$2&amp;'Output annual'!$AD$2&amp;"*Zone People Number Of Occupants [](Hourly)",'Eplus results'!$1:$1048576,ROW(),FALSE)</f>
        <v>0</v>
      </c>
      <c r="AC619" s="580">
        <f>HLOOKUP("*"&amp;'Output annual'!$AC$2&amp;'Output annual'!$AD$2&amp;"*FangerPMV(Hourly)",'Eplus results'!$1:$1048576,ROW(),FALSE)</f>
        <v>0</v>
      </c>
      <c r="AD619" s="580">
        <f t="shared" si="81"/>
        <v>5</v>
      </c>
      <c r="AE619" s="580">
        <f t="shared" si="82"/>
        <v>2.5</v>
      </c>
      <c r="AF619" s="580">
        <f t="shared" si="83"/>
        <v>2.5</v>
      </c>
      <c r="AG619" s="580">
        <f t="shared" si="84"/>
        <v>0</v>
      </c>
      <c r="AH619" s="580">
        <f t="shared" si="85"/>
        <v>0</v>
      </c>
    </row>
    <row r="620" spans="2:42">
      <c r="B620" s="132">
        <v>2</v>
      </c>
      <c r="C620" s="132">
        <v>0</v>
      </c>
      <c r="D620" s="132">
        <v>0.17</v>
      </c>
      <c r="E620" s="132">
        <v>0.3</v>
      </c>
      <c r="F620" s="132">
        <v>0</v>
      </c>
      <c r="G620" s="132">
        <v>0</v>
      </c>
      <c r="H620" s="133">
        <v>0.2</v>
      </c>
      <c r="I620" s="132">
        <v>0.1</v>
      </c>
      <c r="J620" s="133">
        <v>0</v>
      </c>
      <c r="K620" s="134">
        <f>IF(Input!$D$15="LBL",C620,G620)</f>
        <v>0</v>
      </c>
      <c r="L620" s="134">
        <f>IF(Input!$D$15="LBL",D620,H620)</f>
        <v>0.2</v>
      </c>
      <c r="M620" s="134">
        <f>IF(Input!$D$15="LBL",E620,I620)</f>
        <v>0.1</v>
      </c>
      <c r="N620" s="134">
        <f>IF(Input!$D$15="LBL",F620,J620)</f>
        <v>0</v>
      </c>
      <c r="AB620" s="580">
        <f>HLOOKUP("*"&amp;'Output annual'!$AC$2&amp;'Output annual'!$AD$2&amp;"*Zone People Number Of Occupants [](Hourly)",'Eplus results'!$1:$1048576,ROW(),FALSE)</f>
        <v>0</v>
      </c>
      <c r="AC620" s="580">
        <f>HLOOKUP("*"&amp;'Output annual'!$AC$2&amp;'Output annual'!$AD$2&amp;"*FangerPMV(Hourly)",'Eplus results'!$1:$1048576,ROW(),FALSE)</f>
        <v>0</v>
      </c>
      <c r="AD620" s="580">
        <f t="shared" si="81"/>
        <v>5</v>
      </c>
      <c r="AE620" s="580">
        <f t="shared" si="82"/>
        <v>2.5</v>
      </c>
      <c r="AF620" s="580">
        <f t="shared" si="83"/>
        <v>2.5</v>
      </c>
      <c r="AG620" s="580">
        <f t="shared" si="84"/>
        <v>0</v>
      </c>
      <c r="AH620" s="580">
        <f t="shared" si="85"/>
        <v>0</v>
      </c>
    </row>
    <row r="621" spans="2:42">
      <c r="B621" s="132">
        <v>3</v>
      </c>
      <c r="C621" s="132">
        <v>0</v>
      </c>
      <c r="D621" s="132">
        <v>0.17</v>
      </c>
      <c r="E621" s="132">
        <v>0.3</v>
      </c>
      <c r="F621" s="132">
        <v>0</v>
      </c>
      <c r="G621" s="132">
        <v>0</v>
      </c>
      <c r="H621" s="133">
        <v>0.2</v>
      </c>
      <c r="I621" s="132">
        <v>0.1</v>
      </c>
      <c r="J621" s="133">
        <v>0</v>
      </c>
      <c r="K621" s="134">
        <f>IF(Input!$D$15="LBL",C621,G621)</f>
        <v>0</v>
      </c>
      <c r="L621" s="134">
        <f>IF(Input!$D$15="LBL",D621,H621)</f>
        <v>0.2</v>
      </c>
      <c r="M621" s="134">
        <f>IF(Input!$D$15="LBL",E621,I621)</f>
        <v>0.1</v>
      </c>
      <c r="N621" s="134">
        <f>IF(Input!$D$15="LBL",F621,J621)</f>
        <v>0</v>
      </c>
      <c r="AB621" s="580">
        <f>HLOOKUP("*"&amp;'Output annual'!$AC$2&amp;'Output annual'!$AD$2&amp;"*Zone People Number Of Occupants [](Hourly)",'Eplus results'!$1:$1048576,ROW(),FALSE)</f>
        <v>0</v>
      </c>
      <c r="AC621" s="580">
        <f>HLOOKUP("*"&amp;'Output annual'!$AC$2&amp;'Output annual'!$AD$2&amp;"*FangerPMV(Hourly)",'Eplus results'!$1:$1048576,ROW(),FALSE)</f>
        <v>0</v>
      </c>
      <c r="AD621" s="580">
        <f t="shared" si="81"/>
        <v>5</v>
      </c>
      <c r="AE621" s="580">
        <f t="shared" si="82"/>
        <v>2.5</v>
      </c>
      <c r="AF621" s="580">
        <f t="shared" si="83"/>
        <v>2.5</v>
      </c>
      <c r="AG621" s="580">
        <f t="shared" si="84"/>
        <v>0</v>
      </c>
      <c r="AH621" s="580">
        <f t="shared" si="85"/>
        <v>0</v>
      </c>
    </row>
    <row r="622" spans="2:42">
      <c r="B622" s="132">
        <v>4</v>
      </c>
      <c r="C622" s="132">
        <v>0</v>
      </c>
      <c r="D622" s="132">
        <v>0.17</v>
      </c>
      <c r="E622" s="132">
        <v>0.3</v>
      </c>
      <c r="F622" s="132">
        <v>0</v>
      </c>
      <c r="G622" s="132">
        <v>0</v>
      </c>
      <c r="H622" s="133">
        <v>0.2</v>
      </c>
      <c r="I622" s="132">
        <v>0.1</v>
      </c>
      <c r="J622" s="133">
        <v>0</v>
      </c>
      <c r="K622" s="134">
        <f>IF(Input!$D$15="LBL",C622,G622)</f>
        <v>0</v>
      </c>
      <c r="L622" s="134">
        <f>IF(Input!$D$15="LBL",D622,H622)</f>
        <v>0.2</v>
      </c>
      <c r="M622" s="134">
        <f>IF(Input!$D$15="LBL",E622,I622)</f>
        <v>0.1</v>
      </c>
      <c r="N622" s="134">
        <f>IF(Input!$D$15="LBL",F622,J622)</f>
        <v>0</v>
      </c>
      <c r="AB622" s="580">
        <f>HLOOKUP("*"&amp;'Output annual'!$AC$2&amp;'Output annual'!$AD$2&amp;"*Zone People Number Of Occupants [](Hourly)",'Eplus results'!$1:$1048576,ROW(),FALSE)</f>
        <v>0</v>
      </c>
      <c r="AC622" s="580">
        <f>HLOOKUP("*"&amp;'Output annual'!$AC$2&amp;'Output annual'!$AD$2&amp;"*FangerPMV(Hourly)",'Eplus results'!$1:$1048576,ROW(),FALSE)</f>
        <v>0</v>
      </c>
      <c r="AD622" s="580">
        <f t="shared" si="81"/>
        <v>5</v>
      </c>
      <c r="AE622" s="580">
        <f t="shared" si="82"/>
        <v>2.5</v>
      </c>
      <c r="AF622" s="580">
        <f t="shared" si="83"/>
        <v>2.5</v>
      </c>
      <c r="AG622" s="580">
        <f t="shared" si="84"/>
        <v>0</v>
      </c>
      <c r="AH622" s="580">
        <f t="shared" si="85"/>
        <v>0</v>
      </c>
    </row>
    <row r="623" spans="2:42">
      <c r="B623" s="132">
        <v>5</v>
      </c>
      <c r="C623" s="132">
        <v>0</v>
      </c>
      <c r="D623" s="132">
        <v>0.17</v>
      </c>
      <c r="E623" s="132">
        <v>0.3</v>
      </c>
      <c r="F623" s="133">
        <v>1</v>
      </c>
      <c r="G623" s="132">
        <v>0</v>
      </c>
      <c r="H623" s="133">
        <v>0.2</v>
      </c>
      <c r="I623" s="132">
        <v>0.1</v>
      </c>
      <c r="J623" s="133">
        <v>0</v>
      </c>
      <c r="K623" s="134">
        <f>IF(Input!$D$15="LBL",C623,G623)</f>
        <v>0</v>
      </c>
      <c r="L623" s="134">
        <f>IF(Input!$D$15="LBL",D623,H623)</f>
        <v>0.2</v>
      </c>
      <c r="M623" s="134">
        <f>IF(Input!$D$15="LBL",E623,I623)</f>
        <v>0.1</v>
      </c>
      <c r="N623" s="134">
        <f>IF(Input!$D$15="LBL",F623,J623)</f>
        <v>0</v>
      </c>
      <c r="AB623" s="580">
        <f>HLOOKUP("*"&amp;'Output annual'!$AC$2&amp;'Output annual'!$AD$2&amp;"*Zone People Number Of Occupants [](Hourly)",'Eplus results'!$1:$1048576,ROW(),FALSE)</f>
        <v>0</v>
      </c>
      <c r="AC623" s="580">
        <f>HLOOKUP("*"&amp;'Output annual'!$AC$2&amp;'Output annual'!$AD$2&amp;"*FangerPMV(Hourly)",'Eplus results'!$1:$1048576,ROW(),FALSE)</f>
        <v>0</v>
      </c>
      <c r="AD623" s="580">
        <f t="shared" si="81"/>
        <v>5</v>
      </c>
      <c r="AE623" s="580">
        <f t="shared" si="82"/>
        <v>2.5</v>
      </c>
      <c r="AF623" s="580">
        <f t="shared" si="83"/>
        <v>2.5</v>
      </c>
      <c r="AG623" s="580">
        <f t="shared" si="84"/>
        <v>0</v>
      </c>
      <c r="AH623" s="580">
        <f t="shared" si="85"/>
        <v>0</v>
      </c>
    </row>
    <row r="624" spans="2:42">
      <c r="B624" s="132">
        <v>6</v>
      </c>
      <c r="C624" s="132">
        <v>0</v>
      </c>
      <c r="D624" s="132">
        <v>0.17</v>
      </c>
      <c r="E624" s="132">
        <v>0.3</v>
      </c>
      <c r="F624" s="133">
        <v>1</v>
      </c>
      <c r="G624" s="132">
        <v>0.1</v>
      </c>
      <c r="H624" s="133">
        <v>0.2</v>
      </c>
      <c r="I624" s="133">
        <v>0.5</v>
      </c>
      <c r="J624" s="133">
        <v>1</v>
      </c>
      <c r="K624" s="134">
        <f>IF(Input!$D$15="LBL",C624,G624)</f>
        <v>0.1</v>
      </c>
      <c r="L624" s="134">
        <f>IF(Input!$D$15="LBL",D624,H624)</f>
        <v>0.2</v>
      </c>
      <c r="M624" s="134">
        <f>IF(Input!$D$15="LBL",E624,I624)</f>
        <v>0.5</v>
      </c>
      <c r="N624" s="134">
        <f>IF(Input!$D$15="LBL",F624,J624)</f>
        <v>1</v>
      </c>
      <c r="AB624" s="580">
        <f>HLOOKUP("*"&amp;'Output annual'!$AC$2&amp;'Output annual'!$AD$2&amp;"*Zone People Number Of Occupants [](Hourly)",'Eplus results'!$1:$1048576,ROW(),FALSE)</f>
        <v>0</v>
      </c>
      <c r="AC624" s="580">
        <f>HLOOKUP("*"&amp;'Output annual'!$AC$2&amp;'Output annual'!$AD$2&amp;"*FangerPMV(Hourly)",'Eplus results'!$1:$1048576,ROW(),FALSE)</f>
        <v>0</v>
      </c>
      <c r="AD624" s="580">
        <f t="shared" si="81"/>
        <v>5</v>
      </c>
      <c r="AE624" s="580">
        <f t="shared" si="82"/>
        <v>2.5</v>
      </c>
      <c r="AF624" s="580">
        <f t="shared" si="83"/>
        <v>2.5</v>
      </c>
      <c r="AG624" s="580">
        <f t="shared" si="84"/>
        <v>0</v>
      </c>
      <c r="AH624" s="580">
        <f t="shared" si="85"/>
        <v>0</v>
      </c>
    </row>
    <row r="625" spans="2:34">
      <c r="B625" s="132">
        <v>7</v>
      </c>
      <c r="C625" s="132">
        <v>0.33</v>
      </c>
      <c r="D625" s="132">
        <v>1</v>
      </c>
      <c r="E625" s="132">
        <v>0.9</v>
      </c>
      <c r="F625" s="133">
        <v>1</v>
      </c>
      <c r="G625" s="132">
        <v>0.2</v>
      </c>
      <c r="H625" s="133">
        <v>0.8</v>
      </c>
      <c r="I625" s="133">
        <v>0.9</v>
      </c>
      <c r="J625" s="133">
        <v>1</v>
      </c>
      <c r="K625" s="134">
        <f>IF(Input!$D$15="LBL",C625,G625)</f>
        <v>0.2</v>
      </c>
      <c r="L625" s="134">
        <f>IF(Input!$D$15="LBL",D625,H625)</f>
        <v>0.8</v>
      </c>
      <c r="M625" s="134">
        <f>IF(Input!$D$15="LBL",E625,I625)</f>
        <v>0.9</v>
      </c>
      <c r="N625" s="134">
        <f>IF(Input!$D$15="LBL",F625,J625)</f>
        <v>1</v>
      </c>
      <c r="AB625" s="580">
        <f>HLOOKUP("*"&amp;'Output annual'!$AC$2&amp;'Output annual'!$AD$2&amp;"*Zone People Number Of Occupants [](Hourly)",'Eplus results'!$1:$1048576,ROW(),FALSE)</f>
        <v>0</v>
      </c>
      <c r="AC625" s="580">
        <f>HLOOKUP("*"&amp;'Output annual'!$AC$2&amp;'Output annual'!$AD$2&amp;"*FangerPMV(Hourly)",'Eplus results'!$1:$1048576,ROW(),FALSE)</f>
        <v>0</v>
      </c>
      <c r="AD625" s="580">
        <f t="shared" si="81"/>
        <v>5</v>
      </c>
      <c r="AE625" s="580">
        <f t="shared" si="82"/>
        <v>2.5</v>
      </c>
      <c r="AF625" s="580">
        <f t="shared" si="83"/>
        <v>2.5</v>
      </c>
      <c r="AG625" s="580">
        <f t="shared" si="84"/>
        <v>0</v>
      </c>
      <c r="AH625" s="580">
        <f t="shared" si="85"/>
        <v>0</v>
      </c>
    </row>
    <row r="626" spans="2:34">
      <c r="B626" s="132">
        <v>8</v>
      </c>
      <c r="C626" s="132">
        <v>0.67</v>
      </c>
      <c r="D626" s="132">
        <v>1</v>
      </c>
      <c r="E626" s="132">
        <v>0.9</v>
      </c>
      <c r="F626" s="133">
        <v>1</v>
      </c>
      <c r="G626" s="132">
        <v>0.95</v>
      </c>
      <c r="H626" s="133">
        <v>0.8</v>
      </c>
      <c r="I626" s="133">
        <v>0.9</v>
      </c>
      <c r="J626" s="133">
        <v>1</v>
      </c>
      <c r="K626" s="134">
        <f>IF(Input!$D$15="LBL",C626,G626)</f>
        <v>0.95</v>
      </c>
      <c r="L626" s="134">
        <f>IF(Input!$D$15="LBL",D626,H626)</f>
        <v>0.8</v>
      </c>
      <c r="M626" s="134">
        <f>IF(Input!$D$15="LBL",E626,I626)</f>
        <v>0.9</v>
      </c>
      <c r="N626" s="134">
        <f>IF(Input!$D$15="LBL",F626,J626)</f>
        <v>1</v>
      </c>
      <c r="AB626" s="580">
        <f>HLOOKUP("*"&amp;'Output annual'!$AC$2&amp;'Output annual'!$AD$2&amp;"*Zone People Number Of Occupants [](Hourly)",'Eplus results'!$1:$1048576,ROW(),FALSE)</f>
        <v>0</v>
      </c>
      <c r="AC626" s="580">
        <f>HLOOKUP("*"&amp;'Output annual'!$AC$2&amp;'Output annual'!$AD$2&amp;"*FangerPMV(Hourly)",'Eplus results'!$1:$1048576,ROW(),FALSE)</f>
        <v>0</v>
      </c>
      <c r="AD626" s="580">
        <f t="shared" si="81"/>
        <v>5</v>
      </c>
      <c r="AE626" s="580">
        <f t="shared" si="82"/>
        <v>2.5</v>
      </c>
      <c r="AF626" s="580">
        <f t="shared" si="83"/>
        <v>2.5</v>
      </c>
      <c r="AG626" s="580">
        <f t="shared" si="84"/>
        <v>0</v>
      </c>
      <c r="AH626" s="580">
        <f t="shared" si="85"/>
        <v>0</v>
      </c>
    </row>
    <row r="627" spans="2:34">
      <c r="B627" s="132">
        <v>9</v>
      </c>
      <c r="C627" s="132">
        <v>1</v>
      </c>
      <c r="D627" s="132">
        <v>1</v>
      </c>
      <c r="E627" s="132">
        <v>0.9</v>
      </c>
      <c r="F627" s="133">
        <v>1</v>
      </c>
      <c r="G627" s="132">
        <v>0.95</v>
      </c>
      <c r="H627" s="133">
        <v>0.8</v>
      </c>
      <c r="I627" s="133">
        <v>0.9</v>
      </c>
      <c r="J627" s="133">
        <v>1</v>
      </c>
      <c r="K627" s="134">
        <f>IF(Input!$D$15="LBL",C627,G627)</f>
        <v>0.95</v>
      </c>
      <c r="L627" s="134">
        <f>IF(Input!$D$15="LBL",D627,H627)</f>
        <v>0.8</v>
      </c>
      <c r="M627" s="134">
        <f>IF(Input!$D$15="LBL",E627,I627)</f>
        <v>0.9</v>
      </c>
      <c r="N627" s="134">
        <f>IF(Input!$D$15="LBL",F627,J627)</f>
        <v>1</v>
      </c>
      <c r="AB627" s="580">
        <f>HLOOKUP("*"&amp;'Output annual'!$AC$2&amp;'Output annual'!$AD$2&amp;"*Zone People Number Of Occupants [](Hourly)",'Eplus results'!$1:$1048576,ROW(),FALSE)</f>
        <v>0</v>
      </c>
      <c r="AC627" s="580">
        <f>HLOOKUP("*"&amp;'Output annual'!$AC$2&amp;'Output annual'!$AD$2&amp;"*FangerPMV(Hourly)",'Eplus results'!$1:$1048576,ROW(),FALSE)</f>
        <v>0</v>
      </c>
      <c r="AD627" s="580">
        <f t="shared" si="81"/>
        <v>5</v>
      </c>
      <c r="AE627" s="580">
        <f t="shared" si="82"/>
        <v>2.5</v>
      </c>
      <c r="AF627" s="580">
        <f t="shared" si="83"/>
        <v>2.5</v>
      </c>
      <c r="AG627" s="580">
        <f t="shared" si="84"/>
        <v>0</v>
      </c>
      <c r="AH627" s="580">
        <f t="shared" si="85"/>
        <v>0</v>
      </c>
    </row>
    <row r="628" spans="2:34">
      <c r="B628" s="132">
        <v>10</v>
      </c>
      <c r="C628" s="132">
        <v>1</v>
      </c>
      <c r="D628" s="132">
        <v>1</v>
      </c>
      <c r="E628" s="132">
        <v>0.9</v>
      </c>
      <c r="F628" s="133">
        <v>1</v>
      </c>
      <c r="G628" s="132">
        <v>0.95</v>
      </c>
      <c r="H628" s="133">
        <v>0.8</v>
      </c>
      <c r="I628" s="133">
        <v>0.9</v>
      </c>
      <c r="J628" s="133">
        <v>1</v>
      </c>
      <c r="K628" s="134">
        <f>IF(Input!$D$15="LBL",C628,G628)</f>
        <v>0.95</v>
      </c>
      <c r="L628" s="134">
        <f>IF(Input!$D$15="LBL",D628,H628)</f>
        <v>0.8</v>
      </c>
      <c r="M628" s="134">
        <f>IF(Input!$D$15="LBL",E628,I628)</f>
        <v>0.9</v>
      </c>
      <c r="N628" s="134">
        <f>IF(Input!$D$15="LBL",F628,J628)</f>
        <v>1</v>
      </c>
      <c r="AB628" s="580">
        <f>HLOOKUP("*"&amp;'Output annual'!$AC$2&amp;'Output annual'!$AD$2&amp;"*Zone People Number Of Occupants [](Hourly)",'Eplus results'!$1:$1048576,ROW(),FALSE)</f>
        <v>0</v>
      </c>
      <c r="AC628" s="580">
        <f>HLOOKUP("*"&amp;'Output annual'!$AC$2&amp;'Output annual'!$AD$2&amp;"*FangerPMV(Hourly)",'Eplus results'!$1:$1048576,ROW(),FALSE)</f>
        <v>0</v>
      </c>
      <c r="AD628" s="580">
        <f t="shared" si="81"/>
        <v>5</v>
      </c>
      <c r="AE628" s="580">
        <f t="shared" si="82"/>
        <v>2.5</v>
      </c>
      <c r="AF628" s="580">
        <f t="shared" si="83"/>
        <v>2.5</v>
      </c>
      <c r="AG628" s="580">
        <f t="shared" si="84"/>
        <v>0</v>
      </c>
      <c r="AH628" s="580">
        <f t="shared" si="85"/>
        <v>0</v>
      </c>
    </row>
    <row r="629" spans="2:34">
      <c r="B629" s="132">
        <v>11</v>
      </c>
      <c r="C629" s="132">
        <v>1</v>
      </c>
      <c r="D629" s="132">
        <v>1</v>
      </c>
      <c r="E629" s="132">
        <v>0.9</v>
      </c>
      <c r="F629" s="133">
        <v>1</v>
      </c>
      <c r="G629" s="132">
        <v>0.95</v>
      </c>
      <c r="H629" s="133">
        <v>0.8</v>
      </c>
      <c r="I629" s="133">
        <v>0.9</v>
      </c>
      <c r="J629" s="133">
        <v>1</v>
      </c>
      <c r="K629" s="134">
        <f>IF(Input!$D$15="LBL",C629,G629)</f>
        <v>0.95</v>
      </c>
      <c r="L629" s="134">
        <f>IF(Input!$D$15="LBL",D629,H629)</f>
        <v>0.8</v>
      </c>
      <c r="M629" s="134">
        <f>IF(Input!$D$15="LBL",E629,I629)</f>
        <v>0.9</v>
      </c>
      <c r="N629" s="134">
        <f>IF(Input!$D$15="LBL",F629,J629)</f>
        <v>1</v>
      </c>
      <c r="AB629" s="580">
        <f>HLOOKUP("*"&amp;'Output annual'!$AC$2&amp;'Output annual'!$AD$2&amp;"*Zone People Number Of Occupants [](Hourly)",'Eplus results'!$1:$1048576,ROW(),FALSE)</f>
        <v>0</v>
      </c>
      <c r="AC629" s="580">
        <f>HLOOKUP("*"&amp;'Output annual'!$AC$2&amp;'Output annual'!$AD$2&amp;"*FangerPMV(Hourly)",'Eplus results'!$1:$1048576,ROW(),FALSE)</f>
        <v>0</v>
      </c>
      <c r="AD629" s="580">
        <f t="shared" si="81"/>
        <v>5</v>
      </c>
      <c r="AE629" s="580">
        <f t="shared" si="82"/>
        <v>2.5</v>
      </c>
      <c r="AF629" s="580">
        <f t="shared" si="83"/>
        <v>2.5</v>
      </c>
      <c r="AG629" s="580">
        <f t="shared" si="84"/>
        <v>0</v>
      </c>
      <c r="AH629" s="580">
        <f t="shared" si="85"/>
        <v>0</v>
      </c>
    </row>
    <row r="630" spans="2:34">
      <c r="B630" s="132">
        <v>12</v>
      </c>
      <c r="C630" s="132">
        <v>1</v>
      </c>
      <c r="D630" s="132">
        <v>1</v>
      </c>
      <c r="E630" s="132">
        <v>0.9</v>
      </c>
      <c r="F630" s="133">
        <v>1</v>
      </c>
      <c r="G630" s="132">
        <v>0.5</v>
      </c>
      <c r="H630" s="133">
        <v>0.8</v>
      </c>
      <c r="I630" s="133">
        <v>0.9</v>
      </c>
      <c r="J630" s="133">
        <v>1</v>
      </c>
      <c r="K630" s="134">
        <f>IF(Input!$D$15="LBL",C630,G630)</f>
        <v>0.5</v>
      </c>
      <c r="L630" s="134">
        <f>IF(Input!$D$15="LBL",D630,H630)</f>
        <v>0.8</v>
      </c>
      <c r="M630" s="134">
        <f>IF(Input!$D$15="LBL",E630,I630)</f>
        <v>0.9</v>
      </c>
      <c r="N630" s="134">
        <f>IF(Input!$D$15="LBL",F630,J630)</f>
        <v>1</v>
      </c>
      <c r="AB630" s="580">
        <f>HLOOKUP("*"&amp;'Output annual'!$AC$2&amp;'Output annual'!$AD$2&amp;"*Zone People Number Of Occupants [](Hourly)",'Eplus results'!$1:$1048576,ROW(),FALSE)</f>
        <v>0</v>
      </c>
      <c r="AC630" s="580">
        <f>HLOOKUP("*"&amp;'Output annual'!$AC$2&amp;'Output annual'!$AD$2&amp;"*FangerPMV(Hourly)",'Eplus results'!$1:$1048576,ROW(),FALSE)</f>
        <v>0</v>
      </c>
      <c r="AD630" s="580">
        <f t="shared" si="81"/>
        <v>5</v>
      </c>
      <c r="AE630" s="580">
        <f t="shared" si="82"/>
        <v>2.5</v>
      </c>
      <c r="AF630" s="580">
        <f t="shared" si="83"/>
        <v>2.5</v>
      </c>
      <c r="AG630" s="580">
        <f t="shared" si="84"/>
        <v>0</v>
      </c>
      <c r="AH630" s="580">
        <f t="shared" si="85"/>
        <v>0</v>
      </c>
    </row>
    <row r="631" spans="2:34">
      <c r="B631" s="132">
        <v>13</v>
      </c>
      <c r="C631" s="132">
        <v>1</v>
      </c>
      <c r="D631" s="132">
        <v>1</v>
      </c>
      <c r="E631" s="132">
        <v>0.9</v>
      </c>
      <c r="F631" s="133">
        <v>1</v>
      </c>
      <c r="G631" s="132">
        <v>0.95</v>
      </c>
      <c r="H631" s="133">
        <v>0.8</v>
      </c>
      <c r="I631" s="133">
        <v>0.9</v>
      </c>
      <c r="J631" s="133">
        <v>1</v>
      </c>
      <c r="K631" s="134">
        <f>IF(Input!$D$15="LBL",C631,G631)</f>
        <v>0.95</v>
      </c>
      <c r="L631" s="134">
        <f>IF(Input!$D$15="LBL",D631,H631)</f>
        <v>0.8</v>
      </c>
      <c r="M631" s="134">
        <f>IF(Input!$D$15="LBL",E631,I631)</f>
        <v>0.9</v>
      </c>
      <c r="N631" s="134">
        <f>IF(Input!$D$15="LBL",F631,J631)</f>
        <v>1</v>
      </c>
      <c r="AB631" s="580">
        <f>HLOOKUP("*"&amp;'Output annual'!$AC$2&amp;'Output annual'!$AD$2&amp;"*Zone People Number Of Occupants [](Hourly)",'Eplus results'!$1:$1048576,ROW(),FALSE)</f>
        <v>0</v>
      </c>
      <c r="AC631" s="580">
        <f>HLOOKUP("*"&amp;'Output annual'!$AC$2&amp;'Output annual'!$AD$2&amp;"*FangerPMV(Hourly)",'Eplus results'!$1:$1048576,ROW(),FALSE)</f>
        <v>0</v>
      </c>
      <c r="AD631" s="580">
        <f t="shared" si="81"/>
        <v>5</v>
      </c>
      <c r="AE631" s="580">
        <f t="shared" si="82"/>
        <v>2.5</v>
      </c>
      <c r="AF631" s="580">
        <f t="shared" si="83"/>
        <v>2.5</v>
      </c>
      <c r="AG631" s="580">
        <f t="shared" si="84"/>
        <v>0</v>
      </c>
      <c r="AH631" s="580">
        <f t="shared" si="85"/>
        <v>0</v>
      </c>
    </row>
    <row r="632" spans="2:34">
      <c r="B632" s="132">
        <v>14</v>
      </c>
      <c r="C632" s="132">
        <v>1</v>
      </c>
      <c r="D632" s="132">
        <v>1</v>
      </c>
      <c r="E632" s="132">
        <v>0.9</v>
      </c>
      <c r="F632" s="133">
        <v>1</v>
      </c>
      <c r="G632" s="132">
        <v>0.95</v>
      </c>
      <c r="H632" s="133">
        <v>0.8</v>
      </c>
      <c r="I632" s="133">
        <v>0.9</v>
      </c>
      <c r="J632" s="133">
        <v>1</v>
      </c>
      <c r="K632" s="134">
        <f>IF(Input!$D$15="LBL",C632,G632)</f>
        <v>0.95</v>
      </c>
      <c r="L632" s="134">
        <f>IF(Input!$D$15="LBL",D632,H632)</f>
        <v>0.8</v>
      </c>
      <c r="M632" s="134">
        <f>IF(Input!$D$15="LBL",E632,I632)</f>
        <v>0.9</v>
      </c>
      <c r="N632" s="134">
        <f>IF(Input!$D$15="LBL",F632,J632)</f>
        <v>1</v>
      </c>
      <c r="AB632" s="580">
        <f>HLOOKUP("*"&amp;'Output annual'!$AC$2&amp;'Output annual'!$AD$2&amp;"*Zone People Number Of Occupants [](Hourly)",'Eplus results'!$1:$1048576,ROW(),FALSE)</f>
        <v>0</v>
      </c>
      <c r="AC632" s="580">
        <f>HLOOKUP("*"&amp;'Output annual'!$AC$2&amp;'Output annual'!$AD$2&amp;"*FangerPMV(Hourly)",'Eplus results'!$1:$1048576,ROW(),FALSE)</f>
        <v>0</v>
      </c>
      <c r="AD632" s="580">
        <f t="shared" si="81"/>
        <v>5</v>
      </c>
      <c r="AE632" s="580">
        <f t="shared" si="82"/>
        <v>2.5</v>
      </c>
      <c r="AF632" s="580">
        <f t="shared" si="83"/>
        <v>2.5</v>
      </c>
      <c r="AG632" s="580">
        <f t="shared" si="84"/>
        <v>0</v>
      </c>
      <c r="AH632" s="580">
        <f t="shared" si="85"/>
        <v>0</v>
      </c>
    </row>
    <row r="633" spans="2:34">
      <c r="B633" s="132">
        <v>15</v>
      </c>
      <c r="C633" s="132">
        <v>1</v>
      </c>
      <c r="D633" s="132">
        <v>1</v>
      </c>
      <c r="E633" s="132">
        <v>0.9</v>
      </c>
      <c r="F633" s="133">
        <v>1</v>
      </c>
      <c r="G633" s="132">
        <v>0.95</v>
      </c>
      <c r="H633" s="133">
        <v>0.8</v>
      </c>
      <c r="I633" s="133">
        <v>0.9</v>
      </c>
      <c r="J633" s="133">
        <v>1</v>
      </c>
      <c r="K633" s="134">
        <f>IF(Input!$D$15="LBL",C633,G633)</f>
        <v>0.95</v>
      </c>
      <c r="L633" s="134">
        <f>IF(Input!$D$15="LBL",D633,H633)</f>
        <v>0.8</v>
      </c>
      <c r="M633" s="134">
        <f>IF(Input!$D$15="LBL",E633,I633)</f>
        <v>0.9</v>
      </c>
      <c r="N633" s="134">
        <f>IF(Input!$D$15="LBL",F633,J633)</f>
        <v>1</v>
      </c>
      <c r="AB633" s="580">
        <f>HLOOKUP("*"&amp;'Output annual'!$AC$2&amp;'Output annual'!$AD$2&amp;"*Zone People Number Of Occupants [](Hourly)",'Eplus results'!$1:$1048576,ROW(),FALSE)</f>
        <v>0</v>
      </c>
      <c r="AC633" s="580">
        <f>HLOOKUP("*"&amp;'Output annual'!$AC$2&amp;'Output annual'!$AD$2&amp;"*FangerPMV(Hourly)",'Eplus results'!$1:$1048576,ROW(),FALSE)</f>
        <v>0</v>
      </c>
      <c r="AD633" s="580">
        <f t="shared" si="81"/>
        <v>5</v>
      </c>
      <c r="AE633" s="580">
        <f t="shared" si="82"/>
        <v>2.5</v>
      </c>
      <c r="AF633" s="580">
        <f t="shared" si="83"/>
        <v>2.5</v>
      </c>
      <c r="AG633" s="580">
        <f t="shared" si="84"/>
        <v>0</v>
      </c>
      <c r="AH633" s="580">
        <f t="shared" si="85"/>
        <v>0</v>
      </c>
    </row>
    <row r="634" spans="2:34">
      <c r="B634" s="132">
        <v>16</v>
      </c>
      <c r="C634" s="132">
        <v>1</v>
      </c>
      <c r="D634" s="132">
        <v>1</v>
      </c>
      <c r="E634" s="132">
        <v>0.9</v>
      </c>
      <c r="F634" s="133">
        <v>1</v>
      </c>
      <c r="G634" s="132">
        <v>0.95</v>
      </c>
      <c r="H634" s="133">
        <v>0.8</v>
      </c>
      <c r="I634" s="133">
        <v>0.9</v>
      </c>
      <c r="J634" s="133">
        <v>1</v>
      </c>
      <c r="K634" s="134">
        <f>IF(Input!$D$15="LBL",C634,G634)</f>
        <v>0.95</v>
      </c>
      <c r="L634" s="134">
        <f>IF(Input!$D$15="LBL",D634,H634)</f>
        <v>0.8</v>
      </c>
      <c r="M634" s="134">
        <f>IF(Input!$D$15="LBL",E634,I634)</f>
        <v>0.9</v>
      </c>
      <c r="N634" s="134">
        <f>IF(Input!$D$15="LBL",F634,J634)</f>
        <v>1</v>
      </c>
      <c r="AB634" s="580">
        <f>HLOOKUP("*"&amp;'Output annual'!$AC$2&amp;'Output annual'!$AD$2&amp;"*Zone People Number Of Occupants [](Hourly)",'Eplus results'!$1:$1048576,ROW(),FALSE)</f>
        <v>0</v>
      </c>
      <c r="AC634" s="580">
        <f>HLOOKUP("*"&amp;'Output annual'!$AC$2&amp;'Output annual'!$AD$2&amp;"*FangerPMV(Hourly)",'Eplus results'!$1:$1048576,ROW(),FALSE)</f>
        <v>0</v>
      </c>
      <c r="AD634" s="580">
        <f t="shared" si="81"/>
        <v>5</v>
      </c>
      <c r="AE634" s="580">
        <f t="shared" si="82"/>
        <v>2.5</v>
      </c>
      <c r="AF634" s="580">
        <f t="shared" si="83"/>
        <v>2.5</v>
      </c>
      <c r="AG634" s="580">
        <f t="shared" si="84"/>
        <v>0</v>
      </c>
      <c r="AH634" s="580">
        <f t="shared" si="85"/>
        <v>0</v>
      </c>
    </row>
    <row r="635" spans="2:34">
      <c r="B635" s="132">
        <v>17</v>
      </c>
      <c r="C635" s="132">
        <v>0.5</v>
      </c>
      <c r="D635" s="132">
        <v>0.17</v>
      </c>
      <c r="E635" s="135">
        <v>0.3</v>
      </c>
      <c r="F635" s="133">
        <v>1</v>
      </c>
      <c r="G635" s="132">
        <v>0.3</v>
      </c>
      <c r="H635" s="133">
        <v>0.2</v>
      </c>
      <c r="I635" s="133">
        <v>0.5</v>
      </c>
      <c r="J635" s="133">
        <v>1</v>
      </c>
      <c r="K635" s="134">
        <f>IF(Input!$D$15="LBL",C635,G635)</f>
        <v>0.3</v>
      </c>
      <c r="L635" s="134">
        <f>IF(Input!$D$15="LBL",D635,H635)</f>
        <v>0.2</v>
      </c>
      <c r="M635" s="134">
        <f>IF(Input!$D$15="LBL",E635,I635)</f>
        <v>0.5</v>
      </c>
      <c r="N635" s="134">
        <f>IF(Input!$D$15="LBL",F635,J635)</f>
        <v>1</v>
      </c>
      <c r="AB635" s="580">
        <f>HLOOKUP("*"&amp;'Output annual'!$AC$2&amp;'Output annual'!$AD$2&amp;"*Zone People Number Of Occupants [](Hourly)",'Eplus results'!$1:$1048576,ROW(),FALSE)</f>
        <v>0</v>
      </c>
      <c r="AC635" s="580">
        <f>HLOOKUP("*"&amp;'Output annual'!$AC$2&amp;'Output annual'!$AD$2&amp;"*FangerPMV(Hourly)",'Eplus results'!$1:$1048576,ROW(),FALSE)</f>
        <v>0</v>
      </c>
      <c r="AD635" s="580">
        <f t="shared" si="81"/>
        <v>5</v>
      </c>
      <c r="AE635" s="580">
        <f t="shared" si="82"/>
        <v>2.5</v>
      </c>
      <c r="AF635" s="580">
        <f t="shared" si="83"/>
        <v>2.5</v>
      </c>
      <c r="AG635" s="580">
        <f t="shared" si="84"/>
        <v>0</v>
      </c>
      <c r="AH635" s="580">
        <f t="shared" si="85"/>
        <v>0</v>
      </c>
    </row>
    <row r="636" spans="2:34">
      <c r="B636" s="132">
        <v>18</v>
      </c>
      <c r="C636" s="132">
        <v>0</v>
      </c>
      <c r="D636" s="132">
        <v>0.17</v>
      </c>
      <c r="E636" s="135">
        <v>0.3</v>
      </c>
      <c r="F636" s="133">
        <v>1</v>
      </c>
      <c r="G636" s="132">
        <v>0.2</v>
      </c>
      <c r="H636" s="133">
        <v>0.2</v>
      </c>
      <c r="I636" s="133">
        <v>0.5</v>
      </c>
      <c r="J636" s="133">
        <v>1</v>
      </c>
      <c r="K636" s="134">
        <f>IF(Input!$D$15="LBL",C636,G636)</f>
        <v>0.2</v>
      </c>
      <c r="L636" s="134">
        <f>IF(Input!$D$15="LBL",D636,H636)</f>
        <v>0.2</v>
      </c>
      <c r="M636" s="134">
        <f>IF(Input!$D$15="LBL",E636,I636)</f>
        <v>0.5</v>
      </c>
      <c r="N636" s="134">
        <f>IF(Input!$D$15="LBL",F636,J636)</f>
        <v>1</v>
      </c>
      <c r="AB636" s="580">
        <f>HLOOKUP("*"&amp;'Output annual'!$AC$2&amp;'Output annual'!$AD$2&amp;"*Zone People Number Of Occupants [](Hourly)",'Eplus results'!$1:$1048576,ROW(),FALSE)</f>
        <v>0</v>
      </c>
      <c r="AC636" s="580">
        <f>HLOOKUP("*"&amp;'Output annual'!$AC$2&amp;'Output annual'!$AD$2&amp;"*FangerPMV(Hourly)",'Eplus results'!$1:$1048576,ROW(),FALSE)</f>
        <v>0</v>
      </c>
      <c r="AD636" s="580">
        <f t="shared" si="81"/>
        <v>5</v>
      </c>
      <c r="AE636" s="580">
        <f t="shared" si="82"/>
        <v>2.5</v>
      </c>
      <c r="AF636" s="580">
        <f t="shared" si="83"/>
        <v>2.5</v>
      </c>
      <c r="AG636" s="580">
        <f t="shared" si="84"/>
        <v>0</v>
      </c>
      <c r="AH636" s="580">
        <f t="shared" si="85"/>
        <v>0</v>
      </c>
    </row>
    <row r="637" spans="2:34">
      <c r="B637" s="132">
        <v>19</v>
      </c>
      <c r="C637" s="132">
        <v>0</v>
      </c>
      <c r="D637" s="132">
        <v>0.17</v>
      </c>
      <c r="E637" s="135">
        <v>0.3</v>
      </c>
      <c r="F637" s="135">
        <v>0</v>
      </c>
      <c r="G637" s="132">
        <v>0.2</v>
      </c>
      <c r="H637" s="133">
        <v>0.2</v>
      </c>
      <c r="I637" s="133">
        <v>0.5</v>
      </c>
      <c r="J637" s="133">
        <v>1</v>
      </c>
      <c r="K637" s="134">
        <f>IF(Input!$D$15="LBL",C637,G637)</f>
        <v>0.2</v>
      </c>
      <c r="L637" s="134">
        <f>IF(Input!$D$15="LBL",D637,H637)</f>
        <v>0.2</v>
      </c>
      <c r="M637" s="134">
        <f>IF(Input!$D$15="LBL",E637,I637)</f>
        <v>0.5</v>
      </c>
      <c r="N637" s="134">
        <f>IF(Input!$D$15="LBL",F637,J637)</f>
        <v>1</v>
      </c>
      <c r="AB637" s="580">
        <f>HLOOKUP("*"&amp;'Output annual'!$AC$2&amp;'Output annual'!$AD$2&amp;"*Zone People Number Of Occupants [](Hourly)",'Eplus results'!$1:$1048576,ROW(),FALSE)</f>
        <v>0</v>
      </c>
      <c r="AC637" s="580">
        <f>HLOOKUP("*"&amp;'Output annual'!$AC$2&amp;'Output annual'!$AD$2&amp;"*FangerPMV(Hourly)",'Eplus results'!$1:$1048576,ROW(),FALSE)</f>
        <v>0</v>
      </c>
      <c r="AD637" s="580">
        <f t="shared" si="81"/>
        <v>5</v>
      </c>
      <c r="AE637" s="580">
        <f t="shared" si="82"/>
        <v>2.5</v>
      </c>
      <c r="AF637" s="580">
        <f t="shared" si="83"/>
        <v>2.5</v>
      </c>
      <c r="AG637" s="580">
        <f t="shared" si="84"/>
        <v>0</v>
      </c>
      <c r="AH637" s="580">
        <f t="shared" si="85"/>
        <v>0</v>
      </c>
    </row>
    <row r="638" spans="2:34">
      <c r="B638" s="132">
        <v>20</v>
      </c>
      <c r="C638" s="132">
        <v>0</v>
      </c>
      <c r="D638" s="132">
        <v>0.17</v>
      </c>
      <c r="E638" s="135">
        <v>0.3</v>
      </c>
      <c r="F638" s="135">
        <v>0</v>
      </c>
      <c r="G638" s="132">
        <v>0.2</v>
      </c>
      <c r="H638" s="133">
        <v>0.2</v>
      </c>
      <c r="I638" s="133">
        <v>0.5</v>
      </c>
      <c r="J638" s="133">
        <v>1</v>
      </c>
      <c r="K638" s="134">
        <f>IF(Input!$D$15="LBL",C638,G638)</f>
        <v>0.2</v>
      </c>
      <c r="L638" s="134">
        <f>IF(Input!$D$15="LBL",D638,H638)</f>
        <v>0.2</v>
      </c>
      <c r="M638" s="134">
        <f>IF(Input!$D$15="LBL",E638,I638)</f>
        <v>0.5</v>
      </c>
      <c r="N638" s="134">
        <f>IF(Input!$D$15="LBL",F638,J638)</f>
        <v>1</v>
      </c>
      <c r="AB638" s="580">
        <f>HLOOKUP("*"&amp;'Output annual'!$AC$2&amp;'Output annual'!$AD$2&amp;"*Zone People Number Of Occupants [](Hourly)",'Eplus results'!$1:$1048576,ROW(),FALSE)</f>
        <v>0</v>
      </c>
      <c r="AC638" s="580">
        <f>HLOOKUP("*"&amp;'Output annual'!$AC$2&amp;'Output annual'!$AD$2&amp;"*FangerPMV(Hourly)",'Eplus results'!$1:$1048576,ROW(),FALSE)</f>
        <v>0</v>
      </c>
      <c r="AD638" s="580">
        <f t="shared" si="81"/>
        <v>5</v>
      </c>
      <c r="AE638" s="580">
        <f t="shared" si="82"/>
        <v>2.5</v>
      </c>
      <c r="AF638" s="580">
        <f t="shared" si="83"/>
        <v>2.5</v>
      </c>
      <c r="AG638" s="580">
        <f t="shared" si="84"/>
        <v>0</v>
      </c>
      <c r="AH638" s="580">
        <f t="shared" si="85"/>
        <v>0</v>
      </c>
    </row>
    <row r="639" spans="2:34">
      <c r="B639" s="132">
        <v>21</v>
      </c>
      <c r="C639" s="132">
        <v>0</v>
      </c>
      <c r="D639" s="132">
        <v>0.17</v>
      </c>
      <c r="E639" s="135">
        <v>0.3</v>
      </c>
      <c r="F639" s="135">
        <v>0</v>
      </c>
      <c r="G639" s="132">
        <v>0</v>
      </c>
      <c r="H639" s="133">
        <v>0.2</v>
      </c>
      <c r="I639" s="133">
        <v>0.1</v>
      </c>
      <c r="J639" s="133">
        <v>1</v>
      </c>
      <c r="K639" s="134">
        <f>IF(Input!$D$15="LBL",C639,G639)</f>
        <v>0</v>
      </c>
      <c r="L639" s="134">
        <f>IF(Input!$D$15="LBL",D639,H639)</f>
        <v>0.2</v>
      </c>
      <c r="M639" s="134">
        <f>IF(Input!$D$15="LBL",E639,I639)</f>
        <v>0.1</v>
      </c>
      <c r="N639" s="134">
        <f>IF(Input!$D$15="LBL",F639,J639)</f>
        <v>1</v>
      </c>
      <c r="AB639" s="580">
        <f>HLOOKUP("*"&amp;'Output annual'!$AC$2&amp;'Output annual'!$AD$2&amp;"*Zone People Number Of Occupants [](Hourly)",'Eplus results'!$1:$1048576,ROW(),FALSE)</f>
        <v>0</v>
      </c>
      <c r="AC639" s="580">
        <f>HLOOKUP("*"&amp;'Output annual'!$AC$2&amp;'Output annual'!$AD$2&amp;"*FangerPMV(Hourly)",'Eplus results'!$1:$1048576,ROW(),FALSE)</f>
        <v>0</v>
      </c>
      <c r="AD639" s="580">
        <f t="shared" si="81"/>
        <v>5</v>
      </c>
      <c r="AE639" s="580">
        <f t="shared" si="82"/>
        <v>2.5</v>
      </c>
      <c r="AF639" s="580">
        <f t="shared" si="83"/>
        <v>2.5</v>
      </c>
      <c r="AG639" s="580">
        <f t="shared" si="84"/>
        <v>0</v>
      </c>
      <c r="AH639" s="580">
        <f t="shared" si="85"/>
        <v>0</v>
      </c>
    </row>
    <row r="640" spans="2:34">
      <c r="B640" s="132">
        <v>22</v>
      </c>
      <c r="C640" s="132">
        <v>0</v>
      </c>
      <c r="D640" s="132">
        <v>0.17</v>
      </c>
      <c r="E640" s="135">
        <v>0.3</v>
      </c>
      <c r="F640" s="135">
        <v>0</v>
      </c>
      <c r="G640" s="132">
        <v>0</v>
      </c>
      <c r="H640" s="133">
        <v>0.2</v>
      </c>
      <c r="I640" s="133">
        <v>0.1</v>
      </c>
      <c r="J640" s="133">
        <v>0</v>
      </c>
      <c r="K640" s="134">
        <f>IF(Input!$D$15="LBL",C640,G640)</f>
        <v>0</v>
      </c>
      <c r="L640" s="134">
        <f>IF(Input!$D$15="LBL",D640,H640)</f>
        <v>0.2</v>
      </c>
      <c r="M640" s="134">
        <f>IF(Input!$D$15="LBL",E640,I640)</f>
        <v>0.1</v>
      </c>
      <c r="N640" s="134">
        <f>IF(Input!$D$15="LBL",F640,J640)</f>
        <v>0</v>
      </c>
      <c r="AB640" s="580">
        <f>HLOOKUP("*"&amp;'Output annual'!$AC$2&amp;'Output annual'!$AD$2&amp;"*Zone People Number Of Occupants [](Hourly)",'Eplus results'!$1:$1048576,ROW(),FALSE)</f>
        <v>0</v>
      </c>
      <c r="AC640" s="580">
        <f>HLOOKUP("*"&amp;'Output annual'!$AC$2&amp;'Output annual'!$AD$2&amp;"*FangerPMV(Hourly)",'Eplus results'!$1:$1048576,ROW(),FALSE)</f>
        <v>0</v>
      </c>
      <c r="AD640" s="580">
        <f t="shared" si="81"/>
        <v>5</v>
      </c>
      <c r="AE640" s="580">
        <f t="shared" si="82"/>
        <v>2.5</v>
      </c>
      <c r="AF640" s="580">
        <f t="shared" si="83"/>
        <v>2.5</v>
      </c>
      <c r="AG640" s="580">
        <f t="shared" si="84"/>
        <v>0</v>
      </c>
      <c r="AH640" s="580">
        <f t="shared" si="85"/>
        <v>0</v>
      </c>
    </row>
    <row r="641" spans="2:34">
      <c r="B641" s="132">
        <v>23</v>
      </c>
      <c r="C641" s="132">
        <v>0</v>
      </c>
      <c r="D641" s="132">
        <v>0.17</v>
      </c>
      <c r="E641" s="135">
        <v>0.3</v>
      </c>
      <c r="F641" s="135">
        <v>0</v>
      </c>
      <c r="G641" s="132">
        <v>0</v>
      </c>
      <c r="H641" s="133">
        <v>0.2</v>
      </c>
      <c r="I641" s="133">
        <v>0.1</v>
      </c>
      <c r="J641" s="133">
        <v>0</v>
      </c>
      <c r="K641" s="134">
        <f>IF(Input!$D$15="LBL",C641,G641)</f>
        <v>0</v>
      </c>
      <c r="L641" s="134">
        <f>IF(Input!$D$15="LBL",D641,H641)</f>
        <v>0.2</v>
      </c>
      <c r="M641" s="134">
        <f>IF(Input!$D$15="LBL",E641,I641)</f>
        <v>0.1</v>
      </c>
      <c r="N641" s="134">
        <f>IF(Input!$D$15="LBL",F641,J641)</f>
        <v>0</v>
      </c>
      <c r="AB641" s="580">
        <f>HLOOKUP("*"&amp;'Output annual'!$AC$2&amp;'Output annual'!$AD$2&amp;"*Zone People Number Of Occupants [](Hourly)",'Eplus results'!$1:$1048576,ROW(),FALSE)</f>
        <v>0</v>
      </c>
      <c r="AC641" s="580">
        <f>HLOOKUP("*"&amp;'Output annual'!$AC$2&amp;'Output annual'!$AD$2&amp;"*FangerPMV(Hourly)",'Eplus results'!$1:$1048576,ROW(),FALSE)</f>
        <v>0</v>
      </c>
      <c r="AD641" s="580">
        <f t="shared" si="81"/>
        <v>5</v>
      </c>
      <c r="AE641" s="580">
        <f t="shared" si="82"/>
        <v>2.5</v>
      </c>
      <c r="AF641" s="580">
        <f t="shared" si="83"/>
        <v>2.5</v>
      </c>
      <c r="AG641" s="580">
        <f t="shared" si="84"/>
        <v>0</v>
      </c>
      <c r="AH641" s="580">
        <f t="shared" si="85"/>
        <v>0</v>
      </c>
    </row>
    <row r="642" spans="2:34">
      <c r="AB642" s="580">
        <f>HLOOKUP("*"&amp;'Output annual'!$AC$2&amp;'Output annual'!$AD$2&amp;"*Zone People Number Of Occupants [](Hourly)",'Eplus results'!$1:$1048576,ROW(),FALSE)</f>
        <v>0</v>
      </c>
      <c r="AC642" s="580">
        <f>HLOOKUP("*"&amp;'Output annual'!$AC$2&amp;'Output annual'!$AD$2&amp;"*FangerPMV(Hourly)",'Eplus results'!$1:$1048576,ROW(),FALSE)</f>
        <v>0</v>
      </c>
      <c r="AD642" s="580">
        <f t="shared" si="81"/>
        <v>5</v>
      </c>
      <c r="AE642" s="580">
        <f t="shared" si="82"/>
        <v>2.5</v>
      </c>
      <c r="AF642" s="580">
        <f t="shared" si="83"/>
        <v>2.5</v>
      </c>
      <c r="AG642" s="580">
        <f t="shared" si="84"/>
        <v>0</v>
      </c>
      <c r="AH642" s="580">
        <f t="shared" si="85"/>
        <v>0</v>
      </c>
    </row>
    <row r="643" spans="2:34">
      <c r="AB643" s="580">
        <f>HLOOKUP("*"&amp;'Output annual'!$AC$2&amp;'Output annual'!$AD$2&amp;"*Zone People Number Of Occupants [](Hourly)",'Eplus results'!$1:$1048576,ROW(),FALSE)</f>
        <v>0</v>
      </c>
      <c r="AC643" s="580">
        <f>HLOOKUP("*"&amp;'Output annual'!$AC$2&amp;'Output annual'!$AD$2&amp;"*FangerPMV(Hourly)",'Eplus results'!$1:$1048576,ROW(),FALSE)</f>
        <v>0</v>
      </c>
      <c r="AD643" s="580">
        <f t="shared" ref="AD643:AD706" si="86">100-95*EXP(-0.03353*AC643^4-0.2179*AC643^2)</f>
        <v>5</v>
      </c>
      <c r="AE643" s="580">
        <f t="shared" ref="AE643:AE706" si="87">AD643*(1/(1+EXP(-6.3*$AC643)))</f>
        <v>2.5</v>
      </c>
      <c r="AF643" s="580">
        <f t="shared" ref="AF643:AF706" si="88">(AD643-AE643)</f>
        <v>2.5</v>
      </c>
      <c r="AG643" s="580">
        <f t="shared" ref="AG643:AG706" si="89">AE643*AB643</f>
        <v>0</v>
      </c>
      <c r="AH643" s="580">
        <f t="shared" ref="AH643:AH706" si="90">AF643*AB643</f>
        <v>0</v>
      </c>
    </row>
    <row r="644" spans="2:34">
      <c r="B644" s="358" t="s">
        <v>948</v>
      </c>
      <c r="C644" t="e">
        <f>ROUND(HLOOKUP("AHU MIXED AIR OUTLET:System Node VolFlowRate[m3/s](Hourly)",'Eplus results'!1:1048576,'graph data'!D4,FALSE)*35.314667*60, 0)</f>
        <v>#N/A</v>
      </c>
      <c r="AB644" s="580">
        <f>HLOOKUP("*"&amp;'Output annual'!$AC$2&amp;'Output annual'!$AD$2&amp;"*Zone People Number Of Occupants [](Hourly)",'Eplus results'!$1:$1048576,ROW(),FALSE)</f>
        <v>0</v>
      </c>
      <c r="AC644" s="580">
        <f>HLOOKUP("*"&amp;'Output annual'!$AC$2&amp;'Output annual'!$AD$2&amp;"*FangerPMV(Hourly)",'Eplus results'!$1:$1048576,ROW(),FALSE)</f>
        <v>0</v>
      </c>
      <c r="AD644" s="580">
        <f t="shared" si="86"/>
        <v>5</v>
      </c>
      <c r="AE644" s="580">
        <f t="shared" si="87"/>
        <v>2.5</v>
      </c>
      <c r="AF644" s="580">
        <f t="shared" si="88"/>
        <v>2.5</v>
      </c>
      <c r="AG644" s="580">
        <f t="shared" si="89"/>
        <v>0</v>
      </c>
      <c r="AH644" s="580">
        <f t="shared" si="90"/>
        <v>0</v>
      </c>
    </row>
    <row r="645" spans="2:34">
      <c r="B645" s="358" t="s">
        <v>949</v>
      </c>
      <c r="C645" t="e">
        <f>ROUND(HLOOKUP("AHU OUTSIDE AIR INLET:System Node VolFlowRate[m3/s](Hourly)",'Eplus results'!1:1048576,'graph data'!D4,FALSE)*35.314667*60, 0)</f>
        <v>#N/A</v>
      </c>
      <c r="AB645" s="580">
        <f>HLOOKUP("*"&amp;'Output annual'!$AC$2&amp;'Output annual'!$AD$2&amp;"*Zone People Number Of Occupants [](Hourly)",'Eplus results'!$1:$1048576,ROW(),FALSE)</f>
        <v>0</v>
      </c>
      <c r="AC645" s="580">
        <f>HLOOKUP("*"&amp;'Output annual'!$AC$2&amp;'Output annual'!$AD$2&amp;"*FangerPMV(Hourly)",'Eplus results'!$1:$1048576,ROW(),FALSE)</f>
        <v>0</v>
      </c>
      <c r="AD645" s="580">
        <f t="shared" si="86"/>
        <v>5</v>
      </c>
      <c r="AE645" s="580">
        <f t="shared" si="87"/>
        <v>2.5</v>
      </c>
      <c r="AF645" s="580">
        <f t="shared" si="88"/>
        <v>2.5</v>
      </c>
      <c r="AG645" s="580">
        <f t="shared" si="89"/>
        <v>0</v>
      </c>
      <c r="AH645" s="580">
        <f t="shared" si="90"/>
        <v>0</v>
      </c>
    </row>
    <row r="646" spans="2:34">
      <c r="B646" s="358" t="s">
        <v>950</v>
      </c>
      <c r="C646" t="e">
        <f>ROUND(C645/C644,2)</f>
        <v>#N/A</v>
      </c>
      <c r="AB646" s="580">
        <f>HLOOKUP("*"&amp;'Output annual'!$AC$2&amp;'Output annual'!$AD$2&amp;"*Zone People Number Of Occupants [](Hourly)",'Eplus results'!$1:$1048576,ROW(),FALSE)</f>
        <v>0</v>
      </c>
      <c r="AC646" s="580">
        <f>HLOOKUP("*"&amp;'Output annual'!$AC$2&amp;'Output annual'!$AD$2&amp;"*FangerPMV(Hourly)",'Eplus results'!$1:$1048576,ROW(),FALSE)</f>
        <v>0</v>
      </c>
      <c r="AD646" s="580">
        <f t="shared" si="86"/>
        <v>5</v>
      </c>
      <c r="AE646" s="580">
        <f t="shared" si="87"/>
        <v>2.5</v>
      </c>
      <c r="AF646" s="580">
        <f t="shared" si="88"/>
        <v>2.5</v>
      </c>
      <c r="AG646" s="580">
        <f t="shared" si="89"/>
        <v>0</v>
      </c>
      <c r="AH646" s="580">
        <f t="shared" si="90"/>
        <v>0</v>
      </c>
    </row>
    <row r="647" spans="2:34">
      <c r="AB647" s="580">
        <f>HLOOKUP("*"&amp;'Output annual'!$AC$2&amp;'Output annual'!$AD$2&amp;"*Zone People Number Of Occupants [](Hourly)",'Eplus results'!$1:$1048576,ROW(),FALSE)</f>
        <v>0</v>
      </c>
      <c r="AC647" s="580">
        <f>HLOOKUP("*"&amp;'Output annual'!$AC$2&amp;'Output annual'!$AD$2&amp;"*FangerPMV(Hourly)",'Eplus results'!$1:$1048576,ROW(),FALSE)</f>
        <v>0</v>
      </c>
      <c r="AD647" s="580">
        <f t="shared" si="86"/>
        <v>5</v>
      </c>
      <c r="AE647" s="580">
        <f t="shared" si="87"/>
        <v>2.5</v>
      </c>
      <c r="AF647" s="580">
        <f t="shared" si="88"/>
        <v>2.5</v>
      </c>
      <c r="AG647" s="580">
        <f t="shared" si="89"/>
        <v>0</v>
      </c>
      <c r="AH647" s="580">
        <f t="shared" si="90"/>
        <v>0</v>
      </c>
    </row>
    <row r="648" spans="2:34">
      <c r="AB648" s="580">
        <f>HLOOKUP("*"&amp;'Output annual'!$AC$2&amp;'Output annual'!$AD$2&amp;"*Zone People Number Of Occupants [](Hourly)",'Eplus results'!$1:$1048576,ROW(),FALSE)</f>
        <v>0</v>
      </c>
      <c r="AC648" s="580">
        <f>HLOOKUP("*"&amp;'Output annual'!$AC$2&amp;'Output annual'!$AD$2&amp;"*FangerPMV(Hourly)",'Eplus results'!$1:$1048576,ROW(),FALSE)</f>
        <v>0</v>
      </c>
      <c r="AD648" s="580">
        <f t="shared" si="86"/>
        <v>5</v>
      </c>
      <c r="AE648" s="580">
        <f t="shared" si="87"/>
        <v>2.5</v>
      </c>
      <c r="AF648" s="580">
        <f t="shared" si="88"/>
        <v>2.5</v>
      </c>
      <c r="AG648" s="580">
        <f t="shared" si="89"/>
        <v>0</v>
      </c>
      <c r="AH648" s="580">
        <f t="shared" si="90"/>
        <v>0</v>
      </c>
    </row>
    <row r="649" spans="2:34">
      <c r="AB649" s="580">
        <f>HLOOKUP("*"&amp;'Output annual'!$AC$2&amp;'Output annual'!$AD$2&amp;"*Zone People Number Of Occupants [](Hourly)",'Eplus results'!$1:$1048576,ROW(),FALSE)</f>
        <v>0</v>
      </c>
      <c r="AC649" s="580">
        <f>HLOOKUP("*"&amp;'Output annual'!$AC$2&amp;'Output annual'!$AD$2&amp;"*FangerPMV(Hourly)",'Eplus results'!$1:$1048576,ROW(),FALSE)</f>
        <v>0</v>
      </c>
      <c r="AD649" s="580">
        <f t="shared" si="86"/>
        <v>5</v>
      </c>
      <c r="AE649" s="580">
        <f t="shared" si="87"/>
        <v>2.5</v>
      </c>
      <c r="AF649" s="580">
        <f t="shared" si="88"/>
        <v>2.5</v>
      </c>
      <c r="AG649" s="580">
        <f t="shared" si="89"/>
        <v>0</v>
      </c>
      <c r="AH649" s="580">
        <f t="shared" si="90"/>
        <v>0</v>
      </c>
    </row>
    <row r="650" spans="2:34">
      <c r="AB650" s="580">
        <f>HLOOKUP("*"&amp;'Output annual'!$AC$2&amp;'Output annual'!$AD$2&amp;"*Zone People Number Of Occupants [](Hourly)",'Eplus results'!$1:$1048576,ROW(),FALSE)</f>
        <v>0</v>
      </c>
      <c r="AC650" s="580">
        <f>HLOOKUP("*"&amp;'Output annual'!$AC$2&amp;'Output annual'!$AD$2&amp;"*FangerPMV(Hourly)",'Eplus results'!$1:$1048576,ROW(),FALSE)</f>
        <v>0</v>
      </c>
      <c r="AD650" s="580">
        <f t="shared" si="86"/>
        <v>5</v>
      </c>
      <c r="AE650" s="580">
        <f t="shared" si="87"/>
        <v>2.5</v>
      </c>
      <c r="AF650" s="580">
        <f t="shared" si="88"/>
        <v>2.5</v>
      </c>
      <c r="AG650" s="580">
        <f t="shared" si="89"/>
        <v>0</v>
      </c>
      <c r="AH650" s="580">
        <f t="shared" si="90"/>
        <v>0</v>
      </c>
    </row>
    <row r="651" spans="2:34">
      <c r="AB651" s="580">
        <f>HLOOKUP("*"&amp;'Output annual'!$AC$2&amp;'Output annual'!$AD$2&amp;"*Zone People Number Of Occupants [](Hourly)",'Eplus results'!$1:$1048576,ROW(),FALSE)</f>
        <v>0</v>
      </c>
      <c r="AC651" s="580">
        <f>HLOOKUP("*"&amp;'Output annual'!$AC$2&amp;'Output annual'!$AD$2&amp;"*FangerPMV(Hourly)",'Eplus results'!$1:$1048576,ROW(),FALSE)</f>
        <v>0</v>
      </c>
      <c r="AD651" s="580">
        <f t="shared" si="86"/>
        <v>5</v>
      </c>
      <c r="AE651" s="580">
        <f t="shared" si="87"/>
        <v>2.5</v>
      </c>
      <c r="AF651" s="580">
        <f t="shared" si="88"/>
        <v>2.5</v>
      </c>
      <c r="AG651" s="580">
        <f t="shared" si="89"/>
        <v>0</v>
      </c>
      <c r="AH651" s="580">
        <f t="shared" si="90"/>
        <v>0</v>
      </c>
    </row>
    <row r="652" spans="2:34">
      <c r="AB652" s="580">
        <f>HLOOKUP("*"&amp;'Output annual'!$AC$2&amp;'Output annual'!$AD$2&amp;"*Zone People Number Of Occupants [](Hourly)",'Eplus results'!$1:$1048576,ROW(),FALSE)</f>
        <v>0</v>
      </c>
      <c r="AC652" s="580">
        <f>HLOOKUP("*"&amp;'Output annual'!$AC$2&amp;'Output annual'!$AD$2&amp;"*FangerPMV(Hourly)",'Eplus results'!$1:$1048576,ROW(),FALSE)</f>
        <v>0</v>
      </c>
      <c r="AD652" s="580">
        <f t="shared" si="86"/>
        <v>5</v>
      </c>
      <c r="AE652" s="580">
        <f t="shared" si="87"/>
        <v>2.5</v>
      </c>
      <c r="AF652" s="580">
        <f t="shared" si="88"/>
        <v>2.5</v>
      </c>
      <c r="AG652" s="580">
        <f t="shared" si="89"/>
        <v>0</v>
      </c>
      <c r="AH652" s="580">
        <f t="shared" si="90"/>
        <v>0</v>
      </c>
    </row>
    <row r="653" spans="2:34">
      <c r="AB653" s="580">
        <f>HLOOKUP("*"&amp;'Output annual'!$AC$2&amp;'Output annual'!$AD$2&amp;"*Zone People Number Of Occupants [](Hourly)",'Eplus results'!$1:$1048576,ROW(),FALSE)</f>
        <v>0</v>
      </c>
      <c r="AC653" s="580">
        <f>HLOOKUP("*"&amp;'Output annual'!$AC$2&amp;'Output annual'!$AD$2&amp;"*FangerPMV(Hourly)",'Eplus results'!$1:$1048576,ROW(),FALSE)</f>
        <v>0</v>
      </c>
      <c r="AD653" s="580">
        <f t="shared" si="86"/>
        <v>5</v>
      </c>
      <c r="AE653" s="580">
        <f t="shared" si="87"/>
        <v>2.5</v>
      </c>
      <c r="AF653" s="580">
        <f t="shared" si="88"/>
        <v>2.5</v>
      </c>
      <c r="AG653" s="580">
        <f t="shared" si="89"/>
        <v>0</v>
      </c>
      <c r="AH653" s="580">
        <f t="shared" si="90"/>
        <v>0</v>
      </c>
    </row>
    <row r="654" spans="2:34">
      <c r="AB654" s="580">
        <f>HLOOKUP("*"&amp;'Output annual'!$AC$2&amp;'Output annual'!$AD$2&amp;"*Zone People Number Of Occupants [](Hourly)",'Eplus results'!$1:$1048576,ROW(),FALSE)</f>
        <v>0</v>
      </c>
      <c r="AC654" s="580">
        <f>HLOOKUP("*"&amp;'Output annual'!$AC$2&amp;'Output annual'!$AD$2&amp;"*FangerPMV(Hourly)",'Eplus results'!$1:$1048576,ROW(),FALSE)</f>
        <v>0</v>
      </c>
      <c r="AD654" s="580">
        <f t="shared" si="86"/>
        <v>5</v>
      </c>
      <c r="AE654" s="580">
        <f t="shared" si="87"/>
        <v>2.5</v>
      </c>
      <c r="AF654" s="580">
        <f t="shared" si="88"/>
        <v>2.5</v>
      </c>
      <c r="AG654" s="580">
        <f t="shared" si="89"/>
        <v>0</v>
      </c>
      <c r="AH654" s="580">
        <f t="shared" si="90"/>
        <v>0</v>
      </c>
    </row>
    <row r="655" spans="2:34">
      <c r="AB655" s="580">
        <f>HLOOKUP("*"&amp;'Output annual'!$AC$2&amp;'Output annual'!$AD$2&amp;"*Zone People Number Of Occupants [](Hourly)",'Eplus results'!$1:$1048576,ROW(),FALSE)</f>
        <v>0</v>
      </c>
      <c r="AC655" s="580">
        <f>HLOOKUP("*"&amp;'Output annual'!$AC$2&amp;'Output annual'!$AD$2&amp;"*FangerPMV(Hourly)",'Eplus results'!$1:$1048576,ROW(),FALSE)</f>
        <v>0</v>
      </c>
      <c r="AD655" s="580">
        <f t="shared" si="86"/>
        <v>5</v>
      </c>
      <c r="AE655" s="580">
        <f t="shared" si="87"/>
        <v>2.5</v>
      </c>
      <c r="AF655" s="580">
        <f t="shared" si="88"/>
        <v>2.5</v>
      </c>
      <c r="AG655" s="580">
        <f t="shared" si="89"/>
        <v>0</v>
      </c>
      <c r="AH655" s="580">
        <f t="shared" si="90"/>
        <v>0</v>
      </c>
    </row>
    <row r="656" spans="2:34">
      <c r="AB656" s="580">
        <f>HLOOKUP("*"&amp;'Output annual'!$AC$2&amp;'Output annual'!$AD$2&amp;"*Zone People Number Of Occupants [](Hourly)",'Eplus results'!$1:$1048576,ROW(),FALSE)</f>
        <v>0</v>
      </c>
      <c r="AC656" s="580">
        <f>HLOOKUP("*"&amp;'Output annual'!$AC$2&amp;'Output annual'!$AD$2&amp;"*FangerPMV(Hourly)",'Eplus results'!$1:$1048576,ROW(),FALSE)</f>
        <v>0</v>
      </c>
      <c r="AD656" s="580">
        <f t="shared" si="86"/>
        <v>5</v>
      </c>
      <c r="AE656" s="580">
        <f t="shared" si="87"/>
        <v>2.5</v>
      </c>
      <c r="AF656" s="580">
        <f t="shared" si="88"/>
        <v>2.5</v>
      </c>
      <c r="AG656" s="580">
        <f t="shared" si="89"/>
        <v>0</v>
      </c>
      <c r="AH656" s="580">
        <f t="shared" si="90"/>
        <v>0</v>
      </c>
    </row>
    <row r="657" spans="28:34">
      <c r="AB657" s="580">
        <f>HLOOKUP("*"&amp;'Output annual'!$AC$2&amp;'Output annual'!$AD$2&amp;"*Zone People Number Of Occupants [](Hourly)",'Eplus results'!$1:$1048576,ROW(),FALSE)</f>
        <v>0</v>
      </c>
      <c r="AC657" s="580">
        <f>HLOOKUP("*"&amp;'Output annual'!$AC$2&amp;'Output annual'!$AD$2&amp;"*FangerPMV(Hourly)",'Eplus results'!$1:$1048576,ROW(),FALSE)</f>
        <v>0</v>
      </c>
      <c r="AD657" s="580">
        <f t="shared" si="86"/>
        <v>5</v>
      </c>
      <c r="AE657" s="580">
        <f t="shared" si="87"/>
        <v>2.5</v>
      </c>
      <c r="AF657" s="580">
        <f t="shared" si="88"/>
        <v>2.5</v>
      </c>
      <c r="AG657" s="580">
        <f t="shared" si="89"/>
        <v>0</v>
      </c>
      <c r="AH657" s="580">
        <f t="shared" si="90"/>
        <v>0</v>
      </c>
    </row>
    <row r="658" spans="28:34">
      <c r="AB658" s="580">
        <f>HLOOKUP("*"&amp;'Output annual'!$AC$2&amp;'Output annual'!$AD$2&amp;"*Zone People Number Of Occupants [](Hourly)",'Eplus results'!$1:$1048576,ROW(),FALSE)</f>
        <v>0</v>
      </c>
      <c r="AC658" s="580">
        <f>HLOOKUP("*"&amp;'Output annual'!$AC$2&amp;'Output annual'!$AD$2&amp;"*FangerPMV(Hourly)",'Eplus results'!$1:$1048576,ROW(),FALSE)</f>
        <v>0</v>
      </c>
      <c r="AD658" s="580">
        <f t="shared" si="86"/>
        <v>5</v>
      </c>
      <c r="AE658" s="580">
        <f t="shared" si="87"/>
        <v>2.5</v>
      </c>
      <c r="AF658" s="580">
        <f t="shared" si="88"/>
        <v>2.5</v>
      </c>
      <c r="AG658" s="580">
        <f t="shared" si="89"/>
        <v>0</v>
      </c>
      <c r="AH658" s="580">
        <f t="shared" si="90"/>
        <v>0</v>
      </c>
    </row>
    <row r="659" spans="28:34">
      <c r="AB659" s="580">
        <f>HLOOKUP("*"&amp;'Output annual'!$AC$2&amp;'Output annual'!$AD$2&amp;"*Zone People Number Of Occupants [](Hourly)",'Eplus results'!$1:$1048576,ROW(),FALSE)</f>
        <v>0</v>
      </c>
      <c r="AC659" s="580">
        <f>HLOOKUP("*"&amp;'Output annual'!$AC$2&amp;'Output annual'!$AD$2&amp;"*FangerPMV(Hourly)",'Eplus results'!$1:$1048576,ROW(),FALSE)</f>
        <v>0</v>
      </c>
      <c r="AD659" s="580">
        <f t="shared" si="86"/>
        <v>5</v>
      </c>
      <c r="AE659" s="580">
        <f t="shared" si="87"/>
        <v>2.5</v>
      </c>
      <c r="AF659" s="580">
        <f t="shared" si="88"/>
        <v>2.5</v>
      </c>
      <c r="AG659" s="580">
        <f t="shared" si="89"/>
        <v>0</v>
      </c>
      <c r="AH659" s="580">
        <f t="shared" si="90"/>
        <v>0</v>
      </c>
    </row>
    <row r="660" spans="28:34">
      <c r="AB660" s="580">
        <f>HLOOKUP("*"&amp;'Output annual'!$AC$2&amp;'Output annual'!$AD$2&amp;"*Zone People Number Of Occupants [](Hourly)",'Eplus results'!$1:$1048576,ROW(),FALSE)</f>
        <v>0</v>
      </c>
      <c r="AC660" s="580">
        <f>HLOOKUP("*"&amp;'Output annual'!$AC$2&amp;'Output annual'!$AD$2&amp;"*FangerPMV(Hourly)",'Eplus results'!$1:$1048576,ROW(),FALSE)</f>
        <v>0</v>
      </c>
      <c r="AD660" s="580">
        <f t="shared" si="86"/>
        <v>5</v>
      </c>
      <c r="AE660" s="580">
        <f t="shared" si="87"/>
        <v>2.5</v>
      </c>
      <c r="AF660" s="580">
        <f t="shared" si="88"/>
        <v>2.5</v>
      </c>
      <c r="AG660" s="580">
        <f t="shared" si="89"/>
        <v>0</v>
      </c>
      <c r="AH660" s="580">
        <f t="shared" si="90"/>
        <v>0</v>
      </c>
    </row>
    <row r="661" spans="28:34">
      <c r="AB661" s="580">
        <f>HLOOKUP("*"&amp;'Output annual'!$AC$2&amp;'Output annual'!$AD$2&amp;"*Zone People Number Of Occupants [](Hourly)",'Eplus results'!$1:$1048576,ROW(),FALSE)</f>
        <v>0</v>
      </c>
      <c r="AC661" s="580">
        <f>HLOOKUP("*"&amp;'Output annual'!$AC$2&amp;'Output annual'!$AD$2&amp;"*FangerPMV(Hourly)",'Eplus results'!$1:$1048576,ROW(),FALSE)</f>
        <v>0</v>
      </c>
      <c r="AD661" s="580">
        <f t="shared" si="86"/>
        <v>5</v>
      </c>
      <c r="AE661" s="580">
        <f t="shared" si="87"/>
        <v>2.5</v>
      </c>
      <c r="AF661" s="580">
        <f t="shared" si="88"/>
        <v>2.5</v>
      </c>
      <c r="AG661" s="580">
        <f t="shared" si="89"/>
        <v>0</v>
      </c>
      <c r="AH661" s="580">
        <f t="shared" si="90"/>
        <v>0</v>
      </c>
    </row>
    <row r="662" spans="28:34">
      <c r="AB662" s="580">
        <f>HLOOKUP("*"&amp;'Output annual'!$AC$2&amp;'Output annual'!$AD$2&amp;"*Zone People Number Of Occupants [](Hourly)",'Eplus results'!$1:$1048576,ROW(),FALSE)</f>
        <v>0</v>
      </c>
      <c r="AC662" s="580">
        <f>HLOOKUP("*"&amp;'Output annual'!$AC$2&amp;'Output annual'!$AD$2&amp;"*FangerPMV(Hourly)",'Eplus results'!$1:$1048576,ROW(),FALSE)</f>
        <v>0</v>
      </c>
      <c r="AD662" s="580">
        <f t="shared" si="86"/>
        <v>5</v>
      </c>
      <c r="AE662" s="580">
        <f t="shared" si="87"/>
        <v>2.5</v>
      </c>
      <c r="AF662" s="580">
        <f t="shared" si="88"/>
        <v>2.5</v>
      </c>
      <c r="AG662" s="580">
        <f t="shared" si="89"/>
        <v>0</v>
      </c>
      <c r="AH662" s="580">
        <f t="shared" si="90"/>
        <v>0</v>
      </c>
    </row>
    <row r="663" spans="28:34">
      <c r="AB663" s="580">
        <f>HLOOKUP("*"&amp;'Output annual'!$AC$2&amp;'Output annual'!$AD$2&amp;"*Zone People Number Of Occupants [](Hourly)",'Eplus results'!$1:$1048576,ROW(),FALSE)</f>
        <v>0</v>
      </c>
      <c r="AC663" s="580">
        <f>HLOOKUP("*"&amp;'Output annual'!$AC$2&amp;'Output annual'!$AD$2&amp;"*FangerPMV(Hourly)",'Eplus results'!$1:$1048576,ROW(),FALSE)</f>
        <v>0</v>
      </c>
      <c r="AD663" s="580">
        <f t="shared" si="86"/>
        <v>5</v>
      </c>
      <c r="AE663" s="580">
        <f t="shared" si="87"/>
        <v>2.5</v>
      </c>
      <c r="AF663" s="580">
        <f t="shared" si="88"/>
        <v>2.5</v>
      </c>
      <c r="AG663" s="580">
        <f t="shared" si="89"/>
        <v>0</v>
      </c>
      <c r="AH663" s="580">
        <f t="shared" si="90"/>
        <v>0</v>
      </c>
    </row>
    <row r="664" spans="28:34">
      <c r="AB664" s="580">
        <f>HLOOKUP("*"&amp;'Output annual'!$AC$2&amp;'Output annual'!$AD$2&amp;"*Zone People Number Of Occupants [](Hourly)",'Eplus results'!$1:$1048576,ROW(),FALSE)</f>
        <v>0</v>
      </c>
      <c r="AC664" s="580">
        <f>HLOOKUP("*"&amp;'Output annual'!$AC$2&amp;'Output annual'!$AD$2&amp;"*FangerPMV(Hourly)",'Eplus results'!$1:$1048576,ROW(),FALSE)</f>
        <v>0</v>
      </c>
      <c r="AD664" s="580">
        <f t="shared" si="86"/>
        <v>5</v>
      </c>
      <c r="AE664" s="580">
        <f t="shared" si="87"/>
        <v>2.5</v>
      </c>
      <c r="AF664" s="580">
        <f t="shared" si="88"/>
        <v>2.5</v>
      </c>
      <c r="AG664" s="580">
        <f t="shared" si="89"/>
        <v>0</v>
      </c>
      <c r="AH664" s="580">
        <f t="shared" si="90"/>
        <v>0</v>
      </c>
    </row>
    <row r="665" spans="28:34">
      <c r="AB665" s="580">
        <f>HLOOKUP("*"&amp;'Output annual'!$AC$2&amp;'Output annual'!$AD$2&amp;"*Zone People Number Of Occupants [](Hourly)",'Eplus results'!$1:$1048576,ROW(),FALSE)</f>
        <v>0</v>
      </c>
      <c r="AC665" s="580">
        <f>HLOOKUP("*"&amp;'Output annual'!$AC$2&amp;'Output annual'!$AD$2&amp;"*FangerPMV(Hourly)",'Eplus results'!$1:$1048576,ROW(),FALSE)</f>
        <v>0</v>
      </c>
      <c r="AD665" s="580">
        <f t="shared" si="86"/>
        <v>5</v>
      </c>
      <c r="AE665" s="580">
        <f t="shared" si="87"/>
        <v>2.5</v>
      </c>
      <c r="AF665" s="580">
        <f t="shared" si="88"/>
        <v>2.5</v>
      </c>
      <c r="AG665" s="580">
        <f t="shared" si="89"/>
        <v>0</v>
      </c>
      <c r="AH665" s="580">
        <f t="shared" si="90"/>
        <v>0</v>
      </c>
    </row>
    <row r="666" spans="28:34">
      <c r="AB666" s="580">
        <f>HLOOKUP("*"&amp;'Output annual'!$AC$2&amp;'Output annual'!$AD$2&amp;"*Zone People Number Of Occupants [](Hourly)",'Eplus results'!$1:$1048576,ROW(),FALSE)</f>
        <v>0</v>
      </c>
      <c r="AC666" s="580">
        <f>HLOOKUP("*"&amp;'Output annual'!$AC$2&amp;'Output annual'!$AD$2&amp;"*FangerPMV(Hourly)",'Eplus results'!$1:$1048576,ROW(),FALSE)</f>
        <v>0</v>
      </c>
      <c r="AD666" s="580">
        <f t="shared" si="86"/>
        <v>5</v>
      </c>
      <c r="AE666" s="580">
        <f t="shared" si="87"/>
        <v>2.5</v>
      </c>
      <c r="AF666" s="580">
        <f t="shared" si="88"/>
        <v>2.5</v>
      </c>
      <c r="AG666" s="580">
        <f t="shared" si="89"/>
        <v>0</v>
      </c>
      <c r="AH666" s="580">
        <f t="shared" si="90"/>
        <v>0</v>
      </c>
    </row>
    <row r="667" spans="28:34">
      <c r="AB667" s="580">
        <f>HLOOKUP("*"&amp;'Output annual'!$AC$2&amp;'Output annual'!$AD$2&amp;"*Zone People Number Of Occupants [](Hourly)",'Eplus results'!$1:$1048576,ROW(),FALSE)</f>
        <v>0</v>
      </c>
      <c r="AC667" s="580">
        <f>HLOOKUP("*"&amp;'Output annual'!$AC$2&amp;'Output annual'!$AD$2&amp;"*FangerPMV(Hourly)",'Eplus results'!$1:$1048576,ROW(),FALSE)</f>
        <v>0</v>
      </c>
      <c r="AD667" s="580">
        <f t="shared" si="86"/>
        <v>5</v>
      </c>
      <c r="AE667" s="580">
        <f t="shared" si="87"/>
        <v>2.5</v>
      </c>
      <c r="AF667" s="580">
        <f t="shared" si="88"/>
        <v>2.5</v>
      </c>
      <c r="AG667" s="580">
        <f t="shared" si="89"/>
        <v>0</v>
      </c>
      <c r="AH667" s="580">
        <f t="shared" si="90"/>
        <v>0</v>
      </c>
    </row>
    <row r="668" spans="28:34">
      <c r="AB668" s="580">
        <f>HLOOKUP("*"&amp;'Output annual'!$AC$2&amp;'Output annual'!$AD$2&amp;"*Zone People Number Of Occupants [](Hourly)",'Eplus results'!$1:$1048576,ROW(),FALSE)</f>
        <v>0</v>
      </c>
      <c r="AC668" s="580">
        <f>HLOOKUP("*"&amp;'Output annual'!$AC$2&amp;'Output annual'!$AD$2&amp;"*FangerPMV(Hourly)",'Eplus results'!$1:$1048576,ROW(),FALSE)</f>
        <v>0</v>
      </c>
      <c r="AD668" s="580">
        <f t="shared" si="86"/>
        <v>5</v>
      </c>
      <c r="AE668" s="580">
        <f t="shared" si="87"/>
        <v>2.5</v>
      </c>
      <c r="AF668" s="580">
        <f t="shared" si="88"/>
        <v>2.5</v>
      </c>
      <c r="AG668" s="580">
        <f t="shared" si="89"/>
        <v>0</v>
      </c>
      <c r="AH668" s="580">
        <f t="shared" si="90"/>
        <v>0</v>
      </c>
    </row>
    <row r="669" spans="28:34">
      <c r="AB669" s="580">
        <f>HLOOKUP("*"&amp;'Output annual'!$AC$2&amp;'Output annual'!$AD$2&amp;"*Zone People Number Of Occupants [](Hourly)",'Eplus results'!$1:$1048576,ROW(),FALSE)</f>
        <v>0</v>
      </c>
      <c r="AC669" s="580">
        <f>HLOOKUP("*"&amp;'Output annual'!$AC$2&amp;'Output annual'!$AD$2&amp;"*FangerPMV(Hourly)",'Eplus results'!$1:$1048576,ROW(),FALSE)</f>
        <v>0</v>
      </c>
      <c r="AD669" s="580">
        <f t="shared" si="86"/>
        <v>5</v>
      </c>
      <c r="AE669" s="580">
        <f t="shared" si="87"/>
        <v>2.5</v>
      </c>
      <c r="AF669" s="580">
        <f t="shared" si="88"/>
        <v>2.5</v>
      </c>
      <c r="AG669" s="580">
        <f t="shared" si="89"/>
        <v>0</v>
      </c>
      <c r="AH669" s="580">
        <f t="shared" si="90"/>
        <v>0</v>
      </c>
    </row>
    <row r="670" spans="28:34">
      <c r="AB670" s="580">
        <f>HLOOKUP("*"&amp;'Output annual'!$AC$2&amp;'Output annual'!$AD$2&amp;"*Zone People Number Of Occupants [](Hourly)",'Eplus results'!$1:$1048576,ROW(),FALSE)</f>
        <v>0</v>
      </c>
      <c r="AC670" s="580">
        <f>HLOOKUP("*"&amp;'Output annual'!$AC$2&amp;'Output annual'!$AD$2&amp;"*FangerPMV(Hourly)",'Eplus results'!$1:$1048576,ROW(),FALSE)</f>
        <v>0</v>
      </c>
      <c r="AD670" s="580">
        <f t="shared" si="86"/>
        <v>5</v>
      </c>
      <c r="AE670" s="580">
        <f t="shared" si="87"/>
        <v>2.5</v>
      </c>
      <c r="AF670" s="580">
        <f t="shared" si="88"/>
        <v>2.5</v>
      </c>
      <c r="AG670" s="580">
        <f t="shared" si="89"/>
        <v>0</v>
      </c>
      <c r="AH670" s="580">
        <f t="shared" si="90"/>
        <v>0</v>
      </c>
    </row>
    <row r="671" spans="28:34">
      <c r="AB671" s="580">
        <f>HLOOKUP("*"&amp;'Output annual'!$AC$2&amp;'Output annual'!$AD$2&amp;"*Zone People Number Of Occupants [](Hourly)",'Eplus results'!$1:$1048576,ROW(),FALSE)</f>
        <v>0</v>
      </c>
      <c r="AC671" s="580">
        <f>HLOOKUP("*"&amp;'Output annual'!$AC$2&amp;'Output annual'!$AD$2&amp;"*FangerPMV(Hourly)",'Eplus results'!$1:$1048576,ROW(),FALSE)</f>
        <v>0</v>
      </c>
      <c r="AD671" s="580">
        <f t="shared" si="86"/>
        <v>5</v>
      </c>
      <c r="AE671" s="580">
        <f t="shared" si="87"/>
        <v>2.5</v>
      </c>
      <c r="AF671" s="580">
        <f t="shared" si="88"/>
        <v>2.5</v>
      </c>
      <c r="AG671" s="580">
        <f t="shared" si="89"/>
        <v>0</v>
      </c>
      <c r="AH671" s="580">
        <f t="shared" si="90"/>
        <v>0</v>
      </c>
    </row>
    <row r="672" spans="28:34">
      <c r="AB672" s="580">
        <f>HLOOKUP("*"&amp;'Output annual'!$AC$2&amp;'Output annual'!$AD$2&amp;"*Zone People Number Of Occupants [](Hourly)",'Eplus results'!$1:$1048576,ROW(),FALSE)</f>
        <v>0</v>
      </c>
      <c r="AC672" s="580">
        <f>HLOOKUP("*"&amp;'Output annual'!$AC$2&amp;'Output annual'!$AD$2&amp;"*FangerPMV(Hourly)",'Eplus results'!$1:$1048576,ROW(),FALSE)</f>
        <v>0</v>
      </c>
      <c r="AD672" s="580">
        <f t="shared" si="86"/>
        <v>5</v>
      </c>
      <c r="AE672" s="580">
        <f t="shared" si="87"/>
        <v>2.5</v>
      </c>
      <c r="AF672" s="580">
        <f t="shared" si="88"/>
        <v>2.5</v>
      </c>
      <c r="AG672" s="580">
        <f t="shared" si="89"/>
        <v>0</v>
      </c>
      <c r="AH672" s="580">
        <f t="shared" si="90"/>
        <v>0</v>
      </c>
    </row>
    <row r="673" spans="28:34">
      <c r="AB673" s="580">
        <f>HLOOKUP("*"&amp;'Output annual'!$AC$2&amp;'Output annual'!$AD$2&amp;"*Zone People Number Of Occupants [](Hourly)",'Eplus results'!$1:$1048576,ROW(),FALSE)</f>
        <v>0</v>
      </c>
      <c r="AC673" s="580">
        <f>HLOOKUP("*"&amp;'Output annual'!$AC$2&amp;'Output annual'!$AD$2&amp;"*FangerPMV(Hourly)",'Eplus results'!$1:$1048576,ROW(),FALSE)</f>
        <v>0</v>
      </c>
      <c r="AD673" s="580">
        <f t="shared" si="86"/>
        <v>5</v>
      </c>
      <c r="AE673" s="580">
        <f t="shared" si="87"/>
        <v>2.5</v>
      </c>
      <c r="AF673" s="580">
        <f t="shared" si="88"/>
        <v>2.5</v>
      </c>
      <c r="AG673" s="580">
        <f t="shared" si="89"/>
        <v>0</v>
      </c>
      <c r="AH673" s="580">
        <f t="shared" si="90"/>
        <v>0</v>
      </c>
    </row>
    <row r="674" spans="28:34">
      <c r="AB674" s="580">
        <f>HLOOKUP("*"&amp;'Output annual'!$AC$2&amp;'Output annual'!$AD$2&amp;"*Zone People Number Of Occupants [](Hourly)",'Eplus results'!$1:$1048576,ROW(),FALSE)</f>
        <v>0</v>
      </c>
      <c r="AC674" s="580">
        <f>HLOOKUP("*"&amp;'Output annual'!$AC$2&amp;'Output annual'!$AD$2&amp;"*FangerPMV(Hourly)",'Eplus results'!$1:$1048576,ROW(),FALSE)</f>
        <v>0</v>
      </c>
      <c r="AD674" s="580">
        <f t="shared" si="86"/>
        <v>5</v>
      </c>
      <c r="AE674" s="580">
        <f t="shared" si="87"/>
        <v>2.5</v>
      </c>
      <c r="AF674" s="580">
        <f t="shared" si="88"/>
        <v>2.5</v>
      </c>
      <c r="AG674" s="580">
        <f t="shared" si="89"/>
        <v>0</v>
      </c>
      <c r="AH674" s="580">
        <f t="shared" si="90"/>
        <v>0</v>
      </c>
    </row>
    <row r="675" spans="28:34">
      <c r="AB675" s="580">
        <f>HLOOKUP("*"&amp;'Output annual'!$AC$2&amp;'Output annual'!$AD$2&amp;"*Zone People Number Of Occupants [](Hourly)",'Eplus results'!$1:$1048576,ROW(),FALSE)</f>
        <v>0</v>
      </c>
      <c r="AC675" s="580">
        <f>HLOOKUP("*"&amp;'Output annual'!$AC$2&amp;'Output annual'!$AD$2&amp;"*FangerPMV(Hourly)",'Eplus results'!$1:$1048576,ROW(),FALSE)</f>
        <v>0</v>
      </c>
      <c r="AD675" s="580">
        <f t="shared" si="86"/>
        <v>5</v>
      </c>
      <c r="AE675" s="580">
        <f t="shared" si="87"/>
        <v>2.5</v>
      </c>
      <c r="AF675" s="580">
        <f t="shared" si="88"/>
        <v>2.5</v>
      </c>
      <c r="AG675" s="580">
        <f t="shared" si="89"/>
        <v>0</v>
      </c>
      <c r="AH675" s="580">
        <f t="shared" si="90"/>
        <v>0</v>
      </c>
    </row>
    <row r="676" spans="28:34">
      <c r="AB676" s="580">
        <f>HLOOKUP("*"&amp;'Output annual'!$AC$2&amp;'Output annual'!$AD$2&amp;"*Zone People Number Of Occupants [](Hourly)",'Eplus results'!$1:$1048576,ROW(),FALSE)</f>
        <v>0</v>
      </c>
      <c r="AC676" s="580">
        <f>HLOOKUP("*"&amp;'Output annual'!$AC$2&amp;'Output annual'!$AD$2&amp;"*FangerPMV(Hourly)",'Eplus results'!$1:$1048576,ROW(),FALSE)</f>
        <v>0</v>
      </c>
      <c r="AD676" s="580">
        <f t="shared" si="86"/>
        <v>5</v>
      </c>
      <c r="AE676" s="580">
        <f t="shared" si="87"/>
        <v>2.5</v>
      </c>
      <c r="AF676" s="580">
        <f t="shared" si="88"/>
        <v>2.5</v>
      </c>
      <c r="AG676" s="580">
        <f t="shared" si="89"/>
        <v>0</v>
      </c>
      <c r="AH676" s="580">
        <f t="shared" si="90"/>
        <v>0</v>
      </c>
    </row>
    <row r="677" spans="28:34">
      <c r="AB677" s="580">
        <f>HLOOKUP("*"&amp;'Output annual'!$AC$2&amp;'Output annual'!$AD$2&amp;"*Zone People Number Of Occupants [](Hourly)",'Eplus results'!$1:$1048576,ROW(),FALSE)</f>
        <v>0</v>
      </c>
      <c r="AC677" s="580">
        <f>HLOOKUP("*"&amp;'Output annual'!$AC$2&amp;'Output annual'!$AD$2&amp;"*FangerPMV(Hourly)",'Eplus results'!$1:$1048576,ROW(),FALSE)</f>
        <v>0</v>
      </c>
      <c r="AD677" s="580">
        <f t="shared" si="86"/>
        <v>5</v>
      </c>
      <c r="AE677" s="580">
        <f t="shared" si="87"/>
        <v>2.5</v>
      </c>
      <c r="AF677" s="580">
        <f t="shared" si="88"/>
        <v>2.5</v>
      </c>
      <c r="AG677" s="580">
        <f t="shared" si="89"/>
        <v>0</v>
      </c>
      <c r="AH677" s="580">
        <f t="shared" si="90"/>
        <v>0</v>
      </c>
    </row>
    <row r="678" spans="28:34">
      <c r="AB678" s="580">
        <f>HLOOKUP("*"&amp;'Output annual'!$AC$2&amp;'Output annual'!$AD$2&amp;"*Zone People Number Of Occupants [](Hourly)",'Eplus results'!$1:$1048576,ROW(),FALSE)</f>
        <v>0</v>
      </c>
      <c r="AC678" s="580">
        <f>HLOOKUP("*"&amp;'Output annual'!$AC$2&amp;'Output annual'!$AD$2&amp;"*FangerPMV(Hourly)",'Eplus results'!$1:$1048576,ROW(),FALSE)</f>
        <v>0</v>
      </c>
      <c r="AD678" s="580">
        <f t="shared" si="86"/>
        <v>5</v>
      </c>
      <c r="AE678" s="580">
        <f t="shared" si="87"/>
        <v>2.5</v>
      </c>
      <c r="AF678" s="580">
        <f t="shared" si="88"/>
        <v>2.5</v>
      </c>
      <c r="AG678" s="580">
        <f t="shared" si="89"/>
        <v>0</v>
      </c>
      <c r="AH678" s="580">
        <f t="shared" si="90"/>
        <v>0</v>
      </c>
    </row>
    <row r="679" spans="28:34">
      <c r="AB679" s="580">
        <f>HLOOKUP("*"&amp;'Output annual'!$AC$2&amp;'Output annual'!$AD$2&amp;"*Zone People Number Of Occupants [](Hourly)",'Eplus results'!$1:$1048576,ROW(),FALSE)</f>
        <v>0</v>
      </c>
      <c r="AC679" s="580">
        <f>HLOOKUP("*"&amp;'Output annual'!$AC$2&amp;'Output annual'!$AD$2&amp;"*FangerPMV(Hourly)",'Eplus results'!$1:$1048576,ROW(),FALSE)</f>
        <v>0</v>
      </c>
      <c r="AD679" s="580">
        <f t="shared" si="86"/>
        <v>5</v>
      </c>
      <c r="AE679" s="580">
        <f t="shared" si="87"/>
        <v>2.5</v>
      </c>
      <c r="AF679" s="580">
        <f t="shared" si="88"/>
        <v>2.5</v>
      </c>
      <c r="AG679" s="580">
        <f t="shared" si="89"/>
        <v>0</v>
      </c>
      <c r="AH679" s="580">
        <f t="shared" si="90"/>
        <v>0</v>
      </c>
    </row>
    <row r="680" spans="28:34">
      <c r="AB680" s="580">
        <f>HLOOKUP("*"&amp;'Output annual'!$AC$2&amp;'Output annual'!$AD$2&amp;"*Zone People Number Of Occupants [](Hourly)",'Eplus results'!$1:$1048576,ROW(),FALSE)</f>
        <v>0</v>
      </c>
      <c r="AC680" s="580">
        <f>HLOOKUP("*"&amp;'Output annual'!$AC$2&amp;'Output annual'!$AD$2&amp;"*FangerPMV(Hourly)",'Eplus results'!$1:$1048576,ROW(),FALSE)</f>
        <v>0</v>
      </c>
      <c r="AD680" s="580">
        <f t="shared" si="86"/>
        <v>5</v>
      </c>
      <c r="AE680" s="580">
        <f t="shared" si="87"/>
        <v>2.5</v>
      </c>
      <c r="AF680" s="580">
        <f t="shared" si="88"/>
        <v>2.5</v>
      </c>
      <c r="AG680" s="580">
        <f t="shared" si="89"/>
        <v>0</v>
      </c>
      <c r="AH680" s="580">
        <f t="shared" si="90"/>
        <v>0</v>
      </c>
    </row>
    <row r="681" spans="28:34">
      <c r="AB681" s="580">
        <f>HLOOKUP("*"&amp;'Output annual'!$AC$2&amp;'Output annual'!$AD$2&amp;"*Zone People Number Of Occupants [](Hourly)",'Eplus results'!$1:$1048576,ROW(),FALSE)</f>
        <v>0</v>
      </c>
      <c r="AC681" s="580">
        <f>HLOOKUP("*"&amp;'Output annual'!$AC$2&amp;'Output annual'!$AD$2&amp;"*FangerPMV(Hourly)",'Eplus results'!$1:$1048576,ROW(),FALSE)</f>
        <v>0</v>
      </c>
      <c r="AD681" s="580">
        <f t="shared" si="86"/>
        <v>5</v>
      </c>
      <c r="AE681" s="580">
        <f t="shared" si="87"/>
        <v>2.5</v>
      </c>
      <c r="AF681" s="580">
        <f t="shared" si="88"/>
        <v>2.5</v>
      </c>
      <c r="AG681" s="580">
        <f t="shared" si="89"/>
        <v>0</v>
      </c>
      <c r="AH681" s="580">
        <f t="shared" si="90"/>
        <v>0</v>
      </c>
    </row>
    <row r="682" spans="28:34">
      <c r="AB682" s="580">
        <f>HLOOKUP("*"&amp;'Output annual'!$AC$2&amp;'Output annual'!$AD$2&amp;"*Zone People Number Of Occupants [](Hourly)",'Eplus results'!$1:$1048576,ROW(),FALSE)</f>
        <v>0</v>
      </c>
      <c r="AC682" s="580">
        <f>HLOOKUP("*"&amp;'Output annual'!$AC$2&amp;'Output annual'!$AD$2&amp;"*FangerPMV(Hourly)",'Eplus results'!$1:$1048576,ROW(),FALSE)</f>
        <v>0</v>
      </c>
      <c r="AD682" s="580">
        <f t="shared" si="86"/>
        <v>5</v>
      </c>
      <c r="AE682" s="580">
        <f t="shared" si="87"/>
        <v>2.5</v>
      </c>
      <c r="AF682" s="580">
        <f t="shared" si="88"/>
        <v>2.5</v>
      </c>
      <c r="AG682" s="580">
        <f t="shared" si="89"/>
        <v>0</v>
      </c>
      <c r="AH682" s="580">
        <f t="shared" si="90"/>
        <v>0</v>
      </c>
    </row>
    <row r="683" spans="28:34">
      <c r="AB683" s="580">
        <f>HLOOKUP("*"&amp;'Output annual'!$AC$2&amp;'Output annual'!$AD$2&amp;"*Zone People Number Of Occupants [](Hourly)",'Eplus results'!$1:$1048576,ROW(),FALSE)</f>
        <v>0</v>
      </c>
      <c r="AC683" s="580">
        <f>HLOOKUP("*"&amp;'Output annual'!$AC$2&amp;'Output annual'!$AD$2&amp;"*FangerPMV(Hourly)",'Eplus results'!$1:$1048576,ROW(),FALSE)</f>
        <v>0</v>
      </c>
      <c r="AD683" s="580">
        <f t="shared" si="86"/>
        <v>5</v>
      </c>
      <c r="AE683" s="580">
        <f t="shared" si="87"/>
        <v>2.5</v>
      </c>
      <c r="AF683" s="580">
        <f t="shared" si="88"/>
        <v>2.5</v>
      </c>
      <c r="AG683" s="580">
        <f t="shared" si="89"/>
        <v>0</v>
      </c>
      <c r="AH683" s="580">
        <f t="shared" si="90"/>
        <v>0</v>
      </c>
    </row>
    <row r="684" spans="28:34">
      <c r="AB684" s="580">
        <f>HLOOKUP("*"&amp;'Output annual'!$AC$2&amp;'Output annual'!$AD$2&amp;"*Zone People Number Of Occupants [](Hourly)",'Eplus results'!$1:$1048576,ROW(),FALSE)</f>
        <v>0</v>
      </c>
      <c r="AC684" s="580">
        <f>HLOOKUP("*"&amp;'Output annual'!$AC$2&amp;'Output annual'!$AD$2&amp;"*FangerPMV(Hourly)",'Eplus results'!$1:$1048576,ROW(),FALSE)</f>
        <v>0</v>
      </c>
      <c r="AD684" s="580">
        <f t="shared" si="86"/>
        <v>5</v>
      </c>
      <c r="AE684" s="580">
        <f t="shared" si="87"/>
        <v>2.5</v>
      </c>
      <c r="AF684" s="580">
        <f t="shared" si="88"/>
        <v>2.5</v>
      </c>
      <c r="AG684" s="580">
        <f t="shared" si="89"/>
        <v>0</v>
      </c>
      <c r="AH684" s="580">
        <f t="shared" si="90"/>
        <v>0</v>
      </c>
    </row>
    <row r="685" spans="28:34">
      <c r="AB685" s="580">
        <f>HLOOKUP("*"&amp;'Output annual'!$AC$2&amp;'Output annual'!$AD$2&amp;"*Zone People Number Of Occupants [](Hourly)",'Eplus results'!$1:$1048576,ROW(),FALSE)</f>
        <v>0</v>
      </c>
      <c r="AC685" s="580">
        <f>HLOOKUP("*"&amp;'Output annual'!$AC$2&amp;'Output annual'!$AD$2&amp;"*FangerPMV(Hourly)",'Eplus results'!$1:$1048576,ROW(),FALSE)</f>
        <v>0</v>
      </c>
      <c r="AD685" s="580">
        <f t="shared" si="86"/>
        <v>5</v>
      </c>
      <c r="AE685" s="580">
        <f t="shared" si="87"/>
        <v>2.5</v>
      </c>
      <c r="AF685" s="580">
        <f t="shared" si="88"/>
        <v>2.5</v>
      </c>
      <c r="AG685" s="580">
        <f t="shared" si="89"/>
        <v>0</v>
      </c>
      <c r="AH685" s="580">
        <f t="shared" si="90"/>
        <v>0</v>
      </c>
    </row>
    <row r="686" spans="28:34">
      <c r="AB686" s="580">
        <f>HLOOKUP("*"&amp;'Output annual'!$AC$2&amp;'Output annual'!$AD$2&amp;"*Zone People Number Of Occupants [](Hourly)",'Eplus results'!$1:$1048576,ROW(),FALSE)</f>
        <v>0</v>
      </c>
      <c r="AC686" s="580">
        <f>HLOOKUP("*"&amp;'Output annual'!$AC$2&amp;'Output annual'!$AD$2&amp;"*FangerPMV(Hourly)",'Eplus results'!$1:$1048576,ROW(),FALSE)</f>
        <v>0</v>
      </c>
      <c r="AD686" s="580">
        <f t="shared" si="86"/>
        <v>5</v>
      </c>
      <c r="AE686" s="580">
        <f t="shared" si="87"/>
        <v>2.5</v>
      </c>
      <c r="AF686" s="580">
        <f t="shared" si="88"/>
        <v>2.5</v>
      </c>
      <c r="AG686" s="580">
        <f t="shared" si="89"/>
        <v>0</v>
      </c>
      <c r="AH686" s="580">
        <f t="shared" si="90"/>
        <v>0</v>
      </c>
    </row>
    <row r="687" spans="28:34">
      <c r="AB687" s="580">
        <f>HLOOKUP("*"&amp;'Output annual'!$AC$2&amp;'Output annual'!$AD$2&amp;"*Zone People Number Of Occupants [](Hourly)",'Eplus results'!$1:$1048576,ROW(),FALSE)</f>
        <v>0</v>
      </c>
      <c r="AC687" s="580">
        <f>HLOOKUP("*"&amp;'Output annual'!$AC$2&amp;'Output annual'!$AD$2&amp;"*FangerPMV(Hourly)",'Eplus results'!$1:$1048576,ROW(),FALSE)</f>
        <v>0</v>
      </c>
      <c r="AD687" s="580">
        <f t="shared" si="86"/>
        <v>5</v>
      </c>
      <c r="AE687" s="580">
        <f t="shared" si="87"/>
        <v>2.5</v>
      </c>
      <c r="AF687" s="580">
        <f t="shared" si="88"/>
        <v>2.5</v>
      </c>
      <c r="AG687" s="580">
        <f t="shared" si="89"/>
        <v>0</v>
      </c>
      <c r="AH687" s="580">
        <f t="shared" si="90"/>
        <v>0</v>
      </c>
    </row>
    <row r="688" spans="28:34">
      <c r="AB688" s="580">
        <f>HLOOKUP("*"&amp;'Output annual'!$AC$2&amp;'Output annual'!$AD$2&amp;"*Zone People Number Of Occupants [](Hourly)",'Eplus results'!$1:$1048576,ROW(),FALSE)</f>
        <v>0</v>
      </c>
      <c r="AC688" s="580">
        <f>HLOOKUP("*"&amp;'Output annual'!$AC$2&amp;'Output annual'!$AD$2&amp;"*FangerPMV(Hourly)",'Eplus results'!$1:$1048576,ROW(),FALSE)</f>
        <v>0</v>
      </c>
      <c r="AD688" s="580">
        <f t="shared" si="86"/>
        <v>5</v>
      </c>
      <c r="AE688" s="580">
        <f t="shared" si="87"/>
        <v>2.5</v>
      </c>
      <c r="AF688" s="580">
        <f t="shared" si="88"/>
        <v>2.5</v>
      </c>
      <c r="AG688" s="580">
        <f t="shared" si="89"/>
        <v>0</v>
      </c>
      <c r="AH688" s="580">
        <f t="shared" si="90"/>
        <v>0</v>
      </c>
    </row>
    <row r="689" spans="28:34">
      <c r="AB689" s="580">
        <f>HLOOKUP("*"&amp;'Output annual'!$AC$2&amp;'Output annual'!$AD$2&amp;"*Zone People Number Of Occupants [](Hourly)",'Eplus results'!$1:$1048576,ROW(),FALSE)</f>
        <v>0</v>
      </c>
      <c r="AC689" s="580">
        <f>HLOOKUP("*"&amp;'Output annual'!$AC$2&amp;'Output annual'!$AD$2&amp;"*FangerPMV(Hourly)",'Eplus results'!$1:$1048576,ROW(),FALSE)</f>
        <v>0</v>
      </c>
      <c r="AD689" s="580">
        <f t="shared" si="86"/>
        <v>5</v>
      </c>
      <c r="AE689" s="580">
        <f t="shared" si="87"/>
        <v>2.5</v>
      </c>
      <c r="AF689" s="580">
        <f t="shared" si="88"/>
        <v>2.5</v>
      </c>
      <c r="AG689" s="580">
        <f t="shared" si="89"/>
        <v>0</v>
      </c>
      <c r="AH689" s="580">
        <f t="shared" si="90"/>
        <v>0</v>
      </c>
    </row>
    <row r="690" spans="28:34">
      <c r="AB690" s="580">
        <f>HLOOKUP("*"&amp;'Output annual'!$AC$2&amp;'Output annual'!$AD$2&amp;"*Zone People Number Of Occupants [](Hourly)",'Eplus results'!$1:$1048576,ROW(),FALSE)</f>
        <v>0</v>
      </c>
      <c r="AC690" s="580">
        <f>HLOOKUP("*"&amp;'Output annual'!$AC$2&amp;'Output annual'!$AD$2&amp;"*FangerPMV(Hourly)",'Eplus results'!$1:$1048576,ROW(),FALSE)</f>
        <v>0</v>
      </c>
      <c r="AD690" s="580">
        <f t="shared" si="86"/>
        <v>5</v>
      </c>
      <c r="AE690" s="580">
        <f t="shared" si="87"/>
        <v>2.5</v>
      </c>
      <c r="AF690" s="580">
        <f t="shared" si="88"/>
        <v>2.5</v>
      </c>
      <c r="AG690" s="580">
        <f t="shared" si="89"/>
        <v>0</v>
      </c>
      <c r="AH690" s="580">
        <f t="shared" si="90"/>
        <v>0</v>
      </c>
    </row>
    <row r="691" spans="28:34">
      <c r="AB691" s="580">
        <f>HLOOKUP("*"&amp;'Output annual'!$AC$2&amp;'Output annual'!$AD$2&amp;"*Zone People Number Of Occupants [](Hourly)",'Eplus results'!$1:$1048576,ROW(),FALSE)</f>
        <v>0</v>
      </c>
      <c r="AC691" s="580">
        <f>HLOOKUP("*"&amp;'Output annual'!$AC$2&amp;'Output annual'!$AD$2&amp;"*FangerPMV(Hourly)",'Eplus results'!$1:$1048576,ROW(),FALSE)</f>
        <v>0</v>
      </c>
      <c r="AD691" s="580">
        <f t="shared" si="86"/>
        <v>5</v>
      </c>
      <c r="AE691" s="580">
        <f t="shared" si="87"/>
        <v>2.5</v>
      </c>
      <c r="AF691" s="580">
        <f t="shared" si="88"/>
        <v>2.5</v>
      </c>
      <c r="AG691" s="580">
        <f t="shared" si="89"/>
        <v>0</v>
      </c>
      <c r="AH691" s="580">
        <f t="shared" si="90"/>
        <v>0</v>
      </c>
    </row>
    <row r="692" spans="28:34">
      <c r="AB692" s="580">
        <f>HLOOKUP("*"&amp;'Output annual'!$AC$2&amp;'Output annual'!$AD$2&amp;"*Zone People Number Of Occupants [](Hourly)",'Eplus results'!$1:$1048576,ROW(),FALSE)</f>
        <v>0</v>
      </c>
      <c r="AC692" s="580">
        <f>HLOOKUP("*"&amp;'Output annual'!$AC$2&amp;'Output annual'!$AD$2&amp;"*FangerPMV(Hourly)",'Eplus results'!$1:$1048576,ROW(),FALSE)</f>
        <v>0</v>
      </c>
      <c r="AD692" s="580">
        <f t="shared" si="86"/>
        <v>5</v>
      </c>
      <c r="AE692" s="580">
        <f t="shared" si="87"/>
        <v>2.5</v>
      </c>
      <c r="AF692" s="580">
        <f t="shared" si="88"/>
        <v>2.5</v>
      </c>
      <c r="AG692" s="580">
        <f t="shared" si="89"/>
        <v>0</v>
      </c>
      <c r="AH692" s="580">
        <f t="shared" si="90"/>
        <v>0</v>
      </c>
    </row>
    <row r="693" spans="28:34">
      <c r="AB693" s="580">
        <f>HLOOKUP("*"&amp;'Output annual'!$AC$2&amp;'Output annual'!$AD$2&amp;"*Zone People Number Of Occupants [](Hourly)",'Eplus results'!$1:$1048576,ROW(),FALSE)</f>
        <v>0</v>
      </c>
      <c r="AC693" s="580">
        <f>HLOOKUP("*"&amp;'Output annual'!$AC$2&amp;'Output annual'!$AD$2&amp;"*FangerPMV(Hourly)",'Eplus results'!$1:$1048576,ROW(),FALSE)</f>
        <v>0</v>
      </c>
      <c r="AD693" s="580">
        <f t="shared" si="86"/>
        <v>5</v>
      </c>
      <c r="AE693" s="580">
        <f t="shared" si="87"/>
        <v>2.5</v>
      </c>
      <c r="AF693" s="580">
        <f t="shared" si="88"/>
        <v>2.5</v>
      </c>
      <c r="AG693" s="580">
        <f t="shared" si="89"/>
        <v>0</v>
      </c>
      <c r="AH693" s="580">
        <f t="shared" si="90"/>
        <v>0</v>
      </c>
    </row>
    <row r="694" spans="28:34">
      <c r="AB694" s="580">
        <f>HLOOKUP("*"&amp;'Output annual'!$AC$2&amp;'Output annual'!$AD$2&amp;"*Zone People Number Of Occupants [](Hourly)",'Eplus results'!$1:$1048576,ROW(),FALSE)</f>
        <v>0</v>
      </c>
      <c r="AC694" s="580">
        <f>HLOOKUP("*"&amp;'Output annual'!$AC$2&amp;'Output annual'!$AD$2&amp;"*FangerPMV(Hourly)",'Eplus results'!$1:$1048576,ROW(),FALSE)</f>
        <v>0</v>
      </c>
      <c r="AD694" s="580">
        <f t="shared" si="86"/>
        <v>5</v>
      </c>
      <c r="AE694" s="580">
        <f t="shared" si="87"/>
        <v>2.5</v>
      </c>
      <c r="AF694" s="580">
        <f t="shared" si="88"/>
        <v>2.5</v>
      </c>
      <c r="AG694" s="580">
        <f t="shared" si="89"/>
        <v>0</v>
      </c>
      <c r="AH694" s="580">
        <f t="shared" si="90"/>
        <v>0</v>
      </c>
    </row>
    <row r="695" spans="28:34">
      <c r="AB695" s="580">
        <f>HLOOKUP("*"&amp;'Output annual'!$AC$2&amp;'Output annual'!$AD$2&amp;"*Zone People Number Of Occupants [](Hourly)",'Eplus results'!$1:$1048576,ROW(),FALSE)</f>
        <v>0</v>
      </c>
      <c r="AC695" s="580">
        <f>HLOOKUP("*"&amp;'Output annual'!$AC$2&amp;'Output annual'!$AD$2&amp;"*FangerPMV(Hourly)",'Eplus results'!$1:$1048576,ROW(),FALSE)</f>
        <v>0</v>
      </c>
      <c r="AD695" s="580">
        <f t="shared" si="86"/>
        <v>5</v>
      </c>
      <c r="AE695" s="580">
        <f t="shared" si="87"/>
        <v>2.5</v>
      </c>
      <c r="AF695" s="580">
        <f t="shared" si="88"/>
        <v>2.5</v>
      </c>
      <c r="AG695" s="580">
        <f t="shared" si="89"/>
        <v>0</v>
      </c>
      <c r="AH695" s="580">
        <f t="shared" si="90"/>
        <v>0</v>
      </c>
    </row>
    <row r="696" spans="28:34">
      <c r="AB696" s="580">
        <f>HLOOKUP("*"&amp;'Output annual'!$AC$2&amp;'Output annual'!$AD$2&amp;"*Zone People Number Of Occupants [](Hourly)",'Eplus results'!$1:$1048576,ROW(),FALSE)</f>
        <v>0</v>
      </c>
      <c r="AC696" s="580">
        <f>HLOOKUP("*"&amp;'Output annual'!$AC$2&amp;'Output annual'!$AD$2&amp;"*FangerPMV(Hourly)",'Eplus results'!$1:$1048576,ROW(),FALSE)</f>
        <v>0</v>
      </c>
      <c r="AD696" s="580">
        <f t="shared" si="86"/>
        <v>5</v>
      </c>
      <c r="AE696" s="580">
        <f t="shared" si="87"/>
        <v>2.5</v>
      </c>
      <c r="AF696" s="580">
        <f t="shared" si="88"/>
        <v>2.5</v>
      </c>
      <c r="AG696" s="580">
        <f t="shared" si="89"/>
        <v>0</v>
      </c>
      <c r="AH696" s="580">
        <f t="shared" si="90"/>
        <v>0</v>
      </c>
    </row>
    <row r="697" spans="28:34">
      <c r="AB697" s="580">
        <f>HLOOKUP("*"&amp;'Output annual'!$AC$2&amp;'Output annual'!$AD$2&amp;"*Zone People Number Of Occupants [](Hourly)",'Eplus results'!$1:$1048576,ROW(),FALSE)</f>
        <v>0</v>
      </c>
      <c r="AC697" s="580">
        <f>HLOOKUP("*"&amp;'Output annual'!$AC$2&amp;'Output annual'!$AD$2&amp;"*FangerPMV(Hourly)",'Eplus results'!$1:$1048576,ROW(),FALSE)</f>
        <v>0</v>
      </c>
      <c r="AD697" s="580">
        <f t="shared" si="86"/>
        <v>5</v>
      </c>
      <c r="AE697" s="580">
        <f t="shared" si="87"/>
        <v>2.5</v>
      </c>
      <c r="AF697" s="580">
        <f t="shared" si="88"/>
        <v>2.5</v>
      </c>
      <c r="AG697" s="580">
        <f t="shared" si="89"/>
        <v>0</v>
      </c>
      <c r="AH697" s="580">
        <f t="shared" si="90"/>
        <v>0</v>
      </c>
    </row>
    <row r="698" spans="28:34">
      <c r="AB698" s="580">
        <f>HLOOKUP("*"&amp;'Output annual'!$AC$2&amp;'Output annual'!$AD$2&amp;"*Zone People Number Of Occupants [](Hourly)",'Eplus results'!$1:$1048576,ROW(),FALSE)</f>
        <v>0</v>
      </c>
      <c r="AC698" s="580">
        <f>HLOOKUP("*"&amp;'Output annual'!$AC$2&amp;'Output annual'!$AD$2&amp;"*FangerPMV(Hourly)",'Eplus results'!$1:$1048576,ROW(),FALSE)</f>
        <v>0</v>
      </c>
      <c r="AD698" s="580">
        <f t="shared" si="86"/>
        <v>5</v>
      </c>
      <c r="AE698" s="580">
        <f t="shared" si="87"/>
        <v>2.5</v>
      </c>
      <c r="AF698" s="580">
        <f t="shared" si="88"/>
        <v>2.5</v>
      </c>
      <c r="AG698" s="580">
        <f t="shared" si="89"/>
        <v>0</v>
      </c>
      <c r="AH698" s="580">
        <f t="shared" si="90"/>
        <v>0</v>
      </c>
    </row>
    <row r="699" spans="28:34">
      <c r="AB699" s="580">
        <f>HLOOKUP("*"&amp;'Output annual'!$AC$2&amp;'Output annual'!$AD$2&amp;"*Zone People Number Of Occupants [](Hourly)",'Eplus results'!$1:$1048576,ROW(),FALSE)</f>
        <v>0</v>
      </c>
      <c r="AC699" s="580">
        <f>HLOOKUP("*"&amp;'Output annual'!$AC$2&amp;'Output annual'!$AD$2&amp;"*FangerPMV(Hourly)",'Eplus results'!$1:$1048576,ROW(),FALSE)</f>
        <v>0</v>
      </c>
      <c r="AD699" s="580">
        <f t="shared" si="86"/>
        <v>5</v>
      </c>
      <c r="AE699" s="580">
        <f t="shared" si="87"/>
        <v>2.5</v>
      </c>
      <c r="AF699" s="580">
        <f t="shared" si="88"/>
        <v>2.5</v>
      </c>
      <c r="AG699" s="580">
        <f t="shared" si="89"/>
        <v>0</v>
      </c>
      <c r="AH699" s="580">
        <f t="shared" si="90"/>
        <v>0</v>
      </c>
    </row>
    <row r="700" spans="28:34">
      <c r="AB700" s="580">
        <f>HLOOKUP("*"&amp;'Output annual'!$AC$2&amp;'Output annual'!$AD$2&amp;"*Zone People Number Of Occupants [](Hourly)",'Eplus results'!$1:$1048576,ROW(),FALSE)</f>
        <v>0</v>
      </c>
      <c r="AC700" s="580">
        <f>HLOOKUP("*"&amp;'Output annual'!$AC$2&amp;'Output annual'!$AD$2&amp;"*FangerPMV(Hourly)",'Eplus results'!$1:$1048576,ROW(),FALSE)</f>
        <v>0</v>
      </c>
      <c r="AD700" s="580">
        <f t="shared" si="86"/>
        <v>5</v>
      </c>
      <c r="AE700" s="580">
        <f t="shared" si="87"/>
        <v>2.5</v>
      </c>
      <c r="AF700" s="580">
        <f t="shared" si="88"/>
        <v>2.5</v>
      </c>
      <c r="AG700" s="580">
        <f t="shared" si="89"/>
        <v>0</v>
      </c>
      <c r="AH700" s="580">
        <f t="shared" si="90"/>
        <v>0</v>
      </c>
    </row>
    <row r="701" spans="28:34">
      <c r="AB701" s="580">
        <f>HLOOKUP("*"&amp;'Output annual'!$AC$2&amp;'Output annual'!$AD$2&amp;"*Zone People Number Of Occupants [](Hourly)",'Eplus results'!$1:$1048576,ROW(),FALSE)</f>
        <v>0</v>
      </c>
      <c r="AC701" s="580">
        <f>HLOOKUP("*"&amp;'Output annual'!$AC$2&amp;'Output annual'!$AD$2&amp;"*FangerPMV(Hourly)",'Eplus results'!$1:$1048576,ROW(),FALSE)</f>
        <v>0</v>
      </c>
      <c r="AD701" s="580">
        <f t="shared" si="86"/>
        <v>5</v>
      </c>
      <c r="AE701" s="580">
        <f t="shared" si="87"/>
        <v>2.5</v>
      </c>
      <c r="AF701" s="580">
        <f t="shared" si="88"/>
        <v>2.5</v>
      </c>
      <c r="AG701" s="580">
        <f t="shared" si="89"/>
        <v>0</v>
      </c>
      <c r="AH701" s="580">
        <f t="shared" si="90"/>
        <v>0</v>
      </c>
    </row>
    <row r="702" spans="28:34">
      <c r="AB702" s="580">
        <f>HLOOKUP("*"&amp;'Output annual'!$AC$2&amp;'Output annual'!$AD$2&amp;"*Zone People Number Of Occupants [](Hourly)",'Eplus results'!$1:$1048576,ROW(),FALSE)</f>
        <v>0</v>
      </c>
      <c r="AC702" s="580">
        <f>HLOOKUP("*"&amp;'Output annual'!$AC$2&amp;'Output annual'!$AD$2&amp;"*FangerPMV(Hourly)",'Eplus results'!$1:$1048576,ROW(),FALSE)</f>
        <v>0</v>
      </c>
      <c r="AD702" s="580">
        <f t="shared" si="86"/>
        <v>5</v>
      </c>
      <c r="AE702" s="580">
        <f t="shared" si="87"/>
        <v>2.5</v>
      </c>
      <c r="AF702" s="580">
        <f t="shared" si="88"/>
        <v>2.5</v>
      </c>
      <c r="AG702" s="580">
        <f t="shared" si="89"/>
        <v>0</v>
      </c>
      <c r="AH702" s="580">
        <f t="shared" si="90"/>
        <v>0</v>
      </c>
    </row>
    <row r="703" spans="28:34">
      <c r="AB703" s="580">
        <f>HLOOKUP("*"&amp;'Output annual'!$AC$2&amp;'Output annual'!$AD$2&amp;"*Zone People Number Of Occupants [](Hourly)",'Eplus results'!$1:$1048576,ROW(),FALSE)</f>
        <v>0</v>
      </c>
      <c r="AC703" s="580">
        <f>HLOOKUP("*"&amp;'Output annual'!$AC$2&amp;'Output annual'!$AD$2&amp;"*FangerPMV(Hourly)",'Eplus results'!$1:$1048576,ROW(),FALSE)</f>
        <v>0</v>
      </c>
      <c r="AD703" s="580">
        <f t="shared" si="86"/>
        <v>5</v>
      </c>
      <c r="AE703" s="580">
        <f t="shared" si="87"/>
        <v>2.5</v>
      </c>
      <c r="AF703" s="580">
        <f t="shared" si="88"/>
        <v>2.5</v>
      </c>
      <c r="AG703" s="580">
        <f t="shared" si="89"/>
        <v>0</v>
      </c>
      <c r="AH703" s="580">
        <f t="shared" si="90"/>
        <v>0</v>
      </c>
    </row>
    <row r="704" spans="28:34">
      <c r="AB704" s="580">
        <f>HLOOKUP("*"&amp;'Output annual'!$AC$2&amp;'Output annual'!$AD$2&amp;"*Zone People Number Of Occupants [](Hourly)",'Eplus results'!$1:$1048576,ROW(),FALSE)</f>
        <v>0</v>
      </c>
      <c r="AC704" s="580">
        <f>HLOOKUP("*"&amp;'Output annual'!$AC$2&amp;'Output annual'!$AD$2&amp;"*FangerPMV(Hourly)",'Eplus results'!$1:$1048576,ROW(),FALSE)</f>
        <v>0</v>
      </c>
      <c r="AD704" s="580">
        <f t="shared" si="86"/>
        <v>5</v>
      </c>
      <c r="AE704" s="580">
        <f t="shared" si="87"/>
        <v>2.5</v>
      </c>
      <c r="AF704" s="580">
        <f t="shared" si="88"/>
        <v>2.5</v>
      </c>
      <c r="AG704" s="580">
        <f t="shared" si="89"/>
        <v>0</v>
      </c>
      <c r="AH704" s="580">
        <f t="shared" si="90"/>
        <v>0</v>
      </c>
    </row>
    <row r="705" spans="28:34">
      <c r="AB705" s="580">
        <f>HLOOKUP("*"&amp;'Output annual'!$AC$2&amp;'Output annual'!$AD$2&amp;"*Zone People Number Of Occupants [](Hourly)",'Eplus results'!$1:$1048576,ROW(),FALSE)</f>
        <v>0</v>
      </c>
      <c r="AC705" s="580">
        <f>HLOOKUP("*"&amp;'Output annual'!$AC$2&amp;'Output annual'!$AD$2&amp;"*FangerPMV(Hourly)",'Eplus results'!$1:$1048576,ROW(),FALSE)</f>
        <v>0</v>
      </c>
      <c r="AD705" s="580">
        <f t="shared" si="86"/>
        <v>5</v>
      </c>
      <c r="AE705" s="580">
        <f t="shared" si="87"/>
        <v>2.5</v>
      </c>
      <c r="AF705" s="580">
        <f t="shared" si="88"/>
        <v>2.5</v>
      </c>
      <c r="AG705" s="580">
        <f t="shared" si="89"/>
        <v>0</v>
      </c>
      <c r="AH705" s="580">
        <f t="shared" si="90"/>
        <v>0</v>
      </c>
    </row>
    <row r="706" spans="28:34">
      <c r="AB706" s="580">
        <f>HLOOKUP("*"&amp;'Output annual'!$AC$2&amp;'Output annual'!$AD$2&amp;"*Zone People Number Of Occupants [](Hourly)",'Eplus results'!$1:$1048576,ROW(),FALSE)</f>
        <v>0</v>
      </c>
      <c r="AC706" s="580">
        <f>HLOOKUP("*"&amp;'Output annual'!$AC$2&amp;'Output annual'!$AD$2&amp;"*FangerPMV(Hourly)",'Eplus results'!$1:$1048576,ROW(),FALSE)</f>
        <v>0</v>
      </c>
      <c r="AD706" s="580">
        <f t="shared" si="86"/>
        <v>5</v>
      </c>
      <c r="AE706" s="580">
        <f t="shared" si="87"/>
        <v>2.5</v>
      </c>
      <c r="AF706" s="580">
        <f t="shared" si="88"/>
        <v>2.5</v>
      </c>
      <c r="AG706" s="580">
        <f t="shared" si="89"/>
        <v>0</v>
      </c>
      <c r="AH706" s="580">
        <f t="shared" si="90"/>
        <v>0</v>
      </c>
    </row>
    <row r="707" spans="28:34">
      <c r="AB707" s="580">
        <f>HLOOKUP("*"&amp;'Output annual'!$AC$2&amp;'Output annual'!$AD$2&amp;"*Zone People Number Of Occupants [](Hourly)",'Eplus results'!$1:$1048576,ROW(),FALSE)</f>
        <v>0</v>
      </c>
      <c r="AC707" s="580">
        <f>HLOOKUP("*"&amp;'Output annual'!$AC$2&amp;'Output annual'!$AD$2&amp;"*FangerPMV(Hourly)",'Eplus results'!$1:$1048576,ROW(),FALSE)</f>
        <v>0</v>
      </c>
      <c r="AD707" s="580">
        <f t="shared" ref="AD707:AD770" si="91">100-95*EXP(-0.03353*AC707^4-0.2179*AC707^2)</f>
        <v>5</v>
      </c>
      <c r="AE707" s="580">
        <f t="shared" ref="AE707:AE770" si="92">AD707*(1/(1+EXP(-6.3*$AC707)))</f>
        <v>2.5</v>
      </c>
      <c r="AF707" s="580">
        <f t="shared" ref="AF707:AF770" si="93">(AD707-AE707)</f>
        <v>2.5</v>
      </c>
      <c r="AG707" s="580">
        <f t="shared" ref="AG707:AG770" si="94">AE707*AB707</f>
        <v>0</v>
      </c>
      <c r="AH707" s="580">
        <f t="shared" ref="AH707:AH770" si="95">AF707*AB707</f>
        <v>0</v>
      </c>
    </row>
    <row r="708" spans="28:34">
      <c r="AB708" s="580">
        <f>HLOOKUP("*"&amp;'Output annual'!$AC$2&amp;'Output annual'!$AD$2&amp;"*Zone People Number Of Occupants [](Hourly)",'Eplus results'!$1:$1048576,ROW(),FALSE)</f>
        <v>0</v>
      </c>
      <c r="AC708" s="580">
        <f>HLOOKUP("*"&amp;'Output annual'!$AC$2&amp;'Output annual'!$AD$2&amp;"*FangerPMV(Hourly)",'Eplus results'!$1:$1048576,ROW(),FALSE)</f>
        <v>0</v>
      </c>
      <c r="AD708" s="580">
        <f t="shared" si="91"/>
        <v>5</v>
      </c>
      <c r="AE708" s="580">
        <f t="shared" si="92"/>
        <v>2.5</v>
      </c>
      <c r="AF708" s="580">
        <f t="shared" si="93"/>
        <v>2.5</v>
      </c>
      <c r="AG708" s="580">
        <f t="shared" si="94"/>
        <v>0</v>
      </c>
      <c r="AH708" s="580">
        <f t="shared" si="95"/>
        <v>0</v>
      </c>
    </row>
    <row r="709" spans="28:34">
      <c r="AB709" s="580">
        <f>HLOOKUP("*"&amp;'Output annual'!$AC$2&amp;'Output annual'!$AD$2&amp;"*Zone People Number Of Occupants [](Hourly)",'Eplus results'!$1:$1048576,ROW(),FALSE)</f>
        <v>0</v>
      </c>
      <c r="AC709" s="580">
        <f>HLOOKUP("*"&amp;'Output annual'!$AC$2&amp;'Output annual'!$AD$2&amp;"*FangerPMV(Hourly)",'Eplus results'!$1:$1048576,ROW(),FALSE)</f>
        <v>0</v>
      </c>
      <c r="AD709" s="580">
        <f t="shared" si="91"/>
        <v>5</v>
      </c>
      <c r="AE709" s="580">
        <f t="shared" si="92"/>
        <v>2.5</v>
      </c>
      <c r="AF709" s="580">
        <f t="shared" si="93"/>
        <v>2.5</v>
      </c>
      <c r="AG709" s="580">
        <f t="shared" si="94"/>
        <v>0</v>
      </c>
      <c r="AH709" s="580">
        <f t="shared" si="95"/>
        <v>0</v>
      </c>
    </row>
    <row r="710" spans="28:34">
      <c r="AB710" s="580">
        <f>HLOOKUP("*"&amp;'Output annual'!$AC$2&amp;'Output annual'!$AD$2&amp;"*Zone People Number Of Occupants [](Hourly)",'Eplus results'!$1:$1048576,ROW(),FALSE)</f>
        <v>0</v>
      </c>
      <c r="AC710" s="580">
        <f>HLOOKUP("*"&amp;'Output annual'!$AC$2&amp;'Output annual'!$AD$2&amp;"*FangerPMV(Hourly)",'Eplus results'!$1:$1048576,ROW(),FALSE)</f>
        <v>0</v>
      </c>
      <c r="AD710" s="580">
        <f t="shared" si="91"/>
        <v>5</v>
      </c>
      <c r="AE710" s="580">
        <f t="shared" si="92"/>
        <v>2.5</v>
      </c>
      <c r="AF710" s="580">
        <f t="shared" si="93"/>
        <v>2.5</v>
      </c>
      <c r="AG710" s="580">
        <f t="shared" si="94"/>
        <v>0</v>
      </c>
      <c r="AH710" s="580">
        <f t="shared" si="95"/>
        <v>0</v>
      </c>
    </row>
    <row r="711" spans="28:34">
      <c r="AB711" s="580">
        <f>HLOOKUP("*"&amp;'Output annual'!$AC$2&amp;'Output annual'!$AD$2&amp;"*Zone People Number Of Occupants [](Hourly)",'Eplus results'!$1:$1048576,ROW(),FALSE)</f>
        <v>0</v>
      </c>
      <c r="AC711" s="580">
        <f>HLOOKUP("*"&amp;'Output annual'!$AC$2&amp;'Output annual'!$AD$2&amp;"*FangerPMV(Hourly)",'Eplus results'!$1:$1048576,ROW(),FALSE)</f>
        <v>0</v>
      </c>
      <c r="AD711" s="580">
        <f t="shared" si="91"/>
        <v>5</v>
      </c>
      <c r="AE711" s="580">
        <f t="shared" si="92"/>
        <v>2.5</v>
      </c>
      <c r="AF711" s="580">
        <f t="shared" si="93"/>
        <v>2.5</v>
      </c>
      <c r="AG711" s="580">
        <f t="shared" si="94"/>
        <v>0</v>
      </c>
      <c r="AH711" s="580">
        <f t="shared" si="95"/>
        <v>0</v>
      </c>
    </row>
    <row r="712" spans="28:34">
      <c r="AB712" s="580">
        <f>HLOOKUP("*"&amp;'Output annual'!$AC$2&amp;'Output annual'!$AD$2&amp;"*Zone People Number Of Occupants [](Hourly)",'Eplus results'!$1:$1048576,ROW(),FALSE)</f>
        <v>0</v>
      </c>
      <c r="AC712" s="580">
        <f>HLOOKUP("*"&amp;'Output annual'!$AC$2&amp;'Output annual'!$AD$2&amp;"*FangerPMV(Hourly)",'Eplus results'!$1:$1048576,ROW(),FALSE)</f>
        <v>0</v>
      </c>
      <c r="AD712" s="580">
        <f t="shared" si="91"/>
        <v>5</v>
      </c>
      <c r="AE712" s="580">
        <f t="shared" si="92"/>
        <v>2.5</v>
      </c>
      <c r="AF712" s="580">
        <f t="shared" si="93"/>
        <v>2.5</v>
      </c>
      <c r="AG712" s="580">
        <f t="shared" si="94"/>
        <v>0</v>
      </c>
      <c r="AH712" s="580">
        <f t="shared" si="95"/>
        <v>0</v>
      </c>
    </row>
    <row r="713" spans="28:34">
      <c r="AB713" s="580">
        <f>HLOOKUP("*"&amp;'Output annual'!$AC$2&amp;'Output annual'!$AD$2&amp;"*Zone People Number Of Occupants [](Hourly)",'Eplus results'!$1:$1048576,ROW(),FALSE)</f>
        <v>0</v>
      </c>
      <c r="AC713" s="580">
        <f>HLOOKUP("*"&amp;'Output annual'!$AC$2&amp;'Output annual'!$AD$2&amp;"*FangerPMV(Hourly)",'Eplus results'!$1:$1048576,ROW(),FALSE)</f>
        <v>0</v>
      </c>
      <c r="AD713" s="580">
        <f t="shared" si="91"/>
        <v>5</v>
      </c>
      <c r="AE713" s="580">
        <f t="shared" si="92"/>
        <v>2.5</v>
      </c>
      <c r="AF713" s="580">
        <f t="shared" si="93"/>
        <v>2.5</v>
      </c>
      <c r="AG713" s="580">
        <f t="shared" si="94"/>
        <v>0</v>
      </c>
      <c r="AH713" s="580">
        <f t="shared" si="95"/>
        <v>0</v>
      </c>
    </row>
    <row r="714" spans="28:34">
      <c r="AB714" s="580">
        <f>HLOOKUP("*"&amp;'Output annual'!$AC$2&amp;'Output annual'!$AD$2&amp;"*Zone People Number Of Occupants [](Hourly)",'Eplus results'!$1:$1048576,ROW(),FALSE)</f>
        <v>0</v>
      </c>
      <c r="AC714" s="580">
        <f>HLOOKUP("*"&amp;'Output annual'!$AC$2&amp;'Output annual'!$AD$2&amp;"*FangerPMV(Hourly)",'Eplus results'!$1:$1048576,ROW(),FALSE)</f>
        <v>0</v>
      </c>
      <c r="AD714" s="580">
        <f t="shared" si="91"/>
        <v>5</v>
      </c>
      <c r="AE714" s="580">
        <f t="shared" si="92"/>
        <v>2.5</v>
      </c>
      <c r="AF714" s="580">
        <f t="shared" si="93"/>
        <v>2.5</v>
      </c>
      <c r="AG714" s="580">
        <f t="shared" si="94"/>
        <v>0</v>
      </c>
      <c r="AH714" s="580">
        <f t="shared" si="95"/>
        <v>0</v>
      </c>
    </row>
    <row r="715" spans="28:34">
      <c r="AB715" s="580">
        <f>HLOOKUP("*"&amp;'Output annual'!$AC$2&amp;'Output annual'!$AD$2&amp;"*Zone People Number Of Occupants [](Hourly)",'Eplus results'!$1:$1048576,ROW(),FALSE)</f>
        <v>0</v>
      </c>
      <c r="AC715" s="580">
        <f>HLOOKUP("*"&amp;'Output annual'!$AC$2&amp;'Output annual'!$AD$2&amp;"*FangerPMV(Hourly)",'Eplus results'!$1:$1048576,ROW(),FALSE)</f>
        <v>0</v>
      </c>
      <c r="AD715" s="580">
        <f t="shared" si="91"/>
        <v>5</v>
      </c>
      <c r="AE715" s="580">
        <f t="shared" si="92"/>
        <v>2.5</v>
      </c>
      <c r="AF715" s="580">
        <f t="shared" si="93"/>
        <v>2.5</v>
      </c>
      <c r="AG715" s="580">
        <f t="shared" si="94"/>
        <v>0</v>
      </c>
      <c r="AH715" s="580">
        <f t="shared" si="95"/>
        <v>0</v>
      </c>
    </row>
    <row r="716" spans="28:34">
      <c r="AB716" s="580">
        <f>HLOOKUP("*"&amp;'Output annual'!$AC$2&amp;'Output annual'!$AD$2&amp;"*Zone People Number Of Occupants [](Hourly)",'Eplus results'!$1:$1048576,ROW(),FALSE)</f>
        <v>0</v>
      </c>
      <c r="AC716" s="580">
        <f>HLOOKUP("*"&amp;'Output annual'!$AC$2&amp;'Output annual'!$AD$2&amp;"*FangerPMV(Hourly)",'Eplus results'!$1:$1048576,ROW(),FALSE)</f>
        <v>0</v>
      </c>
      <c r="AD716" s="580">
        <f t="shared" si="91"/>
        <v>5</v>
      </c>
      <c r="AE716" s="580">
        <f t="shared" si="92"/>
        <v>2.5</v>
      </c>
      <c r="AF716" s="580">
        <f t="shared" si="93"/>
        <v>2.5</v>
      </c>
      <c r="AG716" s="580">
        <f t="shared" si="94"/>
        <v>0</v>
      </c>
      <c r="AH716" s="580">
        <f t="shared" si="95"/>
        <v>0</v>
      </c>
    </row>
    <row r="717" spans="28:34">
      <c r="AB717" s="580">
        <f>HLOOKUP("*"&amp;'Output annual'!$AC$2&amp;'Output annual'!$AD$2&amp;"*Zone People Number Of Occupants [](Hourly)",'Eplus results'!$1:$1048576,ROW(),FALSE)</f>
        <v>0</v>
      </c>
      <c r="AC717" s="580">
        <f>HLOOKUP("*"&amp;'Output annual'!$AC$2&amp;'Output annual'!$AD$2&amp;"*FangerPMV(Hourly)",'Eplus results'!$1:$1048576,ROW(),FALSE)</f>
        <v>0</v>
      </c>
      <c r="AD717" s="580">
        <f t="shared" si="91"/>
        <v>5</v>
      </c>
      <c r="AE717" s="580">
        <f t="shared" si="92"/>
        <v>2.5</v>
      </c>
      <c r="AF717" s="580">
        <f t="shared" si="93"/>
        <v>2.5</v>
      </c>
      <c r="AG717" s="580">
        <f t="shared" si="94"/>
        <v>0</v>
      </c>
      <c r="AH717" s="580">
        <f t="shared" si="95"/>
        <v>0</v>
      </c>
    </row>
    <row r="718" spans="28:34">
      <c r="AB718" s="580">
        <f>HLOOKUP("*"&amp;'Output annual'!$AC$2&amp;'Output annual'!$AD$2&amp;"*Zone People Number Of Occupants [](Hourly)",'Eplus results'!$1:$1048576,ROW(),FALSE)</f>
        <v>0</v>
      </c>
      <c r="AC718" s="580">
        <f>HLOOKUP("*"&amp;'Output annual'!$AC$2&amp;'Output annual'!$AD$2&amp;"*FangerPMV(Hourly)",'Eplus results'!$1:$1048576,ROW(),FALSE)</f>
        <v>0</v>
      </c>
      <c r="AD718" s="580">
        <f t="shared" si="91"/>
        <v>5</v>
      </c>
      <c r="AE718" s="580">
        <f t="shared" si="92"/>
        <v>2.5</v>
      </c>
      <c r="AF718" s="580">
        <f t="shared" si="93"/>
        <v>2.5</v>
      </c>
      <c r="AG718" s="580">
        <f t="shared" si="94"/>
        <v>0</v>
      </c>
      <c r="AH718" s="580">
        <f t="shared" si="95"/>
        <v>0</v>
      </c>
    </row>
    <row r="719" spans="28:34">
      <c r="AB719" s="580">
        <f>HLOOKUP("*"&amp;'Output annual'!$AC$2&amp;'Output annual'!$AD$2&amp;"*Zone People Number Of Occupants [](Hourly)",'Eplus results'!$1:$1048576,ROW(),FALSE)</f>
        <v>0</v>
      </c>
      <c r="AC719" s="580">
        <f>HLOOKUP("*"&amp;'Output annual'!$AC$2&amp;'Output annual'!$AD$2&amp;"*FangerPMV(Hourly)",'Eplus results'!$1:$1048576,ROW(),FALSE)</f>
        <v>0</v>
      </c>
      <c r="AD719" s="580">
        <f t="shared" si="91"/>
        <v>5</v>
      </c>
      <c r="AE719" s="580">
        <f t="shared" si="92"/>
        <v>2.5</v>
      </c>
      <c r="AF719" s="580">
        <f t="shared" si="93"/>
        <v>2.5</v>
      </c>
      <c r="AG719" s="580">
        <f t="shared" si="94"/>
        <v>0</v>
      </c>
      <c r="AH719" s="580">
        <f t="shared" si="95"/>
        <v>0</v>
      </c>
    </row>
    <row r="720" spans="28:34">
      <c r="AB720" s="580">
        <f>HLOOKUP("*"&amp;'Output annual'!$AC$2&amp;'Output annual'!$AD$2&amp;"*Zone People Number Of Occupants [](Hourly)",'Eplus results'!$1:$1048576,ROW(),FALSE)</f>
        <v>0</v>
      </c>
      <c r="AC720" s="580">
        <f>HLOOKUP("*"&amp;'Output annual'!$AC$2&amp;'Output annual'!$AD$2&amp;"*FangerPMV(Hourly)",'Eplus results'!$1:$1048576,ROW(),FALSE)</f>
        <v>0</v>
      </c>
      <c r="AD720" s="580">
        <f t="shared" si="91"/>
        <v>5</v>
      </c>
      <c r="AE720" s="580">
        <f t="shared" si="92"/>
        <v>2.5</v>
      </c>
      <c r="AF720" s="580">
        <f t="shared" si="93"/>
        <v>2.5</v>
      </c>
      <c r="AG720" s="580">
        <f t="shared" si="94"/>
        <v>0</v>
      </c>
      <c r="AH720" s="580">
        <f t="shared" si="95"/>
        <v>0</v>
      </c>
    </row>
    <row r="721" spans="28:34">
      <c r="AB721" s="580">
        <f>HLOOKUP("*"&amp;'Output annual'!$AC$2&amp;'Output annual'!$AD$2&amp;"*Zone People Number Of Occupants [](Hourly)",'Eplus results'!$1:$1048576,ROW(),FALSE)</f>
        <v>0</v>
      </c>
      <c r="AC721" s="580">
        <f>HLOOKUP("*"&amp;'Output annual'!$AC$2&amp;'Output annual'!$AD$2&amp;"*FangerPMV(Hourly)",'Eplus results'!$1:$1048576,ROW(),FALSE)</f>
        <v>0</v>
      </c>
      <c r="AD721" s="580">
        <f t="shared" si="91"/>
        <v>5</v>
      </c>
      <c r="AE721" s="580">
        <f t="shared" si="92"/>
        <v>2.5</v>
      </c>
      <c r="AF721" s="580">
        <f t="shared" si="93"/>
        <v>2.5</v>
      </c>
      <c r="AG721" s="580">
        <f t="shared" si="94"/>
        <v>0</v>
      </c>
      <c r="AH721" s="580">
        <f t="shared" si="95"/>
        <v>0</v>
      </c>
    </row>
    <row r="722" spans="28:34">
      <c r="AB722" s="580">
        <f>HLOOKUP("*"&amp;'Output annual'!$AC$2&amp;'Output annual'!$AD$2&amp;"*Zone People Number Of Occupants [](Hourly)",'Eplus results'!$1:$1048576,ROW(),FALSE)</f>
        <v>0</v>
      </c>
      <c r="AC722" s="580">
        <f>HLOOKUP("*"&amp;'Output annual'!$AC$2&amp;'Output annual'!$AD$2&amp;"*FangerPMV(Hourly)",'Eplus results'!$1:$1048576,ROW(),FALSE)</f>
        <v>0</v>
      </c>
      <c r="AD722" s="580">
        <f t="shared" si="91"/>
        <v>5</v>
      </c>
      <c r="AE722" s="580">
        <f t="shared" si="92"/>
        <v>2.5</v>
      </c>
      <c r="AF722" s="580">
        <f t="shared" si="93"/>
        <v>2.5</v>
      </c>
      <c r="AG722" s="580">
        <f t="shared" si="94"/>
        <v>0</v>
      </c>
      <c r="AH722" s="580">
        <f t="shared" si="95"/>
        <v>0</v>
      </c>
    </row>
    <row r="723" spans="28:34">
      <c r="AB723" s="580">
        <f>HLOOKUP("*"&amp;'Output annual'!$AC$2&amp;'Output annual'!$AD$2&amp;"*Zone People Number Of Occupants [](Hourly)",'Eplus results'!$1:$1048576,ROW(),FALSE)</f>
        <v>0</v>
      </c>
      <c r="AC723" s="580">
        <f>HLOOKUP("*"&amp;'Output annual'!$AC$2&amp;'Output annual'!$AD$2&amp;"*FangerPMV(Hourly)",'Eplus results'!$1:$1048576,ROW(),FALSE)</f>
        <v>0</v>
      </c>
      <c r="AD723" s="580">
        <f t="shared" si="91"/>
        <v>5</v>
      </c>
      <c r="AE723" s="580">
        <f t="shared" si="92"/>
        <v>2.5</v>
      </c>
      <c r="AF723" s="580">
        <f t="shared" si="93"/>
        <v>2.5</v>
      </c>
      <c r="AG723" s="580">
        <f t="shared" si="94"/>
        <v>0</v>
      </c>
      <c r="AH723" s="580">
        <f t="shared" si="95"/>
        <v>0</v>
      </c>
    </row>
    <row r="724" spans="28:34">
      <c r="AB724" s="580">
        <f>HLOOKUP("*"&amp;'Output annual'!$AC$2&amp;'Output annual'!$AD$2&amp;"*Zone People Number Of Occupants [](Hourly)",'Eplus results'!$1:$1048576,ROW(),FALSE)</f>
        <v>0</v>
      </c>
      <c r="AC724" s="580">
        <f>HLOOKUP("*"&amp;'Output annual'!$AC$2&amp;'Output annual'!$AD$2&amp;"*FangerPMV(Hourly)",'Eplus results'!$1:$1048576,ROW(),FALSE)</f>
        <v>0</v>
      </c>
      <c r="AD724" s="580">
        <f t="shared" si="91"/>
        <v>5</v>
      </c>
      <c r="AE724" s="580">
        <f t="shared" si="92"/>
        <v>2.5</v>
      </c>
      <c r="AF724" s="580">
        <f t="shared" si="93"/>
        <v>2.5</v>
      </c>
      <c r="AG724" s="580">
        <f t="shared" si="94"/>
        <v>0</v>
      </c>
      <c r="AH724" s="580">
        <f t="shared" si="95"/>
        <v>0</v>
      </c>
    </row>
    <row r="725" spans="28:34">
      <c r="AB725" s="580">
        <f>HLOOKUP("*"&amp;'Output annual'!$AC$2&amp;'Output annual'!$AD$2&amp;"*Zone People Number Of Occupants [](Hourly)",'Eplus results'!$1:$1048576,ROW(),FALSE)</f>
        <v>0</v>
      </c>
      <c r="AC725" s="580">
        <f>HLOOKUP("*"&amp;'Output annual'!$AC$2&amp;'Output annual'!$AD$2&amp;"*FangerPMV(Hourly)",'Eplus results'!$1:$1048576,ROW(),FALSE)</f>
        <v>0</v>
      </c>
      <c r="AD725" s="580">
        <f t="shared" si="91"/>
        <v>5</v>
      </c>
      <c r="AE725" s="580">
        <f t="shared" si="92"/>
        <v>2.5</v>
      </c>
      <c r="AF725" s="580">
        <f t="shared" si="93"/>
        <v>2.5</v>
      </c>
      <c r="AG725" s="580">
        <f t="shared" si="94"/>
        <v>0</v>
      </c>
      <c r="AH725" s="580">
        <f t="shared" si="95"/>
        <v>0</v>
      </c>
    </row>
    <row r="726" spans="28:34">
      <c r="AB726" s="580">
        <f>HLOOKUP("*"&amp;'Output annual'!$AC$2&amp;'Output annual'!$AD$2&amp;"*Zone People Number Of Occupants [](Hourly)",'Eplus results'!$1:$1048576,ROW(),FALSE)</f>
        <v>0</v>
      </c>
      <c r="AC726" s="580">
        <f>HLOOKUP("*"&amp;'Output annual'!$AC$2&amp;'Output annual'!$AD$2&amp;"*FangerPMV(Hourly)",'Eplus results'!$1:$1048576,ROW(),FALSE)</f>
        <v>0</v>
      </c>
      <c r="AD726" s="580">
        <f t="shared" si="91"/>
        <v>5</v>
      </c>
      <c r="AE726" s="580">
        <f t="shared" si="92"/>
        <v>2.5</v>
      </c>
      <c r="AF726" s="580">
        <f t="shared" si="93"/>
        <v>2.5</v>
      </c>
      <c r="AG726" s="580">
        <f t="shared" si="94"/>
        <v>0</v>
      </c>
      <c r="AH726" s="580">
        <f t="shared" si="95"/>
        <v>0</v>
      </c>
    </row>
    <row r="727" spans="28:34">
      <c r="AB727" s="580">
        <f>HLOOKUP("*"&amp;'Output annual'!$AC$2&amp;'Output annual'!$AD$2&amp;"*Zone People Number Of Occupants [](Hourly)",'Eplus results'!$1:$1048576,ROW(),FALSE)</f>
        <v>0</v>
      </c>
      <c r="AC727" s="580">
        <f>HLOOKUP("*"&amp;'Output annual'!$AC$2&amp;'Output annual'!$AD$2&amp;"*FangerPMV(Hourly)",'Eplus results'!$1:$1048576,ROW(),FALSE)</f>
        <v>0</v>
      </c>
      <c r="AD727" s="580">
        <f t="shared" si="91"/>
        <v>5</v>
      </c>
      <c r="AE727" s="580">
        <f t="shared" si="92"/>
        <v>2.5</v>
      </c>
      <c r="AF727" s="580">
        <f t="shared" si="93"/>
        <v>2.5</v>
      </c>
      <c r="AG727" s="580">
        <f t="shared" si="94"/>
        <v>0</v>
      </c>
      <c r="AH727" s="580">
        <f t="shared" si="95"/>
        <v>0</v>
      </c>
    </row>
    <row r="728" spans="28:34">
      <c r="AB728" s="580">
        <f>HLOOKUP("*"&amp;'Output annual'!$AC$2&amp;'Output annual'!$AD$2&amp;"*Zone People Number Of Occupants [](Hourly)",'Eplus results'!$1:$1048576,ROW(),FALSE)</f>
        <v>0</v>
      </c>
      <c r="AC728" s="580">
        <f>HLOOKUP("*"&amp;'Output annual'!$AC$2&amp;'Output annual'!$AD$2&amp;"*FangerPMV(Hourly)",'Eplus results'!$1:$1048576,ROW(),FALSE)</f>
        <v>0</v>
      </c>
      <c r="AD728" s="580">
        <f t="shared" si="91"/>
        <v>5</v>
      </c>
      <c r="AE728" s="580">
        <f t="shared" si="92"/>
        <v>2.5</v>
      </c>
      <c r="AF728" s="580">
        <f t="shared" si="93"/>
        <v>2.5</v>
      </c>
      <c r="AG728" s="580">
        <f t="shared" si="94"/>
        <v>0</v>
      </c>
      <c r="AH728" s="580">
        <f t="shared" si="95"/>
        <v>0</v>
      </c>
    </row>
    <row r="729" spans="28:34">
      <c r="AB729" s="580">
        <f>HLOOKUP("*"&amp;'Output annual'!$AC$2&amp;'Output annual'!$AD$2&amp;"*Zone People Number Of Occupants [](Hourly)",'Eplus results'!$1:$1048576,ROW(),FALSE)</f>
        <v>0</v>
      </c>
      <c r="AC729" s="580">
        <f>HLOOKUP("*"&amp;'Output annual'!$AC$2&amp;'Output annual'!$AD$2&amp;"*FangerPMV(Hourly)",'Eplus results'!$1:$1048576,ROW(),FALSE)</f>
        <v>0</v>
      </c>
      <c r="AD729" s="580">
        <f t="shared" si="91"/>
        <v>5</v>
      </c>
      <c r="AE729" s="580">
        <f t="shared" si="92"/>
        <v>2.5</v>
      </c>
      <c r="AF729" s="580">
        <f t="shared" si="93"/>
        <v>2.5</v>
      </c>
      <c r="AG729" s="580">
        <f t="shared" si="94"/>
        <v>0</v>
      </c>
      <c r="AH729" s="580">
        <f t="shared" si="95"/>
        <v>0</v>
      </c>
    </row>
    <row r="730" spans="28:34">
      <c r="AB730" s="580">
        <f>HLOOKUP("*"&amp;'Output annual'!$AC$2&amp;'Output annual'!$AD$2&amp;"*Zone People Number Of Occupants [](Hourly)",'Eplus results'!$1:$1048576,ROW(),FALSE)</f>
        <v>0</v>
      </c>
      <c r="AC730" s="580">
        <f>HLOOKUP("*"&amp;'Output annual'!$AC$2&amp;'Output annual'!$AD$2&amp;"*FangerPMV(Hourly)",'Eplus results'!$1:$1048576,ROW(),FALSE)</f>
        <v>0</v>
      </c>
      <c r="AD730" s="580">
        <f t="shared" si="91"/>
        <v>5</v>
      </c>
      <c r="AE730" s="580">
        <f t="shared" si="92"/>
        <v>2.5</v>
      </c>
      <c r="AF730" s="580">
        <f t="shared" si="93"/>
        <v>2.5</v>
      </c>
      <c r="AG730" s="580">
        <f t="shared" si="94"/>
        <v>0</v>
      </c>
      <c r="AH730" s="580">
        <f t="shared" si="95"/>
        <v>0</v>
      </c>
    </row>
    <row r="731" spans="28:34">
      <c r="AB731" s="580">
        <f>HLOOKUP("*"&amp;'Output annual'!$AC$2&amp;'Output annual'!$AD$2&amp;"*Zone People Number Of Occupants [](Hourly)",'Eplus results'!$1:$1048576,ROW(),FALSE)</f>
        <v>0</v>
      </c>
      <c r="AC731" s="580">
        <f>HLOOKUP("*"&amp;'Output annual'!$AC$2&amp;'Output annual'!$AD$2&amp;"*FangerPMV(Hourly)",'Eplus results'!$1:$1048576,ROW(),FALSE)</f>
        <v>0</v>
      </c>
      <c r="AD731" s="580">
        <f t="shared" si="91"/>
        <v>5</v>
      </c>
      <c r="AE731" s="580">
        <f t="shared" si="92"/>
        <v>2.5</v>
      </c>
      <c r="AF731" s="580">
        <f t="shared" si="93"/>
        <v>2.5</v>
      </c>
      <c r="AG731" s="580">
        <f t="shared" si="94"/>
        <v>0</v>
      </c>
      <c r="AH731" s="580">
        <f t="shared" si="95"/>
        <v>0</v>
      </c>
    </row>
    <row r="732" spans="28:34">
      <c r="AB732" s="580">
        <f>HLOOKUP("*"&amp;'Output annual'!$AC$2&amp;'Output annual'!$AD$2&amp;"*Zone People Number Of Occupants [](Hourly)",'Eplus results'!$1:$1048576,ROW(),FALSE)</f>
        <v>0</v>
      </c>
      <c r="AC732" s="580">
        <f>HLOOKUP("*"&amp;'Output annual'!$AC$2&amp;'Output annual'!$AD$2&amp;"*FangerPMV(Hourly)",'Eplus results'!$1:$1048576,ROW(),FALSE)</f>
        <v>0</v>
      </c>
      <c r="AD732" s="580">
        <f t="shared" si="91"/>
        <v>5</v>
      </c>
      <c r="AE732" s="580">
        <f t="shared" si="92"/>
        <v>2.5</v>
      </c>
      <c r="AF732" s="580">
        <f t="shared" si="93"/>
        <v>2.5</v>
      </c>
      <c r="AG732" s="580">
        <f t="shared" si="94"/>
        <v>0</v>
      </c>
      <c r="AH732" s="580">
        <f t="shared" si="95"/>
        <v>0</v>
      </c>
    </row>
    <row r="733" spans="28:34">
      <c r="AB733" s="580">
        <f>HLOOKUP("*"&amp;'Output annual'!$AC$2&amp;'Output annual'!$AD$2&amp;"*Zone People Number Of Occupants [](Hourly)",'Eplus results'!$1:$1048576,ROW(),FALSE)</f>
        <v>0</v>
      </c>
      <c r="AC733" s="580">
        <f>HLOOKUP("*"&amp;'Output annual'!$AC$2&amp;'Output annual'!$AD$2&amp;"*FangerPMV(Hourly)",'Eplus results'!$1:$1048576,ROW(),FALSE)</f>
        <v>0</v>
      </c>
      <c r="AD733" s="580">
        <f t="shared" si="91"/>
        <v>5</v>
      </c>
      <c r="AE733" s="580">
        <f t="shared" si="92"/>
        <v>2.5</v>
      </c>
      <c r="AF733" s="580">
        <f t="shared" si="93"/>
        <v>2.5</v>
      </c>
      <c r="AG733" s="580">
        <f t="shared" si="94"/>
        <v>0</v>
      </c>
      <c r="AH733" s="580">
        <f t="shared" si="95"/>
        <v>0</v>
      </c>
    </row>
    <row r="734" spans="28:34">
      <c r="AB734" s="580">
        <f>HLOOKUP("*"&amp;'Output annual'!$AC$2&amp;'Output annual'!$AD$2&amp;"*Zone People Number Of Occupants [](Hourly)",'Eplus results'!$1:$1048576,ROW(),FALSE)</f>
        <v>0</v>
      </c>
      <c r="AC734" s="580">
        <f>HLOOKUP("*"&amp;'Output annual'!$AC$2&amp;'Output annual'!$AD$2&amp;"*FangerPMV(Hourly)",'Eplus results'!$1:$1048576,ROW(),FALSE)</f>
        <v>0</v>
      </c>
      <c r="AD734" s="580">
        <f t="shared" si="91"/>
        <v>5</v>
      </c>
      <c r="AE734" s="580">
        <f t="shared" si="92"/>
        <v>2.5</v>
      </c>
      <c r="AF734" s="580">
        <f t="shared" si="93"/>
        <v>2.5</v>
      </c>
      <c r="AG734" s="580">
        <f t="shared" si="94"/>
        <v>0</v>
      </c>
      <c r="AH734" s="580">
        <f t="shared" si="95"/>
        <v>0</v>
      </c>
    </row>
    <row r="735" spans="28:34">
      <c r="AB735" s="580">
        <f>HLOOKUP("*"&amp;'Output annual'!$AC$2&amp;'Output annual'!$AD$2&amp;"*Zone People Number Of Occupants [](Hourly)",'Eplus results'!$1:$1048576,ROW(),FALSE)</f>
        <v>0</v>
      </c>
      <c r="AC735" s="580">
        <f>HLOOKUP("*"&amp;'Output annual'!$AC$2&amp;'Output annual'!$AD$2&amp;"*FangerPMV(Hourly)",'Eplus results'!$1:$1048576,ROW(),FALSE)</f>
        <v>0</v>
      </c>
      <c r="AD735" s="580">
        <f t="shared" si="91"/>
        <v>5</v>
      </c>
      <c r="AE735" s="580">
        <f t="shared" si="92"/>
        <v>2.5</v>
      </c>
      <c r="AF735" s="580">
        <f t="shared" si="93"/>
        <v>2.5</v>
      </c>
      <c r="AG735" s="580">
        <f t="shared" si="94"/>
        <v>0</v>
      </c>
      <c r="AH735" s="580">
        <f t="shared" si="95"/>
        <v>0</v>
      </c>
    </row>
    <row r="736" spans="28:34">
      <c r="AB736" s="580">
        <f>HLOOKUP("*"&amp;'Output annual'!$AC$2&amp;'Output annual'!$AD$2&amp;"*Zone People Number Of Occupants [](Hourly)",'Eplus results'!$1:$1048576,ROW(),FALSE)</f>
        <v>0</v>
      </c>
      <c r="AC736" s="580">
        <f>HLOOKUP("*"&amp;'Output annual'!$AC$2&amp;'Output annual'!$AD$2&amp;"*FangerPMV(Hourly)",'Eplus results'!$1:$1048576,ROW(),FALSE)</f>
        <v>0</v>
      </c>
      <c r="AD736" s="580">
        <f t="shared" si="91"/>
        <v>5</v>
      </c>
      <c r="AE736" s="580">
        <f t="shared" si="92"/>
        <v>2.5</v>
      </c>
      <c r="AF736" s="580">
        <f t="shared" si="93"/>
        <v>2.5</v>
      </c>
      <c r="AG736" s="580">
        <f t="shared" si="94"/>
        <v>0</v>
      </c>
      <c r="AH736" s="580">
        <f t="shared" si="95"/>
        <v>0</v>
      </c>
    </row>
    <row r="737" spans="28:34">
      <c r="AB737" s="580">
        <f>HLOOKUP("*"&amp;'Output annual'!$AC$2&amp;'Output annual'!$AD$2&amp;"*Zone People Number Of Occupants [](Hourly)",'Eplus results'!$1:$1048576,ROW(),FALSE)</f>
        <v>0</v>
      </c>
      <c r="AC737" s="580">
        <f>HLOOKUP("*"&amp;'Output annual'!$AC$2&amp;'Output annual'!$AD$2&amp;"*FangerPMV(Hourly)",'Eplus results'!$1:$1048576,ROW(),FALSE)</f>
        <v>0</v>
      </c>
      <c r="AD737" s="580">
        <f t="shared" si="91"/>
        <v>5</v>
      </c>
      <c r="AE737" s="580">
        <f t="shared" si="92"/>
        <v>2.5</v>
      </c>
      <c r="AF737" s="580">
        <f t="shared" si="93"/>
        <v>2.5</v>
      </c>
      <c r="AG737" s="580">
        <f t="shared" si="94"/>
        <v>0</v>
      </c>
      <c r="AH737" s="580">
        <f t="shared" si="95"/>
        <v>0</v>
      </c>
    </row>
    <row r="738" spans="28:34">
      <c r="AB738" s="580">
        <f>HLOOKUP("*"&amp;'Output annual'!$AC$2&amp;'Output annual'!$AD$2&amp;"*Zone People Number Of Occupants [](Hourly)",'Eplus results'!$1:$1048576,ROW(),FALSE)</f>
        <v>0</v>
      </c>
      <c r="AC738" s="580">
        <f>HLOOKUP("*"&amp;'Output annual'!$AC$2&amp;'Output annual'!$AD$2&amp;"*FangerPMV(Hourly)",'Eplus results'!$1:$1048576,ROW(),FALSE)</f>
        <v>0</v>
      </c>
      <c r="AD738" s="580">
        <f t="shared" si="91"/>
        <v>5</v>
      </c>
      <c r="AE738" s="580">
        <f t="shared" si="92"/>
        <v>2.5</v>
      </c>
      <c r="AF738" s="580">
        <f t="shared" si="93"/>
        <v>2.5</v>
      </c>
      <c r="AG738" s="580">
        <f t="shared" si="94"/>
        <v>0</v>
      </c>
      <c r="AH738" s="580">
        <f t="shared" si="95"/>
        <v>0</v>
      </c>
    </row>
    <row r="739" spans="28:34">
      <c r="AB739" s="580">
        <f>HLOOKUP("*"&amp;'Output annual'!$AC$2&amp;'Output annual'!$AD$2&amp;"*Zone People Number Of Occupants [](Hourly)",'Eplus results'!$1:$1048576,ROW(),FALSE)</f>
        <v>0</v>
      </c>
      <c r="AC739" s="580">
        <f>HLOOKUP("*"&amp;'Output annual'!$AC$2&amp;'Output annual'!$AD$2&amp;"*FangerPMV(Hourly)",'Eplus results'!$1:$1048576,ROW(),FALSE)</f>
        <v>0</v>
      </c>
      <c r="AD739" s="580">
        <f t="shared" si="91"/>
        <v>5</v>
      </c>
      <c r="AE739" s="580">
        <f t="shared" si="92"/>
        <v>2.5</v>
      </c>
      <c r="AF739" s="580">
        <f t="shared" si="93"/>
        <v>2.5</v>
      </c>
      <c r="AG739" s="580">
        <f t="shared" si="94"/>
        <v>0</v>
      </c>
      <c r="AH739" s="580">
        <f t="shared" si="95"/>
        <v>0</v>
      </c>
    </row>
    <row r="740" spans="28:34">
      <c r="AB740" s="580">
        <f>HLOOKUP("*"&amp;'Output annual'!$AC$2&amp;'Output annual'!$AD$2&amp;"*Zone People Number Of Occupants [](Hourly)",'Eplus results'!$1:$1048576,ROW(),FALSE)</f>
        <v>0</v>
      </c>
      <c r="AC740" s="580">
        <f>HLOOKUP("*"&amp;'Output annual'!$AC$2&amp;'Output annual'!$AD$2&amp;"*FangerPMV(Hourly)",'Eplus results'!$1:$1048576,ROW(),FALSE)</f>
        <v>0</v>
      </c>
      <c r="AD740" s="580">
        <f t="shared" si="91"/>
        <v>5</v>
      </c>
      <c r="AE740" s="580">
        <f t="shared" si="92"/>
        <v>2.5</v>
      </c>
      <c r="AF740" s="580">
        <f t="shared" si="93"/>
        <v>2.5</v>
      </c>
      <c r="AG740" s="580">
        <f t="shared" si="94"/>
        <v>0</v>
      </c>
      <c r="AH740" s="580">
        <f t="shared" si="95"/>
        <v>0</v>
      </c>
    </row>
    <row r="741" spans="28:34">
      <c r="AB741" s="580">
        <f>HLOOKUP("*"&amp;'Output annual'!$AC$2&amp;'Output annual'!$AD$2&amp;"*Zone People Number Of Occupants [](Hourly)",'Eplus results'!$1:$1048576,ROW(),FALSE)</f>
        <v>0</v>
      </c>
      <c r="AC741" s="580">
        <f>HLOOKUP("*"&amp;'Output annual'!$AC$2&amp;'Output annual'!$AD$2&amp;"*FangerPMV(Hourly)",'Eplus results'!$1:$1048576,ROW(),FALSE)</f>
        <v>0</v>
      </c>
      <c r="AD741" s="580">
        <f t="shared" si="91"/>
        <v>5</v>
      </c>
      <c r="AE741" s="580">
        <f t="shared" si="92"/>
        <v>2.5</v>
      </c>
      <c r="AF741" s="580">
        <f t="shared" si="93"/>
        <v>2.5</v>
      </c>
      <c r="AG741" s="580">
        <f t="shared" si="94"/>
        <v>0</v>
      </c>
      <c r="AH741" s="580">
        <f t="shared" si="95"/>
        <v>0</v>
      </c>
    </row>
    <row r="742" spans="28:34">
      <c r="AB742" s="580">
        <f>HLOOKUP("*"&amp;'Output annual'!$AC$2&amp;'Output annual'!$AD$2&amp;"*Zone People Number Of Occupants [](Hourly)",'Eplus results'!$1:$1048576,ROW(),FALSE)</f>
        <v>0</v>
      </c>
      <c r="AC742" s="580">
        <f>HLOOKUP("*"&amp;'Output annual'!$AC$2&amp;'Output annual'!$AD$2&amp;"*FangerPMV(Hourly)",'Eplus results'!$1:$1048576,ROW(),FALSE)</f>
        <v>0</v>
      </c>
      <c r="AD742" s="580">
        <f t="shared" si="91"/>
        <v>5</v>
      </c>
      <c r="AE742" s="580">
        <f t="shared" si="92"/>
        <v>2.5</v>
      </c>
      <c r="AF742" s="580">
        <f t="shared" si="93"/>
        <v>2.5</v>
      </c>
      <c r="AG742" s="580">
        <f t="shared" si="94"/>
        <v>0</v>
      </c>
      <c r="AH742" s="580">
        <f t="shared" si="95"/>
        <v>0</v>
      </c>
    </row>
    <row r="743" spans="28:34">
      <c r="AB743" s="580">
        <f>HLOOKUP("*"&amp;'Output annual'!$AC$2&amp;'Output annual'!$AD$2&amp;"*Zone People Number Of Occupants [](Hourly)",'Eplus results'!$1:$1048576,ROW(),FALSE)</f>
        <v>0</v>
      </c>
      <c r="AC743" s="580">
        <f>HLOOKUP("*"&amp;'Output annual'!$AC$2&amp;'Output annual'!$AD$2&amp;"*FangerPMV(Hourly)",'Eplus results'!$1:$1048576,ROW(),FALSE)</f>
        <v>0</v>
      </c>
      <c r="AD743" s="580">
        <f t="shared" si="91"/>
        <v>5</v>
      </c>
      <c r="AE743" s="580">
        <f t="shared" si="92"/>
        <v>2.5</v>
      </c>
      <c r="AF743" s="580">
        <f t="shared" si="93"/>
        <v>2.5</v>
      </c>
      <c r="AG743" s="580">
        <f t="shared" si="94"/>
        <v>0</v>
      </c>
      <c r="AH743" s="580">
        <f t="shared" si="95"/>
        <v>0</v>
      </c>
    </row>
    <row r="744" spans="28:34">
      <c r="AB744" s="580">
        <f>HLOOKUP("*"&amp;'Output annual'!$AC$2&amp;'Output annual'!$AD$2&amp;"*Zone People Number Of Occupants [](Hourly)",'Eplus results'!$1:$1048576,ROW(),FALSE)</f>
        <v>0</v>
      </c>
      <c r="AC744" s="580">
        <f>HLOOKUP("*"&amp;'Output annual'!$AC$2&amp;'Output annual'!$AD$2&amp;"*FangerPMV(Hourly)",'Eplus results'!$1:$1048576,ROW(),FALSE)</f>
        <v>0</v>
      </c>
      <c r="AD744" s="580">
        <f t="shared" si="91"/>
        <v>5</v>
      </c>
      <c r="AE744" s="580">
        <f t="shared" si="92"/>
        <v>2.5</v>
      </c>
      <c r="AF744" s="580">
        <f t="shared" si="93"/>
        <v>2.5</v>
      </c>
      <c r="AG744" s="580">
        <f t="shared" si="94"/>
        <v>0</v>
      </c>
      <c r="AH744" s="580">
        <f t="shared" si="95"/>
        <v>0</v>
      </c>
    </row>
    <row r="745" spans="28:34">
      <c r="AB745" s="580">
        <f>HLOOKUP("*"&amp;'Output annual'!$AC$2&amp;'Output annual'!$AD$2&amp;"*Zone People Number Of Occupants [](Hourly)",'Eplus results'!$1:$1048576,ROW(),FALSE)</f>
        <v>0</v>
      </c>
      <c r="AC745" s="580">
        <f>HLOOKUP("*"&amp;'Output annual'!$AC$2&amp;'Output annual'!$AD$2&amp;"*FangerPMV(Hourly)",'Eplus results'!$1:$1048576,ROW(),FALSE)</f>
        <v>0</v>
      </c>
      <c r="AD745" s="580">
        <f t="shared" si="91"/>
        <v>5</v>
      </c>
      <c r="AE745" s="580">
        <f t="shared" si="92"/>
        <v>2.5</v>
      </c>
      <c r="AF745" s="580">
        <f t="shared" si="93"/>
        <v>2.5</v>
      </c>
      <c r="AG745" s="580">
        <f t="shared" si="94"/>
        <v>0</v>
      </c>
      <c r="AH745" s="580">
        <f t="shared" si="95"/>
        <v>0</v>
      </c>
    </row>
    <row r="746" spans="28:34">
      <c r="AB746" s="580">
        <f>HLOOKUP("*"&amp;'Output annual'!$AC$2&amp;'Output annual'!$AD$2&amp;"*Zone People Number Of Occupants [](Hourly)",'Eplus results'!$1:$1048576,ROW(),FALSE)</f>
        <v>0</v>
      </c>
      <c r="AC746" s="580">
        <f>HLOOKUP("*"&amp;'Output annual'!$AC$2&amp;'Output annual'!$AD$2&amp;"*FangerPMV(Hourly)",'Eplus results'!$1:$1048576,ROW(),FALSE)</f>
        <v>0</v>
      </c>
      <c r="AD746" s="580">
        <f t="shared" si="91"/>
        <v>5</v>
      </c>
      <c r="AE746" s="580">
        <f t="shared" si="92"/>
        <v>2.5</v>
      </c>
      <c r="AF746" s="580">
        <f t="shared" si="93"/>
        <v>2.5</v>
      </c>
      <c r="AG746" s="580">
        <f t="shared" si="94"/>
        <v>0</v>
      </c>
      <c r="AH746" s="580">
        <f t="shared" si="95"/>
        <v>0</v>
      </c>
    </row>
    <row r="747" spans="28:34">
      <c r="AB747" s="580">
        <f>HLOOKUP("*"&amp;'Output annual'!$AC$2&amp;'Output annual'!$AD$2&amp;"*Zone People Number Of Occupants [](Hourly)",'Eplus results'!$1:$1048576,ROW(),FALSE)</f>
        <v>0</v>
      </c>
      <c r="AC747" s="580">
        <f>HLOOKUP("*"&amp;'Output annual'!$AC$2&amp;'Output annual'!$AD$2&amp;"*FangerPMV(Hourly)",'Eplus results'!$1:$1048576,ROW(),FALSE)</f>
        <v>0</v>
      </c>
      <c r="AD747" s="580">
        <f t="shared" si="91"/>
        <v>5</v>
      </c>
      <c r="AE747" s="580">
        <f t="shared" si="92"/>
        <v>2.5</v>
      </c>
      <c r="AF747" s="580">
        <f t="shared" si="93"/>
        <v>2.5</v>
      </c>
      <c r="AG747" s="580">
        <f t="shared" si="94"/>
        <v>0</v>
      </c>
      <c r="AH747" s="580">
        <f t="shared" si="95"/>
        <v>0</v>
      </c>
    </row>
    <row r="748" spans="28:34">
      <c r="AB748" s="580">
        <f>HLOOKUP("*"&amp;'Output annual'!$AC$2&amp;'Output annual'!$AD$2&amp;"*Zone People Number Of Occupants [](Hourly)",'Eplus results'!$1:$1048576,ROW(),FALSE)</f>
        <v>0</v>
      </c>
      <c r="AC748" s="580">
        <f>HLOOKUP("*"&amp;'Output annual'!$AC$2&amp;'Output annual'!$AD$2&amp;"*FangerPMV(Hourly)",'Eplus results'!$1:$1048576,ROW(),FALSE)</f>
        <v>0</v>
      </c>
      <c r="AD748" s="580">
        <f t="shared" si="91"/>
        <v>5</v>
      </c>
      <c r="AE748" s="580">
        <f t="shared" si="92"/>
        <v>2.5</v>
      </c>
      <c r="AF748" s="580">
        <f t="shared" si="93"/>
        <v>2.5</v>
      </c>
      <c r="AG748" s="580">
        <f t="shared" si="94"/>
        <v>0</v>
      </c>
      <c r="AH748" s="580">
        <f t="shared" si="95"/>
        <v>0</v>
      </c>
    </row>
    <row r="749" spans="28:34">
      <c r="AB749" s="580">
        <f>HLOOKUP("*"&amp;'Output annual'!$AC$2&amp;'Output annual'!$AD$2&amp;"*Zone People Number Of Occupants [](Hourly)",'Eplus results'!$1:$1048576,ROW(),FALSE)</f>
        <v>0</v>
      </c>
      <c r="AC749" s="580">
        <f>HLOOKUP("*"&amp;'Output annual'!$AC$2&amp;'Output annual'!$AD$2&amp;"*FangerPMV(Hourly)",'Eplus results'!$1:$1048576,ROW(),FALSE)</f>
        <v>0</v>
      </c>
      <c r="AD749" s="580">
        <f t="shared" si="91"/>
        <v>5</v>
      </c>
      <c r="AE749" s="580">
        <f t="shared" si="92"/>
        <v>2.5</v>
      </c>
      <c r="AF749" s="580">
        <f t="shared" si="93"/>
        <v>2.5</v>
      </c>
      <c r="AG749" s="580">
        <f t="shared" si="94"/>
        <v>0</v>
      </c>
      <c r="AH749" s="580">
        <f t="shared" si="95"/>
        <v>0</v>
      </c>
    </row>
    <row r="750" spans="28:34">
      <c r="AB750" s="580">
        <f>HLOOKUP("*"&amp;'Output annual'!$AC$2&amp;'Output annual'!$AD$2&amp;"*Zone People Number Of Occupants [](Hourly)",'Eplus results'!$1:$1048576,ROW(),FALSE)</f>
        <v>0</v>
      </c>
      <c r="AC750" s="580">
        <f>HLOOKUP("*"&amp;'Output annual'!$AC$2&amp;'Output annual'!$AD$2&amp;"*FangerPMV(Hourly)",'Eplus results'!$1:$1048576,ROW(),FALSE)</f>
        <v>0</v>
      </c>
      <c r="AD750" s="580">
        <f t="shared" si="91"/>
        <v>5</v>
      </c>
      <c r="AE750" s="580">
        <f t="shared" si="92"/>
        <v>2.5</v>
      </c>
      <c r="AF750" s="580">
        <f t="shared" si="93"/>
        <v>2.5</v>
      </c>
      <c r="AG750" s="580">
        <f t="shared" si="94"/>
        <v>0</v>
      </c>
      <c r="AH750" s="580">
        <f t="shared" si="95"/>
        <v>0</v>
      </c>
    </row>
    <row r="751" spans="28:34">
      <c r="AB751" s="580">
        <f>HLOOKUP("*"&amp;'Output annual'!$AC$2&amp;'Output annual'!$AD$2&amp;"*Zone People Number Of Occupants [](Hourly)",'Eplus results'!$1:$1048576,ROW(),FALSE)</f>
        <v>0</v>
      </c>
      <c r="AC751" s="580">
        <f>HLOOKUP("*"&amp;'Output annual'!$AC$2&amp;'Output annual'!$AD$2&amp;"*FangerPMV(Hourly)",'Eplus results'!$1:$1048576,ROW(),FALSE)</f>
        <v>0</v>
      </c>
      <c r="AD751" s="580">
        <f t="shared" si="91"/>
        <v>5</v>
      </c>
      <c r="AE751" s="580">
        <f t="shared" si="92"/>
        <v>2.5</v>
      </c>
      <c r="AF751" s="580">
        <f t="shared" si="93"/>
        <v>2.5</v>
      </c>
      <c r="AG751" s="580">
        <f t="shared" si="94"/>
        <v>0</v>
      </c>
      <c r="AH751" s="580">
        <f t="shared" si="95"/>
        <v>0</v>
      </c>
    </row>
    <row r="752" spans="28:34">
      <c r="AB752" s="580">
        <f>HLOOKUP("*"&amp;'Output annual'!$AC$2&amp;'Output annual'!$AD$2&amp;"*Zone People Number Of Occupants [](Hourly)",'Eplus results'!$1:$1048576,ROW(),FALSE)</f>
        <v>0</v>
      </c>
      <c r="AC752" s="580">
        <f>HLOOKUP("*"&amp;'Output annual'!$AC$2&amp;'Output annual'!$AD$2&amp;"*FangerPMV(Hourly)",'Eplus results'!$1:$1048576,ROW(),FALSE)</f>
        <v>0</v>
      </c>
      <c r="AD752" s="580">
        <f t="shared" si="91"/>
        <v>5</v>
      </c>
      <c r="AE752" s="580">
        <f t="shared" si="92"/>
        <v>2.5</v>
      </c>
      <c r="AF752" s="580">
        <f t="shared" si="93"/>
        <v>2.5</v>
      </c>
      <c r="AG752" s="580">
        <f t="shared" si="94"/>
        <v>0</v>
      </c>
      <c r="AH752" s="580">
        <f t="shared" si="95"/>
        <v>0</v>
      </c>
    </row>
    <row r="753" spans="28:34">
      <c r="AB753" s="580">
        <f>HLOOKUP("*"&amp;'Output annual'!$AC$2&amp;'Output annual'!$AD$2&amp;"*Zone People Number Of Occupants [](Hourly)",'Eplus results'!$1:$1048576,ROW(),FALSE)</f>
        <v>0</v>
      </c>
      <c r="AC753" s="580">
        <f>HLOOKUP("*"&amp;'Output annual'!$AC$2&amp;'Output annual'!$AD$2&amp;"*FangerPMV(Hourly)",'Eplus results'!$1:$1048576,ROW(),FALSE)</f>
        <v>0</v>
      </c>
      <c r="AD753" s="580">
        <f t="shared" si="91"/>
        <v>5</v>
      </c>
      <c r="AE753" s="580">
        <f t="shared" si="92"/>
        <v>2.5</v>
      </c>
      <c r="AF753" s="580">
        <f t="shared" si="93"/>
        <v>2.5</v>
      </c>
      <c r="AG753" s="580">
        <f t="shared" si="94"/>
        <v>0</v>
      </c>
      <c r="AH753" s="580">
        <f t="shared" si="95"/>
        <v>0</v>
      </c>
    </row>
    <row r="754" spans="28:34">
      <c r="AB754" s="580">
        <f>HLOOKUP("*"&amp;'Output annual'!$AC$2&amp;'Output annual'!$AD$2&amp;"*Zone People Number Of Occupants [](Hourly)",'Eplus results'!$1:$1048576,ROW(),FALSE)</f>
        <v>0</v>
      </c>
      <c r="AC754" s="580">
        <f>HLOOKUP("*"&amp;'Output annual'!$AC$2&amp;'Output annual'!$AD$2&amp;"*FangerPMV(Hourly)",'Eplus results'!$1:$1048576,ROW(),FALSE)</f>
        <v>0</v>
      </c>
      <c r="AD754" s="580">
        <f t="shared" si="91"/>
        <v>5</v>
      </c>
      <c r="AE754" s="580">
        <f t="shared" si="92"/>
        <v>2.5</v>
      </c>
      <c r="AF754" s="580">
        <f t="shared" si="93"/>
        <v>2.5</v>
      </c>
      <c r="AG754" s="580">
        <f t="shared" si="94"/>
        <v>0</v>
      </c>
      <c r="AH754" s="580">
        <f t="shared" si="95"/>
        <v>0</v>
      </c>
    </row>
    <row r="755" spans="28:34">
      <c r="AB755" s="580">
        <f>HLOOKUP("*"&amp;'Output annual'!$AC$2&amp;'Output annual'!$AD$2&amp;"*Zone People Number Of Occupants [](Hourly)",'Eplus results'!$1:$1048576,ROW(),FALSE)</f>
        <v>0</v>
      </c>
      <c r="AC755" s="580">
        <f>HLOOKUP("*"&amp;'Output annual'!$AC$2&amp;'Output annual'!$AD$2&amp;"*FangerPMV(Hourly)",'Eplus results'!$1:$1048576,ROW(),FALSE)</f>
        <v>0</v>
      </c>
      <c r="AD755" s="580">
        <f t="shared" si="91"/>
        <v>5</v>
      </c>
      <c r="AE755" s="580">
        <f t="shared" si="92"/>
        <v>2.5</v>
      </c>
      <c r="AF755" s="580">
        <f t="shared" si="93"/>
        <v>2.5</v>
      </c>
      <c r="AG755" s="580">
        <f t="shared" si="94"/>
        <v>0</v>
      </c>
      <c r="AH755" s="580">
        <f t="shared" si="95"/>
        <v>0</v>
      </c>
    </row>
    <row r="756" spans="28:34">
      <c r="AB756" s="580">
        <f>HLOOKUP("*"&amp;'Output annual'!$AC$2&amp;'Output annual'!$AD$2&amp;"*Zone People Number Of Occupants [](Hourly)",'Eplus results'!$1:$1048576,ROW(),FALSE)</f>
        <v>0</v>
      </c>
      <c r="AC756" s="580">
        <f>HLOOKUP("*"&amp;'Output annual'!$AC$2&amp;'Output annual'!$AD$2&amp;"*FangerPMV(Hourly)",'Eplus results'!$1:$1048576,ROW(),FALSE)</f>
        <v>0</v>
      </c>
      <c r="AD756" s="580">
        <f t="shared" si="91"/>
        <v>5</v>
      </c>
      <c r="AE756" s="580">
        <f t="shared" si="92"/>
        <v>2.5</v>
      </c>
      <c r="AF756" s="580">
        <f t="shared" si="93"/>
        <v>2.5</v>
      </c>
      <c r="AG756" s="580">
        <f t="shared" si="94"/>
        <v>0</v>
      </c>
      <c r="AH756" s="580">
        <f t="shared" si="95"/>
        <v>0</v>
      </c>
    </row>
    <row r="757" spans="28:34">
      <c r="AB757" s="580">
        <f>HLOOKUP("*"&amp;'Output annual'!$AC$2&amp;'Output annual'!$AD$2&amp;"*Zone People Number Of Occupants [](Hourly)",'Eplus results'!$1:$1048576,ROW(),FALSE)</f>
        <v>0</v>
      </c>
      <c r="AC757" s="580">
        <f>HLOOKUP("*"&amp;'Output annual'!$AC$2&amp;'Output annual'!$AD$2&amp;"*FangerPMV(Hourly)",'Eplus results'!$1:$1048576,ROW(),FALSE)</f>
        <v>0</v>
      </c>
      <c r="AD757" s="580">
        <f t="shared" si="91"/>
        <v>5</v>
      </c>
      <c r="AE757" s="580">
        <f t="shared" si="92"/>
        <v>2.5</v>
      </c>
      <c r="AF757" s="580">
        <f t="shared" si="93"/>
        <v>2.5</v>
      </c>
      <c r="AG757" s="580">
        <f t="shared" si="94"/>
        <v>0</v>
      </c>
      <c r="AH757" s="580">
        <f t="shared" si="95"/>
        <v>0</v>
      </c>
    </row>
    <row r="758" spans="28:34">
      <c r="AB758" s="580">
        <f>HLOOKUP("*"&amp;'Output annual'!$AC$2&amp;'Output annual'!$AD$2&amp;"*Zone People Number Of Occupants [](Hourly)",'Eplus results'!$1:$1048576,ROW(),FALSE)</f>
        <v>0</v>
      </c>
      <c r="AC758" s="580">
        <f>HLOOKUP("*"&amp;'Output annual'!$AC$2&amp;'Output annual'!$AD$2&amp;"*FangerPMV(Hourly)",'Eplus results'!$1:$1048576,ROW(),FALSE)</f>
        <v>0</v>
      </c>
      <c r="AD758" s="580">
        <f t="shared" si="91"/>
        <v>5</v>
      </c>
      <c r="AE758" s="580">
        <f t="shared" si="92"/>
        <v>2.5</v>
      </c>
      <c r="AF758" s="580">
        <f t="shared" si="93"/>
        <v>2.5</v>
      </c>
      <c r="AG758" s="580">
        <f t="shared" si="94"/>
        <v>0</v>
      </c>
      <c r="AH758" s="580">
        <f t="shared" si="95"/>
        <v>0</v>
      </c>
    </row>
    <row r="759" spans="28:34">
      <c r="AB759" s="580">
        <f>HLOOKUP("*"&amp;'Output annual'!$AC$2&amp;'Output annual'!$AD$2&amp;"*Zone People Number Of Occupants [](Hourly)",'Eplus results'!$1:$1048576,ROW(),FALSE)</f>
        <v>0</v>
      </c>
      <c r="AC759" s="580">
        <f>HLOOKUP("*"&amp;'Output annual'!$AC$2&amp;'Output annual'!$AD$2&amp;"*FangerPMV(Hourly)",'Eplus results'!$1:$1048576,ROW(),FALSE)</f>
        <v>0</v>
      </c>
      <c r="AD759" s="580">
        <f t="shared" si="91"/>
        <v>5</v>
      </c>
      <c r="AE759" s="580">
        <f t="shared" si="92"/>
        <v>2.5</v>
      </c>
      <c r="AF759" s="580">
        <f t="shared" si="93"/>
        <v>2.5</v>
      </c>
      <c r="AG759" s="580">
        <f t="shared" si="94"/>
        <v>0</v>
      </c>
      <c r="AH759" s="580">
        <f t="shared" si="95"/>
        <v>0</v>
      </c>
    </row>
    <row r="760" spans="28:34">
      <c r="AB760" s="580">
        <f>HLOOKUP("*"&amp;'Output annual'!$AC$2&amp;'Output annual'!$AD$2&amp;"*Zone People Number Of Occupants [](Hourly)",'Eplus results'!$1:$1048576,ROW(),FALSE)</f>
        <v>0</v>
      </c>
      <c r="AC760" s="580">
        <f>HLOOKUP("*"&amp;'Output annual'!$AC$2&amp;'Output annual'!$AD$2&amp;"*FangerPMV(Hourly)",'Eplus results'!$1:$1048576,ROW(),FALSE)</f>
        <v>0</v>
      </c>
      <c r="AD760" s="580">
        <f t="shared" si="91"/>
        <v>5</v>
      </c>
      <c r="AE760" s="580">
        <f t="shared" si="92"/>
        <v>2.5</v>
      </c>
      <c r="AF760" s="580">
        <f t="shared" si="93"/>
        <v>2.5</v>
      </c>
      <c r="AG760" s="580">
        <f t="shared" si="94"/>
        <v>0</v>
      </c>
      <c r="AH760" s="580">
        <f t="shared" si="95"/>
        <v>0</v>
      </c>
    </row>
    <row r="761" spans="28:34">
      <c r="AB761" s="580">
        <f>HLOOKUP("*"&amp;'Output annual'!$AC$2&amp;'Output annual'!$AD$2&amp;"*Zone People Number Of Occupants [](Hourly)",'Eplus results'!$1:$1048576,ROW(),FALSE)</f>
        <v>0</v>
      </c>
      <c r="AC761" s="580">
        <f>HLOOKUP("*"&amp;'Output annual'!$AC$2&amp;'Output annual'!$AD$2&amp;"*FangerPMV(Hourly)",'Eplus results'!$1:$1048576,ROW(),FALSE)</f>
        <v>0</v>
      </c>
      <c r="AD761" s="580">
        <f t="shared" si="91"/>
        <v>5</v>
      </c>
      <c r="AE761" s="580">
        <f t="shared" si="92"/>
        <v>2.5</v>
      </c>
      <c r="AF761" s="580">
        <f t="shared" si="93"/>
        <v>2.5</v>
      </c>
      <c r="AG761" s="580">
        <f t="shared" si="94"/>
        <v>0</v>
      </c>
      <c r="AH761" s="580">
        <f t="shared" si="95"/>
        <v>0</v>
      </c>
    </row>
    <row r="762" spans="28:34">
      <c r="AB762" s="580">
        <f>HLOOKUP("*"&amp;'Output annual'!$AC$2&amp;'Output annual'!$AD$2&amp;"*Zone People Number Of Occupants [](Hourly)",'Eplus results'!$1:$1048576,ROW(),FALSE)</f>
        <v>0</v>
      </c>
      <c r="AC762" s="580">
        <f>HLOOKUP("*"&amp;'Output annual'!$AC$2&amp;'Output annual'!$AD$2&amp;"*FangerPMV(Hourly)",'Eplus results'!$1:$1048576,ROW(),FALSE)</f>
        <v>0</v>
      </c>
      <c r="AD762" s="580">
        <f t="shared" si="91"/>
        <v>5</v>
      </c>
      <c r="AE762" s="580">
        <f t="shared" si="92"/>
        <v>2.5</v>
      </c>
      <c r="AF762" s="580">
        <f t="shared" si="93"/>
        <v>2.5</v>
      </c>
      <c r="AG762" s="580">
        <f t="shared" si="94"/>
        <v>0</v>
      </c>
      <c r="AH762" s="580">
        <f t="shared" si="95"/>
        <v>0</v>
      </c>
    </row>
    <row r="763" spans="28:34">
      <c r="AB763" s="580">
        <f>HLOOKUP("*"&amp;'Output annual'!$AC$2&amp;'Output annual'!$AD$2&amp;"*Zone People Number Of Occupants [](Hourly)",'Eplus results'!$1:$1048576,ROW(),FALSE)</f>
        <v>0</v>
      </c>
      <c r="AC763" s="580">
        <f>HLOOKUP("*"&amp;'Output annual'!$AC$2&amp;'Output annual'!$AD$2&amp;"*FangerPMV(Hourly)",'Eplus results'!$1:$1048576,ROW(),FALSE)</f>
        <v>0</v>
      </c>
      <c r="AD763" s="580">
        <f t="shared" si="91"/>
        <v>5</v>
      </c>
      <c r="AE763" s="580">
        <f t="shared" si="92"/>
        <v>2.5</v>
      </c>
      <c r="AF763" s="580">
        <f t="shared" si="93"/>
        <v>2.5</v>
      </c>
      <c r="AG763" s="580">
        <f t="shared" si="94"/>
        <v>0</v>
      </c>
      <c r="AH763" s="580">
        <f t="shared" si="95"/>
        <v>0</v>
      </c>
    </row>
    <row r="764" spans="28:34">
      <c r="AB764" s="580">
        <f>HLOOKUP("*"&amp;'Output annual'!$AC$2&amp;'Output annual'!$AD$2&amp;"*Zone People Number Of Occupants [](Hourly)",'Eplus results'!$1:$1048576,ROW(),FALSE)</f>
        <v>0</v>
      </c>
      <c r="AC764" s="580">
        <f>HLOOKUP("*"&amp;'Output annual'!$AC$2&amp;'Output annual'!$AD$2&amp;"*FangerPMV(Hourly)",'Eplus results'!$1:$1048576,ROW(),FALSE)</f>
        <v>0</v>
      </c>
      <c r="AD764" s="580">
        <f t="shared" si="91"/>
        <v>5</v>
      </c>
      <c r="AE764" s="580">
        <f t="shared" si="92"/>
        <v>2.5</v>
      </c>
      <c r="AF764" s="580">
        <f t="shared" si="93"/>
        <v>2.5</v>
      </c>
      <c r="AG764" s="580">
        <f t="shared" si="94"/>
        <v>0</v>
      </c>
      <c r="AH764" s="580">
        <f t="shared" si="95"/>
        <v>0</v>
      </c>
    </row>
    <row r="765" spans="28:34">
      <c r="AB765" s="580">
        <f>HLOOKUP("*"&amp;'Output annual'!$AC$2&amp;'Output annual'!$AD$2&amp;"*Zone People Number Of Occupants [](Hourly)",'Eplus results'!$1:$1048576,ROW(),FALSE)</f>
        <v>0</v>
      </c>
      <c r="AC765" s="580">
        <f>HLOOKUP("*"&amp;'Output annual'!$AC$2&amp;'Output annual'!$AD$2&amp;"*FangerPMV(Hourly)",'Eplus results'!$1:$1048576,ROW(),FALSE)</f>
        <v>0</v>
      </c>
      <c r="AD765" s="580">
        <f t="shared" si="91"/>
        <v>5</v>
      </c>
      <c r="AE765" s="580">
        <f t="shared" si="92"/>
        <v>2.5</v>
      </c>
      <c r="AF765" s="580">
        <f t="shared" si="93"/>
        <v>2.5</v>
      </c>
      <c r="AG765" s="580">
        <f t="shared" si="94"/>
        <v>0</v>
      </c>
      <c r="AH765" s="580">
        <f t="shared" si="95"/>
        <v>0</v>
      </c>
    </row>
    <row r="766" spans="28:34">
      <c r="AB766" s="580">
        <f>HLOOKUP("*"&amp;'Output annual'!$AC$2&amp;'Output annual'!$AD$2&amp;"*Zone People Number Of Occupants [](Hourly)",'Eplus results'!$1:$1048576,ROW(),FALSE)</f>
        <v>0</v>
      </c>
      <c r="AC766" s="580">
        <f>HLOOKUP("*"&amp;'Output annual'!$AC$2&amp;'Output annual'!$AD$2&amp;"*FangerPMV(Hourly)",'Eplus results'!$1:$1048576,ROW(),FALSE)</f>
        <v>0</v>
      </c>
      <c r="AD766" s="580">
        <f t="shared" si="91"/>
        <v>5</v>
      </c>
      <c r="AE766" s="580">
        <f t="shared" si="92"/>
        <v>2.5</v>
      </c>
      <c r="AF766" s="580">
        <f t="shared" si="93"/>
        <v>2.5</v>
      </c>
      <c r="AG766" s="580">
        <f t="shared" si="94"/>
        <v>0</v>
      </c>
      <c r="AH766" s="580">
        <f t="shared" si="95"/>
        <v>0</v>
      </c>
    </row>
    <row r="767" spans="28:34">
      <c r="AB767" s="580">
        <f>HLOOKUP("*"&amp;'Output annual'!$AC$2&amp;'Output annual'!$AD$2&amp;"*Zone People Number Of Occupants [](Hourly)",'Eplus results'!$1:$1048576,ROW(),FALSE)</f>
        <v>0</v>
      </c>
      <c r="AC767" s="580">
        <f>HLOOKUP("*"&amp;'Output annual'!$AC$2&amp;'Output annual'!$AD$2&amp;"*FangerPMV(Hourly)",'Eplus results'!$1:$1048576,ROW(),FALSE)</f>
        <v>0</v>
      </c>
      <c r="AD767" s="580">
        <f t="shared" si="91"/>
        <v>5</v>
      </c>
      <c r="AE767" s="580">
        <f t="shared" si="92"/>
        <v>2.5</v>
      </c>
      <c r="AF767" s="580">
        <f t="shared" si="93"/>
        <v>2.5</v>
      </c>
      <c r="AG767" s="580">
        <f t="shared" si="94"/>
        <v>0</v>
      </c>
      <c r="AH767" s="580">
        <f t="shared" si="95"/>
        <v>0</v>
      </c>
    </row>
    <row r="768" spans="28:34">
      <c r="AB768" s="580">
        <f>HLOOKUP("*"&amp;'Output annual'!$AC$2&amp;'Output annual'!$AD$2&amp;"*Zone People Number Of Occupants [](Hourly)",'Eplus results'!$1:$1048576,ROW(),FALSE)</f>
        <v>0</v>
      </c>
      <c r="AC768" s="580">
        <f>HLOOKUP("*"&amp;'Output annual'!$AC$2&amp;'Output annual'!$AD$2&amp;"*FangerPMV(Hourly)",'Eplus results'!$1:$1048576,ROW(),FALSE)</f>
        <v>0</v>
      </c>
      <c r="AD768" s="580">
        <f t="shared" si="91"/>
        <v>5</v>
      </c>
      <c r="AE768" s="580">
        <f t="shared" si="92"/>
        <v>2.5</v>
      </c>
      <c r="AF768" s="580">
        <f t="shared" si="93"/>
        <v>2.5</v>
      </c>
      <c r="AG768" s="580">
        <f t="shared" si="94"/>
        <v>0</v>
      </c>
      <c r="AH768" s="580">
        <f t="shared" si="95"/>
        <v>0</v>
      </c>
    </row>
    <row r="769" spans="28:34">
      <c r="AB769" s="580">
        <f>HLOOKUP("*"&amp;'Output annual'!$AC$2&amp;'Output annual'!$AD$2&amp;"*Zone People Number Of Occupants [](Hourly)",'Eplus results'!$1:$1048576,ROW(),FALSE)</f>
        <v>0</v>
      </c>
      <c r="AC769" s="580">
        <f>HLOOKUP("*"&amp;'Output annual'!$AC$2&amp;'Output annual'!$AD$2&amp;"*FangerPMV(Hourly)",'Eplus results'!$1:$1048576,ROW(),FALSE)</f>
        <v>0</v>
      </c>
      <c r="AD769" s="580">
        <f t="shared" si="91"/>
        <v>5</v>
      </c>
      <c r="AE769" s="580">
        <f t="shared" si="92"/>
        <v>2.5</v>
      </c>
      <c r="AF769" s="580">
        <f t="shared" si="93"/>
        <v>2.5</v>
      </c>
      <c r="AG769" s="580">
        <f t="shared" si="94"/>
        <v>0</v>
      </c>
      <c r="AH769" s="580">
        <f t="shared" si="95"/>
        <v>0</v>
      </c>
    </row>
    <row r="770" spans="28:34">
      <c r="AB770" s="580">
        <f>HLOOKUP("*"&amp;'Output annual'!$AC$2&amp;'Output annual'!$AD$2&amp;"*Zone People Number Of Occupants [](Hourly)",'Eplus results'!$1:$1048576,ROW(),FALSE)</f>
        <v>0</v>
      </c>
      <c r="AC770" s="580">
        <f>HLOOKUP("*"&amp;'Output annual'!$AC$2&amp;'Output annual'!$AD$2&amp;"*FangerPMV(Hourly)",'Eplus results'!$1:$1048576,ROW(),FALSE)</f>
        <v>0</v>
      </c>
      <c r="AD770" s="580">
        <f t="shared" si="91"/>
        <v>5</v>
      </c>
      <c r="AE770" s="580">
        <f t="shared" si="92"/>
        <v>2.5</v>
      </c>
      <c r="AF770" s="580">
        <f t="shared" si="93"/>
        <v>2.5</v>
      </c>
      <c r="AG770" s="580">
        <f t="shared" si="94"/>
        <v>0</v>
      </c>
      <c r="AH770" s="580">
        <f t="shared" si="95"/>
        <v>0</v>
      </c>
    </row>
    <row r="771" spans="28:34">
      <c r="AB771" s="580">
        <f>HLOOKUP("*"&amp;'Output annual'!$AC$2&amp;'Output annual'!$AD$2&amp;"*Zone People Number Of Occupants [](Hourly)",'Eplus results'!$1:$1048576,ROW(),FALSE)</f>
        <v>0</v>
      </c>
      <c r="AC771" s="580">
        <f>HLOOKUP("*"&amp;'Output annual'!$AC$2&amp;'Output annual'!$AD$2&amp;"*FangerPMV(Hourly)",'Eplus results'!$1:$1048576,ROW(),FALSE)</f>
        <v>0</v>
      </c>
      <c r="AD771" s="580">
        <f t="shared" ref="AD771:AD834" si="96">100-95*EXP(-0.03353*AC771^4-0.2179*AC771^2)</f>
        <v>5</v>
      </c>
      <c r="AE771" s="580">
        <f t="shared" ref="AE771:AE834" si="97">AD771*(1/(1+EXP(-6.3*$AC771)))</f>
        <v>2.5</v>
      </c>
      <c r="AF771" s="580">
        <f t="shared" ref="AF771:AF834" si="98">(AD771-AE771)</f>
        <v>2.5</v>
      </c>
      <c r="AG771" s="580">
        <f t="shared" ref="AG771:AG834" si="99">AE771*AB771</f>
        <v>0</v>
      </c>
      <c r="AH771" s="580">
        <f t="shared" ref="AH771:AH834" si="100">AF771*AB771</f>
        <v>0</v>
      </c>
    </row>
    <row r="772" spans="28:34">
      <c r="AB772" s="580">
        <f>HLOOKUP("*"&amp;'Output annual'!$AC$2&amp;'Output annual'!$AD$2&amp;"*Zone People Number Of Occupants [](Hourly)",'Eplus results'!$1:$1048576,ROW(),FALSE)</f>
        <v>0</v>
      </c>
      <c r="AC772" s="580">
        <f>HLOOKUP("*"&amp;'Output annual'!$AC$2&amp;'Output annual'!$AD$2&amp;"*FangerPMV(Hourly)",'Eplus results'!$1:$1048576,ROW(),FALSE)</f>
        <v>0</v>
      </c>
      <c r="AD772" s="580">
        <f t="shared" si="96"/>
        <v>5</v>
      </c>
      <c r="AE772" s="580">
        <f t="shared" si="97"/>
        <v>2.5</v>
      </c>
      <c r="AF772" s="580">
        <f t="shared" si="98"/>
        <v>2.5</v>
      </c>
      <c r="AG772" s="580">
        <f t="shared" si="99"/>
        <v>0</v>
      </c>
      <c r="AH772" s="580">
        <f t="shared" si="100"/>
        <v>0</v>
      </c>
    </row>
    <row r="773" spans="28:34">
      <c r="AB773" s="580">
        <f>HLOOKUP("*"&amp;'Output annual'!$AC$2&amp;'Output annual'!$AD$2&amp;"*Zone People Number Of Occupants [](Hourly)",'Eplus results'!$1:$1048576,ROW(),FALSE)</f>
        <v>0</v>
      </c>
      <c r="AC773" s="580">
        <f>HLOOKUP("*"&amp;'Output annual'!$AC$2&amp;'Output annual'!$AD$2&amp;"*FangerPMV(Hourly)",'Eplus results'!$1:$1048576,ROW(),FALSE)</f>
        <v>0</v>
      </c>
      <c r="AD773" s="580">
        <f t="shared" si="96"/>
        <v>5</v>
      </c>
      <c r="AE773" s="580">
        <f t="shared" si="97"/>
        <v>2.5</v>
      </c>
      <c r="AF773" s="580">
        <f t="shared" si="98"/>
        <v>2.5</v>
      </c>
      <c r="AG773" s="580">
        <f t="shared" si="99"/>
        <v>0</v>
      </c>
      <c r="AH773" s="580">
        <f t="shared" si="100"/>
        <v>0</v>
      </c>
    </row>
    <row r="774" spans="28:34">
      <c r="AB774" s="580">
        <f>HLOOKUP("*"&amp;'Output annual'!$AC$2&amp;'Output annual'!$AD$2&amp;"*Zone People Number Of Occupants [](Hourly)",'Eplus results'!$1:$1048576,ROW(),FALSE)</f>
        <v>0</v>
      </c>
      <c r="AC774" s="580">
        <f>HLOOKUP("*"&amp;'Output annual'!$AC$2&amp;'Output annual'!$AD$2&amp;"*FangerPMV(Hourly)",'Eplus results'!$1:$1048576,ROW(),FALSE)</f>
        <v>0</v>
      </c>
      <c r="AD774" s="580">
        <f t="shared" si="96"/>
        <v>5</v>
      </c>
      <c r="AE774" s="580">
        <f t="shared" si="97"/>
        <v>2.5</v>
      </c>
      <c r="AF774" s="580">
        <f t="shared" si="98"/>
        <v>2.5</v>
      </c>
      <c r="AG774" s="580">
        <f t="shared" si="99"/>
        <v>0</v>
      </c>
      <c r="AH774" s="580">
        <f t="shared" si="100"/>
        <v>0</v>
      </c>
    </row>
    <row r="775" spans="28:34">
      <c r="AB775" s="580">
        <f>HLOOKUP("*"&amp;'Output annual'!$AC$2&amp;'Output annual'!$AD$2&amp;"*Zone People Number Of Occupants [](Hourly)",'Eplus results'!$1:$1048576,ROW(),FALSE)</f>
        <v>0</v>
      </c>
      <c r="AC775" s="580">
        <f>HLOOKUP("*"&amp;'Output annual'!$AC$2&amp;'Output annual'!$AD$2&amp;"*FangerPMV(Hourly)",'Eplus results'!$1:$1048576,ROW(),FALSE)</f>
        <v>0</v>
      </c>
      <c r="AD775" s="580">
        <f t="shared" si="96"/>
        <v>5</v>
      </c>
      <c r="AE775" s="580">
        <f t="shared" si="97"/>
        <v>2.5</v>
      </c>
      <c r="AF775" s="580">
        <f t="shared" si="98"/>
        <v>2.5</v>
      </c>
      <c r="AG775" s="580">
        <f t="shared" si="99"/>
        <v>0</v>
      </c>
      <c r="AH775" s="580">
        <f t="shared" si="100"/>
        <v>0</v>
      </c>
    </row>
    <row r="776" spans="28:34">
      <c r="AB776" s="580">
        <f>HLOOKUP("*"&amp;'Output annual'!$AC$2&amp;'Output annual'!$AD$2&amp;"*Zone People Number Of Occupants [](Hourly)",'Eplus results'!$1:$1048576,ROW(),FALSE)</f>
        <v>0</v>
      </c>
      <c r="AC776" s="580">
        <f>HLOOKUP("*"&amp;'Output annual'!$AC$2&amp;'Output annual'!$AD$2&amp;"*FangerPMV(Hourly)",'Eplus results'!$1:$1048576,ROW(),FALSE)</f>
        <v>0</v>
      </c>
      <c r="AD776" s="580">
        <f t="shared" si="96"/>
        <v>5</v>
      </c>
      <c r="AE776" s="580">
        <f t="shared" si="97"/>
        <v>2.5</v>
      </c>
      <c r="AF776" s="580">
        <f t="shared" si="98"/>
        <v>2.5</v>
      </c>
      <c r="AG776" s="580">
        <f t="shared" si="99"/>
        <v>0</v>
      </c>
      <c r="AH776" s="580">
        <f t="shared" si="100"/>
        <v>0</v>
      </c>
    </row>
    <row r="777" spans="28:34">
      <c r="AB777" s="580">
        <f>HLOOKUP("*"&amp;'Output annual'!$AC$2&amp;'Output annual'!$AD$2&amp;"*Zone People Number Of Occupants [](Hourly)",'Eplus results'!$1:$1048576,ROW(),FALSE)</f>
        <v>0</v>
      </c>
      <c r="AC777" s="580">
        <f>HLOOKUP("*"&amp;'Output annual'!$AC$2&amp;'Output annual'!$AD$2&amp;"*FangerPMV(Hourly)",'Eplus results'!$1:$1048576,ROW(),FALSE)</f>
        <v>0</v>
      </c>
      <c r="AD777" s="580">
        <f t="shared" si="96"/>
        <v>5</v>
      </c>
      <c r="AE777" s="580">
        <f t="shared" si="97"/>
        <v>2.5</v>
      </c>
      <c r="AF777" s="580">
        <f t="shared" si="98"/>
        <v>2.5</v>
      </c>
      <c r="AG777" s="580">
        <f t="shared" si="99"/>
        <v>0</v>
      </c>
      <c r="AH777" s="580">
        <f t="shared" si="100"/>
        <v>0</v>
      </c>
    </row>
    <row r="778" spans="28:34">
      <c r="AB778" s="580">
        <f>HLOOKUP("*"&amp;'Output annual'!$AC$2&amp;'Output annual'!$AD$2&amp;"*Zone People Number Of Occupants [](Hourly)",'Eplus results'!$1:$1048576,ROW(),FALSE)</f>
        <v>0</v>
      </c>
      <c r="AC778" s="580">
        <f>HLOOKUP("*"&amp;'Output annual'!$AC$2&amp;'Output annual'!$AD$2&amp;"*FangerPMV(Hourly)",'Eplus results'!$1:$1048576,ROW(),FALSE)</f>
        <v>0</v>
      </c>
      <c r="AD778" s="580">
        <f t="shared" si="96"/>
        <v>5</v>
      </c>
      <c r="AE778" s="580">
        <f t="shared" si="97"/>
        <v>2.5</v>
      </c>
      <c r="AF778" s="580">
        <f t="shared" si="98"/>
        <v>2.5</v>
      </c>
      <c r="AG778" s="580">
        <f t="shared" si="99"/>
        <v>0</v>
      </c>
      <c r="AH778" s="580">
        <f t="shared" si="100"/>
        <v>0</v>
      </c>
    </row>
    <row r="779" spans="28:34">
      <c r="AB779" s="580">
        <f>HLOOKUP("*"&amp;'Output annual'!$AC$2&amp;'Output annual'!$AD$2&amp;"*Zone People Number Of Occupants [](Hourly)",'Eplus results'!$1:$1048576,ROW(),FALSE)</f>
        <v>0</v>
      </c>
      <c r="AC779" s="580">
        <f>HLOOKUP("*"&amp;'Output annual'!$AC$2&amp;'Output annual'!$AD$2&amp;"*FangerPMV(Hourly)",'Eplus results'!$1:$1048576,ROW(),FALSE)</f>
        <v>0</v>
      </c>
      <c r="AD779" s="580">
        <f t="shared" si="96"/>
        <v>5</v>
      </c>
      <c r="AE779" s="580">
        <f t="shared" si="97"/>
        <v>2.5</v>
      </c>
      <c r="AF779" s="580">
        <f t="shared" si="98"/>
        <v>2.5</v>
      </c>
      <c r="AG779" s="580">
        <f t="shared" si="99"/>
        <v>0</v>
      </c>
      <c r="AH779" s="580">
        <f t="shared" si="100"/>
        <v>0</v>
      </c>
    </row>
    <row r="780" spans="28:34">
      <c r="AB780" s="580">
        <f>HLOOKUP("*"&amp;'Output annual'!$AC$2&amp;'Output annual'!$AD$2&amp;"*Zone People Number Of Occupants [](Hourly)",'Eplus results'!$1:$1048576,ROW(),FALSE)</f>
        <v>0</v>
      </c>
      <c r="AC780" s="580">
        <f>HLOOKUP("*"&amp;'Output annual'!$AC$2&amp;'Output annual'!$AD$2&amp;"*FangerPMV(Hourly)",'Eplus results'!$1:$1048576,ROW(),FALSE)</f>
        <v>0</v>
      </c>
      <c r="AD780" s="580">
        <f t="shared" si="96"/>
        <v>5</v>
      </c>
      <c r="AE780" s="580">
        <f t="shared" si="97"/>
        <v>2.5</v>
      </c>
      <c r="AF780" s="580">
        <f t="shared" si="98"/>
        <v>2.5</v>
      </c>
      <c r="AG780" s="580">
        <f t="shared" si="99"/>
        <v>0</v>
      </c>
      <c r="AH780" s="580">
        <f t="shared" si="100"/>
        <v>0</v>
      </c>
    </row>
    <row r="781" spans="28:34">
      <c r="AB781" s="580">
        <f>HLOOKUP("*"&amp;'Output annual'!$AC$2&amp;'Output annual'!$AD$2&amp;"*Zone People Number Of Occupants [](Hourly)",'Eplus results'!$1:$1048576,ROW(),FALSE)</f>
        <v>0</v>
      </c>
      <c r="AC781" s="580">
        <f>HLOOKUP("*"&amp;'Output annual'!$AC$2&amp;'Output annual'!$AD$2&amp;"*FangerPMV(Hourly)",'Eplus results'!$1:$1048576,ROW(),FALSE)</f>
        <v>0</v>
      </c>
      <c r="AD781" s="580">
        <f t="shared" si="96"/>
        <v>5</v>
      </c>
      <c r="AE781" s="580">
        <f t="shared" si="97"/>
        <v>2.5</v>
      </c>
      <c r="AF781" s="580">
        <f t="shared" si="98"/>
        <v>2.5</v>
      </c>
      <c r="AG781" s="580">
        <f t="shared" si="99"/>
        <v>0</v>
      </c>
      <c r="AH781" s="580">
        <f t="shared" si="100"/>
        <v>0</v>
      </c>
    </row>
    <row r="782" spans="28:34">
      <c r="AB782" s="580">
        <f>HLOOKUP("*"&amp;'Output annual'!$AC$2&amp;'Output annual'!$AD$2&amp;"*Zone People Number Of Occupants [](Hourly)",'Eplus results'!$1:$1048576,ROW(),FALSE)</f>
        <v>0</v>
      </c>
      <c r="AC782" s="580">
        <f>HLOOKUP("*"&amp;'Output annual'!$AC$2&amp;'Output annual'!$AD$2&amp;"*FangerPMV(Hourly)",'Eplus results'!$1:$1048576,ROW(),FALSE)</f>
        <v>0</v>
      </c>
      <c r="AD782" s="580">
        <f t="shared" si="96"/>
        <v>5</v>
      </c>
      <c r="AE782" s="580">
        <f t="shared" si="97"/>
        <v>2.5</v>
      </c>
      <c r="AF782" s="580">
        <f t="shared" si="98"/>
        <v>2.5</v>
      </c>
      <c r="AG782" s="580">
        <f t="shared" si="99"/>
        <v>0</v>
      </c>
      <c r="AH782" s="580">
        <f t="shared" si="100"/>
        <v>0</v>
      </c>
    </row>
    <row r="783" spans="28:34">
      <c r="AB783" s="580">
        <f>HLOOKUP("*"&amp;'Output annual'!$AC$2&amp;'Output annual'!$AD$2&amp;"*Zone People Number Of Occupants [](Hourly)",'Eplus results'!$1:$1048576,ROW(),FALSE)</f>
        <v>0</v>
      </c>
      <c r="AC783" s="580">
        <f>HLOOKUP("*"&amp;'Output annual'!$AC$2&amp;'Output annual'!$AD$2&amp;"*FangerPMV(Hourly)",'Eplus results'!$1:$1048576,ROW(),FALSE)</f>
        <v>0</v>
      </c>
      <c r="AD783" s="580">
        <f t="shared" si="96"/>
        <v>5</v>
      </c>
      <c r="AE783" s="580">
        <f t="shared" si="97"/>
        <v>2.5</v>
      </c>
      <c r="AF783" s="580">
        <f t="shared" si="98"/>
        <v>2.5</v>
      </c>
      <c r="AG783" s="580">
        <f t="shared" si="99"/>
        <v>0</v>
      </c>
      <c r="AH783" s="580">
        <f t="shared" si="100"/>
        <v>0</v>
      </c>
    </row>
    <row r="784" spans="28:34">
      <c r="AB784" s="580">
        <f>HLOOKUP("*"&amp;'Output annual'!$AC$2&amp;'Output annual'!$AD$2&amp;"*Zone People Number Of Occupants [](Hourly)",'Eplus results'!$1:$1048576,ROW(),FALSE)</f>
        <v>0</v>
      </c>
      <c r="AC784" s="580">
        <f>HLOOKUP("*"&amp;'Output annual'!$AC$2&amp;'Output annual'!$AD$2&amp;"*FangerPMV(Hourly)",'Eplus results'!$1:$1048576,ROW(),FALSE)</f>
        <v>0</v>
      </c>
      <c r="AD784" s="580">
        <f t="shared" si="96"/>
        <v>5</v>
      </c>
      <c r="AE784" s="580">
        <f t="shared" si="97"/>
        <v>2.5</v>
      </c>
      <c r="AF784" s="580">
        <f t="shared" si="98"/>
        <v>2.5</v>
      </c>
      <c r="AG784" s="580">
        <f t="shared" si="99"/>
        <v>0</v>
      </c>
      <c r="AH784" s="580">
        <f t="shared" si="100"/>
        <v>0</v>
      </c>
    </row>
    <row r="785" spans="28:34">
      <c r="AB785" s="580">
        <f>HLOOKUP("*"&amp;'Output annual'!$AC$2&amp;'Output annual'!$AD$2&amp;"*Zone People Number Of Occupants [](Hourly)",'Eplus results'!$1:$1048576,ROW(),FALSE)</f>
        <v>0</v>
      </c>
      <c r="AC785" s="580">
        <f>HLOOKUP("*"&amp;'Output annual'!$AC$2&amp;'Output annual'!$AD$2&amp;"*FangerPMV(Hourly)",'Eplus results'!$1:$1048576,ROW(),FALSE)</f>
        <v>0</v>
      </c>
      <c r="AD785" s="580">
        <f t="shared" si="96"/>
        <v>5</v>
      </c>
      <c r="AE785" s="580">
        <f t="shared" si="97"/>
        <v>2.5</v>
      </c>
      <c r="AF785" s="580">
        <f t="shared" si="98"/>
        <v>2.5</v>
      </c>
      <c r="AG785" s="580">
        <f t="shared" si="99"/>
        <v>0</v>
      </c>
      <c r="AH785" s="580">
        <f t="shared" si="100"/>
        <v>0</v>
      </c>
    </row>
    <row r="786" spans="28:34">
      <c r="AB786" s="580">
        <f>HLOOKUP("*"&amp;'Output annual'!$AC$2&amp;'Output annual'!$AD$2&amp;"*Zone People Number Of Occupants [](Hourly)",'Eplus results'!$1:$1048576,ROW(),FALSE)</f>
        <v>0</v>
      </c>
      <c r="AC786" s="580">
        <f>HLOOKUP("*"&amp;'Output annual'!$AC$2&amp;'Output annual'!$AD$2&amp;"*FangerPMV(Hourly)",'Eplus results'!$1:$1048576,ROW(),FALSE)</f>
        <v>0</v>
      </c>
      <c r="AD786" s="580">
        <f t="shared" si="96"/>
        <v>5</v>
      </c>
      <c r="AE786" s="580">
        <f t="shared" si="97"/>
        <v>2.5</v>
      </c>
      <c r="AF786" s="580">
        <f t="shared" si="98"/>
        <v>2.5</v>
      </c>
      <c r="AG786" s="580">
        <f t="shared" si="99"/>
        <v>0</v>
      </c>
      <c r="AH786" s="580">
        <f t="shared" si="100"/>
        <v>0</v>
      </c>
    </row>
    <row r="787" spans="28:34">
      <c r="AB787" s="580">
        <f>HLOOKUP("*"&amp;'Output annual'!$AC$2&amp;'Output annual'!$AD$2&amp;"*Zone People Number Of Occupants [](Hourly)",'Eplus results'!$1:$1048576,ROW(),FALSE)</f>
        <v>0</v>
      </c>
      <c r="AC787" s="580">
        <f>HLOOKUP("*"&amp;'Output annual'!$AC$2&amp;'Output annual'!$AD$2&amp;"*FangerPMV(Hourly)",'Eplus results'!$1:$1048576,ROW(),FALSE)</f>
        <v>0</v>
      </c>
      <c r="AD787" s="580">
        <f t="shared" si="96"/>
        <v>5</v>
      </c>
      <c r="AE787" s="580">
        <f t="shared" si="97"/>
        <v>2.5</v>
      </c>
      <c r="AF787" s="580">
        <f t="shared" si="98"/>
        <v>2.5</v>
      </c>
      <c r="AG787" s="580">
        <f t="shared" si="99"/>
        <v>0</v>
      </c>
      <c r="AH787" s="580">
        <f t="shared" si="100"/>
        <v>0</v>
      </c>
    </row>
    <row r="788" spans="28:34">
      <c r="AB788" s="580">
        <f>HLOOKUP("*"&amp;'Output annual'!$AC$2&amp;'Output annual'!$AD$2&amp;"*Zone People Number Of Occupants [](Hourly)",'Eplus results'!$1:$1048576,ROW(),FALSE)</f>
        <v>0</v>
      </c>
      <c r="AC788" s="580">
        <f>HLOOKUP("*"&amp;'Output annual'!$AC$2&amp;'Output annual'!$AD$2&amp;"*FangerPMV(Hourly)",'Eplus results'!$1:$1048576,ROW(),FALSE)</f>
        <v>0</v>
      </c>
      <c r="AD788" s="580">
        <f t="shared" si="96"/>
        <v>5</v>
      </c>
      <c r="AE788" s="580">
        <f t="shared" si="97"/>
        <v>2.5</v>
      </c>
      <c r="AF788" s="580">
        <f t="shared" si="98"/>
        <v>2.5</v>
      </c>
      <c r="AG788" s="580">
        <f t="shared" si="99"/>
        <v>0</v>
      </c>
      <c r="AH788" s="580">
        <f t="shared" si="100"/>
        <v>0</v>
      </c>
    </row>
    <row r="789" spans="28:34">
      <c r="AB789" s="580">
        <f>HLOOKUP("*"&amp;'Output annual'!$AC$2&amp;'Output annual'!$AD$2&amp;"*Zone People Number Of Occupants [](Hourly)",'Eplus results'!$1:$1048576,ROW(),FALSE)</f>
        <v>0</v>
      </c>
      <c r="AC789" s="580">
        <f>HLOOKUP("*"&amp;'Output annual'!$AC$2&amp;'Output annual'!$AD$2&amp;"*FangerPMV(Hourly)",'Eplus results'!$1:$1048576,ROW(),FALSE)</f>
        <v>0</v>
      </c>
      <c r="AD789" s="580">
        <f t="shared" si="96"/>
        <v>5</v>
      </c>
      <c r="AE789" s="580">
        <f t="shared" si="97"/>
        <v>2.5</v>
      </c>
      <c r="AF789" s="580">
        <f t="shared" si="98"/>
        <v>2.5</v>
      </c>
      <c r="AG789" s="580">
        <f t="shared" si="99"/>
        <v>0</v>
      </c>
      <c r="AH789" s="580">
        <f t="shared" si="100"/>
        <v>0</v>
      </c>
    </row>
    <row r="790" spans="28:34">
      <c r="AB790" s="580">
        <f>HLOOKUP("*"&amp;'Output annual'!$AC$2&amp;'Output annual'!$AD$2&amp;"*Zone People Number Of Occupants [](Hourly)",'Eplus results'!$1:$1048576,ROW(),FALSE)</f>
        <v>0</v>
      </c>
      <c r="AC790" s="580">
        <f>HLOOKUP("*"&amp;'Output annual'!$AC$2&amp;'Output annual'!$AD$2&amp;"*FangerPMV(Hourly)",'Eplus results'!$1:$1048576,ROW(),FALSE)</f>
        <v>0</v>
      </c>
      <c r="AD790" s="580">
        <f t="shared" si="96"/>
        <v>5</v>
      </c>
      <c r="AE790" s="580">
        <f t="shared" si="97"/>
        <v>2.5</v>
      </c>
      <c r="AF790" s="580">
        <f t="shared" si="98"/>
        <v>2.5</v>
      </c>
      <c r="AG790" s="580">
        <f t="shared" si="99"/>
        <v>0</v>
      </c>
      <c r="AH790" s="580">
        <f t="shared" si="100"/>
        <v>0</v>
      </c>
    </row>
    <row r="791" spans="28:34">
      <c r="AB791" s="580">
        <f>HLOOKUP("*"&amp;'Output annual'!$AC$2&amp;'Output annual'!$AD$2&amp;"*Zone People Number Of Occupants [](Hourly)",'Eplus results'!$1:$1048576,ROW(),FALSE)</f>
        <v>0</v>
      </c>
      <c r="AC791" s="580">
        <f>HLOOKUP("*"&amp;'Output annual'!$AC$2&amp;'Output annual'!$AD$2&amp;"*FangerPMV(Hourly)",'Eplus results'!$1:$1048576,ROW(),FALSE)</f>
        <v>0</v>
      </c>
      <c r="AD791" s="580">
        <f t="shared" si="96"/>
        <v>5</v>
      </c>
      <c r="AE791" s="580">
        <f t="shared" si="97"/>
        <v>2.5</v>
      </c>
      <c r="AF791" s="580">
        <f t="shared" si="98"/>
        <v>2.5</v>
      </c>
      <c r="AG791" s="580">
        <f t="shared" si="99"/>
        <v>0</v>
      </c>
      <c r="AH791" s="580">
        <f t="shared" si="100"/>
        <v>0</v>
      </c>
    </row>
    <row r="792" spans="28:34">
      <c r="AB792" s="580">
        <f>HLOOKUP("*"&amp;'Output annual'!$AC$2&amp;'Output annual'!$AD$2&amp;"*Zone People Number Of Occupants [](Hourly)",'Eplus results'!$1:$1048576,ROW(),FALSE)</f>
        <v>0</v>
      </c>
      <c r="AC792" s="580">
        <f>HLOOKUP("*"&amp;'Output annual'!$AC$2&amp;'Output annual'!$AD$2&amp;"*FangerPMV(Hourly)",'Eplus results'!$1:$1048576,ROW(),FALSE)</f>
        <v>0</v>
      </c>
      <c r="AD792" s="580">
        <f t="shared" si="96"/>
        <v>5</v>
      </c>
      <c r="AE792" s="580">
        <f t="shared" si="97"/>
        <v>2.5</v>
      </c>
      <c r="AF792" s="580">
        <f t="shared" si="98"/>
        <v>2.5</v>
      </c>
      <c r="AG792" s="580">
        <f t="shared" si="99"/>
        <v>0</v>
      </c>
      <c r="AH792" s="580">
        <f t="shared" si="100"/>
        <v>0</v>
      </c>
    </row>
    <row r="793" spans="28:34">
      <c r="AB793" s="580">
        <f>HLOOKUP("*"&amp;'Output annual'!$AC$2&amp;'Output annual'!$AD$2&amp;"*Zone People Number Of Occupants [](Hourly)",'Eplus results'!$1:$1048576,ROW(),FALSE)</f>
        <v>0</v>
      </c>
      <c r="AC793" s="580">
        <f>HLOOKUP("*"&amp;'Output annual'!$AC$2&amp;'Output annual'!$AD$2&amp;"*FangerPMV(Hourly)",'Eplus results'!$1:$1048576,ROW(),FALSE)</f>
        <v>0</v>
      </c>
      <c r="AD793" s="580">
        <f t="shared" si="96"/>
        <v>5</v>
      </c>
      <c r="AE793" s="580">
        <f t="shared" si="97"/>
        <v>2.5</v>
      </c>
      <c r="AF793" s="580">
        <f t="shared" si="98"/>
        <v>2.5</v>
      </c>
      <c r="AG793" s="580">
        <f t="shared" si="99"/>
        <v>0</v>
      </c>
      <c r="AH793" s="580">
        <f t="shared" si="100"/>
        <v>0</v>
      </c>
    </row>
    <row r="794" spans="28:34">
      <c r="AB794" s="580">
        <f>HLOOKUP("*"&amp;'Output annual'!$AC$2&amp;'Output annual'!$AD$2&amp;"*Zone People Number Of Occupants [](Hourly)",'Eplus results'!$1:$1048576,ROW(),FALSE)</f>
        <v>0</v>
      </c>
      <c r="AC794" s="580">
        <f>HLOOKUP("*"&amp;'Output annual'!$AC$2&amp;'Output annual'!$AD$2&amp;"*FangerPMV(Hourly)",'Eplus results'!$1:$1048576,ROW(),FALSE)</f>
        <v>0</v>
      </c>
      <c r="AD794" s="580">
        <f t="shared" si="96"/>
        <v>5</v>
      </c>
      <c r="AE794" s="580">
        <f t="shared" si="97"/>
        <v>2.5</v>
      </c>
      <c r="AF794" s="580">
        <f t="shared" si="98"/>
        <v>2.5</v>
      </c>
      <c r="AG794" s="580">
        <f t="shared" si="99"/>
        <v>0</v>
      </c>
      <c r="AH794" s="580">
        <f t="shared" si="100"/>
        <v>0</v>
      </c>
    </row>
    <row r="795" spans="28:34">
      <c r="AB795" s="580">
        <f>HLOOKUP("*"&amp;'Output annual'!$AC$2&amp;'Output annual'!$AD$2&amp;"*Zone People Number Of Occupants [](Hourly)",'Eplus results'!$1:$1048576,ROW(),FALSE)</f>
        <v>0</v>
      </c>
      <c r="AC795" s="580">
        <f>HLOOKUP("*"&amp;'Output annual'!$AC$2&amp;'Output annual'!$AD$2&amp;"*FangerPMV(Hourly)",'Eplus results'!$1:$1048576,ROW(),FALSE)</f>
        <v>0</v>
      </c>
      <c r="AD795" s="580">
        <f t="shared" si="96"/>
        <v>5</v>
      </c>
      <c r="AE795" s="580">
        <f t="shared" si="97"/>
        <v>2.5</v>
      </c>
      <c r="AF795" s="580">
        <f t="shared" si="98"/>
        <v>2.5</v>
      </c>
      <c r="AG795" s="580">
        <f t="shared" si="99"/>
        <v>0</v>
      </c>
      <c r="AH795" s="580">
        <f t="shared" si="100"/>
        <v>0</v>
      </c>
    </row>
    <row r="796" spans="28:34">
      <c r="AB796" s="580">
        <f>HLOOKUP("*"&amp;'Output annual'!$AC$2&amp;'Output annual'!$AD$2&amp;"*Zone People Number Of Occupants [](Hourly)",'Eplus results'!$1:$1048576,ROW(),FALSE)</f>
        <v>0</v>
      </c>
      <c r="AC796" s="580">
        <f>HLOOKUP("*"&amp;'Output annual'!$AC$2&amp;'Output annual'!$AD$2&amp;"*FangerPMV(Hourly)",'Eplus results'!$1:$1048576,ROW(),FALSE)</f>
        <v>0</v>
      </c>
      <c r="AD796" s="580">
        <f t="shared" si="96"/>
        <v>5</v>
      </c>
      <c r="AE796" s="580">
        <f t="shared" si="97"/>
        <v>2.5</v>
      </c>
      <c r="AF796" s="580">
        <f t="shared" si="98"/>
        <v>2.5</v>
      </c>
      <c r="AG796" s="580">
        <f t="shared" si="99"/>
        <v>0</v>
      </c>
      <c r="AH796" s="580">
        <f t="shared" si="100"/>
        <v>0</v>
      </c>
    </row>
    <row r="797" spans="28:34">
      <c r="AB797" s="580">
        <f>HLOOKUP("*"&amp;'Output annual'!$AC$2&amp;'Output annual'!$AD$2&amp;"*Zone People Number Of Occupants [](Hourly)",'Eplus results'!$1:$1048576,ROW(),FALSE)</f>
        <v>0</v>
      </c>
      <c r="AC797" s="580">
        <f>HLOOKUP("*"&amp;'Output annual'!$AC$2&amp;'Output annual'!$AD$2&amp;"*FangerPMV(Hourly)",'Eplus results'!$1:$1048576,ROW(),FALSE)</f>
        <v>0</v>
      </c>
      <c r="AD797" s="580">
        <f t="shared" si="96"/>
        <v>5</v>
      </c>
      <c r="AE797" s="580">
        <f t="shared" si="97"/>
        <v>2.5</v>
      </c>
      <c r="AF797" s="580">
        <f t="shared" si="98"/>
        <v>2.5</v>
      </c>
      <c r="AG797" s="580">
        <f t="shared" si="99"/>
        <v>0</v>
      </c>
      <c r="AH797" s="580">
        <f t="shared" si="100"/>
        <v>0</v>
      </c>
    </row>
    <row r="798" spans="28:34">
      <c r="AB798" s="580">
        <f>HLOOKUP("*"&amp;'Output annual'!$AC$2&amp;'Output annual'!$AD$2&amp;"*Zone People Number Of Occupants [](Hourly)",'Eplus results'!$1:$1048576,ROW(),FALSE)</f>
        <v>0</v>
      </c>
      <c r="AC798" s="580">
        <f>HLOOKUP("*"&amp;'Output annual'!$AC$2&amp;'Output annual'!$AD$2&amp;"*FangerPMV(Hourly)",'Eplus results'!$1:$1048576,ROW(),FALSE)</f>
        <v>0</v>
      </c>
      <c r="AD798" s="580">
        <f t="shared" si="96"/>
        <v>5</v>
      </c>
      <c r="AE798" s="580">
        <f t="shared" si="97"/>
        <v>2.5</v>
      </c>
      <c r="AF798" s="580">
        <f t="shared" si="98"/>
        <v>2.5</v>
      </c>
      <c r="AG798" s="580">
        <f t="shared" si="99"/>
        <v>0</v>
      </c>
      <c r="AH798" s="580">
        <f t="shared" si="100"/>
        <v>0</v>
      </c>
    </row>
    <row r="799" spans="28:34">
      <c r="AB799" s="580">
        <f>HLOOKUP("*"&amp;'Output annual'!$AC$2&amp;'Output annual'!$AD$2&amp;"*Zone People Number Of Occupants [](Hourly)",'Eplus results'!$1:$1048576,ROW(),FALSE)</f>
        <v>0</v>
      </c>
      <c r="AC799" s="580">
        <f>HLOOKUP("*"&amp;'Output annual'!$AC$2&amp;'Output annual'!$AD$2&amp;"*FangerPMV(Hourly)",'Eplus results'!$1:$1048576,ROW(),FALSE)</f>
        <v>0</v>
      </c>
      <c r="AD799" s="580">
        <f t="shared" si="96"/>
        <v>5</v>
      </c>
      <c r="AE799" s="580">
        <f t="shared" si="97"/>
        <v>2.5</v>
      </c>
      <c r="AF799" s="580">
        <f t="shared" si="98"/>
        <v>2.5</v>
      </c>
      <c r="AG799" s="580">
        <f t="shared" si="99"/>
        <v>0</v>
      </c>
      <c r="AH799" s="580">
        <f t="shared" si="100"/>
        <v>0</v>
      </c>
    </row>
    <row r="800" spans="28:34">
      <c r="AB800" s="580">
        <f>HLOOKUP("*"&amp;'Output annual'!$AC$2&amp;'Output annual'!$AD$2&amp;"*Zone People Number Of Occupants [](Hourly)",'Eplus results'!$1:$1048576,ROW(),FALSE)</f>
        <v>0</v>
      </c>
      <c r="AC800" s="580">
        <f>HLOOKUP("*"&amp;'Output annual'!$AC$2&amp;'Output annual'!$AD$2&amp;"*FangerPMV(Hourly)",'Eplus results'!$1:$1048576,ROW(),FALSE)</f>
        <v>0</v>
      </c>
      <c r="AD800" s="580">
        <f t="shared" si="96"/>
        <v>5</v>
      </c>
      <c r="AE800" s="580">
        <f t="shared" si="97"/>
        <v>2.5</v>
      </c>
      <c r="AF800" s="580">
        <f t="shared" si="98"/>
        <v>2.5</v>
      </c>
      <c r="AG800" s="580">
        <f t="shared" si="99"/>
        <v>0</v>
      </c>
      <c r="AH800" s="580">
        <f t="shared" si="100"/>
        <v>0</v>
      </c>
    </row>
    <row r="801" spans="28:34">
      <c r="AB801" s="580">
        <f>HLOOKUP("*"&amp;'Output annual'!$AC$2&amp;'Output annual'!$AD$2&amp;"*Zone People Number Of Occupants [](Hourly)",'Eplus results'!$1:$1048576,ROW(),FALSE)</f>
        <v>0</v>
      </c>
      <c r="AC801" s="580">
        <f>HLOOKUP("*"&amp;'Output annual'!$AC$2&amp;'Output annual'!$AD$2&amp;"*FangerPMV(Hourly)",'Eplus results'!$1:$1048576,ROW(),FALSE)</f>
        <v>0</v>
      </c>
      <c r="AD801" s="580">
        <f t="shared" si="96"/>
        <v>5</v>
      </c>
      <c r="AE801" s="580">
        <f t="shared" si="97"/>
        <v>2.5</v>
      </c>
      <c r="AF801" s="580">
        <f t="shared" si="98"/>
        <v>2.5</v>
      </c>
      <c r="AG801" s="580">
        <f t="shared" si="99"/>
        <v>0</v>
      </c>
      <c r="AH801" s="580">
        <f t="shared" si="100"/>
        <v>0</v>
      </c>
    </row>
    <row r="802" spans="28:34">
      <c r="AB802" s="580">
        <f>HLOOKUP("*"&amp;'Output annual'!$AC$2&amp;'Output annual'!$AD$2&amp;"*Zone People Number Of Occupants [](Hourly)",'Eplus results'!$1:$1048576,ROW(),FALSE)</f>
        <v>0</v>
      </c>
      <c r="AC802" s="580">
        <f>HLOOKUP("*"&amp;'Output annual'!$AC$2&amp;'Output annual'!$AD$2&amp;"*FangerPMV(Hourly)",'Eplus results'!$1:$1048576,ROW(),FALSE)</f>
        <v>0</v>
      </c>
      <c r="AD802" s="580">
        <f t="shared" si="96"/>
        <v>5</v>
      </c>
      <c r="AE802" s="580">
        <f t="shared" si="97"/>
        <v>2.5</v>
      </c>
      <c r="AF802" s="580">
        <f t="shared" si="98"/>
        <v>2.5</v>
      </c>
      <c r="AG802" s="580">
        <f t="shared" si="99"/>
        <v>0</v>
      </c>
      <c r="AH802" s="580">
        <f t="shared" si="100"/>
        <v>0</v>
      </c>
    </row>
    <row r="803" spans="28:34">
      <c r="AB803" s="580">
        <f>HLOOKUP("*"&amp;'Output annual'!$AC$2&amp;'Output annual'!$AD$2&amp;"*Zone People Number Of Occupants [](Hourly)",'Eplus results'!$1:$1048576,ROW(),FALSE)</f>
        <v>0</v>
      </c>
      <c r="AC803" s="580">
        <f>HLOOKUP("*"&amp;'Output annual'!$AC$2&amp;'Output annual'!$AD$2&amp;"*FangerPMV(Hourly)",'Eplus results'!$1:$1048576,ROW(),FALSE)</f>
        <v>0</v>
      </c>
      <c r="AD803" s="580">
        <f t="shared" si="96"/>
        <v>5</v>
      </c>
      <c r="AE803" s="580">
        <f t="shared" si="97"/>
        <v>2.5</v>
      </c>
      <c r="AF803" s="580">
        <f t="shared" si="98"/>
        <v>2.5</v>
      </c>
      <c r="AG803" s="580">
        <f t="shared" si="99"/>
        <v>0</v>
      </c>
      <c r="AH803" s="580">
        <f t="shared" si="100"/>
        <v>0</v>
      </c>
    </row>
    <row r="804" spans="28:34">
      <c r="AB804" s="580">
        <f>HLOOKUP("*"&amp;'Output annual'!$AC$2&amp;'Output annual'!$AD$2&amp;"*Zone People Number Of Occupants [](Hourly)",'Eplus results'!$1:$1048576,ROW(),FALSE)</f>
        <v>0</v>
      </c>
      <c r="AC804" s="580">
        <f>HLOOKUP("*"&amp;'Output annual'!$AC$2&amp;'Output annual'!$AD$2&amp;"*FangerPMV(Hourly)",'Eplus results'!$1:$1048576,ROW(),FALSE)</f>
        <v>0</v>
      </c>
      <c r="AD804" s="580">
        <f t="shared" si="96"/>
        <v>5</v>
      </c>
      <c r="AE804" s="580">
        <f t="shared" si="97"/>
        <v>2.5</v>
      </c>
      <c r="AF804" s="580">
        <f t="shared" si="98"/>
        <v>2.5</v>
      </c>
      <c r="AG804" s="580">
        <f t="shared" si="99"/>
        <v>0</v>
      </c>
      <c r="AH804" s="580">
        <f t="shared" si="100"/>
        <v>0</v>
      </c>
    </row>
    <row r="805" spans="28:34">
      <c r="AB805" s="580">
        <f>HLOOKUP("*"&amp;'Output annual'!$AC$2&amp;'Output annual'!$AD$2&amp;"*Zone People Number Of Occupants [](Hourly)",'Eplus results'!$1:$1048576,ROW(),FALSE)</f>
        <v>0</v>
      </c>
      <c r="AC805" s="580">
        <f>HLOOKUP("*"&amp;'Output annual'!$AC$2&amp;'Output annual'!$AD$2&amp;"*FangerPMV(Hourly)",'Eplus results'!$1:$1048576,ROW(),FALSE)</f>
        <v>0</v>
      </c>
      <c r="AD805" s="580">
        <f t="shared" si="96"/>
        <v>5</v>
      </c>
      <c r="AE805" s="580">
        <f t="shared" si="97"/>
        <v>2.5</v>
      </c>
      <c r="AF805" s="580">
        <f t="shared" si="98"/>
        <v>2.5</v>
      </c>
      <c r="AG805" s="580">
        <f t="shared" si="99"/>
        <v>0</v>
      </c>
      <c r="AH805" s="580">
        <f t="shared" si="100"/>
        <v>0</v>
      </c>
    </row>
    <row r="806" spans="28:34">
      <c r="AB806" s="580">
        <f>HLOOKUP("*"&amp;'Output annual'!$AC$2&amp;'Output annual'!$AD$2&amp;"*Zone People Number Of Occupants [](Hourly)",'Eplus results'!$1:$1048576,ROW(),FALSE)</f>
        <v>0</v>
      </c>
      <c r="AC806" s="580">
        <f>HLOOKUP("*"&amp;'Output annual'!$AC$2&amp;'Output annual'!$AD$2&amp;"*FangerPMV(Hourly)",'Eplus results'!$1:$1048576,ROW(),FALSE)</f>
        <v>0</v>
      </c>
      <c r="AD806" s="580">
        <f t="shared" si="96"/>
        <v>5</v>
      </c>
      <c r="AE806" s="580">
        <f t="shared" si="97"/>
        <v>2.5</v>
      </c>
      <c r="AF806" s="580">
        <f t="shared" si="98"/>
        <v>2.5</v>
      </c>
      <c r="AG806" s="580">
        <f t="shared" si="99"/>
        <v>0</v>
      </c>
      <c r="AH806" s="580">
        <f t="shared" si="100"/>
        <v>0</v>
      </c>
    </row>
    <row r="807" spans="28:34">
      <c r="AB807" s="580">
        <f>HLOOKUP("*"&amp;'Output annual'!$AC$2&amp;'Output annual'!$AD$2&amp;"*Zone People Number Of Occupants [](Hourly)",'Eplus results'!$1:$1048576,ROW(),FALSE)</f>
        <v>0</v>
      </c>
      <c r="AC807" s="580">
        <f>HLOOKUP("*"&amp;'Output annual'!$AC$2&amp;'Output annual'!$AD$2&amp;"*FangerPMV(Hourly)",'Eplus results'!$1:$1048576,ROW(),FALSE)</f>
        <v>0</v>
      </c>
      <c r="AD807" s="580">
        <f t="shared" si="96"/>
        <v>5</v>
      </c>
      <c r="AE807" s="580">
        <f t="shared" si="97"/>
        <v>2.5</v>
      </c>
      <c r="AF807" s="580">
        <f t="shared" si="98"/>
        <v>2.5</v>
      </c>
      <c r="AG807" s="580">
        <f t="shared" si="99"/>
        <v>0</v>
      </c>
      <c r="AH807" s="580">
        <f t="shared" si="100"/>
        <v>0</v>
      </c>
    </row>
    <row r="808" spans="28:34">
      <c r="AB808" s="580">
        <f>HLOOKUP("*"&amp;'Output annual'!$AC$2&amp;'Output annual'!$AD$2&amp;"*Zone People Number Of Occupants [](Hourly)",'Eplus results'!$1:$1048576,ROW(),FALSE)</f>
        <v>0</v>
      </c>
      <c r="AC808" s="580">
        <f>HLOOKUP("*"&amp;'Output annual'!$AC$2&amp;'Output annual'!$AD$2&amp;"*FangerPMV(Hourly)",'Eplus results'!$1:$1048576,ROW(),FALSE)</f>
        <v>0</v>
      </c>
      <c r="AD808" s="580">
        <f t="shared" si="96"/>
        <v>5</v>
      </c>
      <c r="AE808" s="580">
        <f t="shared" si="97"/>
        <v>2.5</v>
      </c>
      <c r="AF808" s="580">
        <f t="shared" si="98"/>
        <v>2.5</v>
      </c>
      <c r="AG808" s="580">
        <f t="shared" si="99"/>
        <v>0</v>
      </c>
      <c r="AH808" s="580">
        <f t="shared" si="100"/>
        <v>0</v>
      </c>
    </row>
    <row r="809" spans="28:34">
      <c r="AB809" s="580">
        <f>HLOOKUP("*"&amp;'Output annual'!$AC$2&amp;'Output annual'!$AD$2&amp;"*Zone People Number Of Occupants [](Hourly)",'Eplus results'!$1:$1048576,ROW(),FALSE)</f>
        <v>0</v>
      </c>
      <c r="AC809" s="580">
        <f>HLOOKUP("*"&amp;'Output annual'!$AC$2&amp;'Output annual'!$AD$2&amp;"*FangerPMV(Hourly)",'Eplus results'!$1:$1048576,ROW(),FALSE)</f>
        <v>0</v>
      </c>
      <c r="AD809" s="580">
        <f t="shared" si="96"/>
        <v>5</v>
      </c>
      <c r="AE809" s="580">
        <f t="shared" si="97"/>
        <v>2.5</v>
      </c>
      <c r="AF809" s="580">
        <f t="shared" si="98"/>
        <v>2.5</v>
      </c>
      <c r="AG809" s="580">
        <f t="shared" si="99"/>
        <v>0</v>
      </c>
      <c r="AH809" s="580">
        <f t="shared" si="100"/>
        <v>0</v>
      </c>
    </row>
    <row r="810" spans="28:34">
      <c r="AB810" s="580">
        <f>HLOOKUP("*"&amp;'Output annual'!$AC$2&amp;'Output annual'!$AD$2&amp;"*Zone People Number Of Occupants [](Hourly)",'Eplus results'!$1:$1048576,ROW(),FALSE)</f>
        <v>0</v>
      </c>
      <c r="AC810" s="580">
        <f>HLOOKUP("*"&amp;'Output annual'!$AC$2&amp;'Output annual'!$AD$2&amp;"*FangerPMV(Hourly)",'Eplus results'!$1:$1048576,ROW(),FALSE)</f>
        <v>0</v>
      </c>
      <c r="AD810" s="580">
        <f t="shared" si="96"/>
        <v>5</v>
      </c>
      <c r="AE810" s="580">
        <f t="shared" si="97"/>
        <v>2.5</v>
      </c>
      <c r="AF810" s="580">
        <f t="shared" si="98"/>
        <v>2.5</v>
      </c>
      <c r="AG810" s="580">
        <f t="shared" si="99"/>
        <v>0</v>
      </c>
      <c r="AH810" s="580">
        <f t="shared" si="100"/>
        <v>0</v>
      </c>
    </row>
    <row r="811" spans="28:34">
      <c r="AB811" s="580">
        <f>HLOOKUP("*"&amp;'Output annual'!$AC$2&amp;'Output annual'!$AD$2&amp;"*Zone People Number Of Occupants [](Hourly)",'Eplus results'!$1:$1048576,ROW(),FALSE)</f>
        <v>0</v>
      </c>
      <c r="AC811" s="580">
        <f>HLOOKUP("*"&amp;'Output annual'!$AC$2&amp;'Output annual'!$AD$2&amp;"*FangerPMV(Hourly)",'Eplus results'!$1:$1048576,ROW(),FALSE)</f>
        <v>0</v>
      </c>
      <c r="AD811" s="580">
        <f t="shared" si="96"/>
        <v>5</v>
      </c>
      <c r="AE811" s="580">
        <f t="shared" si="97"/>
        <v>2.5</v>
      </c>
      <c r="AF811" s="580">
        <f t="shared" si="98"/>
        <v>2.5</v>
      </c>
      <c r="AG811" s="580">
        <f t="shared" si="99"/>
        <v>0</v>
      </c>
      <c r="AH811" s="580">
        <f t="shared" si="100"/>
        <v>0</v>
      </c>
    </row>
    <row r="812" spans="28:34">
      <c r="AB812" s="580">
        <f>HLOOKUP("*"&amp;'Output annual'!$AC$2&amp;'Output annual'!$AD$2&amp;"*Zone People Number Of Occupants [](Hourly)",'Eplus results'!$1:$1048576,ROW(),FALSE)</f>
        <v>0</v>
      </c>
      <c r="AC812" s="580">
        <f>HLOOKUP("*"&amp;'Output annual'!$AC$2&amp;'Output annual'!$AD$2&amp;"*FangerPMV(Hourly)",'Eplus results'!$1:$1048576,ROW(),FALSE)</f>
        <v>0</v>
      </c>
      <c r="AD812" s="580">
        <f t="shared" si="96"/>
        <v>5</v>
      </c>
      <c r="AE812" s="580">
        <f t="shared" si="97"/>
        <v>2.5</v>
      </c>
      <c r="AF812" s="580">
        <f t="shared" si="98"/>
        <v>2.5</v>
      </c>
      <c r="AG812" s="580">
        <f t="shared" si="99"/>
        <v>0</v>
      </c>
      <c r="AH812" s="580">
        <f t="shared" si="100"/>
        <v>0</v>
      </c>
    </row>
    <row r="813" spans="28:34">
      <c r="AB813" s="580">
        <f>HLOOKUP("*"&amp;'Output annual'!$AC$2&amp;'Output annual'!$AD$2&amp;"*Zone People Number Of Occupants [](Hourly)",'Eplus results'!$1:$1048576,ROW(),FALSE)</f>
        <v>0</v>
      </c>
      <c r="AC813" s="580">
        <f>HLOOKUP("*"&amp;'Output annual'!$AC$2&amp;'Output annual'!$AD$2&amp;"*FangerPMV(Hourly)",'Eplus results'!$1:$1048576,ROW(),FALSE)</f>
        <v>0</v>
      </c>
      <c r="AD813" s="580">
        <f t="shared" si="96"/>
        <v>5</v>
      </c>
      <c r="AE813" s="580">
        <f t="shared" si="97"/>
        <v>2.5</v>
      </c>
      <c r="AF813" s="580">
        <f t="shared" si="98"/>
        <v>2.5</v>
      </c>
      <c r="AG813" s="580">
        <f t="shared" si="99"/>
        <v>0</v>
      </c>
      <c r="AH813" s="580">
        <f t="shared" si="100"/>
        <v>0</v>
      </c>
    </row>
    <row r="814" spans="28:34">
      <c r="AB814" s="580">
        <f>HLOOKUP("*"&amp;'Output annual'!$AC$2&amp;'Output annual'!$AD$2&amp;"*Zone People Number Of Occupants [](Hourly)",'Eplus results'!$1:$1048576,ROW(),FALSE)</f>
        <v>0</v>
      </c>
      <c r="AC814" s="580">
        <f>HLOOKUP("*"&amp;'Output annual'!$AC$2&amp;'Output annual'!$AD$2&amp;"*FangerPMV(Hourly)",'Eplus results'!$1:$1048576,ROW(),FALSE)</f>
        <v>0</v>
      </c>
      <c r="AD814" s="580">
        <f t="shared" si="96"/>
        <v>5</v>
      </c>
      <c r="AE814" s="580">
        <f t="shared" si="97"/>
        <v>2.5</v>
      </c>
      <c r="AF814" s="580">
        <f t="shared" si="98"/>
        <v>2.5</v>
      </c>
      <c r="AG814" s="580">
        <f t="shared" si="99"/>
        <v>0</v>
      </c>
      <c r="AH814" s="580">
        <f t="shared" si="100"/>
        <v>0</v>
      </c>
    </row>
    <row r="815" spans="28:34">
      <c r="AB815" s="580">
        <f>HLOOKUP("*"&amp;'Output annual'!$AC$2&amp;'Output annual'!$AD$2&amp;"*Zone People Number Of Occupants [](Hourly)",'Eplus results'!$1:$1048576,ROW(),FALSE)</f>
        <v>0</v>
      </c>
      <c r="AC815" s="580">
        <f>HLOOKUP("*"&amp;'Output annual'!$AC$2&amp;'Output annual'!$AD$2&amp;"*FangerPMV(Hourly)",'Eplus results'!$1:$1048576,ROW(),FALSE)</f>
        <v>0</v>
      </c>
      <c r="AD815" s="580">
        <f t="shared" si="96"/>
        <v>5</v>
      </c>
      <c r="AE815" s="580">
        <f t="shared" si="97"/>
        <v>2.5</v>
      </c>
      <c r="AF815" s="580">
        <f t="shared" si="98"/>
        <v>2.5</v>
      </c>
      <c r="AG815" s="580">
        <f t="shared" si="99"/>
        <v>0</v>
      </c>
      <c r="AH815" s="580">
        <f t="shared" si="100"/>
        <v>0</v>
      </c>
    </row>
    <row r="816" spans="28:34">
      <c r="AB816" s="580">
        <f>HLOOKUP("*"&amp;'Output annual'!$AC$2&amp;'Output annual'!$AD$2&amp;"*Zone People Number Of Occupants [](Hourly)",'Eplus results'!$1:$1048576,ROW(),FALSE)</f>
        <v>0</v>
      </c>
      <c r="AC816" s="580">
        <f>HLOOKUP("*"&amp;'Output annual'!$AC$2&amp;'Output annual'!$AD$2&amp;"*FangerPMV(Hourly)",'Eplus results'!$1:$1048576,ROW(),FALSE)</f>
        <v>0</v>
      </c>
      <c r="AD816" s="580">
        <f t="shared" si="96"/>
        <v>5</v>
      </c>
      <c r="AE816" s="580">
        <f t="shared" si="97"/>
        <v>2.5</v>
      </c>
      <c r="AF816" s="580">
        <f t="shared" si="98"/>
        <v>2.5</v>
      </c>
      <c r="AG816" s="580">
        <f t="shared" si="99"/>
        <v>0</v>
      </c>
      <c r="AH816" s="580">
        <f t="shared" si="100"/>
        <v>0</v>
      </c>
    </row>
    <row r="817" spans="28:34">
      <c r="AB817" s="580">
        <f>HLOOKUP("*"&amp;'Output annual'!$AC$2&amp;'Output annual'!$AD$2&amp;"*Zone People Number Of Occupants [](Hourly)",'Eplus results'!$1:$1048576,ROW(),FALSE)</f>
        <v>0</v>
      </c>
      <c r="AC817" s="580">
        <f>HLOOKUP("*"&amp;'Output annual'!$AC$2&amp;'Output annual'!$AD$2&amp;"*FangerPMV(Hourly)",'Eplus results'!$1:$1048576,ROW(),FALSE)</f>
        <v>0</v>
      </c>
      <c r="AD817" s="580">
        <f t="shared" si="96"/>
        <v>5</v>
      </c>
      <c r="AE817" s="580">
        <f t="shared" si="97"/>
        <v>2.5</v>
      </c>
      <c r="AF817" s="580">
        <f t="shared" si="98"/>
        <v>2.5</v>
      </c>
      <c r="AG817" s="580">
        <f t="shared" si="99"/>
        <v>0</v>
      </c>
      <c r="AH817" s="580">
        <f t="shared" si="100"/>
        <v>0</v>
      </c>
    </row>
    <row r="818" spans="28:34">
      <c r="AB818" s="580">
        <f>HLOOKUP("*"&amp;'Output annual'!$AC$2&amp;'Output annual'!$AD$2&amp;"*Zone People Number Of Occupants [](Hourly)",'Eplus results'!$1:$1048576,ROW(),FALSE)</f>
        <v>0</v>
      </c>
      <c r="AC818" s="580">
        <f>HLOOKUP("*"&amp;'Output annual'!$AC$2&amp;'Output annual'!$AD$2&amp;"*FangerPMV(Hourly)",'Eplus results'!$1:$1048576,ROW(),FALSE)</f>
        <v>0</v>
      </c>
      <c r="AD818" s="580">
        <f t="shared" si="96"/>
        <v>5</v>
      </c>
      <c r="AE818" s="580">
        <f t="shared" si="97"/>
        <v>2.5</v>
      </c>
      <c r="AF818" s="580">
        <f t="shared" si="98"/>
        <v>2.5</v>
      </c>
      <c r="AG818" s="580">
        <f t="shared" si="99"/>
        <v>0</v>
      </c>
      <c r="AH818" s="580">
        <f t="shared" si="100"/>
        <v>0</v>
      </c>
    </row>
    <row r="819" spans="28:34">
      <c r="AB819" s="580">
        <f>HLOOKUP("*"&amp;'Output annual'!$AC$2&amp;'Output annual'!$AD$2&amp;"*Zone People Number Of Occupants [](Hourly)",'Eplus results'!$1:$1048576,ROW(),FALSE)</f>
        <v>0</v>
      </c>
      <c r="AC819" s="580">
        <f>HLOOKUP("*"&amp;'Output annual'!$AC$2&amp;'Output annual'!$AD$2&amp;"*FangerPMV(Hourly)",'Eplus results'!$1:$1048576,ROW(),FALSE)</f>
        <v>0</v>
      </c>
      <c r="AD819" s="580">
        <f t="shared" si="96"/>
        <v>5</v>
      </c>
      <c r="AE819" s="580">
        <f t="shared" si="97"/>
        <v>2.5</v>
      </c>
      <c r="AF819" s="580">
        <f t="shared" si="98"/>
        <v>2.5</v>
      </c>
      <c r="AG819" s="580">
        <f t="shared" si="99"/>
        <v>0</v>
      </c>
      <c r="AH819" s="580">
        <f t="shared" si="100"/>
        <v>0</v>
      </c>
    </row>
    <row r="820" spans="28:34">
      <c r="AB820" s="580">
        <f>HLOOKUP("*"&amp;'Output annual'!$AC$2&amp;'Output annual'!$AD$2&amp;"*Zone People Number Of Occupants [](Hourly)",'Eplus results'!$1:$1048576,ROW(),FALSE)</f>
        <v>0</v>
      </c>
      <c r="AC820" s="580">
        <f>HLOOKUP("*"&amp;'Output annual'!$AC$2&amp;'Output annual'!$AD$2&amp;"*FangerPMV(Hourly)",'Eplus results'!$1:$1048576,ROW(),FALSE)</f>
        <v>0</v>
      </c>
      <c r="AD820" s="580">
        <f t="shared" si="96"/>
        <v>5</v>
      </c>
      <c r="AE820" s="580">
        <f t="shared" si="97"/>
        <v>2.5</v>
      </c>
      <c r="AF820" s="580">
        <f t="shared" si="98"/>
        <v>2.5</v>
      </c>
      <c r="AG820" s="580">
        <f t="shared" si="99"/>
        <v>0</v>
      </c>
      <c r="AH820" s="580">
        <f t="shared" si="100"/>
        <v>0</v>
      </c>
    </row>
    <row r="821" spans="28:34">
      <c r="AB821" s="580">
        <f>HLOOKUP("*"&amp;'Output annual'!$AC$2&amp;'Output annual'!$AD$2&amp;"*Zone People Number Of Occupants [](Hourly)",'Eplus results'!$1:$1048576,ROW(),FALSE)</f>
        <v>0</v>
      </c>
      <c r="AC821" s="580">
        <f>HLOOKUP("*"&amp;'Output annual'!$AC$2&amp;'Output annual'!$AD$2&amp;"*FangerPMV(Hourly)",'Eplus results'!$1:$1048576,ROW(),FALSE)</f>
        <v>0</v>
      </c>
      <c r="AD821" s="580">
        <f t="shared" si="96"/>
        <v>5</v>
      </c>
      <c r="AE821" s="580">
        <f t="shared" si="97"/>
        <v>2.5</v>
      </c>
      <c r="AF821" s="580">
        <f t="shared" si="98"/>
        <v>2.5</v>
      </c>
      <c r="AG821" s="580">
        <f t="shared" si="99"/>
        <v>0</v>
      </c>
      <c r="AH821" s="580">
        <f t="shared" si="100"/>
        <v>0</v>
      </c>
    </row>
    <row r="822" spans="28:34">
      <c r="AB822" s="580">
        <f>HLOOKUP("*"&amp;'Output annual'!$AC$2&amp;'Output annual'!$AD$2&amp;"*Zone People Number Of Occupants [](Hourly)",'Eplus results'!$1:$1048576,ROW(),FALSE)</f>
        <v>0</v>
      </c>
      <c r="AC822" s="580">
        <f>HLOOKUP("*"&amp;'Output annual'!$AC$2&amp;'Output annual'!$AD$2&amp;"*FangerPMV(Hourly)",'Eplus results'!$1:$1048576,ROW(),FALSE)</f>
        <v>0</v>
      </c>
      <c r="AD822" s="580">
        <f t="shared" si="96"/>
        <v>5</v>
      </c>
      <c r="AE822" s="580">
        <f t="shared" si="97"/>
        <v>2.5</v>
      </c>
      <c r="AF822" s="580">
        <f t="shared" si="98"/>
        <v>2.5</v>
      </c>
      <c r="AG822" s="580">
        <f t="shared" si="99"/>
        <v>0</v>
      </c>
      <c r="AH822" s="580">
        <f t="shared" si="100"/>
        <v>0</v>
      </c>
    </row>
    <row r="823" spans="28:34">
      <c r="AB823" s="580">
        <f>HLOOKUP("*"&amp;'Output annual'!$AC$2&amp;'Output annual'!$AD$2&amp;"*Zone People Number Of Occupants [](Hourly)",'Eplus results'!$1:$1048576,ROW(),FALSE)</f>
        <v>0</v>
      </c>
      <c r="AC823" s="580">
        <f>HLOOKUP("*"&amp;'Output annual'!$AC$2&amp;'Output annual'!$AD$2&amp;"*FangerPMV(Hourly)",'Eplus results'!$1:$1048576,ROW(),FALSE)</f>
        <v>0</v>
      </c>
      <c r="AD823" s="580">
        <f t="shared" si="96"/>
        <v>5</v>
      </c>
      <c r="AE823" s="580">
        <f t="shared" si="97"/>
        <v>2.5</v>
      </c>
      <c r="AF823" s="580">
        <f t="shared" si="98"/>
        <v>2.5</v>
      </c>
      <c r="AG823" s="580">
        <f t="shared" si="99"/>
        <v>0</v>
      </c>
      <c r="AH823" s="580">
        <f t="shared" si="100"/>
        <v>0</v>
      </c>
    </row>
    <row r="824" spans="28:34">
      <c r="AB824" s="580">
        <f>HLOOKUP("*"&amp;'Output annual'!$AC$2&amp;'Output annual'!$AD$2&amp;"*Zone People Number Of Occupants [](Hourly)",'Eplus results'!$1:$1048576,ROW(),FALSE)</f>
        <v>0</v>
      </c>
      <c r="AC824" s="580">
        <f>HLOOKUP("*"&amp;'Output annual'!$AC$2&amp;'Output annual'!$AD$2&amp;"*FangerPMV(Hourly)",'Eplus results'!$1:$1048576,ROW(),FALSE)</f>
        <v>0</v>
      </c>
      <c r="AD824" s="580">
        <f t="shared" si="96"/>
        <v>5</v>
      </c>
      <c r="AE824" s="580">
        <f t="shared" si="97"/>
        <v>2.5</v>
      </c>
      <c r="AF824" s="580">
        <f t="shared" si="98"/>
        <v>2.5</v>
      </c>
      <c r="AG824" s="580">
        <f t="shared" si="99"/>
        <v>0</v>
      </c>
      <c r="AH824" s="580">
        <f t="shared" si="100"/>
        <v>0</v>
      </c>
    </row>
    <row r="825" spans="28:34">
      <c r="AB825" s="580">
        <f>HLOOKUP("*"&amp;'Output annual'!$AC$2&amp;'Output annual'!$AD$2&amp;"*Zone People Number Of Occupants [](Hourly)",'Eplus results'!$1:$1048576,ROW(),FALSE)</f>
        <v>0</v>
      </c>
      <c r="AC825" s="580">
        <f>HLOOKUP("*"&amp;'Output annual'!$AC$2&amp;'Output annual'!$AD$2&amp;"*FangerPMV(Hourly)",'Eplus results'!$1:$1048576,ROW(),FALSE)</f>
        <v>0</v>
      </c>
      <c r="AD825" s="580">
        <f t="shared" si="96"/>
        <v>5</v>
      </c>
      <c r="AE825" s="580">
        <f t="shared" si="97"/>
        <v>2.5</v>
      </c>
      <c r="AF825" s="580">
        <f t="shared" si="98"/>
        <v>2.5</v>
      </c>
      <c r="AG825" s="580">
        <f t="shared" si="99"/>
        <v>0</v>
      </c>
      <c r="AH825" s="580">
        <f t="shared" si="100"/>
        <v>0</v>
      </c>
    </row>
    <row r="826" spans="28:34">
      <c r="AB826" s="580">
        <f>HLOOKUP("*"&amp;'Output annual'!$AC$2&amp;'Output annual'!$AD$2&amp;"*Zone People Number Of Occupants [](Hourly)",'Eplus results'!$1:$1048576,ROW(),FALSE)</f>
        <v>0</v>
      </c>
      <c r="AC826" s="580">
        <f>HLOOKUP("*"&amp;'Output annual'!$AC$2&amp;'Output annual'!$AD$2&amp;"*FangerPMV(Hourly)",'Eplus results'!$1:$1048576,ROW(),FALSE)</f>
        <v>0</v>
      </c>
      <c r="AD826" s="580">
        <f t="shared" si="96"/>
        <v>5</v>
      </c>
      <c r="AE826" s="580">
        <f t="shared" si="97"/>
        <v>2.5</v>
      </c>
      <c r="AF826" s="580">
        <f t="shared" si="98"/>
        <v>2.5</v>
      </c>
      <c r="AG826" s="580">
        <f t="shared" si="99"/>
        <v>0</v>
      </c>
      <c r="AH826" s="580">
        <f t="shared" si="100"/>
        <v>0</v>
      </c>
    </row>
    <row r="827" spans="28:34">
      <c r="AB827" s="580">
        <f>HLOOKUP("*"&amp;'Output annual'!$AC$2&amp;'Output annual'!$AD$2&amp;"*Zone People Number Of Occupants [](Hourly)",'Eplus results'!$1:$1048576,ROW(),FALSE)</f>
        <v>0</v>
      </c>
      <c r="AC827" s="580">
        <f>HLOOKUP("*"&amp;'Output annual'!$AC$2&amp;'Output annual'!$AD$2&amp;"*FangerPMV(Hourly)",'Eplus results'!$1:$1048576,ROW(),FALSE)</f>
        <v>0</v>
      </c>
      <c r="AD827" s="580">
        <f t="shared" si="96"/>
        <v>5</v>
      </c>
      <c r="AE827" s="580">
        <f t="shared" si="97"/>
        <v>2.5</v>
      </c>
      <c r="AF827" s="580">
        <f t="shared" si="98"/>
        <v>2.5</v>
      </c>
      <c r="AG827" s="580">
        <f t="shared" si="99"/>
        <v>0</v>
      </c>
      <c r="AH827" s="580">
        <f t="shared" si="100"/>
        <v>0</v>
      </c>
    </row>
    <row r="828" spans="28:34">
      <c r="AB828" s="580">
        <f>HLOOKUP("*"&amp;'Output annual'!$AC$2&amp;'Output annual'!$AD$2&amp;"*Zone People Number Of Occupants [](Hourly)",'Eplus results'!$1:$1048576,ROW(),FALSE)</f>
        <v>0</v>
      </c>
      <c r="AC828" s="580">
        <f>HLOOKUP("*"&amp;'Output annual'!$AC$2&amp;'Output annual'!$AD$2&amp;"*FangerPMV(Hourly)",'Eplus results'!$1:$1048576,ROW(),FALSE)</f>
        <v>0</v>
      </c>
      <c r="AD828" s="580">
        <f t="shared" si="96"/>
        <v>5</v>
      </c>
      <c r="AE828" s="580">
        <f t="shared" si="97"/>
        <v>2.5</v>
      </c>
      <c r="AF828" s="580">
        <f t="shared" si="98"/>
        <v>2.5</v>
      </c>
      <c r="AG828" s="580">
        <f t="shared" si="99"/>
        <v>0</v>
      </c>
      <c r="AH828" s="580">
        <f t="shared" si="100"/>
        <v>0</v>
      </c>
    </row>
    <row r="829" spans="28:34">
      <c r="AB829" s="580">
        <f>HLOOKUP("*"&amp;'Output annual'!$AC$2&amp;'Output annual'!$AD$2&amp;"*Zone People Number Of Occupants [](Hourly)",'Eplus results'!$1:$1048576,ROW(),FALSE)</f>
        <v>0</v>
      </c>
      <c r="AC829" s="580">
        <f>HLOOKUP("*"&amp;'Output annual'!$AC$2&amp;'Output annual'!$AD$2&amp;"*FangerPMV(Hourly)",'Eplus results'!$1:$1048576,ROW(),FALSE)</f>
        <v>0</v>
      </c>
      <c r="AD829" s="580">
        <f t="shared" si="96"/>
        <v>5</v>
      </c>
      <c r="AE829" s="580">
        <f t="shared" si="97"/>
        <v>2.5</v>
      </c>
      <c r="AF829" s="580">
        <f t="shared" si="98"/>
        <v>2.5</v>
      </c>
      <c r="AG829" s="580">
        <f t="shared" si="99"/>
        <v>0</v>
      </c>
      <c r="AH829" s="580">
        <f t="shared" si="100"/>
        <v>0</v>
      </c>
    </row>
    <row r="830" spans="28:34">
      <c r="AB830" s="580">
        <f>HLOOKUP("*"&amp;'Output annual'!$AC$2&amp;'Output annual'!$AD$2&amp;"*Zone People Number Of Occupants [](Hourly)",'Eplus results'!$1:$1048576,ROW(),FALSE)</f>
        <v>0</v>
      </c>
      <c r="AC830" s="580">
        <f>HLOOKUP("*"&amp;'Output annual'!$AC$2&amp;'Output annual'!$AD$2&amp;"*FangerPMV(Hourly)",'Eplus results'!$1:$1048576,ROW(),FALSE)</f>
        <v>0</v>
      </c>
      <c r="AD830" s="580">
        <f t="shared" si="96"/>
        <v>5</v>
      </c>
      <c r="AE830" s="580">
        <f t="shared" si="97"/>
        <v>2.5</v>
      </c>
      <c r="AF830" s="580">
        <f t="shared" si="98"/>
        <v>2.5</v>
      </c>
      <c r="AG830" s="580">
        <f t="shared" si="99"/>
        <v>0</v>
      </c>
      <c r="AH830" s="580">
        <f t="shared" si="100"/>
        <v>0</v>
      </c>
    </row>
    <row r="831" spans="28:34">
      <c r="AB831" s="580">
        <f>HLOOKUP("*"&amp;'Output annual'!$AC$2&amp;'Output annual'!$AD$2&amp;"*Zone People Number Of Occupants [](Hourly)",'Eplus results'!$1:$1048576,ROW(),FALSE)</f>
        <v>0</v>
      </c>
      <c r="AC831" s="580">
        <f>HLOOKUP("*"&amp;'Output annual'!$AC$2&amp;'Output annual'!$AD$2&amp;"*FangerPMV(Hourly)",'Eplus results'!$1:$1048576,ROW(),FALSE)</f>
        <v>0</v>
      </c>
      <c r="AD831" s="580">
        <f t="shared" si="96"/>
        <v>5</v>
      </c>
      <c r="AE831" s="580">
        <f t="shared" si="97"/>
        <v>2.5</v>
      </c>
      <c r="AF831" s="580">
        <f t="shared" si="98"/>
        <v>2.5</v>
      </c>
      <c r="AG831" s="580">
        <f t="shared" si="99"/>
        <v>0</v>
      </c>
      <c r="AH831" s="580">
        <f t="shared" si="100"/>
        <v>0</v>
      </c>
    </row>
    <row r="832" spans="28:34">
      <c r="AB832" s="580">
        <f>HLOOKUP("*"&amp;'Output annual'!$AC$2&amp;'Output annual'!$AD$2&amp;"*Zone People Number Of Occupants [](Hourly)",'Eplus results'!$1:$1048576,ROW(),FALSE)</f>
        <v>0</v>
      </c>
      <c r="AC832" s="580">
        <f>HLOOKUP("*"&amp;'Output annual'!$AC$2&amp;'Output annual'!$AD$2&amp;"*FangerPMV(Hourly)",'Eplus results'!$1:$1048576,ROW(),FALSE)</f>
        <v>0</v>
      </c>
      <c r="AD832" s="580">
        <f t="shared" si="96"/>
        <v>5</v>
      </c>
      <c r="AE832" s="580">
        <f t="shared" si="97"/>
        <v>2.5</v>
      </c>
      <c r="AF832" s="580">
        <f t="shared" si="98"/>
        <v>2.5</v>
      </c>
      <c r="AG832" s="580">
        <f t="shared" si="99"/>
        <v>0</v>
      </c>
      <c r="AH832" s="580">
        <f t="shared" si="100"/>
        <v>0</v>
      </c>
    </row>
    <row r="833" spans="28:34">
      <c r="AB833" s="580">
        <f>HLOOKUP("*"&amp;'Output annual'!$AC$2&amp;'Output annual'!$AD$2&amp;"*Zone People Number Of Occupants [](Hourly)",'Eplus results'!$1:$1048576,ROW(),FALSE)</f>
        <v>0</v>
      </c>
      <c r="AC833" s="580">
        <f>HLOOKUP("*"&amp;'Output annual'!$AC$2&amp;'Output annual'!$AD$2&amp;"*FangerPMV(Hourly)",'Eplus results'!$1:$1048576,ROW(),FALSE)</f>
        <v>0</v>
      </c>
      <c r="AD833" s="580">
        <f t="shared" si="96"/>
        <v>5</v>
      </c>
      <c r="AE833" s="580">
        <f t="shared" si="97"/>
        <v>2.5</v>
      </c>
      <c r="AF833" s="580">
        <f t="shared" si="98"/>
        <v>2.5</v>
      </c>
      <c r="AG833" s="580">
        <f t="shared" si="99"/>
        <v>0</v>
      </c>
      <c r="AH833" s="580">
        <f t="shared" si="100"/>
        <v>0</v>
      </c>
    </row>
    <row r="834" spans="28:34">
      <c r="AB834" s="580">
        <f>HLOOKUP("*"&amp;'Output annual'!$AC$2&amp;'Output annual'!$AD$2&amp;"*Zone People Number Of Occupants [](Hourly)",'Eplus results'!$1:$1048576,ROW(),FALSE)</f>
        <v>0</v>
      </c>
      <c r="AC834" s="580">
        <f>HLOOKUP("*"&amp;'Output annual'!$AC$2&amp;'Output annual'!$AD$2&amp;"*FangerPMV(Hourly)",'Eplus results'!$1:$1048576,ROW(),FALSE)</f>
        <v>0</v>
      </c>
      <c r="AD834" s="580">
        <f t="shared" si="96"/>
        <v>5</v>
      </c>
      <c r="AE834" s="580">
        <f t="shared" si="97"/>
        <v>2.5</v>
      </c>
      <c r="AF834" s="580">
        <f t="shared" si="98"/>
        <v>2.5</v>
      </c>
      <c r="AG834" s="580">
        <f t="shared" si="99"/>
        <v>0</v>
      </c>
      <c r="AH834" s="580">
        <f t="shared" si="100"/>
        <v>0</v>
      </c>
    </row>
    <row r="835" spans="28:34">
      <c r="AB835" s="580">
        <f>HLOOKUP("*"&amp;'Output annual'!$AC$2&amp;'Output annual'!$AD$2&amp;"*Zone People Number Of Occupants [](Hourly)",'Eplus results'!$1:$1048576,ROW(),FALSE)</f>
        <v>0</v>
      </c>
      <c r="AC835" s="580">
        <f>HLOOKUP("*"&amp;'Output annual'!$AC$2&amp;'Output annual'!$AD$2&amp;"*FangerPMV(Hourly)",'Eplus results'!$1:$1048576,ROW(),FALSE)</f>
        <v>0</v>
      </c>
      <c r="AD835" s="580">
        <f t="shared" ref="AD835:AD898" si="101">100-95*EXP(-0.03353*AC835^4-0.2179*AC835^2)</f>
        <v>5</v>
      </c>
      <c r="AE835" s="580">
        <f t="shared" ref="AE835:AE898" si="102">AD835*(1/(1+EXP(-6.3*$AC835)))</f>
        <v>2.5</v>
      </c>
      <c r="AF835" s="580">
        <f t="shared" ref="AF835:AF898" si="103">(AD835-AE835)</f>
        <v>2.5</v>
      </c>
      <c r="AG835" s="580">
        <f t="shared" ref="AG835:AG898" si="104">AE835*AB835</f>
        <v>0</v>
      </c>
      <c r="AH835" s="580">
        <f t="shared" ref="AH835:AH898" si="105">AF835*AB835</f>
        <v>0</v>
      </c>
    </row>
    <row r="836" spans="28:34">
      <c r="AB836" s="580">
        <f>HLOOKUP("*"&amp;'Output annual'!$AC$2&amp;'Output annual'!$AD$2&amp;"*Zone People Number Of Occupants [](Hourly)",'Eplus results'!$1:$1048576,ROW(),FALSE)</f>
        <v>0</v>
      </c>
      <c r="AC836" s="580">
        <f>HLOOKUP("*"&amp;'Output annual'!$AC$2&amp;'Output annual'!$AD$2&amp;"*FangerPMV(Hourly)",'Eplus results'!$1:$1048576,ROW(),FALSE)</f>
        <v>0</v>
      </c>
      <c r="AD836" s="580">
        <f t="shared" si="101"/>
        <v>5</v>
      </c>
      <c r="AE836" s="580">
        <f t="shared" si="102"/>
        <v>2.5</v>
      </c>
      <c r="AF836" s="580">
        <f t="shared" si="103"/>
        <v>2.5</v>
      </c>
      <c r="AG836" s="580">
        <f t="shared" si="104"/>
        <v>0</v>
      </c>
      <c r="AH836" s="580">
        <f t="shared" si="105"/>
        <v>0</v>
      </c>
    </row>
    <row r="837" spans="28:34">
      <c r="AB837" s="580">
        <f>HLOOKUP("*"&amp;'Output annual'!$AC$2&amp;'Output annual'!$AD$2&amp;"*Zone People Number Of Occupants [](Hourly)",'Eplus results'!$1:$1048576,ROW(),FALSE)</f>
        <v>0</v>
      </c>
      <c r="AC837" s="580">
        <f>HLOOKUP("*"&amp;'Output annual'!$AC$2&amp;'Output annual'!$AD$2&amp;"*FangerPMV(Hourly)",'Eplus results'!$1:$1048576,ROW(),FALSE)</f>
        <v>0</v>
      </c>
      <c r="AD837" s="580">
        <f t="shared" si="101"/>
        <v>5</v>
      </c>
      <c r="AE837" s="580">
        <f t="shared" si="102"/>
        <v>2.5</v>
      </c>
      <c r="AF837" s="580">
        <f t="shared" si="103"/>
        <v>2.5</v>
      </c>
      <c r="AG837" s="580">
        <f t="shared" si="104"/>
        <v>0</v>
      </c>
      <c r="AH837" s="580">
        <f t="shared" si="105"/>
        <v>0</v>
      </c>
    </row>
    <row r="838" spans="28:34">
      <c r="AB838" s="580">
        <f>HLOOKUP("*"&amp;'Output annual'!$AC$2&amp;'Output annual'!$AD$2&amp;"*Zone People Number Of Occupants [](Hourly)",'Eplus results'!$1:$1048576,ROW(),FALSE)</f>
        <v>0</v>
      </c>
      <c r="AC838" s="580">
        <f>HLOOKUP("*"&amp;'Output annual'!$AC$2&amp;'Output annual'!$AD$2&amp;"*FangerPMV(Hourly)",'Eplus results'!$1:$1048576,ROW(),FALSE)</f>
        <v>0</v>
      </c>
      <c r="AD838" s="580">
        <f t="shared" si="101"/>
        <v>5</v>
      </c>
      <c r="AE838" s="580">
        <f t="shared" si="102"/>
        <v>2.5</v>
      </c>
      <c r="AF838" s="580">
        <f t="shared" si="103"/>
        <v>2.5</v>
      </c>
      <c r="AG838" s="580">
        <f t="shared" si="104"/>
        <v>0</v>
      </c>
      <c r="AH838" s="580">
        <f t="shared" si="105"/>
        <v>0</v>
      </c>
    </row>
    <row r="839" spans="28:34">
      <c r="AB839" s="580">
        <f>HLOOKUP("*"&amp;'Output annual'!$AC$2&amp;'Output annual'!$AD$2&amp;"*Zone People Number Of Occupants [](Hourly)",'Eplus results'!$1:$1048576,ROW(),FALSE)</f>
        <v>0</v>
      </c>
      <c r="AC839" s="580">
        <f>HLOOKUP("*"&amp;'Output annual'!$AC$2&amp;'Output annual'!$AD$2&amp;"*FangerPMV(Hourly)",'Eplus results'!$1:$1048576,ROW(),FALSE)</f>
        <v>0</v>
      </c>
      <c r="AD839" s="580">
        <f t="shared" si="101"/>
        <v>5</v>
      </c>
      <c r="AE839" s="580">
        <f t="shared" si="102"/>
        <v>2.5</v>
      </c>
      <c r="AF839" s="580">
        <f t="shared" si="103"/>
        <v>2.5</v>
      </c>
      <c r="AG839" s="580">
        <f t="shared" si="104"/>
        <v>0</v>
      </c>
      <c r="AH839" s="580">
        <f t="shared" si="105"/>
        <v>0</v>
      </c>
    </row>
    <row r="840" spans="28:34">
      <c r="AB840" s="580">
        <f>HLOOKUP("*"&amp;'Output annual'!$AC$2&amp;'Output annual'!$AD$2&amp;"*Zone People Number Of Occupants [](Hourly)",'Eplus results'!$1:$1048576,ROW(),FALSE)</f>
        <v>0</v>
      </c>
      <c r="AC840" s="580">
        <f>HLOOKUP("*"&amp;'Output annual'!$AC$2&amp;'Output annual'!$AD$2&amp;"*FangerPMV(Hourly)",'Eplus results'!$1:$1048576,ROW(),FALSE)</f>
        <v>0</v>
      </c>
      <c r="AD840" s="580">
        <f t="shared" si="101"/>
        <v>5</v>
      </c>
      <c r="AE840" s="580">
        <f t="shared" si="102"/>
        <v>2.5</v>
      </c>
      <c r="AF840" s="580">
        <f t="shared" si="103"/>
        <v>2.5</v>
      </c>
      <c r="AG840" s="580">
        <f t="shared" si="104"/>
        <v>0</v>
      </c>
      <c r="AH840" s="580">
        <f t="shared" si="105"/>
        <v>0</v>
      </c>
    </row>
    <row r="841" spans="28:34">
      <c r="AB841" s="580">
        <f>HLOOKUP("*"&amp;'Output annual'!$AC$2&amp;'Output annual'!$AD$2&amp;"*Zone People Number Of Occupants [](Hourly)",'Eplus results'!$1:$1048576,ROW(),FALSE)</f>
        <v>0</v>
      </c>
      <c r="AC841" s="580">
        <f>HLOOKUP("*"&amp;'Output annual'!$AC$2&amp;'Output annual'!$AD$2&amp;"*FangerPMV(Hourly)",'Eplus results'!$1:$1048576,ROW(),FALSE)</f>
        <v>0</v>
      </c>
      <c r="AD841" s="580">
        <f t="shared" si="101"/>
        <v>5</v>
      </c>
      <c r="AE841" s="580">
        <f t="shared" si="102"/>
        <v>2.5</v>
      </c>
      <c r="AF841" s="580">
        <f t="shared" si="103"/>
        <v>2.5</v>
      </c>
      <c r="AG841" s="580">
        <f t="shared" si="104"/>
        <v>0</v>
      </c>
      <c r="AH841" s="580">
        <f t="shared" si="105"/>
        <v>0</v>
      </c>
    </row>
    <row r="842" spans="28:34">
      <c r="AB842" s="580">
        <f>HLOOKUP("*"&amp;'Output annual'!$AC$2&amp;'Output annual'!$AD$2&amp;"*Zone People Number Of Occupants [](Hourly)",'Eplus results'!$1:$1048576,ROW(),FALSE)</f>
        <v>0</v>
      </c>
      <c r="AC842" s="580">
        <f>HLOOKUP("*"&amp;'Output annual'!$AC$2&amp;'Output annual'!$AD$2&amp;"*FangerPMV(Hourly)",'Eplus results'!$1:$1048576,ROW(),FALSE)</f>
        <v>0</v>
      </c>
      <c r="AD842" s="580">
        <f t="shared" si="101"/>
        <v>5</v>
      </c>
      <c r="AE842" s="580">
        <f t="shared" si="102"/>
        <v>2.5</v>
      </c>
      <c r="AF842" s="580">
        <f t="shared" si="103"/>
        <v>2.5</v>
      </c>
      <c r="AG842" s="580">
        <f t="shared" si="104"/>
        <v>0</v>
      </c>
      <c r="AH842" s="580">
        <f t="shared" si="105"/>
        <v>0</v>
      </c>
    </row>
    <row r="843" spans="28:34">
      <c r="AB843" s="580">
        <f>HLOOKUP("*"&amp;'Output annual'!$AC$2&amp;'Output annual'!$AD$2&amp;"*Zone People Number Of Occupants [](Hourly)",'Eplus results'!$1:$1048576,ROW(),FALSE)</f>
        <v>0</v>
      </c>
      <c r="AC843" s="580">
        <f>HLOOKUP("*"&amp;'Output annual'!$AC$2&amp;'Output annual'!$AD$2&amp;"*FangerPMV(Hourly)",'Eplus results'!$1:$1048576,ROW(),FALSE)</f>
        <v>0</v>
      </c>
      <c r="AD843" s="580">
        <f t="shared" si="101"/>
        <v>5</v>
      </c>
      <c r="AE843" s="580">
        <f t="shared" si="102"/>
        <v>2.5</v>
      </c>
      <c r="AF843" s="580">
        <f t="shared" si="103"/>
        <v>2.5</v>
      </c>
      <c r="AG843" s="580">
        <f t="shared" si="104"/>
        <v>0</v>
      </c>
      <c r="AH843" s="580">
        <f t="shared" si="105"/>
        <v>0</v>
      </c>
    </row>
    <row r="844" spans="28:34">
      <c r="AB844" s="580">
        <f>HLOOKUP("*"&amp;'Output annual'!$AC$2&amp;'Output annual'!$AD$2&amp;"*Zone People Number Of Occupants [](Hourly)",'Eplus results'!$1:$1048576,ROW(),FALSE)</f>
        <v>0</v>
      </c>
      <c r="AC844" s="580">
        <f>HLOOKUP("*"&amp;'Output annual'!$AC$2&amp;'Output annual'!$AD$2&amp;"*FangerPMV(Hourly)",'Eplus results'!$1:$1048576,ROW(),FALSE)</f>
        <v>0</v>
      </c>
      <c r="AD844" s="580">
        <f t="shared" si="101"/>
        <v>5</v>
      </c>
      <c r="AE844" s="580">
        <f t="shared" si="102"/>
        <v>2.5</v>
      </c>
      <c r="AF844" s="580">
        <f t="shared" si="103"/>
        <v>2.5</v>
      </c>
      <c r="AG844" s="580">
        <f t="shared" si="104"/>
        <v>0</v>
      </c>
      <c r="AH844" s="580">
        <f t="shared" si="105"/>
        <v>0</v>
      </c>
    </row>
    <row r="845" spans="28:34">
      <c r="AB845" s="580">
        <f>HLOOKUP("*"&amp;'Output annual'!$AC$2&amp;'Output annual'!$AD$2&amp;"*Zone People Number Of Occupants [](Hourly)",'Eplus results'!$1:$1048576,ROW(),FALSE)</f>
        <v>0</v>
      </c>
      <c r="AC845" s="580">
        <f>HLOOKUP("*"&amp;'Output annual'!$AC$2&amp;'Output annual'!$AD$2&amp;"*FangerPMV(Hourly)",'Eplus results'!$1:$1048576,ROW(),FALSE)</f>
        <v>0</v>
      </c>
      <c r="AD845" s="580">
        <f t="shared" si="101"/>
        <v>5</v>
      </c>
      <c r="AE845" s="580">
        <f t="shared" si="102"/>
        <v>2.5</v>
      </c>
      <c r="AF845" s="580">
        <f t="shared" si="103"/>
        <v>2.5</v>
      </c>
      <c r="AG845" s="580">
        <f t="shared" si="104"/>
        <v>0</v>
      </c>
      <c r="AH845" s="580">
        <f t="shared" si="105"/>
        <v>0</v>
      </c>
    </row>
    <row r="846" spans="28:34">
      <c r="AB846" s="580">
        <f>HLOOKUP("*"&amp;'Output annual'!$AC$2&amp;'Output annual'!$AD$2&amp;"*Zone People Number Of Occupants [](Hourly)",'Eplus results'!$1:$1048576,ROW(),FALSE)</f>
        <v>0</v>
      </c>
      <c r="AC846" s="580">
        <f>HLOOKUP("*"&amp;'Output annual'!$AC$2&amp;'Output annual'!$AD$2&amp;"*FangerPMV(Hourly)",'Eplus results'!$1:$1048576,ROW(),FALSE)</f>
        <v>0</v>
      </c>
      <c r="AD846" s="580">
        <f t="shared" si="101"/>
        <v>5</v>
      </c>
      <c r="AE846" s="580">
        <f t="shared" si="102"/>
        <v>2.5</v>
      </c>
      <c r="AF846" s="580">
        <f t="shared" si="103"/>
        <v>2.5</v>
      </c>
      <c r="AG846" s="580">
        <f t="shared" si="104"/>
        <v>0</v>
      </c>
      <c r="AH846" s="580">
        <f t="shared" si="105"/>
        <v>0</v>
      </c>
    </row>
    <row r="847" spans="28:34">
      <c r="AB847" s="580">
        <f>HLOOKUP("*"&amp;'Output annual'!$AC$2&amp;'Output annual'!$AD$2&amp;"*Zone People Number Of Occupants [](Hourly)",'Eplus results'!$1:$1048576,ROW(),FALSE)</f>
        <v>0</v>
      </c>
      <c r="AC847" s="580">
        <f>HLOOKUP("*"&amp;'Output annual'!$AC$2&amp;'Output annual'!$AD$2&amp;"*FangerPMV(Hourly)",'Eplus results'!$1:$1048576,ROW(),FALSE)</f>
        <v>0</v>
      </c>
      <c r="AD847" s="580">
        <f t="shared" si="101"/>
        <v>5</v>
      </c>
      <c r="AE847" s="580">
        <f t="shared" si="102"/>
        <v>2.5</v>
      </c>
      <c r="AF847" s="580">
        <f t="shared" si="103"/>
        <v>2.5</v>
      </c>
      <c r="AG847" s="580">
        <f t="shared" si="104"/>
        <v>0</v>
      </c>
      <c r="AH847" s="580">
        <f t="shared" si="105"/>
        <v>0</v>
      </c>
    </row>
    <row r="848" spans="28:34">
      <c r="AB848" s="580">
        <f>HLOOKUP("*"&amp;'Output annual'!$AC$2&amp;'Output annual'!$AD$2&amp;"*Zone People Number Of Occupants [](Hourly)",'Eplus results'!$1:$1048576,ROW(),FALSE)</f>
        <v>0</v>
      </c>
      <c r="AC848" s="580">
        <f>HLOOKUP("*"&amp;'Output annual'!$AC$2&amp;'Output annual'!$AD$2&amp;"*FangerPMV(Hourly)",'Eplus results'!$1:$1048576,ROW(),FALSE)</f>
        <v>0</v>
      </c>
      <c r="AD848" s="580">
        <f t="shared" si="101"/>
        <v>5</v>
      </c>
      <c r="AE848" s="580">
        <f t="shared" si="102"/>
        <v>2.5</v>
      </c>
      <c r="AF848" s="580">
        <f t="shared" si="103"/>
        <v>2.5</v>
      </c>
      <c r="AG848" s="580">
        <f t="shared" si="104"/>
        <v>0</v>
      </c>
      <c r="AH848" s="580">
        <f t="shared" si="105"/>
        <v>0</v>
      </c>
    </row>
    <row r="849" spans="28:34">
      <c r="AB849" s="580">
        <f>HLOOKUP("*"&amp;'Output annual'!$AC$2&amp;'Output annual'!$AD$2&amp;"*Zone People Number Of Occupants [](Hourly)",'Eplus results'!$1:$1048576,ROW(),FALSE)</f>
        <v>0</v>
      </c>
      <c r="AC849" s="580">
        <f>HLOOKUP("*"&amp;'Output annual'!$AC$2&amp;'Output annual'!$AD$2&amp;"*FangerPMV(Hourly)",'Eplus results'!$1:$1048576,ROW(),FALSE)</f>
        <v>0</v>
      </c>
      <c r="AD849" s="580">
        <f t="shared" si="101"/>
        <v>5</v>
      </c>
      <c r="AE849" s="580">
        <f t="shared" si="102"/>
        <v>2.5</v>
      </c>
      <c r="AF849" s="580">
        <f t="shared" si="103"/>
        <v>2.5</v>
      </c>
      <c r="AG849" s="580">
        <f t="shared" si="104"/>
        <v>0</v>
      </c>
      <c r="AH849" s="580">
        <f t="shared" si="105"/>
        <v>0</v>
      </c>
    </row>
    <row r="850" spans="28:34">
      <c r="AB850" s="580">
        <f>HLOOKUP("*"&amp;'Output annual'!$AC$2&amp;'Output annual'!$AD$2&amp;"*Zone People Number Of Occupants [](Hourly)",'Eplus results'!$1:$1048576,ROW(),FALSE)</f>
        <v>0</v>
      </c>
      <c r="AC850" s="580">
        <f>HLOOKUP("*"&amp;'Output annual'!$AC$2&amp;'Output annual'!$AD$2&amp;"*FangerPMV(Hourly)",'Eplus results'!$1:$1048576,ROW(),FALSE)</f>
        <v>0</v>
      </c>
      <c r="AD850" s="580">
        <f t="shared" si="101"/>
        <v>5</v>
      </c>
      <c r="AE850" s="580">
        <f t="shared" si="102"/>
        <v>2.5</v>
      </c>
      <c r="AF850" s="580">
        <f t="shared" si="103"/>
        <v>2.5</v>
      </c>
      <c r="AG850" s="580">
        <f t="shared" si="104"/>
        <v>0</v>
      </c>
      <c r="AH850" s="580">
        <f t="shared" si="105"/>
        <v>0</v>
      </c>
    </row>
    <row r="851" spans="28:34">
      <c r="AB851" s="580">
        <f>HLOOKUP("*"&amp;'Output annual'!$AC$2&amp;'Output annual'!$AD$2&amp;"*Zone People Number Of Occupants [](Hourly)",'Eplus results'!$1:$1048576,ROW(),FALSE)</f>
        <v>0</v>
      </c>
      <c r="AC851" s="580">
        <f>HLOOKUP("*"&amp;'Output annual'!$AC$2&amp;'Output annual'!$AD$2&amp;"*FangerPMV(Hourly)",'Eplus results'!$1:$1048576,ROW(),FALSE)</f>
        <v>0</v>
      </c>
      <c r="AD851" s="580">
        <f t="shared" si="101"/>
        <v>5</v>
      </c>
      <c r="AE851" s="580">
        <f t="shared" si="102"/>
        <v>2.5</v>
      </c>
      <c r="AF851" s="580">
        <f t="shared" si="103"/>
        <v>2.5</v>
      </c>
      <c r="AG851" s="580">
        <f t="shared" si="104"/>
        <v>0</v>
      </c>
      <c r="AH851" s="580">
        <f t="shared" si="105"/>
        <v>0</v>
      </c>
    </row>
    <row r="852" spans="28:34">
      <c r="AB852" s="580">
        <f>HLOOKUP("*"&amp;'Output annual'!$AC$2&amp;'Output annual'!$AD$2&amp;"*Zone People Number Of Occupants [](Hourly)",'Eplus results'!$1:$1048576,ROW(),FALSE)</f>
        <v>0</v>
      </c>
      <c r="AC852" s="580">
        <f>HLOOKUP("*"&amp;'Output annual'!$AC$2&amp;'Output annual'!$AD$2&amp;"*FangerPMV(Hourly)",'Eplus results'!$1:$1048576,ROW(),FALSE)</f>
        <v>0</v>
      </c>
      <c r="AD852" s="580">
        <f t="shared" si="101"/>
        <v>5</v>
      </c>
      <c r="AE852" s="580">
        <f t="shared" si="102"/>
        <v>2.5</v>
      </c>
      <c r="AF852" s="580">
        <f t="shared" si="103"/>
        <v>2.5</v>
      </c>
      <c r="AG852" s="580">
        <f t="shared" si="104"/>
        <v>0</v>
      </c>
      <c r="AH852" s="580">
        <f t="shared" si="105"/>
        <v>0</v>
      </c>
    </row>
    <row r="853" spans="28:34">
      <c r="AB853" s="580">
        <f>HLOOKUP("*"&amp;'Output annual'!$AC$2&amp;'Output annual'!$AD$2&amp;"*Zone People Number Of Occupants [](Hourly)",'Eplus results'!$1:$1048576,ROW(),FALSE)</f>
        <v>0</v>
      </c>
      <c r="AC853" s="580">
        <f>HLOOKUP("*"&amp;'Output annual'!$AC$2&amp;'Output annual'!$AD$2&amp;"*FangerPMV(Hourly)",'Eplus results'!$1:$1048576,ROW(),FALSE)</f>
        <v>0</v>
      </c>
      <c r="AD853" s="580">
        <f t="shared" si="101"/>
        <v>5</v>
      </c>
      <c r="AE853" s="580">
        <f t="shared" si="102"/>
        <v>2.5</v>
      </c>
      <c r="AF853" s="580">
        <f t="shared" si="103"/>
        <v>2.5</v>
      </c>
      <c r="AG853" s="580">
        <f t="shared" si="104"/>
        <v>0</v>
      </c>
      <c r="AH853" s="580">
        <f t="shared" si="105"/>
        <v>0</v>
      </c>
    </row>
    <row r="854" spans="28:34">
      <c r="AB854" s="580">
        <f>HLOOKUP("*"&amp;'Output annual'!$AC$2&amp;'Output annual'!$AD$2&amp;"*Zone People Number Of Occupants [](Hourly)",'Eplus results'!$1:$1048576,ROW(),FALSE)</f>
        <v>0</v>
      </c>
      <c r="AC854" s="580">
        <f>HLOOKUP("*"&amp;'Output annual'!$AC$2&amp;'Output annual'!$AD$2&amp;"*FangerPMV(Hourly)",'Eplus results'!$1:$1048576,ROW(),FALSE)</f>
        <v>0</v>
      </c>
      <c r="AD854" s="580">
        <f t="shared" si="101"/>
        <v>5</v>
      </c>
      <c r="AE854" s="580">
        <f t="shared" si="102"/>
        <v>2.5</v>
      </c>
      <c r="AF854" s="580">
        <f t="shared" si="103"/>
        <v>2.5</v>
      </c>
      <c r="AG854" s="580">
        <f t="shared" si="104"/>
        <v>0</v>
      </c>
      <c r="AH854" s="580">
        <f t="shared" si="105"/>
        <v>0</v>
      </c>
    </row>
    <row r="855" spans="28:34">
      <c r="AB855" s="580">
        <f>HLOOKUP("*"&amp;'Output annual'!$AC$2&amp;'Output annual'!$AD$2&amp;"*Zone People Number Of Occupants [](Hourly)",'Eplus results'!$1:$1048576,ROW(),FALSE)</f>
        <v>0</v>
      </c>
      <c r="AC855" s="580">
        <f>HLOOKUP("*"&amp;'Output annual'!$AC$2&amp;'Output annual'!$AD$2&amp;"*FangerPMV(Hourly)",'Eplus results'!$1:$1048576,ROW(),FALSE)</f>
        <v>0</v>
      </c>
      <c r="AD855" s="580">
        <f t="shared" si="101"/>
        <v>5</v>
      </c>
      <c r="AE855" s="580">
        <f t="shared" si="102"/>
        <v>2.5</v>
      </c>
      <c r="AF855" s="580">
        <f t="shared" si="103"/>
        <v>2.5</v>
      </c>
      <c r="AG855" s="580">
        <f t="shared" si="104"/>
        <v>0</v>
      </c>
      <c r="AH855" s="580">
        <f t="shared" si="105"/>
        <v>0</v>
      </c>
    </row>
    <row r="856" spans="28:34">
      <c r="AB856" s="580">
        <f>HLOOKUP("*"&amp;'Output annual'!$AC$2&amp;'Output annual'!$AD$2&amp;"*Zone People Number Of Occupants [](Hourly)",'Eplus results'!$1:$1048576,ROW(),FALSE)</f>
        <v>0</v>
      </c>
      <c r="AC856" s="580">
        <f>HLOOKUP("*"&amp;'Output annual'!$AC$2&amp;'Output annual'!$AD$2&amp;"*FangerPMV(Hourly)",'Eplus results'!$1:$1048576,ROW(),FALSE)</f>
        <v>0</v>
      </c>
      <c r="AD856" s="580">
        <f t="shared" si="101"/>
        <v>5</v>
      </c>
      <c r="AE856" s="580">
        <f t="shared" si="102"/>
        <v>2.5</v>
      </c>
      <c r="AF856" s="580">
        <f t="shared" si="103"/>
        <v>2.5</v>
      </c>
      <c r="AG856" s="580">
        <f t="shared" si="104"/>
        <v>0</v>
      </c>
      <c r="AH856" s="580">
        <f t="shared" si="105"/>
        <v>0</v>
      </c>
    </row>
    <row r="857" spans="28:34">
      <c r="AB857" s="580">
        <f>HLOOKUP("*"&amp;'Output annual'!$AC$2&amp;'Output annual'!$AD$2&amp;"*Zone People Number Of Occupants [](Hourly)",'Eplus results'!$1:$1048576,ROW(),FALSE)</f>
        <v>0</v>
      </c>
      <c r="AC857" s="580">
        <f>HLOOKUP("*"&amp;'Output annual'!$AC$2&amp;'Output annual'!$AD$2&amp;"*FangerPMV(Hourly)",'Eplus results'!$1:$1048576,ROW(),FALSE)</f>
        <v>0</v>
      </c>
      <c r="AD857" s="580">
        <f t="shared" si="101"/>
        <v>5</v>
      </c>
      <c r="AE857" s="580">
        <f t="shared" si="102"/>
        <v>2.5</v>
      </c>
      <c r="AF857" s="580">
        <f t="shared" si="103"/>
        <v>2.5</v>
      </c>
      <c r="AG857" s="580">
        <f t="shared" si="104"/>
        <v>0</v>
      </c>
      <c r="AH857" s="580">
        <f t="shared" si="105"/>
        <v>0</v>
      </c>
    </row>
    <row r="858" spans="28:34">
      <c r="AB858" s="580">
        <f>HLOOKUP("*"&amp;'Output annual'!$AC$2&amp;'Output annual'!$AD$2&amp;"*Zone People Number Of Occupants [](Hourly)",'Eplus results'!$1:$1048576,ROW(),FALSE)</f>
        <v>0</v>
      </c>
      <c r="AC858" s="580">
        <f>HLOOKUP("*"&amp;'Output annual'!$AC$2&amp;'Output annual'!$AD$2&amp;"*FangerPMV(Hourly)",'Eplus results'!$1:$1048576,ROW(),FALSE)</f>
        <v>0</v>
      </c>
      <c r="AD858" s="580">
        <f t="shared" si="101"/>
        <v>5</v>
      </c>
      <c r="AE858" s="580">
        <f t="shared" si="102"/>
        <v>2.5</v>
      </c>
      <c r="AF858" s="580">
        <f t="shared" si="103"/>
        <v>2.5</v>
      </c>
      <c r="AG858" s="580">
        <f t="shared" si="104"/>
        <v>0</v>
      </c>
      <c r="AH858" s="580">
        <f t="shared" si="105"/>
        <v>0</v>
      </c>
    </row>
    <row r="859" spans="28:34">
      <c r="AB859" s="580">
        <f>HLOOKUP("*"&amp;'Output annual'!$AC$2&amp;'Output annual'!$AD$2&amp;"*Zone People Number Of Occupants [](Hourly)",'Eplus results'!$1:$1048576,ROW(),FALSE)</f>
        <v>0</v>
      </c>
      <c r="AC859" s="580">
        <f>HLOOKUP("*"&amp;'Output annual'!$AC$2&amp;'Output annual'!$AD$2&amp;"*FangerPMV(Hourly)",'Eplus results'!$1:$1048576,ROW(),FALSE)</f>
        <v>0</v>
      </c>
      <c r="AD859" s="580">
        <f t="shared" si="101"/>
        <v>5</v>
      </c>
      <c r="AE859" s="580">
        <f t="shared" si="102"/>
        <v>2.5</v>
      </c>
      <c r="AF859" s="580">
        <f t="shared" si="103"/>
        <v>2.5</v>
      </c>
      <c r="AG859" s="580">
        <f t="shared" si="104"/>
        <v>0</v>
      </c>
      <c r="AH859" s="580">
        <f t="shared" si="105"/>
        <v>0</v>
      </c>
    </row>
    <row r="860" spans="28:34">
      <c r="AB860" s="580">
        <f>HLOOKUP("*"&amp;'Output annual'!$AC$2&amp;'Output annual'!$AD$2&amp;"*Zone People Number Of Occupants [](Hourly)",'Eplus results'!$1:$1048576,ROW(),FALSE)</f>
        <v>0</v>
      </c>
      <c r="AC860" s="580">
        <f>HLOOKUP("*"&amp;'Output annual'!$AC$2&amp;'Output annual'!$AD$2&amp;"*FangerPMV(Hourly)",'Eplus results'!$1:$1048576,ROW(),FALSE)</f>
        <v>0</v>
      </c>
      <c r="AD860" s="580">
        <f t="shared" si="101"/>
        <v>5</v>
      </c>
      <c r="AE860" s="580">
        <f t="shared" si="102"/>
        <v>2.5</v>
      </c>
      <c r="AF860" s="580">
        <f t="shared" si="103"/>
        <v>2.5</v>
      </c>
      <c r="AG860" s="580">
        <f t="shared" si="104"/>
        <v>0</v>
      </c>
      <c r="AH860" s="580">
        <f t="shared" si="105"/>
        <v>0</v>
      </c>
    </row>
    <row r="861" spans="28:34">
      <c r="AB861" s="580">
        <f>HLOOKUP("*"&amp;'Output annual'!$AC$2&amp;'Output annual'!$AD$2&amp;"*Zone People Number Of Occupants [](Hourly)",'Eplus results'!$1:$1048576,ROW(),FALSE)</f>
        <v>0</v>
      </c>
      <c r="AC861" s="580">
        <f>HLOOKUP("*"&amp;'Output annual'!$AC$2&amp;'Output annual'!$AD$2&amp;"*FangerPMV(Hourly)",'Eplus results'!$1:$1048576,ROW(),FALSE)</f>
        <v>0</v>
      </c>
      <c r="AD861" s="580">
        <f t="shared" si="101"/>
        <v>5</v>
      </c>
      <c r="AE861" s="580">
        <f t="shared" si="102"/>
        <v>2.5</v>
      </c>
      <c r="AF861" s="580">
        <f t="shared" si="103"/>
        <v>2.5</v>
      </c>
      <c r="AG861" s="580">
        <f t="shared" si="104"/>
        <v>0</v>
      </c>
      <c r="AH861" s="580">
        <f t="shared" si="105"/>
        <v>0</v>
      </c>
    </row>
    <row r="862" spans="28:34">
      <c r="AB862" s="580">
        <f>HLOOKUP("*"&amp;'Output annual'!$AC$2&amp;'Output annual'!$AD$2&amp;"*Zone People Number Of Occupants [](Hourly)",'Eplus results'!$1:$1048576,ROW(),FALSE)</f>
        <v>0</v>
      </c>
      <c r="AC862" s="580">
        <f>HLOOKUP("*"&amp;'Output annual'!$AC$2&amp;'Output annual'!$AD$2&amp;"*FangerPMV(Hourly)",'Eplus results'!$1:$1048576,ROW(),FALSE)</f>
        <v>0</v>
      </c>
      <c r="AD862" s="580">
        <f t="shared" si="101"/>
        <v>5</v>
      </c>
      <c r="AE862" s="580">
        <f t="shared" si="102"/>
        <v>2.5</v>
      </c>
      <c r="AF862" s="580">
        <f t="shared" si="103"/>
        <v>2.5</v>
      </c>
      <c r="AG862" s="580">
        <f t="shared" si="104"/>
        <v>0</v>
      </c>
      <c r="AH862" s="580">
        <f t="shared" si="105"/>
        <v>0</v>
      </c>
    </row>
    <row r="863" spans="28:34">
      <c r="AB863" s="580">
        <f>HLOOKUP("*"&amp;'Output annual'!$AC$2&amp;'Output annual'!$AD$2&amp;"*Zone People Number Of Occupants [](Hourly)",'Eplus results'!$1:$1048576,ROW(),FALSE)</f>
        <v>0</v>
      </c>
      <c r="AC863" s="580">
        <f>HLOOKUP("*"&amp;'Output annual'!$AC$2&amp;'Output annual'!$AD$2&amp;"*FangerPMV(Hourly)",'Eplus results'!$1:$1048576,ROW(),FALSE)</f>
        <v>0</v>
      </c>
      <c r="AD863" s="580">
        <f t="shared" si="101"/>
        <v>5</v>
      </c>
      <c r="AE863" s="580">
        <f t="shared" si="102"/>
        <v>2.5</v>
      </c>
      <c r="AF863" s="580">
        <f t="shared" si="103"/>
        <v>2.5</v>
      </c>
      <c r="AG863" s="580">
        <f t="shared" si="104"/>
        <v>0</v>
      </c>
      <c r="AH863" s="580">
        <f t="shared" si="105"/>
        <v>0</v>
      </c>
    </row>
    <row r="864" spans="28:34">
      <c r="AB864" s="580">
        <f>HLOOKUP("*"&amp;'Output annual'!$AC$2&amp;'Output annual'!$AD$2&amp;"*Zone People Number Of Occupants [](Hourly)",'Eplus results'!$1:$1048576,ROW(),FALSE)</f>
        <v>0</v>
      </c>
      <c r="AC864" s="580">
        <f>HLOOKUP("*"&amp;'Output annual'!$AC$2&amp;'Output annual'!$AD$2&amp;"*FangerPMV(Hourly)",'Eplus results'!$1:$1048576,ROW(),FALSE)</f>
        <v>0</v>
      </c>
      <c r="AD864" s="580">
        <f t="shared" si="101"/>
        <v>5</v>
      </c>
      <c r="AE864" s="580">
        <f t="shared" si="102"/>
        <v>2.5</v>
      </c>
      <c r="AF864" s="580">
        <f t="shared" si="103"/>
        <v>2.5</v>
      </c>
      <c r="AG864" s="580">
        <f t="shared" si="104"/>
        <v>0</v>
      </c>
      <c r="AH864" s="580">
        <f t="shared" si="105"/>
        <v>0</v>
      </c>
    </row>
    <row r="865" spans="28:34">
      <c r="AB865" s="580">
        <f>HLOOKUP("*"&amp;'Output annual'!$AC$2&amp;'Output annual'!$AD$2&amp;"*Zone People Number Of Occupants [](Hourly)",'Eplus results'!$1:$1048576,ROW(),FALSE)</f>
        <v>0</v>
      </c>
      <c r="AC865" s="580">
        <f>HLOOKUP("*"&amp;'Output annual'!$AC$2&amp;'Output annual'!$AD$2&amp;"*FangerPMV(Hourly)",'Eplus results'!$1:$1048576,ROW(),FALSE)</f>
        <v>0</v>
      </c>
      <c r="AD865" s="580">
        <f t="shared" si="101"/>
        <v>5</v>
      </c>
      <c r="AE865" s="580">
        <f t="shared" si="102"/>
        <v>2.5</v>
      </c>
      <c r="AF865" s="580">
        <f t="shared" si="103"/>
        <v>2.5</v>
      </c>
      <c r="AG865" s="580">
        <f t="shared" si="104"/>
        <v>0</v>
      </c>
      <c r="AH865" s="580">
        <f t="shared" si="105"/>
        <v>0</v>
      </c>
    </row>
    <row r="866" spans="28:34">
      <c r="AB866" s="580">
        <f>HLOOKUP("*"&amp;'Output annual'!$AC$2&amp;'Output annual'!$AD$2&amp;"*Zone People Number Of Occupants [](Hourly)",'Eplus results'!$1:$1048576,ROW(),FALSE)</f>
        <v>0</v>
      </c>
      <c r="AC866" s="580">
        <f>HLOOKUP("*"&amp;'Output annual'!$AC$2&amp;'Output annual'!$AD$2&amp;"*FangerPMV(Hourly)",'Eplus results'!$1:$1048576,ROW(),FALSE)</f>
        <v>0</v>
      </c>
      <c r="AD866" s="580">
        <f t="shared" si="101"/>
        <v>5</v>
      </c>
      <c r="AE866" s="580">
        <f t="shared" si="102"/>
        <v>2.5</v>
      </c>
      <c r="AF866" s="580">
        <f t="shared" si="103"/>
        <v>2.5</v>
      </c>
      <c r="AG866" s="580">
        <f t="shared" si="104"/>
        <v>0</v>
      </c>
      <c r="AH866" s="580">
        <f t="shared" si="105"/>
        <v>0</v>
      </c>
    </row>
    <row r="867" spans="28:34">
      <c r="AB867" s="580">
        <f>HLOOKUP("*"&amp;'Output annual'!$AC$2&amp;'Output annual'!$AD$2&amp;"*Zone People Number Of Occupants [](Hourly)",'Eplus results'!$1:$1048576,ROW(),FALSE)</f>
        <v>0</v>
      </c>
      <c r="AC867" s="580">
        <f>HLOOKUP("*"&amp;'Output annual'!$AC$2&amp;'Output annual'!$AD$2&amp;"*FangerPMV(Hourly)",'Eplus results'!$1:$1048576,ROW(),FALSE)</f>
        <v>0</v>
      </c>
      <c r="AD867" s="580">
        <f t="shared" si="101"/>
        <v>5</v>
      </c>
      <c r="AE867" s="580">
        <f t="shared" si="102"/>
        <v>2.5</v>
      </c>
      <c r="AF867" s="580">
        <f t="shared" si="103"/>
        <v>2.5</v>
      </c>
      <c r="AG867" s="580">
        <f t="shared" si="104"/>
        <v>0</v>
      </c>
      <c r="AH867" s="580">
        <f t="shared" si="105"/>
        <v>0</v>
      </c>
    </row>
    <row r="868" spans="28:34">
      <c r="AB868" s="580">
        <f>HLOOKUP("*"&amp;'Output annual'!$AC$2&amp;'Output annual'!$AD$2&amp;"*Zone People Number Of Occupants [](Hourly)",'Eplus results'!$1:$1048576,ROW(),FALSE)</f>
        <v>0</v>
      </c>
      <c r="AC868" s="580">
        <f>HLOOKUP("*"&amp;'Output annual'!$AC$2&amp;'Output annual'!$AD$2&amp;"*FangerPMV(Hourly)",'Eplus results'!$1:$1048576,ROW(),FALSE)</f>
        <v>0</v>
      </c>
      <c r="AD868" s="580">
        <f t="shared" si="101"/>
        <v>5</v>
      </c>
      <c r="AE868" s="580">
        <f t="shared" si="102"/>
        <v>2.5</v>
      </c>
      <c r="AF868" s="580">
        <f t="shared" si="103"/>
        <v>2.5</v>
      </c>
      <c r="AG868" s="580">
        <f t="shared" si="104"/>
        <v>0</v>
      </c>
      <c r="AH868" s="580">
        <f t="shared" si="105"/>
        <v>0</v>
      </c>
    </row>
    <row r="869" spans="28:34">
      <c r="AB869" s="580">
        <f>HLOOKUP("*"&amp;'Output annual'!$AC$2&amp;'Output annual'!$AD$2&amp;"*Zone People Number Of Occupants [](Hourly)",'Eplus results'!$1:$1048576,ROW(),FALSE)</f>
        <v>0</v>
      </c>
      <c r="AC869" s="580">
        <f>HLOOKUP("*"&amp;'Output annual'!$AC$2&amp;'Output annual'!$AD$2&amp;"*FangerPMV(Hourly)",'Eplus results'!$1:$1048576,ROW(),FALSE)</f>
        <v>0</v>
      </c>
      <c r="AD869" s="580">
        <f t="shared" si="101"/>
        <v>5</v>
      </c>
      <c r="AE869" s="580">
        <f t="shared" si="102"/>
        <v>2.5</v>
      </c>
      <c r="AF869" s="580">
        <f t="shared" si="103"/>
        <v>2.5</v>
      </c>
      <c r="AG869" s="580">
        <f t="shared" si="104"/>
        <v>0</v>
      </c>
      <c r="AH869" s="580">
        <f t="shared" si="105"/>
        <v>0</v>
      </c>
    </row>
    <row r="870" spans="28:34">
      <c r="AB870" s="580">
        <f>HLOOKUP("*"&amp;'Output annual'!$AC$2&amp;'Output annual'!$AD$2&amp;"*Zone People Number Of Occupants [](Hourly)",'Eplus results'!$1:$1048576,ROW(),FALSE)</f>
        <v>0</v>
      </c>
      <c r="AC870" s="580">
        <f>HLOOKUP("*"&amp;'Output annual'!$AC$2&amp;'Output annual'!$AD$2&amp;"*FangerPMV(Hourly)",'Eplus results'!$1:$1048576,ROW(),FALSE)</f>
        <v>0</v>
      </c>
      <c r="AD870" s="580">
        <f t="shared" si="101"/>
        <v>5</v>
      </c>
      <c r="AE870" s="580">
        <f t="shared" si="102"/>
        <v>2.5</v>
      </c>
      <c r="AF870" s="580">
        <f t="shared" si="103"/>
        <v>2.5</v>
      </c>
      <c r="AG870" s="580">
        <f t="shared" si="104"/>
        <v>0</v>
      </c>
      <c r="AH870" s="580">
        <f t="shared" si="105"/>
        <v>0</v>
      </c>
    </row>
    <row r="871" spans="28:34">
      <c r="AB871" s="580">
        <f>HLOOKUP("*"&amp;'Output annual'!$AC$2&amp;'Output annual'!$AD$2&amp;"*Zone People Number Of Occupants [](Hourly)",'Eplus results'!$1:$1048576,ROW(),FALSE)</f>
        <v>0</v>
      </c>
      <c r="AC871" s="580">
        <f>HLOOKUP("*"&amp;'Output annual'!$AC$2&amp;'Output annual'!$AD$2&amp;"*FangerPMV(Hourly)",'Eplus results'!$1:$1048576,ROW(),FALSE)</f>
        <v>0</v>
      </c>
      <c r="AD871" s="580">
        <f t="shared" si="101"/>
        <v>5</v>
      </c>
      <c r="AE871" s="580">
        <f t="shared" si="102"/>
        <v>2.5</v>
      </c>
      <c r="AF871" s="580">
        <f t="shared" si="103"/>
        <v>2.5</v>
      </c>
      <c r="AG871" s="580">
        <f t="shared" si="104"/>
        <v>0</v>
      </c>
      <c r="AH871" s="580">
        <f t="shared" si="105"/>
        <v>0</v>
      </c>
    </row>
    <row r="872" spans="28:34">
      <c r="AB872" s="580">
        <f>HLOOKUP("*"&amp;'Output annual'!$AC$2&amp;'Output annual'!$AD$2&amp;"*Zone People Number Of Occupants [](Hourly)",'Eplus results'!$1:$1048576,ROW(),FALSE)</f>
        <v>0</v>
      </c>
      <c r="AC872" s="580">
        <f>HLOOKUP("*"&amp;'Output annual'!$AC$2&amp;'Output annual'!$AD$2&amp;"*FangerPMV(Hourly)",'Eplus results'!$1:$1048576,ROW(),FALSE)</f>
        <v>0</v>
      </c>
      <c r="AD872" s="580">
        <f t="shared" si="101"/>
        <v>5</v>
      </c>
      <c r="AE872" s="580">
        <f t="shared" si="102"/>
        <v>2.5</v>
      </c>
      <c r="AF872" s="580">
        <f t="shared" si="103"/>
        <v>2.5</v>
      </c>
      <c r="AG872" s="580">
        <f t="shared" si="104"/>
        <v>0</v>
      </c>
      <c r="AH872" s="580">
        <f t="shared" si="105"/>
        <v>0</v>
      </c>
    </row>
    <row r="873" spans="28:34">
      <c r="AB873" s="580">
        <f>HLOOKUP("*"&amp;'Output annual'!$AC$2&amp;'Output annual'!$AD$2&amp;"*Zone People Number Of Occupants [](Hourly)",'Eplus results'!$1:$1048576,ROW(),FALSE)</f>
        <v>0</v>
      </c>
      <c r="AC873" s="580">
        <f>HLOOKUP("*"&amp;'Output annual'!$AC$2&amp;'Output annual'!$AD$2&amp;"*FangerPMV(Hourly)",'Eplus results'!$1:$1048576,ROW(),FALSE)</f>
        <v>0</v>
      </c>
      <c r="AD873" s="580">
        <f t="shared" si="101"/>
        <v>5</v>
      </c>
      <c r="AE873" s="580">
        <f t="shared" si="102"/>
        <v>2.5</v>
      </c>
      <c r="AF873" s="580">
        <f t="shared" si="103"/>
        <v>2.5</v>
      </c>
      <c r="AG873" s="580">
        <f t="shared" si="104"/>
        <v>0</v>
      </c>
      <c r="AH873" s="580">
        <f t="shared" si="105"/>
        <v>0</v>
      </c>
    </row>
    <row r="874" spans="28:34">
      <c r="AB874" s="580">
        <f>HLOOKUP("*"&amp;'Output annual'!$AC$2&amp;'Output annual'!$AD$2&amp;"*Zone People Number Of Occupants [](Hourly)",'Eplus results'!$1:$1048576,ROW(),FALSE)</f>
        <v>0</v>
      </c>
      <c r="AC874" s="580">
        <f>HLOOKUP("*"&amp;'Output annual'!$AC$2&amp;'Output annual'!$AD$2&amp;"*FangerPMV(Hourly)",'Eplus results'!$1:$1048576,ROW(),FALSE)</f>
        <v>0</v>
      </c>
      <c r="AD874" s="580">
        <f t="shared" si="101"/>
        <v>5</v>
      </c>
      <c r="AE874" s="580">
        <f t="shared" si="102"/>
        <v>2.5</v>
      </c>
      <c r="AF874" s="580">
        <f t="shared" si="103"/>
        <v>2.5</v>
      </c>
      <c r="AG874" s="580">
        <f t="shared" si="104"/>
        <v>0</v>
      </c>
      <c r="AH874" s="580">
        <f t="shared" si="105"/>
        <v>0</v>
      </c>
    </row>
    <row r="875" spans="28:34">
      <c r="AB875" s="580">
        <f>HLOOKUP("*"&amp;'Output annual'!$AC$2&amp;'Output annual'!$AD$2&amp;"*Zone People Number Of Occupants [](Hourly)",'Eplus results'!$1:$1048576,ROW(),FALSE)</f>
        <v>0</v>
      </c>
      <c r="AC875" s="580">
        <f>HLOOKUP("*"&amp;'Output annual'!$AC$2&amp;'Output annual'!$AD$2&amp;"*FangerPMV(Hourly)",'Eplus results'!$1:$1048576,ROW(),FALSE)</f>
        <v>0</v>
      </c>
      <c r="AD875" s="580">
        <f t="shared" si="101"/>
        <v>5</v>
      </c>
      <c r="AE875" s="580">
        <f t="shared" si="102"/>
        <v>2.5</v>
      </c>
      <c r="AF875" s="580">
        <f t="shared" si="103"/>
        <v>2.5</v>
      </c>
      <c r="AG875" s="580">
        <f t="shared" si="104"/>
        <v>0</v>
      </c>
      <c r="AH875" s="580">
        <f t="shared" si="105"/>
        <v>0</v>
      </c>
    </row>
    <row r="876" spans="28:34">
      <c r="AB876" s="580">
        <f>HLOOKUP("*"&amp;'Output annual'!$AC$2&amp;'Output annual'!$AD$2&amp;"*Zone People Number Of Occupants [](Hourly)",'Eplus results'!$1:$1048576,ROW(),FALSE)</f>
        <v>0</v>
      </c>
      <c r="AC876" s="580">
        <f>HLOOKUP("*"&amp;'Output annual'!$AC$2&amp;'Output annual'!$AD$2&amp;"*FangerPMV(Hourly)",'Eplus results'!$1:$1048576,ROW(),FALSE)</f>
        <v>0</v>
      </c>
      <c r="AD876" s="580">
        <f t="shared" si="101"/>
        <v>5</v>
      </c>
      <c r="AE876" s="580">
        <f t="shared" si="102"/>
        <v>2.5</v>
      </c>
      <c r="AF876" s="580">
        <f t="shared" si="103"/>
        <v>2.5</v>
      </c>
      <c r="AG876" s="580">
        <f t="shared" si="104"/>
        <v>0</v>
      </c>
      <c r="AH876" s="580">
        <f t="shared" si="105"/>
        <v>0</v>
      </c>
    </row>
    <row r="877" spans="28:34">
      <c r="AB877" s="580">
        <f>HLOOKUP("*"&amp;'Output annual'!$AC$2&amp;'Output annual'!$AD$2&amp;"*Zone People Number Of Occupants [](Hourly)",'Eplus results'!$1:$1048576,ROW(),FALSE)</f>
        <v>0</v>
      </c>
      <c r="AC877" s="580">
        <f>HLOOKUP("*"&amp;'Output annual'!$AC$2&amp;'Output annual'!$AD$2&amp;"*FangerPMV(Hourly)",'Eplus results'!$1:$1048576,ROW(),FALSE)</f>
        <v>0</v>
      </c>
      <c r="AD877" s="580">
        <f t="shared" si="101"/>
        <v>5</v>
      </c>
      <c r="AE877" s="580">
        <f t="shared" si="102"/>
        <v>2.5</v>
      </c>
      <c r="AF877" s="580">
        <f t="shared" si="103"/>
        <v>2.5</v>
      </c>
      <c r="AG877" s="580">
        <f t="shared" si="104"/>
        <v>0</v>
      </c>
      <c r="AH877" s="580">
        <f t="shared" si="105"/>
        <v>0</v>
      </c>
    </row>
    <row r="878" spans="28:34">
      <c r="AB878" s="580">
        <f>HLOOKUP("*"&amp;'Output annual'!$AC$2&amp;'Output annual'!$AD$2&amp;"*Zone People Number Of Occupants [](Hourly)",'Eplus results'!$1:$1048576,ROW(),FALSE)</f>
        <v>0</v>
      </c>
      <c r="AC878" s="580">
        <f>HLOOKUP("*"&amp;'Output annual'!$AC$2&amp;'Output annual'!$AD$2&amp;"*FangerPMV(Hourly)",'Eplus results'!$1:$1048576,ROW(),FALSE)</f>
        <v>0</v>
      </c>
      <c r="AD878" s="580">
        <f t="shared" si="101"/>
        <v>5</v>
      </c>
      <c r="AE878" s="580">
        <f t="shared" si="102"/>
        <v>2.5</v>
      </c>
      <c r="AF878" s="580">
        <f t="shared" si="103"/>
        <v>2.5</v>
      </c>
      <c r="AG878" s="580">
        <f t="shared" si="104"/>
        <v>0</v>
      </c>
      <c r="AH878" s="580">
        <f t="shared" si="105"/>
        <v>0</v>
      </c>
    </row>
    <row r="879" spans="28:34">
      <c r="AB879" s="580">
        <f>HLOOKUP("*"&amp;'Output annual'!$AC$2&amp;'Output annual'!$AD$2&amp;"*Zone People Number Of Occupants [](Hourly)",'Eplus results'!$1:$1048576,ROW(),FALSE)</f>
        <v>0</v>
      </c>
      <c r="AC879" s="580">
        <f>HLOOKUP("*"&amp;'Output annual'!$AC$2&amp;'Output annual'!$AD$2&amp;"*FangerPMV(Hourly)",'Eplus results'!$1:$1048576,ROW(),FALSE)</f>
        <v>0</v>
      </c>
      <c r="AD879" s="580">
        <f t="shared" si="101"/>
        <v>5</v>
      </c>
      <c r="AE879" s="580">
        <f t="shared" si="102"/>
        <v>2.5</v>
      </c>
      <c r="AF879" s="580">
        <f t="shared" si="103"/>
        <v>2.5</v>
      </c>
      <c r="AG879" s="580">
        <f t="shared" si="104"/>
        <v>0</v>
      </c>
      <c r="AH879" s="580">
        <f t="shared" si="105"/>
        <v>0</v>
      </c>
    </row>
    <row r="880" spans="28:34">
      <c r="AB880" s="580">
        <f>HLOOKUP("*"&amp;'Output annual'!$AC$2&amp;'Output annual'!$AD$2&amp;"*Zone People Number Of Occupants [](Hourly)",'Eplus results'!$1:$1048576,ROW(),FALSE)</f>
        <v>0</v>
      </c>
      <c r="AC880" s="580">
        <f>HLOOKUP("*"&amp;'Output annual'!$AC$2&amp;'Output annual'!$AD$2&amp;"*FangerPMV(Hourly)",'Eplus results'!$1:$1048576,ROW(),FALSE)</f>
        <v>0</v>
      </c>
      <c r="AD880" s="580">
        <f t="shared" si="101"/>
        <v>5</v>
      </c>
      <c r="AE880" s="580">
        <f t="shared" si="102"/>
        <v>2.5</v>
      </c>
      <c r="AF880" s="580">
        <f t="shared" si="103"/>
        <v>2.5</v>
      </c>
      <c r="AG880" s="580">
        <f t="shared" si="104"/>
        <v>0</v>
      </c>
      <c r="AH880" s="580">
        <f t="shared" si="105"/>
        <v>0</v>
      </c>
    </row>
    <row r="881" spans="28:34">
      <c r="AB881" s="580">
        <f>HLOOKUP("*"&amp;'Output annual'!$AC$2&amp;'Output annual'!$AD$2&amp;"*Zone People Number Of Occupants [](Hourly)",'Eplus results'!$1:$1048576,ROW(),FALSE)</f>
        <v>0</v>
      </c>
      <c r="AC881" s="580">
        <f>HLOOKUP("*"&amp;'Output annual'!$AC$2&amp;'Output annual'!$AD$2&amp;"*FangerPMV(Hourly)",'Eplus results'!$1:$1048576,ROW(),FALSE)</f>
        <v>0</v>
      </c>
      <c r="AD881" s="580">
        <f t="shared" si="101"/>
        <v>5</v>
      </c>
      <c r="AE881" s="580">
        <f t="shared" si="102"/>
        <v>2.5</v>
      </c>
      <c r="AF881" s="580">
        <f t="shared" si="103"/>
        <v>2.5</v>
      </c>
      <c r="AG881" s="580">
        <f t="shared" si="104"/>
        <v>0</v>
      </c>
      <c r="AH881" s="580">
        <f t="shared" si="105"/>
        <v>0</v>
      </c>
    </row>
    <row r="882" spans="28:34">
      <c r="AB882" s="580">
        <f>HLOOKUP("*"&amp;'Output annual'!$AC$2&amp;'Output annual'!$AD$2&amp;"*Zone People Number Of Occupants [](Hourly)",'Eplus results'!$1:$1048576,ROW(),FALSE)</f>
        <v>0</v>
      </c>
      <c r="AC882" s="580">
        <f>HLOOKUP("*"&amp;'Output annual'!$AC$2&amp;'Output annual'!$AD$2&amp;"*FangerPMV(Hourly)",'Eplus results'!$1:$1048576,ROW(),FALSE)</f>
        <v>0</v>
      </c>
      <c r="AD882" s="580">
        <f t="shared" si="101"/>
        <v>5</v>
      </c>
      <c r="AE882" s="580">
        <f t="shared" si="102"/>
        <v>2.5</v>
      </c>
      <c r="AF882" s="580">
        <f t="shared" si="103"/>
        <v>2.5</v>
      </c>
      <c r="AG882" s="580">
        <f t="shared" si="104"/>
        <v>0</v>
      </c>
      <c r="AH882" s="580">
        <f t="shared" si="105"/>
        <v>0</v>
      </c>
    </row>
    <row r="883" spans="28:34">
      <c r="AB883" s="580">
        <f>HLOOKUP("*"&amp;'Output annual'!$AC$2&amp;'Output annual'!$AD$2&amp;"*Zone People Number Of Occupants [](Hourly)",'Eplus results'!$1:$1048576,ROW(),FALSE)</f>
        <v>0</v>
      </c>
      <c r="AC883" s="580">
        <f>HLOOKUP("*"&amp;'Output annual'!$AC$2&amp;'Output annual'!$AD$2&amp;"*FangerPMV(Hourly)",'Eplus results'!$1:$1048576,ROW(),FALSE)</f>
        <v>0</v>
      </c>
      <c r="AD883" s="580">
        <f t="shared" si="101"/>
        <v>5</v>
      </c>
      <c r="AE883" s="580">
        <f t="shared" si="102"/>
        <v>2.5</v>
      </c>
      <c r="AF883" s="580">
        <f t="shared" si="103"/>
        <v>2.5</v>
      </c>
      <c r="AG883" s="580">
        <f t="shared" si="104"/>
        <v>0</v>
      </c>
      <c r="AH883" s="580">
        <f t="shared" si="105"/>
        <v>0</v>
      </c>
    </row>
    <row r="884" spans="28:34">
      <c r="AB884" s="580">
        <f>HLOOKUP("*"&amp;'Output annual'!$AC$2&amp;'Output annual'!$AD$2&amp;"*Zone People Number Of Occupants [](Hourly)",'Eplus results'!$1:$1048576,ROW(),FALSE)</f>
        <v>0</v>
      </c>
      <c r="AC884" s="580">
        <f>HLOOKUP("*"&amp;'Output annual'!$AC$2&amp;'Output annual'!$AD$2&amp;"*FangerPMV(Hourly)",'Eplus results'!$1:$1048576,ROW(),FALSE)</f>
        <v>0</v>
      </c>
      <c r="AD884" s="580">
        <f t="shared" si="101"/>
        <v>5</v>
      </c>
      <c r="AE884" s="580">
        <f t="shared" si="102"/>
        <v>2.5</v>
      </c>
      <c r="AF884" s="580">
        <f t="shared" si="103"/>
        <v>2.5</v>
      </c>
      <c r="AG884" s="580">
        <f t="shared" si="104"/>
        <v>0</v>
      </c>
      <c r="AH884" s="580">
        <f t="shared" si="105"/>
        <v>0</v>
      </c>
    </row>
    <row r="885" spans="28:34">
      <c r="AB885" s="580">
        <f>HLOOKUP("*"&amp;'Output annual'!$AC$2&amp;'Output annual'!$AD$2&amp;"*Zone People Number Of Occupants [](Hourly)",'Eplus results'!$1:$1048576,ROW(),FALSE)</f>
        <v>0</v>
      </c>
      <c r="AC885" s="580">
        <f>HLOOKUP("*"&amp;'Output annual'!$AC$2&amp;'Output annual'!$AD$2&amp;"*FangerPMV(Hourly)",'Eplus results'!$1:$1048576,ROW(),FALSE)</f>
        <v>0</v>
      </c>
      <c r="AD885" s="580">
        <f t="shared" si="101"/>
        <v>5</v>
      </c>
      <c r="AE885" s="580">
        <f t="shared" si="102"/>
        <v>2.5</v>
      </c>
      <c r="AF885" s="580">
        <f t="shared" si="103"/>
        <v>2.5</v>
      </c>
      <c r="AG885" s="580">
        <f t="shared" si="104"/>
        <v>0</v>
      </c>
      <c r="AH885" s="580">
        <f t="shared" si="105"/>
        <v>0</v>
      </c>
    </row>
    <row r="886" spans="28:34">
      <c r="AB886" s="580">
        <f>HLOOKUP("*"&amp;'Output annual'!$AC$2&amp;'Output annual'!$AD$2&amp;"*Zone People Number Of Occupants [](Hourly)",'Eplus results'!$1:$1048576,ROW(),FALSE)</f>
        <v>0</v>
      </c>
      <c r="AC886" s="580">
        <f>HLOOKUP("*"&amp;'Output annual'!$AC$2&amp;'Output annual'!$AD$2&amp;"*FangerPMV(Hourly)",'Eplus results'!$1:$1048576,ROW(),FALSE)</f>
        <v>0</v>
      </c>
      <c r="AD886" s="580">
        <f t="shared" si="101"/>
        <v>5</v>
      </c>
      <c r="AE886" s="580">
        <f t="shared" si="102"/>
        <v>2.5</v>
      </c>
      <c r="AF886" s="580">
        <f t="shared" si="103"/>
        <v>2.5</v>
      </c>
      <c r="AG886" s="580">
        <f t="shared" si="104"/>
        <v>0</v>
      </c>
      <c r="AH886" s="580">
        <f t="shared" si="105"/>
        <v>0</v>
      </c>
    </row>
    <row r="887" spans="28:34">
      <c r="AB887" s="580">
        <f>HLOOKUP("*"&amp;'Output annual'!$AC$2&amp;'Output annual'!$AD$2&amp;"*Zone People Number Of Occupants [](Hourly)",'Eplus results'!$1:$1048576,ROW(),FALSE)</f>
        <v>0</v>
      </c>
      <c r="AC887" s="580">
        <f>HLOOKUP("*"&amp;'Output annual'!$AC$2&amp;'Output annual'!$AD$2&amp;"*FangerPMV(Hourly)",'Eplus results'!$1:$1048576,ROW(),FALSE)</f>
        <v>0</v>
      </c>
      <c r="AD887" s="580">
        <f t="shared" si="101"/>
        <v>5</v>
      </c>
      <c r="AE887" s="580">
        <f t="shared" si="102"/>
        <v>2.5</v>
      </c>
      <c r="AF887" s="580">
        <f t="shared" si="103"/>
        <v>2.5</v>
      </c>
      <c r="AG887" s="580">
        <f t="shared" si="104"/>
        <v>0</v>
      </c>
      <c r="AH887" s="580">
        <f t="shared" si="105"/>
        <v>0</v>
      </c>
    </row>
    <row r="888" spans="28:34">
      <c r="AB888" s="580">
        <f>HLOOKUP("*"&amp;'Output annual'!$AC$2&amp;'Output annual'!$AD$2&amp;"*Zone People Number Of Occupants [](Hourly)",'Eplus results'!$1:$1048576,ROW(),FALSE)</f>
        <v>0</v>
      </c>
      <c r="AC888" s="580">
        <f>HLOOKUP("*"&amp;'Output annual'!$AC$2&amp;'Output annual'!$AD$2&amp;"*FangerPMV(Hourly)",'Eplus results'!$1:$1048576,ROW(),FALSE)</f>
        <v>0</v>
      </c>
      <c r="AD888" s="580">
        <f t="shared" si="101"/>
        <v>5</v>
      </c>
      <c r="AE888" s="580">
        <f t="shared" si="102"/>
        <v>2.5</v>
      </c>
      <c r="AF888" s="580">
        <f t="shared" si="103"/>
        <v>2.5</v>
      </c>
      <c r="AG888" s="580">
        <f t="shared" si="104"/>
        <v>0</v>
      </c>
      <c r="AH888" s="580">
        <f t="shared" si="105"/>
        <v>0</v>
      </c>
    </row>
    <row r="889" spans="28:34">
      <c r="AB889" s="580">
        <f>HLOOKUP("*"&amp;'Output annual'!$AC$2&amp;'Output annual'!$AD$2&amp;"*Zone People Number Of Occupants [](Hourly)",'Eplus results'!$1:$1048576,ROW(),FALSE)</f>
        <v>0</v>
      </c>
      <c r="AC889" s="580">
        <f>HLOOKUP("*"&amp;'Output annual'!$AC$2&amp;'Output annual'!$AD$2&amp;"*FangerPMV(Hourly)",'Eplus results'!$1:$1048576,ROW(),FALSE)</f>
        <v>0</v>
      </c>
      <c r="AD889" s="580">
        <f t="shared" si="101"/>
        <v>5</v>
      </c>
      <c r="AE889" s="580">
        <f t="shared" si="102"/>
        <v>2.5</v>
      </c>
      <c r="AF889" s="580">
        <f t="shared" si="103"/>
        <v>2.5</v>
      </c>
      <c r="AG889" s="580">
        <f t="shared" si="104"/>
        <v>0</v>
      </c>
      <c r="AH889" s="580">
        <f t="shared" si="105"/>
        <v>0</v>
      </c>
    </row>
    <row r="890" spans="28:34">
      <c r="AB890" s="580">
        <f>HLOOKUP("*"&amp;'Output annual'!$AC$2&amp;'Output annual'!$AD$2&amp;"*Zone People Number Of Occupants [](Hourly)",'Eplus results'!$1:$1048576,ROW(),FALSE)</f>
        <v>0</v>
      </c>
      <c r="AC890" s="580">
        <f>HLOOKUP("*"&amp;'Output annual'!$AC$2&amp;'Output annual'!$AD$2&amp;"*FangerPMV(Hourly)",'Eplus results'!$1:$1048576,ROW(),FALSE)</f>
        <v>0</v>
      </c>
      <c r="AD890" s="580">
        <f t="shared" si="101"/>
        <v>5</v>
      </c>
      <c r="AE890" s="580">
        <f t="shared" si="102"/>
        <v>2.5</v>
      </c>
      <c r="AF890" s="580">
        <f t="shared" si="103"/>
        <v>2.5</v>
      </c>
      <c r="AG890" s="580">
        <f t="shared" si="104"/>
        <v>0</v>
      </c>
      <c r="AH890" s="580">
        <f t="shared" si="105"/>
        <v>0</v>
      </c>
    </row>
    <row r="891" spans="28:34">
      <c r="AB891" s="580">
        <f>HLOOKUP("*"&amp;'Output annual'!$AC$2&amp;'Output annual'!$AD$2&amp;"*Zone People Number Of Occupants [](Hourly)",'Eplus results'!$1:$1048576,ROW(),FALSE)</f>
        <v>0</v>
      </c>
      <c r="AC891" s="580">
        <f>HLOOKUP("*"&amp;'Output annual'!$AC$2&amp;'Output annual'!$AD$2&amp;"*FangerPMV(Hourly)",'Eplus results'!$1:$1048576,ROW(),FALSE)</f>
        <v>0</v>
      </c>
      <c r="AD891" s="580">
        <f t="shared" si="101"/>
        <v>5</v>
      </c>
      <c r="AE891" s="580">
        <f t="shared" si="102"/>
        <v>2.5</v>
      </c>
      <c r="AF891" s="580">
        <f t="shared" si="103"/>
        <v>2.5</v>
      </c>
      <c r="AG891" s="580">
        <f t="shared" si="104"/>
        <v>0</v>
      </c>
      <c r="AH891" s="580">
        <f t="shared" si="105"/>
        <v>0</v>
      </c>
    </row>
    <row r="892" spans="28:34">
      <c r="AB892" s="580">
        <f>HLOOKUP("*"&amp;'Output annual'!$AC$2&amp;'Output annual'!$AD$2&amp;"*Zone People Number Of Occupants [](Hourly)",'Eplus results'!$1:$1048576,ROW(),FALSE)</f>
        <v>0</v>
      </c>
      <c r="AC892" s="580">
        <f>HLOOKUP("*"&amp;'Output annual'!$AC$2&amp;'Output annual'!$AD$2&amp;"*FangerPMV(Hourly)",'Eplus results'!$1:$1048576,ROW(),FALSE)</f>
        <v>0</v>
      </c>
      <c r="AD892" s="580">
        <f t="shared" si="101"/>
        <v>5</v>
      </c>
      <c r="AE892" s="580">
        <f t="shared" si="102"/>
        <v>2.5</v>
      </c>
      <c r="AF892" s="580">
        <f t="shared" si="103"/>
        <v>2.5</v>
      </c>
      <c r="AG892" s="580">
        <f t="shared" si="104"/>
        <v>0</v>
      </c>
      <c r="AH892" s="580">
        <f t="shared" si="105"/>
        <v>0</v>
      </c>
    </row>
    <row r="893" spans="28:34">
      <c r="AB893" s="580">
        <f>HLOOKUP("*"&amp;'Output annual'!$AC$2&amp;'Output annual'!$AD$2&amp;"*Zone People Number Of Occupants [](Hourly)",'Eplus results'!$1:$1048576,ROW(),FALSE)</f>
        <v>0</v>
      </c>
      <c r="AC893" s="580">
        <f>HLOOKUP("*"&amp;'Output annual'!$AC$2&amp;'Output annual'!$AD$2&amp;"*FangerPMV(Hourly)",'Eplus results'!$1:$1048576,ROW(),FALSE)</f>
        <v>0</v>
      </c>
      <c r="AD893" s="580">
        <f t="shared" si="101"/>
        <v>5</v>
      </c>
      <c r="AE893" s="580">
        <f t="shared" si="102"/>
        <v>2.5</v>
      </c>
      <c r="AF893" s="580">
        <f t="shared" si="103"/>
        <v>2.5</v>
      </c>
      <c r="AG893" s="580">
        <f t="shared" si="104"/>
        <v>0</v>
      </c>
      <c r="AH893" s="580">
        <f t="shared" si="105"/>
        <v>0</v>
      </c>
    </row>
    <row r="894" spans="28:34">
      <c r="AB894" s="580">
        <f>HLOOKUP("*"&amp;'Output annual'!$AC$2&amp;'Output annual'!$AD$2&amp;"*Zone People Number Of Occupants [](Hourly)",'Eplus results'!$1:$1048576,ROW(),FALSE)</f>
        <v>0</v>
      </c>
      <c r="AC894" s="580">
        <f>HLOOKUP("*"&amp;'Output annual'!$AC$2&amp;'Output annual'!$AD$2&amp;"*FangerPMV(Hourly)",'Eplus results'!$1:$1048576,ROW(),FALSE)</f>
        <v>0</v>
      </c>
      <c r="AD894" s="580">
        <f t="shared" si="101"/>
        <v>5</v>
      </c>
      <c r="AE894" s="580">
        <f t="shared" si="102"/>
        <v>2.5</v>
      </c>
      <c r="AF894" s="580">
        <f t="shared" si="103"/>
        <v>2.5</v>
      </c>
      <c r="AG894" s="580">
        <f t="shared" si="104"/>
        <v>0</v>
      </c>
      <c r="AH894" s="580">
        <f t="shared" si="105"/>
        <v>0</v>
      </c>
    </row>
    <row r="895" spans="28:34">
      <c r="AB895" s="580">
        <f>HLOOKUP("*"&amp;'Output annual'!$AC$2&amp;'Output annual'!$AD$2&amp;"*Zone People Number Of Occupants [](Hourly)",'Eplus results'!$1:$1048576,ROW(),FALSE)</f>
        <v>0</v>
      </c>
      <c r="AC895" s="580">
        <f>HLOOKUP("*"&amp;'Output annual'!$AC$2&amp;'Output annual'!$AD$2&amp;"*FangerPMV(Hourly)",'Eplus results'!$1:$1048576,ROW(),FALSE)</f>
        <v>0</v>
      </c>
      <c r="AD895" s="580">
        <f t="shared" si="101"/>
        <v>5</v>
      </c>
      <c r="AE895" s="580">
        <f t="shared" si="102"/>
        <v>2.5</v>
      </c>
      <c r="AF895" s="580">
        <f t="shared" si="103"/>
        <v>2.5</v>
      </c>
      <c r="AG895" s="580">
        <f t="shared" si="104"/>
        <v>0</v>
      </c>
      <c r="AH895" s="580">
        <f t="shared" si="105"/>
        <v>0</v>
      </c>
    </row>
    <row r="896" spans="28:34">
      <c r="AB896" s="580">
        <f>HLOOKUP("*"&amp;'Output annual'!$AC$2&amp;'Output annual'!$AD$2&amp;"*Zone People Number Of Occupants [](Hourly)",'Eplus results'!$1:$1048576,ROW(),FALSE)</f>
        <v>0</v>
      </c>
      <c r="AC896" s="580">
        <f>HLOOKUP("*"&amp;'Output annual'!$AC$2&amp;'Output annual'!$AD$2&amp;"*FangerPMV(Hourly)",'Eplus results'!$1:$1048576,ROW(),FALSE)</f>
        <v>0</v>
      </c>
      <c r="AD896" s="580">
        <f t="shared" si="101"/>
        <v>5</v>
      </c>
      <c r="AE896" s="580">
        <f t="shared" si="102"/>
        <v>2.5</v>
      </c>
      <c r="AF896" s="580">
        <f t="shared" si="103"/>
        <v>2.5</v>
      </c>
      <c r="AG896" s="580">
        <f t="shared" si="104"/>
        <v>0</v>
      </c>
      <c r="AH896" s="580">
        <f t="shared" si="105"/>
        <v>0</v>
      </c>
    </row>
    <row r="897" spans="28:34">
      <c r="AB897" s="580">
        <f>HLOOKUP("*"&amp;'Output annual'!$AC$2&amp;'Output annual'!$AD$2&amp;"*Zone People Number Of Occupants [](Hourly)",'Eplus results'!$1:$1048576,ROW(),FALSE)</f>
        <v>0</v>
      </c>
      <c r="AC897" s="580">
        <f>HLOOKUP("*"&amp;'Output annual'!$AC$2&amp;'Output annual'!$AD$2&amp;"*FangerPMV(Hourly)",'Eplus results'!$1:$1048576,ROW(),FALSE)</f>
        <v>0</v>
      </c>
      <c r="AD897" s="580">
        <f t="shared" si="101"/>
        <v>5</v>
      </c>
      <c r="AE897" s="580">
        <f t="shared" si="102"/>
        <v>2.5</v>
      </c>
      <c r="AF897" s="580">
        <f t="shared" si="103"/>
        <v>2.5</v>
      </c>
      <c r="AG897" s="580">
        <f t="shared" si="104"/>
        <v>0</v>
      </c>
      <c r="AH897" s="580">
        <f t="shared" si="105"/>
        <v>0</v>
      </c>
    </row>
    <row r="898" spans="28:34">
      <c r="AB898" s="580">
        <f>HLOOKUP("*"&amp;'Output annual'!$AC$2&amp;'Output annual'!$AD$2&amp;"*Zone People Number Of Occupants [](Hourly)",'Eplus results'!$1:$1048576,ROW(),FALSE)</f>
        <v>0</v>
      </c>
      <c r="AC898" s="580">
        <f>HLOOKUP("*"&amp;'Output annual'!$AC$2&amp;'Output annual'!$AD$2&amp;"*FangerPMV(Hourly)",'Eplus results'!$1:$1048576,ROW(),FALSE)</f>
        <v>0</v>
      </c>
      <c r="AD898" s="580">
        <f t="shared" si="101"/>
        <v>5</v>
      </c>
      <c r="AE898" s="580">
        <f t="shared" si="102"/>
        <v>2.5</v>
      </c>
      <c r="AF898" s="580">
        <f t="shared" si="103"/>
        <v>2.5</v>
      </c>
      <c r="AG898" s="580">
        <f t="shared" si="104"/>
        <v>0</v>
      </c>
      <c r="AH898" s="580">
        <f t="shared" si="105"/>
        <v>0</v>
      </c>
    </row>
    <row r="899" spans="28:34">
      <c r="AB899" s="580">
        <f>HLOOKUP("*"&amp;'Output annual'!$AC$2&amp;'Output annual'!$AD$2&amp;"*Zone People Number Of Occupants [](Hourly)",'Eplus results'!$1:$1048576,ROW(),FALSE)</f>
        <v>0</v>
      </c>
      <c r="AC899" s="580">
        <f>HLOOKUP("*"&amp;'Output annual'!$AC$2&amp;'Output annual'!$AD$2&amp;"*FangerPMV(Hourly)",'Eplus results'!$1:$1048576,ROW(),FALSE)</f>
        <v>0</v>
      </c>
      <c r="AD899" s="580">
        <f t="shared" ref="AD899:AD962" si="106">100-95*EXP(-0.03353*AC899^4-0.2179*AC899^2)</f>
        <v>5</v>
      </c>
      <c r="AE899" s="580">
        <f t="shared" ref="AE899:AE962" si="107">AD899*(1/(1+EXP(-6.3*$AC899)))</f>
        <v>2.5</v>
      </c>
      <c r="AF899" s="580">
        <f t="shared" ref="AF899:AF962" si="108">(AD899-AE899)</f>
        <v>2.5</v>
      </c>
      <c r="AG899" s="580">
        <f t="shared" ref="AG899:AG962" si="109">AE899*AB899</f>
        <v>0</v>
      </c>
      <c r="AH899" s="580">
        <f t="shared" ref="AH899:AH962" si="110">AF899*AB899</f>
        <v>0</v>
      </c>
    </row>
    <row r="900" spans="28:34">
      <c r="AB900" s="580">
        <f>HLOOKUP("*"&amp;'Output annual'!$AC$2&amp;'Output annual'!$AD$2&amp;"*Zone People Number Of Occupants [](Hourly)",'Eplus results'!$1:$1048576,ROW(),FALSE)</f>
        <v>0</v>
      </c>
      <c r="AC900" s="580">
        <f>HLOOKUP("*"&amp;'Output annual'!$AC$2&amp;'Output annual'!$AD$2&amp;"*FangerPMV(Hourly)",'Eplus results'!$1:$1048576,ROW(),FALSE)</f>
        <v>0</v>
      </c>
      <c r="AD900" s="580">
        <f t="shared" si="106"/>
        <v>5</v>
      </c>
      <c r="AE900" s="580">
        <f t="shared" si="107"/>
        <v>2.5</v>
      </c>
      <c r="AF900" s="580">
        <f t="shared" si="108"/>
        <v>2.5</v>
      </c>
      <c r="AG900" s="580">
        <f t="shared" si="109"/>
        <v>0</v>
      </c>
      <c r="AH900" s="580">
        <f t="shared" si="110"/>
        <v>0</v>
      </c>
    </row>
    <row r="901" spans="28:34">
      <c r="AB901" s="580">
        <f>HLOOKUP("*"&amp;'Output annual'!$AC$2&amp;'Output annual'!$AD$2&amp;"*Zone People Number Of Occupants [](Hourly)",'Eplus results'!$1:$1048576,ROW(),FALSE)</f>
        <v>0</v>
      </c>
      <c r="AC901" s="580">
        <f>HLOOKUP("*"&amp;'Output annual'!$AC$2&amp;'Output annual'!$AD$2&amp;"*FangerPMV(Hourly)",'Eplus results'!$1:$1048576,ROW(),FALSE)</f>
        <v>0</v>
      </c>
      <c r="AD901" s="580">
        <f t="shared" si="106"/>
        <v>5</v>
      </c>
      <c r="AE901" s="580">
        <f t="shared" si="107"/>
        <v>2.5</v>
      </c>
      <c r="AF901" s="580">
        <f t="shared" si="108"/>
        <v>2.5</v>
      </c>
      <c r="AG901" s="580">
        <f t="shared" si="109"/>
        <v>0</v>
      </c>
      <c r="AH901" s="580">
        <f t="shared" si="110"/>
        <v>0</v>
      </c>
    </row>
    <row r="902" spans="28:34">
      <c r="AB902" s="580">
        <f>HLOOKUP("*"&amp;'Output annual'!$AC$2&amp;'Output annual'!$AD$2&amp;"*Zone People Number Of Occupants [](Hourly)",'Eplus results'!$1:$1048576,ROW(),FALSE)</f>
        <v>0</v>
      </c>
      <c r="AC902" s="580">
        <f>HLOOKUP("*"&amp;'Output annual'!$AC$2&amp;'Output annual'!$AD$2&amp;"*FangerPMV(Hourly)",'Eplus results'!$1:$1048576,ROW(),FALSE)</f>
        <v>0</v>
      </c>
      <c r="AD902" s="580">
        <f t="shared" si="106"/>
        <v>5</v>
      </c>
      <c r="AE902" s="580">
        <f t="shared" si="107"/>
        <v>2.5</v>
      </c>
      <c r="AF902" s="580">
        <f t="shared" si="108"/>
        <v>2.5</v>
      </c>
      <c r="AG902" s="580">
        <f t="shared" si="109"/>
        <v>0</v>
      </c>
      <c r="AH902" s="580">
        <f t="shared" si="110"/>
        <v>0</v>
      </c>
    </row>
    <row r="903" spans="28:34">
      <c r="AB903" s="580">
        <f>HLOOKUP("*"&amp;'Output annual'!$AC$2&amp;'Output annual'!$AD$2&amp;"*Zone People Number Of Occupants [](Hourly)",'Eplus results'!$1:$1048576,ROW(),FALSE)</f>
        <v>0</v>
      </c>
      <c r="AC903" s="580">
        <f>HLOOKUP("*"&amp;'Output annual'!$AC$2&amp;'Output annual'!$AD$2&amp;"*FangerPMV(Hourly)",'Eplus results'!$1:$1048576,ROW(),FALSE)</f>
        <v>0</v>
      </c>
      <c r="AD903" s="580">
        <f t="shared" si="106"/>
        <v>5</v>
      </c>
      <c r="AE903" s="580">
        <f t="shared" si="107"/>
        <v>2.5</v>
      </c>
      <c r="AF903" s="580">
        <f t="shared" si="108"/>
        <v>2.5</v>
      </c>
      <c r="AG903" s="580">
        <f t="shared" si="109"/>
        <v>0</v>
      </c>
      <c r="AH903" s="580">
        <f t="shared" si="110"/>
        <v>0</v>
      </c>
    </row>
    <row r="904" spans="28:34">
      <c r="AB904" s="580">
        <f>HLOOKUP("*"&amp;'Output annual'!$AC$2&amp;'Output annual'!$AD$2&amp;"*Zone People Number Of Occupants [](Hourly)",'Eplus results'!$1:$1048576,ROW(),FALSE)</f>
        <v>0</v>
      </c>
      <c r="AC904" s="580">
        <f>HLOOKUP("*"&amp;'Output annual'!$AC$2&amp;'Output annual'!$AD$2&amp;"*FangerPMV(Hourly)",'Eplus results'!$1:$1048576,ROW(),FALSE)</f>
        <v>0</v>
      </c>
      <c r="AD904" s="580">
        <f t="shared" si="106"/>
        <v>5</v>
      </c>
      <c r="AE904" s="580">
        <f t="shared" si="107"/>
        <v>2.5</v>
      </c>
      <c r="AF904" s="580">
        <f t="shared" si="108"/>
        <v>2.5</v>
      </c>
      <c r="AG904" s="580">
        <f t="shared" si="109"/>
        <v>0</v>
      </c>
      <c r="AH904" s="580">
        <f t="shared" si="110"/>
        <v>0</v>
      </c>
    </row>
    <row r="905" spans="28:34">
      <c r="AB905" s="580">
        <f>HLOOKUP("*"&amp;'Output annual'!$AC$2&amp;'Output annual'!$AD$2&amp;"*Zone People Number Of Occupants [](Hourly)",'Eplus results'!$1:$1048576,ROW(),FALSE)</f>
        <v>0</v>
      </c>
      <c r="AC905" s="580">
        <f>HLOOKUP("*"&amp;'Output annual'!$AC$2&amp;'Output annual'!$AD$2&amp;"*FangerPMV(Hourly)",'Eplus results'!$1:$1048576,ROW(),FALSE)</f>
        <v>0</v>
      </c>
      <c r="AD905" s="580">
        <f t="shared" si="106"/>
        <v>5</v>
      </c>
      <c r="AE905" s="580">
        <f t="shared" si="107"/>
        <v>2.5</v>
      </c>
      <c r="AF905" s="580">
        <f t="shared" si="108"/>
        <v>2.5</v>
      </c>
      <c r="AG905" s="580">
        <f t="shared" si="109"/>
        <v>0</v>
      </c>
      <c r="AH905" s="580">
        <f t="shared" si="110"/>
        <v>0</v>
      </c>
    </row>
    <row r="906" spans="28:34">
      <c r="AB906" s="580">
        <f>HLOOKUP("*"&amp;'Output annual'!$AC$2&amp;'Output annual'!$AD$2&amp;"*Zone People Number Of Occupants [](Hourly)",'Eplus results'!$1:$1048576,ROW(),FALSE)</f>
        <v>0</v>
      </c>
      <c r="AC906" s="580">
        <f>HLOOKUP("*"&amp;'Output annual'!$AC$2&amp;'Output annual'!$AD$2&amp;"*FangerPMV(Hourly)",'Eplus results'!$1:$1048576,ROW(),FALSE)</f>
        <v>0</v>
      </c>
      <c r="AD906" s="580">
        <f t="shared" si="106"/>
        <v>5</v>
      </c>
      <c r="AE906" s="580">
        <f t="shared" si="107"/>
        <v>2.5</v>
      </c>
      <c r="AF906" s="580">
        <f t="shared" si="108"/>
        <v>2.5</v>
      </c>
      <c r="AG906" s="580">
        <f t="shared" si="109"/>
        <v>0</v>
      </c>
      <c r="AH906" s="580">
        <f t="shared" si="110"/>
        <v>0</v>
      </c>
    </row>
    <row r="907" spans="28:34">
      <c r="AB907" s="580">
        <f>HLOOKUP("*"&amp;'Output annual'!$AC$2&amp;'Output annual'!$AD$2&amp;"*Zone People Number Of Occupants [](Hourly)",'Eplus results'!$1:$1048576,ROW(),FALSE)</f>
        <v>0</v>
      </c>
      <c r="AC907" s="580">
        <f>HLOOKUP("*"&amp;'Output annual'!$AC$2&amp;'Output annual'!$AD$2&amp;"*FangerPMV(Hourly)",'Eplus results'!$1:$1048576,ROW(),FALSE)</f>
        <v>0</v>
      </c>
      <c r="AD907" s="580">
        <f t="shared" si="106"/>
        <v>5</v>
      </c>
      <c r="AE907" s="580">
        <f t="shared" si="107"/>
        <v>2.5</v>
      </c>
      <c r="AF907" s="580">
        <f t="shared" si="108"/>
        <v>2.5</v>
      </c>
      <c r="AG907" s="580">
        <f t="shared" si="109"/>
        <v>0</v>
      </c>
      <c r="AH907" s="580">
        <f t="shared" si="110"/>
        <v>0</v>
      </c>
    </row>
    <row r="908" spans="28:34">
      <c r="AB908" s="580">
        <f>HLOOKUP("*"&amp;'Output annual'!$AC$2&amp;'Output annual'!$AD$2&amp;"*Zone People Number Of Occupants [](Hourly)",'Eplus results'!$1:$1048576,ROW(),FALSE)</f>
        <v>0</v>
      </c>
      <c r="AC908" s="580">
        <f>HLOOKUP("*"&amp;'Output annual'!$AC$2&amp;'Output annual'!$AD$2&amp;"*FangerPMV(Hourly)",'Eplus results'!$1:$1048576,ROW(),FALSE)</f>
        <v>0</v>
      </c>
      <c r="AD908" s="580">
        <f t="shared" si="106"/>
        <v>5</v>
      </c>
      <c r="AE908" s="580">
        <f t="shared" si="107"/>
        <v>2.5</v>
      </c>
      <c r="AF908" s="580">
        <f t="shared" si="108"/>
        <v>2.5</v>
      </c>
      <c r="AG908" s="580">
        <f t="shared" si="109"/>
        <v>0</v>
      </c>
      <c r="AH908" s="580">
        <f t="shared" si="110"/>
        <v>0</v>
      </c>
    </row>
    <row r="909" spans="28:34">
      <c r="AB909" s="580">
        <f>HLOOKUP("*"&amp;'Output annual'!$AC$2&amp;'Output annual'!$AD$2&amp;"*Zone People Number Of Occupants [](Hourly)",'Eplus results'!$1:$1048576,ROW(),FALSE)</f>
        <v>0</v>
      </c>
      <c r="AC909" s="580">
        <f>HLOOKUP("*"&amp;'Output annual'!$AC$2&amp;'Output annual'!$AD$2&amp;"*FangerPMV(Hourly)",'Eplus results'!$1:$1048576,ROW(),FALSE)</f>
        <v>0</v>
      </c>
      <c r="AD909" s="580">
        <f t="shared" si="106"/>
        <v>5</v>
      </c>
      <c r="AE909" s="580">
        <f t="shared" si="107"/>
        <v>2.5</v>
      </c>
      <c r="AF909" s="580">
        <f t="shared" si="108"/>
        <v>2.5</v>
      </c>
      <c r="AG909" s="580">
        <f t="shared" si="109"/>
        <v>0</v>
      </c>
      <c r="AH909" s="580">
        <f t="shared" si="110"/>
        <v>0</v>
      </c>
    </row>
    <row r="910" spans="28:34">
      <c r="AB910" s="580">
        <f>HLOOKUP("*"&amp;'Output annual'!$AC$2&amp;'Output annual'!$AD$2&amp;"*Zone People Number Of Occupants [](Hourly)",'Eplus results'!$1:$1048576,ROW(),FALSE)</f>
        <v>0</v>
      </c>
      <c r="AC910" s="580">
        <f>HLOOKUP("*"&amp;'Output annual'!$AC$2&amp;'Output annual'!$AD$2&amp;"*FangerPMV(Hourly)",'Eplus results'!$1:$1048576,ROW(),FALSE)</f>
        <v>0</v>
      </c>
      <c r="AD910" s="580">
        <f t="shared" si="106"/>
        <v>5</v>
      </c>
      <c r="AE910" s="580">
        <f t="shared" si="107"/>
        <v>2.5</v>
      </c>
      <c r="AF910" s="580">
        <f t="shared" si="108"/>
        <v>2.5</v>
      </c>
      <c r="AG910" s="580">
        <f t="shared" si="109"/>
        <v>0</v>
      </c>
      <c r="AH910" s="580">
        <f t="shared" si="110"/>
        <v>0</v>
      </c>
    </row>
    <row r="911" spans="28:34">
      <c r="AB911" s="580">
        <f>HLOOKUP("*"&amp;'Output annual'!$AC$2&amp;'Output annual'!$AD$2&amp;"*Zone People Number Of Occupants [](Hourly)",'Eplus results'!$1:$1048576,ROW(),FALSE)</f>
        <v>0</v>
      </c>
      <c r="AC911" s="580">
        <f>HLOOKUP("*"&amp;'Output annual'!$AC$2&amp;'Output annual'!$AD$2&amp;"*FangerPMV(Hourly)",'Eplus results'!$1:$1048576,ROW(),FALSE)</f>
        <v>0</v>
      </c>
      <c r="AD911" s="580">
        <f t="shared" si="106"/>
        <v>5</v>
      </c>
      <c r="AE911" s="580">
        <f t="shared" si="107"/>
        <v>2.5</v>
      </c>
      <c r="AF911" s="580">
        <f t="shared" si="108"/>
        <v>2.5</v>
      </c>
      <c r="AG911" s="580">
        <f t="shared" si="109"/>
        <v>0</v>
      </c>
      <c r="AH911" s="580">
        <f t="shared" si="110"/>
        <v>0</v>
      </c>
    </row>
    <row r="912" spans="28:34">
      <c r="AB912" s="580">
        <f>HLOOKUP("*"&amp;'Output annual'!$AC$2&amp;'Output annual'!$AD$2&amp;"*Zone People Number Of Occupants [](Hourly)",'Eplus results'!$1:$1048576,ROW(),FALSE)</f>
        <v>0</v>
      </c>
      <c r="AC912" s="580">
        <f>HLOOKUP("*"&amp;'Output annual'!$AC$2&amp;'Output annual'!$AD$2&amp;"*FangerPMV(Hourly)",'Eplus results'!$1:$1048576,ROW(),FALSE)</f>
        <v>0</v>
      </c>
      <c r="AD912" s="580">
        <f t="shared" si="106"/>
        <v>5</v>
      </c>
      <c r="AE912" s="580">
        <f t="shared" si="107"/>
        <v>2.5</v>
      </c>
      <c r="AF912" s="580">
        <f t="shared" si="108"/>
        <v>2.5</v>
      </c>
      <c r="AG912" s="580">
        <f t="shared" si="109"/>
        <v>0</v>
      </c>
      <c r="AH912" s="580">
        <f t="shared" si="110"/>
        <v>0</v>
      </c>
    </row>
    <row r="913" spans="28:34">
      <c r="AB913" s="580">
        <f>HLOOKUP("*"&amp;'Output annual'!$AC$2&amp;'Output annual'!$AD$2&amp;"*Zone People Number Of Occupants [](Hourly)",'Eplus results'!$1:$1048576,ROW(),FALSE)</f>
        <v>0</v>
      </c>
      <c r="AC913" s="580">
        <f>HLOOKUP("*"&amp;'Output annual'!$AC$2&amp;'Output annual'!$AD$2&amp;"*FangerPMV(Hourly)",'Eplus results'!$1:$1048576,ROW(),FALSE)</f>
        <v>0</v>
      </c>
      <c r="AD913" s="580">
        <f t="shared" si="106"/>
        <v>5</v>
      </c>
      <c r="AE913" s="580">
        <f t="shared" si="107"/>
        <v>2.5</v>
      </c>
      <c r="AF913" s="580">
        <f t="shared" si="108"/>
        <v>2.5</v>
      </c>
      <c r="AG913" s="580">
        <f t="shared" si="109"/>
        <v>0</v>
      </c>
      <c r="AH913" s="580">
        <f t="shared" si="110"/>
        <v>0</v>
      </c>
    </row>
    <row r="914" spans="28:34">
      <c r="AB914" s="580">
        <f>HLOOKUP("*"&amp;'Output annual'!$AC$2&amp;'Output annual'!$AD$2&amp;"*Zone People Number Of Occupants [](Hourly)",'Eplus results'!$1:$1048576,ROW(),FALSE)</f>
        <v>0</v>
      </c>
      <c r="AC914" s="580">
        <f>HLOOKUP("*"&amp;'Output annual'!$AC$2&amp;'Output annual'!$AD$2&amp;"*FangerPMV(Hourly)",'Eplus results'!$1:$1048576,ROW(),FALSE)</f>
        <v>0</v>
      </c>
      <c r="AD914" s="580">
        <f t="shared" si="106"/>
        <v>5</v>
      </c>
      <c r="AE914" s="580">
        <f t="shared" si="107"/>
        <v>2.5</v>
      </c>
      <c r="AF914" s="580">
        <f t="shared" si="108"/>
        <v>2.5</v>
      </c>
      <c r="AG914" s="580">
        <f t="shared" si="109"/>
        <v>0</v>
      </c>
      <c r="AH914" s="580">
        <f t="shared" si="110"/>
        <v>0</v>
      </c>
    </row>
    <row r="915" spans="28:34">
      <c r="AB915" s="580">
        <f>HLOOKUP("*"&amp;'Output annual'!$AC$2&amp;'Output annual'!$AD$2&amp;"*Zone People Number Of Occupants [](Hourly)",'Eplus results'!$1:$1048576,ROW(),FALSE)</f>
        <v>0</v>
      </c>
      <c r="AC915" s="580">
        <f>HLOOKUP("*"&amp;'Output annual'!$AC$2&amp;'Output annual'!$AD$2&amp;"*FangerPMV(Hourly)",'Eplus results'!$1:$1048576,ROW(),FALSE)</f>
        <v>0</v>
      </c>
      <c r="AD915" s="580">
        <f t="shared" si="106"/>
        <v>5</v>
      </c>
      <c r="AE915" s="580">
        <f t="shared" si="107"/>
        <v>2.5</v>
      </c>
      <c r="AF915" s="580">
        <f t="shared" si="108"/>
        <v>2.5</v>
      </c>
      <c r="AG915" s="580">
        <f t="shared" si="109"/>
        <v>0</v>
      </c>
      <c r="AH915" s="580">
        <f t="shared" si="110"/>
        <v>0</v>
      </c>
    </row>
    <row r="916" spans="28:34">
      <c r="AB916" s="580">
        <f>HLOOKUP("*"&amp;'Output annual'!$AC$2&amp;'Output annual'!$AD$2&amp;"*Zone People Number Of Occupants [](Hourly)",'Eplus results'!$1:$1048576,ROW(),FALSE)</f>
        <v>0</v>
      </c>
      <c r="AC916" s="580">
        <f>HLOOKUP("*"&amp;'Output annual'!$AC$2&amp;'Output annual'!$AD$2&amp;"*FangerPMV(Hourly)",'Eplus results'!$1:$1048576,ROW(),FALSE)</f>
        <v>0</v>
      </c>
      <c r="AD916" s="580">
        <f t="shared" si="106"/>
        <v>5</v>
      </c>
      <c r="AE916" s="580">
        <f t="shared" si="107"/>
        <v>2.5</v>
      </c>
      <c r="AF916" s="580">
        <f t="shared" si="108"/>
        <v>2.5</v>
      </c>
      <c r="AG916" s="580">
        <f t="shared" si="109"/>
        <v>0</v>
      </c>
      <c r="AH916" s="580">
        <f t="shared" si="110"/>
        <v>0</v>
      </c>
    </row>
    <row r="917" spans="28:34">
      <c r="AB917" s="580">
        <f>HLOOKUP("*"&amp;'Output annual'!$AC$2&amp;'Output annual'!$AD$2&amp;"*Zone People Number Of Occupants [](Hourly)",'Eplus results'!$1:$1048576,ROW(),FALSE)</f>
        <v>0</v>
      </c>
      <c r="AC917" s="580">
        <f>HLOOKUP("*"&amp;'Output annual'!$AC$2&amp;'Output annual'!$AD$2&amp;"*FangerPMV(Hourly)",'Eplus results'!$1:$1048576,ROW(),FALSE)</f>
        <v>0</v>
      </c>
      <c r="AD917" s="580">
        <f t="shared" si="106"/>
        <v>5</v>
      </c>
      <c r="AE917" s="580">
        <f t="shared" si="107"/>
        <v>2.5</v>
      </c>
      <c r="AF917" s="580">
        <f t="shared" si="108"/>
        <v>2.5</v>
      </c>
      <c r="AG917" s="580">
        <f t="shared" si="109"/>
        <v>0</v>
      </c>
      <c r="AH917" s="580">
        <f t="shared" si="110"/>
        <v>0</v>
      </c>
    </row>
    <row r="918" spans="28:34">
      <c r="AB918" s="580">
        <f>HLOOKUP("*"&amp;'Output annual'!$AC$2&amp;'Output annual'!$AD$2&amp;"*Zone People Number Of Occupants [](Hourly)",'Eplus results'!$1:$1048576,ROW(),FALSE)</f>
        <v>0</v>
      </c>
      <c r="AC918" s="580">
        <f>HLOOKUP("*"&amp;'Output annual'!$AC$2&amp;'Output annual'!$AD$2&amp;"*FangerPMV(Hourly)",'Eplus results'!$1:$1048576,ROW(),FALSE)</f>
        <v>0</v>
      </c>
      <c r="AD918" s="580">
        <f t="shared" si="106"/>
        <v>5</v>
      </c>
      <c r="AE918" s="580">
        <f t="shared" si="107"/>
        <v>2.5</v>
      </c>
      <c r="AF918" s="580">
        <f t="shared" si="108"/>
        <v>2.5</v>
      </c>
      <c r="AG918" s="580">
        <f t="shared" si="109"/>
        <v>0</v>
      </c>
      <c r="AH918" s="580">
        <f t="shared" si="110"/>
        <v>0</v>
      </c>
    </row>
    <row r="919" spans="28:34">
      <c r="AB919" s="580">
        <f>HLOOKUP("*"&amp;'Output annual'!$AC$2&amp;'Output annual'!$AD$2&amp;"*Zone People Number Of Occupants [](Hourly)",'Eplus results'!$1:$1048576,ROW(),FALSE)</f>
        <v>0</v>
      </c>
      <c r="AC919" s="580">
        <f>HLOOKUP("*"&amp;'Output annual'!$AC$2&amp;'Output annual'!$AD$2&amp;"*FangerPMV(Hourly)",'Eplus results'!$1:$1048576,ROW(),FALSE)</f>
        <v>0</v>
      </c>
      <c r="AD919" s="580">
        <f t="shared" si="106"/>
        <v>5</v>
      </c>
      <c r="AE919" s="580">
        <f t="shared" si="107"/>
        <v>2.5</v>
      </c>
      <c r="AF919" s="580">
        <f t="shared" si="108"/>
        <v>2.5</v>
      </c>
      <c r="AG919" s="580">
        <f t="shared" si="109"/>
        <v>0</v>
      </c>
      <c r="AH919" s="580">
        <f t="shared" si="110"/>
        <v>0</v>
      </c>
    </row>
    <row r="920" spans="28:34">
      <c r="AB920" s="580">
        <f>HLOOKUP("*"&amp;'Output annual'!$AC$2&amp;'Output annual'!$AD$2&amp;"*Zone People Number Of Occupants [](Hourly)",'Eplus results'!$1:$1048576,ROW(),FALSE)</f>
        <v>0</v>
      </c>
      <c r="AC920" s="580">
        <f>HLOOKUP("*"&amp;'Output annual'!$AC$2&amp;'Output annual'!$AD$2&amp;"*FangerPMV(Hourly)",'Eplus results'!$1:$1048576,ROW(),FALSE)</f>
        <v>0</v>
      </c>
      <c r="AD920" s="580">
        <f t="shared" si="106"/>
        <v>5</v>
      </c>
      <c r="AE920" s="580">
        <f t="shared" si="107"/>
        <v>2.5</v>
      </c>
      <c r="AF920" s="580">
        <f t="shared" si="108"/>
        <v>2.5</v>
      </c>
      <c r="AG920" s="580">
        <f t="shared" si="109"/>
        <v>0</v>
      </c>
      <c r="AH920" s="580">
        <f t="shared" si="110"/>
        <v>0</v>
      </c>
    </row>
    <row r="921" spans="28:34">
      <c r="AB921" s="580">
        <f>HLOOKUP("*"&amp;'Output annual'!$AC$2&amp;'Output annual'!$AD$2&amp;"*Zone People Number Of Occupants [](Hourly)",'Eplus results'!$1:$1048576,ROW(),FALSE)</f>
        <v>0</v>
      </c>
      <c r="AC921" s="580">
        <f>HLOOKUP("*"&amp;'Output annual'!$AC$2&amp;'Output annual'!$AD$2&amp;"*FangerPMV(Hourly)",'Eplus results'!$1:$1048576,ROW(),FALSE)</f>
        <v>0</v>
      </c>
      <c r="AD921" s="580">
        <f t="shared" si="106"/>
        <v>5</v>
      </c>
      <c r="AE921" s="580">
        <f t="shared" si="107"/>
        <v>2.5</v>
      </c>
      <c r="AF921" s="580">
        <f t="shared" si="108"/>
        <v>2.5</v>
      </c>
      <c r="AG921" s="580">
        <f t="shared" si="109"/>
        <v>0</v>
      </c>
      <c r="AH921" s="580">
        <f t="shared" si="110"/>
        <v>0</v>
      </c>
    </row>
    <row r="922" spans="28:34">
      <c r="AB922" s="580">
        <f>HLOOKUP("*"&amp;'Output annual'!$AC$2&amp;'Output annual'!$AD$2&amp;"*Zone People Number Of Occupants [](Hourly)",'Eplus results'!$1:$1048576,ROW(),FALSE)</f>
        <v>0</v>
      </c>
      <c r="AC922" s="580">
        <f>HLOOKUP("*"&amp;'Output annual'!$AC$2&amp;'Output annual'!$AD$2&amp;"*FangerPMV(Hourly)",'Eplus results'!$1:$1048576,ROW(),FALSE)</f>
        <v>0</v>
      </c>
      <c r="AD922" s="580">
        <f t="shared" si="106"/>
        <v>5</v>
      </c>
      <c r="AE922" s="580">
        <f t="shared" si="107"/>
        <v>2.5</v>
      </c>
      <c r="AF922" s="580">
        <f t="shared" si="108"/>
        <v>2.5</v>
      </c>
      <c r="AG922" s="580">
        <f t="shared" si="109"/>
        <v>0</v>
      </c>
      <c r="AH922" s="580">
        <f t="shared" si="110"/>
        <v>0</v>
      </c>
    </row>
    <row r="923" spans="28:34">
      <c r="AB923" s="580">
        <f>HLOOKUP("*"&amp;'Output annual'!$AC$2&amp;'Output annual'!$AD$2&amp;"*Zone People Number Of Occupants [](Hourly)",'Eplus results'!$1:$1048576,ROW(),FALSE)</f>
        <v>0</v>
      </c>
      <c r="AC923" s="580">
        <f>HLOOKUP("*"&amp;'Output annual'!$AC$2&amp;'Output annual'!$AD$2&amp;"*FangerPMV(Hourly)",'Eplus results'!$1:$1048576,ROW(),FALSE)</f>
        <v>0</v>
      </c>
      <c r="AD923" s="580">
        <f t="shared" si="106"/>
        <v>5</v>
      </c>
      <c r="AE923" s="580">
        <f t="shared" si="107"/>
        <v>2.5</v>
      </c>
      <c r="AF923" s="580">
        <f t="shared" si="108"/>
        <v>2.5</v>
      </c>
      <c r="AG923" s="580">
        <f t="shared" si="109"/>
        <v>0</v>
      </c>
      <c r="AH923" s="580">
        <f t="shared" si="110"/>
        <v>0</v>
      </c>
    </row>
    <row r="924" spans="28:34">
      <c r="AB924" s="580">
        <f>HLOOKUP("*"&amp;'Output annual'!$AC$2&amp;'Output annual'!$AD$2&amp;"*Zone People Number Of Occupants [](Hourly)",'Eplus results'!$1:$1048576,ROW(),FALSE)</f>
        <v>0</v>
      </c>
      <c r="AC924" s="580">
        <f>HLOOKUP("*"&amp;'Output annual'!$AC$2&amp;'Output annual'!$AD$2&amp;"*FangerPMV(Hourly)",'Eplus results'!$1:$1048576,ROW(),FALSE)</f>
        <v>0</v>
      </c>
      <c r="AD924" s="580">
        <f t="shared" si="106"/>
        <v>5</v>
      </c>
      <c r="AE924" s="580">
        <f t="shared" si="107"/>
        <v>2.5</v>
      </c>
      <c r="AF924" s="580">
        <f t="shared" si="108"/>
        <v>2.5</v>
      </c>
      <c r="AG924" s="580">
        <f t="shared" si="109"/>
        <v>0</v>
      </c>
      <c r="AH924" s="580">
        <f t="shared" si="110"/>
        <v>0</v>
      </c>
    </row>
    <row r="925" spans="28:34">
      <c r="AB925" s="580">
        <f>HLOOKUP("*"&amp;'Output annual'!$AC$2&amp;'Output annual'!$AD$2&amp;"*Zone People Number Of Occupants [](Hourly)",'Eplus results'!$1:$1048576,ROW(),FALSE)</f>
        <v>0</v>
      </c>
      <c r="AC925" s="580">
        <f>HLOOKUP("*"&amp;'Output annual'!$AC$2&amp;'Output annual'!$AD$2&amp;"*FangerPMV(Hourly)",'Eplus results'!$1:$1048576,ROW(),FALSE)</f>
        <v>0</v>
      </c>
      <c r="AD925" s="580">
        <f t="shared" si="106"/>
        <v>5</v>
      </c>
      <c r="AE925" s="580">
        <f t="shared" si="107"/>
        <v>2.5</v>
      </c>
      <c r="AF925" s="580">
        <f t="shared" si="108"/>
        <v>2.5</v>
      </c>
      <c r="AG925" s="580">
        <f t="shared" si="109"/>
        <v>0</v>
      </c>
      <c r="AH925" s="580">
        <f t="shared" si="110"/>
        <v>0</v>
      </c>
    </row>
    <row r="926" spans="28:34">
      <c r="AB926" s="580">
        <f>HLOOKUP("*"&amp;'Output annual'!$AC$2&amp;'Output annual'!$AD$2&amp;"*Zone People Number Of Occupants [](Hourly)",'Eplus results'!$1:$1048576,ROW(),FALSE)</f>
        <v>0</v>
      </c>
      <c r="AC926" s="580">
        <f>HLOOKUP("*"&amp;'Output annual'!$AC$2&amp;'Output annual'!$AD$2&amp;"*FangerPMV(Hourly)",'Eplus results'!$1:$1048576,ROW(),FALSE)</f>
        <v>0</v>
      </c>
      <c r="AD926" s="580">
        <f t="shared" si="106"/>
        <v>5</v>
      </c>
      <c r="AE926" s="580">
        <f t="shared" si="107"/>
        <v>2.5</v>
      </c>
      <c r="AF926" s="580">
        <f t="shared" si="108"/>
        <v>2.5</v>
      </c>
      <c r="AG926" s="580">
        <f t="shared" si="109"/>
        <v>0</v>
      </c>
      <c r="AH926" s="580">
        <f t="shared" si="110"/>
        <v>0</v>
      </c>
    </row>
    <row r="927" spans="28:34">
      <c r="AB927" s="580">
        <f>HLOOKUP("*"&amp;'Output annual'!$AC$2&amp;'Output annual'!$AD$2&amp;"*Zone People Number Of Occupants [](Hourly)",'Eplus results'!$1:$1048576,ROW(),FALSE)</f>
        <v>0</v>
      </c>
      <c r="AC927" s="580">
        <f>HLOOKUP("*"&amp;'Output annual'!$AC$2&amp;'Output annual'!$AD$2&amp;"*FangerPMV(Hourly)",'Eplus results'!$1:$1048576,ROW(),FALSE)</f>
        <v>0</v>
      </c>
      <c r="AD927" s="580">
        <f t="shared" si="106"/>
        <v>5</v>
      </c>
      <c r="AE927" s="580">
        <f t="shared" si="107"/>
        <v>2.5</v>
      </c>
      <c r="AF927" s="580">
        <f t="shared" si="108"/>
        <v>2.5</v>
      </c>
      <c r="AG927" s="580">
        <f t="shared" si="109"/>
        <v>0</v>
      </c>
      <c r="AH927" s="580">
        <f t="shared" si="110"/>
        <v>0</v>
      </c>
    </row>
    <row r="928" spans="28:34">
      <c r="AB928" s="580">
        <f>HLOOKUP("*"&amp;'Output annual'!$AC$2&amp;'Output annual'!$AD$2&amp;"*Zone People Number Of Occupants [](Hourly)",'Eplus results'!$1:$1048576,ROW(),FALSE)</f>
        <v>0</v>
      </c>
      <c r="AC928" s="580">
        <f>HLOOKUP("*"&amp;'Output annual'!$AC$2&amp;'Output annual'!$AD$2&amp;"*FangerPMV(Hourly)",'Eplus results'!$1:$1048576,ROW(),FALSE)</f>
        <v>0</v>
      </c>
      <c r="AD928" s="580">
        <f t="shared" si="106"/>
        <v>5</v>
      </c>
      <c r="AE928" s="580">
        <f t="shared" si="107"/>
        <v>2.5</v>
      </c>
      <c r="AF928" s="580">
        <f t="shared" si="108"/>
        <v>2.5</v>
      </c>
      <c r="AG928" s="580">
        <f t="shared" si="109"/>
        <v>0</v>
      </c>
      <c r="AH928" s="580">
        <f t="shared" si="110"/>
        <v>0</v>
      </c>
    </row>
    <row r="929" spans="28:34">
      <c r="AB929" s="580">
        <f>HLOOKUP("*"&amp;'Output annual'!$AC$2&amp;'Output annual'!$AD$2&amp;"*Zone People Number Of Occupants [](Hourly)",'Eplus results'!$1:$1048576,ROW(),FALSE)</f>
        <v>0</v>
      </c>
      <c r="AC929" s="580">
        <f>HLOOKUP("*"&amp;'Output annual'!$AC$2&amp;'Output annual'!$AD$2&amp;"*FangerPMV(Hourly)",'Eplus results'!$1:$1048576,ROW(),FALSE)</f>
        <v>0</v>
      </c>
      <c r="AD929" s="580">
        <f t="shared" si="106"/>
        <v>5</v>
      </c>
      <c r="AE929" s="580">
        <f t="shared" si="107"/>
        <v>2.5</v>
      </c>
      <c r="AF929" s="580">
        <f t="shared" si="108"/>
        <v>2.5</v>
      </c>
      <c r="AG929" s="580">
        <f t="shared" si="109"/>
        <v>0</v>
      </c>
      <c r="AH929" s="580">
        <f t="shared" si="110"/>
        <v>0</v>
      </c>
    </row>
    <row r="930" spans="28:34">
      <c r="AB930" s="580">
        <f>HLOOKUP("*"&amp;'Output annual'!$AC$2&amp;'Output annual'!$AD$2&amp;"*Zone People Number Of Occupants [](Hourly)",'Eplus results'!$1:$1048576,ROW(),FALSE)</f>
        <v>0</v>
      </c>
      <c r="AC930" s="580">
        <f>HLOOKUP("*"&amp;'Output annual'!$AC$2&amp;'Output annual'!$AD$2&amp;"*FangerPMV(Hourly)",'Eplus results'!$1:$1048576,ROW(),FALSE)</f>
        <v>0</v>
      </c>
      <c r="AD930" s="580">
        <f t="shared" si="106"/>
        <v>5</v>
      </c>
      <c r="AE930" s="580">
        <f t="shared" si="107"/>
        <v>2.5</v>
      </c>
      <c r="AF930" s="580">
        <f t="shared" si="108"/>
        <v>2.5</v>
      </c>
      <c r="AG930" s="580">
        <f t="shared" si="109"/>
        <v>0</v>
      </c>
      <c r="AH930" s="580">
        <f t="shared" si="110"/>
        <v>0</v>
      </c>
    </row>
    <row r="931" spans="28:34">
      <c r="AB931" s="580">
        <f>HLOOKUP("*"&amp;'Output annual'!$AC$2&amp;'Output annual'!$AD$2&amp;"*Zone People Number Of Occupants [](Hourly)",'Eplus results'!$1:$1048576,ROW(),FALSE)</f>
        <v>0</v>
      </c>
      <c r="AC931" s="580">
        <f>HLOOKUP("*"&amp;'Output annual'!$AC$2&amp;'Output annual'!$AD$2&amp;"*FangerPMV(Hourly)",'Eplus results'!$1:$1048576,ROW(),FALSE)</f>
        <v>0</v>
      </c>
      <c r="AD931" s="580">
        <f t="shared" si="106"/>
        <v>5</v>
      </c>
      <c r="AE931" s="580">
        <f t="shared" si="107"/>
        <v>2.5</v>
      </c>
      <c r="AF931" s="580">
        <f t="shared" si="108"/>
        <v>2.5</v>
      </c>
      <c r="AG931" s="580">
        <f t="shared" si="109"/>
        <v>0</v>
      </c>
      <c r="AH931" s="580">
        <f t="shared" si="110"/>
        <v>0</v>
      </c>
    </row>
    <row r="932" spans="28:34">
      <c r="AB932" s="580">
        <f>HLOOKUP("*"&amp;'Output annual'!$AC$2&amp;'Output annual'!$AD$2&amp;"*Zone People Number Of Occupants [](Hourly)",'Eplus results'!$1:$1048576,ROW(),FALSE)</f>
        <v>0</v>
      </c>
      <c r="AC932" s="580">
        <f>HLOOKUP("*"&amp;'Output annual'!$AC$2&amp;'Output annual'!$AD$2&amp;"*FangerPMV(Hourly)",'Eplus results'!$1:$1048576,ROW(),FALSE)</f>
        <v>0</v>
      </c>
      <c r="AD932" s="580">
        <f t="shared" si="106"/>
        <v>5</v>
      </c>
      <c r="AE932" s="580">
        <f t="shared" si="107"/>
        <v>2.5</v>
      </c>
      <c r="AF932" s="580">
        <f t="shared" si="108"/>
        <v>2.5</v>
      </c>
      <c r="AG932" s="580">
        <f t="shared" si="109"/>
        <v>0</v>
      </c>
      <c r="AH932" s="580">
        <f t="shared" si="110"/>
        <v>0</v>
      </c>
    </row>
    <row r="933" spans="28:34">
      <c r="AB933" s="580">
        <f>HLOOKUP("*"&amp;'Output annual'!$AC$2&amp;'Output annual'!$AD$2&amp;"*Zone People Number Of Occupants [](Hourly)",'Eplus results'!$1:$1048576,ROW(),FALSE)</f>
        <v>0</v>
      </c>
      <c r="AC933" s="580">
        <f>HLOOKUP("*"&amp;'Output annual'!$AC$2&amp;'Output annual'!$AD$2&amp;"*FangerPMV(Hourly)",'Eplus results'!$1:$1048576,ROW(),FALSE)</f>
        <v>0</v>
      </c>
      <c r="AD933" s="580">
        <f t="shared" si="106"/>
        <v>5</v>
      </c>
      <c r="AE933" s="580">
        <f t="shared" si="107"/>
        <v>2.5</v>
      </c>
      <c r="AF933" s="580">
        <f t="shared" si="108"/>
        <v>2.5</v>
      </c>
      <c r="AG933" s="580">
        <f t="shared" si="109"/>
        <v>0</v>
      </c>
      <c r="AH933" s="580">
        <f t="shared" si="110"/>
        <v>0</v>
      </c>
    </row>
    <row r="934" spans="28:34">
      <c r="AB934" s="580">
        <f>HLOOKUP("*"&amp;'Output annual'!$AC$2&amp;'Output annual'!$AD$2&amp;"*Zone People Number Of Occupants [](Hourly)",'Eplus results'!$1:$1048576,ROW(),FALSE)</f>
        <v>0</v>
      </c>
      <c r="AC934" s="580">
        <f>HLOOKUP("*"&amp;'Output annual'!$AC$2&amp;'Output annual'!$AD$2&amp;"*FangerPMV(Hourly)",'Eplus results'!$1:$1048576,ROW(),FALSE)</f>
        <v>0</v>
      </c>
      <c r="AD934" s="580">
        <f t="shared" si="106"/>
        <v>5</v>
      </c>
      <c r="AE934" s="580">
        <f t="shared" si="107"/>
        <v>2.5</v>
      </c>
      <c r="AF934" s="580">
        <f t="shared" si="108"/>
        <v>2.5</v>
      </c>
      <c r="AG934" s="580">
        <f t="shared" si="109"/>
        <v>0</v>
      </c>
      <c r="AH934" s="580">
        <f t="shared" si="110"/>
        <v>0</v>
      </c>
    </row>
    <row r="935" spans="28:34">
      <c r="AB935" s="580">
        <f>HLOOKUP("*"&amp;'Output annual'!$AC$2&amp;'Output annual'!$AD$2&amp;"*Zone People Number Of Occupants [](Hourly)",'Eplus results'!$1:$1048576,ROW(),FALSE)</f>
        <v>0</v>
      </c>
      <c r="AC935" s="580">
        <f>HLOOKUP("*"&amp;'Output annual'!$AC$2&amp;'Output annual'!$AD$2&amp;"*FangerPMV(Hourly)",'Eplus results'!$1:$1048576,ROW(),FALSE)</f>
        <v>0</v>
      </c>
      <c r="AD935" s="580">
        <f t="shared" si="106"/>
        <v>5</v>
      </c>
      <c r="AE935" s="580">
        <f t="shared" si="107"/>
        <v>2.5</v>
      </c>
      <c r="AF935" s="580">
        <f t="shared" si="108"/>
        <v>2.5</v>
      </c>
      <c r="AG935" s="580">
        <f t="shared" si="109"/>
        <v>0</v>
      </c>
      <c r="AH935" s="580">
        <f t="shared" si="110"/>
        <v>0</v>
      </c>
    </row>
    <row r="936" spans="28:34">
      <c r="AB936" s="580">
        <f>HLOOKUP("*"&amp;'Output annual'!$AC$2&amp;'Output annual'!$AD$2&amp;"*Zone People Number Of Occupants [](Hourly)",'Eplus results'!$1:$1048576,ROW(),FALSE)</f>
        <v>0</v>
      </c>
      <c r="AC936" s="580">
        <f>HLOOKUP("*"&amp;'Output annual'!$AC$2&amp;'Output annual'!$AD$2&amp;"*FangerPMV(Hourly)",'Eplus results'!$1:$1048576,ROW(),FALSE)</f>
        <v>0</v>
      </c>
      <c r="AD936" s="580">
        <f t="shared" si="106"/>
        <v>5</v>
      </c>
      <c r="AE936" s="580">
        <f t="shared" si="107"/>
        <v>2.5</v>
      </c>
      <c r="AF936" s="580">
        <f t="shared" si="108"/>
        <v>2.5</v>
      </c>
      <c r="AG936" s="580">
        <f t="shared" si="109"/>
        <v>0</v>
      </c>
      <c r="AH936" s="580">
        <f t="shared" si="110"/>
        <v>0</v>
      </c>
    </row>
    <row r="937" spans="28:34">
      <c r="AB937" s="580">
        <f>HLOOKUP("*"&amp;'Output annual'!$AC$2&amp;'Output annual'!$AD$2&amp;"*Zone People Number Of Occupants [](Hourly)",'Eplus results'!$1:$1048576,ROW(),FALSE)</f>
        <v>0</v>
      </c>
      <c r="AC937" s="580">
        <f>HLOOKUP("*"&amp;'Output annual'!$AC$2&amp;'Output annual'!$AD$2&amp;"*FangerPMV(Hourly)",'Eplus results'!$1:$1048576,ROW(),FALSE)</f>
        <v>0</v>
      </c>
      <c r="AD937" s="580">
        <f t="shared" si="106"/>
        <v>5</v>
      </c>
      <c r="AE937" s="580">
        <f t="shared" si="107"/>
        <v>2.5</v>
      </c>
      <c r="AF937" s="580">
        <f t="shared" si="108"/>
        <v>2.5</v>
      </c>
      <c r="AG937" s="580">
        <f t="shared" si="109"/>
        <v>0</v>
      </c>
      <c r="AH937" s="580">
        <f t="shared" si="110"/>
        <v>0</v>
      </c>
    </row>
    <row r="938" spans="28:34">
      <c r="AB938" s="580">
        <f>HLOOKUP("*"&amp;'Output annual'!$AC$2&amp;'Output annual'!$AD$2&amp;"*Zone People Number Of Occupants [](Hourly)",'Eplus results'!$1:$1048576,ROW(),FALSE)</f>
        <v>0</v>
      </c>
      <c r="AC938" s="580">
        <f>HLOOKUP("*"&amp;'Output annual'!$AC$2&amp;'Output annual'!$AD$2&amp;"*FangerPMV(Hourly)",'Eplus results'!$1:$1048576,ROW(),FALSE)</f>
        <v>0</v>
      </c>
      <c r="AD938" s="580">
        <f t="shared" si="106"/>
        <v>5</v>
      </c>
      <c r="AE938" s="580">
        <f t="shared" si="107"/>
        <v>2.5</v>
      </c>
      <c r="AF938" s="580">
        <f t="shared" si="108"/>
        <v>2.5</v>
      </c>
      <c r="AG938" s="580">
        <f t="shared" si="109"/>
        <v>0</v>
      </c>
      <c r="AH938" s="580">
        <f t="shared" si="110"/>
        <v>0</v>
      </c>
    </row>
    <row r="939" spans="28:34">
      <c r="AB939" s="580">
        <f>HLOOKUP("*"&amp;'Output annual'!$AC$2&amp;'Output annual'!$AD$2&amp;"*Zone People Number Of Occupants [](Hourly)",'Eplus results'!$1:$1048576,ROW(),FALSE)</f>
        <v>0</v>
      </c>
      <c r="AC939" s="580">
        <f>HLOOKUP("*"&amp;'Output annual'!$AC$2&amp;'Output annual'!$AD$2&amp;"*FangerPMV(Hourly)",'Eplus results'!$1:$1048576,ROW(),FALSE)</f>
        <v>0</v>
      </c>
      <c r="AD939" s="580">
        <f t="shared" si="106"/>
        <v>5</v>
      </c>
      <c r="AE939" s="580">
        <f t="shared" si="107"/>
        <v>2.5</v>
      </c>
      <c r="AF939" s="580">
        <f t="shared" si="108"/>
        <v>2.5</v>
      </c>
      <c r="AG939" s="580">
        <f t="shared" si="109"/>
        <v>0</v>
      </c>
      <c r="AH939" s="580">
        <f t="shared" si="110"/>
        <v>0</v>
      </c>
    </row>
    <row r="940" spans="28:34">
      <c r="AB940" s="580">
        <f>HLOOKUP("*"&amp;'Output annual'!$AC$2&amp;'Output annual'!$AD$2&amp;"*Zone People Number Of Occupants [](Hourly)",'Eplus results'!$1:$1048576,ROW(),FALSE)</f>
        <v>0</v>
      </c>
      <c r="AC940" s="580">
        <f>HLOOKUP("*"&amp;'Output annual'!$AC$2&amp;'Output annual'!$AD$2&amp;"*FangerPMV(Hourly)",'Eplus results'!$1:$1048576,ROW(),FALSE)</f>
        <v>0</v>
      </c>
      <c r="AD940" s="580">
        <f t="shared" si="106"/>
        <v>5</v>
      </c>
      <c r="AE940" s="580">
        <f t="shared" si="107"/>
        <v>2.5</v>
      </c>
      <c r="AF940" s="580">
        <f t="shared" si="108"/>
        <v>2.5</v>
      </c>
      <c r="AG940" s="580">
        <f t="shared" si="109"/>
        <v>0</v>
      </c>
      <c r="AH940" s="580">
        <f t="shared" si="110"/>
        <v>0</v>
      </c>
    </row>
    <row r="941" spans="28:34">
      <c r="AB941" s="580">
        <f>HLOOKUP("*"&amp;'Output annual'!$AC$2&amp;'Output annual'!$AD$2&amp;"*Zone People Number Of Occupants [](Hourly)",'Eplus results'!$1:$1048576,ROW(),FALSE)</f>
        <v>0</v>
      </c>
      <c r="AC941" s="580">
        <f>HLOOKUP("*"&amp;'Output annual'!$AC$2&amp;'Output annual'!$AD$2&amp;"*FangerPMV(Hourly)",'Eplus results'!$1:$1048576,ROW(),FALSE)</f>
        <v>0</v>
      </c>
      <c r="AD941" s="580">
        <f t="shared" si="106"/>
        <v>5</v>
      </c>
      <c r="AE941" s="580">
        <f t="shared" si="107"/>
        <v>2.5</v>
      </c>
      <c r="AF941" s="580">
        <f t="shared" si="108"/>
        <v>2.5</v>
      </c>
      <c r="AG941" s="580">
        <f t="shared" si="109"/>
        <v>0</v>
      </c>
      <c r="AH941" s="580">
        <f t="shared" si="110"/>
        <v>0</v>
      </c>
    </row>
    <row r="942" spans="28:34">
      <c r="AB942" s="580">
        <f>HLOOKUP("*"&amp;'Output annual'!$AC$2&amp;'Output annual'!$AD$2&amp;"*Zone People Number Of Occupants [](Hourly)",'Eplus results'!$1:$1048576,ROW(),FALSE)</f>
        <v>0</v>
      </c>
      <c r="AC942" s="580">
        <f>HLOOKUP("*"&amp;'Output annual'!$AC$2&amp;'Output annual'!$AD$2&amp;"*FangerPMV(Hourly)",'Eplus results'!$1:$1048576,ROW(),FALSE)</f>
        <v>0</v>
      </c>
      <c r="AD942" s="580">
        <f t="shared" si="106"/>
        <v>5</v>
      </c>
      <c r="AE942" s="580">
        <f t="shared" si="107"/>
        <v>2.5</v>
      </c>
      <c r="AF942" s="580">
        <f t="shared" si="108"/>
        <v>2.5</v>
      </c>
      <c r="AG942" s="580">
        <f t="shared" si="109"/>
        <v>0</v>
      </c>
      <c r="AH942" s="580">
        <f t="shared" si="110"/>
        <v>0</v>
      </c>
    </row>
    <row r="943" spans="28:34">
      <c r="AB943" s="580">
        <f>HLOOKUP("*"&amp;'Output annual'!$AC$2&amp;'Output annual'!$AD$2&amp;"*Zone People Number Of Occupants [](Hourly)",'Eplus results'!$1:$1048576,ROW(),FALSE)</f>
        <v>0</v>
      </c>
      <c r="AC943" s="580">
        <f>HLOOKUP("*"&amp;'Output annual'!$AC$2&amp;'Output annual'!$AD$2&amp;"*FangerPMV(Hourly)",'Eplus results'!$1:$1048576,ROW(),FALSE)</f>
        <v>0</v>
      </c>
      <c r="AD943" s="580">
        <f t="shared" si="106"/>
        <v>5</v>
      </c>
      <c r="AE943" s="580">
        <f t="shared" si="107"/>
        <v>2.5</v>
      </c>
      <c r="AF943" s="580">
        <f t="shared" si="108"/>
        <v>2.5</v>
      </c>
      <c r="AG943" s="580">
        <f t="shared" si="109"/>
        <v>0</v>
      </c>
      <c r="AH943" s="580">
        <f t="shared" si="110"/>
        <v>0</v>
      </c>
    </row>
    <row r="944" spans="28:34">
      <c r="AB944" s="580">
        <f>HLOOKUP("*"&amp;'Output annual'!$AC$2&amp;'Output annual'!$AD$2&amp;"*Zone People Number Of Occupants [](Hourly)",'Eplus results'!$1:$1048576,ROW(),FALSE)</f>
        <v>0</v>
      </c>
      <c r="AC944" s="580">
        <f>HLOOKUP("*"&amp;'Output annual'!$AC$2&amp;'Output annual'!$AD$2&amp;"*FangerPMV(Hourly)",'Eplus results'!$1:$1048576,ROW(),FALSE)</f>
        <v>0</v>
      </c>
      <c r="AD944" s="580">
        <f t="shared" si="106"/>
        <v>5</v>
      </c>
      <c r="AE944" s="580">
        <f t="shared" si="107"/>
        <v>2.5</v>
      </c>
      <c r="AF944" s="580">
        <f t="shared" si="108"/>
        <v>2.5</v>
      </c>
      <c r="AG944" s="580">
        <f t="shared" si="109"/>
        <v>0</v>
      </c>
      <c r="AH944" s="580">
        <f t="shared" si="110"/>
        <v>0</v>
      </c>
    </row>
    <row r="945" spans="28:34">
      <c r="AB945" s="580">
        <f>HLOOKUP("*"&amp;'Output annual'!$AC$2&amp;'Output annual'!$AD$2&amp;"*Zone People Number Of Occupants [](Hourly)",'Eplus results'!$1:$1048576,ROW(),FALSE)</f>
        <v>0</v>
      </c>
      <c r="AC945" s="580">
        <f>HLOOKUP("*"&amp;'Output annual'!$AC$2&amp;'Output annual'!$AD$2&amp;"*FangerPMV(Hourly)",'Eplus results'!$1:$1048576,ROW(),FALSE)</f>
        <v>0</v>
      </c>
      <c r="AD945" s="580">
        <f t="shared" si="106"/>
        <v>5</v>
      </c>
      <c r="AE945" s="580">
        <f t="shared" si="107"/>
        <v>2.5</v>
      </c>
      <c r="AF945" s="580">
        <f t="shared" si="108"/>
        <v>2.5</v>
      </c>
      <c r="AG945" s="580">
        <f t="shared" si="109"/>
        <v>0</v>
      </c>
      <c r="AH945" s="580">
        <f t="shared" si="110"/>
        <v>0</v>
      </c>
    </row>
    <row r="946" spans="28:34">
      <c r="AB946" s="580">
        <f>HLOOKUP("*"&amp;'Output annual'!$AC$2&amp;'Output annual'!$AD$2&amp;"*Zone People Number Of Occupants [](Hourly)",'Eplus results'!$1:$1048576,ROW(),FALSE)</f>
        <v>0</v>
      </c>
      <c r="AC946" s="580">
        <f>HLOOKUP("*"&amp;'Output annual'!$AC$2&amp;'Output annual'!$AD$2&amp;"*FangerPMV(Hourly)",'Eplus results'!$1:$1048576,ROW(),FALSE)</f>
        <v>0</v>
      </c>
      <c r="AD946" s="580">
        <f t="shared" si="106"/>
        <v>5</v>
      </c>
      <c r="AE946" s="580">
        <f t="shared" si="107"/>
        <v>2.5</v>
      </c>
      <c r="AF946" s="580">
        <f t="shared" si="108"/>
        <v>2.5</v>
      </c>
      <c r="AG946" s="580">
        <f t="shared" si="109"/>
        <v>0</v>
      </c>
      <c r="AH946" s="580">
        <f t="shared" si="110"/>
        <v>0</v>
      </c>
    </row>
    <row r="947" spans="28:34">
      <c r="AB947" s="580">
        <f>HLOOKUP("*"&amp;'Output annual'!$AC$2&amp;'Output annual'!$AD$2&amp;"*Zone People Number Of Occupants [](Hourly)",'Eplus results'!$1:$1048576,ROW(),FALSE)</f>
        <v>0</v>
      </c>
      <c r="AC947" s="580">
        <f>HLOOKUP("*"&amp;'Output annual'!$AC$2&amp;'Output annual'!$AD$2&amp;"*FangerPMV(Hourly)",'Eplus results'!$1:$1048576,ROW(),FALSE)</f>
        <v>0</v>
      </c>
      <c r="AD947" s="580">
        <f t="shared" si="106"/>
        <v>5</v>
      </c>
      <c r="AE947" s="580">
        <f t="shared" si="107"/>
        <v>2.5</v>
      </c>
      <c r="AF947" s="580">
        <f t="shared" si="108"/>
        <v>2.5</v>
      </c>
      <c r="AG947" s="580">
        <f t="shared" si="109"/>
        <v>0</v>
      </c>
      <c r="AH947" s="580">
        <f t="shared" si="110"/>
        <v>0</v>
      </c>
    </row>
    <row r="948" spans="28:34">
      <c r="AB948" s="580">
        <f>HLOOKUP("*"&amp;'Output annual'!$AC$2&amp;'Output annual'!$AD$2&amp;"*Zone People Number Of Occupants [](Hourly)",'Eplus results'!$1:$1048576,ROW(),FALSE)</f>
        <v>0</v>
      </c>
      <c r="AC948" s="580">
        <f>HLOOKUP("*"&amp;'Output annual'!$AC$2&amp;'Output annual'!$AD$2&amp;"*FangerPMV(Hourly)",'Eplus results'!$1:$1048576,ROW(),FALSE)</f>
        <v>0</v>
      </c>
      <c r="AD948" s="580">
        <f t="shared" si="106"/>
        <v>5</v>
      </c>
      <c r="AE948" s="580">
        <f t="shared" si="107"/>
        <v>2.5</v>
      </c>
      <c r="AF948" s="580">
        <f t="shared" si="108"/>
        <v>2.5</v>
      </c>
      <c r="AG948" s="580">
        <f t="shared" si="109"/>
        <v>0</v>
      </c>
      <c r="AH948" s="580">
        <f t="shared" si="110"/>
        <v>0</v>
      </c>
    </row>
    <row r="949" spans="28:34">
      <c r="AB949" s="580">
        <f>HLOOKUP("*"&amp;'Output annual'!$AC$2&amp;'Output annual'!$AD$2&amp;"*Zone People Number Of Occupants [](Hourly)",'Eplus results'!$1:$1048576,ROW(),FALSE)</f>
        <v>0</v>
      </c>
      <c r="AC949" s="580">
        <f>HLOOKUP("*"&amp;'Output annual'!$AC$2&amp;'Output annual'!$AD$2&amp;"*FangerPMV(Hourly)",'Eplus results'!$1:$1048576,ROW(),FALSE)</f>
        <v>0</v>
      </c>
      <c r="AD949" s="580">
        <f t="shared" si="106"/>
        <v>5</v>
      </c>
      <c r="AE949" s="580">
        <f t="shared" si="107"/>
        <v>2.5</v>
      </c>
      <c r="AF949" s="580">
        <f t="shared" si="108"/>
        <v>2.5</v>
      </c>
      <c r="AG949" s="580">
        <f t="shared" si="109"/>
        <v>0</v>
      </c>
      <c r="AH949" s="580">
        <f t="shared" si="110"/>
        <v>0</v>
      </c>
    </row>
    <row r="950" spans="28:34">
      <c r="AB950" s="580">
        <f>HLOOKUP("*"&amp;'Output annual'!$AC$2&amp;'Output annual'!$AD$2&amp;"*Zone People Number Of Occupants [](Hourly)",'Eplus results'!$1:$1048576,ROW(),FALSE)</f>
        <v>0</v>
      </c>
      <c r="AC950" s="580">
        <f>HLOOKUP("*"&amp;'Output annual'!$AC$2&amp;'Output annual'!$AD$2&amp;"*FangerPMV(Hourly)",'Eplus results'!$1:$1048576,ROW(),FALSE)</f>
        <v>0</v>
      </c>
      <c r="AD950" s="580">
        <f t="shared" si="106"/>
        <v>5</v>
      </c>
      <c r="AE950" s="580">
        <f t="shared" si="107"/>
        <v>2.5</v>
      </c>
      <c r="AF950" s="580">
        <f t="shared" si="108"/>
        <v>2.5</v>
      </c>
      <c r="AG950" s="580">
        <f t="shared" si="109"/>
        <v>0</v>
      </c>
      <c r="AH950" s="580">
        <f t="shared" si="110"/>
        <v>0</v>
      </c>
    </row>
    <row r="951" spans="28:34">
      <c r="AB951" s="580">
        <f>HLOOKUP("*"&amp;'Output annual'!$AC$2&amp;'Output annual'!$AD$2&amp;"*Zone People Number Of Occupants [](Hourly)",'Eplus results'!$1:$1048576,ROW(),FALSE)</f>
        <v>0</v>
      </c>
      <c r="AC951" s="580">
        <f>HLOOKUP("*"&amp;'Output annual'!$AC$2&amp;'Output annual'!$AD$2&amp;"*FangerPMV(Hourly)",'Eplus results'!$1:$1048576,ROW(),FALSE)</f>
        <v>0</v>
      </c>
      <c r="AD951" s="580">
        <f t="shared" si="106"/>
        <v>5</v>
      </c>
      <c r="AE951" s="580">
        <f t="shared" si="107"/>
        <v>2.5</v>
      </c>
      <c r="AF951" s="580">
        <f t="shared" si="108"/>
        <v>2.5</v>
      </c>
      <c r="AG951" s="580">
        <f t="shared" si="109"/>
        <v>0</v>
      </c>
      <c r="AH951" s="580">
        <f t="shared" si="110"/>
        <v>0</v>
      </c>
    </row>
    <row r="952" spans="28:34">
      <c r="AB952" s="580">
        <f>HLOOKUP("*"&amp;'Output annual'!$AC$2&amp;'Output annual'!$AD$2&amp;"*Zone People Number Of Occupants [](Hourly)",'Eplus results'!$1:$1048576,ROW(),FALSE)</f>
        <v>0</v>
      </c>
      <c r="AC952" s="580">
        <f>HLOOKUP("*"&amp;'Output annual'!$AC$2&amp;'Output annual'!$AD$2&amp;"*FangerPMV(Hourly)",'Eplus results'!$1:$1048576,ROW(),FALSE)</f>
        <v>0</v>
      </c>
      <c r="AD952" s="580">
        <f t="shared" si="106"/>
        <v>5</v>
      </c>
      <c r="AE952" s="580">
        <f t="shared" si="107"/>
        <v>2.5</v>
      </c>
      <c r="AF952" s="580">
        <f t="shared" si="108"/>
        <v>2.5</v>
      </c>
      <c r="AG952" s="580">
        <f t="shared" si="109"/>
        <v>0</v>
      </c>
      <c r="AH952" s="580">
        <f t="shared" si="110"/>
        <v>0</v>
      </c>
    </row>
    <row r="953" spans="28:34">
      <c r="AB953" s="580">
        <f>HLOOKUP("*"&amp;'Output annual'!$AC$2&amp;'Output annual'!$AD$2&amp;"*Zone People Number Of Occupants [](Hourly)",'Eplus results'!$1:$1048576,ROW(),FALSE)</f>
        <v>0</v>
      </c>
      <c r="AC953" s="580">
        <f>HLOOKUP("*"&amp;'Output annual'!$AC$2&amp;'Output annual'!$AD$2&amp;"*FangerPMV(Hourly)",'Eplus results'!$1:$1048576,ROW(),FALSE)</f>
        <v>0</v>
      </c>
      <c r="AD953" s="580">
        <f t="shared" si="106"/>
        <v>5</v>
      </c>
      <c r="AE953" s="580">
        <f t="shared" si="107"/>
        <v>2.5</v>
      </c>
      <c r="AF953" s="580">
        <f t="shared" si="108"/>
        <v>2.5</v>
      </c>
      <c r="AG953" s="580">
        <f t="shared" si="109"/>
        <v>0</v>
      </c>
      <c r="AH953" s="580">
        <f t="shared" si="110"/>
        <v>0</v>
      </c>
    </row>
    <row r="954" spans="28:34">
      <c r="AB954" s="580">
        <f>HLOOKUP("*"&amp;'Output annual'!$AC$2&amp;'Output annual'!$AD$2&amp;"*Zone People Number Of Occupants [](Hourly)",'Eplus results'!$1:$1048576,ROW(),FALSE)</f>
        <v>0</v>
      </c>
      <c r="AC954" s="580">
        <f>HLOOKUP("*"&amp;'Output annual'!$AC$2&amp;'Output annual'!$AD$2&amp;"*FangerPMV(Hourly)",'Eplus results'!$1:$1048576,ROW(),FALSE)</f>
        <v>0</v>
      </c>
      <c r="AD954" s="580">
        <f t="shared" si="106"/>
        <v>5</v>
      </c>
      <c r="AE954" s="580">
        <f t="shared" si="107"/>
        <v>2.5</v>
      </c>
      <c r="AF954" s="580">
        <f t="shared" si="108"/>
        <v>2.5</v>
      </c>
      <c r="AG954" s="580">
        <f t="shared" si="109"/>
        <v>0</v>
      </c>
      <c r="AH954" s="580">
        <f t="shared" si="110"/>
        <v>0</v>
      </c>
    </row>
    <row r="955" spans="28:34">
      <c r="AB955" s="580">
        <f>HLOOKUP("*"&amp;'Output annual'!$AC$2&amp;'Output annual'!$AD$2&amp;"*Zone People Number Of Occupants [](Hourly)",'Eplus results'!$1:$1048576,ROW(),FALSE)</f>
        <v>0</v>
      </c>
      <c r="AC955" s="580">
        <f>HLOOKUP("*"&amp;'Output annual'!$AC$2&amp;'Output annual'!$AD$2&amp;"*FangerPMV(Hourly)",'Eplus results'!$1:$1048576,ROW(),FALSE)</f>
        <v>0</v>
      </c>
      <c r="AD955" s="580">
        <f t="shared" si="106"/>
        <v>5</v>
      </c>
      <c r="AE955" s="580">
        <f t="shared" si="107"/>
        <v>2.5</v>
      </c>
      <c r="AF955" s="580">
        <f t="shared" si="108"/>
        <v>2.5</v>
      </c>
      <c r="AG955" s="580">
        <f t="shared" si="109"/>
        <v>0</v>
      </c>
      <c r="AH955" s="580">
        <f t="shared" si="110"/>
        <v>0</v>
      </c>
    </row>
    <row r="956" spans="28:34">
      <c r="AB956" s="580">
        <f>HLOOKUP("*"&amp;'Output annual'!$AC$2&amp;'Output annual'!$AD$2&amp;"*Zone People Number Of Occupants [](Hourly)",'Eplus results'!$1:$1048576,ROW(),FALSE)</f>
        <v>0</v>
      </c>
      <c r="AC956" s="580">
        <f>HLOOKUP("*"&amp;'Output annual'!$AC$2&amp;'Output annual'!$AD$2&amp;"*FangerPMV(Hourly)",'Eplus results'!$1:$1048576,ROW(),FALSE)</f>
        <v>0</v>
      </c>
      <c r="AD956" s="580">
        <f t="shared" si="106"/>
        <v>5</v>
      </c>
      <c r="AE956" s="580">
        <f t="shared" si="107"/>
        <v>2.5</v>
      </c>
      <c r="AF956" s="580">
        <f t="shared" si="108"/>
        <v>2.5</v>
      </c>
      <c r="AG956" s="580">
        <f t="shared" si="109"/>
        <v>0</v>
      </c>
      <c r="AH956" s="580">
        <f t="shared" si="110"/>
        <v>0</v>
      </c>
    </row>
    <row r="957" spans="28:34">
      <c r="AB957" s="580">
        <f>HLOOKUP("*"&amp;'Output annual'!$AC$2&amp;'Output annual'!$AD$2&amp;"*Zone People Number Of Occupants [](Hourly)",'Eplus results'!$1:$1048576,ROW(),FALSE)</f>
        <v>0</v>
      </c>
      <c r="AC957" s="580">
        <f>HLOOKUP("*"&amp;'Output annual'!$AC$2&amp;'Output annual'!$AD$2&amp;"*FangerPMV(Hourly)",'Eplus results'!$1:$1048576,ROW(),FALSE)</f>
        <v>0</v>
      </c>
      <c r="AD957" s="580">
        <f t="shared" si="106"/>
        <v>5</v>
      </c>
      <c r="AE957" s="580">
        <f t="shared" si="107"/>
        <v>2.5</v>
      </c>
      <c r="AF957" s="580">
        <f t="shared" si="108"/>
        <v>2.5</v>
      </c>
      <c r="AG957" s="580">
        <f t="shared" si="109"/>
        <v>0</v>
      </c>
      <c r="AH957" s="580">
        <f t="shared" si="110"/>
        <v>0</v>
      </c>
    </row>
    <row r="958" spans="28:34">
      <c r="AB958" s="580">
        <f>HLOOKUP("*"&amp;'Output annual'!$AC$2&amp;'Output annual'!$AD$2&amp;"*Zone People Number Of Occupants [](Hourly)",'Eplus results'!$1:$1048576,ROW(),FALSE)</f>
        <v>0</v>
      </c>
      <c r="AC958" s="580">
        <f>HLOOKUP("*"&amp;'Output annual'!$AC$2&amp;'Output annual'!$AD$2&amp;"*FangerPMV(Hourly)",'Eplus results'!$1:$1048576,ROW(),FALSE)</f>
        <v>0</v>
      </c>
      <c r="AD958" s="580">
        <f t="shared" si="106"/>
        <v>5</v>
      </c>
      <c r="AE958" s="580">
        <f t="shared" si="107"/>
        <v>2.5</v>
      </c>
      <c r="AF958" s="580">
        <f t="shared" si="108"/>
        <v>2.5</v>
      </c>
      <c r="AG958" s="580">
        <f t="shared" si="109"/>
        <v>0</v>
      </c>
      <c r="AH958" s="580">
        <f t="shared" si="110"/>
        <v>0</v>
      </c>
    </row>
    <row r="959" spans="28:34">
      <c r="AB959" s="580">
        <f>HLOOKUP("*"&amp;'Output annual'!$AC$2&amp;'Output annual'!$AD$2&amp;"*Zone People Number Of Occupants [](Hourly)",'Eplus results'!$1:$1048576,ROW(),FALSE)</f>
        <v>0</v>
      </c>
      <c r="AC959" s="580">
        <f>HLOOKUP("*"&amp;'Output annual'!$AC$2&amp;'Output annual'!$AD$2&amp;"*FangerPMV(Hourly)",'Eplus results'!$1:$1048576,ROW(),FALSE)</f>
        <v>0</v>
      </c>
      <c r="AD959" s="580">
        <f t="shared" si="106"/>
        <v>5</v>
      </c>
      <c r="AE959" s="580">
        <f t="shared" si="107"/>
        <v>2.5</v>
      </c>
      <c r="AF959" s="580">
        <f t="shared" si="108"/>
        <v>2.5</v>
      </c>
      <c r="AG959" s="580">
        <f t="shared" si="109"/>
        <v>0</v>
      </c>
      <c r="AH959" s="580">
        <f t="shared" si="110"/>
        <v>0</v>
      </c>
    </row>
    <row r="960" spans="28:34">
      <c r="AB960" s="580">
        <f>HLOOKUP("*"&amp;'Output annual'!$AC$2&amp;'Output annual'!$AD$2&amp;"*Zone People Number Of Occupants [](Hourly)",'Eplus results'!$1:$1048576,ROW(),FALSE)</f>
        <v>0</v>
      </c>
      <c r="AC960" s="580">
        <f>HLOOKUP("*"&amp;'Output annual'!$AC$2&amp;'Output annual'!$AD$2&amp;"*FangerPMV(Hourly)",'Eplus results'!$1:$1048576,ROW(),FALSE)</f>
        <v>0</v>
      </c>
      <c r="AD960" s="580">
        <f t="shared" si="106"/>
        <v>5</v>
      </c>
      <c r="AE960" s="580">
        <f t="shared" si="107"/>
        <v>2.5</v>
      </c>
      <c r="AF960" s="580">
        <f t="shared" si="108"/>
        <v>2.5</v>
      </c>
      <c r="AG960" s="580">
        <f t="shared" si="109"/>
        <v>0</v>
      </c>
      <c r="AH960" s="580">
        <f t="shared" si="110"/>
        <v>0</v>
      </c>
    </row>
    <row r="961" spans="28:34">
      <c r="AB961" s="580">
        <f>HLOOKUP("*"&amp;'Output annual'!$AC$2&amp;'Output annual'!$AD$2&amp;"*Zone People Number Of Occupants [](Hourly)",'Eplus results'!$1:$1048576,ROW(),FALSE)</f>
        <v>0</v>
      </c>
      <c r="AC961" s="580">
        <f>HLOOKUP("*"&amp;'Output annual'!$AC$2&amp;'Output annual'!$AD$2&amp;"*FangerPMV(Hourly)",'Eplus results'!$1:$1048576,ROW(),FALSE)</f>
        <v>0</v>
      </c>
      <c r="AD961" s="580">
        <f t="shared" si="106"/>
        <v>5</v>
      </c>
      <c r="AE961" s="580">
        <f t="shared" si="107"/>
        <v>2.5</v>
      </c>
      <c r="AF961" s="580">
        <f t="shared" si="108"/>
        <v>2.5</v>
      </c>
      <c r="AG961" s="580">
        <f t="shared" si="109"/>
        <v>0</v>
      </c>
      <c r="AH961" s="580">
        <f t="shared" si="110"/>
        <v>0</v>
      </c>
    </row>
    <row r="962" spans="28:34">
      <c r="AB962" s="580">
        <f>HLOOKUP("*"&amp;'Output annual'!$AC$2&amp;'Output annual'!$AD$2&amp;"*Zone People Number Of Occupants [](Hourly)",'Eplus results'!$1:$1048576,ROW(),FALSE)</f>
        <v>0</v>
      </c>
      <c r="AC962" s="580">
        <f>HLOOKUP("*"&amp;'Output annual'!$AC$2&amp;'Output annual'!$AD$2&amp;"*FangerPMV(Hourly)",'Eplus results'!$1:$1048576,ROW(),FALSE)</f>
        <v>0</v>
      </c>
      <c r="AD962" s="580">
        <f t="shared" si="106"/>
        <v>5</v>
      </c>
      <c r="AE962" s="580">
        <f t="shared" si="107"/>
        <v>2.5</v>
      </c>
      <c r="AF962" s="580">
        <f t="shared" si="108"/>
        <v>2.5</v>
      </c>
      <c r="AG962" s="580">
        <f t="shared" si="109"/>
        <v>0</v>
      </c>
      <c r="AH962" s="580">
        <f t="shared" si="110"/>
        <v>0</v>
      </c>
    </row>
    <row r="963" spans="28:34">
      <c r="AB963" s="580">
        <f>HLOOKUP("*"&amp;'Output annual'!$AC$2&amp;'Output annual'!$AD$2&amp;"*Zone People Number Of Occupants [](Hourly)",'Eplus results'!$1:$1048576,ROW(),FALSE)</f>
        <v>0</v>
      </c>
      <c r="AC963" s="580">
        <f>HLOOKUP("*"&amp;'Output annual'!$AC$2&amp;'Output annual'!$AD$2&amp;"*FangerPMV(Hourly)",'Eplus results'!$1:$1048576,ROW(),FALSE)</f>
        <v>0</v>
      </c>
      <c r="AD963" s="580">
        <f t="shared" ref="AD963:AD1026" si="111">100-95*EXP(-0.03353*AC963^4-0.2179*AC963^2)</f>
        <v>5</v>
      </c>
      <c r="AE963" s="580">
        <f t="shared" ref="AE963:AE1026" si="112">AD963*(1/(1+EXP(-6.3*$AC963)))</f>
        <v>2.5</v>
      </c>
      <c r="AF963" s="580">
        <f t="shared" ref="AF963:AF1026" si="113">(AD963-AE963)</f>
        <v>2.5</v>
      </c>
      <c r="AG963" s="580">
        <f t="shared" ref="AG963:AG1026" si="114">AE963*AB963</f>
        <v>0</v>
      </c>
      <c r="AH963" s="580">
        <f t="shared" ref="AH963:AH1026" si="115">AF963*AB963</f>
        <v>0</v>
      </c>
    </row>
    <row r="964" spans="28:34">
      <c r="AB964" s="580">
        <f>HLOOKUP("*"&amp;'Output annual'!$AC$2&amp;'Output annual'!$AD$2&amp;"*Zone People Number Of Occupants [](Hourly)",'Eplus results'!$1:$1048576,ROW(),FALSE)</f>
        <v>0</v>
      </c>
      <c r="AC964" s="580">
        <f>HLOOKUP("*"&amp;'Output annual'!$AC$2&amp;'Output annual'!$AD$2&amp;"*FangerPMV(Hourly)",'Eplus results'!$1:$1048576,ROW(),FALSE)</f>
        <v>0</v>
      </c>
      <c r="AD964" s="580">
        <f t="shared" si="111"/>
        <v>5</v>
      </c>
      <c r="AE964" s="580">
        <f t="shared" si="112"/>
        <v>2.5</v>
      </c>
      <c r="AF964" s="580">
        <f t="shared" si="113"/>
        <v>2.5</v>
      </c>
      <c r="AG964" s="580">
        <f t="shared" si="114"/>
        <v>0</v>
      </c>
      <c r="AH964" s="580">
        <f t="shared" si="115"/>
        <v>0</v>
      </c>
    </row>
    <row r="965" spans="28:34">
      <c r="AB965" s="580">
        <f>HLOOKUP("*"&amp;'Output annual'!$AC$2&amp;'Output annual'!$AD$2&amp;"*Zone People Number Of Occupants [](Hourly)",'Eplus results'!$1:$1048576,ROW(),FALSE)</f>
        <v>0</v>
      </c>
      <c r="AC965" s="580">
        <f>HLOOKUP("*"&amp;'Output annual'!$AC$2&amp;'Output annual'!$AD$2&amp;"*FangerPMV(Hourly)",'Eplus results'!$1:$1048576,ROW(),FALSE)</f>
        <v>0</v>
      </c>
      <c r="AD965" s="580">
        <f t="shared" si="111"/>
        <v>5</v>
      </c>
      <c r="AE965" s="580">
        <f t="shared" si="112"/>
        <v>2.5</v>
      </c>
      <c r="AF965" s="580">
        <f t="shared" si="113"/>
        <v>2.5</v>
      </c>
      <c r="AG965" s="580">
        <f t="shared" si="114"/>
        <v>0</v>
      </c>
      <c r="AH965" s="580">
        <f t="shared" si="115"/>
        <v>0</v>
      </c>
    </row>
    <row r="966" spans="28:34">
      <c r="AB966" s="580">
        <f>HLOOKUP("*"&amp;'Output annual'!$AC$2&amp;'Output annual'!$AD$2&amp;"*Zone People Number Of Occupants [](Hourly)",'Eplus results'!$1:$1048576,ROW(),FALSE)</f>
        <v>0</v>
      </c>
      <c r="AC966" s="580">
        <f>HLOOKUP("*"&amp;'Output annual'!$AC$2&amp;'Output annual'!$AD$2&amp;"*FangerPMV(Hourly)",'Eplus results'!$1:$1048576,ROW(),FALSE)</f>
        <v>0</v>
      </c>
      <c r="AD966" s="580">
        <f t="shared" si="111"/>
        <v>5</v>
      </c>
      <c r="AE966" s="580">
        <f t="shared" si="112"/>
        <v>2.5</v>
      </c>
      <c r="AF966" s="580">
        <f t="shared" si="113"/>
        <v>2.5</v>
      </c>
      <c r="AG966" s="580">
        <f t="shared" si="114"/>
        <v>0</v>
      </c>
      <c r="AH966" s="580">
        <f t="shared" si="115"/>
        <v>0</v>
      </c>
    </row>
    <row r="967" spans="28:34">
      <c r="AB967" s="580">
        <f>HLOOKUP("*"&amp;'Output annual'!$AC$2&amp;'Output annual'!$AD$2&amp;"*Zone People Number Of Occupants [](Hourly)",'Eplus results'!$1:$1048576,ROW(),FALSE)</f>
        <v>0</v>
      </c>
      <c r="AC967" s="580">
        <f>HLOOKUP("*"&amp;'Output annual'!$AC$2&amp;'Output annual'!$AD$2&amp;"*FangerPMV(Hourly)",'Eplus results'!$1:$1048576,ROW(),FALSE)</f>
        <v>0</v>
      </c>
      <c r="AD967" s="580">
        <f t="shared" si="111"/>
        <v>5</v>
      </c>
      <c r="AE967" s="580">
        <f t="shared" si="112"/>
        <v>2.5</v>
      </c>
      <c r="AF967" s="580">
        <f t="shared" si="113"/>
        <v>2.5</v>
      </c>
      <c r="AG967" s="580">
        <f t="shared" si="114"/>
        <v>0</v>
      </c>
      <c r="AH967" s="580">
        <f t="shared" si="115"/>
        <v>0</v>
      </c>
    </row>
    <row r="968" spans="28:34">
      <c r="AB968" s="580">
        <f>HLOOKUP("*"&amp;'Output annual'!$AC$2&amp;'Output annual'!$AD$2&amp;"*Zone People Number Of Occupants [](Hourly)",'Eplus results'!$1:$1048576,ROW(),FALSE)</f>
        <v>0</v>
      </c>
      <c r="AC968" s="580">
        <f>HLOOKUP("*"&amp;'Output annual'!$AC$2&amp;'Output annual'!$AD$2&amp;"*FangerPMV(Hourly)",'Eplus results'!$1:$1048576,ROW(),FALSE)</f>
        <v>0</v>
      </c>
      <c r="AD968" s="580">
        <f t="shared" si="111"/>
        <v>5</v>
      </c>
      <c r="AE968" s="580">
        <f t="shared" si="112"/>
        <v>2.5</v>
      </c>
      <c r="AF968" s="580">
        <f t="shared" si="113"/>
        <v>2.5</v>
      </c>
      <c r="AG968" s="580">
        <f t="shared" si="114"/>
        <v>0</v>
      </c>
      <c r="AH968" s="580">
        <f t="shared" si="115"/>
        <v>0</v>
      </c>
    </row>
    <row r="969" spans="28:34">
      <c r="AB969" s="580">
        <f>HLOOKUP("*"&amp;'Output annual'!$AC$2&amp;'Output annual'!$AD$2&amp;"*Zone People Number Of Occupants [](Hourly)",'Eplus results'!$1:$1048576,ROW(),FALSE)</f>
        <v>0</v>
      </c>
      <c r="AC969" s="580">
        <f>HLOOKUP("*"&amp;'Output annual'!$AC$2&amp;'Output annual'!$AD$2&amp;"*FangerPMV(Hourly)",'Eplus results'!$1:$1048576,ROW(),FALSE)</f>
        <v>0</v>
      </c>
      <c r="AD969" s="580">
        <f t="shared" si="111"/>
        <v>5</v>
      </c>
      <c r="AE969" s="580">
        <f t="shared" si="112"/>
        <v>2.5</v>
      </c>
      <c r="AF969" s="580">
        <f t="shared" si="113"/>
        <v>2.5</v>
      </c>
      <c r="AG969" s="580">
        <f t="shared" si="114"/>
        <v>0</v>
      </c>
      <c r="AH969" s="580">
        <f t="shared" si="115"/>
        <v>0</v>
      </c>
    </row>
    <row r="970" spans="28:34">
      <c r="AB970" s="580">
        <f>HLOOKUP("*"&amp;'Output annual'!$AC$2&amp;'Output annual'!$AD$2&amp;"*Zone People Number Of Occupants [](Hourly)",'Eplus results'!$1:$1048576,ROW(),FALSE)</f>
        <v>0</v>
      </c>
      <c r="AC970" s="580">
        <f>HLOOKUP("*"&amp;'Output annual'!$AC$2&amp;'Output annual'!$AD$2&amp;"*FangerPMV(Hourly)",'Eplus results'!$1:$1048576,ROW(),FALSE)</f>
        <v>0</v>
      </c>
      <c r="AD970" s="580">
        <f t="shared" si="111"/>
        <v>5</v>
      </c>
      <c r="AE970" s="580">
        <f t="shared" si="112"/>
        <v>2.5</v>
      </c>
      <c r="AF970" s="580">
        <f t="shared" si="113"/>
        <v>2.5</v>
      </c>
      <c r="AG970" s="580">
        <f t="shared" si="114"/>
        <v>0</v>
      </c>
      <c r="AH970" s="580">
        <f t="shared" si="115"/>
        <v>0</v>
      </c>
    </row>
    <row r="971" spans="28:34">
      <c r="AB971" s="580">
        <f>HLOOKUP("*"&amp;'Output annual'!$AC$2&amp;'Output annual'!$AD$2&amp;"*Zone People Number Of Occupants [](Hourly)",'Eplus results'!$1:$1048576,ROW(),FALSE)</f>
        <v>0</v>
      </c>
      <c r="AC971" s="580">
        <f>HLOOKUP("*"&amp;'Output annual'!$AC$2&amp;'Output annual'!$AD$2&amp;"*FangerPMV(Hourly)",'Eplus results'!$1:$1048576,ROW(),FALSE)</f>
        <v>0</v>
      </c>
      <c r="AD971" s="580">
        <f t="shared" si="111"/>
        <v>5</v>
      </c>
      <c r="AE971" s="580">
        <f t="shared" si="112"/>
        <v>2.5</v>
      </c>
      <c r="AF971" s="580">
        <f t="shared" si="113"/>
        <v>2.5</v>
      </c>
      <c r="AG971" s="580">
        <f t="shared" si="114"/>
        <v>0</v>
      </c>
      <c r="AH971" s="580">
        <f t="shared" si="115"/>
        <v>0</v>
      </c>
    </row>
    <row r="972" spans="28:34">
      <c r="AB972" s="580">
        <f>HLOOKUP("*"&amp;'Output annual'!$AC$2&amp;'Output annual'!$AD$2&amp;"*Zone People Number Of Occupants [](Hourly)",'Eplus results'!$1:$1048576,ROW(),FALSE)</f>
        <v>0</v>
      </c>
      <c r="AC972" s="580">
        <f>HLOOKUP("*"&amp;'Output annual'!$AC$2&amp;'Output annual'!$AD$2&amp;"*FangerPMV(Hourly)",'Eplus results'!$1:$1048576,ROW(),FALSE)</f>
        <v>0</v>
      </c>
      <c r="AD972" s="580">
        <f t="shared" si="111"/>
        <v>5</v>
      </c>
      <c r="AE972" s="580">
        <f t="shared" si="112"/>
        <v>2.5</v>
      </c>
      <c r="AF972" s="580">
        <f t="shared" si="113"/>
        <v>2.5</v>
      </c>
      <c r="AG972" s="580">
        <f t="shared" si="114"/>
        <v>0</v>
      </c>
      <c r="AH972" s="580">
        <f t="shared" si="115"/>
        <v>0</v>
      </c>
    </row>
    <row r="973" spans="28:34">
      <c r="AB973" s="580">
        <f>HLOOKUP("*"&amp;'Output annual'!$AC$2&amp;'Output annual'!$AD$2&amp;"*Zone People Number Of Occupants [](Hourly)",'Eplus results'!$1:$1048576,ROW(),FALSE)</f>
        <v>0</v>
      </c>
      <c r="AC973" s="580">
        <f>HLOOKUP("*"&amp;'Output annual'!$AC$2&amp;'Output annual'!$AD$2&amp;"*FangerPMV(Hourly)",'Eplus results'!$1:$1048576,ROW(),FALSE)</f>
        <v>0</v>
      </c>
      <c r="AD973" s="580">
        <f t="shared" si="111"/>
        <v>5</v>
      </c>
      <c r="AE973" s="580">
        <f t="shared" si="112"/>
        <v>2.5</v>
      </c>
      <c r="AF973" s="580">
        <f t="shared" si="113"/>
        <v>2.5</v>
      </c>
      <c r="AG973" s="580">
        <f t="shared" si="114"/>
        <v>0</v>
      </c>
      <c r="AH973" s="580">
        <f t="shared" si="115"/>
        <v>0</v>
      </c>
    </row>
    <row r="974" spans="28:34">
      <c r="AB974" s="580">
        <f>HLOOKUP("*"&amp;'Output annual'!$AC$2&amp;'Output annual'!$AD$2&amp;"*Zone People Number Of Occupants [](Hourly)",'Eplus results'!$1:$1048576,ROW(),FALSE)</f>
        <v>0</v>
      </c>
      <c r="AC974" s="580">
        <f>HLOOKUP("*"&amp;'Output annual'!$AC$2&amp;'Output annual'!$AD$2&amp;"*FangerPMV(Hourly)",'Eplus results'!$1:$1048576,ROW(),FALSE)</f>
        <v>0</v>
      </c>
      <c r="AD974" s="580">
        <f t="shared" si="111"/>
        <v>5</v>
      </c>
      <c r="AE974" s="580">
        <f t="shared" si="112"/>
        <v>2.5</v>
      </c>
      <c r="AF974" s="580">
        <f t="shared" si="113"/>
        <v>2.5</v>
      </c>
      <c r="AG974" s="580">
        <f t="shared" si="114"/>
        <v>0</v>
      </c>
      <c r="AH974" s="580">
        <f t="shared" si="115"/>
        <v>0</v>
      </c>
    </row>
    <row r="975" spans="28:34">
      <c r="AB975" s="580">
        <f>HLOOKUP("*"&amp;'Output annual'!$AC$2&amp;'Output annual'!$AD$2&amp;"*Zone People Number Of Occupants [](Hourly)",'Eplus results'!$1:$1048576,ROW(),FALSE)</f>
        <v>0</v>
      </c>
      <c r="AC975" s="580">
        <f>HLOOKUP("*"&amp;'Output annual'!$AC$2&amp;'Output annual'!$AD$2&amp;"*FangerPMV(Hourly)",'Eplus results'!$1:$1048576,ROW(),FALSE)</f>
        <v>0</v>
      </c>
      <c r="AD975" s="580">
        <f t="shared" si="111"/>
        <v>5</v>
      </c>
      <c r="AE975" s="580">
        <f t="shared" si="112"/>
        <v>2.5</v>
      </c>
      <c r="AF975" s="580">
        <f t="shared" si="113"/>
        <v>2.5</v>
      </c>
      <c r="AG975" s="580">
        <f t="shared" si="114"/>
        <v>0</v>
      </c>
      <c r="AH975" s="580">
        <f t="shared" si="115"/>
        <v>0</v>
      </c>
    </row>
    <row r="976" spans="28:34">
      <c r="AB976" s="580">
        <f>HLOOKUP("*"&amp;'Output annual'!$AC$2&amp;'Output annual'!$AD$2&amp;"*Zone People Number Of Occupants [](Hourly)",'Eplus results'!$1:$1048576,ROW(),FALSE)</f>
        <v>0</v>
      </c>
      <c r="AC976" s="580">
        <f>HLOOKUP("*"&amp;'Output annual'!$AC$2&amp;'Output annual'!$AD$2&amp;"*FangerPMV(Hourly)",'Eplus results'!$1:$1048576,ROW(),FALSE)</f>
        <v>0</v>
      </c>
      <c r="AD976" s="580">
        <f t="shared" si="111"/>
        <v>5</v>
      </c>
      <c r="AE976" s="580">
        <f t="shared" si="112"/>
        <v>2.5</v>
      </c>
      <c r="AF976" s="580">
        <f t="shared" si="113"/>
        <v>2.5</v>
      </c>
      <c r="AG976" s="580">
        <f t="shared" si="114"/>
        <v>0</v>
      </c>
      <c r="AH976" s="580">
        <f t="shared" si="115"/>
        <v>0</v>
      </c>
    </row>
    <row r="977" spans="28:34">
      <c r="AB977" s="580">
        <f>HLOOKUP("*"&amp;'Output annual'!$AC$2&amp;'Output annual'!$AD$2&amp;"*Zone People Number Of Occupants [](Hourly)",'Eplus results'!$1:$1048576,ROW(),FALSE)</f>
        <v>0</v>
      </c>
      <c r="AC977" s="580">
        <f>HLOOKUP("*"&amp;'Output annual'!$AC$2&amp;'Output annual'!$AD$2&amp;"*FangerPMV(Hourly)",'Eplus results'!$1:$1048576,ROW(),FALSE)</f>
        <v>0</v>
      </c>
      <c r="AD977" s="580">
        <f t="shared" si="111"/>
        <v>5</v>
      </c>
      <c r="AE977" s="580">
        <f t="shared" si="112"/>
        <v>2.5</v>
      </c>
      <c r="AF977" s="580">
        <f t="shared" si="113"/>
        <v>2.5</v>
      </c>
      <c r="AG977" s="580">
        <f t="shared" si="114"/>
        <v>0</v>
      </c>
      <c r="AH977" s="580">
        <f t="shared" si="115"/>
        <v>0</v>
      </c>
    </row>
    <row r="978" spans="28:34">
      <c r="AB978" s="580">
        <f>HLOOKUP("*"&amp;'Output annual'!$AC$2&amp;'Output annual'!$AD$2&amp;"*Zone People Number Of Occupants [](Hourly)",'Eplus results'!$1:$1048576,ROW(),FALSE)</f>
        <v>0</v>
      </c>
      <c r="AC978" s="580">
        <f>HLOOKUP("*"&amp;'Output annual'!$AC$2&amp;'Output annual'!$AD$2&amp;"*FangerPMV(Hourly)",'Eplus results'!$1:$1048576,ROW(),FALSE)</f>
        <v>0</v>
      </c>
      <c r="AD978" s="580">
        <f t="shared" si="111"/>
        <v>5</v>
      </c>
      <c r="AE978" s="580">
        <f t="shared" si="112"/>
        <v>2.5</v>
      </c>
      <c r="AF978" s="580">
        <f t="shared" si="113"/>
        <v>2.5</v>
      </c>
      <c r="AG978" s="580">
        <f t="shared" si="114"/>
        <v>0</v>
      </c>
      <c r="AH978" s="580">
        <f t="shared" si="115"/>
        <v>0</v>
      </c>
    </row>
    <row r="979" spans="28:34">
      <c r="AB979" s="580">
        <f>HLOOKUP("*"&amp;'Output annual'!$AC$2&amp;'Output annual'!$AD$2&amp;"*Zone People Number Of Occupants [](Hourly)",'Eplus results'!$1:$1048576,ROW(),FALSE)</f>
        <v>0</v>
      </c>
      <c r="AC979" s="580">
        <f>HLOOKUP("*"&amp;'Output annual'!$AC$2&amp;'Output annual'!$AD$2&amp;"*FangerPMV(Hourly)",'Eplus results'!$1:$1048576,ROW(),FALSE)</f>
        <v>0</v>
      </c>
      <c r="AD979" s="580">
        <f t="shared" si="111"/>
        <v>5</v>
      </c>
      <c r="AE979" s="580">
        <f t="shared" si="112"/>
        <v>2.5</v>
      </c>
      <c r="AF979" s="580">
        <f t="shared" si="113"/>
        <v>2.5</v>
      </c>
      <c r="AG979" s="580">
        <f t="shared" si="114"/>
        <v>0</v>
      </c>
      <c r="AH979" s="580">
        <f t="shared" si="115"/>
        <v>0</v>
      </c>
    </row>
    <row r="980" spans="28:34">
      <c r="AB980" s="580">
        <f>HLOOKUP("*"&amp;'Output annual'!$AC$2&amp;'Output annual'!$AD$2&amp;"*Zone People Number Of Occupants [](Hourly)",'Eplus results'!$1:$1048576,ROW(),FALSE)</f>
        <v>0</v>
      </c>
      <c r="AC980" s="580">
        <f>HLOOKUP("*"&amp;'Output annual'!$AC$2&amp;'Output annual'!$AD$2&amp;"*FangerPMV(Hourly)",'Eplus results'!$1:$1048576,ROW(),FALSE)</f>
        <v>0</v>
      </c>
      <c r="AD980" s="580">
        <f t="shared" si="111"/>
        <v>5</v>
      </c>
      <c r="AE980" s="580">
        <f t="shared" si="112"/>
        <v>2.5</v>
      </c>
      <c r="AF980" s="580">
        <f t="shared" si="113"/>
        <v>2.5</v>
      </c>
      <c r="AG980" s="580">
        <f t="shared" si="114"/>
        <v>0</v>
      </c>
      <c r="AH980" s="580">
        <f t="shared" si="115"/>
        <v>0</v>
      </c>
    </row>
    <row r="981" spans="28:34">
      <c r="AB981" s="580">
        <f>HLOOKUP("*"&amp;'Output annual'!$AC$2&amp;'Output annual'!$AD$2&amp;"*Zone People Number Of Occupants [](Hourly)",'Eplus results'!$1:$1048576,ROW(),FALSE)</f>
        <v>0</v>
      </c>
      <c r="AC981" s="580">
        <f>HLOOKUP("*"&amp;'Output annual'!$AC$2&amp;'Output annual'!$AD$2&amp;"*FangerPMV(Hourly)",'Eplus results'!$1:$1048576,ROW(),FALSE)</f>
        <v>0</v>
      </c>
      <c r="AD981" s="580">
        <f t="shared" si="111"/>
        <v>5</v>
      </c>
      <c r="AE981" s="580">
        <f t="shared" si="112"/>
        <v>2.5</v>
      </c>
      <c r="AF981" s="580">
        <f t="shared" si="113"/>
        <v>2.5</v>
      </c>
      <c r="AG981" s="580">
        <f t="shared" si="114"/>
        <v>0</v>
      </c>
      <c r="AH981" s="580">
        <f t="shared" si="115"/>
        <v>0</v>
      </c>
    </row>
    <row r="982" spans="28:34">
      <c r="AB982" s="580">
        <f>HLOOKUP("*"&amp;'Output annual'!$AC$2&amp;'Output annual'!$AD$2&amp;"*Zone People Number Of Occupants [](Hourly)",'Eplus results'!$1:$1048576,ROW(),FALSE)</f>
        <v>0</v>
      </c>
      <c r="AC982" s="580">
        <f>HLOOKUP("*"&amp;'Output annual'!$AC$2&amp;'Output annual'!$AD$2&amp;"*FangerPMV(Hourly)",'Eplus results'!$1:$1048576,ROW(),FALSE)</f>
        <v>0</v>
      </c>
      <c r="AD982" s="580">
        <f t="shared" si="111"/>
        <v>5</v>
      </c>
      <c r="AE982" s="580">
        <f t="shared" si="112"/>
        <v>2.5</v>
      </c>
      <c r="AF982" s="580">
        <f t="shared" si="113"/>
        <v>2.5</v>
      </c>
      <c r="AG982" s="580">
        <f t="shared" si="114"/>
        <v>0</v>
      </c>
      <c r="AH982" s="580">
        <f t="shared" si="115"/>
        <v>0</v>
      </c>
    </row>
    <row r="983" spans="28:34">
      <c r="AB983" s="580">
        <f>HLOOKUP("*"&amp;'Output annual'!$AC$2&amp;'Output annual'!$AD$2&amp;"*Zone People Number Of Occupants [](Hourly)",'Eplus results'!$1:$1048576,ROW(),FALSE)</f>
        <v>0</v>
      </c>
      <c r="AC983" s="580">
        <f>HLOOKUP("*"&amp;'Output annual'!$AC$2&amp;'Output annual'!$AD$2&amp;"*FangerPMV(Hourly)",'Eplus results'!$1:$1048576,ROW(),FALSE)</f>
        <v>0</v>
      </c>
      <c r="AD983" s="580">
        <f t="shared" si="111"/>
        <v>5</v>
      </c>
      <c r="AE983" s="580">
        <f t="shared" si="112"/>
        <v>2.5</v>
      </c>
      <c r="AF983" s="580">
        <f t="shared" si="113"/>
        <v>2.5</v>
      </c>
      <c r="AG983" s="580">
        <f t="shared" si="114"/>
        <v>0</v>
      </c>
      <c r="AH983" s="580">
        <f t="shared" si="115"/>
        <v>0</v>
      </c>
    </row>
    <row r="984" spans="28:34">
      <c r="AB984" s="580">
        <f>HLOOKUP("*"&amp;'Output annual'!$AC$2&amp;'Output annual'!$AD$2&amp;"*Zone People Number Of Occupants [](Hourly)",'Eplus results'!$1:$1048576,ROW(),FALSE)</f>
        <v>0</v>
      </c>
      <c r="AC984" s="580">
        <f>HLOOKUP("*"&amp;'Output annual'!$AC$2&amp;'Output annual'!$AD$2&amp;"*FangerPMV(Hourly)",'Eplus results'!$1:$1048576,ROW(),FALSE)</f>
        <v>0</v>
      </c>
      <c r="AD984" s="580">
        <f t="shared" si="111"/>
        <v>5</v>
      </c>
      <c r="AE984" s="580">
        <f t="shared" si="112"/>
        <v>2.5</v>
      </c>
      <c r="AF984" s="580">
        <f t="shared" si="113"/>
        <v>2.5</v>
      </c>
      <c r="AG984" s="580">
        <f t="shared" si="114"/>
        <v>0</v>
      </c>
      <c r="AH984" s="580">
        <f t="shared" si="115"/>
        <v>0</v>
      </c>
    </row>
    <row r="985" spans="28:34">
      <c r="AB985" s="580">
        <f>HLOOKUP("*"&amp;'Output annual'!$AC$2&amp;'Output annual'!$AD$2&amp;"*Zone People Number Of Occupants [](Hourly)",'Eplus results'!$1:$1048576,ROW(),FALSE)</f>
        <v>0</v>
      </c>
      <c r="AC985" s="580">
        <f>HLOOKUP("*"&amp;'Output annual'!$AC$2&amp;'Output annual'!$AD$2&amp;"*FangerPMV(Hourly)",'Eplus results'!$1:$1048576,ROW(),FALSE)</f>
        <v>0</v>
      </c>
      <c r="AD985" s="580">
        <f t="shared" si="111"/>
        <v>5</v>
      </c>
      <c r="AE985" s="580">
        <f t="shared" si="112"/>
        <v>2.5</v>
      </c>
      <c r="AF985" s="580">
        <f t="shared" si="113"/>
        <v>2.5</v>
      </c>
      <c r="AG985" s="580">
        <f t="shared" si="114"/>
        <v>0</v>
      </c>
      <c r="AH985" s="580">
        <f t="shared" si="115"/>
        <v>0</v>
      </c>
    </row>
    <row r="986" spans="28:34">
      <c r="AB986" s="580">
        <f>HLOOKUP("*"&amp;'Output annual'!$AC$2&amp;'Output annual'!$AD$2&amp;"*Zone People Number Of Occupants [](Hourly)",'Eplus results'!$1:$1048576,ROW(),FALSE)</f>
        <v>0</v>
      </c>
      <c r="AC986" s="580">
        <f>HLOOKUP("*"&amp;'Output annual'!$AC$2&amp;'Output annual'!$AD$2&amp;"*FangerPMV(Hourly)",'Eplus results'!$1:$1048576,ROW(),FALSE)</f>
        <v>0</v>
      </c>
      <c r="AD986" s="580">
        <f t="shared" si="111"/>
        <v>5</v>
      </c>
      <c r="AE986" s="580">
        <f t="shared" si="112"/>
        <v>2.5</v>
      </c>
      <c r="AF986" s="580">
        <f t="shared" si="113"/>
        <v>2.5</v>
      </c>
      <c r="AG986" s="580">
        <f t="shared" si="114"/>
        <v>0</v>
      </c>
      <c r="AH986" s="580">
        <f t="shared" si="115"/>
        <v>0</v>
      </c>
    </row>
    <row r="987" spans="28:34">
      <c r="AB987" s="580">
        <f>HLOOKUP("*"&amp;'Output annual'!$AC$2&amp;'Output annual'!$AD$2&amp;"*Zone People Number Of Occupants [](Hourly)",'Eplus results'!$1:$1048576,ROW(),FALSE)</f>
        <v>0</v>
      </c>
      <c r="AC987" s="580">
        <f>HLOOKUP("*"&amp;'Output annual'!$AC$2&amp;'Output annual'!$AD$2&amp;"*FangerPMV(Hourly)",'Eplus results'!$1:$1048576,ROW(),FALSE)</f>
        <v>0</v>
      </c>
      <c r="AD987" s="580">
        <f t="shared" si="111"/>
        <v>5</v>
      </c>
      <c r="AE987" s="580">
        <f t="shared" si="112"/>
        <v>2.5</v>
      </c>
      <c r="AF987" s="580">
        <f t="shared" si="113"/>
        <v>2.5</v>
      </c>
      <c r="AG987" s="580">
        <f t="shared" si="114"/>
        <v>0</v>
      </c>
      <c r="AH987" s="580">
        <f t="shared" si="115"/>
        <v>0</v>
      </c>
    </row>
    <row r="988" spans="28:34">
      <c r="AB988" s="580">
        <f>HLOOKUP("*"&amp;'Output annual'!$AC$2&amp;'Output annual'!$AD$2&amp;"*Zone People Number Of Occupants [](Hourly)",'Eplus results'!$1:$1048576,ROW(),FALSE)</f>
        <v>0</v>
      </c>
      <c r="AC988" s="580">
        <f>HLOOKUP("*"&amp;'Output annual'!$AC$2&amp;'Output annual'!$AD$2&amp;"*FangerPMV(Hourly)",'Eplus results'!$1:$1048576,ROW(),FALSE)</f>
        <v>0</v>
      </c>
      <c r="AD988" s="580">
        <f t="shared" si="111"/>
        <v>5</v>
      </c>
      <c r="AE988" s="580">
        <f t="shared" si="112"/>
        <v>2.5</v>
      </c>
      <c r="AF988" s="580">
        <f t="shared" si="113"/>
        <v>2.5</v>
      </c>
      <c r="AG988" s="580">
        <f t="shared" si="114"/>
        <v>0</v>
      </c>
      <c r="AH988" s="580">
        <f t="shared" si="115"/>
        <v>0</v>
      </c>
    </row>
    <row r="989" spans="28:34">
      <c r="AB989" s="580">
        <f>HLOOKUP("*"&amp;'Output annual'!$AC$2&amp;'Output annual'!$AD$2&amp;"*Zone People Number Of Occupants [](Hourly)",'Eplus results'!$1:$1048576,ROW(),FALSE)</f>
        <v>0</v>
      </c>
      <c r="AC989" s="580">
        <f>HLOOKUP("*"&amp;'Output annual'!$AC$2&amp;'Output annual'!$AD$2&amp;"*FangerPMV(Hourly)",'Eplus results'!$1:$1048576,ROW(),FALSE)</f>
        <v>0</v>
      </c>
      <c r="AD989" s="580">
        <f t="shared" si="111"/>
        <v>5</v>
      </c>
      <c r="AE989" s="580">
        <f t="shared" si="112"/>
        <v>2.5</v>
      </c>
      <c r="AF989" s="580">
        <f t="shared" si="113"/>
        <v>2.5</v>
      </c>
      <c r="AG989" s="580">
        <f t="shared" si="114"/>
        <v>0</v>
      </c>
      <c r="AH989" s="580">
        <f t="shared" si="115"/>
        <v>0</v>
      </c>
    </row>
    <row r="990" spans="28:34">
      <c r="AB990" s="580">
        <f>HLOOKUP("*"&amp;'Output annual'!$AC$2&amp;'Output annual'!$AD$2&amp;"*Zone People Number Of Occupants [](Hourly)",'Eplus results'!$1:$1048576,ROW(),FALSE)</f>
        <v>0</v>
      </c>
      <c r="AC990" s="580">
        <f>HLOOKUP("*"&amp;'Output annual'!$AC$2&amp;'Output annual'!$AD$2&amp;"*FangerPMV(Hourly)",'Eplus results'!$1:$1048576,ROW(),FALSE)</f>
        <v>0</v>
      </c>
      <c r="AD990" s="580">
        <f t="shared" si="111"/>
        <v>5</v>
      </c>
      <c r="AE990" s="580">
        <f t="shared" si="112"/>
        <v>2.5</v>
      </c>
      <c r="AF990" s="580">
        <f t="shared" si="113"/>
        <v>2.5</v>
      </c>
      <c r="AG990" s="580">
        <f t="shared" si="114"/>
        <v>0</v>
      </c>
      <c r="AH990" s="580">
        <f t="shared" si="115"/>
        <v>0</v>
      </c>
    </row>
    <row r="991" spans="28:34">
      <c r="AB991" s="580">
        <f>HLOOKUP("*"&amp;'Output annual'!$AC$2&amp;'Output annual'!$AD$2&amp;"*Zone People Number Of Occupants [](Hourly)",'Eplus results'!$1:$1048576,ROW(),FALSE)</f>
        <v>0</v>
      </c>
      <c r="AC991" s="580">
        <f>HLOOKUP("*"&amp;'Output annual'!$AC$2&amp;'Output annual'!$AD$2&amp;"*FangerPMV(Hourly)",'Eplus results'!$1:$1048576,ROW(),FALSE)</f>
        <v>0</v>
      </c>
      <c r="AD991" s="580">
        <f t="shared" si="111"/>
        <v>5</v>
      </c>
      <c r="AE991" s="580">
        <f t="shared" si="112"/>
        <v>2.5</v>
      </c>
      <c r="AF991" s="580">
        <f t="shared" si="113"/>
        <v>2.5</v>
      </c>
      <c r="AG991" s="580">
        <f t="shared" si="114"/>
        <v>0</v>
      </c>
      <c r="AH991" s="580">
        <f t="shared" si="115"/>
        <v>0</v>
      </c>
    </row>
    <row r="992" spans="28:34">
      <c r="AB992" s="580">
        <f>HLOOKUP("*"&amp;'Output annual'!$AC$2&amp;'Output annual'!$AD$2&amp;"*Zone People Number Of Occupants [](Hourly)",'Eplus results'!$1:$1048576,ROW(),FALSE)</f>
        <v>0</v>
      </c>
      <c r="AC992" s="580">
        <f>HLOOKUP("*"&amp;'Output annual'!$AC$2&amp;'Output annual'!$AD$2&amp;"*FangerPMV(Hourly)",'Eplus results'!$1:$1048576,ROW(),FALSE)</f>
        <v>0</v>
      </c>
      <c r="AD992" s="580">
        <f t="shared" si="111"/>
        <v>5</v>
      </c>
      <c r="AE992" s="580">
        <f t="shared" si="112"/>
        <v>2.5</v>
      </c>
      <c r="AF992" s="580">
        <f t="shared" si="113"/>
        <v>2.5</v>
      </c>
      <c r="AG992" s="580">
        <f t="shared" si="114"/>
        <v>0</v>
      </c>
      <c r="AH992" s="580">
        <f t="shared" si="115"/>
        <v>0</v>
      </c>
    </row>
    <row r="993" spans="28:34">
      <c r="AB993" s="580">
        <f>HLOOKUP("*"&amp;'Output annual'!$AC$2&amp;'Output annual'!$AD$2&amp;"*Zone People Number Of Occupants [](Hourly)",'Eplus results'!$1:$1048576,ROW(),FALSE)</f>
        <v>0</v>
      </c>
      <c r="AC993" s="580">
        <f>HLOOKUP("*"&amp;'Output annual'!$AC$2&amp;'Output annual'!$AD$2&amp;"*FangerPMV(Hourly)",'Eplus results'!$1:$1048576,ROW(),FALSE)</f>
        <v>0</v>
      </c>
      <c r="AD993" s="580">
        <f t="shared" si="111"/>
        <v>5</v>
      </c>
      <c r="AE993" s="580">
        <f t="shared" si="112"/>
        <v>2.5</v>
      </c>
      <c r="AF993" s="580">
        <f t="shared" si="113"/>
        <v>2.5</v>
      </c>
      <c r="AG993" s="580">
        <f t="shared" si="114"/>
        <v>0</v>
      </c>
      <c r="AH993" s="580">
        <f t="shared" si="115"/>
        <v>0</v>
      </c>
    </row>
    <row r="994" spans="28:34">
      <c r="AB994" s="580">
        <f>HLOOKUP("*"&amp;'Output annual'!$AC$2&amp;'Output annual'!$AD$2&amp;"*Zone People Number Of Occupants [](Hourly)",'Eplus results'!$1:$1048576,ROW(),FALSE)</f>
        <v>0</v>
      </c>
      <c r="AC994" s="580">
        <f>HLOOKUP("*"&amp;'Output annual'!$AC$2&amp;'Output annual'!$AD$2&amp;"*FangerPMV(Hourly)",'Eplus results'!$1:$1048576,ROW(),FALSE)</f>
        <v>0</v>
      </c>
      <c r="AD994" s="580">
        <f t="shared" si="111"/>
        <v>5</v>
      </c>
      <c r="AE994" s="580">
        <f t="shared" si="112"/>
        <v>2.5</v>
      </c>
      <c r="AF994" s="580">
        <f t="shared" si="113"/>
        <v>2.5</v>
      </c>
      <c r="AG994" s="580">
        <f t="shared" si="114"/>
        <v>0</v>
      </c>
      <c r="AH994" s="580">
        <f t="shared" si="115"/>
        <v>0</v>
      </c>
    </row>
    <row r="995" spans="28:34">
      <c r="AB995" s="580">
        <f>HLOOKUP("*"&amp;'Output annual'!$AC$2&amp;'Output annual'!$AD$2&amp;"*Zone People Number Of Occupants [](Hourly)",'Eplus results'!$1:$1048576,ROW(),FALSE)</f>
        <v>0</v>
      </c>
      <c r="AC995" s="580">
        <f>HLOOKUP("*"&amp;'Output annual'!$AC$2&amp;'Output annual'!$AD$2&amp;"*FangerPMV(Hourly)",'Eplus results'!$1:$1048576,ROW(),FALSE)</f>
        <v>0</v>
      </c>
      <c r="AD995" s="580">
        <f t="shared" si="111"/>
        <v>5</v>
      </c>
      <c r="AE995" s="580">
        <f t="shared" si="112"/>
        <v>2.5</v>
      </c>
      <c r="AF995" s="580">
        <f t="shared" si="113"/>
        <v>2.5</v>
      </c>
      <c r="AG995" s="580">
        <f t="shared" si="114"/>
        <v>0</v>
      </c>
      <c r="AH995" s="580">
        <f t="shared" si="115"/>
        <v>0</v>
      </c>
    </row>
    <row r="996" spans="28:34">
      <c r="AB996" s="580">
        <f>HLOOKUP("*"&amp;'Output annual'!$AC$2&amp;'Output annual'!$AD$2&amp;"*Zone People Number Of Occupants [](Hourly)",'Eplus results'!$1:$1048576,ROW(),FALSE)</f>
        <v>0</v>
      </c>
      <c r="AC996" s="580">
        <f>HLOOKUP("*"&amp;'Output annual'!$AC$2&amp;'Output annual'!$AD$2&amp;"*FangerPMV(Hourly)",'Eplus results'!$1:$1048576,ROW(),FALSE)</f>
        <v>0</v>
      </c>
      <c r="AD996" s="580">
        <f t="shared" si="111"/>
        <v>5</v>
      </c>
      <c r="AE996" s="580">
        <f t="shared" si="112"/>
        <v>2.5</v>
      </c>
      <c r="AF996" s="580">
        <f t="shared" si="113"/>
        <v>2.5</v>
      </c>
      <c r="AG996" s="580">
        <f t="shared" si="114"/>
        <v>0</v>
      </c>
      <c r="AH996" s="580">
        <f t="shared" si="115"/>
        <v>0</v>
      </c>
    </row>
    <row r="997" spans="28:34">
      <c r="AB997" s="580">
        <f>HLOOKUP("*"&amp;'Output annual'!$AC$2&amp;'Output annual'!$AD$2&amp;"*Zone People Number Of Occupants [](Hourly)",'Eplus results'!$1:$1048576,ROW(),FALSE)</f>
        <v>0</v>
      </c>
      <c r="AC997" s="580">
        <f>HLOOKUP("*"&amp;'Output annual'!$AC$2&amp;'Output annual'!$AD$2&amp;"*FangerPMV(Hourly)",'Eplus results'!$1:$1048576,ROW(),FALSE)</f>
        <v>0</v>
      </c>
      <c r="AD997" s="580">
        <f t="shared" si="111"/>
        <v>5</v>
      </c>
      <c r="AE997" s="580">
        <f t="shared" si="112"/>
        <v>2.5</v>
      </c>
      <c r="AF997" s="580">
        <f t="shared" si="113"/>
        <v>2.5</v>
      </c>
      <c r="AG997" s="580">
        <f t="shared" si="114"/>
        <v>0</v>
      </c>
      <c r="AH997" s="580">
        <f t="shared" si="115"/>
        <v>0</v>
      </c>
    </row>
    <row r="998" spans="28:34">
      <c r="AB998" s="580">
        <f>HLOOKUP("*"&amp;'Output annual'!$AC$2&amp;'Output annual'!$AD$2&amp;"*Zone People Number Of Occupants [](Hourly)",'Eplus results'!$1:$1048576,ROW(),FALSE)</f>
        <v>0</v>
      </c>
      <c r="AC998" s="580">
        <f>HLOOKUP("*"&amp;'Output annual'!$AC$2&amp;'Output annual'!$AD$2&amp;"*FangerPMV(Hourly)",'Eplus results'!$1:$1048576,ROW(),FALSE)</f>
        <v>0</v>
      </c>
      <c r="AD998" s="580">
        <f t="shared" si="111"/>
        <v>5</v>
      </c>
      <c r="AE998" s="580">
        <f t="shared" si="112"/>
        <v>2.5</v>
      </c>
      <c r="AF998" s="580">
        <f t="shared" si="113"/>
        <v>2.5</v>
      </c>
      <c r="AG998" s="580">
        <f t="shared" si="114"/>
        <v>0</v>
      </c>
      <c r="AH998" s="580">
        <f t="shared" si="115"/>
        <v>0</v>
      </c>
    </row>
    <row r="999" spans="28:34">
      <c r="AB999" s="580">
        <f>HLOOKUP("*"&amp;'Output annual'!$AC$2&amp;'Output annual'!$AD$2&amp;"*Zone People Number Of Occupants [](Hourly)",'Eplus results'!$1:$1048576,ROW(),FALSE)</f>
        <v>0</v>
      </c>
      <c r="AC999" s="580">
        <f>HLOOKUP("*"&amp;'Output annual'!$AC$2&amp;'Output annual'!$AD$2&amp;"*FangerPMV(Hourly)",'Eplus results'!$1:$1048576,ROW(),FALSE)</f>
        <v>0</v>
      </c>
      <c r="AD999" s="580">
        <f t="shared" si="111"/>
        <v>5</v>
      </c>
      <c r="AE999" s="580">
        <f t="shared" si="112"/>
        <v>2.5</v>
      </c>
      <c r="AF999" s="580">
        <f t="shared" si="113"/>
        <v>2.5</v>
      </c>
      <c r="AG999" s="580">
        <f t="shared" si="114"/>
        <v>0</v>
      </c>
      <c r="AH999" s="580">
        <f t="shared" si="115"/>
        <v>0</v>
      </c>
    </row>
    <row r="1000" spans="28:34">
      <c r="AB1000" s="580">
        <f>HLOOKUP("*"&amp;'Output annual'!$AC$2&amp;'Output annual'!$AD$2&amp;"*Zone People Number Of Occupants [](Hourly)",'Eplus results'!$1:$1048576,ROW(),FALSE)</f>
        <v>0</v>
      </c>
      <c r="AC1000" s="580">
        <f>HLOOKUP("*"&amp;'Output annual'!$AC$2&amp;'Output annual'!$AD$2&amp;"*FangerPMV(Hourly)",'Eplus results'!$1:$1048576,ROW(),FALSE)</f>
        <v>0</v>
      </c>
      <c r="AD1000" s="580">
        <f t="shared" si="111"/>
        <v>5</v>
      </c>
      <c r="AE1000" s="580">
        <f t="shared" si="112"/>
        <v>2.5</v>
      </c>
      <c r="AF1000" s="580">
        <f t="shared" si="113"/>
        <v>2.5</v>
      </c>
      <c r="AG1000" s="580">
        <f t="shared" si="114"/>
        <v>0</v>
      </c>
      <c r="AH1000" s="580">
        <f t="shared" si="115"/>
        <v>0</v>
      </c>
    </row>
    <row r="1001" spans="28:34">
      <c r="AB1001" s="580">
        <f>HLOOKUP("*"&amp;'Output annual'!$AC$2&amp;'Output annual'!$AD$2&amp;"*Zone People Number Of Occupants [](Hourly)",'Eplus results'!$1:$1048576,ROW(),FALSE)</f>
        <v>0</v>
      </c>
      <c r="AC1001" s="580">
        <f>HLOOKUP("*"&amp;'Output annual'!$AC$2&amp;'Output annual'!$AD$2&amp;"*FangerPMV(Hourly)",'Eplus results'!$1:$1048576,ROW(),FALSE)</f>
        <v>0</v>
      </c>
      <c r="AD1001" s="580">
        <f t="shared" si="111"/>
        <v>5</v>
      </c>
      <c r="AE1001" s="580">
        <f t="shared" si="112"/>
        <v>2.5</v>
      </c>
      <c r="AF1001" s="580">
        <f t="shared" si="113"/>
        <v>2.5</v>
      </c>
      <c r="AG1001" s="580">
        <f t="shared" si="114"/>
        <v>0</v>
      </c>
      <c r="AH1001" s="580">
        <f t="shared" si="115"/>
        <v>0</v>
      </c>
    </row>
    <row r="1002" spans="28:34">
      <c r="AB1002" s="580">
        <f>HLOOKUP("*"&amp;'Output annual'!$AC$2&amp;'Output annual'!$AD$2&amp;"*Zone People Number Of Occupants [](Hourly)",'Eplus results'!$1:$1048576,ROW(),FALSE)</f>
        <v>0</v>
      </c>
      <c r="AC1002" s="580">
        <f>HLOOKUP("*"&amp;'Output annual'!$AC$2&amp;'Output annual'!$AD$2&amp;"*FangerPMV(Hourly)",'Eplus results'!$1:$1048576,ROW(),FALSE)</f>
        <v>0</v>
      </c>
      <c r="AD1002" s="580">
        <f t="shared" si="111"/>
        <v>5</v>
      </c>
      <c r="AE1002" s="580">
        <f t="shared" si="112"/>
        <v>2.5</v>
      </c>
      <c r="AF1002" s="580">
        <f t="shared" si="113"/>
        <v>2.5</v>
      </c>
      <c r="AG1002" s="580">
        <f t="shared" si="114"/>
        <v>0</v>
      </c>
      <c r="AH1002" s="580">
        <f t="shared" si="115"/>
        <v>0</v>
      </c>
    </row>
    <row r="1003" spans="28:34">
      <c r="AB1003" s="580">
        <f>HLOOKUP("*"&amp;'Output annual'!$AC$2&amp;'Output annual'!$AD$2&amp;"*Zone People Number Of Occupants [](Hourly)",'Eplus results'!$1:$1048576,ROW(),FALSE)</f>
        <v>0</v>
      </c>
      <c r="AC1003" s="580">
        <f>HLOOKUP("*"&amp;'Output annual'!$AC$2&amp;'Output annual'!$AD$2&amp;"*FangerPMV(Hourly)",'Eplus results'!$1:$1048576,ROW(),FALSE)</f>
        <v>0</v>
      </c>
      <c r="AD1003" s="580">
        <f t="shared" si="111"/>
        <v>5</v>
      </c>
      <c r="AE1003" s="580">
        <f t="shared" si="112"/>
        <v>2.5</v>
      </c>
      <c r="AF1003" s="580">
        <f t="shared" si="113"/>
        <v>2.5</v>
      </c>
      <c r="AG1003" s="580">
        <f t="shared" si="114"/>
        <v>0</v>
      </c>
      <c r="AH1003" s="580">
        <f t="shared" si="115"/>
        <v>0</v>
      </c>
    </row>
    <row r="1004" spans="28:34">
      <c r="AB1004" s="580">
        <f>HLOOKUP("*"&amp;'Output annual'!$AC$2&amp;'Output annual'!$AD$2&amp;"*Zone People Number Of Occupants [](Hourly)",'Eplus results'!$1:$1048576,ROW(),FALSE)</f>
        <v>0</v>
      </c>
      <c r="AC1004" s="580">
        <f>HLOOKUP("*"&amp;'Output annual'!$AC$2&amp;'Output annual'!$AD$2&amp;"*FangerPMV(Hourly)",'Eplus results'!$1:$1048576,ROW(),FALSE)</f>
        <v>0</v>
      </c>
      <c r="AD1004" s="580">
        <f t="shared" si="111"/>
        <v>5</v>
      </c>
      <c r="AE1004" s="580">
        <f t="shared" si="112"/>
        <v>2.5</v>
      </c>
      <c r="AF1004" s="580">
        <f t="shared" si="113"/>
        <v>2.5</v>
      </c>
      <c r="AG1004" s="580">
        <f t="shared" si="114"/>
        <v>0</v>
      </c>
      <c r="AH1004" s="580">
        <f t="shared" si="115"/>
        <v>0</v>
      </c>
    </row>
    <row r="1005" spans="28:34">
      <c r="AB1005" s="580">
        <f>HLOOKUP("*"&amp;'Output annual'!$AC$2&amp;'Output annual'!$AD$2&amp;"*Zone People Number Of Occupants [](Hourly)",'Eplus results'!$1:$1048576,ROW(),FALSE)</f>
        <v>0</v>
      </c>
      <c r="AC1005" s="580">
        <f>HLOOKUP("*"&amp;'Output annual'!$AC$2&amp;'Output annual'!$AD$2&amp;"*FangerPMV(Hourly)",'Eplus results'!$1:$1048576,ROW(),FALSE)</f>
        <v>0</v>
      </c>
      <c r="AD1005" s="580">
        <f t="shared" si="111"/>
        <v>5</v>
      </c>
      <c r="AE1005" s="580">
        <f t="shared" si="112"/>
        <v>2.5</v>
      </c>
      <c r="AF1005" s="580">
        <f t="shared" si="113"/>
        <v>2.5</v>
      </c>
      <c r="AG1005" s="580">
        <f t="shared" si="114"/>
        <v>0</v>
      </c>
      <c r="AH1005" s="580">
        <f t="shared" si="115"/>
        <v>0</v>
      </c>
    </row>
    <row r="1006" spans="28:34">
      <c r="AB1006" s="580">
        <f>HLOOKUP("*"&amp;'Output annual'!$AC$2&amp;'Output annual'!$AD$2&amp;"*Zone People Number Of Occupants [](Hourly)",'Eplus results'!$1:$1048576,ROW(),FALSE)</f>
        <v>0</v>
      </c>
      <c r="AC1006" s="580">
        <f>HLOOKUP("*"&amp;'Output annual'!$AC$2&amp;'Output annual'!$AD$2&amp;"*FangerPMV(Hourly)",'Eplus results'!$1:$1048576,ROW(),FALSE)</f>
        <v>0</v>
      </c>
      <c r="AD1006" s="580">
        <f t="shared" si="111"/>
        <v>5</v>
      </c>
      <c r="AE1006" s="580">
        <f t="shared" si="112"/>
        <v>2.5</v>
      </c>
      <c r="AF1006" s="580">
        <f t="shared" si="113"/>
        <v>2.5</v>
      </c>
      <c r="AG1006" s="580">
        <f t="shared" si="114"/>
        <v>0</v>
      </c>
      <c r="AH1006" s="580">
        <f t="shared" si="115"/>
        <v>0</v>
      </c>
    </row>
    <row r="1007" spans="28:34">
      <c r="AB1007" s="580">
        <f>HLOOKUP("*"&amp;'Output annual'!$AC$2&amp;'Output annual'!$AD$2&amp;"*Zone People Number Of Occupants [](Hourly)",'Eplus results'!$1:$1048576,ROW(),FALSE)</f>
        <v>0</v>
      </c>
      <c r="AC1007" s="580">
        <f>HLOOKUP("*"&amp;'Output annual'!$AC$2&amp;'Output annual'!$AD$2&amp;"*FangerPMV(Hourly)",'Eplus results'!$1:$1048576,ROW(),FALSE)</f>
        <v>0</v>
      </c>
      <c r="AD1007" s="580">
        <f t="shared" si="111"/>
        <v>5</v>
      </c>
      <c r="AE1007" s="580">
        <f t="shared" si="112"/>
        <v>2.5</v>
      </c>
      <c r="AF1007" s="580">
        <f t="shared" si="113"/>
        <v>2.5</v>
      </c>
      <c r="AG1007" s="580">
        <f t="shared" si="114"/>
        <v>0</v>
      </c>
      <c r="AH1007" s="580">
        <f t="shared" si="115"/>
        <v>0</v>
      </c>
    </row>
    <row r="1008" spans="28:34">
      <c r="AB1008" s="580">
        <f>HLOOKUP("*"&amp;'Output annual'!$AC$2&amp;'Output annual'!$AD$2&amp;"*Zone People Number Of Occupants [](Hourly)",'Eplus results'!$1:$1048576,ROW(),FALSE)</f>
        <v>0</v>
      </c>
      <c r="AC1008" s="580">
        <f>HLOOKUP("*"&amp;'Output annual'!$AC$2&amp;'Output annual'!$AD$2&amp;"*FangerPMV(Hourly)",'Eplus results'!$1:$1048576,ROW(),FALSE)</f>
        <v>0</v>
      </c>
      <c r="AD1008" s="580">
        <f t="shared" si="111"/>
        <v>5</v>
      </c>
      <c r="AE1008" s="580">
        <f t="shared" si="112"/>
        <v>2.5</v>
      </c>
      <c r="AF1008" s="580">
        <f t="shared" si="113"/>
        <v>2.5</v>
      </c>
      <c r="AG1008" s="580">
        <f t="shared" si="114"/>
        <v>0</v>
      </c>
      <c r="AH1008" s="580">
        <f t="shared" si="115"/>
        <v>0</v>
      </c>
    </row>
    <row r="1009" spans="28:34">
      <c r="AB1009" s="580">
        <f>HLOOKUP("*"&amp;'Output annual'!$AC$2&amp;'Output annual'!$AD$2&amp;"*Zone People Number Of Occupants [](Hourly)",'Eplus results'!$1:$1048576,ROW(),FALSE)</f>
        <v>0</v>
      </c>
      <c r="AC1009" s="580">
        <f>HLOOKUP("*"&amp;'Output annual'!$AC$2&amp;'Output annual'!$AD$2&amp;"*FangerPMV(Hourly)",'Eplus results'!$1:$1048576,ROW(),FALSE)</f>
        <v>0</v>
      </c>
      <c r="AD1009" s="580">
        <f t="shared" si="111"/>
        <v>5</v>
      </c>
      <c r="AE1009" s="580">
        <f t="shared" si="112"/>
        <v>2.5</v>
      </c>
      <c r="AF1009" s="580">
        <f t="shared" si="113"/>
        <v>2.5</v>
      </c>
      <c r="AG1009" s="580">
        <f t="shared" si="114"/>
        <v>0</v>
      </c>
      <c r="AH1009" s="580">
        <f t="shared" si="115"/>
        <v>0</v>
      </c>
    </row>
    <row r="1010" spans="28:34">
      <c r="AB1010" s="580">
        <f>HLOOKUP("*"&amp;'Output annual'!$AC$2&amp;'Output annual'!$AD$2&amp;"*Zone People Number Of Occupants [](Hourly)",'Eplus results'!$1:$1048576,ROW(),FALSE)</f>
        <v>0</v>
      </c>
      <c r="AC1010" s="580">
        <f>HLOOKUP("*"&amp;'Output annual'!$AC$2&amp;'Output annual'!$AD$2&amp;"*FangerPMV(Hourly)",'Eplus results'!$1:$1048576,ROW(),FALSE)</f>
        <v>0</v>
      </c>
      <c r="AD1010" s="580">
        <f t="shared" si="111"/>
        <v>5</v>
      </c>
      <c r="AE1010" s="580">
        <f t="shared" si="112"/>
        <v>2.5</v>
      </c>
      <c r="AF1010" s="580">
        <f t="shared" si="113"/>
        <v>2.5</v>
      </c>
      <c r="AG1010" s="580">
        <f t="shared" si="114"/>
        <v>0</v>
      </c>
      <c r="AH1010" s="580">
        <f t="shared" si="115"/>
        <v>0</v>
      </c>
    </row>
    <row r="1011" spans="28:34">
      <c r="AB1011" s="580">
        <f>HLOOKUP("*"&amp;'Output annual'!$AC$2&amp;'Output annual'!$AD$2&amp;"*Zone People Number Of Occupants [](Hourly)",'Eplus results'!$1:$1048576,ROW(),FALSE)</f>
        <v>0</v>
      </c>
      <c r="AC1011" s="580">
        <f>HLOOKUP("*"&amp;'Output annual'!$AC$2&amp;'Output annual'!$AD$2&amp;"*FangerPMV(Hourly)",'Eplus results'!$1:$1048576,ROW(),FALSE)</f>
        <v>0</v>
      </c>
      <c r="AD1011" s="580">
        <f t="shared" si="111"/>
        <v>5</v>
      </c>
      <c r="AE1011" s="580">
        <f t="shared" si="112"/>
        <v>2.5</v>
      </c>
      <c r="AF1011" s="580">
        <f t="shared" si="113"/>
        <v>2.5</v>
      </c>
      <c r="AG1011" s="580">
        <f t="shared" si="114"/>
        <v>0</v>
      </c>
      <c r="AH1011" s="580">
        <f t="shared" si="115"/>
        <v>0</v>
      </c>
    </row>
    <row r="1012" spans="28:34">
      <c r="AB1012" s="580">
        <f>HLOOKUP("*"&amp;'Output annual'!$AC$2&amp;'Output annual'!$AD$2&amp;"*Zone People Number Of Occupants [](Hourly)",'Eplus results'!$1:$1048576,ROW(),FALSE)</f>
        <v>0</v>
      </c>
      <c r="AC1012" s="580">
        <f>HLOOKUP("*"&amp;'Output annual'!$AC$2&amp;'Output annual'!$AD$2&amp;"*FangerPMV(Hourly)",'Eplus results'!$1:$1048576,ROW(),FALSE)</f>
        <v>0</v>
      </c>
      <c r="AD1012" s="580">
        <f t="shared" si="111"/>
        <v>5</v>
      </c>
      <c r="AE1012" s="580">
        <f t="shared" si="112"/>
        <v>2.5</v>
      </c>
      <c r="AF1012" s="580">
        <f t="shared" si="113"/>
        <v>2.5</v>
      </c>
      <c r="AG1012" s="580">
        <f t="shared" si="114"/>
        <v>0</v>
      </c>
      <c r="AH1012" s="580">
        <f t="shared" si="115"/>
        <v>0</v>
      </c>
    </row>
    <row r="1013" spans="28:34">
      <c r="AB1013" s="580">
        <f>HLOOKUP("*"&amp;'Output annual'!$AC$2&amp;'Output annual'!$AD$2&amp;"*Zone People Number Of Occupants [](Hourly)",'Eplus results'!$1:$1048576,ROW(),FALSE)</f>
        <v>0</v>
      </c>
      <c r="AC1013" s="580">
        <f>HLOOKUP("*"&amp;'Output annual'!$AC$2&amp;'Output annual'!$AD$2&amp;"*FangerPMV(Hourly)",'Eplus results'!$1:$1048576,ROW(),FALSE)</f>
        <v>0</v>
      </c>
      <c r="AD1013" s="580">
        <f t="shared" si="111"/>
        <v>5</v>
      </c>
      <c r="AE1013" s="580">
        <f t="shared" si="112"/>
        <v>2.5</v>
      </c>
      <c r="AF1013" s="580">
        <f t="shared" si="113"/>
        <v>2.5</v>
      </c>
      <c r="AG1013" s="580">
        <f t="shared" si="114"/>
        <v>0</v>
      </c>
      <c r="AH1013" s="580">
        <f t="shared" si="115"/>
        <v>0</v>
      </c>
    </row>
    <row r="1014" spans="28:34">
      <c r="AB1014" s="580">
        <f>HLOOKUP("*"&amp;'Output annual'!$AC$2&amp;'Output annual'!$AD$2&amp;"*Zone People Number Of Occupants [](Hourly)",'Eplus results'!$1:$1048576,ROW(),FALSE)</f>
        <v>0</v>
      </c>
      <c r="AC1014" s="580">
        <f>HLOOKUP("*"&amp;'Output annual'!$AC$2&amp;'Output annual'!$AD$2&amp;"*FangerPMV(Hourly)",'Eplus results'!$1:$1048576,ROW(),FALSE)</f>
        <v>0</v>
      </c>
      <c r="AD1014" s="580">
        <f t="shared" si="111"/>
        <v>5</v>
      </c>
      <c r="AE1014" s="580">
        <f t="shared" si="112"/>
        <v>2.5</v>
      </c>
      <c r="AF1014" s="580">
        <f t="shared" si="113"/>
        <v>2.5</v>
      </c>
      <c r="AG1014" s="580">
        <f t="shared" si="114"/>
        <v>0</v>
      </c>
      <c r="AH1014" s="580">
        <f t="shared" si="115"/>
        <v>0</v>
      </c>
    </row>
    <row r="1015" spans="28:34">
      <c r="AB1015" s="580">
        <f>HLOOKUP("*"&amp;'Output annual'!$AC$2&amp;'Output annual'!$AD$2&amp;"*Zone People Number Of Occupants [](Hourly)",'Eplus results'!$1:$1048576,ROW(),FALSE)</f>
        <v>0</v>
      </c>
      <c r="AC1015" s="580">
        <f>HLOOKUP("*"&amp;'Output annual'!$AC$2&amp;'Output annual'!$AD$2&amp;"*FangerPMV(Hourly)",'Eplus results'!$1:$1048576,ROW(),FALSE)</f>
        <v>0</v>
      </c>
      <c r="AD1015" s="580">
        <f t="shared" si="111"/>
        <v>5</v>
      </c>
      <c r="AE1015" s="580">
        <f t="shared" si="112"/>
        <v>2.5</v>
      </c>
      <c r="AF1015" s="580">
        <f t="shared" si="113"/>
        <v>2.5</v>
      </c>
      <c r="AG1015" s="580">
        <f t="shared" si="114"/>
        <v>0</v>
      </c>
      <c r="AH1015" s="580">
        <f t="shared" si="115"/>
        <v>0</v>
      </c>
    </row>
    <row r="1016" spans="28:34">
      <c r="AB1016" s="580">
        <f>HLOOKUP("*"&amp;'Output annual'!$AC$2&amp;'Output annual'!$AD$2&amp;"*Zone People Number Of Occupants [](Hourly)",'Eplus results'!$1:$1048576,ROW(),FALSE)</f>
        <v>0</v>
      </c>
      <c r="AC1016" s="580">
        <f>HLOOKUP("*"&amp;'Output annual'!$AC$2&amp;'Output annual'!$AD$2&amp;"*FangerPMV(Hourly)",'Eplus results'!$1:$1048576,ROW(),FALSE)</f>
        <v>0</v>
      </c>
      <c r="AD1016" s="580">
        <f t="shared" si="111"/>
        <v>5</v>
      </c>
      <c r="AE1016" s="580">
        <f t="shared" si="112"/>
        <v>2.5</v>
      </c>
      <c r="AF1016" s="580">
        <f t="shared" si="113"/>
        <v>2.5</v>
      </c>
      <c r="AG1016" s="580">
        <f t="shared" si="114"/>
        <v>0</v>
      </c>
      <c r="AH1016" s="580">
        <f t="shared" si="115"/>
        <v>0</v>
      </c>
    </row>
    <row r="1017" spans="28:34">
      <c r="AB1017" s="580">
        <f>HLOOKUP("*"&amp;'Output annual'!$AC$2&amp;'Output annual'!$AD$2&amp;"*Zone People Number Of Occupants [](Hourly)",'Eplus results'!$1:$1048576,ROW(),FALSE)</f>
        <v>0</v>
      </c>
      <c r="AC1017" s="580">
        <f>HLOOKUP("*"&amp;'Output annual'!$AC$2&amp;'Output annual'!$AD$2&amp;"*FangerPMV(Hourly)",'Eplus results'!$1:$1048576,ROW(),FALSE)</f>
        <v>0</v>
      </c>
      <c r="AD1017" s="580">
        <f t="shared" si="111"/>
        <v>5</v>
      </c>
      <c r="AE1017" s="580">
        <f t="shared" si="112"/>
        <v>2.5</v>
      </c>
      <c r="AF1017" s="580">
        <f t="shared" si="113"/>
        <v>2.5</v>
      </c>
      <c r="AG1017" s="580">
        <f t="shared" si="114"/>
        <v>0</v>
      </c>
      <c r="AH1017" s="580">
        <f t="shared" si="115"/>
        <v>0</v>
      </c>
    </row>
    <row r="1018" spans="28:34">
      <c r="AB1018" s="580">
        <f>HLOOKUP("*"&amp;'Output annual'!$AC$2&amp;'Output annual'!$AD$2&amp;"*Zone People Number Of Occupants [](Hourly)",'Eplus results'!$1:$1048576,ROW(),FALSE)</f>
        <v>0</v>
      </c>
      <c r="AC1018" s="580">
        <f>HLOOKUP("*"&amp;'Output annual'!$AC$2&amp;'Output annual'!$AD$2&amp;"*FangerPMV(Hourly)",'Eplus results'!$1:$1048576,ROW(),FALSE)</f>
        <v>0</v>
      </c>
      <c r="AD1018" s="580">
        <f t="shared" si="111"/>
        <v>5</v>
      </c>
      <c r="AE1018" s="580">
        <f t="shared" si="112"/>
        <v>2.5</v>
      </c>
      <c r="AF1018" s="580">
        <f t="shared" si="113"/>
        <v>2.5</v>
      </c>
      <c r="AG1018" s="580">
        <f t="shared" si="114"/>
        <v>0</v>
      </c>
      <c r="AH1018" s="580">
        <f t="shared" si="115"/>
        <v>0</v>
      </c>
    </row>
    <row r="1019" spans="28:34">
      <c r="AB1019" s="580">
        <f>HLOOKUP("*"&amp;'Output annual'!$AC$2&amp;'Output annual'!$AD$2&amp;"*Zone People Number Of Occupants [](Hourly)",'Eplus results'!$1:$1048576,ROW(),FALSE)</f>
        <v>0</v>
      </c>
      <c r="AC1019" s="580">
        <f>HLOOKUP("*"&amp;'Output annual'!$AC$2&amp;'Output annual'!$AD$2&amp;"*FangerPMV(Hourly)",'Eplus results'!$1:$1048576,ROW(),FALSE)</f>
        <v>0</v>
      </c>
      <c r="AD1019" s="580">
        <f t="shared" si="111"/>
        <v>5</v>
      </c>
      <c r="AE1019" s="580">
        <f t="shared" si="112"/>
        <v>2.5</v>
      </c>
      <c r="AF1019" s="580">
        <f t="shared" si="113"/>
        <v>2.5</v>
      </c>
      <c r="AG1019" s="580">
        <f t="shared" si="114"/>
        <v>0</v>
      </c>
      <c r="AH1019" s="580">
        <f t="shared" si="115"/>
        <v>0</v>
      </c>
    </row>
    <row r="1020" spans="28:34">
      <c r="AB1020" s="580">
        <f>HLOOKUP("*"&amp;'Output annual'!$AC$2&amp;'Output annual'!$AD$2&amp;"*Zone People Number Of Occupants [](Hourly)",'Eplus results'!$1:$1048576,ROW(),FALSE)</f>
        <v>0</v>
      </c>
      <c r="AC1020" s="580">
        <f>HLOOKUP("*"&amp;'Output annual'!$AC$2&amp;'Output annual'!$AD$2&amp;"*FangerPMV(Hourly)",'Eplus results'!$1:$1048576,ROW(),FALSE)</f>
        <v>0</v>
      </c>
      <c r="AD1020" s="580">
        <f t="shared" si="111"/>
        <v>5</v>
      </c>
      <c r="AE1020" s="580">
        <f t="shared" si="112"/>
        <v>2.5</v>
      </c>
      <c r="AF1020" s="580">
        <f t="shared" si="113"/>
        <v>2.5</v>
      </c>
      <c r="AG1020" s="580">
        <f t="shared" si="114"/>
        <v>0</v>
      </c>
      <c r="AH1020" s="580">
        <f t="shared" si="115"/>
        <v>0</v>
      </c>
    </row>
    <row r="1021" spans="28:34">
      <c r="AB1021" s="580">
        <f>HLOOKUP("*"&amp;'Output annual'!$AC$2&amp;'Output annual'!$AD$2&amp;"*Zone People Number Of Occupants [](Hourly)",'Eplus results'!$1:$1048576,ROW(),FALSE)</f>
        <v>0</v>
      </c>
      <c r="AC1021" s="580">
        <f>HLOOKUP("*"&amp;'Output annual'!$AC$2&amp;'Output annual'!$AD$2&amp;"*FangerPMV(Hourly)",'Eplus results'!$1:$1048576,ROW(),FALSE)</f>
        <v>0</v>
      </c>
      <c r="AD1021" s="580">
        <f t="shared" si="111"/>
        <v>5</v>
      </c>
      <c r="AE1021" s="580">
        <f t="shared" si="112"/>
        <v>2.5</v>
      </c>
      <c r="AF1021" s="580">
        <f t="shared" si="113"/>
        <v>2.5</v>
      </c>
      <c r="AG1021" s="580">
        <f t="shared" si="114"/>
        <v>0</v>
      </c>
      <c r="AH1021" s="580">
        <f t="shared" si="115"/>
        <v>0</v>
      </c>
    </row>
    <row r="1022" spans="28:34">
      <c r="AB1022" s="580">
        <f>HLOOKUP("*"&amp;'Output annual'!$AC$2&amp;'Output annual'!$AD$2&amp;"*Zone People Number Of Occupants [](Hourly)",'Eplus results'!$1:$1048576,ROW(),FALSE)</f>
        <v>0</v>
      </c>
      <c r="AC1022" s="580">
        <f>HLOOKUP("*"&amp;'Output annual'!$AC$2&amp;'Output annual'!$AD$2&amp;"*FangerPMV(Hourly)",'Eplus results'!$1:$1048576,ROW(),FALSE)</f>
        <v>0</v>
      </c>
      <c r="AD1022" s="580">
        <f t="shared" si="111"/>
        <v>5</v>
      </c>
      <c r="AE1022" s="580">
        <f t="shared" si="112"/>
        <v>2.5</v>
      </c>
      <c r="AF1022" s="580">
        <f t="shared" si="113"/>
        <v>2.5</v>
      </c>
      <c r="AG1022" s="580">
        <f t="shared" si="114"/>
        <v>0</v>
      </c>
      <c r="AH1022" s="580">
        <f t="shared" si="115"/>
        <v>0</v>
      </c>
    </row>
    <row r="1023" spans="28:34">
      <c r="AB1023" s="580">
        <f>HLOOKUP("*"&amp;'Output annual'!$AC$2&amp;'Output annual'!$AD$2&amp;"*Zone People Number Of Occupants [](Hourly)",'Eplus results'!$1:$1048576,ROW(),FALSE)</f>
        <v>0</v>
      </c>
      <c r="AC1023" s="580">
        <f>HLOOKUP("*"&amp;'Output annual'!$AC$2&amp;'Output annual'!$AD$2&amp;"*FangerPMV(Hourly)",'Eplus results'!$1:$1048576,ROW(),FALSE)</f>
        <v>0</v>
      </c>
      <c r="AD1023" s="580">
        <f t="shared" si="111"/>
        <v>5</v>
      </c>
      <c r="AE1023" s="580">
        <f t="shared" si="112"/>
        <v>2.5</v>
      </c>
      <c r="AF1023" s="580">
        <f t="shared" si="113"/>
        <v>2.5</v>
      </c>
      <c r="AG1023" s="580">
        <f t="shared" si="114"/>
        <v>0</v>
      </c>
      <c r="AH1023" s="580">
        <f t="shared" si="115"/>
        <v>0</v>
      </c>
    </row>
    <row r="1024" spans="28:34">
      <c r="AB1024" s="580">
        <f>HLOOKUP("*"&amp;'Output annual'!$AC$2&amp;'Output annual'!$AD$2&amp;"*Zone People Number Of Occupants [](Hourly)",'Eplus results'!$1:$1048576,ROW(),FALSE)</f>
        <v>0</v>
      </c>
      <c r="AC1024" s="580">
        <f>HLOOKUP("*"&amp;'Output annual'!$AC$2&amp;'Output annual'!$AD$2&amp;"*FangerPMV(Hourly)",'Eplus results'!$1:$1048576,ROW(),FALSE)</f>
        <v>0</v>
      </c>
      <c r="AD1024" s="580">
        <f t="shared" si="111"/>
        <v>5</v>
      </c>
      <c r="AE1024" s="580">
        <f t="shared" si="112"/>
        <v>2.5</v>
      </c>
      <c r="AF1024" s="580">
        <f t="shared" si="113"/>
        <v>2.5</v>
      </c>
      <c r="AG1024" s="580">
        <f t="shared" si="114"/>
        <v>0</v>
      </c>
      <c r="AH1024" s="580">
        <f t="shared" si="115"/>
        <v>0</v>
      </c>
    </row>
    <row r="1025" spans="28:34">
      <c r="AB1025" s="580">
        <f>HLOOKUP("*"&amp;'Output annual'!$AC$2&amp;'Output annual'!$AD$2&amp;"*Zone People Number Of Occupants [](Hourly)",'Eplus results'!$1:$1048576,ROW(),FALSE)</f>
        <v>0</v>
      </c>
      <c r="AC1025" s="580">
        <f>HLOOKUP("*"&amp;'Output annual'!$AC$2&amp;'Output annual'!$AD$2&amp;"*FangerPMV(Hourly)",'Eplus results'!$1:$1048576,ROW(),FALSE)</f>
        <v>0</v>
      </c>
      <c r="AD1025" s="580">
        <f t="shared" si="111"/>
        <v>5</v>
      </c>
      <c r="AE1025" s="580">
        <f t="shared" si="112"/>
        <v>2.5</v>
      </c>
      <c r="AF1025" s="580">
        <f t="shared" si="113"/>
        <v>2.5</v>
      </c>
      <c r="AG1025" s="580">
        <f t="shared" si="114"/>
        <v>0</v>
      </c>
      <c r="AH1025" s="580">
        <f t="shared" si="115"/>
        <v>0</v>
      </c>
    </row>
    <row r="1026" spans="28:34">
      <c r="AB1026" s="580">
        <f>HLOOKUP("*"&amp;'Output annual'!$AC$2&amp;'Output annual'!$AD$2&amp;"*Zone People Number Of Occupants [](Hourly)",'Eplus results'!$1:$1048576,ROW(),FALSE)</f>
        <v>0</v>
      </c>
      <c r="AC1026" s="580">
        <f>HLOOKUP("*"&amp;'Output annual'!$AC$2&amp;'Output annual'!$AD$2&amp;"*FangerPMV(Hourly)",'Eplus results'!$1:$1048576,ROW(),FALSE)</f>
        <v>0</v>
      </c>
      <c r="AD1026" s="580">
        <f t="shared" si="111"/>
        <v>5</v>
      </c>
      <c r="AE1026" s="580">
        <f t="shared" si="112"/>
        <v>2.5</v>
      </c>
      <c r="AF1026" s="580">
        <f t="shared" si="113"/>
        <v>2.5</v>
      </c>
      <c r="AG1026" s="580">
        <f t="shared" si="114"/>
        <v>0</v>
      </c>
      <c r="AH1026" s="580">
        <f t="shared" si="115"/>
        <v>0</v>
      </c>
    </row>
    <row r="1027" spans="28:34">
      <c r="AB1027" s="580">
        <f>HLOOKUP("*"&amp;'Output annual'!$AC$2&amp;'Output annual'!$AD$2&amp;"*Zone People Number Of Occupants [](Hourly)",'Eplus results'!$1:$1048576,ROW(),FALSE)</f>
        <v>0</v>
      </c>
      <c r="AC1027" s="580">
        <f>HLOOKUP("*"&amp;'Output annual'!$AC$2&amp;'Output annual'!$AD$2&amp;"*FangerPMV(Hourly)",'Eplus results'!$1:$1048576,ROW(),FALSE)</f>
        <v>0</v>
      </c>
      <c r="AD1027" s="580">
        <f t="shared" ref="AD1027:AD1090" si="116">100-95*EXP(-0.03353*AC1027^4-0.2179*AC1027^2)</f>
        <v>5</v>
      </c>
      <c r="AE1027" s="580">
        <f t="shared" ref="AE1027:AE1090" si="117">AD1027*(1/(1+EXP(-6.3*$AC1027)))</f>
        <v>2.5</v>
      </c>
      <c r="AF1027" s="580">
        <f t="shared" ref="AF1027:AF1090" si="118">(AD1027-AE1027)</f>
        <v>2.5</v>
      </c>
      <c r="AG1027" s="580">
        <f t="shared" ref="AG1027:AG1090" si="119">AE1027*AB1027</f>
        <v>0</v>
      </c>
      <c r="AH1027" s="580">
        <f t="shared" ref="AH1027:AH1090" si="120">AF1027*AB1027</f>
        <v>0</v>
      </c>
    </row>
    <row r="1028" spans="28:34">
      <c r="AB1028" s="580">
        <f>HLOOKUP("*"&amp;'Output annual'!$AC$2&amp;'Output annual'!$AD$2&amp;"*Zone People Number Of Occupants [](Hourly)",'Eplus results'!$1:$1048576,ROW(),FALSE)</f>
        <v>0</v>
      </c>
      <c r="AC1028" s="580">
        <f>HLOOKUP("*"&amp;'Output annual'!$AC$2&amp;'Output annual'!$AD$2&amp;"*FangerPMV(Hourly)",'Eplus results'!$1:$1048576,ROW(),FALSE)</f>
        <v>0</v>
      </c>
      <c r="AD1028" s="580">
        <f t="shared" si="116"/>
        <v>5</v>
      </c>
      <c r="AE1028" s="580">
        <f t="shared" si="117"/>
        <v>2.5</v>
      </c>
      <c r="AF1028" s="580">
        <f t="shared" si="118"/>
        <v>2.5</v>
      </c>
      <c r="AG1028" s="580">
        <f t="shared" si="119"/>
        <v>0</v>
      </c>
      <c r="AH1028" s="580">
        <f t="shared" si="120"/>
        <v>0</v>
      </c>
    </row>
    <row r="1029" spans="28:34">
      <c r="AB1029" s="580">
        <f>HLOOKUP("*"&amp;'Output annual'!$AC$2&amp;'Output annual'!$AD$2&amp;"*Zone People Number Of Occupants [](Hourly)",'Eplus results'!$1:$1048576,ROW(),FALSE)</f>
        <v>0</v>
      </c>
      <c r="AC1029" s="580">
        <f>HLOOKUP("*"&amp;'Output annual'!$AC$2&amp;'Output annual'!$AD$2&amp;"*FangerPMV(Hourly)",'Eplus results'!$1:$1048576,ROW(),FALSE)</f>
        <v>0</v>
      </c>
      <c r="AD1029" s="580">
        <f t="shared" si="116"/>
        <v>5</v>
      </c>
      <c r="AE1029" s="580">
        <f t="shared" si="117"/>
        <v>2.5</v>
      </c>
      <c r="AF1029" s="580">
        <f t="shared" si="118"/>
        <v>2.5</v>
      </c>
      <c r="AG1029" s="580">
        <f t="shared" si="119"/>
        <v>0</v>
      </c>
      <c r="AH1029" s="580">
        <f t="shared" si="120"/>
        <v>0</v>
      </c>
    </row>
    <row r="1030" spans="28:34">
      <c r="AB1030" s="580">
        <f>HLOOKUP("*"&amp;'Output annual'!$AC$2&amp;'Output annual'!$AD$2&amp;"*Zone People Number Of Occupants [](Hourly)",'Eplus results'!$1:$1048576,ROW(),FALSE)</f>
        <v>0</v>
      </c>
      <c r="AC1030" s="580">
        <f>HLOOKUP("*"&amp;'Output annual'!$AC$2&amp;'Output annual'!$AD$2&amp;"*FangerPMV(Hourly)",'Eplus results'!$1:$1048576,ROW(),FALSE)</f>
        <v>0</v>
      </c>
      <c r="AD1030" s="580">
        <f t="shared" si="116"/>
        <v>5</v>
      </c>
      <c r="AE1030" s="580">
        <f t="shared" si="117"/>
        <v>2.5</v>
      </c>
      <c r="AF1030" s="580">
        <f t="shared" si="118"/>
        <v>2.5</v>
      </c>
      <c r="AG1030" s="580">
        <f t="shared" si="119"/>
        <v>0</v>
      </c>
      <c r="AH1030" s="580">
        <f t="shared" si="120"/>
        <v>0</v>
      </c>
    </row>
    <row r="1031" spans="28:34">
      <c r="AB1031" s="580">
        <f>HLOOKUP("*"&amp;'Output annual'!$AC$2&amp;'Output annual'!$AD$2&amp;"*Zone People Number Of Occupants [](Hourly)",'Eplus results'!$1:$1048576,ROW(),FALSE)</f>
        <v>0</v>
      </c>
      <c r="AC1031" s="580">
        <f>HLOOKUP("*"&amp;'Output annual'!$AC$2&amp;'Output annual'!$AD$2&amp;"*FangerPMV(Hourly)",'Eplus results'!$1:$1048576,ROW(),FALSE)</f>
        <v>0</v>
      </c>
      <c r="AD1031" s="580">
        <f t="shared" si="116"/>
        <v>5</v>
      </c>
      <c r="AE1031" s="580">
        <f t="shared" si="117"/>
        <v>2.5</v>
      </c>
      <c r="AF1031" s="580">
        <f t="shared" si="118"/>
        <v>2.5</v>
      </c>
      <c r="AG1031" s="580">
        <f t="shared" si="119"/>
        <v>0</v>
      </c>
      <c r="AH1031" s="580">
        <f t="shared" si="120"/>
        <v>0</v>
      </c>
    </row>
    <row r="1032" spans="28:34">
      <c r="AB1032" s="580">
        <f>HLOOKUP("*"&amp;'Output annual'!$AC$2&amp;'Output annual'!$AD$2&amp;"*Zone People Number Of Occupants [](Hourly)",'Eplus results'!$1:$1048576,ROW(),FALSE)</f>
        <v>0</v>
      </c>
      <c r="AC1032" s="580">
        <f>HLOOKUP("*"&amp;'Output annual'!$AC$2&amp;'Output annual'!$AD$2&amp;"*FangerPMV(Hourly)",'Eplus results'!$1:$1048576,ROW(),FALSE)</f>
        <v>0</v>
      </c>
      <c r="AD1032" s="580">
        <f t="shared" si="116"/>
        <v>5</v>
      </c>
      <c r="AE1032" s="580">
        <f t="shared" si="117"/>
        <v>2.5</v>
      </c>
      <c r="AF1032" s="580">
        <f t="shared" si="118"/>
        <v>2.5</v>
      </c>
      <c r="AG1032" s="580">
        <f t="shared" si="119"/>
        <v>0</v>
      </c>
      <c r="AH1032" s="580">
        <f t="shared" si="120"/>
        <v>0</v>
      </c>
    </row>
    <row r="1033" spans="28:34">
      <c r="AB1033" s="580">
        <f>HLOOKUP("*"&amp;'Output annual'!$AC$2&amp;'Output annual'!$AD$2&amp;"*Zone People Number Of Occupants [](Hourly)",'Eplus results'!$1:$1048576,ROW(),FALSE)</f>
        <v>0</v>
      </c>
      <c r="AC1033" s="580">
        <f>HLOOKUP("*"&amp;'Output annual'!$AC$2&amp;'Output annual'!$AD$2&amp;"*FangerPMV(Hourly)",'Eplus results'!$1:$1048576,ROW(),FALSE)</f>
        <v>0</v>
      </c>
      <c r="AD1033" s="580">
        <f t="shared" si="116"/>
        <v>5</v>
      </c>
      <c r="AE1033" s="580">
        <f t="shared" si="117"/>
        <v>2.5</v>
      </c>
      <c r="AF1033" s="580">
        <f t="shared" si="118"/>
        <v>2.5</v>
      </c>
      <c r="AG1033" s="580">
        <f t="shared" si="119"/>
        <v>0</v>
      </c>
      <c r="AH1033" s="580">
        <f t="shared" si="120"/>
        <v>0</v>
      </c>
    </row>
    <row r="1034" spans="28:34">
      <c r="AB1034" s="580">
        <f>HLOOKUP("*"&amp;'Output annual'!$AC$2&amp;'Output annual'!$AD$2&amp;"*Zone People Number Of Occupants [](Hourly)",'Eplus results'!$1:$1048576,ROW(),FALSE)</f>
        <v>0</v>
      </c>
      <c r="AC1034" s="580">
        <f>HLOOKUP("*"&amp;'Output annual'!$AC$2&amp;'Output annual'!$AD$2&amp;"*FangerPMV(Hourly)",'Eplus results'!$1:$1048576,ROW(),FALSE)</f>
        <v>0</v>
      </c>
      <c r="AD1034" s="580">
        <f t="shared" si="116"/>
        <v>5</v>
      </c>
      <c r="AE1034" s="580">
        <f t="shared" si="117"/>
        <v>2.5</v>
      </c>
      <c r="AF1034" s="580">
        <f t="shared" si="118"/>
        <v>2.5</v>
      </c>
      <c r="AG1034" s="580">
        <f t="shared" si="119"/>
        <v>0</v>
      </c>
      <c r="AH1034" s="580">
        <f t="shared" si="120"/>
        <v>0</v>
      </c>
    </row>
    <row r="1035" spans="28:34">
      <c r="AB1035" s="580">
        <f>HLOOKUP("*"&amp;'Output annual'!$AC$2&amp;'Output annual'!$AD$2&amp;"*Zone People Number Of Occupants [](Hourly)",'Eplus results'!$1:$1048576,ROW(),FALSE)</f>
        <v>0</v>
      </c>
      <c r="AC1035" s="580">
        <f>HLOOKUP("*"&amp;'Output annual'!$AC$2&amp;'Output annual'!$AD$2&amp;"*FangerPMV(Hourly)",'Eplus results'!$1:$1048576,ROW(),FALSE)</f>
        <v>0</v>
      </c>
      <c r="AD1035" s="580">
        <f t="shared" si="116"/>
        <v>5</v>
      </c>
      <c r="AE1035" s="580">
        <f t="shared" si="117"/>
        <v>2.5</v>
      </c>
      <c r="AF1035" s="580">
        <f t="shared" si="118"/>
        <v>2.5</v>
      </c>
      <c r="AG1035" s="580">
        <f t="shared" si="119"/>
        <v>0</v>
      </c>
      <c r="AH1035" s="580">
        <f t="shared" si="120"/>
        <v>0</v>
      </c>
    </row>
    <row r="1036" spans="28:34">
      <c r="AB1036" s="580">
        <f>HLOOKUP("*"&amp;'Output annual'!$AC$2&amp;'Output annual'!$AD$2&amp;"*Zone People Number Of Occupants [](Hourly)",'Eplus results'!$1:$1048576,ROW(),FALSE)</f>
        <v>0</v>
      </c>
      <c r="AC1036" s="580">
        <f>HLOOKUP("*"&amp;'Output annual'!$AC$2&amp;'Output annual'!$AD$2&amp;"*FangerPMV(Hourly)",'Eplus results'!$1:$1048576,ROW(),FALSE)</f>
        <v>0</v>
      </c>
      <c r="AD1036" s="580">
        <f t="shared" si="116"/>
        <v>5</v>
      </c>
      <c r="AE1036" s="580">
        <f t="shared" si="117"/>
        <v>2.5</v>
      </c>
      <c r="AF1036" s="580">
        <f t="shared" si="118"/>
        <v>2.5</v>
      </c>
      <c r="AG1036" s="580">
        <f t="shared" si="119"/>
        <v>0</v>
      </c>
      <c r="AH1036" s="580">
        <f t="shared" si="120"/>
        <v>0</v>
      </c>
    </row>
    <row r="1037" spans="28:34">
      <c r="AB1037" s="580">
        <f>HLOOKUP("*"&amp;'Output annual'!$AC$2&amp;'Output annual'!$AD$2&amp;"*Zone People Number Of Occupants [](Hourly)",'Eplus results'!$1:$1048576,ROW(),FALSE)</f>
        <v>0</v>
      </c>
      <c r="AC1037" s="580">
        <f>HLOOKUP("*"&amp;'Output annual'!$AC$2&amp;'Output annual'!$AD$2&amp;"*FangerPMV(Hourly)",'Eplus results'!$1:$1048576,ROW(),FALSE)</f>
        <v>0</v>
      </c>
      <c r="AD1037" s="580">
        <f t="shared" si="116"/>
        <v>5</v>
      </c>
      <c r="AE1037" s="580">
        <f t="shared" si="117"/>
        <v>2.5</v>
      </c>
      <c r="AF1037" s="580">
        <f t="shared" si="118"/>
        <v>2.5</v>
      </c>
      <c r="AG1037" s="580">
        <f t="shared" si="119"/>
        <v>0</v>
      </c>
      <c r="AH1037" s="580">
        <f t="shared" si="120"/>
        <v>0</v>
      </c>
    </row>
    <row r="1038" spans="28:34">
      <c r="AB1038" s="580">
        <f>HLOOKUP("*"&amp;'Output annual'!$AC$2&amp;'Output annual'!$AD$2&amp;"*Zone People Number Of Occupants [](Hourly)",'Eplus results'!$1:$1048576,ROW(),FALSE)</f>
        <v>0</v>
      </c>
      <c r="AC1038" s="580">
        <f>HLOOKUP("*"&amp;'Output annual'!$AC$2&amp;'Output annual'!$AD$2&amp;"*FangerPMV(Hourly)",'Eplus results'!$1:$1048576,ROW(),FALSE)</f>
        <v>0</v>
      </c>
      <c r="AD1038" s="580">
        <f t="shared" si="116"/>
        <v>5</v>
      </c>
      <c r="AE1038" s="580">
        <f t="shared" si="117"/>
        <v>2.5</v>
      </c>
      <c r="AF1038" s="580">
        <f t="shared" si="118"/>
        <v>2.5</v>
      </c>
      <c r="AG1038" s="580">
        <f t="shared" si="119"/>
        <v>0</v>
      </c>
      <c r="AH1038" s="580">
        <f t="shared" si="120"/>
        <v>0</v>
      </c>
    </row>
    <row r="1039" spans="28:34">
      <c r="AB1039" s="580">
        <f>HLOOKUP("*"&amp;'Output annual'!$AC$2&amp;'Output annual'!$AD$2&amp;"*Zone People Number Of Occupants [](Hourly)",'Eplus results'!$1:$1048576,ROW(),FALSE)</f>
        <v>0</v>
      </c>
      <c r="AC1039" s="580">
        <f>HLOOKUP("*"&amp;'Output annual'!$AC$2&amp;'Output annual'!$AD$2&amp;"*FangerPMV(Hourly)",'Eplus results'!$1:$1048576,ROW(),FALSE)</f>
        <v>0</v>
      </c>
      <c r="AD1039" s="580">
        <f t="shared" si="116"/>
        <v>5</v>
      </c>
      <c r="AE1039" s="580">
        <f t="shared" si="117"/>
        <v>2.5</v>
      </c>
      <c r="AF1039" s="580">
        <f t="shared" si="118"/>
        <v>2.5</v>
      </c>
      <c r="AG1039" s="580">
        <f t="shared" si="119"/>
        <v>0</v>
      </c>
      <c r="AH1039" s="580">
        <f t="shared" si="120"/>
        <v>0</v>
      </c>
    </row>
    <row r="1040" spans="28:34">
      <c r="AB1040" s="580">
        <f>HLOOKUP("*"&amp;'Output annual'!$AC$2&amp;'Output annual'!$AD$2&amp;"*Zone People Number Of Occupants [](Hourly)",'Eplus results'!$1:$1048576,ROW(),FALSE)</f>
        <v>0</v>
      </c>
      <c r="AC1040" s="580">
        <f>HLOOKUP("*"&amp;'Output annual'!$AC$2&amp;'Output annual'!$AD$2&amp;"*FangerPMV(Hourly)",'Eplus results'!$1:$1048576,ROW(),FALSE)</f>
        <v>0</v>
      </c>
      <c r="AD1040" s="580">
        <f t="shared" si="116"/>
        <v>5</v>
      </c>
      <c r="AE1040" s="580">
        <f t="shared" si="117"/>
        <v>2.5</v>
      </c>
      <c r="AF1040" s="580">
        <f t="shared" si="118"/>
        <v>2.5</v>
      </c>
      <c r="AG1040" s="580">
        <f t="shared" si="119"/>
        <v>0</v>
      </c>
      <c r="AH1040" s="580">
        <f t="shared" si="120"/>
        <v>0</v>
      </c>
    </row>
    <row r="1041" spans="28:34">
      <c r="AB1041" s="580">
        <f>HLOOKUP("*"&amp;'Output annual'!$AC$2&amp;'Output annual'!$AD$2&amp;"*Zone People Number Of Occupants [](Hourly)",'Eplus results'!$1:$1048576,ROW(),FALSE)</f>
        <v>0</v>
      </c>
      <c r="AC1041" s="580">
        <f>HLOOKUP("*"&amp;'Output annual'!$AC$2&amp;'Output annual'!$AD$2&amp;"*FangerPMV(Hourly)",'Eplus results'!$1:$1048576,ROW(),FALSE)</f>
        <v>0</v>
      </c>
      <c r="AD1041" s="580">
        <f t="shared" si="116"/>
        <v>5</v>
      </c>
      <c r="AE1041" s="580">
        <f t="shared" si="117"/>
        <v>2.5</v>
      </c>
      <c r="AF1041" s="580">
        <f t="shared" si="118"/>
        <v>2.5</v>
      </c>
      <c r="AG1041" s="580">
        <f t="shared" si="119"/>
        <v>0</v>
      </c>
      <c r="AH1041" s="580">
        <f t="shared" si="120"/>
        <v>0</v>
      </c>
    </row>
    <row r="1042" spans="28:34">
      <c r="AB1042" s="580">
        <f>HLOOKUP("*"&amp;'Output annual'!$AC$2&amp;'Output annual'!$AD$2&amp;"*Zone People Number Of Occupants [](Hourly)",'Eplus results'!$1:$1048576,ROW(),FALSE)</f>
        <v>0</v>
      </c>
      <c r="AC1042" s="580">
        <f>HLOOKUP("*"&amp;'Output annual'!$AC$2&amp;'Output annual'!$AD$2&amp;"*FangerPMV(Hourly)",'Eplus results'!$1:$1048576,ROW(),FALSE)</f>
        <v>0</v>
      </c>
      <c r="AD1042" s="580">
        <f t="shared" si="116"/>
        <v>5</v>
      </c>
      <c r="AE1042" s="580">
        <f t="shared" si="117"/>
        <v>2.5</v>
      </c>
      <c r="AF1042" s="580">
        <f t="shared" si="118"/>
        <v>2.5</v>
      </c>
      <c r="AG1042" s="580">
        <f t="shared" si="119"/>
        <v>0</v>
      </c>
      <c r="AH1042" s="580">
        <f t="shared" si="120"/>
        <v>0</v>
      </c>
    </row>
    <row r="1043" spans="28:34">
      <c r="AB1043" s="580">
        <f>HLOOKUP("*"&amp;'Output annual'!$AC$2&amp;'Output annual'!$AD$2&amp;"*Zone People Number Of Occupants [](Hourly)",'Eplus results'!$1:$1048576,ROW(),FALSE)</f>
        <v>0</v>
      </c>
      <c r="AC1043" s="580">
        <f>HLOOKUP("*"&amp;'Output annual'!$AC$2&amp;'Output annual'!$AD$2&amp;"*FangerPMV(Hourly)",'Eplus results'!$1:$1048576,ROW(),FALSE)</f>
        <v>0</v>
      </c>
      <c r="AD1043" s="580">
        <f t="shared" si="116"/>
        <v>5</v>
      </c>
      <c r="AE1043" s="580">
        <f t="shared" si="117"/>
        <v>2.5</v>
      </c>
      <c r="AF1043" s="580">
        <f t="shared" si="118"/>
        <v>2.5</v>
      </c>
      <c r="AG1043" s="580">
        <f t="shared" si="119"/>
        <v>0</v>
      </c>
      <c r="AH1043" s="580">
        <f t="shared" si="120"/>
        <v>0</v>
      </c>
    </row>
    <row r="1044" spans="28:34">
      <c r="AB1044" s="580">
        <f>HLOOKUP("*"&amp;'Output annual'!$AC$2&amp;'Output annual'!$AD$2&amp;"*Zone People Number Of Occupants [](Hourly)",'Eplus results'!$1:$1048576,ROW(),FALSE)</f>
        <v>0</v>
      </c>
      <c r="AC1044" s="580">
        <f>HLOOKUP("*"&amp;'Output annual'!$AC$2&amp;'Output annual'!$AD$2&amp;"*FangerPMV(Hourly)",'Eplus results'!$1:$1048576,ROW(),FALSE)</f>
        <v>0</v>
      </c>
      <c r="AD1044" s="580">
        <f t="shared" si="116"/>
        <v>5</v>
      </c>
      <c r="AE1044" s="580">
        <f t="shared" si="117"/>
        <v>2.5</v>
      </c>
      <c r="AF1044" s="580">
        <f t="shared" si="118"/>
        <v>2.5</v>
      </c>
      <c r="AG1044" s="580">
        <f t="shared" si="119"/>
        <v>0</v>
      </c>
      <c r="AH1044" s="580">
        <f t="shared" si="120"/>
        <v>0</v>
      </c>
    </row>
    <row r="1045" spans="28:34">
      <c r="AB1045" s="580">
        <f>HLOOKUP("*"&amp;'Output annual'!$AC$2&amp;'Output annual'!$AD$2&amp;"*Zone People Number Of Occupants [](Hourly)",'Eplus results'!$1:$1048576,ROW(),FALSE)</f>
        <v>0</v>
      </c>
      <c r="AC1045" s="580">
        <f>HLOOKUP("*"&amp;'Output annual'!$AC$2&amp;'Output annual'!$AD$2&amp;"*FangerPMV(Hourly)",'Eplus results'!$1:$1048576,ROW(),FALSE)</f>
        <v>0</v>
      </c>
      <c r="AD1045" s="580">
        <f t="shared" si="116"/>
        <v>5</v>
      </c>
      <c r="AE1045" s="580">
        <f t="shared" si="117"/>
        <v>2.5</v>
      </c>
      <c r="AF1045" s="580">
        <f t="shared" si="118"/>
        <v>2.5</v>
      </c>
      <c r="AG1045" s="580">
        <f t="shared" si="119"/>
        <v>0</v>
      </c>
      <c r="AH1045" s="580">
        <f t="shared" si="120"/>
        <v>0</v>
      </c>
    </row>
    <row r="1046" spans="28:34">
      <c r="AB1046" s="580">
        <f>HLOOKUP("*"&amp;'Output annual'!$AC$2&amp;'Output annual'!$AD$2&amp;"*Zone People Number Of Occupants [](Hourly)",'Eplus results'!$1:$1048576,ROW(),FALSE)</f>
        <v>0</v>
      </c>
      <c r="AC1046" s="580">
        <f>HLOOKUP("*"&amp;'Output annual'!$AC$2&amp;'Output annual'!$AD$2&amp;"*FangerPMV(Hourly)",'Eplus results'!$1:$1048576,ROW(),FALSE)</f>
        <v>0</v>
      </c>
      <c r="AD1046" s="580">
        <f t="shared" si="116"/>
        <v>5</v>
      </c>
      <c r="AE1046" s="580">
        <f t="shared" si="117"/>
        <v>2.5</v>
      </c>
      <c r="AF1046" s="580">
        <f t="shared" si="118"/>
        <v>2.5</v>
      </c>
      <c r="AG1046" s="580">
        <f t="shared" si="119"/>
        <v>0</v>
      </c>
      <c r="AH1046" s="580">
        <f t="shared" si="120"/>
        <v>0</v>
      </c>
    </row>
    <row r="1047" spans="28:34">
      <c r="AB1047" s="580">
        <f>HLOOKUP("*"&amp;'Output annual'!$AC$2&amp;'Output annual'!$AD$2&amp;"*Zone People Number Of Occupants [](Hourly)",'Eplus results'!$1:$1048576,ROW(),FALSE)</f>
        <v>0</v>
      </c>
      <c r="AC1047" s="580">
        <f>HLOOKUP("*"&amp;'Output annual'!$AC$2&amp;'Output annual'!$AD$2&amp;"*FangerPMV(Hourly)",'Eplus results'!$1:$1048576,ROW(),FALSE)</f>
        <v>0</v>
      </c>
      <c r="AD1047" s="580">
        <f t="shared" si="116"/>
        <v>5</v>
      </c>
      <c r="AE1047" s="580">
        <f t="shared" si="117"/>
        <v>2.5</v>
      </c>
      <c r="AF1047" s="580">
        <f t="shared" si="118"/>
        <v>2.5</v>
      </c>
      <c r="AG1047" s="580">
        <f t="shared" si="119"/>
        <v>0</v>
      </c>
      <c r="AH1047" s="580">
        <f t="shared" si="120"/>
        <v>0</v>
      </c>
    </row>
    <row r="1048" spans="28:34">
      <c r="AB1048" s="580">
        <f>HLOOKUP("*"&amp;'Output annual'!$AC$2&amp;'Output annual'!$AD$2&amp;"*Zone People Number Of Occupants [](Hourly)",'Eplus results'!$1:$1048576,ROW(),FALSE)</f>
        <v>0</v>
      </c>
      <c r="AC1048" s="580">
        <f>HLOOKUP("*"&amp;'Output annual'!$AC$2&amp;'Output annual'!$AD$2&amp;"*FangerPMV(Hourly)",'Eplus results'!$1:$1048576,ROW(),FALSE)</f>
        <v>0</v>
      </c>
      <c r="AD1048" s="580">
        <f t="shared" si="116"/>
        <v>5</v>
      </c>
      <c r="AE1048" s="580">
        <f t="shared" si="117"/>
        <v>2.5</v>
      </c>
      <c r="AF1048" s="580">
        <f t="shared" si="118"/>
        <v>2.5</v>
      </c>
      <c r="AG1048" s="580">
        <f t="shared" si="119"/>
        <v>0</v>
      </c>
      <c r="AH1048" s="580">
        <f t="shared" si="120"/>
        <v>0</v>
      </c>
    </row>
    <row r="1049" spans="28:34">
      <c r="AB1049" s="580">
        <f>HLOOKUP("*"&amp;'Output annual'!$AC$2&amp;'Output annual'!$AD$2&amp;"*Zone People Number Of Occupants [](Hourly)",'Eplus results'!$1:$1048576,ROW(),FALSE)</f>
        <v>0</v>
      </c>
      <c r="AC1049" s="580">
        <f>HLOOKUP("*"&amp;'Output annual'!$AC$2&amp;'Output annual'!$AD$2&amp;"*FangerPMV(Hourly)",'Eplus results'!$1:$1048576,ROW(),FALSE)</f>
        <v>0</v>
      </c>
      <c r="AD1049" s="580">
        <f t="shared" si="116"/>
        <v>5</v>
      </c>
      <c r="AE1049" s="580">
        <f t="shared" si="117"/>
        <v>2.5</v>
      </c>
      <c r="AF1049" s="580">
        <f t="shared" si="118"/>
        <v>2.5</v>
      </c>
      <c r="AG1049" s="580">
        <f t="shared" si="119"/>
        <v>0</v>
      </c>
      <c r="AH1049" s="580">
        <f t="shared" si="120"/>
        <v>0</v>
      </c>
    </row>
    <row r="1050" spans="28:34">
      <c r="AB1050" s="580">
        <f>HLOOKUP("*"&amp;'Output annual'!$AC$2&amp;'Output annual'!$AD$2&amp;"*Zone People Number Of Occupants [](Hourly)",'Eplus results'!$1:$1048576,ROW(),FALSE)</f>
        <v>0</v>
      </c>
      <c r="AC1050" s="580">
        <f>HLOOKUP("*"&amp;'Output annual'!$AC$2&amp;'Output annual'!$AD$2&amp;"*FangerPMV(Hourly)",'Eplus results'!$1:$1048576,ROW(),FALSE)</f>
        <v>0</v>
      </c>
      <c r="AD1050" s="580">
        <f t="shared" si="116"/>
        <v>5</v>
      </c>
      <c r="AE1050" s="580">
        <f t="shared" si="117"/>
        <v>2.5</v>
      </c>
      <c r="AF1050" s="580">
        <f t="shared" si="118"/>
        <v>2.5</v>
      </c>
      <c r="AG1050" s="580">
        <f t="shared" si="119"/>
        <v>0</v>
      </c>
      <c r="AH1050" s="580">
        <f t="shared" si="120"/>
        <v>0</v>
      </c>
    </row>
    <row r="1051" spans="28:34">
      <c r="AB1051" s="580">
        <f>HLOOKUP("*"&amp;'Output annual'!$AC$2&amp;'Output annual'!$AD$2&amp;"*Zone People Number Of Occupants [](Hourly)",'Eplus results'!$1:$1048576,ROW(),FALSE)</f>
        <v>0</v>
      </c>
      <c r="AC1051" s="580">
        <f>HLOOKUP("*"&amp;'Output annual'!$AC$2&amp;'Output annual'!$AD$2&amp;"*FangerPMV(Hourly)",'Eplus results'!$1:$1048576,ROW(),FALSE)</f>
        <v>0</v>
      </c>
      <c r="AD1051" s="580">
        <f t="shared" si="116"/>
        <v>5</v>
      </c>
      <c r="AE1051" s="580">
        <f t="shared" si="117"/>
        <v>2.5</v>
      </c>
      <c r="AF1051" s="580">
        <f t="shared" si="118"/>
        <v>2.5</v>
      </c>
      <c r="AG1051" s="580">
        <f t="shared" si="119"/>
        <v>0</v>
      </c>
      <c r="AH1051" s="580">
        <f t="shared" si="120"/>
        <v>0</v>
      </c>
    </row>
    <row r="1052" spans="28:34">
      <c r="AB1052" s="580">
        <f>HLOOKUP("*"&amp;'Output annual'!$AC$2&amp;'Output annual'!$AD$2&amp;"*Zone People Number Of Occupants [](Hourly)",'Eplus results'!$1:$1048576,ROW(),FALSE)</f>
        <v>0</v>
      </c>
      <c r="AC1052" s="580">
        <f>HLOOKUP("*"&amp;'Output annual'!$AC$2&amp;'Output annual'!$AD$2&amp;"*FangerPMV(Hourly)",'Eplus results'!$1:$1048576,ROW(),FALSE)</f>
        <v>0</v>
      </c>
      <c r="AD1052" s="580">
        <f t="shared" si="116"/>
        <v>5</v>
      </c>
      <c r="AE1052" s="580">
        <f t="shared" si="117"/>
        <v>2.5</v>
      </c>
      <c r="AF1052" s="580">
        <f t="shared" si="118"/>
        <v>2.5</v>
      </c>
      <c r="AG1052" s="580">
        <f t="shared" si="119"/>
        <v>0</v>
      </c>
      <c r="AH1052" s="580">
        <f t="shared" si="120"/>
        <v>0</v>
      </c>
    </row>
    <row r="1053" spans="28:34">
      <c r="AB1053" s="580">
        <f>HLOOKUP("*"&amp;'Output annual'!$AC$2&amp;'Output annual'!$AD$2&amp;"*Zone People Number Of Occupants [](Hourly)",'Eplus results'!$1:$1048576,ROW(),FALSE)</f>
        <v>0</v>
      </c>
      <c r="AC1053" s="580">
        <f>HLOOKUP("*"&amp;'Output annual'!$AC$2&amp;'Output annual'!$AD$2&amp;"*FangerPMV(Hourly)",'Eplus results'!$1:$1048576,ROW(),FALSE)</f>
        <v>0</v>
      </c>
      <c r="AD1053" s="580">
        <f t="shared" si="116"/>
        <v>5</v>
      </c>
      <c r="AE1053" s="580">
        <f t="shared" si="117"/>
        <v>2.5</v>
      </c>
      <c r="AF1053" s="580">
        <f t="shared" si="118"/>
        <v>2.5</v>
      </c>
      <c r="AG1053" s="580">
        <f t="shared" si="119"/>
        <v>0</v>
      </c>
      <c r="AH1053" s="580">
        <f t="shared" si="120"/>
        <v>0</v>
      </c>
    </row>
    <row r="1054" spans="28:34">
      <c r="AB1054" s="580">
        <f>HLOOKUP("*"&amp;'Output annual'!$AC$2&amp;'Output annual'!$AD$2&amp;"*Zone People Number Of Occupants [](Hourly)",'Eplus results'!$1:$1048576,ROW(),FALSE)</f>
        <v>0</v>
      </c>
      <c r="AC1054" s="580">
        <f>HLOOKUP("*"&amp;'Output annual'!$AC$2&amp;'Output annual'!$AD$2&amp;"*FangerPMV(Hourly)",'Eplus results'!$1:$1048576,ROW(),FALSE)</f>
        <v>0</v>
      </c>
      <c r="AD1054" s="580">
        <f t="shared" si="116"/>
        <v>5</v>
      </c>
      <c r="AE1054" s="580">
        <f t="shared" si="117"/>
        <v>2.5</v>
      </c>
      <c r="AF1054" s="580">
        <f t="shared" si="118"/>
        <v>2.5</v>
      </c>
      <c r="AG1054" s="580">
        <f t="shared" si="119"/>
        <v>0</v>
      </c>
      <c r="AH1054" s="580">
        <f t="shared" si="120"/>
        <v>0</v>
      </c>
    </row>
    <row r="1055" spans="28:34">
      <c r="AB1055" s="580">
        <f>HLOOKUP("*"&amp;'Output annual'!$AC$2&amp;'Output annual'!$AD$2&amp;"*Zone People Number Of Occupants [](Hourly)",'Eplus results'!$1:$1048576,ROW(),FALSE)</f>
        <v>0</v>
      </c>
      <c r="AC1055" s="580">
        <f>HLOOKUP("*"&amp;'Output annual'!$AC$2&amp;'Output annual'!$AD$2&amp;"*FangerPMV(Hourly)",'Eplus results'!$1:$1048576,ROW(),FALSE)</f>
        <v>0</v>
      </c>
      <c r="AD1055" s="580">
        <f t="shared" si="116"/>
        <v>5</v>
      </c>
      <c r="AE1055" s="580">
        <f t="shared" si="117"/>
        <v>2.5</v>
      </c>
      <c r="AF1055" s="580">
        <f t="shared" si="118"/>
        <v>2.5</v>
      </c>
      <c r="AG1055" s="580">
        <f t="shared" si="119"/>
        <v>0</v>
      </c>
      <c r="AH1055" s="580">
        <f t="shared" si="120"/>
        <v>0</v>
      </c>
    </row>
    <row r="1056" spans="28:34">
      <c r="AB1056" s="580">
        <f>HLOOKUP("*"&amp;'Output annual'!$AC$2&amp;'Output annual'!$AD$2&amp;"*Zone People Number Of Occupants [](Hourly)",'Eplus results'!$1:$1048576,ROW(),FALSE)</f>
        <v>0</v>
      </c>
      <c r="AC1056" s="580">
        <f>HLOOKUP("*"&amp;'Output annual'!$AC$2&amp;'Output annual'!$AD$2&amp;"*FangerPMV(Hourly)",'Eplus results'!$1:$1048576,ROW(),FALSE)</f>
        <v>0</v>
      </c>
      <c r="AD1056" s="580">
        <f t="shared" si="116"/>
        <v>5</v>
      </c>
      <c r="AE1056" s="580">
        <f t="shared" si="117"/>
        <v>2.5</v>
      </c>
      <c r="AF1056" s="580">
        <f t="shared" si="118"/>
        <v>2.5</v>
      </c>
      <c r="AG1056" s="580">
        <f t="shared" si="119"/>
        <v>0</v>
      </c>
      <c r="AH1056" s="580">
        <f t="shared" si="120"/>
        <v>0</v>
      </c>
    </row>
    <row r="1057" spans="28:34">
      <c r="AB1057" s="580">
        <f>HLOOKUP("*"&amp;'Output annual'!$AC$2&amp;'Output annual'!$AD$2&amp;"*Zone People Number Of Occupants [](Hourly)",'Eplus results'!$1:$1048576,ROW(),FALSE)</f>
        <v>0</v>
      </c>
      <c r="AC1057" s="580">
        <f>HLOOKUP("*"&amp;'Output annual'!$AC$2&amp;'Output annual'!$AD$2&amp;"*FangerPMV(Hourly)",'Eplus results'!$1:$1048576,ROW(),FALSE)</f>
        <v>0</v>
      </c>
      <c r="AD1057" s="580">
        <f t="shared" si="116"/>
        <v>5</v>
      </c>
      <c r="AE1057" s="580">
        <f t="shared" si="117"/>
        <v>2.5</v>
      </c>
      <c r="AF1057" s="580">
        <f t="shared" si="118"/>
        <v>2.5</v>
      </c>
      <c r="AG1057" s="580">
        <f t="shared" si="119"/>
        <v>0</v>
      </c>
      <c r="AH1057" s="580">
        <f t="shared" si="120"/>
        <v>0</v>
      </c>
    </row>
    <row r="1058" spans="28:34">
      <c r="AB1058" s="580">
        <f>HLOOKUP("*"&amp;'Output annual'!$AC$2&amp;'Output annual'!$AD$2&amp;"*Zone People Number Of Occupants [](Hourly)",'Eplus results'!$1:$1048576,ROW(),FALSE)</f>
        <v>0</v>
      </c>
      <c r="AC1058" s="580">
        <f>HLOOKUP("*"&amp;'Output annual'!$AC$2&amp;'Output annual'!$AD$2&amp;"*FangerPMV(Hourly)",'Eplus results'!$1:$1048576,ROW(),FALSE)</f>
        <v>0</v>
      </c>
      <c r="AD1058" s="580">
        <f t="shared" si="116"/>
        <v>5</v>
      </c>
      <c r="AE1058" s="580">
        <f t="shared" si="117"/>
        <v>2.5</v>
      </c>
      <c r="AF1058" s="580">
        <f t="shared" si="118"/>
        <v>2.5</v>
      </c>
      <c r="AG1058" s="580">
        <f t="shared" si="119"/>
        <v>0</v>
      </c>
      <c r="AH1058" s="580">
        <f t="shared" si="120"/>
        <v>0</v>
      </c>
    </row>
    <row r="1059" spans="28:34">
      <c r="AB1059" s="580">
        <f>HLOOKUP("*"&amp;'Output annual'!$AC$2&amp;'Output annual'!$AD$2&amp;"*Zone People Number Of Occupants [](Hourly)",'Eplus results'!$1:$1048576,ROW(),FALSE)</f>
        <v>0</v>
      </c>
      <c r="AC1059" s="580">
        <f>HLOOKUP("*"&amp;'Output annual'!$AC$2&amp;'Output annual'!$AD$2&amp;"*FangerPMV(Hourly)",'Eplus results'!$1:$1048576,ROW(),FALSE)</f>
        <v>0</v>
      </c>
      <c r="AD1059" s="580">
        <f t="shared" si="116"/>
        <v>5</v>
      </c>
      <c r="AE1059" s="580">
        <f t="shared" si="117"/>
        <v>2.5</v>
      </c>
      <c r="AF1059" s="580">
        <f t="shared" si="118"/>
        <v>2.5</v>
      </c>
      <c r="AG1059" s="580">
        <f t="shared" si="119"/>
        <v>0</v>
      </c>
      <c r="AH1059" s="580">
        <f t="shared" si="120"/>
        <v>0</v>
      </c>
    </row>
    <row r="1060" spans="28:34">
      <c r="AB1060" s="580">
        <f>HLOOKUP("*"&amp;'Output annual'!$AC$2&amp;'Output annual'!$AD$2&amp;"*Zone People Number Of Occupants [](Hourly)",'Eplus results'!$1:$1048576,ROW(),FALSE)</f>
        <v>0</v>
      </c>
      <c r="AC1060" s="580">
        <f>HLOOKUP("*"&amp;'Output annual'!$AC$2&amp;'Output annual'!$AD$2&amp;"*FangerPMV(Hourly)",'Eplus results'!$1:$1048576,ROW(),FALSE)</f>
        <v>0</v>
      </c>
      <c r="AD1060" s="580">
        <f t="shared" si="116"/>
        <v>5</v>
      </c>
      <c r="AE1060" s="580">
        <f t="shared" si="117"/>
        <v>2.5</v>
      </c>
      <c r="AF1060" s="580">
        <f t="shared" si="118"/>
        <v>2.5</v>
      </c>
      <c r="AG1060" s="580">
        <f t="shared" si="119"/>
        <v>0</v>
      </c>
      <c r="AH1060" s="580">
        <f t="shared" si="120"/>
        <v>0</v>
      </c>
    </row>
    <row r="1061" spans="28:34">
      <c r="AB1061" s="580">
        <f>HLOOKUP("*"&amp;'Output annual'!$AC$2&amp;'Output annual'!$AD$2&amp;"*Zone People Number Of Occupants [](Hourly)",'Eplus results'!$1:$1048576,ROW(),FALSE)</f>
        <v>0</v>
      </c>
      <c r="AC1061" s="580">
        <f>HLOOKUP("*"&amp;'Output annual'!$AC$2&amp;'Output annual'!$AD$2&amp;"*FangerPMV(Hourly)",'Eplus results'!$1:$1048576,ROW(),FALSE)</f>
        <v>0</v>
      </c>
      <c r="AD1061" s="580">
        <f t="shared" si="116"/>
        <v>5</v>
      </c>
      <c r="AE1061" s="580">
        <f t="shared" si="117"/>
        <v>2.5</v>
      </c>
      <c r="AF1061" s="580">
        <f t="shared" si="118"/>
        <v>2.5</v>
      </c>
      <c r="AG1061" s="580">
        <f t="shared" si="119"/>
        <v>0</v>
      </c>
      <c r="AH1061" s="580">
        <f t="shared" si="120"/>
        <v>0</v>
      </c>
    </row>
    <row r="1062" spans="28:34">
      <c r="AB1062" s="580">
        <f>HLOOKUP("*"&amp;'Output annual'!$AC$2&amp;'Output annual'!$AD$2&amp;"*Zone People Number Of Occupants [](Hourly)",'Eplus results'!$1:$1048576,ROW(),FALSE)</f>
        <v>0</v>
      </c>
      <c r="AC1062" s="580">
        <f>HLOOKUP("*"&amp;'Output annual'!$AC$2&amp;'Output annual'!$AD$2&amp;"*FangerPMV(Hourly)",'Eplus results'!$1:$1048576,ROW(),FALSE)</f>
        <v>0</v>
      </c>
      <c r="AD1062" s="580">
        <f t="shared" si="116"/>
        <v>5</v>
      </c>
      <c r="AE1062" s="580">
        <f t="shared" si="117"/>
        <v>2.5</v>
      </c>
      <c r="AF1062" s="580">
        <f t="shared" si="118"/>
        <v>2.5</v>
      </c>
      <c r="AG1062" s="580">
        <f t="shared" si="119"/>
        <v>0</v>
      </c>
      <c r="AH1062" s="580">
        <f t="shared" si="120"/>
        <v>0</v>
      </c>
    </row>
    <row r="1063" spans="28:34">
      <c r="AB1063" s="580">
        <f>HLOOKUP("*"&amp;'Output annual'!$AC$2&amp;'Output annual'!$AD$2&amp;"*Zone People Number Of Occupants [](Hourly)",'Eplus results'!$1:$1048576,ROW(),FALSE)</f>
        <v>0</v>
      </c>
      <c r="AC1063" s="580">
        <f>HLOOKUP("*"&amp;'Output annual'!$AC$2&amp;'Output annual'!$AD$2&amp;"*FangerPMV(Hourly)",'Eplus results'!$1:$1048576,ROW(),FALSE)</f>
        <v>0</v>
      </c>
      <c r="AD1063" s="580">
        <f t="shared" si="116"/>
        <v>5</v>
      </c>
      <c r="AE1063" s="580">
        <f t="shared" si="117"/>
        <v>2.5</v>
      </c>
      <c r="AF1063" s="580">
        <f t="shared" si="118"/>
        <v>2.5</v>
      </c>
      <c r="AG1063" s="580">
        <f t="shared" si="119"/>
        <v>0</v>
      </c>
      <c r="AH1063" s="580">
        <f t="shared" si="120"/>
        <v>0</v>
      </c>
    </row>
    <row r="1064" spans="28:34">
      <c r="AB1064" s="580">
        <f>HLOOKUP("*"&amp;'Output annual'!$AC$2&amp;'Output annual'!$AD$2&amp;"*Zone People Number Of Occupants [](Hourly)",'Eplus results'!$1:$1048576,ROW(),FALSE)</f>
        <v>0</v>
      </c>
      <c r="AC1064" s="580">
        <f>HLOOKUP("*"&amp;'Output annual'!$AC$2&amp;'Output annual'!$AD$2&amp;"*FangerPMV(Hourly)",'Eplus results'!$1:$1048576,ROW(),FALSE)</f>
        <v>0</v>
      </c>
      <c r="AD1064" s="580">
        <f t="shared" si="116"/>
        <v>5</v>
      </c>
      <c r="AE1064" s="580">
        <f t="shared" si="117"/>
        <v>2.5</v>
      </c>
      <c r="AF1064" s="580">
        <f t="shared" si="118"/>
        <v>2.5</v>
      </c>
      <c r="AG1064" s="580">
        <f t="shared" si="119"/>
        <v>0</v>
      </c>
      <c r="AH1064" s="580">
        <f t="shared" si="120"/>
        <v>0</v>
      </c>
    </row>
    <row r="1065" spans="28:34">
      <c r="AB1065" s="580">
        <f>HLOOKUP("*"&amp;'Output annual'!$AC$2&amp;'Output annual'!$AD$2&amp;"*Zone People Number Of Occupants [](Hourly)",'Eplus results'!$1:$1048576,ROW(),FALSE)</f>
        <v>0</v>
      </c>
      <c r="AC1065" s="580">
        <f>HLOOKUP("*"&amp;'Output annual'!$AC$2&amp;'Output annual'!$AD$2&amp;"*FangerPMV(Hourly)",'Eplus results'!$1:$1048576,ROW(),FALSE)</f>
        <v>0</v>
      </c>
      <c r="AD1065" s="580">
        <f t="shared" si="116"/>
        <v>5</v>
      </c>
      <c r="AE1065" s="580">
        <f t="shared" si="117"/>
        <v>2.5</v>
      </c>
      <c r="AF1065" s="580">
        <f t="shared" si="118"/>
        <v>2.5</v>
      </c>
      <c r="AG1065" s="580">
        <f t="shared" si="119"/>
        <v>0</v>
      </c>
      <c r="AH1065" s="580">
        <f t="shared" si="120"/>
        <v>0</v>
      </c>
    </row>
    <row r="1066" spans="28:34">
      <c r="AB1066" s="580">
        <f>HLOOKUP("*"&amp;'Output annual'!$AC$2&amp;'Output annual'!$AD$2&amp;"*Zone People Number Of Occupants [](Hourly)",'Eplus results'!$1:$1048576,ROW(),FALSE)</f>
        <v>0</v>
      </c>
      <c r="AC1066" s="580">
        <f>HLOOKUP("*"&amp;'Output annual'!$AC$2&amp;'Output annual'!$AD$2&amp;"*FangerPMV(Hourly)",'Eplus results'!$1:$1048576,ROW(),FALSE)</f>
        <v>0</v>
      </c>
      <c r="AD1066" s="580">
        <f t="shared" si="116"/>
        <v>5</v>
      </c>
      <c r="AE1066" s="580">
        <f t="shared" si="117"/>
        <v>2.5</v>
      </c>
      <c r="AF1066" s="580">
        <f t="shared" si="118"/>
        <v>2.5</v>
      </c>
      <c r="AG1066" s="580">
        <f t="shared" si="119"/>
        <v>0</v>
      </c>
      <c r="AH1066" s="580">
        <f t="shared" si="120"/>
        <v>0</v>
      </c>
    </row>
    <row r="1067" spans="28:34">
      <c r="AB1067" s="580">
        <f>HLOOKUP("*"&amp;'Output annual'!$AC$2&amp;'Output annual'!$AD$2&amp;"*Zone People Number Of Occupants [](Hourly)",'Eplus results'!$1:$1048576,ROW(),FALSE)</f>
        <v>0</v>
      </c>
      <c r="AC1067" s="580">
        <f>HLOOKUP("*"&amp;'Output annual'!$AC$2&amp;'Output annual'!$AD$2&amp;"*FangerPMV(Hourly)",'Eplus results'!$1:$1048576,ROW(),FALSE)</f>
        <v>0</v>
      </c>
      <c r="AD1067" s="580">
        <f t="shared" si="116"/>
        <v>5</v>
      </c>
      <c r="AE1067" s="580">
        <f t="shared" si="117"/>
        <v>2.5</v>
      </c>
      <c r="AF1067" s="580">
        <f t="shared" si="118"/>
        <v>2.5</v>
      </c>
      <c r="AG1067" s="580">
        <f t="shared" si="119"/>
        <v>0</v>
      </c>
      <c r="AH1067" s="580">
        <f t="shared" si="120"/>
        <v>0</v>
      </c>
    </row>
    <row r="1068" spans="28:34">
      <c r="AB1068" s="580">
        <f>HLOOKUP("*"&amp;'Output annual'!$AC$2&amp;'Output annual'!$AD$2&amp;"*Zone People Number Of Occupants [](Hourly)",'Eplus results'!$1:$1048576,ROW(),FALSE)</f>
        <v>0</v>
      </c>
      <c r="AC1068" s="580">
        <f>HLOOKUP("*"&amp;'Output annual'!$AC$2&amp;'Output annual'!$AD$2&amp;"*FangerPMV(Hourly)",'Eplus results'!$1:$1048576,ROW(),FALSE)</f>
        <v>0</v>
      </c>
      <c r="AD1068" s="580">
        <f t="shared" si="116"/>
        <v>5</v>
      </c>
      <c r="AE1068" s="580">
        <f t="shared" si="117"/>
        <v>2.5</v>
      </c>
      <c r="AF1068" s="580">
        <f t="shared" si="118"/>
        <v>2.5</v>
      </c>
      <c r="AG1068" s="580">
        <f t="shared" si="119"/>
        <v>0</v>
      </c>
      <c r="AH1068" s="580">
        <f t="shared" si="120"/>
        <v>0</v>
      </c>
    </row>
    <row r="1069" spans="28:34">
      <c r="AB1069" s="580">
        <f>HLOOKUP("*"&amp;'Output annual'!$AC$2&amp;'Output annual'!$AD$2&amp;"*Zone People Number Of Occupants [](Hourly)",'Eplus results'!$1:$1048576,ROW(),FALSE)</f>
        <v>0</v>
      </c>
      <c r="AC1069" s="580">
        <f>HLOOKUP("*"&amp;'Output annual'!$AC$2&amp;'Output annual'!$AD$2&amp;"*FangerPMV(Hourly)",'Eplus results'!$1:$1048576,ROW(),FALSE)</f>
        <v>0</v>
      </c>
      <c r="AD1069" s="580">
        <f t="shared" si="116"/>
        <v>5</v>
      </c>
      <c r="AE1069" s="580">
        <f t="shared" si="117"/>
        <v>2.5</v>
      </c>
      <c r="AF1069" s="580">
        <f t="shared" si="118"/>
        <v>2.5</v>
      </c>
      <c r="AG1069" s="580">
        <f t="shared" si="119"/>
        <v>0</v>
      </c>
      <c r="AH1069" s="580">
        <f t="shared" si="120"/>
        <v>0</v>
      </c>
    </row>
    <row r="1070" spans="28:34">
      <c r="AB1070" s="580">
        <f>HLOOKUP("*"&amp;'Output annual'!$AC$2&amp;'Output annual'!$AD$2&amp;"*Zone People Number Of Occupants [](Hourly)",'Eplus results'!$1:$1048576,ROW(),FALSE)</f>
        <v>0</v>
      </c>
      <c r="AC1070" s="580">
        <f>HLOOKUP("*"&amp;'Output annual'!$AC$2&amp;'Output annual'!$AD$2&amp;"*FangerPMV(Hourly)",'Eplus results'!$1:$1048576,ROW(),FALSE)</f>
        <v>0</v>
      </c>
      <c r="AD1070" s="580">
        <f t="shared" si="116"/>
        <v>5</v>
      </c>
      <c r="AE1070" s="580">
        <f t="shared" si="117"/>
        <v>2.5</v>
      </c>
      <c r="AF1070" s="580">
        <f t="shared" si="118"/>
        <v>2.5</v>
      </c>
      <c r="AG1070" s="580">
        <f t="shared" si="119"/>
        <v>0</v>
      </c>
      <c r="AH1070" s="580">
        <f t="shared" si="120"/>
        <v>0</v>
      </c>
    </row>
    <row r="1071" spans="28:34">
      <c r="AB1071" s="580">
        <f>HLOOKUP("*"&amp;'Output annual'!$AC$2&amp;'Output annual'!$AD$2&amp;"*Zone People Number Of Occupants [](Hourly)",'Eplus results'!$1:$1048576,ROW(),FALSE)</f>
        <v>0</v>
      </c>
      <c r="AC1071" s="580">
        <f>HLOOKUP("*"&amp;'Output annual'!$AC$2&amp;'Output annual'!$AD$2&amp;"*FangerPMV(Hourly)",'Eplus results'!$1:$1048576,ROW(),FALSE)</f>
        <v>0</v>
      </c>
      <c r="AD1071" s="580">
        <f t="shared" si="116"/>
        <v>5</v>
      </c>
      <c r="AE1071" s="580">
        <f t="shared" si="117"/>
        <v>2.5</v>
      </c>
      <c r="AF1071" s="580">
        <f t="shared" si="118"/>
        <v>2.5</v>
      </c>
      <c r="AG1071" s="580">
        <f t="shared" si="119"/>
        <v>0</v>
      </c>
      <c r="AH1071" s="580">
        <f t="shared" si="120"/>
        <v>0</v>
      </c>
    </row>
    <row r="1072" spans="28:34">
      <c r="AB1072" s="580">
        <f>HLOOKUP("*"&amp;'Output annual'!$AC$2&amp;'Output annual'!$AD$2&amp;"*Zone People Number Of Occupants [](Hourly)",'Eplus results'!$1:$1048576,ROW(),FALSE)</f>
        <v>0</v>
      </c>
      <c r="AC1072" s="580">
        <f>HLOOKUP("*"&amp;'Output annual'!$AC$2&amp;'Output annual'!$AD$2&amp;"*FangerPMV(Hourly)",'Eplus results'!$1:$1048576,ROW(),FALSE)</f>
        <v>0</v>
      </c>
      <c r="AD1072" s="580">
        <f t="shared" si="116"/>
        <v>5</v>
      </c>
      <c r="AE1072" s="580">
        <f t="shared" si="117"/>
        <v>2.5</v>
      </c>
      <c r="AF1072" s="580">
        <f t="shared" si="118"/>
        <v>2.5</v>
      </c>
      <c r="AG1072" s="580">
        <f t="shared" si="119"/>
        <v>0</v>
      </c>
      <c r="AH1072" s="580">
        <f t="shared" si="120"/>
        <v>0</v>
      </c>
    </row>
    <row r="1073" spans="28:34">
      <c r="AB1073" s="580">
        <f>HLOOKUP("*"&amp;'Output annual'!$AC$2&amp;'Output annual'!$AD$2&amp;"*Zone People Number Of Occupants [](Hourly)",'Eplus results'!$1:$1048576,ROW(),FALSE)</f>
        <v>0</v>
      </c>
      <c r="AC1073" s="580">
        <f>HLOOKUP("*"&amp;'Output annual'!$AC$2&amp;'Output annual'!$AD$2&amp;"*FangerPMV(Hourly)",'Eplus results'!$1:$1048576,ROW(),FALSE)</f>
        <v>0</v>
      </c>
      <c r="AD1073" s="580">
        <f t="shared" si="116"/>
        <v>5</v>
      </c>
      <c r="AE1073" s="580">
        <f t="shared" si="117"/>
        <v>2.5</v>
      </c>
      <c r="AF1073" s="580">
        <f t="shared" si="118"/>
        <v>2.5</v>
      </c>
      <c r="AG1073" s="580">
        <f t="shared" si="119"/>
        <v>0</v>
      </c>
      <c r="AH1073" s="580">
        <f t="shared" si="120"/>
        <v>0</v>
      </c>
    </row>
    <row r="1074" spans="28:34">
      <c r="AB1074" s="580">
        <f>HLOOKUP("*"&amp;'Output annual'!$AC$2&amp;'Output annual'!$AD$2&amp;"*Zone People Number Of Occupants [](Hourly)",'Eplus results'!$1:$1048576,ROW(),FALSE)</f>
        <v>0</v>
      </c>
      <c r="AC1074" s="580">
        <f>HLOOKUP("*"&amp;'Output annual'!$AC$2&amp;'Output annual'!$AD$2&amp;"*FangerPMV(Hourly)",'Eplus results'!$1:$1048576,ROW(),FALSE)</f>
        <v>0</v>
      </c>
      <c r="AD1074" s="580">
        <f t="shared" si="116"/>
        <v>5</v>
      </c>
      <c r="AE1074" s="580">
        <f t="shared" si="117"/>
        <v>2.5</v>
      </c>
      <c r="AF1074" s="580">
        <f t="shared" si="118"/>
        <v>2.5</v>
      </c>
      <c r="AG1074" s="580">
        <f t="shared" si="119"/>
        <v>0</v>
      </c>
      <c r="AH1074" s="580">
        <f t="shared" si="120"/>
        <v>0</v>
      </c>
    </row>
    <row r="1075" spans="28:34">
      <c r="AB1075" s="580">
        <f>HLOOKUP("*"&amp;'Output annual'!$AC$2&amp;'Output annual'!$AD$2&amp;"*Zone People Number Of Occupants [](Hourly)",'Eplus results'!$1:$1048576,ROW(),FALSE)</f>
        <v>0</v>
      </c>
      <c r="AC1075" s="580">
        <f>HLOOKUP("*"&amp;'Output annual'!$AC$2&amp;'Output annual'!$AD$2&amp;"*FangerPMV(Hourly)",'Eplus results'!$1:$1048576,ROW(),FALSE)</f>
        <v>0</v>
      </c>
      <c r="AD1075" s="580">
        <f t="shared" si="116"/>
        <v>5</v>
      </c>
      <c r="AE1075" s="580">
        <f t="shared" si="117"/>
        <v>2.5</v>
      </c>
      <c r="AF1075" s="580">
        <f t="shared" si="118"/>
        <v>2.5</v>
      </c>
      <c r="AG1075" s="580">
        <f t="shared" si="119"/>
        <v>0</v>
      </c>
      <c r="AH1075" s="580">
        <f t="shared" si="120"/>
        <v>0</v>
      </c>
    </row>
    <row r="1076" spans="28:34">
      <c r="AB1076" s="580">
        <f>HLOOKUP("*"&amp;'Output annual'!$AC$2&amp;'Output annual'!$AD$2&amp;"*Zone People Number Of Occupants [](Hourly)",'Eplus results'!$1:$1048576,ROW(),FALSE)</f>
        <v>0</v>
      </c>
      <c r="AC1076" s="580">
        <f>HLOOKUP("*"&amp;'Output annual'!$AC$2&amp;'Output annual'!$AD$2&amp;"*FangerPMV(Hourly)",'Eplus results'!$1:$1048576,ROW(),FALSE)</f>
        <v>0</v>
      </c>
      <c r="AD1076" s="580">
        <f t="shared" si="116"/>
        <v>5</v>
      </c>
      <c r="AE1076" s="580">
        <f t="shared" si="117"/>
        <v>2.5</v>
      </c>
      <c r="AF1076" s="580">
        <f t="shared" si="118"/>
        <v>2.5</v>
      </c>
      <c r="AG1076" s="580">
        <f t="shared" si="119"/>
        <v>0</v>
      </c>
      <c r="AH1076" s="580">
        <f t="shared" si="120"/>
        <v>0</v>
      </c>
    </row>
    <row r="1077" spans="28:34">
      <c r="AB1077" s="580">
        <f>HLOOKUP("*"&amp;'Output annual'!$AC$2&amp;'Output annual'!$AD$2&amp;"*Zone People Number Of Occupants [](Hourly)",'Eplus results'!$1:$1048576,ROW(),FALSE)</f>
        <v>0</v>
      </c>
      <c r="AC1077" s="580">
        <f>HLOOKUP("*"&amp;'Output annual'!$AC$2&amp;'Output annual'!$AD$2&amp;"*FangerPMV(Hourly)",'Eplus results'!$1:$1048576,ROW(),FALSE)</f>
        <v>0</v>
      </c>
      <c r="AD1077" s="580">
        <f t="shared" si="116"/>
        <v>5</v>
      </c>
      <c r="AE1077" s="580">
        <f t="shared" si="117"/>
        <v>2.5</v>
      </c>
      <c r="AF1077" s="580">
        <f t="shared" si="118"/>
        <v>2.5</v>
      </c>
      <c r="AG1077" s="580">
        <f t="shared" si="119"/>
        <v>0</v>
      </c>
      <c r="AH1077" s="580">
        <f t="shared" si="120"/>
        <v>0</v>
      </c>
    </row>
    <row r="1078" spans="28:34">
      <c r="AB1078" s="580">
        <f>HLOOKUP("*"&amp;'Output annual'!$AC$2&amp;'Output annual'!$AD$2&amp;"*Zone People Number Of Occupants [](Hourly)",'Eplus results'!$1:$1048576,ROW(),FALSE)</f>
        <v>0</v>
      </c>
      <c r="AC1078" s="580">
        <f>HLOOKUP("*"&amp;'Output annual'!$AC$2&amp;'Output annual'!$AD$2&amp;"*FangerPMV(Hourly)",'Eplus results'!$1:$1048576,ROW(),FALSE)</f>
        <v>0</v>
      </c>
      <c r="AD1078" s="580">
        <f t="shared" si="116"/>
        <v>5</v>
      </c>
      <c r="AE1078" s="580">
        <f t="shared" si="117"/>
        <v>2.5</v>
      </c>
      <c r="AF1078" s="580">
        <f t="shared" si="118"/>
        <v>2.5</v>
      </c>
      <c r="AG1078" s="580">
        <f t="shared" si="119"/>
        <v>0</v>
      </c>
      <c r="AH1078" s="580">
        <f t="shared" si="120"/>
        <v>0</v>
      </c>
    </row>
    <row r="1079" spans="28:34">
      <c r="AB1079" s="580">
        <f>HLOOKUP("*"&amp;'Output annual'!$AC$2&amp;'Output annual'!$AD$2&amp;"*Zone People Number Of Occupants [](Hourly)",'Eplus results'!$1:$1048576,ROW(),FALSE)</f>
        <v>0</v>
      </c>
      <c r="AC1079" s="580">
        <f>HLOOKUP("*"&amp;'Output annual'!$AC$2&amp;'Output annual'!$AD$2&amp;"*FangerPMV(Hourly)",'Eplus results'!$1:$1048576,ROW(),FALSE)</f>
        <v>0</v>
      </c>
      <c r="AD1079" s="580">
        <f t="shared" si="116"/>
        <v>5</v>
      </c>
      <c r="AE1079" s="580">
        <f t="shared" si="117"/>
        <v>2.5</v>
      </c>
      <c r="AF1079" s="580">
        <f t="shared" si="118"/>
        <v>2.5</v>
      </c>
      <c r="AG1079" s="580">
        <f t="shared" si="119"/>
        <v>0</v>
      </c>
      <c r="AH1079" s="580">
        <f t="shared" si="120"/>
        <v>0</v>
      </c>
    </row>
    <row r="1080" spans="28:34">
      <c r="AB1080" s="580">
        <f>HLOOKUP("*"&amp;'Output annual'!$AC$2&amp;'Output annual'!$AD$2&amp;"*Zone People Number Of Occupants [](Hourly)",'Eplus results'!$1:$1048576,ROW(),FALSE)</f>
        <v>0</v>
      </c>
      <c r="AC1080" s="580">
        <f>HLOOKUP("*"&amp;'Output annual'!$AC$2&amp;'Output annual'!$AD$2&amp;"*FangerPMV(Hourly)",'Eplus results'!$1:$1048576,ROW(),FALSE)</f>
        <v>0</v>
      </c>
      <c r="AD1080" s="580">
        <f t="shared" si="116"/>
        <v>5</v>
      </c>
      <c r="AE1080" s="580">
        <f t="shared" si="117"/>
        <v>2.5</v>
      </c>
      <c r="AF1080" s="580">
        <f t="shared" si="118"/>
        <v>2.5</v>
      </c>
      <c r="AG1080" s="580">
        <f t="shared" si="119"/>
        <v>0</v>
      </c>
      <c r="AH1080" s="580">
        <f t="shared" si="120"/>
        <v>0</v>
      </c>
    </row>
    <row r="1081" spans="28:34">
      <c r="AB1081" s="580">
        <f>HLOOKUP("*"&amp;'Output annual'!$AC$2&amp;'Output annual'!$AD$2&amp;"*Zone People Number Of Occupants [](Hourly)",'Eplus results'!$1:$1048576,ROW(),FALSE)</f>
        <v>0</v>
      </c>
      <c r="AC1081" s="580">
        <f>HLOOKUP("*"&amp;'Output annual'!$AC$2&amp;'Output annual'!$AD$2&amp;"*FangerPMV(Hourly)",'Eplus results'!$1:$1048576,ROW(),FALSE)</f>
        <v>0</v>
      </c>
      <c r="AD1081" s="580">
        <f t="shared" si="116"/>
        <v>5</v>
      </c>
      <c r="AE1081" s="580">
        <f t="shared" si="117"/>
        <v>2.5</v>
      </c>
      <c r="AF1081" s="580">
        <f t="shared" si="118"/>
        <v>2.5</v>
      </c>
      <c r="AG1081" s="580">
        <f t="shared" si="119"/>
        <v>0</v>
      </c>
      <c r="AH1081" s="580">
        <f t="shared" si="120"/>
        <v>0</v>
      </c>
    </row>
    <row r="1082" spans="28:34">
      <c r="AB1082" s="580">
        <f>HLOOKUP("*"&amp;'Output annual'!$AC$2&amp;'Output annual'!$AD$2&amp;"*Zone People Number Of Occupants [](Hourly)",'Eplus results'!$1:$1048576,ROW(),FALSE)</f>
        <v>0</v>
      </c>
      <c r="AC1082" s="580">
        <f>HLOOKUP("*"&amp;'Output annual'!$AC$2&amp;'Output annual'!$AD$2&amp;"*FangerPMV(Hourly)",'Eplus results'!$1:$1048576,ROW(),FALSE)</f>
        <v>0</v>
      </c>
      <c r="AD1082" s="580">
        <f t="shared" si="116"/>
        <v>5</v>
      </c>
      <c r="AE1082" s="580">
        <f t="shared" si="117"/>
        <v>2.5</v>
      </c>
      <c r="AF1082" s="580">
        <f t="shared" si="118"/>
        <v>2.5</v>
      </c>
      <c r="AG1082" s="580">
        <f t="shared" si="119"/>
        <v>0</v>
      </c>
      <c r="AH1082" s="580">
        <f t="shared" si="120"/>
        <v>0</v>
      </c>
    </row>
    <row r="1083" spans="28:34">
      <c r="AB1083" s="580">
        <f>HLOOKUP("*"&amp;'Output annual'!$AC$2&amp;'Output annual'!$AD$2&amp;"*Zone People Number Of Occupants [](Hourly)",'Eplus results'!$1:$1048576,ROW(),FALSE)</f>
        <v>0</v>
      </c>
      <c r="AC1083" s="580">
        <f>HLOOKUP("*"&amp;'Output annual'!$AC$2&amp;'Output annual'!$AD$2&amp;"*FangerPMV(Hourly)",'Eplus results'!$1:$1048576,ROW(),FALSE)</f>
        <v>0</v>
      </c>
      <c r="AD1083" s="580">
        <f t="shared" si="116"/>
        <v>5</v>
      </c>
      <c r="AE1083" s="580">
        <f t="shared" si="117"/>
        <v>2.5</v>
      </c>
      <c r="AF1083" s="580">
        <f t="shared" si="118"/>
        <v>2.5</v>
      </c>
      <c r="AG1083" s="580">
        <f t="shared" si="119"/>
        <v>0</v>
      </c>
      <c r="AH1083" s="580">
        <f t="shared" si="120"/>
        <v>0</v>
      </c>
    </row>
    <row r="1084" spans="28:34">
      <c r="AB1084" s="580">
        <f>HLOOKUP("*"&amp;'Output annual'!$AC$2&amp;'Output annual'!$AD$2&amp;"*Zone People Number Of Occupants [](Hourly)",'Eplus results'!$1:$1048576,ROW(),FALSE)</f>
        <v>0</v>
      </c>
      <c r="AC1084" s="580">
        <f>HLOOKUP("*"&amp;'Output annual'!$AC$2&amp;'Output annual'!$AD$2&amp;"*FangerPMV(Hourly)",'Eplus results'!$1:$1048576,ROW(),FALSE)</f>
        <v>0</v>
      </c>
      <c r="AD1084" s="580">
        <f t="shared" si="116"/>
        <v>5</v>
      </c>
      <c r="AE1084" s="580">
        <f t="shared" si="117"/>
        <v>2.5</v>
      </c>
      <c r="AF1084" s="580">
        <f t="shared" si="118"/>
        <v>2.5</v>
      </c>
      <c r="AG1084" s="580">
        <f t="shared" si="119"/>
        <v>0</v>
      </c>
      <c r="AH1084" s="580">
        <f t="shared" si="120"/>
        <v>0</v>
      </c>
    </row>
    <row r="1085" spans="28:34">
      <c r="AB1085" s="580">
        <f>HLOOKUP("*"&amp;'Output annual'!$AC$2&amp;'Output annual'!$AD$2&amp;"*Zone People Number Of Occupants [](Hourly)",'Eplus results'!$1:$1048576,ROW(),FALSE)</f>
        <v>0</v>
      </c>
      <c r="AC1085" s="580">
        <f>HLOOKUP("*"&amp;'Output annual'!$AC$2&amp;'Output annual'!$AD$2&amp;"*FangerPMV(Hourly)",'Eplus results'!$1:$1048576,ROW(),FALSE)</f>
        <v>0</v>
      </c>
      <c r="AD1085" s="580">
        <f t="shared" si="116"/>
        <v>5</v>
      </c>
      <c r="AE1085" s="580">
        <f t="shared" si="117"/>
        <v>2.5</v>
      </c>
      <c r="AF1085" s="580">
        <f t="shared" si="118"/>
        <v>2.5</v>
      </c>
      <c r="AG1085" s="580">
        <f t="shared" si="119"/>
        <v>0</v>
      </c>
      <c r="AH1085" s="580">
        <f t="shared" si="120"/>
        <v>0</v>
      </c>
    </row>
    <row r="1086" spans="28:34">
      <c r="AB1086" s="580">
        <f>HLOOKUP("*"&amp;'Output annual'!$AC$2&amp;'Output annual'!$AD$2&amp;"*Zone People Number Of Occupants [](Hourly)",'Eplus results'!$1:$1048576,ROW(),FALSE)</f>
        <v>0</v>
      </c>
      <c r="AC1086" s="580">
        <f>HLOOKUP("*"&amp;'Output annual'!$AC$2&amp;'Output annual'!$AD$2&amp;"*FangerPMV(Hourly)",'Eplus results'!$1:$1048576,ROW(),FALSE)</f>
        <v>0</v>
      </c>
      <c r="AD1086" s="580">
        <f t="shared" si="116"/>
        <v>5</v>
      </c>
      <c r="AE1086" s="580">
        <f t="shared" si="117"/>
        <v>2.5</v>
      </c>
      <c r="AF1086" s="580">
        <f t="shared" si="118"/>
        <v>2.5</v>
      </c>
      <c r="AG1086" s="580">
        <f t="shared" si="119"/>
        <v>0</v>
      </c>
      <c r="AH1086" s="580">
        <f t="shared" si="120"/>
        <v>0</v>
      </c>
    </row>
    <row r="1087" spans="28:34">
      <c r="AB1087" s="580">
        <f>HLOOKUP("*"&amp;'Output annual'!$AC$2&amp;'Output annual'!$AD$2&amp;"*Zone People Number Of Occupants [](Hourly)",'Eplus results'!$1:$1048576,ROW(),FALSE)</f>
        <v>0</v>
      </c>
      <c r="AC1087" s="580">
        <f>HLOOKUP("*"&amp;'Output annual'!$AC$2&amp;'Output annual'!$AD$2&amp;"*FangerPMV(Hourly)",'Eplus results'!$1:$1048576,ROW(),FALSE)</f>
        <v>0</v>
      </c>
      <c r="AD1087" s="580">
        <f t="shared" si="116"/>
        <v>5</v>
      </c>
      <c r="AE1087" s="580">
        <f t="shared" si="117"/>
        <v>2.5</v>
      </c>
      <c r="AF1087" s="580">
        <f t="shared" si="118"/>
        <v>2.5</v>
      </c>
      <c r="AG1087" s="580">
        <f t="shared" si="119"/>
        <v>0</v>
      </c>
      <c r="AH1087" s="580">
        <f t="shared" si="120"/>
        <v>0</v>
      </c>
    </row>
    <row r="1088" spans="28:34">
      <c r="AB1088" s="580">
        <f>HLOOKUP("*"&amp;'Output annual'!$AC$2&amp;'Output annual'!$AD$2&amp;"*Zone People Number Of Occupants [](Hourly)",'Eplus results'!$1:$1048576,ROW(),FALSE)</f>
        <v>0</v>
      </c>
      <c r="AC1088" s="580">
        <f>HLOOKUP("*"&amp;'Output annual'!$AC$2&amp;'Output annual'!$AD$2&amp;"*FangerPMV(Hourly)",'Eplus results'!$1:$1048576,ROW(),FALSE)</f>
        <v>0</v>
      </c>
      <c r="AD1088" s="580">
        <f t="shared" si="116"/>
        <v>5</v>
      </c>
      <c r="AE1088" s="580">
        <f t="shared" si="117"/>
        <v>2.5</v>
      </c>
      <c r="AF1088" s="580">
        <f t="shared" si="118"/>
        <v>2.5</v>
      </c>
      <c r="AG1088" s="580">
        <f t="shared" si="119"/>
        <v>0</v>
      </c>
      <c r="AH1088" s="580">
        <f t="shared" si="120"/>
        <v>0</v>
      </c>
    </row>
    <row r="1089" spans="28:34">
      <c r="AB1089" s="580">
        <f>HLOOKUP("*"&amp;'Output annual'!$AC$2&amp;'Output annual'!$AD$2&amp;"*Zone People Number Of Occupants [](Hourly)",'Eplus results'!$1:$1048576,ROW(),FALSE)</f>
        <v>0</v>
      </c>
      <c r="AC1089" s="580">
        <f>HLOOKUP("*"&amp;'Output annual'!$AC$2&amp;'Output annual'!$AD$2&amp;"*FangerPMV(Hourly)",'Eplus results'!$1:$1048576,ROW(),FALSE)</f>
        <v>0</v>
      </c>
      <c r="AD1089" s="580">
        <f t="shared" si="116"/>
        <v>5</v>
      </c>
      <c r="AE1089" s="580">
        <f t="shared" si="117"/>
        <v>2.5</v>
      </c>
      <c r="AF1089" s="580">
        <f t="shared" si="118"/>
        <v>2.5</v>
      </c>
      <c r="AG1089" s="580">
        <f t="shared" si="119"/>
        <v>0</v>
      </c>
      <c r="AH1089" s="580">
        <f t="shared" si="120"/>
        <v>0</v>
      </c>
    </row>
    <row r="1090" spans="28:34">
      <c r="AB1090" s="580">
        <f>HLOOKUP("*"&amp;'Output annual'!$AC$2&amp;'Output annual'!$AD$2&amp;"*Zone People Number Of Occupants [](Hourly)",'Eplus results'!$1:$1048576,ROW(),FALSE)</f>
        <v>0</v>
      </c>
      <c r="AC1090" s="580">
        <f>HLOOKUP("*"&amp;'Output annual'!$AC$2&amp;'Output annual'!$AD$2&amp;"*FangerPMV(Hourly)",'Eplus results'!$1:$1048576,ROW(),FALSE)</f>
        <v>0</v>
      </c>
      <c r="AD1090" s="580">
        <f t="shared" si="116"/>
        <v>5</v>
      </c>
      <c r="AE1090" s="580">
        <f t="shared" si="117"/>
        <v>2.5</v>
      </c>
      <c r="AF1090" s="580">
        <f t="shared" si="118"/>
        <v>2.5</v>
      </c>
      <c r="AG1090" s="580">
        <f t="shared" si="119"/>
        <v>0</v>
      </c>
      <c r="AH1090" s="580">
        <f t="shared" si="120"/>
        <v>0</v>
      </c>
    </row>
    <row r="1091" spans="28:34">
      <c r="AB1091" s="580">
        <f>HLOOKUP("*"&amp;'Output annual'!$AC$2&amp;'Output annual'!$AD$2&amp;"*Zone People Number Of Occupants [](Hourly)",'Eplus results'!$1:$1048576,ROW(),FALSE)</f>
        <v>0</v>
      </c>
      <c r="AC1091" s="580">
        <f>HLOOKUP("*"&amp;'Output annual'!$AC$2&amp;'Output annual'!$AD$2&amp;"*FangerPMV(Hourly)",'Eplus results'!$1:$1048576,ROW(),FALSE)</f>
        <v>0</v>
      </c>
      <c r="AD1091" s="580">
        <f t="shared" ref="AD1091:AD1154" si="121">100-95*EXP(-0.03353*AC1091^4-0.2179*AC1091^2)</f>
        <v>5</v>
      </c>
      <c r="AE1091" s="580">
        <f t="shared" ref="AE1091:AE1154" si="122">AD1091*(1/(1+EXP(-6.3*$AC1091)))</f>
        <v>2.5</v>
      </c>
      <c r="AF1091" s="580">
        <f t="shared" ref="AF1091:AF1154" si="123">(AD1091-AE1091)</f>
        <v>2.5</v>
      </c>
      <c r="AG1091" s="580">
        <f t="shared" ref="AG1091:AG1154" si="124">AE1091*AB1091</f>
        <v>0</v>
      </c>
      <c r="AH1091" s="580">
        <f t="shared" ref="AH1091:AH1154" si="125">AF1091*AB1091</f>
        <v>0</v>
      </c>
    </row>
    <row r="1092" spans="28:34">
      <c r="AB1092" s="580">
        <f>HLOOKUP("*"&amp;'Output annual'!$AC$2&amp;'Output annual'!$AD$2&amp;"*Zone People Number Of Occupants [](Hourly)",'Eplus results'!$1:$1048576,ROW(),FALSE)</f>
        <v>0</v>
      </c>
      <c r="AC1092" s="580">
        <f>HLOOKUP("*"&amp;'Output annual'!$AC$2&amp;'Output annual'!$AD$2&amp;"*FangerPMV(Hourly)",'Eplus results'!$1:$1048576,ROW(),FALSE)</f>
        <v>0</v>
      </c>
      <c r="AD1092" s="580">
        <f t="shared" si="121"/>
        <v>5</v>
      </c>
      <c r="AE1092" s="580">
        <f t="shared" si="122"/>
        <v>2.5</v>
      </c>
      <c r="AF1092" s="580">
        <f t="shared" si="123"/>
        <v>2.5</v>
      </c>
      <c r="AG1092" s="580">
        <f t="shared" si="124"/>
        <v>0</v>
      </c>
      <c r="AH1092" s="580">
        <f t="shared" si="125"/>
        <v>0</v>
      </c>
    </row>
    <row r="1093" spans="28:34">
      <c r="AB1093" s="580">
        <f>HLOOKUP("*"&amp;'Output annual'!$AC$2&amp;'Output annual'!$AD$2&amp;"*Zone People Number Of Occupants [](Hourly)",'Eplus results'!$1:$1048576,ROW(),FALSE)</f>
        <v>0</v>
      </c>
      <c r="AC1093" s="580">
        <f>HLOOKUP("*"&amp;'Output annual'!$AC$2&amp;'Output annual'!$AD$2&amp;"*FangerPMV(Hourly)",'Eplus results'!$1:$1048576,ROW(),FALSE)</f>
        <v>0</v>
      </c>
      <c r="AD1093" s="580">
        <f t="shared" si="121"/>
        <v>5</v>
      </c>
      <c r="AE1093" s="580">
        <f t="shared" si="122"/>
        <v>2.5</v>
      </c>
      <c r="AF1093" s="580">
        <f t="shared" si="123"/>
        <v>2.5</v>
      </c>
      <c r="AG1093" s="580">
        <f t="shared" si="124"/>
        <v>0</v>
      </c>
      <c r="AH1093" s="580">
        <f t="shared" si="125"/>
        <v>0</v>
      </c>
    </row>
    <row r="1094" spans="28:34">
      <c r="AB1094" s="580">
        <f>HLOOKUP("*"&amp;'Output annual'!$AC$2&amp;'Output annual'!$AD$2&amp;"*Zone People Number Of Occupants [](Hourly)",'Eplus results'!$1:$1048576,ROW(),FALSE)</f>
        <v>0</v>
      </c>
      <c r="AC1094" s="580">
        <f>HLOOKUP("*"&amp;'Output annual'!$AC$2&amp;'Output annual'!$AD$2&amp;"*FangerPMV(Hourly)",'Eplus results'!$1:$1048576,ROW(),FALSE)</f>
        <v>0</v>
      </c>
      <c r="AD1094" s="580">
        <f t="shared" si="121"/>
        <v>5</v>
      </c>
      <c r="AE1094" s="580">
        <f t="shared" si="122"/>
        <v>2.5</v>
      </c>
      <c r="AF1094" s="580">
        <f t="shared" si="123"/>
        <v>2.5</v>
      </c>
      <c r="AG1094" s="580">
        <f t="shared" si="124"/>
        <v>0</v>
      </c>
      <c r="AH1094" s="580">
        <f t="shared" si="125"/>
        <v>0</v>
      </c>
    </row>
    <row r="1095" spans="28:34">
      <c r="AB1095" s="580">
        <f>HLOOKUP("*"&amp;'Output annual'!$AC$2&amp;'Output annual'!$AD$2&amp;"*Zone People Number Of Occupants [](Hourly)",'Eplus results'!$1:$1048576,ROW(),FALSE)</f>
        <v>0</v>
      </c>
      <c r="AC1095" s="580">
        <f>HLOOKUP("*"&amp;'Output annual'!$AC$2&amp;'Output annual'!$AD$2&amp;"*FangerPMV(Hourly)",'Eplus results'!$1:$1048576,ROW(),FALSE)</f>
        <v>0</v>
      </c>
      <c r="AD1095" s="580">
        <f t="shared" si="121"/>
        <v>5</v>
      </c>
      <c r="AE1095" s="580">
        <f t="shared" si="122"/>
        <v>2.5</v>
      </c>
      <c r="AF1095" s="580">
        <f t="shared" si="123"/>
        <v>2.5</v>
      </c>
      <c r="AG1095" s="580">
        <f t="shared" si="124"/>
        <v>0</v>
      </c>
      <c r="AH1095" s="580">
        <f t="shared" si="125"/>
        <v>0</v>
      </c>
    </row>
    <row r="1096" spans="28:34">
      <c r="AB1096" s="580">
        <f>HLOOKUP("*"&amp;'Output annual'!$AC$2&amp;'Output annual'!$AD$2&amp;"*Zone People Number Of Occupants [](Hourly)",'Eplus results'!$1:$1048576,ROW(),FALSE)</f>
        <v>0</v>
      </c>
      <c r="AC1096" s="580">
        <f>HLOOKUP("*"&amp;'Output annual'!$AC$2&amp;'Output annual'!$AD$2&amp;"*FangerPMV(Hourly)",'Eplus results'!$1:$1048576,ROW(),FALSE)</f>
        <v>0</v>
      </c>
      <c r="AD1096" s="580">
        <f t="shared" si="121"/>
        <v>5</v>
      </c>
      <c r="AE1096" s="580">
        <f t="shared" si="122"/>
        <v>2.5</v>
      </c>
      <c r="AF1096" s="580">
        <f t="shared" si="123"/>
        <v>2.5</v>
      </c>
      <c r="AG1096" s="580">
        <f t="shared" si="124"/>
        <v>0</v>
      </c>
      <c r="AH1096" s="580">
        <f t="shared" si="125"/>
        <v>0</v>
      </c>
    </row>
    <row r="1097" spans="28:34">
      <c r="AB1097" s="580">
        <f>HLOOKUP("*"&amp;'Output annual'!$AC$2&amp;'Output annual'!$AD$2&amp;"*Zone People Number Of Occupants [](Hourly)",'Eplus results'!$1:$1048576,ROW(),FALSE)</f>
        <v>0</v>
      </c>
      <c r="AC1097" s="580">
        <f>HLOOKUP("*"&amp;'Output annual'!$AC$2&amp;'Output annual'!$AD$2&amp;"*FangerPMV(Hourly)",'Eplus results'!$1:$1048576,ROW(),FALSE)</f>
        <v>0</v>
      </c>
      <c r="AD1097" s="580">
        <f t="shared" si="121"/>
        <v>5</v>
      </c>
      <c r="AE1097" s="580">
        <f t="shared" si="122"/>
        <v>2.5</v>
      </c>
      <c r="AF1097" s="580">
        <f t="shared" si="123"/>
        <v>2.5</v>
      </c>
      <c r="AG1097" s="580">
        <f t="shared" si="124"/>
        <v>0</v>
      </c>
      <c r="AH1097" s="580">
        <f t="shared" si="125"/>
        <v>0</v>
      </c>
    </row>
    <row r="1098" spans="28:34">
      <c r="AB1098" s="580">
        <f>HLOOKUP("*"&amp;'Output annual'!$AC$2&amp;'Output annual'!$AD$2&amp;"*Zone People Number Of Occupants [](Hourly)",'Eplus results'!$1:$1048576,ROW(),FALSE)</f>
        <v>0</v>
      </c>
      <c r="AC1098" s="580">
        <f>HLOOKUP("*"&amp;'Output annual'!$AC$2&amp;'Output annual'!$AD$2&amp;"*FangerPMV(Hourly)",'Eplus results'!$1:$1048576,ROW(),FALSE)</f>
        <v>0</v>
      </c>
      <c r="AD1098" s="580">
        <f t="shared" si="121"/>
        <v>5</v>
      </c>
      <c r="AE1098" s="580">
        <f t="shared" si="122"/>
        <v>2.5</v>
      </c>
      <c r="AF1098" s="580">
        <f t="shared" si="123"/>
        <v>2.5</v>
      </c>
      <c r="AG1098" s="580">
        <f t="shared" si="124"/>
        <v>0</v>
      </c>
      <c r="AH1098" s="580">
        <f t="shared" si="125"/>
        <v>0</v>
      </c>
    </row>
    <row r="1099" spans="28:34">
      <c r="AB1099" s="580">
        <f>HLOOKUP("*"&amp;'Output annual'!$AC$2&amp;'Output annual'!$AD$2&amp;"*Zone People Number Of Occupants [](Hourly)",'Eplus results'!$1:$1048576,ROW(),FALSE)</f>
        <v>0</v>
      </c>
      <c r="AC1099" s="580">
        <f>HLOOKUP("*"&amp;'Output annual'!$AC$2&amp;'Output annual'!$AD$2&amp;"*FangerPMV(Hourly)",'Eplus results'!$1:$1048576,ROW(),FALSE)</f>
        <v>0</v>
      </c>
      <c r="AD1099" s="580">
        <f t="shared" si="121"/>
        <v>5</v>
      </c>
      <c r="AE1099" s="580">
        <f t="shared" si="122"/>
        <v>2.5</v>
      </c>
      <c r="AF1099" s="580">
        <f t="shared" si="123"/>
        <v>2.5</v>
      </c>
      <c r="AG1099" s="580">
        <f t="shared" si="124"/>
        <v>0</v>
      </c>
      <c r="AH1099" s="580">
        <f t="shared" si="125"/>
        <v>0</v>
      </c>
    </row>
    <row r="1100" spans="28:34">
      <c r="AB1100" s="580">
        <f>HLOOKUP("*"&amp;'Output annual'!$AC$2&amp;'Output annual'!$AD$2&amp;"*Zone People Number Of Occupants [](Hourly)",'Eplus results'!$1:$1048576,ROW(),FALSE)</f>
        <v>0</v>
      </c>
      <c r="AC1100" s="580">
        <f>HLOOKUP("*"&amp;'Output annual'!$AC$2&amp;'Output annual'!$AD$2&amp;"*FangerPMV(Hourly)",'Eplus results'!$1:$1048576,ROW(),FALSE)</f>
        <v>0</v>
      </c>
      <c r="AD1100" s="580">
        <f t="shared" si="121"/>
        <v>5</v>
      </c>
      <c r="AE1100" s="580">
        <f t="shared" si="122"/>
        <v>2.5</v>
      </c>
      <c r="AF1100" s="580">
        <f t="shared" si="123"/>
        <v>2.5</v>
      </c>
      <c r="AG1100" s="580">
        <f t="shared" si="124"/>
        <v>0</v>
      </c>
      <c r="AH1100" s="580">
        <f t="shared" si="125"/>
        <v>0</v>
      </c>
    </row>
    <row r="1101" spans="28:34">
      <c r="AB1101" s="580">
        <f>HLOOKUP("*"&amp;'Output annual'!$AC$2&amp;'Output annual'!$AD$2&amp;"*Zone People Number Of Occupants [](Hourly)",'Eplus results'!$1:$1048576,ROW(),FALSE)</f>
        <v>0</v>
      </c>
      <c r="AC1101" s="580">
        <f>HLOOKUP("*"&amp;'Output annual'!$AC$2&amp;'Output annual'!$AD$2&amp;"*FangerPMV(Hourly)",'Eplus results'!$1:$1048576,ROW(),FALSE)</f>
        <v>0</v>
      </c>
      <c r="AD1101" s="580">
        <f t="shared" si="121"/>
        <v>5</v>
      </c>
      <c r="AE1101" s="580">
        <f t="shared" si="122"/>
        <v>2.5</v>
      </c>
      <c r="AF1101" s="580">
        <f t="shared" si="123"/>
        <v>2.5</v>
      </c>
      <c r="AG1101" s="580">
        <f t="shared" si="124"/>
        <v>0</v>
      </c>
      <c r="AH1101" s="580">
        <f t="shared" si="125"/>
        <v>0</v>
      </c>
    </row>
    <row r="1102" spans="28:34">
      <c r="AB1102" s="580">
        <f>HLOOKUP("*"&amp;'Output annual'!$AC$2&amp;'Output annual'!$AD$2&amp;"*Zone People Number Of Occupants [](Hourly)",'Eplus results'!$1:$1048576,ROW(),FALSE)</f>
        <v>0</v>
      </c>
      <c r="AC1102" s="580">
        <f>HLOOKUP("*"&amp;'Output annual'!$AC$2&amp;'Output annual'!$AD$2&amp;"*FangerPMV(Hourly)",'Eplus results'!$1:$1048576,ROW(),FALSE)</f>
        <v>0</v>
      </c>
      <c r="AD1102" s="580">
        <f t="shared" si="121"/>
        <v>5</v>
      </c>
      <c r="AE1102" s="580">
        <f t="shared" si="122"/>
        <v>2.5</v>
      </c>
      <c r="AF1102" s="580">
        <f t="shared" si="123"/>
        <v>2.5</v>
      </c>
      <c r="AG1102" s="580">
        <f t="shared" si="124"/>
        <v>0</v>
      </c>
      <c r="AH1102" s="580">
        <f t="shared" si="125"/>
        <v>0</v>
      </c>
    </row>
    <row r="1103" spans="28:34">
      <c r="AB1103" s="580">
        <f>HLOOKUP("*"&amp;'Output annual'!$AC$2&amp;'Output annual'!$AD$2&amp;"*Zone People Number Of Occupants [](Hourly)",'Eplus results'!$1:$1048576,ROW(),FALSE)</f>
        <v>0</v>
      </c>
      <c r="AC1103" s="580">
        <f>HLOOKUP("*"&amp;'Output annual'!$AC$2&amp;'Output annual'!$AD$2&amp;"*FangerPMV(Hourly)",'Eplus results'!$1:$1048576,ROW(),FALSE)</f>
        <v>0</v>
      </c>
      <c r="AD1103" s="580">
        <f t="shared" si="121"/>
        <v>5</v>
      </c>
      <c r="AE1103" s="580">
        <f t="shared" si="122"/>
        <v>2.5</v>
      </c>
      <c r="AF1103" s="580">
        <f t="shared" si="123"/>
        <v>2.5</v>
      </c>
      <c r="AG1103" s="580">
        <f t="shared" si="124"/>
        <v>0</v>
      </c>
      <c r="AH1103" s="580">
        <f t="shared" si="125"/>
        <v>0</v>
      </c>
    </row>
    <row r="1104" spans="28:34">
      <c r="AB1104" s="580">
        <f>HLOOKUP("*"&amp;'Output annual'!$AC$2&amp;'Output annual'!$AD$2&amp;"*Zone People Number Of Occupants [](Hourly)",'Eplus results'!$1:$1048576,ROW(),FALSE)</f>
        <v>0</v>
      </c>
      <c r="AC1104" s="580">
        <f>HLOOKUP("*"&amp;'Output annual'!$AC$2&amp;'Output annual'!$AD$2&amp;"*FangerPMV(Hourly)",'Eplus results'!$1:$1048576,ROW(),FALSE)</f>
        <v>0</v>
      </c>
      <c r="AD1104" s="580">
        <f t="shared" si="121"/>
        <v>5</v>
      </c>
      <c r="AE1104" s="580">
        <f t="shared" si="122"/>
        <v>2.5</v>
      </c>
      <c r="AF1104" s="580">
        <f t="shared" si="123"/>
        <v>2.5</v>
      </c>
      <c r="AG1104" s="580">
        <f t="shared" si="124"/>
        <v>0</v>
      </c>
      <c r="AH1104" s="580">
        <f t="shared" si="125"/>
        <v>0</v>
      </c>
    </row>
    <row r="1105" spans="28:34">
      <c r="AB1105" s="580">
        <f>HLOOKUP("*"&amp;'Output annual'!$AC$2&amp;'Output annual'!$AD$2&amp;"*Zone People Number Of Occupants [](Hourly)",'Eplus results'!$1:$1048576,ROW(),FALSE)</f>
        <v>0</v>
      </c>
      <c r="AC1105" s="580">
        <f>HLOOKUP("*"&amp;'Output annual'!$AC$2&amp;'Output annual'!$AD$2&amp;"*FangerPMV(Hourly)",'Eplus results'!$1:$1048576,ROW(),FALSE)</f>
        <v>0</v>
      </c>
      <c r="AD1105" s="580">
        <f t="shared" si="121"/>
        <v>5</v>
      </c>
      <c r="AE1105" s="580">
        <f t="shared" si="122"/>
        <v>2.5</v>
      </c>
      <c r="AF1105" s="580">
        <f t="shared" si="123"/>
        <v>2.5</v>
      </c>
      <c r="AG1105" s="580">
        <f t="shared" si="124"/>
        <v>0</v>
      </c>
      <c r="AH1105" s="580">
        <f t="shared" si="125"/>
        <v>0</v>
      </c>
    </row>
    <row r="1106" spans="28:34">
      <c r="AB1106" s="580">
        <f>HLOOKUP("*"&amp;'Output annual'!$AC$2&amp;'Output annual'!$AD$2&amp;"*Zone People Number Of Occupants [](Hourly)",'Eplus results'!$1:$1048576,ROW(),FALSE)</f>
        <v>0</v>
      </c>
      <c r="AC1106" s="580">
        <f>HLOOKUP("*"&amp;'Output annual'!$AC$2&amp;'Output annual'!$AD$2&amp;"*FangerPMV(Hourly)",'Eplus results'!$1:$1048576,ROW(),FALSE)</f>
        <v>0</v>
      </c>
      <c r="AD1106" s="580">
        <f t="shared" si="121"/>
        <v>5</v>
      </c>
      <c r="AE1106" s="580">
        <f t="shared" si="122"/>
        <v>2.5</v>
      </c>
      <c r="AF1106" s="580">
        <f t="shared" si="123"/>
        <v>2.5</v>
      </c>
      <c r="AG1106" s="580">
        <f t="shared" si="124"/>
        <v>0</v>
      </c>
      <c r="AH1106" s="580">
        <f t="shared" si="125"/>
        <v>0</v>
      </c>
    </row>
    <row r="1107" spans="28:34">
      <c r="AB1107" s="580">
        <f>HLOOKUP("*"&amp;'Output annual'!$AC$2&amp;'Output annual'!$AD$2&amp;"*Zone People Number Of Occupants [](Hourly)",'Eplus results'!$1:$1048576,ROW(),FALSE)</f>
        <v>0</v>
      </c>
      <c r="AC1107" s="580">
        <f>HLOOKUP("*"&amp;'Output annual'!$AC$2&amp;'Output annual'!$AD$2&amp;"*FangerPMV(Hourly)",'Eplus results'!$1:$1048576,ROW(),FALSE)</f>
        <v>0</v>
      </c>
      <c r="AD1107" s="580">
        <f t="shared" si="121"/>
        <v>5</v>
      </c>
      <c r="AE1107" s="580">
        <f t="shared" si="122"/>
        <v>2.5</v>
      </c>
      <c r="AF1107" s="580">
        <f t="shared" si="123"/>
        <v>2.5</v>
      </c>
      <c r="AG1107" s="580">
        <f t="shared" si="124"/>
        <v>0</v>
      </c>
      <c r="AH1107" s="580">
        <f t="shared" si="125"/>
        <v>0</v>
      </c>
    </row>
    <row r="1108" spans="28:34">
      <c r="AB1108" s="580">
        <f>HLOOKUP("*"&amp;'Output annual'!$AC$2&amp;'Output annual'!$AD$2&amp;"*Zone People Number Of Occupants [](Hourly)",'Eplus results'!$1:$1048576,ROW(),FALSE)</f>
        <v>0</v>
      </c>
      <c r="AC1108" s="580">
        <f>HLOOKUP("*"&amp;'Output annual'!$AC$2&amp;'Output annual'!$AD$2&amp;"*FangerPMV(Hourly)",'Eplus results'!$1:$1048576,ROW(),FALSE)</f>
        <v>0</v>
      </c>
      <c r="AD1108" s="580">
        <f t="shared" si="121"/>
        <v>5</v>
      </c>
      <c r="AE1108" s="580">
        <f t="shared" si="122"/>
        <v>2.5</v>
      </c>
      <c r="AF1108" s="580">
        <f t="shared" si="123"/>
        <v>2.5</v>
      </c>
      <c r="AG1108" s="580">
        <f t="shared" si="124"/>
        <v>0</v>
      </c>
      <c r="AH1108" s="580">
        <f t="shared" si="125"/>
        <v>0</v>
      </c>
    </row>
    <row r="1109" spans="28:34">
      <c r="AB1109" s="580">
        <f>HLOOKUP("*"&amp;'Output annual'!$AC$2&amp;'Output annual'!$AD$2&amp;"*Zone People Number Of Occupants [](Hourly)",'Eplus results'!$1:$1048576,ROW(),FALSE)</f>
        <v>0</v>
      </c>
      <c r="AC1109" s="580">
        <f>HLOOKUP("*"&amp;'Output annual'!$AC$2&amp;'Output annual'!$AD$2&amp;"*FangerPMV(Hourly)",'Eplus results'!$1:$1048576,ROW(),FALSE)</f>
        <v>0</v>
      </c>
      <c r="AD1109" s="580">
        <f t="shared" si="121"/>
        <v>5</v>
      </c>
      <c r="AE1109" s="580">
        <f t="shared" si="122"/>
        <v>2.5</v>
      </c>
      <c r="AF1109" s="580">
        <f t="shared" si="123"/>
        <v>2.5</v>
      </c>
      <c r="AG1109" s="580">
        <f t="shared" si="124"/>
        <v>0</v>
      </c>
      <c r="AH1109" s="580">
        <f t="shared" si="125"/>
        <v>0</v>
      </c>
    </row>
    <row r="1110" spans="28:34">
      <c r="AB1110" s="580">
        <f>HLOOKUP("*"&amp;'Output annual'!$AC$2&amp;'Output annual'!$AD$2&amp;"*Zone People Number Of Occupants [](Hourly)",'Eplus results'!$1:$1048576,ROW(),FALSE)</f>
        <v>0</v>
      </c>
      <c r="AC1110" s="580">
        <f>HLOOKUP("*"&amp;'Output annual'!$AC$2&amp;'Output annual'!$AD$2&amp;"*FangerPMV(Hourly)",'Eplus results'!$1:$1048576,ROW(),FALSE)</f>
        <v>0</v>
      </c>
      <c r="AD1110" s="580">
        <f t="shared" si="121"/>
        <v>5</v>
      </c>
      <c r="AE1110" s="580">
        <f t="shared" si="122"/>
        <v>2.5</v>
      </c>
      <c r="AF1110" s="580">
        <f t="shared" si="123"/>
        <v>2.5</v>
      </c>
      <c r="AG1110" s="580">
        <f t="shared" si="124"/>
        <v>0</v>
      </c>
      <c r="AH1110" s="580">
        <f t="shared" si="125"/>
        <v>0</v>
      </c>
    </row>
    <row r="1111" spans="28:34">
      <c r="AB1111" s="580">
        <f>HLOOKUP("*"&amp;'Output annual'!$AC$2&amp;'Output annual'!$AD$2&amp;"*Zone People Number Of Occupants [](Hourly)",'Eplus results'!$1:$1048576,ROW(),FALSE)</f>
        <v>0</v>
      </c>
      <c r="AC1111" s="580">
        <f>HLOOKUP("*"&amp;'Output annual'!$AC$2&amp;'Output annual'!$AD$2&amp;"*FangerPMV(Hourly)",'Eplus results'!$1:$1048576,ROW(),FALSE)</f>
        <v>0</v>
      </c>
      <c r="AD1111" s="580">
        <f t="shared" si="121"/>
        <v>5</v>
      </c>
      <c r="AE1111" s="580">
        <f t="shared" si="122"/>
        <v>2.5</v>
      </c>
      <c r="AF1111" s="580">
        <f t="shared" si="123"/>
        <v>2.5</v>
      </c>
      <c r="AG1111" s="580">
        <f t="shared" si="124"/>
        <v>0</v>
      </c>
      <c r="AH1111" s="580">
        <f t="shared" si="125"/>
        <v>0</v>
      </c>
    </row>
    <row r="1112" spans="28:34">
      <c r="AB1112" s="580">
        <f>HLOOKUP("*"&amp;'Output annual'!$AC$2&amp;'Output annual'!$AD$2&amp;"*Zone People Number Of Occupants [](Hourly)",'Eplus results'!$1:$1048576,ROW(),FALSE)</f>
        <v>0</v>
      </c>
      <c r="AC1112" s="580">
        <f>HLOOKUP("*"&amp;'Output annual'!$AC$2&amp;'Output annual'!$AD$2&amp;"*FangerPMV(Hourly)",'Eplus results'!$1:$1048576,ROW(),FALSE)</f>
        <v>0</v>
      </c>
      <c r="AD1112" s="580">
        <f t="shared" si="121"/>
        <v>5</v>
      </c>
      <c r="AE1112" s="580">
        <f t="shared" si="122"/>
        <v>2.5</v>
      </c>
      <c r="AF1112" s="580">
        <f t="shared" si="123"/>
        <v>2.5</v>
      </c>
      <c r="AG1112" s="580">
        <f t="shared" si="124"/>
        <v>0</v>
      </c>
      <c r="AH1112" s="580">
        <f t="shared" si="125"/>
        <v>0</v>
      </c>
    </row>
    <row r="1113" spans="28:34">
      <c r="AB1113" s="580">
        <f>HLOOKUP("*"&amp;'Output annual'!$AC$2&amp;'Output annual'!$AD$2&amp;"*Zone People Number Of Occupants [](Hourly)",'Eplus results'!$1:$1048576,ROW(),FALSE)</f>
        <v>0</v>
      </c>
      <c r="AC1113" s="580">
        <f>HLOOKUP("*"&amp;'Output annual'!$AC$2&amp;'Output annual'!$AD$2&amp;"*FangerPMV(Hourly)",'Eplus results'!$1:$1048576,ROW(),FALSE)</f>
        <v>0</v>
      </c>
      <c r="AD1113" s="580">
        <f t="shared" si="121"/>
        <v>5</v>
      </c>
      <c r="AE1113" s="580">
        <f t="shared" si="122"/>
        <v>2.5</v>
      </c>
      <c r="AF1113" s="580">
        <f t="shared" si="123"/>
        <v>2.5</v>
      </c>
      <c r="AG1113" s="580">
        <f t="shared" si="124"/>
        <v>0</v>
      </c>
      <c r="AH1113" s="580">
        <f t="shared" si="125"/>
        <v>0</v>
      </c>
    </row>
    <row r="1114" spans="28:34">
      <c r="AB1114" s="580">
        <f>HLOOKUP("*"&amp;'Output annual'!$AC$2&amp;'Output annual'!$AD$2&amp;"*Zone People Number Of Occupants [](Hourly)",'Eplus results'!$1:$1048576,ROW(),FALSE)</f>
        <v>0</v>
      </c>
      <c r="AC1114" s="580">
        <f>HLOOKUP("*"&amp;'Output annual'!$AC$2&amp;'Output annual'!$AD$2&amp;"*FangerPMV(Hourly)",'Eplus results'!$1:$1048576,ROW(),FALSE)</f>
        <v>0</v>
      </c>
      <c r="AD1114" s="580">
        <f t="shared" si="121"/>
        <v>5</v>
      </c>
      <c r="AE1114" s="580">
        <f t="shared" si="122"/>
        <v>2.5</v>
      </c>
      <c r="AF1114" s="580">
        <f t="shared" si="123"/>
        <v>2.5</v>
      </c>
      <c r="AG1114" s="580">
        <f t="shared" si="124"/>
        <v>0</v>
      </c>
      <c r="AH1114" s="580">
        <f t="shared" si="125"/>
        <v>0</v>
      </c>
    </row>
    <row r="1115" spans="28:34">
      <c r="AB1115" s="580">
        <f>HLOOKUP("*"&amp;'Output annual'!$AC$2&amp;'Output annual'!$AD$2&amp;"*Zone People Number Of Occupants [](Hourly)",'Eplus results'!$1:$1048576,ROW(),FALSE)</f>
        <v>0</v>
      </c>
      <c r="AC1115" s="580">
        <f>HLOOKUP("*"&amp;'Output annual'!$AC$2&amp;'Output annual'!$AD$2&amp;"*FangerPMV(Hourly)",'Eplus results'!$1:$1048576,ROW(),FALSE)</f>
        <v>0</v>
      </c>
      <c r="AD1115" s="580">
        <f t="shared" si="121"/>
        <v>5</v>
      </c>
      <c r="AE1115" s="580">
        <f t="shared" si="122"/>
        <v>2.5</v>
      </c>
      <c r="AF1115" s="580">
        <f t="shared" si="123"/>
        <v>2.5</v>
      </c>
      <c r="AG1115" s="580">
        <f t="shared" si="124"/>
        <v>0</v>
      </c>
      <c r="AH1115" s="580">
        <f t="shared" si="125"/>
        <v>0</v>
      </c>
    </row>
    <row r="1116" spans="28:34">
      <c r="AB1116" s="580">
        <f>HLOOKUP("*"&amp;'Output annual'!$AC$2&amp;'Output annual'!$AD$2&amp;"*Zone People Number Of Occupants [](Hourly)",'Eplus results'!$1:$1048576,ROW(),FALSE)</f>
        <v>0</v>
      </c>
      <c r="AC1116" s="580">
        <f>HLOOKUP("*"&amp;'Output annual'!$AC$2&amp;'Output annual'!$AD$2&amp;"*FangerPMV(Hourly)",'Eplus results'!$1:$1048576,ROW(),FALSE)</f>
        <v>0</v>
      </c>
      <c r="AD1116" s="580">
        <f t="shared" si="121"/>
        <v>5</v>
      </c>
      <c r="AE1116" s="580">
        <f t="shared" si="122"/>
        <v>2.5</v>
      </c>
      <c r="AF1116" s="580">
        <f t="shared" si="123"/>
        <v>2.5</v>
      </c>
      <c r="AG1116" s="580">
        <f t="shared" si="124"/>
        <v>0</v>
      </c>
      <c r="AH1116" s="580">
        <f t="shared" si="125"/>
        <v>0</v>
      </c>
    </row>
    <row r="1117" spans="28:34">
      <c r="AB1117" s="580">
        <f>HLOOKUP("*"&amp;'Output annual'!$AC$2&amp;'Output annual'!$AD$2&amp;"*Zone People Number Of Occupants [](Hourly)",'Eplus results'!$1:$1048576,ROW(),FALSE)</f>
        <v>0</v>
      </c>
      <c r="AC1117" s="580">
        <f>HLOOKUP("*"&amp;'Output annual'!$AC$2&amp;'Output annual'!$AD$2&amp;"*FangerPMV(Hourly)",'Eplus results'!$1:$1048576,ROW(),FALSE)</f>
        <v>0</v>
      </c>
      <c r="AD1117" s="580">
        <f t="shared" si="121"/>
        <v>5</v>
      </c>
      <c r="AE1117" s="580">
        <f t="shared" si="122"/>
        <v>2.5</v>
      </c>
      <c r="AF1117" s="580">
        <f t="shared" si="123"/>
        <v>2.5</v>
      </c>
      <c r="AG1117" s="580">
        <f t="shared" si="124"/>
        <v>0</v>
      </c>
      <c r="AH1117" s="580">
        <f t="shared" si="125"/>
        <v>0</v>
      </c>
    </row>
    <row r="1118" spans="28:34">
      <c r="AB1118" s="580">
        <f>HLOOKUP("*"&amp;'Output annual'!$AC$2&amp;'Output annual'!$AD$2&amp;"*Zone People Number Of Occupants [](Hourly)",'Eplus results'!$1:$1048576,ROW(),FALSE)</f>
        <v>0</v>
      </c>
      <c r="AC1118" s="580">
        <f>HLOOKUP("*"&amp;'Output annual'!$AC$2&amp;'Output annual'!$AD$2&amp;"*FangerPMV(Hourly)",'Eplus results'!$1:$1048576,ROW(),FALSE)</f>
        <v>0</v>
      </c>
      <c r="AD1118" s="580">
        <f t="shared" si="121"/>
        <v>5</v>
      </c>
      <c r="AE1118" s="580">
        <f t="shared" si="122"/>
        <v>2.5</v>
      </c>
      <c r="AF1118" s="580">
        <f t="shared" si="123"/>
        <v>2.5</v>
      </c>
      <c r="AG1118" s="580">
        <f t="shared" si="124"/>
        <v>0</v>
      </c>
      <c r="AH1118" s="580">
        <f t="shared" si="125"/>
        <v>0</v>
      </c>
    </row>
    <row r="1119" spans="28:34">
      <c r="AB1119" s="580">
        <f>HLOOKUP("*"&amp;'Output annual'!$AC$2&amp;'Output annual'!$AD$2&amp;"*Zone People Number Of Occupants [](Hourly)",'Eplus results'!$1:$1048576,ROW(),FALSE)</f>
        <v>0</v>
      </c>
      <c r="AC1119" s="580">
        <f>HLOOKUP("*"&amp;'Output annual'!$AC$2&amp;'Output annual'!$AD$2&amp;"*FangerPMV(Hourly)",'Eplus results'!$1:$1048576,ROW(),FALSE)</f>
        <v>0</v>
      </c>
      <c r="AD1119" s="580">
        <f t="shared" si="121"/>
        <v>5</v>
      </c>
      <c r="AE1119" s="580">
        <f t="shared" si="122"/>
        <v>2.5</v>
      </c>
      <c r="AF1119" s="580">
        <f t="shared" si="123"/>
        <v>2.5</v>
      </c>
      <c r="AG1119" s="580">
        <f t="shared" si="124"/>
        <v>0</v>
      </c>
      <c r="AH1119" s="580">
        <f t="shared" si="125"/>
        <v>0</v>
      </c>
    </row>
    <row r="1120" spans="28:34">
      <c r="AB1120" s="580">
        <f>HLOOKUP("*"&amp;'Output annual'!$AC$2&amp;'Output annual'!$AD$2&amp;"*Zone People Number Of Occupants [](Hourly)",'Eplus results'!$1:$1048576,ROW(),FALSE)</f>
        <v>0</v>
      </c>
      <c r="AC1120" s="580">
        <f>HLOOKUP("*"&amp;'Output annual'!$AC$2&amp;'Output annual'!$AD$2&amp;"*FangerPMV(Hourly)",'Eplus results'!$1:$1048576,ROW(),FALSE)</f>
        <v>0</v>
      </c>
      <c r="AD1120" s="580">
        <f t="shared" si="121"/>
        <v>5</v>
      </c>
      <c r="AE1120" s="580">
        <f t="shared" si="122"/>
        <v>2.5</v>
      </c>
      <c r="AF1120" s="580">
        <f t="shared" si="123"/>
        <v>2.5</v>
      </c>
      <c r="AG1120" s="580">
        <f t="shared" si="124"/>
        <v>0</v>
      </c>
      <c r="AH1120" s="580">
        <f t="shared" si="125"/>
        <v>0</v>
      </c>
    </row>
    <row r="1121" spans="28:34">
      <c r="AB1121" s="580">
        <f>HLOOKUP("*"&amp;'Output annual'!$AC$2&amp;'Output annual'!$AD$2&amp;"*Zone People Number Of Occupants [](Hourly)",'Eplus results'!$1:$1048576,ROW(),FALSE)</f>
        <v>0</v>
      </c>
      <c r="AC1121" s="580">
        <f>HLOOKUP("*"&amp;'Output annual'!$AC$2&amp;'Output annual'!$AD$2&amp;"*FangerPMV(Hourly)",'Eplus results'!$1:$1048576,ROW(),FALSE)</f>
        <v>0</v>
      </c>
      <c r="AD1121" s="580">
        <f t="shared" si="121"/>
        <v>5</v>
      </c>
      <c r="AE1121" s="580">
        <f t="shared" si="122"/>
        <v>2.5</v>
      </c>
      <c r="AF1121" s="580">
        <f t="shared" si="123"/>
        <v>2.5</v>
      </c>
      <c r="AG1121" s="580">
        <f t="shared" si="124"/>
        <v>0</v>
      </c>
      <c r="AH1121" s="580">
        <f t="shared" si="125"/>
        <v>0</v>
      </c>
    </row>
    <row r="1122" spans="28:34">
      <c r="AB1122" s="580">
        <f>HLOOKUP("*"&amp;'Output annual'!$AC$2&amp;'Output annual'!$AD$2&amp;"*Zone People Number Of Occupants [](Hourly)",'Eplus results'!$1:$1048576,ROW(),FALSE)</f>
        <v>0</v>
      </c>
      <c r="AC1122" s="580">
        <f>HLOOKUP("*"&amp;'Output annual'!$AC$2&amp;'Output annual'!$AD$2&amp;"*FangerPMV(Hourly)",'Eplus results'!$1:$1048576,ROW(),FALSE)</f>
        <v>0</v>
      </c>
      <c r="AD1122" s="580">
        <f t="shared" si="121"/>
        <v>5</v>
      </c>
      <c r="AE1122" s="580">
        <f t="shared" si="122"/>
        <v>2.5</v>
      </c>
      <c r="AF1122" s="580">
        <f t="shared" si="123"/>
        <v>2.5</v>
      </c>
      <c r="AG1122" s="580">
        <f t="shared" si="124"/>
        <v>0</v>
      </c>
      <c r="AH1122" s="580">
        <f t="shared" si="125"/>
        <v>0</v>
      </c>
    </row>
    <row r="1123" spans="28:34">
      <c r="AB1123" s="580">
        <f>HLOOKUP("*"&amp;'Output annual'!$AC$2&amp;'Output annual'!$AD$2&amp;"*Zone People Number Of Occupants [](Hourly)",'Eplus results'!$1:$1048576,ROW(),FALSE)</f>
        <v>0</v>
      </c>
      <c r="AC1123" s="580">
        <f>HLOOKUP("*"&amp;'Output annual'!$AC$2&amp;'Output annual'!$AD$2&amp;"*FangerPMV(Hourly)",'Eplus results'!$1:$1048576,ROW(),FALSE)</f>
        <v>0</v>
      </c>
      <c r="AD1123" s="580">
        <f t="shared" si="121"/>
        <v>5</v>
      </c>
      <c r="AE1123" s="580">
        <f t="shared" si="122"/>
        <v>2.5</v>
      </c>
      <c r="AF1123" s="580">
        <f t="shared" si="123"/>
        <v>2.5</v>
      </c>
      <c r="AG1123" s="580">
        <f t="shared" si="124"/>
        <v>0</v>
      </c>
      <c r="AH1123" s="580">
        <f t="shared" si="125"/>
        <v>0</v>
      </c>
    </row>
    <row r="1124" spans="28:34">
      <c r="AB1124" s="580">
        <f>HLOOKUP("*"&amp;'Output annual'!$AC$2&amp;'Output annual'!$AD$2&amp;"*Zone People Number Of Occupants [](Hourly)",'Eplus results'!$1:$1048576,ROW(),FALSE)</f>
        <v>0</v>
      </c>
      <c r="AC1124" s="580">
        <f>HLOOKUP("*"&amp;'Output annual'!$AC$2&amp;'Output annual'!$AD$2&amp;"*FangerPMV(Hourly)",'Eplus results'!$1:$1048576,ROW(),FALSE)</f>
        <v>0</v>
      </c>
      <c r="AD1124" s="580">
        <f t="shared" si="121"/>
        <v>5</v>
      </c>
      <c r="AE1124" s="580">
        <f t="shared" si="122"/>
        <v>2.5</v>
      </c>
      <c r="AF1124" s="580">
        <f t="shared" si="123"/>
        <v>2.5</v>
      </c>
      <c r="AG1124" s="580">
        <f t="shared" si="124"/>
        <v>0</v>
      </c>
      <c r="AH1124" s="580">
        <f t="shared" si="125"/>
        <v>0</v>
      </c>
    </row>
    <row r="1125" spans="28:34">
      <c r="AB1125" s="580">
        <f>HLOOKUP("*"&amp;'Output annual'!$AC$2&amp;'Output annual'!$AD$2&amp;"*Zone People Number Of Occupants [](Hourly)",'Eplus results'!$1:$1048576,ROW(),FALSE)</f>
        <v>0</v>
      </c>
      <c r="AC1125" s="580">
        <f>HLOOKUP("*"&amp;'Output annual'!$AC$2&amp;'Output annual'!$AD$2&amp;"*FangerPMV(Hourly)",'Eplus results'!$1:$1048576,ROW(),FALSE)</f>
        <v>0</v>
      </c>
      <c r="AD1125" s="580">
        <f t="shared" si="121"/>
        <v>5</v>
      </c>
      <c r="AE1125" s="580">
        <f t="shared" si="122"/>
        <v>2.5</v>
      </c>
      <c r="AF1125" s="580">
        <f t="shared" si="123"/>
        <v>2.5</v>
      </c>
      <c r="AG1125" s="580">
        <f t="shared" si="124"/>
        <v>0</v>
      </c>
      <c r="AH1125" s="580">
        <f t="shared" si="125"/>
        <v>0</v>
      </c>
    </row>
    <row r="1126" spans="28:34">
      <c r="AB1126" s="580">
        <f>HLOOKUP("*"&amp;'Output annual'!$AC$2&amp;'Output annual'!$AD$2&amp;"*Zone People Number Of Occupants [](Hourly)",'Eplus results'!$1:$1048576,ROW(),FALSE)</f>
        <v>0</v>
      </c>
      <c r="AC1126" s="580">
        <f>HLOOKUP("*"&amp;'Output annual'!$AC$2&amp;'Output annual'!$AD$2&amp;"*FangerPMV(Hourly)",'Eplus results'!$1:$1048576,ROW(),FALSE)</f>
        <v>0</v>
      </c>
      <c r="AD1126" s="580">
        <f t="shared" si="121"/>
        <v>5</v>
      </c>
      <c r="AE1126" s="580">
        <f t="shared" si="122"/>
        <v>2.5</v>
      </c>
      <c r="AF1126" s="580">
        <f t="shared" si="123"/>
        <v>2.5</v>
      </c>
      <c r="AG1126" s="580">
        <f t="shared" si="124"/>
        <v>0</v>
      </c>
      <c r="AH1126" s="580">
        <f t="shared" si="125"/>
        <v>0</v>
      </c>
    </row>
    <row r="1127" spans="28:34">
      <c r="AB1127" s="580">
        <f>HLOOKUP("*"&amp;'Output annual'!$AC$2&amp;'Output annual'!$AD$2&amp;"*Zone People Number Of Occupants [](Hourly)",'Eplus results'!$1:$1048576,ROW(),FALSE)</f>
        <v>0</v>
      </c>
      <c r="AC1127" s="580">
        <f>HLOOKUP("*"&amp;'Output annual'!$AC$2&amp;'Output annual'!$AD$2&amp;"*FangerPMV(Hourly)",'Eplus results'!$1:$1048576,ROW(),FALSE)</f>
        <v>0</v>
      </c>
      <c r="AD1127" s="580">
        <f t="shared" si="121"/>
        <v>5</v>
      </c>
      <c r="AE1127" s="580">
        <f t="shared" si="122"/>
        <v>2.5</v>
      </c>
      <c r="AF1127" s="580">
        <f t="shared" si="123"/>
        <v>2.5</v>
      </c>
      <c r="AG1127" s="580">
        <f t="shared" si="124"/>
        <v>0</v>
      </c>
      <c r="AH1127" s="580">
        <f t="shared" si="125"/>
        <v>0</v>
      </c>
    </row>
    <row r="1128" spans="28:34">
      <c r="AB1128" s="580">
        <f>HLOOKUP("*"&amp;'Output annual'!$AC$2&amp;'Output annual'!$AD$2&amp;"*Zone People Number Of Occupants [](Hourly)",'Eplus results'!$1:$1048576,ROW(),FALSE)</f>
        <v>0</v>
      </c>
      <c r="AC1128" s="580">
        <f>HLOOKUP("*"&amp;'Output annual'!$AC$2&amp;'Output annual'!$AD$2&amp;"*FangerPMV(Hourly)",'Eplus results'!$1:$1048576,ROW(),FALSE)</f>
        <v>0</v>
      </c>
      <c r="AD1128" s="580">
        <f t="shared" si="121"/>
        <v>5</v>
      </c>
      <c r="AE1128" s="580">
        <f t="shared" si="122"/>
        <v>2.5</v>
      </c>
      <c r="AF1128" s="580">
        <f t="shared" si="123"/>
        <v>2.5</v>
      </c>
      <c r="AG1128" s="580">
        <f t="shared" si="124"/>
        <v>0</v>
      </c>
      <c r="AH1128" s="580">
        <f t="shared" si="125"/>
        <v>0</v>
      </c>
    </row>
    <row r="1129" spans="28:34">
      <c r="AB1129" s="580">
        <f>HLOOKUP("*"&amp;'Output annual'!$AC$2&amp;'Output annual'!$AD$2&amp;"*Zone People Number Of Occupants [](Hourly)",'Eplus results'!$1:$1048576,ROW(),FALSE)</f>
        <v>0</v>
      </c>
      <c r="AC1129" s="580">
        <f>HLOOKUP("*"&amp;'Output annual'!$AC$2&amp;'Output annual'!$AD$2&amp;"*FangerPMV(Hourly)",'Eplus results'!$1:$1048576,ROW(),FALSE)</f>
        <v>0</v>
      </c>
      <c r="AD1129" s="580">
        <f t="shared" si="121"/>
        <v>5</v>
      </c>
      <c r="AE1129" s="580">
        <f t="shared" si="122"/>
        <v>2.5</v>
      </c>
      <c r="AF1129" s="580">
        <f t="shared" si="123"/>
        <v>2.5</v>
      </c>
      <c r="AG1129" s="580">
        <f t="shared" si="124"/>
        <v>0</v>
      </c>
      <c r="AH1129" s="580">
        <f t="shared" si="125"/>
        <v>0</v>
      </c>
    </row>
    <row r="1130" spans="28:34">
      <c r="AB1130" s="580">
        <f>HLOOKUP("*"&amp;'Output annual'!$AC$2&amp;'Output annual'!$AD$2&amp;"*Zone People Number Of Occupants [](Hourly)",'Eplus results'!$1:$1048576,ROW(),FALSE)</f>
        <v>0</v>
      </c>
      <c r="AC1130" s="580">
        <f>HLOOKUP("*"&amp;'Output annual'!$AC$2&amp;'Output annual'!$AD$2&amp;"*FangerPMV(Hourly)",'Eplus results'!$1:$1048576,ROW(),FALSE)</f>
        <v>0</v>
      </c>
      <c r="AD1130" s="580">
        <f t="shared" si="121"/>
        <v>5</v>
      </c>
      <c r="AE1130" s="580">
        <f t="shared" si="122"/>
        <v>2.5</v>
      </c>
      <c r="AF1130" s="580">
        <f t="shared" si="123"/>
        <v>2.5</v>
      </c>
      <c r="AG1130" s="580">
        <f t="shared" si="124"/>
        <v>0</v>
      </c>
      <c r="AH1130" s="580">
        <f t="shared" si="125"/>
        <v>0</v>
      </c>
    </row>
    <row r="1131" spans="28:34">
      <c r="AB1131" s="580">
        <f>HLOOKUP("*"&amp;'Output annual'!$AC$2&amp;'Output annual'!$AD$2&amp;"*Zone People Number Of Occupants [](Hourly)",'Eplus results'!$1:$1048576,ROW(),FALSE)</f>
        <v>0</v>
      </c>
      <c r="AC1131" s="580">
        <f>HLOOKUP("*"&amp;'Output annual'!$AC$2&amp;'Output annual'!$AD$2&amp;"*FangerPMV(Hourly)",'Eplus results'!$1:$1048576,ROW(),FALSE)</f>
        <v>0</v>
      </c>
      <c r="AD1131" s="580">
        <f t="shared" si="121"/>
        <v>5</v>
      </c>
      <c r="AE1131" s="580">
        <f t="shared" si="122"/>
        <v>2.5</v>
      </c>
      <c r="AF1131" s="580">
        <f t="shared" si="123"/>
        <v>2.5</v>
      </c>
      <c r="AG1131" s="580">
        <f t="shared" si="124"/>
        <v>0</v>
      </c>
      <c r="AH1131" s="580">
        <f t="shared" si="125"/>
        <v>0</v>
      </c>
    </row>
    <row r="1132" spans="28:34">
      <c r="AB1132" s="580">
        <f>HLOOKUP("*"&amp;'Output annual'!$AC$2&amp;'Output annual'!$AD$2&amp;"*Zone People Number Of Occupants [](Hourly)",'Eplus results'!$1:$1048576,ROW(),FALSE)</f>
        <v>0</v>
      </c>
      <c r="AC1132" s="580">
        <f>HLOOKUP("*"&amp;'Output annual'!$AC$2&amp;'Output annual'!$AD$2&amp;"*FangerPMV(Hourly)",'Eplus results'!$1:$1048576,ROW(),FALSE)</f>
        <v>0</v>
      </c>
      <c r="AD1132" s="580">
        <f t="shared" si="121"/>
        <v>5</v>
      </c>
      <c r="AE1132" s="580">
        <f t="shared" si="122"/>
        <v>2.5</v>
      </c>
      <c r="AF1132" s="580">
        <f t="shared" si="123"/>
        <v>2.5</v>
      </c>
      <c r="AG1132" s="580">
        <f t="shared" si="124"/>
        <v>0</v>
      </c>
      <c r="AH1132" s="580">
        <f t="shared" si="125"/>
        <v>0</v>
      </c>
    </row>
    <row r="1133" spans="28:34">
      <c r="AB1133" s="580">
        <f>HLOOKUP("*"&amp;'Output annual'!$AC$2&amp;'Output annual'!$AD$2&amp;"*Zone People Number Of Occupants [](Hourly)",'Eplus results'!$1:$1048576,ROW(),FALSE)</f>
        <v>0</v>
      </c>
      <c r="AC1133" s="580">
        <f>HLOOKUP("*"&amp;'Output annual'!$AC$2&amp;'Output annual'!$AD$2&amp;"*FangerPMV(Hourly)",'Eplus results'!$1:$1048576,ROW(),FALSE)</f>
        <v>0</v>
      </c>
      <c r="AD1133" s="580">
        <f t="shared" si="121"/>
        <v>5</v>
      </c>
      <c r="AE1133" s="580">
        <f t="shared" si="122"/>
        <v>2.5</v>
      </c>
      <c r="AF1133" s="580">
        <f t="shared" si="123"/>
        <v>2.5</v>
      </c>
      <c r="AG1133" s="580">
        <f t="shared" si="124"/>
        <v>0</v>
      </c>
      <c r="AH1133" s="580">
        <f t="shared" si="125"/>
        <v>0</v>
      </c>
    </row>
    <row r="1134" spans="28:34">
      <c r="AB1134" s="580">
        <f>HLOOKUP("*"&amp;'Output annual'!$AC$2&amp;'Output annual'!$AD$2&amp;"*Zone People Number Of Occupants [](Hourly)",'Eplus results'!$1:$1048576,ROW(),FALSE)</f>
        <v>0</v>
      </c>
      <c r="AC1134" s="580">
        <f>HLOOKUP("*"&amp;'Output annual'!$AC$2&amp;'Output annual'!$AD$2&amp;"*FangerPMV(Hourly)",'Eplus results'!$1:$1048576,ROW(),FALSE)</f>
        <v>0</v>
      </c>
      <c r="AD1134" s="580">
        <f t="shared" si="121"/>
        <v>5</v>
      </c>
      <c r="AE1134" s="580">
        <f t="shared" si="122"/>
        <v>2.5</v>
      </c>
      <c r="AF1134" s="580">
        <f t="shared" si="123"/>
        <v>2.5</v>
      </c>
      <c r="AG1134" s="580">
        <f t="shared" si="124"/>
        <v>0</v>
      </c>
      <c r="AH1134" s="580">
        <f t="shared" si="125"/>
        <v>0</v>
      </c>
    </row>
    <row r="1135" spans="28:34">
      <c r="AB1135" s="580">
        <f>HLOOKUP("*"&amp;'Output annual'!$AC$2&amp;'Output annual'!$AD$2&amp;"*Zone People Number Of Occupants [](Hourly)",'Eplus results'!$1:$1048576,ROW(),FALSE)</f>
        <v>0</v>
      </c>
      <c r="AC1135" s="580">
        <f>HLOOKUP("*"&amp;'Output annual'!$AC$2&amp;'Output annual'!$AD$2&amp;"*FangerPMV(Hourly)",'Eplus results'!$1:$1048576,ROW(),FALSE)</f>
        <v>0</v>
      </c>
      <c r="AD1135" s="580">
        <f t="shared" si="121"/>
        <v>5</v>
      </c>
      <c r="AE1135" s="580">
        <f t="shared" si="122"/>
        <v>2.5</v>
      </c>
      <c r="AF1135" s="580">
        <f t="shared" si="123"/>
        <v>2.5</v>
      </c>
      <c r="AG1135" s="580">
        <f t="shared" si="124"/>
        <v>0</v>
      </c>
      <c r="AH1135" s="580">
        <f t="shared" si="125"/>
        <v>0</v>
      </c>
    </row>
    <row r="1136" spans="28:34">
      <c r="AB1136" s="580">
        <f>HLOOKUP("*"&amp;'Output annual'!$AC$2&amp;'Output annual'!$AD$2&amp;"*Zone People Number Of Occupants [](Hourly)",'Eplus results'!$1:$1048576,ROW(),FALSE)</f>
        <v>0</v>
      </c>
      <c r="AC1136" s="580">
        <f>HLOOKUP("*"&amp;'Output annual'!$AC$2&amp;'Output annual'!$AD$2&amp;"*FangerPMV(Hourly)",'Eplus results'!$1:$1048576,ROW(),FALSE)</f>
        <v>0</v>
      </c>
      <c r="AD1136" s="580">
        <f t="shared" si="121"/>
        <v>5</v>
      </c>
      <c r="AE1136" s="580">
        <f t="shared" si="122"/>
        <v>2.5</v>
      </c>
      <c r="AF1136" s="580">
        <f t="shared" si="123"/>
        <v>2.5</v>
      </c>
      <c r="AG1136" s="580">
        <f t="shared" si="124"/>
        <v>0</v>
      </c>
      <c r="AH1136" s="580">
        <f t="shared" si="125"/>
        <v>0</v>
      </c>
    </row>
    <row r="1137" spans="28:34">
      <c r="AB1137" s="580">
        <f>HLOOKUP("*"&amp;'Output annual'!$AC$2&amp;'Output annual'!$AD$2&amp;"*Zone People Number Of Occupants [](Hourly)",'Eplus results'!$1:$1048576,ROW(),FALSE)</f>
        <v>0</v>
      </c>
      <c r="AC1137" s="580">
        <f>HLOOKUP("*"&amp;'Output annual'!$AC$2&amp;'Output annual'!$AD$2&amp;"*FangerPMV(Hourly)",'Eplus results'!$1:$1048576,ROW(),FALSE)</f>
        <v>0</v>
      </c>
      <c r="AD1137" s="580">
        <f t="shared" si="121"/>
        <v>5</v>
      </c>
      <c r="AE1137" s="580">
        <f t="shared" si="122"/>
        <v>2.5</v>
      </c>
      <c r="AF1137" s="580">
        <f t="shared" si="123"/>
        <v>2.5</v>
      </c>
      <c r="AG1137" s="580">
        <f t="shared" si="124"/>
        <v>0</v>
      </c>
      <c r="AH1137" s="580">
        <f t="shared" si="125"/>
        <v>0</v>
      </c>
    </row>
    <row r="1138" spans="28:34">
      <c r="AB1138" s="580">
        <f>HLOOKUP("*"&amp;'Output annual'!$AC$2&amp;'Output annual'!$AD$2&amp;"*Zone People Number Of Occupants [](Hourly)",'Eplus results'!$1:$1048576,ROW(),FALSE)</f>
        <v>0</v>
      </c>
      <c r="AC1138" s="580">
        <f>HLOOKUP("*"&amp;'Output annual'!$AC$2&amp;'Output annual'!$AD$2&amp;"*FangerPMV(Hourly)",'Eplus results'!$1:$1048576,ROW(),FALSE)</f>
        <v>0</v>
      </c>
      <c r="AD1138" s="580">
        <f t="shared" si="121"/>
        <v>5</v>
      </c>
      <c r="AE1138" s="580">
        <f t="shared" si="122"/>
        <v>2.5</v>
      </c>
      <c r="AF1138" s="580">
        <f t="shared" si="123"/>
        <v>2.5</v>
      </c>
      <c r="AG1138" s="580">
        <f t="shared" si="124"/>
        <v>0</v>
      </c>
      <c r="AH1138" s="580">
        <f t="shared" si="125"/>
        <v>0</v>
      </c>
    </row>
    <row r="1139" spans="28:34">
      <c r="AB1139" s="580">
        <f>HLOOKUP("*"&amp;'Output annual'!$AC$2&amp;'Output annual'!$AD$2&amp;"*Zone People Number Of Occupants [](Hourly)",'Eplus results'!$1:$1048576,ROW(),FALSE)</f>
        <v>0</v>
      </c>
      <c r="AC1139" s="580">
        <f>HLOOKUP("*"&amp;'Output annual'!$AC$2&amp;'Output annual'!$AD$2&amp;"*FangerPMV(Hourly)",'Eplus results'!$1:$1048576,ROW(),FALSE)</f>
        <v>0</v>
      </c>
      <c r="AD1139" s="580">
        <f t="shared" si="121"/>
        <v>5</v>
      </c>
      <c r="AE1139" s="580">
        <f t="shared" si="122"/>
        <v>2.5</v>
      </c>
      <c r="AF1139" s="580">
        <f t="shared" si="123"/>
        <v>2.5</v>
      </c>
      <c r="AG1139" s="580">
        <f t="shared" si="124"/>
        <v>0</v>
      </c>
      <c r="AH1139" s="580">
        <f t="shared" si="125"/>
        <v>0</v>
      </c>
    </row>
    <row r="1140" spans="28:34">
      <c r="AB1140" s="580">
        <f>HLOOKUP("*"&amp;'Output annual'!$AC$2&amp;'Output annual'!$AD$2&amp;"*Zone People Number Of Occupants [](Hourly)",'Eplus results'!$1:$1048576,ROW(),FALSE)</f>
        <v>0</v>
      </c>
      <c r="AC1140" s="580">
        <f>HLOOKUP("*"&amp;'Output annual'!$AC$2&amp;'Output annual'!$AD$2&amp;"*FangerPMV(Hourly)",'Eplus results'!$1:$1048576,ROW(),FALSE)</f>
        <v>0</v>
      </c>
      <c r="AD1140" s="580">
        <f t="shared" si="121"/>
        <v>5</v>
      </c>
      <c r="AE1140" s="580">
        <f t="shared" si="122"/>
        <v>2.5</v>
      </c>
      <c r="AF1140" s="580">
        <f t="shared" si="123"/>
        <v>2.5</v>
      </c>
      <c r="AG1140" s="580">
        <f t="shared" si="124"/>
        <v>0</v>
      </c>
      <c r="AH1140" s="580">
        <f t="shared" si="125"/>
        <v>0</v>
      </c>
    </row>
    <row r="1141" spans="28:34">
      <c r="AB1141" s="580">
        <f>HLOOKUP("*"&amp;'Output annual'!$AC$2&amp;'Output annual'!$AD$2&amp;"*Zone People Number Of Occupants [](Hourly)",'Eplus results'!$1:$1048576,ROW(),FALSE)</f>
        <v>0</v>
      </c>
      <c r="AC1141" s="580">
        <f>HLOOKUP("*"&amp;'Output annual'!$AC$2&amp;'Output annual'!$AD$2&amp;"*FangerPMV(Hourly)",'Eplus results'!$1:$1048576,ROW(),FALSE)</f>
        <v>0</v>
      </c>
      <c r="AD1141" s="580">
        <f t="shared" si="121"/>
        <v>5</v>
      </c>
      <c r="AE1141" s="580">
        <f t="shared" si="122"/>
        <v>2.5</v>
      </c>
      <c r="AF1141" s="580">
        <f t="shared" si="123"/>
        <v>2.5</v>
      </c>
      <c r="AG1141" s="580">
        <f t="shared" si="124"/>
        <v>0</v>
      </c>
      <c r="AH1141" s="580">
        <f t="shared" si="125"/>
        <v>0</v>
      </c>
    </row>
    <row r="1142" spans="28:34">
      <c r="AB1142" s="580">
        <f>HLOOKUP("*"&amp;'Output annual'!$AC$2&amp;'Output annual'!$AD$2&amp;"*Zone People Number Of Occupants [](Hourly)",'Eplus results'!$1:$1048576,ROW(),FALSE)</f>
        <v>0</v>
      </c>
      <c r="AC1142" s="580">
        <f>HLOOKUP("*"&amp;'Output annual'!$AC$2&amp;'Output annual'!$AD$2&amp;"*FangerPMV(Hourly)",'Eplus results'!$1:$1048576,ROW(),FALSE)</f>
        <v>0</v>
      </c>
      <c r="AD1142" s="580">
        <f t="shared" si="121"/>
        <v>5</v>
      </c>
      <c r="AE1142" s="580">
        <f t="shared" si="122"/>
        <v>2.5</v>
      </c>
      <c r="AF1142" s="580">
        <f t="shared" si="123"/>
        <v>2.5</v>
      </c>
      <c r="AG1142" s="580">
        <f t="shared" si="124"/>
        <v>0</v>
      </c>
      <c r="AH1142" s="580">
        <f t="shared" si="125"/>
        <v>0</v>
      </c>
    </row>
    <row r="1143" spans="28:34">
      <c r="AB1143" s="580">
        <f>HLOOKUP("*"&amp;'Output annual'!$AC$2&amp;'Output annual'!$AD$2&amp;"*Zone People Number Of Occupants [](Hourly)",'Eplus results'!$1:$1048576,ROW(),FALSE)</f>
        <v>0</v>
      </c>
      <c r="AC1143" s="580">
        <f>HLOOKUP("*"&amp;'Output annual'!$AC$2&amp;'Output annual'!$AD$2&amp;"*FangerPMV(Hourly)",'Eplus results'!$1:$1048576,ROW(),FALSE)</f>
        <v>0</v>
      </c>
      <c r="AD1143" s="580">
        <f t="shared" si="121"/>
        <v>5</v>
      </c>
      <c r="AE1143" s="580">
        <f t="shared" si="122"/>
        <v>2.5</v>
      </c>
      <c r="AF1143" s="580">
        <f t="shared" si="123"/>
        <v>2.5</v>
      </c>
      <c r="AG1143" s="580">
        <f t="shared" si="124"/>
        <v>0</v>
      </c>
      <c r="AH1143" s="580">
        <f t="shared" si="125"/>
        <v>0</v>
      </c>
    </row>
    <row r="1144" spans="28:34">
      <c r="AB1144" s="580">
        <f>HLOOKUP("*"&amp;'Output annual'!$AC$2&amp;'Output annual'!$AD$2&amp;"*Zone People Number Of Occupants [](Hourly)",'Eplus results'!$1:$1048576,ROW(),FALSE)</f>
        <v>0</v>
      </c>
      <c r="AC1144" s="580">
        <f>HLOOKUP("*"&amp;'Output annual'!$AC$2&amp;'Output annual'!$AD$2&amp;"*FangerPMV(Hourly)",'Eplus results'!$1:$1048576,ROW(),FALSE)</f>
        <v>0</v>
      </c>
      <c r="AD1144" s="580">
        <f t="shared" si="121"/>
        <v>5</v>
      </c>
      <c r="AE1144" s="580">
        <f t="shared" si="122"/>
        <v>2.5</v>
      </c>
      <c r="AF1144" s="580">
        <f t="shared" si="123"/>
        <v>2.5</v>
      </c>
      <c r="AG1144" s="580">
        <f t="shared" si="124"/>
        <v>0</v>
      </c>
      <c r="AH1144" s="580">
        <f t="shared" si="125"/>
        <v>0</v>
      </c>
    </row>
    <row r="1145" spans="28:34">
      <c r="AB1145" s="580">
        <f>HLOOKUP("*"&amp;'Output annual'!$AC$2&amp;'Output annual'!$AD$2&amp;"*Zone People Number Of Occupants [](Hourly)",'Eplus results'!$1:$1048576,ROW(),FALSE)</f>
        <v>0</v>
      </c>
      <c r="AC1145" s="580">
        <f>HLOOKUP("*"&amp;'Output annual'!$AC$2&amp;'Output annual'!$AD$2&amp;"*FangerPMV(Hourly)",'Eplus results'!$1:$1048576,ROW(),FALSE)</f>
        <v>0</v>
      </c>
      <c r="AD1145" s="580">
        <f t="shared" si="121"/>
        <v>5</v>
      </c>
      <c r="AE1145" s="580">
        <f t="shared" si="122"/>
        <v>2.5</v>
      </c>
      <c r="AF1145" s="580">
        <f t="shared" si="123"/>
        <v>2.5</v>
      </c>
      <c r="AG1145" s="580">
        <f t="shared" si="124"/>
        <v>0</v>
      </c>
      <c r="AH1145" s="580">
        <f t="shared" si="125"/>
        <v>0</v>
      </c>
    </row>
    <row r="1146" spans="28:34">
      <c r="AB1146" s="580">
        <f>HLOOKUP("*"&amp;'Output annual'!$AC$2&amp;'Output annual'!$AD$2&amp;"*Zone People Number Of Occupants [](Hourly)",'Eplus results'!$1:$1048576,ROW(),FALSE)</f>
        <v>0</v>
      </c>
      <c r="AC1146" s="580">
        <f>HLOOKUP("*"&amp;'Output annual'!$AC$2&amp;'Output annual'!$AD$2&amp;"*FangerPMV(Hourly)",'Eplus results'!$1:$1048576,ROW(),FALSE)</f>
        <v>0</v>
      </c>
      <c r="AD1146" s="580">
        <f t="shared" si="121"/>
        <v>5</v>
      </c>
      <c r="AE1146" s="580">
        <f t="shared" si="122"/>
        <v>2.5</v>
      </c>
      <c r="AF1146" s="580">
        <f t="shared" si="123"/>
        <v>2.5</v>
      </c>
      <c r="AG1146" s="580">
        <f t="shared" si="124"/>
        <v>0</v>
      </c>
      <c r="AH1146" s="580">
        <f t="shared" si="125"/>
        <v>0</v>
      </c>
    </row>
    <row r="1147" spans="28:34">
      <c r="AB1147" s="580">
        <f>HLOOKUP("*"&amp;'Output annual'!$AC$2&amp;'Output annual'!$AD$2&amp;"*Zone People Number Of Occupants [](Hourly)",'Eplus results'!$1:$1048576,ROW(),FALSE)</f>
        <v>0</v>
      </c>
      <c r="AC1147" s="580">
        <f>HLOOKUP("*"&amp;'Output annual'!$AC$2&amp;'Output annual'!$AD$2&amp;"*FangerPMV(Hourly)",'Eplus results'!$1:$1048576,ROW(),FALSE)</f>
        <v>0</v>
      </c>
      <c r="AD1147" s="580">
        <f t="shared" si="121"/>
        <v>5</v>
      </c>
      <c r="AE1147" s="580">
        <f t="shared" si="122"/>
        <v>2.5</v>
      </c>
      <c r="AF1147" s="580">
        <f t="shared" si="123"/>
        <v>2.5</v>
      </c>
      <c r="AG1147" s="580">
        <f t="shared" si="124"/>
        <v>0</v>
      </c>
      <c r="AH1147" s="580">
        <f t="shared" si="125"/>
        <v>0</v>
      </c>
    </row>
    <row r="1148" spans="28:34">
      <c r="AB1148" s="580">
        <f>HLOOKUP("*"&amp;'Output annual'!$AC$2&amp;'Output annual'!$AD$2&amp;"*Zone People Number Of Occupants [](Hourly)",'Eplus results'!$1:$1048576,ROW(),FALSE)</f>
        <v>0</v>
      </c>
      <c r="AC1148" s="580">
        <f>HLOOKUP("*"&amp;'Output annual'!$AC$2&amp;'Output annual'!$AD$2&amp;"*FangerPMV(Hourly)",'Eplus results'!$1:$1048576,ROW(),FALSE)</f>
        <v>0</v>
      </c>
      <c r="AD1148" s="580">
        <f t="shared" si="121"/>
        <v>5</v>
      </c>
      <c r="AE1148" s="580">
        <f t="shared" si="122"/>
        <v>2.5</v>
      </c>
      <c r="AF1148" s="580">
        <f t="shared" si="123"/>
        <v>2.5</v>
      </c>
      <c r="AG1148" s="580">
        <f t="shared" si="124"/>
        <v>0</v>
      </c>
      <c r="AH1148" s="580">
        <f t="shared" si="125"/>
        <v>0</v>
      </c>
    </row>
    <row r="1149" spans="28:34">
      <c r="AB1149" s="580">
        <f>HLOOKUP("*"&amp;'Output annual'!$AC$2&amp;'Output annual'!$AD$2&amp;"*Zone People Number Of Occupants [](Hourly)",'Eplus results'!$1:$1048576,ROW(),FALSE)</f>
        <v>0</v>
      </c>
      <c r="AC1149" s="580">
        <f>HLOOKUP("*"&amp;'Output annual'!$AC$2&amp;'Output annual'!$AD$2&amp;"*FangerPMV(Hourly)",'Eplus results'!$1:$1048576,ROW(),FALSE)</f>
        <v>0</v>
      </c>
      <c r="AD1149" s="580">
        <f t="shared" si="121"/>
        <v>5</v>
      </c>
      <c r="AE1149" s="580">
        <f t="shared" si="122"/>
        <v>2.5</v>
      </c>
      <c r="AF1149" s="580">
        <f t="shared" si="123"/>
        <v>2.5</v>
      </c>
      <c r="AG1149" s="580">
        <f t="shared" si="124"/>
        <v>0</v>
      </c>
      <c r="AH1149" s="580">
        <f t="shared" si="125"/>
        <v>0</v>
      </c>
    </row>
    <row r="1150" spans="28:34">
      <c r="AB1150" s="580">
        <f>HLOOKUP("*"&amp;'Output annual'!$AC$2&amp;'Output annual'!$AD$2&amp;"*Zone People Number Of Occupants [](Hourly)",'Eplus results'!$1:$1048576,ROW(),FALSE)</f>
        <v>0</v>
      </c>
      <c r="AC1150" s="580">
        <f>HLOOKUP("*"&amp;'Output annual'!$AC$2&amp;'Output annual'!$AD$2&amp;"*FangerPMV(Hourly)",'Eplus results'!$1:$1048576,ROW(),FALSE)</f>
        <v>0</v>
      </c>
      <c r="AD1150" s="580">
        <f t="shared" si="121"/>
        <v>5</v>
      </c>
      <c r="AE1150" s="580">
        <f t="shared" si="122"/>
        <v>2.5</v>
      </c>
      <c r="AF1150" s="580">
        <f t="shared" si="123"/>
        <v>2.5</v>
      </c>
      <c r="AG1150" s="580">
        <f t="shared" si="124"/>
        <v>0</v>
      </c>
      <c r="AH1150" s="580">
        <f t="shared" si="125"/>
        <v>0</v>
      </c>
    </row>
    <row r="1151" spans="28:34">
      <c r="AB1151" s="580">
        <f>HLOOKUP("*"&amp;'Output annual'!$AC$2&amp;'Output annual'!$AD$2&amp;"*Zone People Number Of Occupants [](Hourly)",'Eplus results'!$1:$1048576,ROW(),FALSE)</f>
        <v>0</v>
      </c>
      <c r="AC1151" s="580">
        <f>HLOOKUP("*"&amp;'Output annual'!$AC$2&amp;'Output annual'!$AD$2&amp;"*FangerPMV(Hourly)",'Eplus results'!$1:$1048576,ROW(),FALSE)</f>
        <v>0</v>
      </c>
      <c r="AD1151" s="580">
        <f t="shared" si="121"/>
        <v>5</v>
      </c>
      <c r="AE1151" s="580">
        <f t="shared" si="122"/>
        <v>2.5</v>
      </c>
      <c r="AF1151" s="580">
        <f t="shared" si="123"/>
        <v>2.5</v>
      </c>
      <c r="AG1151" s="580">
        <f t="shared" si="124"/>
        <v>0</v>
      </c>
      <c r="AH1151" s="580">
        <f t="shared" si="125"/>
        <v>0</v>
      </c>
    </row>
    <row r="1152" spans="28:34">
      <c r="AB1152" s="580">
        <f>HLOOKUP("*"&amp;'Output annual'!$AC$2&amp;'Output annual'!$AD$2&amp;"*Zone People Number Of Occupants [](Hourly)",'Eplus results'!$1:$1048576,ROW(),FALSE)</f>
        <v>0</v>
      </c>
      <c r="AC1152" s="580">
        <f>HLOOKUP("*"&amp;'Output annual'!$AC$2&amp;'Output annual'!$AD$2&amp;"*FangerPMV(Hourly)",'Eplus results'!$1:$1048576,ROW(),FALSE)</f>
        <v>0</v>
      </c>
      <c r="AD1152" s="580">
        <f t="shared" si="121"/>
        <v>5</v>
      </c>
      <c r="AE1152" s="580">
        <f t="shared" si="122"/>
        <v>2.5</v>
      </c>
      <c r="AF1152" s="580">
        <f t="shared" si="123"/>
        <v>2.5</v>
      </c>
      <c r="AG1152" s="580">
        <f t="shared" si="124"/>
        <v>0</v>
      </c>
      <c r="AH1152" s="580">
        <f t="shared" si="125"/>
        <v>0</v>
      </c>
    </row>
    <row r="1153" spans="28:34">
      <c r="AB1153" s="580">
        <f>HLOOKUP("*"&amp;'Output annual'!$AC$2&amp;'Output annual'!$AD$2&amp;"*Zone People Number Of Occupants [](Hourly)",'Eplus results'!$1:$1048576,ROW(),FALSE)</f>
        <v>0</v>
      </c>
      <c r="AC1153" s="580">
        <f>HLOOKUP("*"&amp;'Output annual'!$AC$2&amp;'Output annual'!$AD$2&amp;"*FangerPMV(Hourly)",'Eplus results'!$1:$1048576,ROW(),FALSE)</f>
        <v>0</v>
      </c>
      <c r="AD1153" s="580">
        <f t="shared" si="121"/>
        <v>5</v>
      </c>
      <c r="AE1153" s="580">
        <f t="shared" si="122"/>
        <v>2.5</v>
      </c>
      <c r="AF1153" s="580">
        <f t="shared" si="123"/>
        <v>2.5</v>
      </c>
      <c r="AG1153" s="580">
        <f t="shared" si="124"/>
        <v>0</v>
      </c>
      <c r="AH1153" s="580">
        <f t="shared" si="125"/>
        <v>0</v>
      </c>
    </row>
    <row r="1154" spans="28:34">
      <c r="AB1154" s="580">
        <f>HLOOKUP("*"&amp;'Output annual'!$AC$2&amp;'Output annual'!$AD$2&amp;"*Zone People Number Of Occupants [](Hourly)",'Eplus results'!$1:$1048576,ROW(),FALSE)</f>
        <v>0</v>
      </c>
      <c r="AC1154" s="580">
        <f>HLOOKUP("*"&amp;'Output annual'!$AC$2&amp;'Output annual'!$AD$2&amp;"*FangerPMV(Hourly)",'Eplus results'!$1:$1048576,ROW(),FALSE)</f>
        <v>0</v>
      </c>
      <c r="AD1154" s="580">
        <f t="shared" si="121"/>
        <v>5</v>
      </c>
      <c r="AE1154" s="580">
        <f t="shared" si="122"/>
        <v>2.5</v>
      </c>
      <c r="AF1154" s="580">
        <f t="shared" si="123"/>
        <v>2.5</v>
      </c>
      <c r="AG1154" s="580">
        <f t="shared" si="124"/>
        <v>0</v>
      </c>
      <c r="AH1154" s="580">
        <f t="shared" si="125"/>
        <v>0</v>
      </c>
    </row>
    <row r="1155" spans="28:34">
      <c r="AB1155" s="580">
        <f>HLOOKUP("*"&amp;'Output annual'!$AC$2&amp;'Output annual'!$AD$2&amp;"*Zone People Number Of Occupants [](Hourly)",'Eplus results'!$1:$1048576,ROW(),FALSE)</f>
        <v>0</v>
      </c>
      <c r="AC1155" s="580">
        <f>HLOOKUP("*"&amp;'Output annual'!$AC$2&amp;'Output annual'!$AD$2&amp;"*FangerPMV(Hourly)",'Eplus results'!$1:$1048576,ROW(),FALSE)</f>
        <v>0</v>
      </c>
      <c r="AD1155" s="580">
        <f t="shared" ref="AD1155:AD1218" si="126">100-95*EXP(-0.03353*AC1155^4-0.2179*AC1155^2)</f>
        <v>5</v>
      </c>
      <c r="AE1155" s="580">
        <f t="shared" ref="AE1155:AE1218" si="127">AD1155*(1/(1+EXP(-6.3*$AC1155)))</f>
        <v>2.5</v>
      </c>
      <c r="AF1155" s="580">
        <f t="shared" ref="AF1155:AF1218" si="128">(AD1155-AE1155)</f>
        <v>2.5</v>
      </c>
      <c r="AG1155" s="580">
        <f t="shared" ref="AG1155:AG1218" si="129">AE1155*AB1155</f>
        <v>0</v>
      </c>
      <c r="AH1155" s="580">
        <f t="shared" ref="AH1155:AH1218" si="130">AF1155*AB1155</f>
        <v>0</v>
      </c>
    </row>
    <row r="1156" spans="28:34">
      <c r="AB1156" s="580">
        <f>HLOOKUP("*"&amp;'Output annual'!$AC$2&amp;'Output annual'!$AD$2&amp;"*Zone People Number Of Occupants [](Hourly)",'Eplus results'!$1:$1048576,ROW(),FALSE)</f>
        <v>0</v>
      </c>
      <c r="AC1156" s="580">
        <f>HLOOKUP("*"&amp;'Output annual'!$AC$2&amp;'Output annual'!$AD$2&amp;"*FangerPMV(Hourly)",'Eplus results'!$1:$1048576,ROW(),FALSE)</f>
        <v>0</v>
      </c>
      <c r="AD1156" s="580">
        <f t="shared" si="126"/>
        <v>5</v>
      </c>
      <c r="AE1156" s="580">
        <f t="shared" si="127"/>
        <v>2.5</v>
      </c>
      <c r="AF1156" s="580">
        <f t="shared" si="128"/>
        <v>2.5</v>
      </c>
      <c r="AG1156" s="580">
        <f t="shared" si="129"/>
        <v>0</v>
      </c>
      <c r="AH1156" s="580">
        <f t="shared" si="130"/>
        <v>0</v>
      </c>
    </row>
    <row r="1157" spans="28:34">
      <c r="AB1157" s="580">
        <f>HLOOKUP("*"&amp;'Output annual'!$AC$2&amp;'Output annual'!$AD$2&amp;"*Zone People Number Of Occupants [](Hourly)",'Eplus results'!$1:$1048576,ROW(),FALSE)</f>
        <v>0</v>
      </c>
      <c r="AC1157" s="580">
        <f>HLOOKUP("*"&amp;'Output annual'!$AC$2&amp;'Output annual'!$AD$2&amp;"*FangerPMV(Hourly)",'Eplus results'!$1:$1048576,ROW(),FALSE)</f>
        <v>0</v>
      </c>
      <c r="AD1157" s="580">
        <f t="shared" si="126"/>
        <v>5</v>
      </c>
      <c r="AE1157" s="580">
        <f t="shared" si="127"/>
        <v>2.5</v>
      </c>
      <c r="AF1157" s="580">
        <f t="shared" si="128"/>
        <v>2.5</v>
      </c>
      <c r="AG1157" s="580">
        <f t="shared" si="129"/>
        <v>0</v>
      </c>
      <c r="AH1157" s="580">
        <f t="shared" si="130"/>
        <v>0</v>
      </c>
    </row>
    <row r="1158" spans="28:34">
      <c r="AB1158" s="580">
        <f>HLOOKUP("*"&amp;'Output annual'!$AC$2&amp;'Output annual'!$AD$2&amp;"*Zone People Number Of Occupants [](Hourly)",'Eplus results'!$1:$1048576,ROW(),FALSE)</f>
        <v>0</v>
      </c>
      <c r="AC1158" s="580">
        <f>HLOOKUP("*"&amp;'Output annual'!$AC$2&amp;'Output annual'!$AD$2&amp;"*FangerPMV(Hourly)",'Eplus results'!$1:$1048576,ROW(),FALSE)</f>
        <v>0</v>
      </c>
      <c r="AD1158" s="580">
        <f t="shared" si="126"/>
        <v>5</v>
      </c>
      <c r="AE1158" s="580">
        <f t="shared" si="127"/>
        <v>2.5</v>
      </c>
      <c r="AF1158" s="580">
        <f t="shared" si="128"/>
        <v>2.5</v>
      </c>
      <c r="AG1158" s="580">
        <f t="shared" si="129"/>
        <v>0</v>
      </c>
      <c r="AH1158" s="580">
        <f t="shared" si="130"/>
        <v>0</v>
      </c>
    </row>
    <row r="1159" spans="28:34">
      <c r="AB1159" s="580">
        <f>HLOOKUP("*"&amp;'Output annual'!$AC$2&amp;'Output annual'!$AD$2&amp;"*Zone People Number Of Occupants [](Hourly)",'Eplus results'!$1:$1048576,ROW(),FALSE)</f>
        <v>0</v>
      </c>
      <c r="AC1159" s="580">
        <f>HLOOKUP("*"&amp;'Output annual'!$AC$2&amp;'Output annual'!$AD$2&amp;"*FangerPMV(Hourly)",'Eplus results'!$1:$1048576,ROW(),FALSE)</f>
        <v>0</v>
      </c>
      <c r="AD1159" s="580">
        <f t="shared" si="126"/>
        <v>5</v>
      </c>
      <c r="AE1159" s="580">
        <f t="shared" si="127"/>
        <v>2.5</v>
      </c>
      <c r="AF1159" s="580">
        <f t="shared" si="128"/>
        <v>2.5</v>
      </c>
      <c r="AG1159" s="580">
        <f t="shared" si="129"/>
        <v>0</v>
      </c>
      <c r="AH1159" s="580">
        <f t="shared" si="130"/>
        <v>0</v>
      </c>
    </row>
    <row r="1160" spans="28:34">
      <c r="AB1160" s="580">
        <f>HLOOKUP("*"&amp;'Output annual'!$AC$2&amp;'Output annual'!$AD$2&amp;"*Zone People Number Of Occupants [](Hourly)",'Eplus results'!$1:$1048576,ROW(),FALSE)</f>
        <v>0</v>
      </c>
      <c r="AC1160" s="580">
        <f>HLOOKUP("*"&amp;'Output annual'!$AC$2&amp;'Output annual'!$AD$2&amp;"*FangerPMV(Hourly)",'Eplus results'!$1:$1048576,ROW(),FALSE)</f>
        <v>0</v>
      </c>
      <c r="AD1160" s="580">
        <f t="shared" si="126"/>
        <v>5</v>
      </c>
      <c r="AE1160" s="580">
        <f t="shared" si="127"/>
        <v>2.5</v>
      </c>
      <c r="AF1160" s="580">
        <f t="shared" si="128"/>
        <v>2.5</v>
      </c>
      <c r="AG1160" s="580">
        <f t="shared" si="129"/>
        <v>0</v>
      </c>
      <c r="AH1160" s="580">
        <f t="shared" si="130"/>
        <v>0</v>
      </c>
    </row>
    <row r="1161" spans="28:34">
      <c r="AB1161" s="580">
        <f>HLOOKUP("*"&amp;'Output annual'!$AC$2&amp;'Output annual'!$AD$2&amp;"*Zone People Number Of Occupants [](Hourly)",'Eplus results'!$1:$1048576,ROW(),FALSE)</f>
        <v>0</v>
      </c>
      <c r="AC1161" s="580">
        <f>HLOOKUP("*"&amp;'Output annual'!$AC$2&amp;'Output annual'!$AD$2&amp;"*FangerPMV(Hourly)",'Eplus results'!$1:$1048576,ROW(),FALSE)</f>
        <v>0</v>
      </c>
      <c r="AD1161" s="580">
        <f t="shared" si="126"/>
        <v>5</v>
      </c>
      <c r="AE1161" s="580">
        <f t="shared" si="127"/>
        <v>2.5</v>
      </c>
      <c r="AF1161" s="580">
        <f t="shared" si="128"/>
        <v>2.5</v>
      </c>
      <c r="AG1161" s="580">
        <f t="shared" si="129"/>
        <v>0</v>
      </c>
      <c r="AH1161" s="580">
        <f t="shared" si="130"/>
        <v>0</v>
      </c>
    </row>
    <row r="1162" spans="28:34">
      <c r="AB1162" s="580">
        <f>HLOOKUP("*"&amp;'Output annual'!$AC$2&amp;'Output annual'!$AD$2&amp;"*Zone People Number Of Occupants [](Hourly)",'Eplus results'!$1:$1048576,ROW(),FALSE)</f>
        <v>0</v>
      </c>
      <c r="AC1162" s="580">
        <f>HLOOKUP("*"&amp;'Output annual'!$AC$2&amp;'Output annual'!$AD$2&amp;"*FangerPMV(Hourly)",'Eplus results'!$1:$1048576,ROW(),FALSE)</f>
        <v>0</v>
      </c>
      <c r="AD1162" s="580">
        <f t="shared" si="126"/>
        <v>5</v>
      </c>
      <c r="AE1162" s="580">
        <f t="shared" si="127"/>
        <v>2.5</v>
      </c>
      <c r="AF1162" s="580">
        <f t="shared" si="128"/>
        <v>2.5</v>
      </c>
      <c r="AG1162" s="580">
        <f t="shared" si="129"/>
        <v>0</v>
      </c>
      <c r="AH1162" s="580">
        <f t="shared" si="130"/>
        <v>0</v>
      </c>
    </row>
    <row r="1163" spans="28:34">
      <c r="AB1163" s="580">
        <f>HLOOKUP("*"&amp;'Output annual'!$AC$2&amp;'Output annual'!$AD$2&amp;"*Zone People Number Of Occupants [](Hourly)",'Eplus results'!$1:$1048576,ROW(),FALSE)</f>
        <v>0</v>
      </c>
      <c r="AC1163" s="580">
        <f>HLOOKUP("*"&amp;'Output annual'!$AC$2&amp;'Output annual'!$AD$2&amp;"*FangerPMV(Hourly)",'Eplus results'!$1:$1048576,ROW(),FALSE)</f>
        <v>0</v>
      </c>
      <c r="AD1163" s="580">
        <f t="shared" si="126"/>
        <v>5</v>
      </c>
      <c r="AE1163" s="580">
        <f t="shared" si="127"/>
        <v>2.5</v>
      </c>
      <c r="AF1163" s="580">
        <f t="shared" si="128"/>
        <v>2.5</v>
      </c>
      <c r="AG1163" s="580">
        <f t="shared" si="129"/>
        <v>0</v>
      </c>
      <c r="AH1163" s="580">
        <f t="shared" si="130"/>
        <v>0</v>
      </c>
    </row>
    <row r="1164" spans="28:34">
      <c r="AB1164" s="580">
        <f>HLOOKUP("*"&amp;'Output annual'!$AC$2&amp;'Output annual'!$AD$2&amp;"*Zone People Number Of Occupants [](Hourly)",'Eplus results'!$1:$1048576,ROW(),FALSE)</f>
        <v>0</v>
      </c>
      <c r="AC1164" s="580">
        <f>HLOOKUP("*"&amp;'Output annual'!$AC$2&amp;'Output annual'!$AD$2&amp;"*FangerPMV(Hourly)",'Eplus results'!$1:$1048576,ROW(),FALSE)</f>
        <v>0</v>
      </c>
      <c r="AD1164" s="580">
        <f t="shared" si="126"/>
        <v>5</v>
      </c>
      <c r="AE1164" s="580">
        <f t="shared" si="127"/>
        <v>2.5</v>
      </c>
      <c r="AF1164" s="580">
        <f t="shared" si="128"/>
        <v>2.5</v>
      </c>
      <c r="AG1164" s="580">
        <f t="shared" si="129"/>
        <v>0</v>
      </c>
      <c r="AH1164" s="580">
        <f t="shared" si="130"/>
        <v>0</v>
      </c>
    </row>
    <row r="1165" spans="28:34">
      <c r="AB1165" s="580">
        <f>HLOOKUP("*"&amp;'Output annual'!$AC$2&amp;'Output annual'!$AD$2&amp;"*Zone People Number Of Occupants [](Hourly)",'Eplus results'!$1:$1048576,ROW(),FALSE)</f>
        <v>0</v>
      </c>
      <c r="AC1165" s="580">
        <f>HLOOKUP("*"&amp;'Output annual'!$AC$2&amp;'Output annual'!$AD$2&amp;"*FangerPMV(Hourly)",'Eplus results'!$1:$1048576,ROW(),FALSE)</f>
        <v>0</v>
      </c>
      <c r="AD1165" s="580">
        <f t="shared" si="126"/>
        <v>5</v>
      </c>
      <c r="AE1165" s="580">
        <f t="shared" si="127"/>
        <v>2.5</v>
      </c>
      <c r="AF1165" s="580">
        <f t="shared" si="128"/>
        <v>2.5</v>
      </c>
      <c r="AG1165" s="580">
        <f t="shared" si="129"/>
        <v>0</v>
      </c>
      <c r="AH1165" s="580">
        <f t="shared" si="130"/>
        <v>0</v>
      </c>
    </row>
    <row r="1166" spans="28:34">
      <c r="AB1166" s="580">
        <f>HLOOKUP("*"&amp;'Output annual'!$AC$2&amp;'Output annual'!$AD$2&amp;"*Zone People Number Of Occupants [](Hourly)",'Eplus results'!$1:$1048576,ROW(),FALSE)</f>
        <v>0</v>
      </c>
      <c r="AC1166" s="580">
        <f>HLOOKUP("*"&amp;'Output annual'!$AC$2&amp;'Output annual'!$AD$2&amp;"*FangerPMV(Hourly)",'Eplus results'!$1:$1048576,ROW(),FALSE)</f>
        <v>0</v>
      </c>
      <c r="AD1166" s="580">
        <f t="shared" si="126"/>
        <v>5</v>
      </c>
      <c r="AE1166" s="580">
        <f t="shared" si="127"/>
        <v>2.5</v>
      </c>
      <c r="AF1166" s="580">
        <f t="shared" si="128"/>
        <v>2.5</v>
      </c>
      <c r="AG1166" s="580">
        <f t="shared" si="129"/>
        <v>0</v>
      </c>
      <c r="AH1166" s="580">
        <f t="shared" si="130"/>
        <v>0</v>
      </c>
    </row>
    <row r="1167" spans="28:34">
      <c r="AB1167" s="580">
        <f>HLOOKUP("*"&amp;'Output annual'!$AC$2&amp;'Output annual'!$AD$2&amp;"*Zone People Number Of Occupants [](Hourly)",'Eplus results'!$1:$1048576,ROW(),FALSE)</f>
        <v>0</v>
      </c>
      <c r="AC1167" s="580">
        <f>HLOOKUP("*"&amp;'Output annual'!$AC$2&amp;'Output annual'!$AD$2&amp;"*FangerPMV(Hourly)",'Eplus results'!$1:$1048576,ROW(),FALSE)</f>
        <v>0</v>
      </c>
      <c r="AD1167" s="580">
        <f t="shared" si="126"/>
        <v>5</v>
      </c>
      <c r="AE1167" s="580">
        <f t="shared" si="127"/>
        <v>2.5</v>
      </c>
      <c r="AF1167" s="580">
        <f t="shared" si="128"/>
        <v>2.5</v>
      </c>
      <c r="AG1167" s="580">
        <f t="shared" si="129"/>
        <v>0</v>
      </c>
      <c r="AH1167" s="580">
        <f t="shared" si="130"/>
        <v>0</v>
      </c>
    </row>
    <row r="1168" spans="28:34">
      <c r="AB1168" s="580">
        <f>HLOOKUP("*"&amp;'Output annual'!$AC$2&amp;'Output annual'!$AD$2&amp;"*Zone People Number Of Occupants [](Hourly)",'Eplus results'!$1:$1048576,ROW(),FALSE)</f>
        <v>0</v>
      </c>
      <c r="AC1168" s="580">
        <f>HLOOKUP("*"&amp;'Output annual'!$AC$2&amp;'Output annual'!$AD$2&amp;"*FangerPMV(Hourly)",'Eplus results'!$1:$1048576,ROW(),FALSE)</f>
        <v>0</v>
      </c>
      <c r="AD1168" s="580">
        <f t="shared" si="126"/>
        <v>5</v>
      </c>
      <c r="AE1168" s="580">
        <f t="shared" si="127"/>
        <v>2.5</v>
      </c>
      <c r="AF1168" s="580">
        <f t="shared" si="128"/>
        <v>2.5</v>
      </c>
      <c r="AG1168" s="580">
        <f t="shared" si="129"/>
        <v>0</v>
      </c>
      <c r="AH1168" s="580">
        <f t="shared" si="130"/>
        <v>0</v>
      </c>
    </row>
    <row r="1169" spans="28:34">
      <c r="AB1169" s="580">
        <f>HLOOKUP("*"&amp;'Output annual'!$AC$2&amp;'Output annual'!$AD$2&amp;"*Zone People Number Of Occupants [](Hourly)",'Eplus results'!$1:$1048576,ROW(),FALSE)</f>
        <v>0</v>
      </c>
      <c r="AC1169" s="580">
        <f>HLOOKUP("*"&amp;'Output annual'!$AC$2&amp;'Output annual'!$AD$2&amp;"*FangerPMV(Hourly)",'Eplus results'!$1:$1048576,ROW(),FALSE)</f>
        <v>0</v>
      </c>
      <c r="AD1169" s="580">
        <f t="shared" si="126"/>
        <v>5</v>
      </c>
      <c r="AE1169" s="580">
        <f t="shared" si="127"/>
        <v>2.5</v>
      </c>
      <c r="AF1169" s="580">
        <f t="shared" si="128"/>
        <v>2.5</v>
      </c>
      <c r="AG1169" s="580">
        <f t="shared" si="129"/>
        <v>0</v>
      </c>
      <c r="AH1169" s="580">
        <f t="shared" si="130"/>
        <v>0</v>
      </c>
    </row>
    <row r="1170" spans="28:34">
      <c r="AB1170" s="580">
        <f>HLOOKUP("*"&amp;'Output annual'!$AC$2&amp;'Output annual'!$AD$2&amp;"*Zone People Number Of Occupants [](Hourly)",'Eplus results'!$1:$1048576,ROW(),FALSE)</f>
        <v>0</v>
      </c>
      <c r="AC1170" s="580">
        <f>HLOOKUP("*"&amp;'Output annual'!$AC$2&amp;'Output annual'!$AD$2&amp;"*FangerPMV(Hourly)",'Eplus results'!$1:$1048576,ROW(),FALSE)</f>
        <v>0</v>
      </c>
      <c r="AD1170" s="580">
        <f t="shared" si="126"/>
        <v>5</v>
      </c>
      <c r="AE1170" s="580">
        <f t="shared" si="127"/>
        <v>2.5</v>
      </c>
      <c r="AF1170" s="580">
        <f t="shared" si="128"/>
        <v>2.5</v>
      </c>
      <c r="AG1170" s="580">
        <f t="shared" si="129"/>
        <v>0</v>
      </c>
      <c r="AH1170" s="580">
        <f t="shared" si="130"/>
        <v>0</v>
      </c>
    </row>
    <row r="1171" spans="28:34">
      <c r="AB1171" s="580">
        <f>HLOOKUP("*"&amp;'Output annual'!$AC$2&amp;'Output annual'!$AD$2&amp;"*Zone People Number Of Occupants [](Hourly)",'Eplus results'!$1:$1048576,ROW(),FALSE)</f>
        <v>0</v>
      </c>
      <c r="AC1171" s="580">
        <f>HLOOKUP("*"&amp;'Output annual'!$AC$2&amp;'Output annual'!$AD$2&amp;"*FangerPMV(Hourly)",'Eplus results'!$1:$1048576,ROW(),FALSE)</f>
        <v>0</v>
      </c>
      <c r="AD1171" s="580">
        <f t="shared" si="126"/>
        <v>5</v>
      </c>
      <c r="AE1171" s="580">
        <f t="shared" si="127"/>
        <v>2.5</v>
      </c>
      <c r="AF1171" s="580">
        <f t="shared" si="128"/>
        <v>2.5</v>
      </c>
      <c r="AG1171" s="580">
        <f t="shared" si="129"/>
        <v>0</v>
      </c>
      <c r="AH1171" s="580">
        <f t="shared" si="130"/>
        <v>0</v>
      </c>
    </row>
    <row r="1172" spans="28:34">
      <c r="AB1172" s="580">
        <f>HLOOKUP("*"&amp;'Output annual'!$AC$2&amp;'Output annual'!$AD$2&amp;"*Zone People Number Of Occupants [](Hourly)",'Eplus results'!$1:$1048576,ROW(),FALSE)</f>
        <v>0</v>
      </c>
      <c r="AC1172" s="580">
        <f>HLOOKUP("*"&amp;'Output annual'!$AC$2&amp;'Output annual'!$AD$2&amp;"*FangerPMV(Hourly)",'Eplus results'!$1:$1048576,ROW(),FALSE)</f>
        <v>0</v>
      </c>
      <c r="AD1172" s="580">
        <f t="shared" si="126"/>
        <v>5</v>
      </c>
      <c r="AE1172" s="580">
        <f t="shared" si="127"/>
        <v>2.5</v>
      </c>
      <c r="AF1172" s="580">
        <f t="shared" si="128"/>
        <v>2.5</v>
      </c>
      <c r="AG1172" s="580">
        <f t="shared" si="129"/>
        <v>0</v>
      </c>
      <c r="AH1172" s="580">
        <f t="shared" si="130"/>
        <v>0</v>
      </c>
    </row>
    <row r="1173" spans="28:34">
      <c r="AB1173" s="580">
        <f>HLOOKUP("*"&amp;'Output annual'!$AC$2&amp;'Output annual'!$AD$2&amp;"*Zone People Number Of Occupants [](Hourly)",'Eplus results'!$1:$1048576,ROW(),FALSE)</f>
        <v>0</v>
      </c>
      <c r="AC1173" s="580">
        <f>HLOOKUP("*"&amp;'Output annual'!$AC$2&amp;'Output annual'!$AD$2&amp;"*FangerPMV(Hourly)",'Eplus results'!$1:$1048576,ROW(),FALSE)</f>
        <v>0</v>
      </c>
      <c r="AD1173" s="580">
        <f t="shared" si="126"/>
        <v>5</v>
      </c>
      <c r="AE1173" s="580">
        <f t="shared" si="127"/>
        <v>2.5</v>
      </c>
      <c r="AF1173" s="580">
        <f t="shared" si="128"/>
        <v>2.5</v>
      </c>
      <c r="AG1173" s="580">
        <f t="shared" si="129"/>
        <v>0</v>
      </c>
      <c r="AH1173" s="580">
        <f t="shared" si="130"/>
        <v>0</v>
      </c>
    </row>
    <row r="1174" spans="28:34">
      <c r="AB1174" s="580">
        <f>HLOOKUP("*"&amp;'Output annual'!$AC$2&amp;'Output annual'!$AD$2&amp;"*Zone People Number Of Occupants [](Hourly)",'Eplus results'!$1:$1048576,ROW(),FALSE)</f>
        <v>0</v>
      </c>
      <c r="AC1174" s="580">
        <f>HLOOKUP("*"&amp;'Output annual'!$AC$2&amp;'Output annual'!$AD$2&amp;"*FangerPMV(Hourly)",'Eplus results'!$1:$1048576,ROW(),FALSE)</f>
        <v>0</v>
      </c>
      <c r="AD1174" s="580">
        <f t="shared" si="126"/>
        <v>5</v>
      </c>
      <c r="AE1174" s="580">
        <f t="shared" si="127"/>
        <v>2.5</v>
      </c>
      <c r="AF1174" s="580">
        <f t="shared" si="128"/>
        <v>2.5</v>
      </c>
      <c r="AG1174" s="580">
        <f t="shared" si="129"/>
        <v>0</v>
      </c>
      <c r="AH1174" s="580">
        <f t="shared" si="130"/>
        <v>0</v>
      </c>
    </row>
    <row r="1175" spans="28:34">
      <c r="AB1175" s="580">
        <f>HLOOKUP("*"&amp;'Output annual'!$AC$2&amp;'Output annual'!$AD$2&amp;"*Zone People Number Of Occupants [](Hourly)",'Eplus results'!$1:$1048576,ROW(),FALSE)</f>
        <v>0</v>
      </c>
      <c r="AC1175" s="580">
        <f>HLOOKUP("*"&amp;'Output annual'!$AC$2&amp;'Output annual'!$AD$2&amp;"*FangerPMV(Hourly)",'Eplus results'!$1:$1048576,ROW(),FALSE)</f>
        <v>0</v>
      </c>
      <c r="AD1175" s="580">
        <f t="shared" si="126"/>
        <v>5</v>
      </c>
      <c r="AE1175" s="580">
        <f t="shared" si="127"/>
        <v>2.5</v>
      </c>
      <c r="AF1175" s="580">
        <f t="shared" si="128"/>
        <v>2.5</v>
      </c>
      <c r="AG1175" s="580">
        <f t="shared" si="129"/>
        <v>0</v>
      </c>
      <c r="AH1175" s="580">
        <f t="shared" si="130"/>
        <v>0</v>
      </c>
    </row>
    <row r="1176" spans="28:34">
      <c r="AB1176" s="580">
        <f>HLOOKUP("*"&amp;'Output annual'!$AC$2&amp;'Output annual'!$AD$2&amp;"*Zone People Number Of Occupants [](Hourly)",'Eplus results'!$1:$1048576,ROW(),FALSE)</f>
        <v>0</v>
      </c>
      <c r="AC1176" s="580">
        <f>HLOOKUP("*"&amp;'Output annual'!$AC$2&amp;'Output annual'!$AD$2&amp;"*FangerPMV(Hourly)",'Eplus results'!$1:$1048576,ROW(),FALSE)</f>
        <v>0</v>
      </c>
      <c r="AD1176" s="580">
        <f t="shared" si="126"/>
        <v>5</v>
      </c>
      <c r="AE1176" s="580">
        <f t="shared" si="127"/>
        <v>2.5</v>
      </c>
      <c r="AF1176" s="580">
        <f t="shared" si="128"/>
        <v>2.5</v>
      </c>
      <c r="AG1176" s="580">
        <f t="shared" si="129"/>
        <v>0</v>
      </c>
      <c r="AH1176" s="580">
        <f t="shared" si="130"/>
        <v>0</v>
      </c>
    </row>
    <row r="1177" spans="28:34">
      <c r="AB1177" s="580">
        <f>HLOOKUP("*"&amp;'Output annual'!$AC$2&amp;'Output annual'!$AD$2&amp;"*Zone People Number Of Occupants [](Hourly)",'Eplus results'!$1:$1048576,ROW(),FALSE)</f>
        <v>0</v>
      </c>
      <c r="AC1177" s="580">
        <f>HLOOKUP("*"&amp;'Output annual'!$AC$2&amp;'Output annual'!$AD$2&amp;"*FangerPMV(Hourly)",'Eplus results'!$1:$1048576,ROW(),FALSE)</f>
        <v>0</v>
      </c>
      <c r="AD1177" s="580">
        <f t="shared" si="126"/>
        <v>5</v>
      </c>
      <c r="AE1177" s="580">
        <f t="shared" si="127"/>
        <v>2.5</v>
      </c>
      <c r="AF1177" s="580">
        <f t="shared" si="128"/>
        <v>2.5</v>
      </c>
      <c r="AG1177" s="580">
        <f t="shared" si="129"/>
        <v>0</v>
      </c>
      <c r="AH1177" s="580">
        <f t="shared" si="130"/>
        <v>0</v>
      </c>
    </row>
    <row r="1178" spans="28:34">
      <c r="AB1178" s="580">
        <f>HLOOKUP("*"&amp;'Output annual'!$AC$2&amp;'Output annual'!$AD$2&amp;"*Zone People Number Of Occupants [](Hourly)",'Eplus results'!$1:$1048576,ROW(),FALSE)</f>
        <v>0</v>
      </c>
      <c r="AC1178" s="580">
        <f>HLOOKUP("*"&amp;'Output annual'!$AC$2&amp;'Output annual'!$AD$2&amp;"*FangerPMV(Hourly)",'Eplus results'!$1:$1048576,ROW(),FALSE)</f>
        <v>0</v>
      </c>
      <c r="AD1178" s="580">
        <f t="shared" si="126"/>
        <v>5</v>
      </c>
      <c r="AE1178" s="580">
        <f t="shared" si="127"/>
        <v>2.5</v>
      </c>
      <c r="AF1178" s="580">
        <f t="shared" si="128"/>
        <v>2.5</v>
      </c>
      <c r="AG1178" s="580">
        <f t="shared" si="129"/>
        <v>0</v>
      </c>
      <c r="AH1178" s="580">
        <f t="shared" si="130"/>
        <v>0</v>
      </c>
    </row>
    <row r="1179" spans="28:34">
      <c r="AB1179" s="580">
        <f>HLOOKUP("*"&amp;'Output annual'!$AC$2&amp;'Output annual'!$AD$2&amp;"*Zone People Number Of Occupants [](Hourly)",'Eplus results'!$1:$1048576,ROW(),FALSE)</f>
        <v>0</v>
      </c>
      <c r="AC1179" s="580">
        <f>HLOOKUP("*"&amp;'Output annual'!$AC$2&amp;'Output annual'!$AD$2&amp;"*FangerPMV(Hourly)",'Eplus results'!$1:$1048576,ROW(),FALSE)</f>
        <v>0</v>
      </c>
      <c r="AD1179" s="580">
        <f t="shared" si="126"/>
        <v>5</v>
      </c>
      <c r="AE1179" s="580">
        <f t="shared" si="127"/>
        <v>2.5</v>
      </c>
      <c r="AF1179" s="580">
        <f t="shared" si="128"/>
        <v>2.5</v>
      </c>
      <c r="AG1179" s="580">
        <f t="shared" si="129"/>
        <v>0</v>
      </c>
      <c r="AH1179" s="580">
        <f t="shared" si="130"/>
        <v>0</v>
      </c>
    </row>
    <row r="1180" spans="28:34">
      <c r="AB1180" s="580">
        <f>HLOOKUP("*"&amp;'Output annual'!$AC$2&amp;'Output annual'!$AD$2&amp;"*Zone People Number Of Occupants [](Hourly)",'Eplus results'!$1:$1048576,ROW(),FALSE)</f>
        <v>0</v>
      </c>
      <c r="AC1180" s="580">
        <f>HLOOKUP("*"&amp;'Output annual'!$AC$2&amp;'Output annual'!$AD$2&amp;"*FangerPMV(Hourly)",'Eplus results'!$1:$1048576,ROW(),FALSE)</f>
        <v>0</v>
      </c>
      <c r="AD1180" s="580">
        <f t="shared" si="126"/>
        <v>5</v>
      </c>
      <c r="AE1180" s="580">
        <f t="shared" si="127"/>
        <v>2.5</v>
      </c>
      <c r="AF1180" s="580">
        <f t="shared" si="128"/>
        <v>2.5</v>
      </c>
      <c r="AG1180" s="580">
        <f t="shared" si="129"/>
        <v>0</v>
      </c>
      <c r="AH1180" s="580">
        <f t="shared" si="130"/>
        <v>0</v>
      </c>
    </row>
    <row r="1181" spans="28:34">
      <c r="AB1181" s="580">
        <f>HLOOKUP("*"&amp;'Output annual'!$AC$2&amp;'Output annual'!$AD$2&amp;"*Zone People Number Of Occupants [](Hourly)",'Eplus results'!$1:$1048576,ROW(),FALSE)</f>
        <v>0</v>
      </c>
      <c r="AC1181" s="580">
        <f>HLOOKUP("*"&amp;'Output annual'!$AC$2&amp;'Output annual'!$AD$2&amp;"*FangerPMV(Hourly)",'Eplus results'!$1:$1048576,ROW(),FALSE)</f>
        <v>0</v>
      </c>
      <c r="AD1181" s="580">
        <f t="shared" si="126"/>
        <v>5</v>
      </c>
      <c r="AE1181" s="580">
        <f t="shared" si="127"/>
        <v>2.5</v>
      </c>
      <c r="AF1181" s="580">
        <f t="shared" si="128"/>
        <v>2.5</v>
      </c>
      <c r="AG1181" s="580">
        <f t="shared" si="129"/>
        <v>0</v>
      </c>
      <c r="AH1181" s="580">
        <f t="shared" si="130"/>
        <v>0</v>
      </c>
    </row>
    <row r="1182" spans="28:34">
      <c r="AB1182" s="580">
        <f>HLOOKUP("*"&amp;'Output annual'!$AC$2&amp;'Output annual'!$AD$2&amp;"*Zone People Number Of Occupants [](Hourly)",'Eplus results'!$1:$1048576,ROW(),FALSE)</f>
        <v>0</v>
      </c>
      <c r="AC1182" s="580">
        <f>HLOOKUP("*"&amp;'Output annual'!$AC$2&amp;'Output annual'!$AD$2&amp;"*FangerPMV(Hourly)",'Eplus results'!$1:$1048576,ROW(),FALSE)</f>
        <v>0</v>
      </c>
      <c r="AD1182" s="580">
        <f t="shared" si="126"/>
        <v>5</v>
      </c>
      <c r="AE1182" s="580">
        <f t="shared" si="127"/>
        <v>2.5</v>
      </c>
      <c r="AF1182" s="580">
        <f t="shared" si="128"/>
        <v>2.5</v>
      </c>
      <c r="AG1182" s="580">
        <f t="shared" si="129"/>
        <v>0</v>
      </c>
      <c r="AH1182" s="580">
        <f t="shared" si="130"/>
        <v>0</v>
      </c>
    </row>
    <row r="1183" spans="28:34">
      <c r="AB1183" s="580">
        <f>HLOOKUP("*"&amp;'Output annual'!$AC$2&amp;'Output annual'!$AD$2&amp;"*Zone People Number Of Occupants [](Hourly)",'Eplus results'!$1:$1048576,ROW(),FALSE)</f>
        <v>0</v>
      </c>
      <c r="AC1183" s="580">
        <f>HLOOKUP("*"&amp;'Output annual'!$AC$2&amp;'Output annual'!$AD$2&amp;"*FangerPMV(Hourly)",'Eplus results'!$1:$1048576,ROW(),FALSE)</f>
        <v>0</v>
      </c>
      <c r="AD1183" s="580">
        <f t="shared" si="126"/>
        <v>5</v>
      </c>
      <c r="AE1183" s="580">
        <f t="shared" si="127"/>
        <v>2.5</v>
      </c>
      <c r="AF1183" s="580">
        <f t="shared" si="128"/>
        <v>2.5</v>
      </c>
      <c r="AG1183" s="580">
        <f t="shared" si="129"/>
        <v>0</v>
      </c>
      <c r="AH1183" s="580">
        <f t="shared" si="130"/>
        <v>0</v>
      </c>
    </row>
    <row r="1184" spans="28:34">
      <c r="AB1184" s="580">
        <f>HLOOKUP("*"&amp;'Output annual'!$AC$2&amp;'Output annual'!$AD$2&amp;"*Zone People Number Of Occupants [](Hourly)",'Eplus results'!$1:$1048576,ROW(),FALSE)</f>
        <v>0</v>
      </c>
      <c r="AC1184" s="580">
        <f>HLOOKUP("*"&amp;'Output annual'!$AC$2&amp;'Output annual'!$AD$2&amp;"*FangerPMV(Hourly)",'Eplus results'!$1:$1048576,ROW(),FALSE)</f>
        <v>0</v>
      </c>
      <c r="AD1184" s="580">
        <f t="shared" si="126"/>
        <v>5</v>
      </c>
      <c r="AE1184" s="580">
        <f t="shared" si="127"/>
        <v>2.5</v>
      </c>
      <c r="AF1184" s="580">
        <f t="shared" si="128"/>
        <v>2.5</v>
      </c>
      <c r="AG1184" s="580">
        <f t="shared" si="129"/>
        <v>0</v>
      </c>
      <c r="AH1184" s="580">
        <f t="shared" si="130"/>
        <v>0</v>
      </c>
    </row>
    <row r="1185" spans="28:34">
      <c r="AB1185" s="580">
        <f>HLOOKUP("*"&amp;'Output annual'!$AC$2&amp;'Output annual'!$AD$2&amp;"*Zone People Number Of Occupants [](Hourly)",'Eplus results'!$1:$1048576,ROW(),FALSE)</f>
        <v>0</v>
      </c>
      <c r="AC1185" s="580">
        <f>HLOOKUP("*"&amp;'Output annual'!$AC$2&amp;'Output annual'!$AD$2&amp;"*FangerPMV(Hourly)",'Eplus results'!$1:$1048576,ROW(),FALSE)</f>
        <v>0</v>
      </c>
      <c r="AD1185" s="580">
        <f t="shared" si="126"/>
        <v>5</v>
      </c>
      <c r="AE1185" s="580">
        <f t="shared" si="127"/>
        <v>2.5</v>
      </c>
      <c r="AF1185" s="580">
        <f t="shared" si="128"/>
        <v>2.5</v>
      </c>
      <c r="AG1185" s="580">
        <f t="shared" si="129"/>
        <v>0</v>
      </c>
      <c r="AH1185" s="580">
        <f t="shared" si="130"/>
        <v>0</v>
      </c>
    </row>
    <row r="1186" spans="28:34">
      <c r="AB1186" s="580">
        <f>HLOOKUP("*"&amp;'Output annual'!$AC$2&amp;'Output annual'!$AD$2&amp;"*Zone People Number Of Occupants [](Hourly)",'Eplus results'!$1:$1048576,ROW(),FALSE)</f>
        <v>0</v>
      </c>
      <c r="AC1186" s="580">
        <f>HLOOKUP("*"&amp;'Output annual'!$AC$2&amp;'Output annual'!$AD$2&amp;"*FangerPMV(Hourly)",'Eplus results'!$1:$1048576,ROW(),FALSE)</f>
        <v>0</v>
      </c>
      <c r="AD1186" s="580">
        <f t="shared" si="126"/>
        <v>5</v>
      </c>
      <c r="AE1186" s="580">
        <f t="shared" si="127"/>
        <v>2.5</v>
      </c>
      <c r="AF1186" s="580">
        <f t="shared" si="128"/>
        <v>2.5</v>
      </c>
      <c r="AG1186" s="580">
        <f t="shared" si="129"/>
        <v>0</v>
      </c>
      <c r="AH1186" s="580">
        <f t="shared" si="130"/>
        <v>0</v>
      </c>
    </row>
    <row r="1187" spans="28:34">
      <c r="AB1187" s="580">
        <f>HLOOKUP("*"&amp;'Output annual'!$AC$2&amp;'Output annual'!$AD$2&amp;"*Zone People Number Of Occupants [](Hourly)",'Eplus results'!$1:$1048576,ROW(),FALSE)</f>
        <v>0</v>
      </c>
      <c r="AC1187" s="580">
        <f>HLOOKUP("*"&amp;'Output annual'!$AC$2&amp;'Output annual'!$AD$2&amp;"*FangerPMV(Hourly)",'Eplus results'!$1:$1048576,ROW(),FALSE)</f>
        <v>0</v>
      </c>
      <c r="AD1187" s="580">
        <f t="shared" si="126"/>
        <v>5</v>
      </c>
      <c r="AE1187" s="580">
        <f t="shared" si="127"/>
        <v>2.5</v>
      </c>
      <c r="AF1187" s="580">
        <f t="shared" si="128"/>
        <v>2.5</v>
      </c>
      <c r="AG1187" s="580">
        <f t="shared" si="129"/>
        <v>0</v>
      </c>
      <c r="AH1187" s="580">
        <f t="shared" si="130"/>
        <v>0</v>
      </c>
    </row>
    <row r="1188" spans="28:34">
      <c r="AB1188" s="580">
        <f>HLOOKUP("*"&amp;'Output annual'!$AC$2&amp;'Output annual'!$AD$2&amp;"*Zone People Number Of Occupants [](Hourly)",'Eplus results'!$1:$1048576,ROW(),FALSE)</f>
        <v>0</v>
      </c>
      <c r="AC1188" s="580">
        <f>HLOOKUP("*"&amp;'Output annual'!$AC$2&amp;'Output annual'!$AD$2&amp;"*FangerPMV(Hourly)",'Eplus results'!$1:$1048576,ROW(),FALSE)</f>
        <v>0</v>
      </c>
      <c r="AD1188" s="580">
        <f t="shared" si="126"/>
        <v>5</v>
      </c>
      <c r="AE1188" s="580">
        <f t="shared" si="127"/>
        <v>2.5</v>
      </c>
      <c r="AF1188" s="580">
        <f t="shared" si="128"/>
        <v>2.5</v>
      </c>
      <c r="AG1188" s="580">
        <f t="shared" si="129"/>
        <v>0</v>
      </c>
      <c r="AH1188" s="580">
        <f t="shared" si="130"/>
        <v>0</v>
      </c>
    </row>
    <row r="1189" spans="28:34">
      <c r="AB1189" s="580">
        <f>HLOOKUP("*"&amp;'Output annual'!$AC$2&amp;'Output annual'!$AD$2&amp;"*Zone People Number Of Occupants [](Hourly)",'Eplus results'!$1:$1048576,ROW(),FALSE)</f>
        <v>0</v>
      </c>
      <c r="AC1189" s="580">
        <f>HLOOKUP("*"&amp;'Output annual'!$AC$2&amp;'Output annual'!$AD$2&amp;"*FangerPMV(Hourly)",'Eplus results'!$1:$1048576,ROW(),FALSE)</f>
        <v>0</v>
      </c>
      <c r="AD1189" s="580">
        <f t="shared" si="126"/>
        <v>5</v>
      </c>
      <c r="AE1189" s="580">
        <f t="shared" si="127"/>
        <v>2.5</v>
      </c>
      <c r="AF1189" s="580">
        <f t="shared" si="128"/>
        <v>2.5</v>
      </c>
      <c r="AG1189" s="580">
        <f t="shared" si="129"/>
        <v>0</v>
      </c>
      <c r="AH1189" s="580">
        <f t="shared" si="130"/>
        <v>0</v>
      </c>
    </row>
    <row r="1190" spans="28:34">
      <c r="AB1190" s="580">
        <f>HLOOKUP("*"&amp;'Output annual'!$AC$2&amp;'Output annual'!$AD$2&amp;"*Zone People Number Of Occupants [](Hourly)",'Eplus results'!$1:$1048576,ROW(),FALSE)</f>
        <v>0</v>
      </c>
      <c r="AC1190" s="580">
        <f>HLOOKUP("*"&amp;'Output annual'!$AC$2&amp;'Output annual'!$AD$2&amp;"*FangerPMV(Hourly)",'Eplus results'!$1:$1048576,ROW(),FALSE)</f>
        <v>0</v>
      </c>
      <c r="AD1190" s="580">
        <f t="shared" si="126"/>
        <v>5</v>
      </c>
      <c r="AE1190" s="580">
        <f t="shared" si="127"/>
        <v>2.5</v>
      </c>
      <c r="AF1190" s="580">
        <f t="shared" si="128"/>
        <v>2.5</v>
      </c>
      <c r="AG1190" s="580">
        <f t="shared" si="129"/>
        <v>0</v>
      </c>
      <c r="AH1190" s="580">
        <f t="shared" si="130"/>
        <v>0</v>
      </c>
    </row>
    <row r="1191" spans="28:34">
      <c r="AB1191" s="580">
        <f>HLOOKUP("*"&amp;'Output annual'!$AC$2&amp;'Output annual'!$AD$2&amp;"*Zone People Number Of Occupants [](Hourly)",'Eplus results'!$1:$1048576,ROW(),FALSE)</f>
        <v>0</v>
      </c>
      <c r="AC1191" s="580">
        <f>HLOOKUP("*"&amp;'Output annual'!$AC$2&amp;'Output annual'!$AD$2&amp;"*FangerPMV(Hourly)",'Eplus results'!$1:$1048576,ROW(),FALSE)</f>
        <v>0</v>
      </c>
      <c r="AD1191" s="580">
        <f t="shared" si="126"/>
        <v>5</v>
      </c>
      <c r="AE1191" s="580">
        <f t="shared" si="127"/>
        <v>2.5</v>
      </c>
      <c r="AF1191" s="580">
        <f t="shared" si="128"/>
        <v>2.5</v>
      </c>
      <c r="AG1191" s="580">
        <f t="shared" si="129"/>
        <v>0</v>
      </c>
      <c r="AH1191" s="580">
        <f t="shared" si="130"/>
        <v>0</v>
      </c>
    </row>
    <row r="1192" spans="28:34">
      <c r="AB1192" s="580">
        <f>HLOOKUP("*"&amp;'Output annual'!$AC$2&amp;'Output annual'!$AD$2&amp;"*Zone People Number Of Occupants [](Hourly)",'Eplus results'!$1:$1048576,ROW(),FALSE)</f>
        <v>0</v>
      </c>
      <c r="AC1192" s="580">
        <f>HLOOKUP("*"&amp;'Output annual'!$AC$2&amp;'Output annual'!$AD$2&amp;"*FangerPMV(Hourly)",'Eplus results'!$1:$1048576,ROW(),FALSE)</f>
        <v>0</v>
      </c>
      <c r="AD1192" s="580">
        <f t="shared" si="126"/>
        <v>5</v>
      </c>
      <c r="AE1192" s="580">
        <f t="shared" si="127"/>
        <v>2.5</v>
      </c>
      <c r="AF1192" s="580">
        <f t="shared" si="128"/>
        <v>2.5</v>
      </c>
      <c r="AG1192" s="580">
        <f t="shared" si="129"/>
        <v>0</v>
      </c>
      <c r="AH1192" s="580">
        <f t="shared" si="130"/>
        <v>0</v>
      </c>
    </row>
    <row r="1193" spans="28:34">
      <c r="AB1193" s="580">
        <f>HLOOKUP("*"&amp;'Output annual'!$AC$2&amp;'Output annual'!$AD$2&amp;"*Zone People Number Of Occupants [](Hourly)",'Eplus results'!$1:$1048576,ROW(),FALSE)</f>
        <v>0</v>
      </c>
      <c r="AC1193" s="580">
        <f>HLOOKUP("*"&amp;'Output annual'!$AC$2&amp;'Output annual'!$AD$2&amp;"*FangerPMV(Hourly)",'Eplus results'!$1:$1048576,ROW(),FALSE)</f>
        <v>0</v>
      </c>
      <c r="AD1193" s="580">
        <f t="shared" si="126"/>
        <v>5</v>
      </c>
      <c r="AE1193" s="580">
        <f t="shared" si="127"/>
        <v>2.5</v>
      </c>
      <c r="AF1193" s="580">
        <f t="shared" si="128"/>
        <v>2.5</v>
      </c>
      <c r="AG1193" s="580">
        <f t="shared" si="129"/>
        <v>0</v>
      </c>
      <c r="AH1193" s="580">
        <f t="shared" si="130"/>
        <v>0</v>
      </c>
    </row>
    <row r="1194" spans="28:34">
      <c r="AB1194" s="580">
        <f>HLOOKUP("*"&amp;'Output annual'!$AC$2&amp;'Output annual'!$AD$2&amp;"*Zone People Number Of Occupants [](Hourly)",'Eplus results'!$1:$1048576,ROW(),FALSE)</f>
        <v>0</v>
      </c>
      <c r="AC1194" s="580">
        <f>HLOOKUP("*"&amp;'Output annual'!$AC$2&amp;'Output annual'!$AD$2&amp;"*FangerPMV(Hourly)",'Eplus results'!$1:$1048576,ROW(),FALSE)</f>
        <v>0</v>
      </c>
      <c r="AD1194" s="580">
        <f t="shared" si="126"/>
        <v>5</v>
      </c>
      <c r="AE1194" s="580">
        <f t="shared" si="127"/>
        <v>2.5</v>
      </c>
      <c r="AF1194" s="580">
        <f t="shared" si="128"/>
        <v>2.5</v>
      </c>
      <c r="AG1194" s="580">
        <f t="shared" si="129"/>
        <v>0</v>
      </c>
      <c r="AH1194" s="580">
        <f t="shared" si="130"/>
        <v>0</v>
      </c>
    </row>
    <row r="1195" spans="28:34">
      <c r="AB1195" s="580">
        <f>HLOOKUP("*"&amp;'Output annual'!$AC$2&amp;'Output annual'!$AD$2&amp;"*Zone People Number Of Occupants [](Hourly)",'Eplus results'!$1:$1048576,ROW(),FALSE)</f>
        <v>0</v>
      </c>
      <c r="AC1195" s="580">
        <f>HLOOKUP("*"&amp;'Output annual'!$AC$2&amp;'Output annual'!$AD$2&amp;"*FangerPMV(Hourly)",'Eplus results'!$1:$1048576,ROW(),FALSE)</f>
        <v>0</v>
      </c>
      <c r="AD1195" s="580">
        <f t="shared" si="126"/>
        <v>5</v>
      </c>
      <c r="AE1195" s="580">
        <f t="shared" si="127"/>
        <v>2.5</v>
      </c>
      <c r="AF1195" s="580">
        <f t="shared" si="128"/>
        <v>2.5</v>
      </c>
      <c r="AG1195" s="580">
        <f t="shared" si="129"/>
        <v>0</v>
      </c>
      <c r="AH1195" s="580">
        <f t="shared" si="130"/>
        <v>0</v>
      </c>
    </row>
    <row r="1196" spans="28:34">
      <c r="AB1196" s="580">
        <f>HLOOKUP("*"&amp;'Output annual'!$AC$2&amp;'Output annual'!$AD$2&amp;"*Zone People Number Of Occupants [](Hourly)",'Eplus results'!$1:$1048576,ROW(),FALSE)</f>
        <v>0</v>
      </c>
      <c r="AC1196" s="580">
        <f>HLOOKUP("*"&amp;'Output annual'!$AC$2&amp;'Output annual'!$AD$2&amp;"*FangerPMV(Hourly)",'Eplus results'!$1:$1048576,ROW(),FALSE)</f>
        <v>0</v>
      </c>
      <c r="AD1196" s="580">
        <f t="shared" si="126"/>
        <v>5</v>
      </c>
      <c r="AE1196" s="580">
        <f t="shared" si="127"/>
        <v>2.5</v>
      </c>
      <c r="AF1196" s="580">
        <f t="shared" si="128"/>
        <v>2.5</v>
      </c>
      <c r="AG1196" s="580">
        <f t="shared" si="129"/>
        <v>0</v>
      </c>
      <c r="AH1196" s="580">
        <f t="shared" si="130"/>
        <v>0</v>
      </c>
    </row>
    <row r="1197" spans="28:34">
      <c r="AB1197" s="580">
        <f>HLOOKUP("*"&amp;'Output annual'!$AC$2&amp;'Output annual'!$AD$2&amp;"*Zone People Number Of Occupants [](Hourly)",'Eplus results'!$1:$1048576,ROW(),FALSE)</f>
        <v>0</v>
      </c>
      <c r="AC1197" s="580">
        <f>HLOOKUP("*"&amp;'Output annual'!$AC$2&amp;'Output annual'!$AD$2&amp;"*FangerPMV(Hourly)",'Eplus results'!$1:$1048576,ROW(),FALSE)</f>
        <v>0</v>
      </c>
      <c r="AD1197" s="580">
        <f t="shared" si="126"/>
        <v>5</v>
      </c>
      <c r="AE1197" s="580">
        <f t="shared" si="127"/>
        <v>2.5</v>
      </c>
      <c r="AF1197" s="580">
        <f t="shared" si="128"/>
        <v>2.5</v>
      </c>
      <c r="AG1197" s="580">
        <f t="shared" si="129"/>
        <v>0</v>
      </c>
      <c r="AH1197" s="580">
        <f t="shared" si="130"/>
        <v>0</v>
      </c>
    </row>
    <row r="1198" spans="28:34">
      <c r="AB1198" s="580">
        <f>HLOOKUP("*"&amp;'Output annual'!$AC$2&amp;'Output annual'!$AD$2&amp;"*Zone People Number Of Occupants [](Hourly)",'Eplus results'!$1:$1048576,ROW(),FALSE)</f>
        <v>0</v>
      </c>
      <c r="AC1198" s="580">
        <f>HLOOKUP("*"&amp;'Output annual'!$AC$2&amp;'Output annual'!$AD$2&amp;"*FangerPMV(Hourly)",'Eplus results'!$1:$1048576,ROW(),FALSE)</f>
        <v>0</v>
      </c>
      <c r="AD1198" s="580">
        <f t="shared" si="126"/>
        <v>5</v>
      </c>
      <c r="AE1198" s="580">
        <f t="shared" si="127"/>
        <v>2.5</v>
      </c>
      <c r="AF1198" s="580">
        <f t="shared" si="128"/>
        <v>2.5</v>
      </c>
      <c r="AG1198" s="580">
        <f t="shared" si="129"/>
        <v>0</v>
      </c>
      <c r="AH1198" s="580">
        <f t="shared" si="130"/>
        <v>0</v>
      </c>
    </row>
    <row r="1199" spans="28:34">
      <c r="AB1199" s="580">
        <f>HLOOKUP("*"&amp;'Output annual'!$AC$2&amp;'Output annual'!$AD$2&amp;"*Zone People Number Of Occupants [](Hourly)",'Eplus results'!$1:$1048576,ROW(),FALSE)</f>
        <v>0</v>
      </c>
      <c r="AC1199" s="580">
        <f>HLOOKUP("*"&amp;'Output annual'!$AC$2&amp;'Output annual'!$AD$2&amp;"*FangerPMV(Hourly)",'Eplus results'!$1:$1048576,ROW(),FALSE)</f>
        <v>0</v>
      </c>
      <c r="AD1199" s="580">
        <f t="shared" si="126"/>
        <v>5</v>
      </c>
      <c r="AE1199" s="580">
        <f t="shared" si="127"/>
        <v>2.5</v>
      </c>
      <c r="AF1199" s="580">
        <f t="shared" si="128"/>
        <v>2.5</v>
      </c>
      <c r="AG1199" s="580">
        <f t="shared" si="129"/>
        <v>0</v>
      </c>
      <c r="AH1199" s="580">
        <f t="shared" si="130"/>
        <v>0</v>
      </c>
    </row>
    <row r="1200" spans="28:34">
      <c r="AB1200" s="580">
        <f>HLOOKUP("*"&amp;'Output annual'!$AC$2&amp;'Output annual'!$AD$2&amp;"*Zone People Number Of Occupants [](Hourly)",'Eplus results'!$1:$1048576,ROW(),FALSE)</f>
        <v>0</v>
      </c>
      <c r="AC1200" s="580">
        <f>HLOOKUP("*"&amp;'Output annual'!$AC$2&amp;'Output annual'!$AD$2&amp;"*FangerPMV(Hourly)",'Eplus results'!$1:$1048576,ROW(),FALSE)</f>
        <v>0</v>
      </c>
      <c r="AD1200" s="580">
        <f t="shared" si="126"/>
        <v>5</v>
      </c>
      <c r="AE1200" s="580">
        <f t="shared" si="127"/>
        <v>2.5</v>
      </c>
      <c r="AF1200" s="580">
        <f t="shared" si="128"/>
        <v>2.5</v>
      </c>
      <c r="AG1200" s="580">
        <f t="shared" si="129"/>
        <v>0</v>
      </c>
      <c r="AH1200" s="580">
        <f t="shared" si="130"/>
        <v>0</v>
      </c>
    </row>
    <row r="1201" spans="28:34">
      <c r="AB1201" s="580">
        <f>HLOOKUP("*"&amp;'Output annual'!$AC$2&amp;'Output annual'!$AD$2&amp;"*Zone People Number Of Occupants [](Hourly)",'Eplus results'!$1:$1048576,ROW(),FALSE)</f>
        <v>0</v>
      </c>
      <c r="AC1201" s="580">
        <f>HLOOKUP("*"&amp;'Output annual'!$AC$2&amp;'Output annual'!$AD$2&amp;"*FangerPMV(Hourly)",'Eplus results'!$1:$1048576,ROW(),FALSE)</f>
        <v>0</v>
      </c>
      <c r="AD1201" s="580">
        <f t="shared" si="126"/>
        <v>5</v>
      </c>
      <c r="AE1201" s="580">
        <f t="shared" si="127"/>
        <v>2.5</v>
      </c>
      <c r="AF1201" s="580">
        <f t="shared" si="128"/>
        <v>2.5</v>
      </c>
      <c r="AG1201" s="580">
        <f t="shared" si="129"/>
        <v>0</v>
      </c>
      <c r="AH1201" s="580">
        <f t="shared" si="130"/>
        <v>0</v>
      </c>
    </row>
    <row r="1202" spans="28:34">
      <c r="AB1202" s="580">
        <f>HLOOKUP("*"&amp;'Output annual'!$AC$2&amp;'Output annual'!$AD$2&amp;"*Zone People Number Of Occupants [](Hourly)",'Eplus results'!$1:$1048576,ROW(),FALSE)</f>
        <v>0</v>
      </c>
      <c r="AC1202" s="580">
        <f>HLOOKUP("*"&amp;'Output annual'!$AC$2&amp;'Output annual'!$AD$2&amp;"*FangerPMV(Hourly)",'Eplus results'!$1:$1048576,ROW(),FALSE)</f>
        <v>0</v>
      </c>
      <c r="AD1202" s="580">
        <f t="shared" si="126"/>
        <v>5</v>
      </c>
      <c r="AE1202" s="580">
        <f t="shared" si="127"/>
        <v>2.5</v>
      </c>
      <c r="AF1202" s="580">
        <f t="shared" si="128"/>
        <v>2.5</v>
      </c>
      <c r="AG1202" s="580">
        <f t="shared" si="129"/>
        <v>0</v>
      </c>
      <c r="AH1202" s="580">
        <f t="shared" si="130"/>
        <v>0</v>
      </c>
    </row>
    <row r="1203" spans="28:34">
      <c r="AB1203" s="580">
        <f>HLOOKUP("*"&amp;'Output annual'!$AC$2&amp;'Output annual'!$AD$2&amp;"*Zone People Number Of Occupants [](Hourly)",'Eplus results'!$1:$1048576,ROW(),FALSE)</f>
        <v>0</v>
      </c>
      <c r="AC1203" s="580">
        <f>HLOOKUP("*"&amp;'Output annual'!$AC$2&amp;'Output annual'!$AD$2&amp;"*FangerPMV(Hourly)",'Eplus results'!$1:$1048576,ROW(),FALSE)</f>
        <v>0</v>
      </c>
      <c r="AD1203" s="580">
        <f t="shared" si="126"/>
        <v>5</v>
      </c>
      <c r="AE1203" s="580">
        <f t="shared" si="127"/>
        <v>2.5</v>
      </c>
      <c r="AF1203" s="580">
        <f t="shared" si="128"/>
        <v>2.5</v>
      </c>
      <c r="AG1203" s="580">
        <f t="shared" si="129"/>
        <v>0</v>
      </c>
      <c r="AH1203" s="580">
        <f t="shared" si="130"/>
        <v>0</v>
      </c>
    </row>
    <row r="1204" spans="28:34">
      <c r="AB1204" s="580">
        <f>HLOOKUP("*"&amp;'Output annual'!$AC$2&amp;'Output annual'!$AD$2&amp;"*Zone People Number Of Occupants [](Hourly)",'Eplus results'!$1:$1048576,ROW(),FALSE)</f>
        <v>0</v>
      </c>
      <c r="AC1204" s="580">
        <f>HLOOKUP("*"&amp;'Output annual'!$AC$2&amp;'Output annual'!$AD$2&amp;"*FangerPMV(Hourly)",'Eplus results'!$1:$1048576,ROW(),FALSE)</f>
        <v>0</v>
      </c>
      <c r="AD1204" s="580">
        <f t="shared" si="126"/>
        <v>5</v>
      </c>
      <c r="AE1204" s="580">
        <f t="shared" si="127"/>
        <v>2.5</v>
      </c>
      <c r="AF1204" s="580">
        <f t="shared" si="128"/>
        <v>2.5</v>
      </c>
      <c r="AG1204" s="580">
        <f t="shared" si="129"/>
        <v>0</v>
      </c>
      <c r="AH1204" s="580">
        <f t="shared" si="130"/>
        <v>0</v>
      </c>
    </row>
    <row r="1205" spans="28:34">
      <c r="AB1205" s="580">
        <f>HLOOKUP("*"&amp;'Output annual'!$AC$2&amp;'Output annual'!$AD$2&amp;"*Zone People Number Of Occupants [](Hourly)",'Eplus results'!$1:$1048576,ROW(),FALSE)</f>
        <v>0</v>
      </c>
      <c r="AC1205" s="580">
        <f>HLOOKUP("*"&amp;'Output annual'!$AC$2&amp;'Output annual'!$AD$2&amp;"*FangerPMV(Hourly)",'Eplus results'!$1:$1048576,ROW(),FALSE)</f>
        <v>0</v>
      </c>
      <c r="AD1205" s="580">
        <f t="shared" si="126"/>
        <v>5</v>
      </c>
      <c r="AE1205" s="580">
        <f t="shared" si="127"/>
        <v>2.5</v>
      </c>
      <c r="AF1205" s="580">
        <f t="shared" si="128"/>
        <v>2.5</v>
      </c>
      <c r="AG1205" s="580">
        <f t="shared" si="129"/>
        <v>0</v>
      </c>
      <c r="AH1205" s="580">
        <f t="shared" si="130"/>
        <v>0</v>
      </c>
    </row>
    <row r="1206" spans="28:34">
      <c r="AB1206" s="580">
        <f>HLOOKUP("*"&amp;'Output annual'!$AC$2&amp;'Output annual'!$AD$2&amp;"*Zone People Number Of Occupants [](Hourly)",'Eplus results'!$1:$1048576,ROW(),FALSE)</f>
        <v>0</v>
      </c>
      <c r="AC1206" s="580">
        <f>HLOOKUP("*"&amp;'Output annual'!$AC$2&amp;'Output annual'!$AD$2&amp;"*FangerPMV(Hourly)",'Eplus results'!$1:$1048576,ROW(),FALSE)</f>
        <v>0</v>
      </c>
      <c r="AD1206" s="580">
        <f t="shared" si="126"/>
        <v>5</v>
      </c>
      <c r="AE1206" s="580">
        <f t="shared" si="127"/>
        <v>2.5</v>
      </c>
      <c r="AF1206" s="580">
        <f t="shared" si="128"/>
        <v>2.5</v>
      </c>
      <c r="AG1206" s="580">
        <f t="shared" si="129"/>
        <v>0</v>
      </c>
      <c r="AH1206" s="580">
        <f t="shared" si="130"/>
        <v>0</v>
      </c>
    </row>
    <row r="1207" spans="28:34">
      <c r="AB1207" s="580">
        <f>HLOOKUP("*"&amp;'Output annual'!$AC$2&amp;'Output annual'!$AD$2&amp;"*Zone People Number Of Occupants [](Hourly)",'Eplus results'!$1:$1048576,ROW(),FALSE)</f>
        <v>0</v>
      </c>
      <c r="AC1207" s="580">
        <f>HLOOKUP("*"&amp;'Output annual'!$AC$2&amp;'Output annual'!$AD$2&amp;"*FangerPMV(Hourly)",'Eplus results'!$1:$1048576,ROW(),FALSE)</f>
        <v>0</v>
      </c>
      <c r="AD1207" s="580">
        <f t="shared" si="126"/>
        <v>5</v>
      </c>
      <c r="AE1207" s="580">
        <f t="shared" si="127"/>
        <v>2.5</v>
      </c>
      <c r="AF1207" s="580">
        <f t="shared" si="128"/>
        <v>2.5</v>
      </c>
      <c r="AG1207" s="580">
        <f t="shared" si="129"/>
        <v>0</v>
      </c>
      <c r="AH1207" s="580">
        <f t="shared" si="130"/>
        <v>0</v>
      </c>
    </row>
    <row r="1208" spans="28:34">
      <c r="AB1208" s="580">
        <f>HLOOKUP("*"&amp;'Output annual'!$AC$2&amp;'Output annual'!$AD$2&amp;"*Zone People Number Of Occupants [](Hourly)",'Eplus results'!$1:$1048576,ROW(),FALSE)</f>
        <v>0</v>
      </c>
      <c r="AC1208" s="580">
        <f>HLOOKUP("*"&amp;'Output annual'!$AC$2&amp;'Output annual'!$AD$2&amp;"*FangerPMV(Hourly)",'Eplus results'!$1:$1048576,ROW(),FALSE)</f>
        <v>0</v>
      </c>
      <c r="AD1208" s="580">
        <f t="shared" si="126"/>
        <v>5</v>
      </c>
      <c r="AE1208" s="580">
        <f t="shared" si="127"/>
        <v>2.5</v>
      </c>
      <c r="AF1208" s="580">
        <f t="shared" si="128"/>
        <v>2.5</v>
      </c>
      <c r="AG1208" s="580">
        <f t="shared" si="129"/>
        <v>0</v>
      </c>
      <c r="AH1208" s="580">
        <f t="shared" si="130"/>
        <v>0</v>
      </c>
    </row>
    <row r="1209" spans="28:34">
      <c r="AB1209" s="580">
        <f>HLOOKUP("*"&amp;'Output annual'!$AC$2&amp;'Output annual'!$AD$2&amp;"*Zone People Number Of Occupants [](Hourly)",'Eplus results'!$1:$1048576,ROW(),FALSE)</f>
        <v>0</v>
      </c>
      <c r="AC1209" s="580">
        <f>HLOOKUP("*"&amp;'Output annual'!$AC$2&amp;'Output annual'!$AD$2&amp;"*FangerPMV(Hourly)",'Eplus results'!$1:$1048576,ROW(),FALSE)</f>
        <v>0</v>
      </c>
      <c r="AD1209" s="580">
        <f t="shared" si="126"/>
        <v>5</v>
      </c>
      <c r="AE1209" s="580">
        <f t="shared" si="127"/>
        <v>2.5</v>
      </c>
      <c r="AF1209" s="580">
        <f t="shared" si="128"/>
        <v>2.5</v>
      </c>
      <c r="AG1209" s="580">
        <f t="shared" si="129"/>
        <v>0</v>
      </c>
      <c r="AH1209" s="580">
        <f t="shared" si="130"/>
        <v>0</v>
      </c>
    </row>
    <row r="1210" spans="28:34">
      <c r="AB1210" s="580">
        <f>HLOOKUP("*"&amp;'Output annual'!$AC$2&amp;'Output annual'!$AD$2&amp;"*Zone People Number Of Occupants [](Hourly)",'Eplus results'!$1:$1048576,ROW(),FALSE)</f>
        <v>0</v>
      </c>
      <c r="AC1210" s="580">
        <f>HLOOKUP("*"&amp;'Output annual'!$AC$2&amp;'Output annual'!$AD$2&amp;"*FangerPMV(Hourly)",'Eplus results'!$1:$1048576,ROW(),FALSE)</f>
        <v>0</v>
      </c>
      <c r="AD1210" s="580">
        <f t="shared" si="126"/>
        <v>5</v>
      </c>
      <c r="AE1210" s="580">
        <f t="shared" si="127"/>
        <v>2.5</v>
      </c>
      <c r="AF1210" s="580">
        <f t="shared" si="128"/>
        <v>2.5</v>
      </c>
      <c r="AG1210" s="580">
        <f t="shared" si="129"/>
        <v>0</v>
      </c>
      <c r="AH1210" s="580">
        <f t="shared" si="130"/>
        <v>0</v>
      </c>
    </row>
    <row r="1211" spans="28:34">
      <c r="AB1211" s="580">
        <f>HLOOKUP("*"&amp;'Output annual'!$AC$2&amp;'Output annual'!$AD$2&amp;"*Zone People Number Of Occupants [](Hourly)",'Eplus results'!$1:$1048576,ROW(),FALSE)</f>
        <v>0</v>
      </c>
      <c r="AC1211" s="580">
        <f>HLOOKUP("*"&amp;'Output annual'!$AC$2&amp;'Output annual'!$AD$2&amp;"*FangerPMV(Hourly)",'Eplus results'!$1:$1048576,ROW(),FALSE)</f>
        <v>0</v>
      </c>
      <c r="AD1211" s="580">
        <f t="shared" si="126"/>
        <v>5</v>
      </c>
      <c r="AE1211" s="580">
        <f t="shared" si="127"/>
        <v>2.5</v>
      </c>
      <c r="AF1211" s="580">
        <f t="shared" si="128"/>
        <v>2.5</v>
      </c>
      <c r="AG1211" s="580">
        <f t="shared" si="129"/>
        <v>0</v>
      </c>
      <c r="AH1211" s="580">
        <f t="shared" si="130"/>
        <v>0</v>
      </c>
    </row>
    <row r="1212" spans="28:34">
      <c r="AB1212" s="580">
        <f>HLOOKUP("*"&amp;'Output annual'!$AC$2&amp;'Output annual'!$AD$2&amp;"*Zone People Number Of Occupants [](Hourly)",'Eplus results'!$1:$1048576,ROW(),FALSE)</f>
        <v>0</v>
      </c>
      <c r="AC1212" s="580">
        <f>HLOOKUP("*"&amp;'Output annual'!$AC$2&amp;'Output annual'!$AD$2&amp;"*FangerPMV(Hourly)",'Eplus results'!$1:$1048576,ROW(),FALSE)</f>
        <v>0</v>
      </c>
      <c r="AD1212" s="580">
        <f t="shared" si="126"/>
        <v>5</v>
      </c>
      <c r="AE1212" s="580">
        <f t="shared" si="127"/>
        <v>2.5</v>
      </c>
      <c r="AF1212" s="580">
        <f t="shared" si="128"/>
        <v>2.5</v>
      </c>
      <c r="AG1212" s="580">
        <f t="shared" si="129"/>
        <v>0</v>
      </c>
      <c r="AH1212" s="580">
        <f t="shared" si="130"/>
        <v>0</v>
      </c>
    </row>
    <row r="1213" spans="28:34">
      <c r="AB1213" s="580">
        <f>HLOOKUP("*"&amp;'Output annual'!$AC$2&amp;'Output annual'!$AD$2&amp;"*Zone People Number Of Occupants [](Hourly)",'Eplus results'!$1:$1048576,ROW(),FALSE)</f>
        <v>0</v>
      </c>
      <c r="AC1213" s="580">
        <f>HLOOKUP("*"&amp;'Output annual'!$AC$2&amp;'Output annual'!$AD$2&amp;"*FangerPMV(Hourly)",'Eplus results'!$1:$1048576,ROW(),FALSE)</f>
        <v>0</v>
      </c>
      <c r="AD1213" s="580">
        <f t="shared" si="126"/>
        <v>5</v>
      </c>
      <c r="AE1213" s="580">
        <f t="shared" si="127"/>
        <v>2.5</v>
      </c>
      <c r="AF1213" s="580">
        <f t="shared" si="128"/>
        <v>2.5</v>
      </c>
      <c r="AG1213" s="580">
        <f t="shared" si="129"/>
        <v>0</v>
      </c>
      <c r="AH1213" s="580">
        <f t="shared" si="130"/>
        <v>0</v>
      </c>
    </row>
    <row r="1214" spans="28:34">
      <c r="AB1214" s="580">
        <f>HLOOKUP("*"&amp;'Output annual'!$AC$2&amp;'Output annual'!$AD$2&amp;"*Zone People Number Of Occupants [](Hourly)",'Eplus results'!$1:$1048576,ROW(),FALSE)</f>
        <v>0</v>
      </c>
      <c r="AC1214" s="580">
        <f>HLOOKUP("*"&amp;'Output annual'!$AC$2&amp;'Output annual'!$AD$2&amp;"*FangerPMV(Hourly)",'Eplus results'!$1:$1048576,ROW(),FALSE)</f>
        <v>0</v>
      </c>
      <c r="AD1214" s="580">
        <f t="shared" si="126"/>
        <v>5</v>
      </c>
      <c r="AE1214" s="580">
        <f t="shared" si="127"/>
        <v>2.5</v>
      </c>
      <c r="AF1214" s="580">
        <f t="shared" si="128"/>
        <v>2.5</v>
      </c>
      <c r="AG1214" s="580">
        <f t="shared" si="129"/>
        <v>0</v>
      </c>
      <c r="AH1214" s="580">
        <f t="shared" si="130"/>
        <v>0</v>
      </c>
    </row>
    <row r="1215" spans="28:34">
      <c r="AB1215" s="580">
        <f>HLOOKUP("*"&amp;'Output annual'!$AC$2&amp;'Output annual'!$AD$2&amp;"*Zone People Number Of Occupants [](Hourly)",'Eplus results'!$1:$1048576,ROW(),FALSE)</f>
        <v>0</v>
      </c>
      <c r="AC1215" s="580">
        <f>HLOOKUP("*"&amp;'Output annual'!$AC$2&amp;'Output annual'!$AD$2&amp;"*FangerPMV(Hourly)",'Eplus results'!$1:$1048576,ROW(),FALSE)</f>
        <v>0</v>
      </c>
      <c r="AD1215" s="580">
        <f t="shared" si="126"/>
        <v>5</v>
      </c>
      <c r="AE1215" s="580">
        <f t="shared" si="127"/>
        <v>2.5</v>
      </c>
      <c r="AF1215" s="580">
        <f t="shared" si="128"/>
        <v>2.5</v>
      </c>
      <c r="AG1215" s="580">
        <f t="shared" si="129"/>
        <v>0</v>
      </c>
      <c r="AH1215" s="580">
        <f t="shared" si="130"/>
        <v>0</v>
      </c>
    </row>
    <row r="1216" spans="28:34">
      <c r="AB1216" s="580">
        <f>HLOOKUP("*"&amp;'Output annual'!$AC$2&amp;'Output annual'!$AD$2&amp;"*Zone People Number Of Occupants [](Hourly)",'Eplus results'!$1:$1048576,ROW(),FALSE)</f>
        <v>0</v>
      </c>
      <c r="AC1216" s="580">
        <f>HLOOKUP("*"&amp;'Output annual'!$AC$2&amp;'Output annual'!$AD$2&amp;"*FangerPMV(Hourly)",'Eplus results'!$1:$1048576,ROW(),FALSE)</f>
        <v>0</v>
      </c>
      <c r="AD1216" s="580">
        <f t="shared" si="126"/>
        <v>5</v>
      </c>
      <c r="AE1216" s="580">
        <f t="shared" si="127"/>
        <v>2.5</v>
      </c>
      <c r="AF1216" s="580">
        <f t="shared" si="128"/>
        <v>2.5</v>
      </c>
      <c r="AG1216" s="580">
        <f t="shared" si="129"/>
        <v>0</v>
      </c>
      <c r="AH1216" s="580">
        <f t="shared" si="130"/>
        <v>0</v>
      </c>
    </row>
    <row r="1217" spans="28:34">
      <c r="AB1217" s="580">
        <f>HLOOKUP("*"&amp;'Output annual'!$AC$2&amp;'Output annual'!$AD$2&amp;"*Zone People Number Of Occupants [](Hourly)",'Eplus results'!$1:$1048576,ROW(),FALSE)</f>
        <v>0</v>
      </c>
      <c r="AC1217" s="580">
        <f>HLOOKUP("*"&amp;'Output annual'!$AC$2&amp;'Output annual'!$AD$2&amp;"*FangerPMV(Hourly)",'Eplus results'!$1:$1048576,ROW(),FALSE)</f>
        <v>0</v>
      </c>
      <c r="AD1217" s="580">
        <f t="shared" si="126"/>
        <v>5</v>
      </c>
      <c r="AE1217" s="580">
        <f t="shared" si="127"/>
        <v>2.5</v>
      </c>
      <c r="AF1217" s="580">
        <f t="shared" si="128"/>
        <v>2.5</v>
      </c>
      <c r="AG1217" s="580">
        <f t="shared" si="129"/>
        <v>0</v>
      </c>
      <c r="AH1217" s="580">
        <f t="shared" si="130"/>
        <v>0</v>
      </c>
    </row>
    <row r="1218" spans="28:34">
      <c r="AB1218" s="580">
        <f>HLOOKUP("*"&amp;'Output annual'!$AC$2&amp;'Output annual'!$AD$2&amp;"*Zone People Number Of Occupants [](Hourly)",'Eplus results'!$1:$1048576,ROW(),FALSE)</f>
        <v>0</v>
      </c>
      <c r="AC1218" s="580">
        <f>HLOOKUP("*"&amp;'Output annual'!$AC$2&amp;'Output annual'!$AD$2&amp;"*FangerPMV(Hourly)",'Eplus results'!$1:$1048576,ROW(),FALSE)</f>
        <v>0</v>
      </c>
      <c r="AD1218" s="580">
        <f t="shared" si="126"/>
        <v>5</v>
      </c>
      <c r="AE1218" s="580">
        <f t="shared" si="127"/>
        <v>2.5</v>
      </c>
      <c r="AF1218" s="580">
        <f t="shared" si="128"/>
        <v>2.5</v>
      </c>
      <c r="AG1218" s="580">
        <f t="shared" si="129"/>
        <v>0</v>
      </c>
      <c r="AH1218" s="580">
        <f t="shared" si="130"/>
        <v>0</v>
      </c>
    </row>
    <row r="1219" spans="28:34">
      <c r="AB1219" s="580">
        <f>HLOOKUP("*"&amp;'Output annual'!$AC$2&amp;'Output annual'!$AD$2&amp;"*Zone People Number Of Occupants [](Hourly)",'Eplus results'!$1:$1048576,ROW(),FALSE)</f>
        <v>0</v>
      </c>
      <c r="AC1219" s="580">
        <f>HLOOKUP("*"&amp;'Output annual'!$AC$2&amp;'Output annual'!$AD$2&amp;"*FangerPMV(Hourly)",'Eplus results'!$1:$1048576,ROW(),FALSE)</f>
        <v>0</v>
      </c>
      <c r="AD1219" s="580">
        <f t="shared" ref="AD1219:AD1282" si="131">100-95*EXP(-0.03353*AC1219^4-0.2179*AC1219^2)</f>
        <v>5</v>
      </c>
      <c r="AE1219" s="580">
        <f t="shared" ref="AE1219:AE1282" si="132">AD1219*(1/(1+EXP(-6.3*$AC1219)))</f>
        <v>2.5</v>
      </c>
      <c r="AF1219" s="580">
        <f t="shared" ref="AF1219:AF1282" si="133">(AD1219-AE1219)</f>
        <v>2.5</v>
      </c>
      <c r="AG1219" s="580">
        <f t="shared" ref="AG1219:AG1282" si="134">AE1219*AB1219</f>
        <v>0</v>
      </c>
      <c r="AH1219" s="580">
        <f t="shared" ref="AH1219:AH1282" si="135">AF1219*AB1219</f>
        <v>0</v>
      </c>
    </row>
    <row r="1220" spans="28:34">
      <c r="AB1220" s="580">
        <f>HLOOKUP("*"&amp;'Output annual'!$AC$2&amp;'Output annual'!$AD$2&amp;"*Zone People Number Of Occupants [](Hourly)",'Eplus results'!$1:$1048576,ROW(),FALSE)</f>
        <v>0</v>
      </c>
      <c r="AC1220" s="580">
        <f>HLOOKUP("*"&amp;'Output annual'!$AC$2&amp;'Output annual'!$AD$2&amp;"*FangerPMV(Hourly)",'Eplus results'!$1:$1048576,ROW(),FALSE)</f>
        <v>0</v>
      </c>
      <c r="AD1220" s="580">
        <f t="shared" si="131"/>
        <v>5</v>
      </c>
      <c r="AE1220" s="580">
        <f t="shared" si="132"/>
        <v>2.5</v>
      </c>
      <c r="AF1220" s="580">
        <f t="shared" si="133"/>
        <v>2.5</v>
      </c>
      <c r="AG1220" s="580">
        <f t="shared" si="134"/>
        <v>0</v>
      </c>
      <c r="AH1220" s="580">
        <f t="shared" si="135"/>
        <v>0</v>
      </c>
    </row>
    <row r="1221" spans="28:34">
      <c r="AB1221" s="580">
        <f>HLOOKUP("*"&amp;'Output annual'!$AC$2&amp;'Output annual'!$AD$2&amp;"*Zone People Number Of Occupants [](Hourly)",'Eplus results'!$1:$1048576,ROW(),FALSE)</f>
        <v>0</v>
      </c>
      <c r="AC1221" s="580">
        <f>HLOOKUP("*"&amp;'Output annual'!$AC$2&amp;'Output annual'!$AD$2&amp;"*FangerPMV(Hourly)",'Eplus results'!$1:$1048576,ROW(),FALSE)</f>
        <v>0</v>
      </c>
      <c r="AD1221" s="580">
        <f t="shared" si="131"/>
        <v>5</v>
      </c>
      <c r="AE1221" s="580">
        <f t="shared" si="132"/>
        <v>2.5</v>
      </c>
      <c r="AF1221" s="580">
        <f t="shared" si="133"/>
        <v>2.5</v>
      </c>
      <c r="AG1221" s="580">
        <f t="shared" si="134"/>
        <v>0</v>
      </c>
      <c r="AH1221" s="580">
        <f t="shared" si="135"/>
        <v>0</v>
      </c>
    </row>
    <row r="1222" spans="28:34">
      <c r="AB1222" s="580">
        <f>HLOOKUP("*"&amp;'Output annual'!$AC$2&amp;'Output annual'!$AD$2&amp;"*Zone People Number Of Occupants [](Hourly)",'Eplus results'!$1:$1048576,ROW(),FALSE)</f>
        <v>0</v>
      </c>
      <c r="AC1222" s="580">
        <f>HLOOKUP("*"&amp;'Output annual'!$AC$2&amp;'Output annual'!$AD$2&amp;"*FangerPMV(Hourly)",'Eplus results'!$1:$1048576,ROW(),FALSE)</f>
        <v>0</v>
      </c>
      <c r="AD1222" s="580">
        <f t="shared" si="131"/>
        <v>5</v>
      </c>
      <c r="AE1222" s="580">
        <f t="shared" si="132"/>
        <v>2.5</v>
      </c>
      <c r="AF1222" s="580">
        <f t="shared" si="133"/>
        <v>2.5</v>
      </c>
      <c r="AG1222" s="580">
        <f t="shared" si="134"/>
        <v>0</v>
      </c>
      <c r="AH1222" s="580">
        <f t="shared" si="135"/>
        <v>0</v>
      </c>
    </row>
    <row r="1223" spans="28:34">
      <c r="AB1223" s="580">
        <f>HLOOKUP("*"&amp;'Output annual'!$AC$2&amp;'Output annual'!$AD$2&amp;"*Zone People Number Of Occupants [](Hourly)",'Eplus results'!$1:$1048576,ROW(),FALSE)</f>
        <v>0</v>
      </c>
      <c r="AC1223" s="580">
        <f>HLOOKUP("*"&amp;'Output annual'!$AC$2&amp;'Output annual'!$AD$2&amp;"*FangerPMV(Hourly)",'Eplus results'!$1:$1048576,ROW(),FALSE)</f>
        <v>0</v>
      </c>
      <c r="AD1223" s="580">
        <f t="shared" si="131"/>
        <v>5</v>
      </c>
      <c r="AE1223" s="580">
        <f t="shared" si="132"/>
        <v>2.5</v>
      </c>
      <c r="AF1223" s="580">
        <f t="shared" si="133"/>
        <v>2.5</v>
      </c>
      <c r="AG1223" s="580">
        <f t="shared" si="134"/>
        <v>0</v>
      </c>
      <c r="AH1223" s="580">
        <f t="shared" si="135"/>
        <v>0</v>
      </c>
    </row>
    <row r="1224" spans="28:34">
      <c r="AB1224" s="580">
        <f>HLOOKUP("*"&amp;'Output annual'!$AC$2&amp;'Output annual'!$AD$2&amp;"*Zone People Number Of Occupants [](Hourly)",'Eplus results'!$1:$1048576,ROW(),FALSE)</f>
        <v>0</v>
      </c>
      <c r="AC1224" s="580">
        <f>HLOOKUP("*"&amp;'Output annual'!$AC$2&amp;'Output annual'!$AD$2&amp;"*FangerPMV(Hourly)",'Eplus results'!$1:$1048576,ROW(),FALSE)</f>
        <v>0</v>
      </c>
      <c r="AD1224" s="580">
        <f t="shared" si="131"/>
        <v>5</v>
      </c>
      <c r="AE1224" s="580">
        <f t="shared" si="132"/>
        <v>2.5</v>
      </c>
      <c r="AF1224" s="580">
        <f t="shared" si="133"/>
        <v>2.5</v>
      </c>
      <c r="AG1224" s="580">
        <f t="shared" si="134"/>
        <v>0</v>
      </c>
      <c r="AH1224" s="580">
        <f t="shared" si="135"/>
        <v>0</v>
      </c>
    </row>
    <row r="1225" spans="28:34">
      <c r="AB1225" s="580">
        <f>HLOOKUP("*"&amp;'Output annual'!$AC$2&amp;'Output annual'!$AD$2&amp;"*Zone People Number Of Occupants [](Hourly)",'Eplus results'!$1:$1048576,ROW(),FALSE)</f>
        <v>0</v>
      </c>
      <c r="AC1225" s="580">
        <f>HLOOKUP("*"&amp;'Output annual'!$AC$2&amp;'Output annual'!$AD$2&amp;"*FangerPMV(Hourly)",'Eplus results'!$1:$1048576,ROW(),FALSE)</f>
        <v>0</v>
      </c>
      <c r="AD1225" s="580">
        <f t="shared" si="131"/>
        <v>5</v>
      </c>
      <c r="AE1225" s="580">
        <f t="shared" si="132"/>
        <v>2.5</v>
      </c>
      <c r="AF1225" s="580">
        <f t="shared" si="133"/>
        <v>2.5</v>
      </c>
      <c r="AG1225" s="580">
        <f t="shared" si="134"/>
        <v>0</v>
      </c>
      <c r="AH1225" s="580">
        <f t="shared" si="135"/>
        <v>0</v>
      </c>
    </row>
    <row r="1226" spans="28:34">
      <c r="AB1226" s="580">
        <f>HLOOKUP("*"&amp;'Output annual'!$AC$2&amp;'Output annual'!$AD$2&amp;"*Zone People Number Of Occupants [](Hourly)",'Eplus results'!$1:$1048576,ROW(),FALSE)</f>
        <v>0</v>
      </c>
      <c r="AC1226" s="580">
        <f>HLOOKUP("*"&amp;'Output annual'!$AC$2&amp;'Output annual'!$AD$2&amp;"*FangerPMV(Hourly)",'Eplus results'!$1:$1048576,ROW(),FALSE)</f>
        <v>0</v>
      </c>
      <c r="AD1226" s="580">
        <f t="shared" si="131"/>
        <v>5</v>
      </c>
      <c r="AE1226" s="580">
        <f t="shared" si="132"/>
        <v>2.5</v>
      </c>
      <c r="AF1226" s="580">
        <f t="shared" si="133"/>
        <v>2.5</v>
      </c>
      <c r="AG1226" s="580">
        <f t="shared" si="134"/>
        <v>0</v>
      </c>
      <c r="AH1226" s="580">
        <f t="shared" si="135"/>
        <v>0</v>
      </c>
    </row>
    <row r="1227" spans="28:34">
      <c r="AB1227" s="580">
        <f>HLOOKUP("*"&amp;'Output annual'!$AC$2&amp;'Output annual'!$AD$2&amp;"*Zone People Number Of Occupants [](Hourly)",'Eplus results'!$1:$1048576,ROW(),FALSE)</f>
        <v>0</v>
      </c>
      <c r="AC1227" s="580">
        <f>HLOOKUP("*"&amp;'Output annual'!$AC$2&amp;'Output annual'!$AD$2&amp;"*FangerPMV(Hourly)",'Eplus results'!$1:$1048576,ROW(),FALSE)</f>
        <v>0</v>
      </c>
      <c r="AD1227" s="580">
        <f t="shared" si="131"/>
        <v>5</v>
      </c>
      <c r="AE1227" s="580">
        <f t="shared" si="132"/>
        <v>2.5</v>
      </c>
      <c r="AF1227" s="580">
        <f t="shared" si="133"/>
        <v>2.5</v>
      </c>
      <c r="AG1227" s="580">
        <f t="shared" si="134"/>
        <v>0</v>
      </c>
      <c r="AH1227" s="580">
        <f t="shared" si="135"/>
        <v>0</v>
      </c>
    </row>
    <row r="1228" spans="28:34">
      <c r="AB1228" s="580">
        <f>HLOOKUP("*"&amp;'Output annual'!$AC$2&amp;'Output annual'!$AD$2&amp;"*Zone People Number Of Occupants [](Hourly)",'Eplus results'!$1:$1048576,ROW(),FALSE)</f>
        <v>0</v>
      </c>
      <c r="AC1228" s="580">
        <f>HLOOKUP("*"&amp;'Output annual'!$AC$2&amp;'Output annual'!$AD$2&amp;"*FangerPMV(Hourly)",'Eplus results'!$1:$1048576,ROW(),FALSE)</f>
        <v>0</v>
      </c>
      <c r="AD1228" s="580">
        <f t="shared" si="131"/>
        <v>5</v>
      </c>
      <c r="AE1228" s="580">
        <f t="shared" si="132"/>
        <v>2.5</v>
      </c>
      <c r="AF1228" s="580">
        <f t="shared" si="133"/>
        <v>2.5</v>
      </c>
      <c r="AG1228" s="580">
        <f t="shared" si="134"/>
        <v>0</v>
      </c>
      <c r="AH1228" s="580">
        <f t="shared" si="135"/>
        <v>0</v>
      </c>
    </row>
    <row r="1229" spans="28:34">
      <c r="AB1229" s="580">
        <f>HLOOKUP("*"&amp;'Output annual'!$AC$2&amp;'Output annual'!$AD$2&amp;"*Zone People Number Of Occupants [](Hourly)",'Eplus results'!$1:$1048576,ROW(),FALSE)</f>
        <v>0</v>
      </c>
      <c r="AC1229" s="580">
        <f>HLOOKUP("*"&amp;'Output annual'!$AC$2&amp;'Output annual'!$AD$2&amp;"*FangerPMV(Hourly)",'Eplus results'!$1:$1048576,ROW(),FALSE)</f>
        <v>0</v>
      </c>
      <c r="AD1229" s="580">
        <f t="shared" si="131"/>
        <v>5</v>
      </c>
      <c r="AE1229" s="580">
        <f t="shared" si="132"/>
        <v>2.5</v>
      </c>
      <c r="AF1229" s="580">
        <f t="shared" si="133"/>
        <v>2.5</v>
      </c>
      <c r="AG1229" s="580">
        <f t="shared" si="134"/>
        <v>0</v>
      </c>
      <c r="AH1229" s="580">
        <f t="shared" si="135"/>
        <v>0</v>
      </c>
    </row>
    <row r="1230" spans="28:34">
      <c r="AB1230" s="580">
        <f>HLOOKUP("*"&amp;'Output annual'!$AC$2&amp;'Output annual'!$AD$2&amp;"*Zone People Number Of Occupants [](Hourly)",'Eplus results'!$1:$1048576,ROW(),FALSE)</f>
        <v>0</v>
      </c>
      <c r="AC1230" s="580">
        <f>HLOOKUP("*"&amp;'Output annual'!$AC$2&amp;'Output annual'!$AD$2&amp;"*FangerPMV(Hourly)",'Eplus results'!$1:$1048576,ROW(),FALSE)</f>
        <v>0</v>
      </c>
      <c r="AD1230" s="580">
        <f t="shared" si="131"/>
        <v>5</v>
      </c>
      <c r="AE1230" s="580">
        <f t="shared" si="132"/>
        <v>2.5</v>
      </c>
      <c r="AF1230" s="580">
        <f t="shared" si="133"/>
        <v>2.5</v>
      </c>
      <c r="AG1230" s="580">
        <f t="shared" si="134"/>
        <v>0</v>
      </c>
      <c r="AH1230" s="580">
        <f t="shared" si="135"/>
        <v>0</v>
      </c>
    </row>
    <row r="1231" spans="28:34">
      <c r="AB1231" s="580">
        <f>HLOOKUP("*"&amp;'Output annual'!$AC$2&amp;'Output annual'!$AD$2&amp;"*Zone People Number Of Occupants [](Hourly)",'Eplus results'!$1:$1048576,ROW(),FALSE)</f>
        <v>0</v>
      </c>
      <c r="AC1231" s="580">
        <f>HLOOKUP("*"&amp;'Output annual'!$AC$2&amp;'Output annual'!$AD$2&amp;"*FangerPMV(Hourly)",'Eplus results'!$1:$1048576,ROW(),FALSE)</f>
        <v>0</v>
      </c>
      <c r="AD1231" s="580">
        <f t="shared" si="131"/>
        <v>5</v>
      </c>
      <c r="AE1231" s="580">
        <f t="shared" si="132"/>
        <v>2.5</v>
      </c>
      <c r="AF1231" s="580">
        <f t="shared" si="133"/>
        <v>2.5</v>
      </c>
      <c r="AG1231" s="580">
        <f t="shared" si="134"/>
        <v>0</v>
      </c>
      <c r="AH1231" s="580">
        <f t="shared" si="135"/>
        <v>0</v>
      </c>
    </row>
    <row r="1232" spans="28:34">
      <c r="AB1232" s="580">
        <f>HLOOKUP("*"&amp;'Output annual'!$AC$2&amp;'Output annual'!$AD$2&amp;"*Zone People Number Of Occupants [](Hourly)",'Eplus results'!$1:$1048576,ROW(),FALSE)</f>
        <v>0</v>
      </c>
      <c r="AC1232" s="580">
        <f>HLOOKUP("*"&amp;'Output annual'!$AC$2&amp;'Output annual'!$AD$2&amp;"*FangerPMV(Hourly)",'Eplus results'!$1:$1048576,ROW(),FALSE)</f>
        <v>0</v>
      </c>
      <c r="AD1232" s="580">
        <f t="shared" si="131"/>
        <v>5</v>
      </c>
      <c r="AE1232" s="580">
        <f t="shared" si="132"/>
        <v>2.5</v>
      </c>
      <c r="AF1232" s="580">
        <f t="shared" si="133"/>
        <v>2.5</v>
      </c>
      <c r="AG1232" s="580">
        <f t="shared" si="134"/>
        <v>0</v>
      </c>
      <c r="AH1232" s="580">
        <f t="shared" si="135"/>
        <v>0</v>
      </c>
    </row>
    <row r="1233" spans="28:34">
      <c r="AB1233" s="580">
        <f>HLOOKUP("*"&amp;'Output annual'!$AC$2&amp;'Output annual'!$AD$2&amp;"*Zone People Number Of Occupants [](Hourly)",'Eplus results'!$1:$1048576,ROW(),FALSE)</f>
        <v>0</v>
      </c>
      <c r="AC1233" s="580">
        <f>HLOOKUP("*"&amp;'Output annual'!$AC$2&amp;'Output annual'!$AD$2&amp;"*FangerPMV(Hourly)",'Eplus results'!$1:$1048576,ROW(),FALSE)</f>
        <v>0</v>
      </c>
      <c r="AD1233" s="580">
        <f t="shared" si="131"/>
        <v>5</v>
      </c>
      <c r="AE1233" s="580">
        <f t="shared" si="132"/>
        <v>2.5</v>
      </c>
      <c r="AF1233" s="580">
        <f t="shared" si="133"/>
        <v>2.5</v>
      </c>
      <c r="AG1233" s="580">
        <f t="shared" si="134"/>
        <v>0</v>
      </c>
      <c r="AH1233" s="580">
        <f t="shared" si="135"/>
        <v>0</v>
      </c>
    </row>
    <row r="1234" spans="28:34">
      <c r="AB1234" s="580">
        <f>HLOOKUP("*"&amp;'Output annual'!$AC$2&amp;'Output annual'!$AD$2&amp;"*Zone People Number Of Occupants [](Hourly)",'Eplus results'!$1:$1048576,ROW(),FALSE)</f>
        <v>0</v>
      </c>
      <c r="AC1234" s="580">
        <f>HLOOKUP("*"&amp;'Output annual'!$AC$2&amp;'Output annual'!$AD$2&amp;"*FangerPMV(Hourly)",'Eplus results'!$1:$1048576,ROW(),FALSE)</f>
        <v>0</v>
      </c>
      <c r="AD1234" s="580">
        <f t="shared" si="131"/>
        <v>5</v>
      </c>
      <c r="AE1234" s="580">
        <f t="shared" si="132"/>
        <v>2.5</v>
      </c>
      <c r="AF1234" s="580">
        <f t="shared" si="133"/>
        <v>2.5</v>
      </c>
      <c r="AG1234" s="580">
        <f t="shared" si="134"/>
        <v>0</v>
      </c>
      <c r="AH1234" s="580">
        <f t="shared" si="135"/>
        <v>0</v>
      </c>
    </row>
    <row r="1235" spans="28:34">
      <c r="AB1235" s="580">
        <f>HLOOKUP("*"&amp;'Output annual'!$AC$2&amp;'Output annual'!$AD$2&amp;"*Zone People Number Of Occupants [](Hourly)",'Eplus results'!$1:$1048576,ROW(),FALSE)</f>
        <v>0</v>
      </c>
      <c r="AC1235" s="580">
        <f>HLOOKUP("*"&amp;'Output annual'!$AC$2&amp;'Output annual'!$AD$2&amp;"*FangerPMV(Hourly)",'Eplus results'!$1:$1048576,ROW(),FALSE)</f>
        <v>0</v>
      </c>
      <c r="AD1235" s="580">
        <f t="shared" si="131"/>
        <v>5</v>
      </c>
      <c r="AE1235" s="580">
        <f t="shared" si="132"/>
        <v>2.5</v>
      </c>
      <c r="AF1235" s="580">
        <f t="shared" si="133"/>
        <v>2.5</v>
      </c>
      <c r="AG1235" s="580">
        <f t="shared" si="134"/>
        <v>0</v>
      </c>
      <c r="AH1235" s="580">
        <f t="shared" si="135"/>
        <v>0</v>
      </c>
    </row>
    <row r="1236" spans="28:34">
      <c r="AB1236" s="580">
        <f>HLOOKUP("*"&amp;'Output annual'!$AC$2&amp;'Output annual'!$AD$2&amp;"*Zone People Number Of Occupants [](Hourly)",'Eplus results'!$1:$1048576,ROW(),FALSE)</f>
        <v>0</v>
      </c>
      <c r="AC1236" s="580">
        <f>HLOOKUP("*"&amp;'Output annual'!$AC$2&amp;'Output annual'!$AD$2&amp;"*FangerPMV(Hourly)",'Eplus results'!$1:$1048576,ROW(),FALSE)</f>
        <v>0</v>
      </c>
      <c r="AD1236" s="580">
        <f t="shared" si="131"/>
        <v>5</v>
      </c>
      <c r="AE1236" s="580">
        <f t="shared" si="132"/>
        <v>2.5</v>
      </c>
      <c r="AF1236" s="580">
        <f t="shared" si="133"/>
        <v>2.5</v>
      </c>
      <c r="AG1236" s="580">
        <f t="shared" si="134"/>
        <v>0</v>
      </c>
      <c r="AH1236" s="580">
        <f t="shared" si="135"/>
        <v>0</v>
      </c>
    </row>
    <row r="1237" spans="28:34">
      <c r="AB1237" s="580">
        <f>HLOOKUP("*"&amp;'Output annual'!$AC$2&amp;'Output annual'!$AD$2&amp;"*Zone People Number Of Occupants [](Hourly)",'Eplus results'!$1:$1048576,ROW(),FALSE)</f>
        <v>0</v>
      </c>
      <c r="AC1237" s="580">
        <f>HLOOKUP("*"&amp;'Output annual'!$AC$2&amp;'Output annual'!$AD$2&amp;"*FangerPMV(Hourly)",'Eplus results'!$1:$1048576,ROW(),FALSE)</f>
        <v>0</v>
      </c>
      <c r="AD1237" s="580">
        <f t="shared" si="131"/>
        <v>5</v>
      </c>
      <c r="AE1237" s="580">
        <f t="shared" si="132"/>
        <v>2.5</v>
      </c>
      <c r="AF1237" s="580">
        <f t="shared" si="133"/>
        <v>2.5</v>
      </c>
      <c r="AG1237" s="580">
        <f t="shared" si="134"/>
        <v>0</v>
      </c>
      <c r="AH1237" s="580">
        <f t="shared" si="135"/>
        <v>0</v>
      </c>
    </row>
    <row r="1238" spans="28:34">
      <c r="AB1238" s="580">
        <f>HLOOKUP("*"&amp;'Output annual'!$AC$2&amp;'Output annual'!$AD$2&amp;"*Zone People Number Of Occupants [](Hourly)",'Eplus results'!$1:$1048576,ROW(),FALSE)</f>
        <v>0</v>
      </c>
      <c r="AC1238" s="580">
        <f>HLOOKUP("*"&amp;'Output annual'!$AC$2&amp;'Output annual'!$AD$2&amp;"*FangerPMV(Hourly)",'Eplus results'!$1:$1048576,ROW(),FALSE)</f>
        <v>0</v>
      </c>
      <c r="AD1238" s="580">
        <f t="shared" si="131"/>
        <v>5</v>
      </c>
      <c r="AE1238" s="580">
        <f t="shared" si="132"/>
        <v>2.5</v>
      </c>
      <c r="AF1238" s="580">
        <f t="shared" si="133"/>
        <v>2.5</v>
      </c>
      <c r="AG1238" s="580">
        <f t="shared" si="134"/>
        <v>0</v>
      </c>
      <c r="AH1238" s="580">
        <f t="shared" si="135"/>
        <v>0</v>
      </c>
    </row>
    <row r="1239" spans="28:34">
      <c r="AB1239" s="580">
        <f>HLOOKUP("*"&amp;'Output annual'!$AC$2&amp;'Output annual'!$AD$2&amp;"*Zone People Number Of Occupants [](Hourly)",'Eplus results'!$1:$1048576,ROW(),FALSE)</f>
        <v>0</v>
      </c>
      <c r="AC1239" s="580">
        <f>HLOOKUP("*"&amp;'Output annual'!$AC$2&amp;'Output annual'!$AD$2&amp;"*FangerPMV(Hourly)",'Eplus results'!$1:$1048576,ROW(),FALSE)</f>
        <v>0</v>
      </c>
      <c r="AD1239" s="580">
        <f t="shared" si="131"/>
        <v>5</v>
      </c>
      <c r="AE1239" s="580">
        <f t="shared" si="132"/>
        <v>2.5</v>
      </c>
      <c r="AF1239" s="580">
        <f t="shared" si="133"/>
        <v>2.5</v>
      </c>
      <c r="AG1239" s="580">
        <f t="shared" si="134"/>
        <v>0</v>
      </c>
      <c r="AH1239" s="580">
        <f t="shared" si="135"/>
        <v>0</v>
      </c>
    </row>
    <row r="1240" spans="28:34">
      <c r="AB1240" s="580">
        <f>HLOOKUP("*"&amp;'Output annual'!$AC$2&amp;'Output annual'!$AD$2&amp;"*Zone People Number Of Occupants [](Hourly)",'Eplus results'!$1:$1048576,ROW(),FALSE)</f>
        <v>0</v>
      </c>
      <c r="AC1240" s="580">
        <f>HLOOKUP("*"&amp;'Output annual'!$AC$2&amp;'Output annual'!$AD$2&amp;"*FangerPMV(Hourly)",'Eplus results'!$1:$1048576,ROW(),FALSE)</f>
        <v>0</v>
      </c>
      <c r="AD1240" s="580">
        <f t="shared" si="131"/>
        <v>5</v>
      </c>
      <c r="AE1240" s="580">
        <f t="shared" si="132"/>
        <v>2.5</v>
      </c>
      <c r="AF1240" s="580">
        <f t="shared" si="133"/>
        <v>2.5</v>
      </c>
      <c r="AG1240" s="580">
        <f t="shared" si="134"/>
        <v>0</v>
      </c>
      <c r="AH1240" s="580">
        <f t="shared" si="135"/>
        <v>0</v>
      </c>
    </row>
    <row r="1241" spans="28:34">
      <c r="AB1241" s="580">
        <f>HLOOKUP("*"&amp;'Output annual'!$AC$2&amp;'Output annual'!$AD$2&amp;"*Zone People Number Of Occupants [](Hourly)",'Eplus results'!$1:$1048576,ROW(),FALSE)</f>
        <v>0</v>
      </c>
      <c r="AC1241" s="580">
        <f>HLOOKUP("*"&amp;'Output annual'!$AC$2&amp;'Output annual'!$AD$2&amp;"*FangerPMV(Hourly)",'Eplus results'!$1:$1048576,ROW(),FALSE)</f>
        <v>0</v>
      </c>
      <c r="AD1241" s="580">
        <f t="shared" si="131"/>
        <v>5</v>
      </c>
      <c r="AE1241" s="580">
        <f t="shared" si="132"/>
        <v>2.5</v>
      </c>
      <c r="AF1241" s="580">
        <f t="shared" si="133"/>
        <v>2.5</v>
      </c>
      <c r="AG1241" s="580">
        <f t="shared" si="134"/>
        <v>0</v>
      </c>
      <c r="AH1241" s="580">
        <f t="shared" si="135"/>
        <v>0</v>
      </c>
    </row>
    <row r="1242" spans="28:34">
      <c r="AB1242" s="580">
        <f>HLOOKUP("*"&amp;'Output annual'!$AC$2&amp;'Output annual'!$AD$2&amp;"*Zone People Number Of Occupants [](Hourly)",'Eplus results'!$1:$1048576,ROW(),FALSE)</f>
        <v>0</v>
      </c>
      <c r="AC1242" s="580">
        <f>HLOOKUP("*"&amp;'Output annual'!$AC$2&amp;'Output annual'!$AD$2&amp;"*FangerPMV(Hourly)",'Eplus results'!$1:$1048576,ROW(),FALSE)</f>
        <v>0</v>
      </c>
      <c r="AD1242" s="580">
        <f t="shared" si="131"/>
        <v>5</v>
      </c>
      <c r="AE1242" s="580">
        <f t="shared" si="132"/>
        <v>2.5</v>
      </c>
      <c r="AF1242" s="580">
        <f t="shared" si="133"/>
        <v>2.5</v>
      </c>
      <c r="AG1242" s="580">
        <f t="shared" si="134"/>
        <v>0</v>
      </c>
      <c r="AH1242" s="580">
        <f t="shared" si="135"/>
        <v>0</v>
      </c>
    </row>
    <row r="1243" spans="28:34">
      <c r="AB1243" s="580">
        <f>HLOOKUP("*"&amp;'Output annual'!$AC$2&amp;'Output annual'!$AD$2&amp;"*Zone People Number Of Occupants [](Hourly)",'Eplus results'!$1:$1048576,ROW(),FALSE)</f>
        <v>0</v>
      </c>
      <c r="AC1243" s="580">
        <f>HLOOKUP("*"&amp;'Output annual'!$AC$2&amp;'Output annual'!$AD$2&amp;"*FangerPMV(Hourly)",'Eplus results'!$1:$1048576,ROW(),FALSE)</f>
        <v>0</v>
      </c>
      <c r="AD1243" s="580">
        <f t="shared" si="131"/>
        <v>5</v>
      </c>
      <c r="AE1243" s="580">
        <f t="shared" si="132"/>
        <v>2.5</v>
      </c>
      <c r="AF1243" s="580">
        <f t="shared" si="133"/>
        <v>2.5</v>
      </c>
      <c r="AG1243" s="580">
        <f t="shared" si="134"/>
        <v>0</v>
      </c>
      <c r="AH1243" s="580">
        <f t="shared" si="135"/>
        <v>0</v>
      </c>
    </row>
    <row r="1244" spans="28:34">
      <c r="AB1244" s="580">
        <f>HLOOKUP("*"&amp;'Output annual'!$AC$2&amp;'Output annual'!$AD$2&amp;"*Zone People Number Of Occupants [](Hourly)",'Eplus results'!$1:$1048576,ROW(),FALSE)</f>
        <v>0</v>
      </c>
      <c r="AC1244" s="580">
        <f>HLOOKUP("*"&amp;'Output annual'!$AC$2&amp;'Output annual'!$AD$2&amp;"*FangerPMV(Hourly)",'Eplus results'!$1:$1048576,ROW(),FALSE)</f>
        <v>0</v>
      </c>
      <c r="AD1244" s="580">
        <f t="shared" si="131"/>
        <v>5</v>
      </c>
      <c r="AE1244" s="580">
        <f t="shared" si="132"/>
        <v>2.5</v>
      </c>
      <c r="AF1244" s="580">
        <f t="shared" si="133"/>
        <v>2.5</v>
      </c>
      <c r="AG1244" s="580">
        <f t="shared" si="134"/>
        <v>0</v>
      </c>
      <c r="AH1244" s="580">
        <f t="shared" si="135"/>
        <v>0</v>
      </c>
    </row>
    <row r="1245" spans="28:34">
      <c r="AB1245" s="580">
        <f>HLOOKUP("*"&amp;'Output annual'!$AC$2&amp;'Output annual'!$AD$2&amp;"*Zone People Number Of Occupants [](Hourly)",'Eplus results'!$1:$1048576,ROW(),FALSE)</f>
        <v>0</v>
      </c>
      <c r="AC1245" s="580">
        <f>HLOOKUP("*"&amp;'Output annual'!$AC$2&amp;'Output annual'!$AD$2&amp;"*FangerPMV(Hourly)",'Eplus results'!$1:$1048576,ROW(),FALSE)</f>
        <v>0</v>
      </c>
      <c r="AD1245" s="580">
        <f t="shared" si="131"/>
        <v>5</v>
      </c>
      <c r="AE1245" s="580">
        <f t="shared" si="132"/>
        <v>2.5</v>
      </c>
      <c r="AF1245" s="580">
        <f t="shared" si="133"/>
        <v>2.5</v>
      </c>
      <c r="AG1245" s="580">
        <f t="shared" si="134"/>
        <v>0</v>
      </c>
      <c r="AH1245" s="580">
        <f t="shared" si="135"/>
        <v>0</v>
      </c>
    </row>
    <row r="1246" spans="28:34">
      <c r="AB1246" s="580">
        <f>HLOOKUP("*"&amp;'Output annual'!$AC$2&amp;'Output annual'!$AD$2&amp;"*Zone People Number Of Occupants [](Hourly)",'Eplus results'!$1:$1048576,ROW(),FALSE)</f>
        <v>0</v>
      </c>
      <c r="AC1246" s="580">
        <f>HLOOKUP("*"&amp;'Output annual'!$AC$2&amp;'Output annual'!$AD$2&amp;"*FangerPMV(Hourly)",'Eplus results'!$1:$1048576,ROW(),FALSE)</f>
        <v>0</v>
      </c>
      <c r="AD1246" s="580">
        <f t="shared" si="131"/>
        <v>5</v>
      </c>
      <c r="AE1246" s="580">
        <f t="shared" si="132"/>
        <v>2.5</v>
      </c>
      <c r="AF1246" s="580">
        <f t="shared" si="133"/>
        <v>2.5</v>
      </c>
      <c r="AG1246" s="580">
        <f t="shared" si="134"/>
        <v>0</v>
      </c>
      <c r="AH1246" s="580">
        <f t="shared" si="135"/>
        <v>0</v>
      </c>
    </row>
    <row r="1247" spans="28:34">
      <c r="AB1247" s="580">
        <f>HLOOKUP("*"&amp;'Output annual'!$AC$2&amp;'Output annual'!$AD$2&amp;"*Zone People Number Of Occupants [](Hourly)",'Eplus results'!$1:$1048576,ROW(),FALSE)</f>
        <v>0</v>
      </c>
      <c r="AC1247" s="580">
        <f>HLOOKUP("*"&amp;'Output annual'!$AC$2&amp;'Output annual'!$AD$2&amp;"*FangerPMV(Hourly)",'Eplus results'!$1:$1048576,ROW(),FALSE)</f>
        <v>0</v>
      </c>
      <c r="AD1247" s="580">
        <f t="shared" si="131"/>
        <v>5</v>
      </c>
      <c r="AE1247" s="580">
        <f t="shared" si="132"/>
        <v>2.5</v>
      </c>
      <c r="AF1247" s="580">
        <f t="shared" si="133"/>
        <v>2.5</v>
      </c>
      <c r="AG1247" s="580">
        <f t="shared" si="134"/>
        <v>0</v>
      </c>
      <c r="AH1247" s="580">
        <f t="shared" si="135"/>
        <v>0</v>
      </c>
    </row>
    <row r="1248" spans="28:34">
      <c r="AB1248" s="580">
        <f>HLOOKUP("*"&amp;'Output annual'!$AC$2&amp;'Output annual'!$AD$2&amp;"*Zone People Number Of Occupants [](Hourly)",'Eplus results'!$1:$1048576,ROW(),FALSE)</f>
        <v>0</v>
      </c>
      <c r="AC1248" s="580">
        <f>HLOOKUP("*"&amp;'Output annual'!$AC$2&amp;'Output annual'!$AD$2&amp;"*FangerPMV(Hourly)",'Eplus results'!$1:$1048576,ROW(),FALSE)</f>
        <v>0</v>
      </c>
      <c r="AD1248" s="580">
        <f t="shared" si="131"/>
        <v>5</v>
      </c>
      <c r="AE1248" s="580">
        <f t="shared" si="132"/>
        <v>2.5</v>
      </c>
      <c r="AF1248" s="580">
        <f t="shared" si="133"/>
        <v>2.5</v>
      </c>
      <c r="AG1248" s="580">
        <f t="shared" si="134"/>
        <v>0</v>
      </c>
      <c r="AH1248" s="580">
        <f t="shared" si="135"/>
        <v>0</v>
      </c>
    </row>
    <row r="1249" spans="28:34">
      <c r="AB1249" s="580">
        <f>HLOOKUP("*"&amp;'Output annual'!$AC$2&amp;'Output annual'!$AD$2&amp;"*Zone People Number Of Occupants [](Hourly)",'Eplus results'!$1:$1048576,ROW(),FALSE)</f>
        <v>0</v>
      </c>
      <c r="AC1249" s="580">
        <f>HLOOKUP("*"&amp;'Output annual'!$AC$2&amp;'Output annual'!$AD$2&amp;"*FangerPMV(Hourly)",'Eplus results'!$1:$1048576,ROW(),FALSE)</f>
        <v>0</v>
      </c>
      <c r="AD1249" s="580">
        <f t="shared" si="131"/>
        <v>5</v>
      </c>
      <c r="AE1249" s="580">
        <f t="shared" si="132"/>
        <v>2.5</v>
      </c>
      <c r="AF1249" s="580">
        <f t="shared" si="133"/>
        <v>2.5</v>
      </c>
      <c r="AG1249" s="580">
        <f t="shared" si="134"/>
        <v>0</v>
      </c>
      <c r="AH1249" s="580">
        <f t="shared" si="135"/>
        <v>0</v>
      </c>
    </row>
    <row r="1250" spans="28:34">
      <c r="AB1250" s="580">
        <f>HLOOKUP("*"&amp;'Output annual'!$AC$2&amp;'Output annual'!$AD$2&amp;"*Zone People Number Of Occupants [](Hourly)",'Eplus results'!$1:$1048576,ROW(),FALSE)</f>
        <v>0</v>
      </c>
      <c r="AC1250" s="580">
        <f>HLOOKUP("*"&amp;'Output annual'!$AC$2&amp;'Output annual'!$AD$2&amp;"*FangerPMV(Hourly)",'Eplus results'!$1:$1048576,ROW(),FALSE)</f>
        <v>0</v>
      </c>
      <c r="AD1250" s="580">
        <f t="shared" si="131"/>
        <v>5</v>
      </c>
      <c r="AE1250" s="580">
        <f t="shared" si="132"/>
        <v>2.5</v>
      </c>
      <c r="AF1250" s="580">
        <f t="shared" si="133"/>
        <v>2.5</v>
      </c>
      <c r="AG1250" s="580">
        <f t="shared" si="134"/>
        <v>0</v>
      </c>
      <c r="AH1250" s="580">
        <f t="shared" si="135"/>
        <v>0</v>
      </c>
    </row>
    <row r="1251" spans="28:34">
      <c r="AB1251" s="580">
        <f>HLOOKUP("*"&amp;'Output annual'!$AC$2&amp;'Output annual'!$AD$2&amp;"*Zone People Number Of Occupants [](Hourly)",'Eplus results'!$1:$1048576,ROW(),FALSE)</f>
        <v>0</v>
      </c>
      <c r="AC1251" s="580">
        <f>HLOOKUP("*"&amp;'Output annual'!$AC$2&amp;'Output annual'!$AD$2&amp;"*FangerPMV(Hourly)",'Eplus results'!$1:$1048576,ROW(),FALSE)</f>
        <v>0</v>
      </c>
      <c r="AD1251" s="580">
        <f t="shared" si="131"/>
        <v>5</v>
      </c>
      <c r="AE1251" s="580">
        <f t="shared" si="132"/>
        <v>2.5</v>
      </c>
      <c r="AF1251" s="580">
        <f t="shared" si="133"/>
        <v>2.5</v>
      </c>
      <c r="AG1251" s="580">
        <f t="shared" si="134"/>
        <v>0</v>
      </c>
      <c r="AH1251" s="580">
        <f t="shared" si="135"/>
        <v>0</v>
      </c>
    </row>
    <row r="1252" spans="28:34">
      <c r="AB1252" s="580">
        <f>HLOOKUP("*"&amp;'Output annual'!$AC$2&amp;'Output annual'!$AD$2&amp;"*Zone People Number Of Occupants [](Hourly)",'Eplus results'!$1:$1048576,ROW(),FALSE)</f>
        <v>0</v>
      </c>
      <c r="AC1252" s="580">
        <f>HLOOKUP("*"&amp;'Output annual'!$AC$2&amp;'Output annual'!$AD$2&amp;"*FangerPMV(Hourly)",'Eplus results'!$1:$1048576,ROW(),FALSE)</f>
        <v>0</v>
      </c>
      <c r="AD1252" s="580">
        <f t="shared" si="131"/>
        <v>5</v>
      </c>
      <c r="AE1252" s="580">
        <f t="shared" si="132"/>
        <v>2.5</v>
      </c>
      <c r="AF1252" s="580">
        <f t="shared" si="133"/>
        <v>2.5</v>
      </c>
      <c r="AG1252" s="580">
        <f t="shared" si="134"/>
        <v>0</v>
      </c>
      <c r="AH1252" s="580">
        <f t="shared" si="135"/>
        <v>0</v>
      </c>
    </row>
    <row r="1253" spans="28:34">
      <c r="AB1253" s="580">
        <f>HLOOKUP("*"&amp;'Output annual'!$AC$2&amp;'Output annual'!$AD$2&amp;"*Zone People Number Of Occupants [](Hourly)",'Eplus results'!$1:$1048576,ROW(),FALSE)</f>
        <v>0</v>
      </c>
      <c r="AC1253" s="580">
        <f>HLOOKUP("*"&amp;'Output annual'!$AC$2&amp;'Output annual'!$AD$2&amp;"*FangerPMV(Hourly)",'Eplus results'!$1:$1048576,ROW(),FALSE)</f>
        <v>0</v>
      </c>
      <c r="AD1253" s="580">
        <f t="shared" si="131"/>
        <v>5</v>
      </c>
      <c r="AE1253" s="580">
        <f t="shared" si="132"/>
        <v>2.5</v>
      </c>
      <c r="AF1253" s="580">
        <f t="shared" si="133"/>
        <v>2.5</v>
      </c>
      <c r="AG1253" s="580">
        <f t="shared" si="134"/>
        <v>0</v>
      </c>
      <c r="AH1253" s="580">
        <f t="shared" si="135"/>
        <v>0</v>
      </c>
    </row>
    <row r="1254" spans="28:34">
      <c r="AB1254" s="580">
        <f>HLOOKUP("*"&amp;'Output annual'!$AC$2&amp;'Output annual'!$AD$2&amp;"*Zone People Number Of Occupants [](Hourly)",'Eplus results'!$1:$1048576,ROW(),FALSE)</f>
        <v>0</v>
      </c>
      <c r="AC1254" s="580">
        <f>HLOOKUP("*"&amp;'Output annual'!$AC$2&amp;'Output annual'!$AD$2&amp;"*FangerPMV(Hourly)",'Eplus results'!$1:$1048576,ROW(),FALSE)</f>
        <v>0</v>
      </c>
      <c r="AD1254" s="580">
        <f t="shared" si="131"/>
        <v>5</v>
      </c>
      <c r="AE1254" s="580">
        <f t="shared" si="132"/>
        <v>2.5</v>
      </c>
      <c r="AF1254" s="580">
        <f t="shared" si="133"/>
        <v>2.5</v>
      </c>
      <c r="AG1254" s="580">
        <f t="shared" si="134"/>
        <v>0</v>
      </c>
      <c r="AH1254" s="580">
        <f t="shared" si="135"/>
        <v>0</v>
      </c>
    </row>
    <row r="1255" spans="28:34">
      <c r="AB1255" s="580">
        <f>HLOOKUP("*"&amp;'Output annual'!$AC$2&amp;'Output annual'!$AD$2&amp;"*Zone People Number Of Occupants [](Hourly)",'Eplus results'!$1:$1048576,ROW(),FALSE)</f>
        <v>0</v>
      </c>
      <c r="AC1255" s="580">
        <f>HLOOKUP("*"&amp;'Output annual'!$AC$2&amp;'Output annual'!$AD$2&amp;"*FangerPMV(Hourly)",'Eplus results'!$1:$1048576,ROW(),FALSE)</f>
        <v>0</v>
      </c>
      <c r="AD1255" s="580">
        <f t="shared" si="131"/>
        <v>5</v>
      </c>
      <c r="AE1255" s="580">
        <f t="shared" si="132"/>
        <v>2.5</v>
      </c>
      <c r="AF1255" s="580">
        <f t="shared" si="133"/>
        <v>2.5</v>
      </c>
      <c r="AG1255" s="580">
        <f t="shared" si="134"/>
        <v>0</v>
      </c>
      <c r="AH1255" s="580">
        <f t="shared" si="135"/>
        <v>0</v>
      </c>
    </row>
    <row r="1256" spans="28:34">
      <c r="AB1256" s="580">
        <f>HLOOKUP("*"&amp;'Output annual'!$AC$2&amp;'Output annual'!$AD$2&amp;"*Zone People Number Of Occupants [](Hourly)",'Eplus results'!$1:$1048576,ROW(),FALSE)</f>
        <v>0</v>
      </c>
      <c r="AC1256" s="580">
        <f>HLOOKUP("*"&amp;'Output annual'!$AC$2&amp;'Output annual'!$AD$2&amp;"*FangerPMV(Hourly)",'Eplus results'!$1:$1048576,ROW(),FALSE)</f>
        <v>0</v>
      </c>
      <c r="AD1256" s="580">
        <f t="shared" si="131"/>
        <v>5</v>
      </c>
      <c r="AE1256" s="580">
        <f t="shared" si="132"/>
        <v>2.5</v>
      </c>
      <c r="AF1256" s="580">
        <f t="shared" si="133"/>
        <v>2.5</v>
      </c>
      <c r="AG1256" s="580">
        <f t="shared" si="134"/>
        <v>0</v>
      </c>
      <c r="AH1256" s="580">
        <f t="shared" si="135"/>
        <v>0</v>
      </c>
    </row>
    <row r="1257" spans="28:34">
      <c r="AB1257" s="580">
        <f>HLOOKUP("*"&amp;'Output annual'!$AC$2&amp;'Output annual'!$AD$2&amp;"*Zone People Number Of Occupants [](Hourly)",'Eplus results'!$1:$1048576,ROW(),FALSE)</f>
        <v>0</v>
      </c>
      <c r="AC1257" s="580">
        <f>HLOOKUP("*"&amp;'Output annual'!$AC$2&amp;'Output annual'!$AD$2&amp;"*FangerPMV(Hourly)",'Eplus results'!$1:$1048576,ROW(),FALSE)</f>
        <v>0</v>
      </c>
      <c r="AD1257" s="580">
        <f t="shared" si="131"/>
        <v>5</v>
      </c>
      <c r="AE1257" s="580">
        <f t="shared" si="132"/>
        <v>2.5</v>
      </c>
      <c r="AF1257" s="580">
        <f t="shared" si="133"/>
        <v>2.5</v>
      </c>
      <c r="AG1257" s="580">
        <f t="shared" si="134"/>
        <v>0</v>
      </c>
      <c r="AH1257" s="580">
        <f t="shared" si="135"/>
        <v>0</v>
      </c>
    </row>
    <row r="1258" spans="28:34">
      <c r="AB1258" s="580">
        <f>HLOOKUP("*"&amp;'Output annual'!$AC$2&amp;'Output annual'!$AD$2&amp;"*Zone People Number Of Occupants [](Hourly)",'Eplus results'!$1:$1048576,ROW(),FALSE)</f>
        <v>0</v>
      </c>
      <c r="AC1258" s="580">
        <f>HLOOKUP("*"&amp;'Output annual'!$AC$2&amp;'Output annual'!$AD$2&amp;"*FangerPMV(Hourly)",'Eplus results'!$1:$1048576,ROW(),FALSE)</f>
        <v>0</v>
      </c>
      <c r="AD1258" s="580">
        <f t="shared" si="131"/>
        <v>5</v>
      </c>
      <c r="AE1258" s="580">
        <f t="shared" si="132"/>
        <v>2.5</v>
      </c>
      <c r="AF1258" s="580">
        <f t="shared" si="133"/>
        <v>2.5</v>
      </c>
      <c r="AG1258" s="580">
        <f t="shared" si="134"/>
        <v>0</v>
      </c>
      <c r="AH1258" s="580">
        <f t="shared" si="135"/>
        <v>0</v>
      </c>
    </row>
    <row r="1259" spans="28:34">
      <c r="AB1259" s="580">
        <f>HLOOKUP("*"&amp;'Output annual'!$AC$2&amp;'Output annual'!$AD$2&amp;"*Zone People Number Of Occupants [](Hourly)",'Eplus results'!$1:$1048576,ROW(),FALSE)</f>
        <v>0</v>
      </c>
      <c r="AC1259" s="580">
        <f>HLOOKUP("*"&amp;'Output annual'!$AC$2&amp;'Output annual'!$AD$2&amp;"*FangerPMV(Hourly)",'Eplus results'!$1:$1048576,ROW(),FALSE)</f>
        <v>0</v>
      </c>
      <c r="AD1259" s="580">
        <f t="shared" si="131"/>
        <v>5</v>
      </c>
      <c r="AE1259" s="580">
        <f t="shared" si="132"/>
        <v>2.5</v>
      </c>
      <c r="AF1259" s="580">
        <f t="shared" si="133"/>
        <v>2.5</v>
      </c>
      <c r="AG1259" s="580">
        <f t="shared" si="134"/>
        <v>0</v>
      </c>
      <c r="AH1259" s="580">
        <f t="shared" si="135"/>
        <v>0</v>
      </c>
    </row>
    <row r="1260" spans="28:34">
      <c r="AB1260" s="580">
        <f>HLOOKUP("*"&amp;'Output annual'!$AC$2&amp;'Output annual'!$AD$2&amp;"*Zone People Number Of Occupants [](Hourly)",'Eplus results'!$1:$1048576,ROW(),FALSE)</f>
        <v>0</v>
      </c>
      <c r="AC1260" s="580">
        <f>HLOOKUP("*"&amp;'Output annual'!$AC$2&amp;'Output annual'!$AD$2&amp;"*FangerPMV(Hourly)",'Eplus results'!$1:$1048576,ROW(),FALSE)</f>
        <v>0</v>
      </c>
      <c r="AD1260" s="580">
        <f t="shared" si="131"/>
        <v>5</v>
      </c>
      <c r="AE1260" s="580">
        <f t="shared" si="132"/>
        <v>2.5</v>
      </c>
      <c r="AF1260" s="580">
        <f t="shared" si="133"/>
        <v>2.5</v>
      </c>
      <c r="AG1260" s="580">
        <f t="shared" si="134"/>
        <v>0</v>
      </c>
      <c r="AH1260" s="580">
        <f t="shared" si="135"/>
        <v>0</v>
      </c>
    </row>
    <row r="1261" spans="28:34">
      <c r="AB1261" s="580">
        <f>HLOOKUP("*"&amp;'Output annual'!$AC$2&amp;'Output annual'!$AD$2&amp;"*Zone People Number Of Occupants [](Hourly)",'Eplus results'!$1:$1048576,ROW(),FALSE)</f>
        <v>0</v>
      </c>
      <c r="AC1261" s="580">
        <f>HLOOKUP("*"&amp;'Output annual'!$AC$2&amp;'Output annual'!$AD$2&amp;"*FangerPMV(Hourly)",'Eplus results'!$1:$1048576,ROW(),FALSE)</f>
        <v>0</v>
      </c>
      <c r="AD1261" s="580">
        <f t="shared" si="131"/>
        <v>5</v>
      </c>
      <c r="AE1261" s="580">
        <f t="shared" si="132"/>
        <v>2.5</v>
      </c>
      <c r="AF1261" s="580">
        <f t="shared" si="133"/>
        <v>2.5</v>
      </c>
      <c r="AG1261" s="580">
        <f t="shared" si="134"/>
        <v>0</v>
      </c>
      <c r="AH1261" s="580">
        <f t="shared" si="135"/>
        <v>0</v>
      </c>
    </row>
    <row r="1262" spans="28:34">
      <c r="AB1262" s="580">
        <f>HLOOKUP("*"&amp;'Output annual'!$AC$2&amp;'Output annual'!$AD$2&amp;"*Zone People Number Of Occupants [](Hourly)",'Eplus results'!$1:$1048576,ROW(),FALSE)</f>
        <v>0</v>
      </c>
      <c r="AC1262" s="580">
        <f>HLOOKUP("*"&amp;'Output annual'!$AC$2&amp;'Output annual'!$AD$2&amp;"*FangerPMV(Hourly)",'Eplus results'!$1:$1048576,ROW(),FALSE)</f>
        <v>0</v>
      </c>
      <c r="AD1262" s="580">
        <f t="shared" si="131"/>
        <v>5</v>
      </c>
      <c r="AE1262" s="580">
        <f t="shared" si="132"/>
        <v>2.5</v>
      </c>
      <c r="AF1262" s="580">
        <f t="shared" si="133"/>
        <v>2.5</v>
      </c>
      <c r="AG1262" s="580">
        <f t="shared" si="134"/>
        <v>0</v>
      </c>
      <c r="AH1262" s="580">
        <f t="shared" si="135"/>
        <v>0</v>
      </c>
    </row>
    <row r="1263" spans="28:34">
      <c r="AB1263" s="580">
        <f>HLOOKUP("*"&amp;'Output annual'!$AC$2&amp;'Output annual'!$AD$2&amp;"*Zone People Number Of Occupants [](Hourly)",'Eplus results'!$1:$1048576,ROW(),FALSE)</f>
        <v>0</v>
      </c>
      <c r="AC1263" s="580">
        <f>HLOOKUP("*"&amp;'Output annual'!$AC$2&amp;'Output annual'!$AD$2&amp;"*FangerPMV(Hourly)",'Eplus results'!$1:$1048576,ROW(),FALSE)</f>
        <v>0</v>
      </c>
      <c r="AD1263" s="580">
        <f t="shared" si="131"/>
        <v>5</v>
      </c>
      <c r="AE1263" s="580">
        <f t="shared" si="132"/>
        <v>2.5</v>
      </c>
      <c r="AF1263" s="580">
        <f t="shared" si="133"/>
        <v>2.5</v>
      </c>
      <c r="AG1263" s="580">
        <f t="shared" si="134"/>
        <v>0</v>
      </c>
      <c r="AH1263" s="580">
        <f t="shared" si="135"/>
        <v>0</v>
      </c>
    </row>
    <row r="1264" spans="28:34">
      <c r="AB1264" s="580">
        <f>HLOOKUP("*"&amp;'Output annual'!$AC$2&amp;'Output annual'!$AD$2&amp;"*Zone People Number Of Occupants [](Hourly)",'Eplus results'!$1:$1048576,ROW(),FALSE)</f>
        <v>0</v>
      </c>
      <c r="AC1264" s="580">
        <f>HLOOKUP("*"&amp;'Output annual'!$AC$2&amp;'Output annual'!$AD$2&amp;"*FangerPMV(Hourly)",'Eplus results'!$1:$1048576,ROW(),FALSE)</f>
        <v>0</v>
      </c>
      <c r="AD1264" s="580">
        <f t="shared" si="131"/>
        <v>5</v>
      </c>
      <c r="AE1264" s="580">
        <f t="shared" si="132"/>
        <v>2.5</v>
      </c>
      <c r="AF1264" s="580">
        <f t="shared" si="133"/>
        <v>2.5</v>
      </c>
      <c r="AG1264" s="580">
        <f t="shared" si="134"/>
        <v>0</v>
      </c>
      <c r="AH1264" s="580">
        <f t="shared" si="135"/>
        <v>0</v>
      </c>
    </row>
    <row r="1265" spans="28:34">
      <c r="AB1265" s="580">
        <f>HLOOKUP("*"&amp;'Output annual'!$AC$2&amp;'Output annual'!$AD$2&amp;"*Zone People Number Of Occupants [](Hourly)",'Eplus results'!$1:$1048576,ROW(),FALSE)</f>
        <v>0</v>
      </c>
      <c r="AC1265" s="580">
        <f>HLOOKUP("*"&amp;'Output annual'!$AC$2&amp;'Output annual'!$AD$2&amp;"*FangerPMV(Hourly)",'Eplus results'!$1:$1048576,ROW(),FALSE)</f>
        <v>0</v>
      </c>
      <c r="AD1265" s="580">
        <f t="shared" si="131"/>
        <v>5</v>
      </c>
      <c r="AE1265" s="580">
        <f t="shared" si="132"/>
        <v>2.5</v>
      </c>
      <c r="AF1265" s="580">
        <f t="shared" si="133"/>
        <v>2.5</v>
      </c>
      <c r="AG1265" s="580">
        <f t="shared" si="134"/>
        <v>0</v>
      </c>
      <c r="AH1265" s="580">
        <f t="shared" si="135"/>
        <v>0</v>
      </c>
    </row>
    <row r="1266" spans="28:34">
      <c r="AB1266" s="580">
        <f>HLOOKUP("*"&amp;'Output annual'!$AC$2&amp;'Output annual'!$AD$2&amp;"*Zone People Number Of Occupants [](Hourly)",'Eplus results'!$1:$1048576,ROW(),FALSE)</f>
        <v>0</v>
      </c>
      <c r="AC1266" s="580">
        <f>HLOOKUP("*"&amp;'Output annual'!$AC$2&amp;'Output annual'!$AD$2&amp;"*FangerPMV(Hourly)",'Eplus results'!$1:$1048576,ROW(),FALSE)</f>
        <v>0</v>
      </c>
      <c r="AD1266" s="580">
        <f t="shared" si="131"/>
        <v>5</v>
      </c>
      <c r="AE1266" s="580">
        <f t="shared" si="132"/>
        <v>2.5</v>
      </c>
      <c r="AF1266" s="580">
        <f t="shared" si="133"/>
        <v>2.5</v>
      </c>
      <c r="AG1266" s="580">
        <f t="shared" si="134"/>
        <v>0</v>
      </c>
      <c r="AH1266" s="580">
        <f t="shared" si="135"/>
        <v>0</v>
      </c>
    </row>
    <row r="1267" spans="28:34">
      <c r="AB1267" s="580">
        <f>HLOOKUP("*"&amp;'Output annual'!$AC$2&amp;'Output annual'!$AD$2&amp;"*Zone People Number Of Occupants [](Hourly)",'Eplus results'!$1:$1048576,ROW(),FALSE)</f>
        <v>0</v>
      </c>
      <c r="AC1267" s="580">
        <f>HLOOKUP("*"&amp;'Output annual'!$AC$2&amp;'Output annual'!$AD$2&amp;"*FangerPMV(Hourly)",'Eplus results'!$1:$1048576,ROW(),FALSE)</f>
        <v>0</v>
      </c>
      <c r="AD1267" s="580">
        <f t="shared" si="131"/>
        <v>5</v>
      </c>
      <c r="AE1267" s="580">
        <f t="shared" si="132"/>
        <v>2.5</v>
      </c>
      <c r="AF1267" s="580">
        <f t="shared" si="133"/>
        <v>2.5</v>
      </c>
      <c r="AG1267" s="580">
        <f t="shared" si="134"/>
        <v>0</v>
      </c>
      <c r="AH1267" s="580">
        <f t="shared" si="135"/>
        <v>0</v>
      </c>
    </row>
    <row r="1268" spans="28:34">
      <c r="AB1268" s="580">
        <f>HLOOKUP("*"&amp;'Output annual'!$AC$2&amp;'Output annual'!$AD$2&amp;"*Zone People Number Of Occupants [](Hourly)",'Eplus results'!$1:$1048576,ROW(),FALSE)</f>
        <v>0</v>
      </c>
      <c r="AC1268" s="580">
        <f>HLOOKUP("*"&amp;'Output annual'!$AC$2&amp;'Output annual'!$AD$2&amp;"*FangerPMV(Hourly)",'Eplus results'!$1:$1048576,ROW(),FALSE)</f>
        <v>0</v>
      </c>
      <c r="AD1268" s="580">
        <f t="shared" si="131"/>
        <v>5</v>
      </c>
      <c r="AE1268" s="580">
        <f t="shared" si="132"/>
        <v>2.5</v>
      </c>
      <c r="AF1268" s="580">
        <f t="shared" si="133"/>
        <v>2.5</v>
      </c>
      <c r="AG1268" s="580">
        <f t="shared" si="134"/>
        <v>0</v>
      </c>
      <c r="AH1268" s="580">
        <f t="shared" si="135"/>
        <v>0</v>
      </c>
    </row>
    <row r="1269" spans="28:34">
      <c r="AB1269" s="580">
        <f>HLOOKUP("*"&amp;'Output annual'!$AC$2&amp;'Output annual'!$AD$2&amp;"*Zone People Number Of Occupants [](Hourly)",'Eplus results'!$1:$1048576,ROW(),FALSE)</f>
        <v>0</v>
      </c>
      <c r="AC1269" s="580">
        <f>HLOOKUP("*"&amp;'Output annual'!$AC$2&amp;'Output annual'!$AD$2&amp;"*FangerPMV(Hourly)",'Eplus results'!$1:$1048576,ROW(),FALSE)</f>
        <v>0</v>
      </c>
      <c r="AD1269" s="580">
        <f t="shared" si="131"/>
        <v>5</v>
      </c>
      <c r="AE1269" s="580">
        <f t="shared" si="132"/>
        <v>2.5</v>
      </c>
      <c r="AF1269" s="580">
        <f t="shared" si="133"/>
        <v>2.5</v>
      </c>
      <c r="AG1269" s="580">
        <f t="shared" si="134"/>
        <v>0</v>
      </c>
      <c r="AH1269" s="580">
        <f t="shared" si="135"/>
        <v>0</v>
      </c>
    </row>
    <row r="1270" spans="28:34">
      <c r="AB1270" s="580">
        <f>HLOOKUP("*"&amp;'Output annual'!$AC$2&amp;'Output annual'!$AD$2&amp;"*Zone People Number Of Occupants [](Hourly)",'Eplus results'!$1:$1048576,ROW(),FALSE)</f>
        <v>0</v>
      </c>
      <c r="AC1270" s="580">
        <f>HLOOKUP("*"&amp;'Output annual'!$AC$2&amp;'Output annual'!$AD$2&amp;"*FangerPMV(Hourly)",'Eplus results'!$1:$1048576,ROW(),FALSE)</f>
        <v>0</v>
      </c>
      <c r="AD1270" s="580">
        <f t="shared" si="131"/>
        <v>5</v>
      </c>
      <c r="AE1270" s="580">
        <f t="shared" si="132"/>
        <v>2.5</v>
      </c>
      <c r="AF1270" s="580">
        <f t="shared" si="133"/>
        <v>2.5</v>
      </c>
      <c r="AG1270" s="580">
        <f t="shared" si="134"/>
        <v>0</v>
      </c>
      <c r="AH1270" s="580">
        <f t="shared" si="135"/>
        <v>0</v>
      </c>
    </row>
    <row r="1271" spans="28:34">
      <c r="AB1271" s="580">
        <f>HLOOKUP("*"&amp;'Output annual'!$AC$2&amp;'Output annual'!$AD$2&amp;"*Zone People Number Of Occupants [](Hourly)",'Eplus results'!$1:$1048576,ROW(),FALSE)</f>
        <v>0</v>
      </c>
      <c r="AC1271" s="580">
        <f>HLOOKUP("*"&amp;'Output annual'!$AC$2&amp;'Output annual'!$AD$2&amp;"*FangerPMV(Hourly)",'Eplus results'!$1:$1048576,ROW(),FALSE)</f>
        <v>0</v>
      </c>
      <c r="AD1271" s="580">
        <f t="shared" si="131"/>
        <v>5</v>
      </c>
      <c r="AE1271" s="580">
        <f t="shared" si="132"/>
        <v>2.5</v>
      </c>
      <c r="AF1271" s="580">
        <f t="shared" si="133"/>
        <v>2.5</v>
      </c>
      <c r="AG1271" s="580">
        <f t="shared" si="134"/>
        <v>0</v>
      </c>
      <c r="AH1271" s="580">
        <f t="shared" si="135"/>
        <v>0</v>
      </c>
    </row>
    <row r="1272" spans="28:34">
      <c r="AB1272" s="580">
        <f>HLOOKUP("*"&amp;'Output annual'!$AC$2&amp;'Output annual'!$AD$2&amp;"*Zone People Number Of Occupants [](Hourly)",'Eplus results'!$1:$1048576,ROW(),FALSE)</f>
        <v>0</v>
      </c>
      <c r="AC1272" s="580">
        <f>HLOOKUP("*"&amp;'Output annual'!$AC$2&amp;'Output annual'!$AD$2&amp;"*FangerPMV(Hourly)",'Eplus results'!$1:$1048576,ROW(),FALSE)</f>
        <v>0</v>
      </c>
      <c r="AD1272" s="580">
        <f t="shared" si="131"/>
        <v>5</v>
      </c>
      <c r="AE1272" s="580">
        <f t="shared" si="132"/>
        <v>2.5</v>
      </c>
      <c r="AF1272" s="580">
        <f t="shared" si="133"/>
        <v>2.5</v>
      </c>
      <c r="AG1272" s="580">
        <f t="shared" si="134"/>
        <v>0</v>
      </c>
      <c r="AH1272" s="580">
        <f t="shared" si="135"/>
        <v>0</v>
      </c>
    </row>
    <row r="1273" spans="28:34">
      <c r="AB1273" s="580">
        <f>HLOOKUP("*"&amp;'Output annual'!$AC$2&amp;'Output annual'!$AD$2&amp;"*Zone People Number Of Occupants [](Hourly)",'Eplus results'!$1:$1048576,ROW(),FALSE)</f>
        <v>0</v>
      </c>
      <c r="AC1273" s="580">
        <f>HLOOKUP("*"&amp;'Output annual'!$AC$2&amp;'Output annual'!$AD$2&amp;"*FangerPMV(Hourly)",'Eplus results'!$1:$1048576,ROW(),FALSE)</f>
        <v>0</v>
      </c>
      <c r="AD1273" s="580">
        <f t="shared" si="131"/>
        <v>5</v>
      </c>
      <c r="AE1273" s="580">
        <f t="shared" si="132"/>
        <v>2.5</v>
      </c>
      <c r="AF1273" s="580">
        <f t="shared" si="133"/>
        <v>2.5</v>
      </c>
      <c r="AG1273" s="580">
        <f t="shared" si="134"/>
        <v>0</v>
      </c>
      <c r="AH1273" s="580">
        <f t="shared" si="135"/>
        <v>0</v>
      </c>
    </row>
    <row r="1274" spans="28:34">
      <c r="AB1274" s="580">
        <f>HLOOKUP("*"&amp;'Output annual'!$AC$2&amp;'Output annual'!$AD$2&amp;"*Zone People Number Of Occupants [](Hourly)",'Eplus results'!$1:$1048576,ROW(),FALSE)</f>
        <v>0</v>
      </c>
      <c r="AC1274" s="580">
        <f>HLOOKUP("*"&amp;'Output annual'!$AC$2&amp;'Output annual'!$AD$2&amp;"*FangerPMV(Hourly)",'Eplus results'!$1:$1048576,ROW(),FALSE)</f>
        <v>0</v>
      </c>
      <c r="AD1274" s="580">
        <f t="shared" si="131"/>
        <v>5</v>
      </c>
      <c r="AE1274" s="580">
        <f t="shared" si="132"/>
        <v>2.5</v>
      </c>
      <c r="AF1274" s="580">
        <f t="shared" si="133"/>
        <v>2.5</v>
      </c>
      <c r="AG1274" s="580">
        <f t="shared" si="134"/>
        <v>0</v>
      </c>
      <c r="AH1274" s="580">
        <f t="shared" si="135"/>
        <v>0</v>
      </c>
    </row>
    <row r="1275" spans="28:34">
      <c r="AB1275" s="580">
        <f>HLOOKUP("*"&amp;'Output annual'!$AC$2&amp;'Output annual'!$AD$2&amp;"*Zone People Number Of Occupants [](Hourly)",'Eplus results'!$1:$1048576,ROW(),FALSE)</f>
        <v>0</v>
      </c>
      <c r="AC1275" s="580">
        <f>HLOOKUP("*"&amp;'Output annual'!$AC$2&amp;'Output annual'!$AD$2&amp;"*FangerPMV(Hourly)",'Eplus results'!$1:$1048576,ROW(),FALSE)</f>
        <v>0</v>
      </c>
      <c r="AD1275" s="580">
        <f t="shared" si="131"/>
        <v>5</v>
      </c>
      <c r="AE1275" s="580">
        <f t="shared" si="132"/>
        <v>2.5</v>
      </c>
      <c r="AF1275" s="580">
        <f t="shared" si="133"/>
        <v>2.5</v>
      </c>
      <c r="AG1275" s="580">
        <f t="shared" si="134"/>
        <v>0</v>
      </c>
      <c r="AH1275" s="580">
        <f t="shared" si="135"/>
        <v>0</v>
      </c>
    </row>
    <row r="1276" spans="28:34">
      <c r="AB1276" s="580">
        <f>HLOOKUP("*"&amp;'Output annual'!$AC$2&amp;'Output annual'!$AD$2&amp;"*Zone People Number Of Occupants [](Hourly)",'Eplus results'!$1:$1048576,ROW(),FALSE)</f>
        <v>0</v>
      </c>
      <c r="AC1276" s="580">
        <f>HLOOKUP("*"&amp;'Output annual'!$AC$2&amp;'Output annual'!$AD$2&amp;"*FangerPMV(Hourly)",'Eplus results'!$1:$1048576,ROW(),FALSE)</f>
        <v>0</v>
      </c>
      <c r="AD1276" s="580">
        <f t="shared" si="131"/>
        <v>5</v>
      </c>
      <c r="AE1276" s="580">
        <f t="shared" si="132"/>
        <v>2.5</v>
      </c>
      <c r="AF1276" s="580">
        <f t="shared" si="133"/>
        <v>2.5</v>
      </c>
      <c r="AG1276" s="580">
        <f t="shared" si="134"/>
        <v>0</v>
      </c>
      <c r="AH1276" s="580">
        <f t="shared" si="135"/>
        <v>0</v>
      </c>
    </row>
    <row r="1277" spans="28:34">
      <c r="AB1277" s="580">
        <f>HLOOKUP("*"&amp;'Output annual'!$AC$2&amp;'Output annual'!$AD$2&amp;"*Zone People Number Of Occupants [](Hourly)",'Eplus results'!$1:$1048576,ROW(),FALSE)</f>
        <v>0</v>
      </c>
      <c r="AC1277" s="580">
        <f>HLOOKUP("*"&amp;'Output annual'!$AC$2&amp;'Output annual'!$AD$2&amp;"*FangerPMV(Hourly)",'Eplus results'!$1:$1048576,ROW(),FALSE)</f>
        <v>0</v>
      </c>
      <c r="AD1277" s="580">
        <f t="shared" si="131"/>
        <v>5</v>
      </c>
      <c r="AE1277" s="580">
        <f t="shared" si="132"/>
        <v>2.5</v>
      </c>
      <c r="AF1277" s="580">
        <f t="shared" si="133"/>
        <v>2.5</v>
      </c>
      <c r="AG1277" s="580">
        <f t="shared" si="134"/>
        <v>0</v>
      </c>
      <c r="AH1277" s="580">
        <f t="shared" si="135"/>
        <v>0</v>
      </c>
    </row>
    <row r="1278" spans="28:34">
      <c r="AB1278" s="580">
        <f>HLOOKUP("*"&amp;'Output annual'!$AC$2&amp;'Output annual'!$AD$2&amp;"*Zone People Number Of Occupants [](Hourly)",'Eplus results'!$1:$1048576,ROW(),FALSE)</f>
        <v>0</v>
      </c>
      <c r="AC1278" s="580">
        <f>HLOOKUP("*"&amp;'Output annual'!$AC$2&amp;'Output annual'!$AD$2&amp;"*FangerPMV(Hourly)",'Eplus results'!$1:$1048576,ROW(),FALSE)</f>
        <v>0</v>
      </c>
      <c r="AD1278" s="580">
        <f t="shared" si="131"/>
        <v>5</v>
      </c>
      <c r="AE1278" s="580">
        <f t="shared" si="132"/>
        <v>2.5</v>
      </c>
      <c r="AF1278" s="580">
        <f t="shared" si="133"/>
        <v>2.5</v>
      </c>
      <c r="AG1278" s="580">
        <f t="shared" si="134"/>
        <v>0</v>
      </c>
      <c r="AH1278" s="580">
        <f t="shared" si="135"/>
        <v>0</v>
      </c>
    </row>
    <row r="1279" spans="28:34">
      <c r="AB1279" s="580">
        <f>HLOOKUP("*"&amp;'Output annual'!$AC$2&amp;'Output annual'!$AD$2&amp;"*Zone People Number Of Occupants [](Hourly)",'Eplus results'!$1:$1048576,ROW(),FALSE)</f>
        <v>0</v>
      </c>
      <c r="AC1279" s="580">
        <f>HLOOKUP("*"&amp;'Output annual'!$AC$2&amp;'Output annual'!$AD$2&amp;"*FangerPMV(Hourly)",'Eplus results'!$1:$1048576,ROW(),FALSE)</f>
        <v>0</v>
      </c>
      <c r="AD1279" s="580">
        <f t="shared" si="131"/>
        <v>5</v>
      </c>
      <c r="AE1279" s="580">
        <f t="shared" si="132"/>
        <v>2.5</v>
      </c>
      <c r="AF1279" s="580">
        <f t="shared" si="133"/>
        <v>2.5</v>
      </c>
      <c r="AG1279" s="580">
        <f t="shared" si="134"/>
        <v>0</v>
      </c>
      <c r="AH1279" s="580">
        <f t="shared" si="135"/>
        <v>0</v>
      </c>
    </row>
    <row r="1280" spans="28:34">
      <c r="AB1280" s="580">
        <f>HLOOKUP("*"&amp;'Output annual'!$AC$2&amp;'Output annual'!$AD$2&amp;"*Zone People Number Of Occupants [](Hourly)",'Eplus results'!$1:$1048576,ROW(),FALSE)</f>
        <v>0</v>
      </c>
      <c r="AC1280" s="580">
        <f>HLOOKUP("*"&amp;'Output annual'!$AC$2&amp;'Output annual'!$AD$2&amp;"*FangerPMV(Hourly)",'Eplus results'!$1:$1048576,ROW(),FALSE)</f>
        <v>0</v>
      </c>
      <c r="AD1280" s="580">
        <f t="shared" si="131"/>
        <v>5</v>
      </c>
      <c r="AE1280" s="580">
        <f t="shared" si="132"/>
        <v>2.5</v>
      </c>
      <c r="AF1280" s="580">
        <f t="shared" si="133"/>
        <v>2.5</v>
      </c>
      <c r="AG1280" s="580">
        <f t="shared" si="134"/>
        <v>0</v>
      </c>
      <c r="AH1280" s="580">
        <f t="shared" si="135"/>
        <v>0</v>
      </c>
    </row>
    <row r="1281" spans="28:34">
      <c r="AB1281" s="580">
        <f>HLOOKUP("*"&amp;'Output annual'!$AC$2&amp;'Output annual'!$AD$2&amp;"*Zone People Number Of Occupants [](Hourly)",'Eplus results'!$1:$1048576,ROW(),FALSE)</f>
        <v>0</v>
      </c>
      <c r="AC1281" s="580">
        <f>HLOOKUP("*"&amp;'Output annual'!$AC$2&amp;'Output annual'!$AD$2&amp;"*FangerPMV(Hourly)",'Eplus results'!$1:$1048576,ROW(),FALSE)</f>
        <v>0</v>
      </c>
      <c r="AD1281" s="580">
        <f t="shared" si="131"/>
        <v>5</v>
      </c>
      <c r="AE1281" s="580">
        <f t="shared" si="132"/>
        <v>2.5</v>
      </c>
      <c r="AF1281" s="580">
        <f t="shared" si="133"/>
        <v>2.5</v>
      </c>
      <c r="AG1281" s="580">
        <f t="shared" si="134"/>
        <v>0</v>
      </c>
      <c r="AH1281" s="580">
        <f t="shared" si="135"/>
        <v>0</v>
      </c>
    </row>
    <row r="1282" spans="28:34">
      <c r="AB1282" s="580">
        <f>HLOOKUP("*"&amp;'Output annual'!$AC$2&amp;'Output annual'!$AD$2&amp;"*Zone People Number Of Occupants [](Hourly)",'Eplus results'!$1:$1048576,ROW(),FALSE)</f>
        <v>0</v>
      </c>
      <c r="AC1282" s="580">
        <f>HLOOKUP("*"&amp;'Output annual'!$AC$2&amp;'Output annual'!$AD$2&amp;"*FangerPMV(Hourly)",'Eplus results'!$1:$1048576,ROW(),FALSE)</f>
        <v>0</v>
      </c>
      <c r="AD1282" s="580">
        <f t="shared" si="131"/>
        <v>5</v>
      </c>
      <c r="AE1282" s="580">
        <f t="shared" si="132"/>
        <v>2.5</v>
      </c>
      <c r="AF1282" s="580">
        <f t="shared" si="133"/>
        <v>2.5</v>
      </c>
      <c r="AG1282" s="580">
        <f t="shared" si="134"/>
        <v>0</v>
      </c>
      <c r="AH1282" s="580">
        <f t="shared" si="135"/>
        <v>0</v>
      </c>
    </row>
    <row r="1283" spans="28:34">
      <c r="AB1283" s="580">
        <f>HLOOKUP("*"&amp;'Output annual'!$AC$2&amp;'Output annual'!$AD$2&amp;"*Zone People Number Of Occupants [](Hourly)",'Eplus results'!$1:$1048576,ROW(),FALSE)</f>
        <v>0</v>
      </c>
      <c r="AC1283" s="580">
        <f>HLOOKUP("*"&amp;'Output annual'!$AC$2&amp;'Output annual'!$AD$2&amp;"*FangerPMV(Hourly)",'Eplus results'!$1:$1048576,ROW(),FALSE)</f>
        <v>0</v>
      </c>
      <c r="AD1283" s="580">
        <f t="shared" ref="AD1283:AD1346" si="136">100-95*EXP(-0.03353*AC1283^4-0.2179*AC1283^2)</f>
        <v>5</v>
      </c>
      <c r="AE1283" s="580">
        <f t="shared" ref="AE1283:AE1346" si="137">AD1283*(1/(1+EXP(-6.3*$AC1283)))</f>
        <v>2.5</v>
      </c>
      <c r="AF1283" s="580">
        <f t="shared" ref="AF1283:AF1346" si="138">(AD1283-AE1283)</f>
        <v>2.5</v>
      </c>
      <c r="AG1283" s="580">
        <f t="shared" ref="AG1283:AG1346" si="139">AE1283*AB1283</f>
        <v>0</v>
      </c>
      <c r="AH1283" s="580">
        <f t="shared" ref="AH1283:AH1346" si="140">AF1283*AB1283</f>
        <v>0</v>
      </c>
    </row>
    <row r="1284" spans="28:34">
      <c r="AB1284" s="580">
        <f>HLOOKUP("*"&amp;'Output annual'!$AC$2&amp;'Output annual'!$AD$2&amp;"*Zone People Number Of Occupants [](Hourly)",'Eplus results'!$1:$1048576,ROW(),FALSE)</f>
        <v>0</v>
      </c>
      <c r="AC1284" s="580">
        <f>HLOOKUP("*"&amp;'Output annual'!$AC$2&amp;'Output annual'!$AD$2&amp;"*FangerPMV(Hourly)",'Eplus results'!$1:$1048576,ROW(),FALSE)</f>
        <v>0</v>
      </c>
      <c r="AD1284" s="580">
        <f t="shared" si="136"/>
        <v>5</v>
      </c>
      <c r="AE1284" s="580">
        <f t="shared" si="137"/>
        <v>2.5</v>
      </c>
      <c r="AF1284" s="580">
        <f t="shared" si="138"/>
        <v>2.5</v>
      </c>
      <c r="AG1284" s="580">
        <f t="shared" si="139"/>
        <v>0</v>
      </c>
      <c r="AH1284" s="580">
        <f t="shared" si="140"/>
        <v>0</v>
      </c>
    </row>
    <row r="1285" spans="28:34">
      <c r="AB1285" s="580">
        <f>HLOOKUP("*"&amp;'Output annual'!$AC$2&amp;'Output annual'!$AD$2&amp;"*Zone People Number Of Occupants [](Hourly)",'Eplus results'!$1:$1048576,ROW(),FALSE)</f>
        <v>0</v>
      </c>
      <c r="AC1285" s="580">
        <f>HLOOKUP("*"&amp;'Output annual'!$AC$2&amp;'Output annual'!$AD$2&amp;"*FangerPMV(Hourly)",'Eplus results'!$1:$1048576,ROW(),FALSE)</f>
        <v>0</v>
      </c>
      <c r="AD1285" s="580">
        <f t="shared" si="136"/>
        <v>5</v>
      </c>
      <c r="AE1285" s="580">
        <f t="shared" si="137"/>
        <v>2.5</v>
      </c>
      <c r="AF1285" s="580">
        <f t="shared" si="138"/>
        <v>2.5</v>
      </c>
      <c r="AG1285" s="580">
        <f t="shared" si="139"/>
        <v>0</v>
      </c>
      <c r="AH1285" s="580">
        <f t="shared" si="140"/>
        <v>0</v>
      </c>
    </row>
    <row r="1286" spans="28:34">
      <c r="AB1286" s="580">
        <f>HLOOKUP("*"&amp;'Output annual'!$AC$2&amp;'Output annual'!$AD$2&amp;"*Zone People Number Of Occupants [](Hourly)",'Eplus results'!$1:$1048576,ROW(),FALSE)</f>
        <v>0</v>
      </c>
      <c r="AC1286" s="580">
        <f>HLOOKUP("*"&amp;'Output annual'!$AC$2&amp;'Output annual'!$AD$2&amp;"*FangerPMV(Hourly)",'Eplus results'!$1:$1048576,ROW(),FALSE)</f>
        <v>0</v>
      </c>
      <c r="AD1286" s="580">
        <f t="shared" si="136"/>
        <v>5</v>
      </c>
      <c r="AE1286" s="580">
        <f t="shared" si="137"/>
        <v>2.5</v>
      </c>
      <c r="AF1286" s="580">
        <f t="shared" si="138"/>
        <v>2.5</v>
      </c>
      <c r="AG1286" s="580">
        <f t="shared" si="139"/>
        <v>0</v>
      </c>
      <c r="AH1286" s="580">
        <f t="shared" si="140"/>
        <v>0</v>
      </c>
    </row>
    <row r="1287" spans="28:34">
      <c r="AB1287" s="580">
        <f>HLOOKUP("*"&amp;'Output annual'!$AC$2&amp;'Output annual'!$AD$2&amp;"*Zone People Number Of Occupants [](Hourly)",'Eplus results'!$1:$1048576,ROW(),FALSE)</f>
        <v>0</v>
      </c>
      <c r="AC1287" s="580">
        <f>HLOOKUP("*"&amp;'Output annual'!$AC$2&amp;'Output annual'!$AD$2&amp;"*FangerPMV(Hourly)",'Eplus results'!$1:$1048576,ROW(),FALSE)</f>
        <v>0</v>
      </c>
      <c r="AD1287" s="580">
        <f t="shared" si="136"/>
        <v>5</v>
      </c>
      <c r="AE1287" s="580">
        <f t="shared" si="137"/>
        <v>2.5</v>
      </c>
      <c r="AF1287" s="580">
        <f t="shared" si="138"/>
        <v>2.5</v>
      </c>
      <c r="AG1287" s="580">
        <f t="shared" si="139"/>
        <v>0</v>
      </c>
      <c r="AH1287" s="580">
        <f t="shared" si="140"/>
        <v>0</v>
      </c>
    </row>
    <row r="1288" spans="28:34">
      <c r="AB1288" s="580">
        <f>HLOOKUP("*"&amp;'Output annual'!$AC$2&amp;'Output annual'!$AD$2&amp;"*Zone People Number Of Occupants [](Hourly)",'Eplus results'!$1:$1048576,ROW(),FALSE)</f>
        <v>0</v>
      </c>
      <c r="AC1288" s="580">
        <f>HLOOKUP("*"&amp;'Output annual'!$AC$2&amp;'Output annual'!$AD$2&amp;"*FangerPMV(Hourly)",'Eplus results'!$1:$1048576,ROW(),FALSE)</f>
        <v>0</v>
      </c>
      <c r="AD1288" s="580">
        <f t="shared" si="136"/>
        <v>5</v>
      </c>
      <c r="AE1288" s="580">
        <f t="shared" si="137"/>
        <v>2.5</v>
      </c>
      <c r="AF1288" s="580">
        <f t="shared" si="138"/>
        <v>2.5</v>
      </c>
      <c r="AG1288" s="580">
        <f t="shared" si="139"/>
        <v>0</v>
      </c>
      <c r="AH1288" s="580">
        <f t="shared" si="140"/>
        <v>0</v>
      </c>
    </row>
    <row r="1289" spans="28:34">
      <c r="AB1289" s="580">
        <f>HLOOKUP("*"&amp;'Output annual'!$AC$2&amp;'Output annual'!$AD$2&amp;"*Zone People Number Of Occupants [](Hourly)",'Eplus results'!$1:$1048576,ROW(),FALSE)</f>
        <v>0</v>
      </c>
      <c r="AC1289" s="580">
        <f>HLOOKUP("*"&amp;'Output annual'!$AC$2&amp;'Output annual'!$AD$2&amp;"*FangerPMV(Hourly)",'Eplus results'!$1:$1048576,ROW(),FALSE)</f>
        <v>0</v>
      </c>
      <c r="AD1289" s="580">
        <f t="shared" si="136"/>
        <v>5</v>
      </c>
      <c r="AE1289" s="580">
        <f t="shared" si="137"/>
        <v>2.5</v>
      </c>
      <c r="AF1289" s="580">
        <f t="shared" si="138"/>
        <v>2.5</v>
      </c>
      <c r="AG1289" s="580">
        <f t="shared" si="139"/>
        <v>0</v>
      </c>
      <c r="AH1289" s="580">
        <f t="shared" si="140"/>
        <v>0</v>
      </c>
    </row>
    <row r="1290" spans="28:34">
      <c r="AB1290" s="580">
        <f>HLOOKUP("*"&amp;'Output annual'!$AC$2&amp;'Output annual'!$AD$2&amp;"*Zone People Number Of Occupants [](Hourly)",'Eplus results'!$1:$1048576,ROW(),FALSE)</f>
        <v>0</v>
      </c>
      <c r="AC1290" s="580">
        <f>HLOOKUP("*"&amp;'Output annual'!$AC$2&amp;'Output annual'!$AD$2&amp;"*FangerPMV(Hourly)",'Eplus results'!$1:$1048576,ROW(),FALSE)</f>
        <v>0</v>
      </c>
      <c r="AD1290" s="580">
        <f t="shared" si="136"/>
        <v>5</v>
      </c>
      <c r="AE1290" s="580">
        <f t="shared" si="137"/>
        <v>2.5</v>
      </c>
      <c r="AF1290" s="580">
        <f t="shared" si="138"/>
        <v>2.5</v>
      </c>
      <c r="AG1290" s="580">
        <f t="shared" si="139"/>
        <v>0</v>
      </c>
      <c r="AH1290" s="580">
        <f t="shared" si="140"/>
        <v>0</v>
      </c>
    </row>
    <row r="1291" spans="28:34">
      <c r="AB1291" s="580">
        <f>HLOOKUP("*"&amp;'Output annual'!$AC$2&amp;'Output annual'!$AD$2&amp;"*Zone People Number Of Occupants [](Hourly)",'Eplus results'!$1:$1048576,ROW(),FALSE)</f>
        <v>0</v>
      </c>
      <c r="AC1291" s="580">
        <f>HLOOKUP("*"&amp;'Output annual'!$AC$2&amp;'Output annual'!$AD$2&amp;"*FangerPMV(Hourly)",'Eplus results'!$1:$1048576,ROW(),FALSE)</f>
        <v>0</v>
      </c>
      <c r="AD1291" s="580">
        <f t="shared" si="136"/>
        <v>5</v>
      </c>
      <c r="AE1291" s="580">
        <f t="shared" si="137"/>
        <v>2.5</v>
      </c>
      <c r="AF1291" s="580">
        <f t="shared" si="138"/>
        <v>2.5</v>
      </c>
      <c r="AG1291" s="580">
        <f t="shared" si="139"/>
        <v>0</v>
      </c>
      <c r="AH1291" s="580">
        <f t="shared" si="140"/>
        <v>0</v>
      </c>
    </row>
    <row r="1292" spans="28:34">
      <c r="AB1292" s="580">
        <f>HLOOKUP("*"&amp;'Output annual'!$AC$2&amp;'Output annual'!$AD$2&amp;"*Zone People Number Of Occupants [](Hourly)",'Eplus results'!$1:$1048576,ROW(),FALSE)</f>
        <v>0</v>
      </c>
      <c r="AC1292" s="580">
        <f>HLOOKUP("*"&amp;'Output annual'!$AC$2&amp;'Output annual'!$AD$2&amp;"*FangerPMV(Hourly)",'Eplus results'!$1:$1048576,ROW(),FALSE)</f>
        <v>0</v>
      </c>
      <c r="AD1292" s="580">
        <f t="shared" si="136"/>
        <v>5</v>
      </c>
      <c r="AE1292" s="580">
        <f t="shared" si="137"/>
        <v>2.5</v>
      </c>
      <c r="AF1292" s="580">
        <f t="shared" si="138"/>
        <v>2.5</v>
      </c>
      <c r="AG1292" s="580">
        <f t="shared" si="139"/>
        <v>0</v>
      </c>
      <c r="AH1292" s="580">
        <f t="shared" si="140"/>
        <v>0</v>
      </c>
    </row>
    <row r="1293" spans="28:34">
      <c r="AB1293" s="580">
        <f>HLOOKUP("*"&amp;'Output annual'!$AC$2&amp;'Output annual'!$AD$2&amp;"*Zone People Number Of Occupants [](Hourly)",'Eplus results'!$1:$1048576,ROW(),FALSE)</f>
        <v>0</v>
      </c>
      <c r="AC1293" s="580">
        <f>HLOOKUP("*"&amp;'Output annual'!$AC$2&amp;'Output annual'!$AD$2&amp;"*FangerPMV(Hourly)",'Eplus results'!$1:$1048576,ROW(),FALSE)</f>
        <v>0</v>
      </c>
      <c r="AD1293" s="580">
        <f t="shared" si="136"/>
        <v>5</v>
      </c>
      <c r="AE1293" s="580">
        <f t="shared" si="137"/>
        <v>2.5</v>
      </c>
      <c r="AF1293" s="580">
        <f t="shared" si="138"/>
        <v>2.5</v>
      </c>
      <c r="AG1293" s="580">
        <f t="shared" si="139"/>
        <v>0</v>
      </c>
      <c r="AH1293" s="580">
        <f t="shared" si="140"/>
        <v>0</v>
      </c>
    </row>
    <row r="1294" spans="28:34">
      <c r="AB1294" s="580">
        <f>HLOOKUP("*"&amp;'Output annual'!$AC$2&amp;'Output annual'!$AD$2&amp;"*Zone People Number Of Occupants [](Hourly)",'Eplus results'!$1:$1048576,ROW(),FALSE)</f>
        <v>0</v>
      </c>
      <c r="AC1294" s="580">
        <f>HLOOKUP("*"&amp;'Output annual'!$AC$2&amp;'Output annual'!$AD$2&amp;"*FangerPMV(Hourly)",'Eplus results'!$1:$1048576,ROW(),FALSE)</f>
        <v>0</v>
      </c>
      <c r="AD1294" s="580">
        <f t="shared" si="136"/>
        <v>5</v>
      </c>
      <c r="AE1294" s="580">
        <f t="shared" si="137"/>
        <v>2.5</v>
      </c>
      <c r="AF1294" s="580">
        <f t="shared" si="138"/>
        <v>2.5</v>
      </c>
      <c r="AG1294" s="580">
        <f t="shared" si="139"/>
        <v>0</v>
      </c>
      <c r="AH1294" s="580">
        <f t="shared" si="140"/>
        <v>0</v>
      </c>
    </row>
    <row r="1295" spans="28:34">
      <c r="AB1295" s="580">
        <f>HLOOKUP("*"&amp;'Output annual'!$AC$2&amp;'Output annual'!$AD$2&amp;"*Zone People Number Of Occupants [](Hourly)",'Eplus results'!$1:$1048576,ROW(),FALSE)</f>
        <v>0</v>
      </c>
      <c r="AC1295" s="580">
        <f>HLOOKUP("*"&amp;'Output annual'!$AC$2&amp;'Output annual'!$AD$2&amp;"*FangerPMV(Hourly)",'Eplus results'!$1:$1048576,ROW(),FALSE)</f>
        <v>0</v>
      </c>
      <c r="AD1295" s="580">
        <f t="shared" si="136"/>
        <v>5</v>
      </c>
      <c r="AE1295" s="580">
        <f t="shared" si="137"/>
        <v>2.5</v>
      </c>
      <c r="AF1295" s="580">
        <f t="shared" si="138"/>
        <v>2.5</v>
      </c>
      <c r="AG1295" s="580">
        <f t="shared" si="139"/>
        <v>0</v>
      </c>
      <c r="AH1295" s="580">
        <f t="shared" si="140"/>
        <v>0</v>
      </c>
    </row>
    <row r="1296" spans="28:34">
      <c r="AB1296" s="580">
        <f>HLOOKUP("*"&amp;'Output annual'!$AC$2&amp;'Output annual'!$AD$2&amp;"*Zone People Number Of Occupants [](Hourly)",'Eplus results'!$1:$1048576,ROW(),FALSE)</f>
        <v>0</v>
      </c>
      <c r="AC1296" s="580">
        <f>HLOOKUP("*"&amp;'Output annual'!$AC$2&amp;'Output annual'!$AD$2&amp;"*FangerPMV(Hourly)",'Eplus results'!$1:$1048576,ROW(),FALSE)</f>
        <v>0</v>
      </c>
      <c r="AD1296" s="580">
        <f t="shared" si="136"/>
        <v>5</v>
      </c>
      <c r="AE1296" s="580">
        <f t="shared" si="137"/>
        <v>2.5</v>
      </c>
      <c r="AF1296" s="580">
        <f t="shared" si="138"/>
        <v>2.5</v>
      </c>
      <c r="AG1296" s="580">
        <f t="shared" si="139"/>
        <v>0</v>
      </c>
      <c r="AH1296" s="580">
        <f t="shared" si="140"/>
        <v>0</v>
      </c>
    </row>
    <row r="1297" spans="28:34">
      <c r="AB1297" s="580">
        <f>HLOOKUP("*"&amp;'Output annual'!$AC$2&amp;'Output annual'!$AD$2&amp;"*Zone People Number Of Occupants [](Hourly)",'Eplus results'!$1:$1048576,ROW(),FALSE)</f>
        <v>0</v>
      </c>
      <c r="AC1297" s="580">
        <f>HLOOKUP("*"&amp;'Output annual'!$AC$2&amp;'Output annual'!$AD$2&amp;"*FangerPMV(Hourly)",'Eplus results'!$1:$1048576,ROW(),FALSE)</f>
        <v>0</v>
      </c>
      <c r="AD1297" s="580">
        <f t="shared" si="136"/>
        <v>5</v>
      </c>
      <c r="AE1297" s="580">
        <f t="shared" si="137"/>
        <v>2.5</v>
      </c>
      <c r="AF1297" s="580">
        <f t="shared" si="138"/>
        <v>2.5</v>
      </c>
      <c r="AG1297" s="580">
        <f t="shared" si="139"/>
        <v>0</v>
      </c>
      <c r="AH1297" s="580">
        <f t="shared" si="140"/>
        <v>0</v>
      </c>
    </row>
    <row r="1298" spans="28:34">
      <c r="AB1298" s="580">
        <f>HLOOKUP("*"&amp;'Output annual'!$AC$2&amp;'Output annual'!$AD$2&amp;"*Zone People Number Of Occupants [](Hourly)",'Eplus results'!$1:$1048576,ROW(),FALSE)</f>
        <v>0</v>
      </c>
      <c r="AC1298" s="580">
        <f>HLOOKUP("*"&amp;'Output annual'!$AC$2&amp;'Output annual'!$AD$2&amp;"*FangerPMV(Hourly)",'Eplus results'!$1:$1048576,ROW(),FALSE)</f>
        <v>0</v>
      </c>
      <c r="AD1298" s="580">
        <f t="shared" si="136"/>
        <v>5</v>
      </c>
      <c r="AE1298" s="580">
        <f t="shared" si="137"/>
        <v>2.5</v>
      </c>
      <c r="AF1298" s="580">
        <f t="shared" si="138"/>
        <v>2.5</v>
      </c>
      <c r="AG1298" s="580">
        <f t="shared" si="139"/>
        <v>0</v>
      </c>
      <c r="AH1298" s="580">
        <f t="shared" si="140"/>
        <v>0</v>
      </c>
    </row>
    <row r="1299" spans="28:34">
      <c r="AB1299" s="580">
        <f>HLOOKUP("*"&amp;'Output annual'!$AC$2&amp;'Output annual'!$AD$2&amp;"*Zone People Number Of Occupants [](Hourly)",'Eplus results'!$1:$1048576,ROW(),FALSE)</f>
        <v>0</v>
      </c>
      <c r="AC1299" s="580">
        <f>HLOOKUP("*"&amp;'Output annual'!$AC$2&amp;'Output annual'!$AD$2&amp;"*FangerPMV(Hourly)",'Eplus results'!$1:$1048576,ROW(),FALSE)</f>
        <v>0</v>
      </c>
      <c r="AD1299" s="580">
        <f t="shared" si="136"/>
        <v>5</v>
      </c>
      <c r="AE1299" s="580">
        <f t="shared" si="137"/>
        <v>2.5</v>
      </c>
      <c r="AF1299" s="580">
        <f t="shared" si="138"/>
        <v>2.5</v>
      </c>
      <c r="AG1299" s="580">
        <f t="shared" si="139"/>
        <v>0</v>
      </c>
      <c r="AH1299" s="580">
        <f t="shared" si="140"/>
        <v>0</v>
      </c>
    </row>
    <row r="1300" spans="28:34">
      <c r="AB1300" s="580">
        <f>HLOOKUP("*"&amp;'Output annual'!$AC$2&amp;'Output annual'!$AD$2&amp;"*Zone People Number Of Occupants [](Hourly)",'Eplus results'!$1:$1048576,ROW(),FALSE)</f>
        <v>0</v>
      </c>
      <c r="AC1300" s="580">
        <f>HLOOKUP("*"&amp;'Output annual'!$AC$2&amp;'Output annual'!$AD$2&amp;"*FangerPMV(Hourly)",'Eplus results'!$1:$1048576,ROW(),FALSE)</f>
        <v>0</v>
      </c>
      <c r="AD1300" s="580">
        <f t="shared" si="136"/>
        <v>5</v>
      </c>
      <c r="AE1300" s="580">
        <f t="shared" si="137"/>
        <v>2.5</v>
      </c>
      <c r="AF1300" s="580">
        <f t="shared" si="138"/>
        <v>2.5</v>
      </c>
      <c r="AG1300" s="580">
        <f t="shared" si="139"/>
        <v>0</v>
      </c>
      <c r="AH1300" s="580">
        <f t="shared" si="140"/>
        <v>0</v>
      </c>
    </row>
    <row r="1301" spans="28:34">
      <c r="AB1301" s="580">
        <f>HLOOKUP("*"&amp;'Output annual'!$AC$2&amp;'Output annual'!$AD$2&amp;"*Zone People Number Of Occupants [](Hourly)",'Eplus results'!$1:$1048576,ROW(),FALSE)</f>
        <v>0</v>
      </c>
      <c r="AC1301" s="580">
        <f>HLOOKUP("*"&amp;'Output annual'!$AC$2&amp;'Output annual'!$AD$2&amp;"*FangerPMV(Hourly)",'Eplus results'!$1:$1048576,ROW(),FALSE)</f>
        <v>0</v>
      </c>
      <c r="AD1301" s="580">
        <f t="shared" si="136"/>
        <v>5</v>
      </c>
      <c r="AE1301" s="580">
        <f t="shared" si="137"/>
        <v>2.5</v>
      </c>
      <c r="AF1301" s="580">
        <f t="shared" si="138"/>
        <v>2.5</v>
      </c>
      <c r="AG1301" s="580">
        <f t="shared" si="139"/>
        <v>0</v>
      </c>
      <c r="AH1301" s="580">
        <f t="shared" si="140"/>
        <v>0</v>
      </c>
    </row>
    <row r="1302" spans="28:34">
      <c r="AB1302" s="580">
        <f>HLOOKUP("*"&amp;'Output annual'!$AC$2&amp;'Output annual'!$AD$2&amp;"*Zone People Number Of Occupants [](Hourly)",'Eplus results'!$1:$1048576,ROW(),FALSE)</f>
        <v>0</v>
      </c>
      <c r="AC1302" s="580">
        <f>HLOOKUP("*"&amp;'Output annual'!$AC$2&amp;'Output annual'!$AD$2&amp;"*FangerPMV(Hourly)",'Eplus results'!$1:$1048576,ROW(),FALSE)</f>
        <v>0</v>
      </c>
      <c r="AD1302" s="580">
        <f t="shared" si="136"/>
        <v>5</v>
      </c>
      <c r="AE1302" s="580">
        <f t="shared" si="137"/>
        <v>2.5</v>
      </c>
      <c r="AF1302" s="580">
        <f t="shared" si="138"/>
        <v>2.5</v>
      </c>
      <c r="AG1302" s="580">
        <f t="shared" si="139"/>
        <v>0</v>
      </c>
      <c r="AH1302" s="580">
        <f t="shared" si="140"/>
        <v>0</v>
      </c>
    </row>
    <row r="1303" spans="28:34">
      <c r="AB1303" s="580">
        <f>HLOOKUP("*"&amp;'Output annual'!$AC$2&amp;'Output annual'!$AD$2&amp;"*Zone People Number Of Occupants [](Hourly)",'Eplus results'!$1:$1048576,ROW(),FALSE)</f>
        <v>0</v>
      </c>
      <c r="AC1303" s="580">
        <f>HLOOKUP("*"&amp;'Output annual'!$AC$2&amp;'Output annual'!$AD$2&amp;"*FangerPMV(Hourly)",'Eplus results'!$1:$1048576,ROW(),FALSE)</f>
        <v>0</v>
      </c>
      <c r="AD1303" s="580">
        <f t="shared" si="136"/>
        <v>5</v>
      </c>
      <c r="AE1303" s="580">
        <f t="shared" si="137"/>
        <v>2.5</v>
      </c>
      <c r="AF1303" s="580">
        <f t="shared" si="138"/>
        <v>2.5</v>
      </c>
      <c r="AG1303" s="580">
        <f t="shared" si="139"/>
        <v>0</v>
      </c>
      <c r="AH1303" s="580">
        <f t="shared" si="140"/>
        <v>0</v>
      </c>
    </row>
    <row r="1304" spans="28:34">
      <c r="AB1304" s="580">
        <f>HLOOKUP("*"&amp;'Output annual'!$AC$2&amp;'Output annual'!$AD$2&amp;"*Zone People Number Of Occupants [](Hourly)",'Eplus results'!$1:$1048576,ROW(),FALSE)</f>
        <v>0</v>
      </c>
      <c r="AC1304" s="580">
        <f>HLOOKUP("*"&amp;'Output annual'!$AC$2&amp;'Output annual'!$AD$2&amp;"*FangerPMV(Hourly)",'Eplus results'!$1:$1048576,ROW(),FALSE)</f>
        <v>0</v>
      </c>
      <c r="AD1304" s="580">
        <f t="shared" si="136"/>
        <v>5</v>
      </c>
      <c r="AE1304" s="580">
        <f t="shared" si="137"/>
        <v>2.5</v>
      </c>
      <c r="AF1304" s="580">
        <f t="shared" si="138"/>
        <v>2.5</v>
      </c>
      <c r="AG1304" s="580">
        <f t="shared" si="139"/>
        <v>0</v>
      </c>
      <c r="AH1304" s="580">
        <f t="shared" si="140"/>
        <v>0</v>
      </c>
    </row>
    <row r="1305" spans="28:34">
      <c r="AB1305" s="580">
        <f>HLOOKUP("*"&amp;'Output annual'!$AC$2&amp;'Output annual'!$AD$2&amp;"*Zone People Number Of Occupants [](Hourly)",'Eplus results'!$1:$1048576,ROW(),FALSE)</f>
        <v>0</v>
      </c>
      <c r="AC1305" s="580">
        <f>HLOOKUP("*"&amp;'Output annual'!$AC$2&amp;'Output annual'!$AD$2&amp;"*FangerPMV(Hourly)",'Eplus results'!$1:$1048576,ROW(),FALSE)</f>
        <v>0</v>
      </c>
      <c r="AD1305" s="580">
        <f t="shared" si="136"/>
        <v>5</v>
      </c>
      <c r="AE1305" s="580">
        <f t="shared" si="137"/>
        <v>2.5</v>
      </c>
      <c r="AF1305" s="580">
        <f t="shared" si="138"/>
        <v>2.5</v>
      </c>
      <c r="AG1305" s="580">
        <f t="shared" si="139"/>
        <v>0</v>
      </c>
      <c r="AH1305" s="580">
        <f t="shared" si="140"/>
        <v>0</v>
      </c>
    </row>
    <row r="1306" spans="28:34">
      <c r="AB1306" s="580">
        <f>HLOOKUP("*"&amp;'Output annual'!$AC$2&amp;'Output annual'!$AD$2&amp;"*Zone People Number Of Occupants [](Hourly)",'Eplus results'!$1:$1048576,ROW(),FALSE)</f>
        <v>0</v>
      </c>
      <c r="AC1306" s="580">
        <f>HLOOKUP("*"&amp;'Output annual'!$AC$2&amp;'Output annual'!$AD$2&amp;"*FangerPMV(Hourly)",'Eplus results'!$1:$1048576,ROW(),FALSE)</f>
        <v>0</v>
      </c>
      <c r="AD1306" s="580">
        <f t="shared" si="136"/>
        <v>5</v>
      </c>
      <c r="AE1306" s="580">
        <f t="shared" si="137"/>
        <v>2.5</v>
      </c>
      <c r="AF1306" s="580">
        <f t="shared" si="138"/>
        <v>2.5</v>
      </c>
      <c r="AG1306" s="580">
        <f t="shared" si="139"/>
        <v>0</v>
      </c>
      <c r="AH1306" s="580">
        <f t="shared" si="140"/>
        <v>0</v>
      </c>
    </row>
    <row r="1307" spans="28:34">
      <c r="AB1307" s="580">
        <f>HLOOKUP("*"&amp;'Output annual'!$AC$2&amp;'Output annual'!$AD$2&amp;"*Zone People Number Of Occupants [](Hourly)",'Eplus results'!$1:$1048576,ROW(),FALSE)</f>
        <v>0</v>
      </c>
      <c r="AC1307" s="580">
        <f>HLOOKUP("*"&amp;'Output annual'!$AC$2&amp;'Output annual'!$AD$2&amp;"*FangerPMV(Hourly)",'Eplus results'!$1:$1048576,ROW(),FALSE)</f>
        <v>0</v>
      </c>
      <c r="AD1307" s="580">
        <f t="shared" si="136"/>
        <v>5</v>
      </c>
      <c r="AE1307" s="580">
        <f t="shared" si="137"/>
        <v>2.5</v>
      </c>
      <c r="AF1307" s="580">
        <f t="shared" si="138"/>
        <v>2.5</v>
      </c>
      <c r="AG1307" s="580">
        <f t="shared" si="139"/>
        <v>0</v>
      </c>
      <c r="AH1307" s="580">
        <f t="shared" si="140"/>
        <v>0</v>
      </c>
    </row>
    <row r="1308" spans="28:34">
      <c r="AB1308" s="580">
        <f>HLOOKUP("*"&amp;'Output annual'!$AC$2&amp;'Output annual'!$AD$2&amp;"*Zone People Number Of Occupants [](Hourly)",'Eplus results'!$1:$1048576,ROW(),FALSE)</f>
        <v>0</v>
      </c>
      <c r="AC1308" s="580">
        <f>HLOOKUP("*"&amp;'Output annual'!$AC$2&amp;'Output annual'!$AD$2&amp;"*FangerPMV(Hourly)",'Eplus results'!$1:$1048576,ROW(),FALSE)</f>
        <v>0</v>
      </c>
      <c r="AD1308" s="580">
        <f t="shared" si="136"/>
        <v>5</v>
      </c>
      <c r="AE1308" s="580">
        <f t="shared" si="137"/>
        <v>2.5</v>
      </c>
      <c r="AF1308" s="580">
        <f t="shared" si="138"/>
        <v>2.5</v>
      </c>
      <c r="AG1308" s="580">
        <f t="shared" si="139"/>
        <v>0</v>
      </c>
      <c r="AH1308" s="580">
        <f t="shared" si="140"/>
        <v>0</v>
      </c>
    </row>
    <row r="1309" spans="28:34">
      <c r="AB1309" s="580">
        <f>HLOOKUP("*"&amp;'Output annual'!$AC$2&amp;'Output annual'!$AD$2&amp;"*Zone People Number Of Occupants [](Hourly)",'Eplus results'!$1:$1048576,ROW(),FALSE)</f>
        <v>0</v>
      </c>
      <c r="AC1309" s="580">
        <f>HLOOKUP("*"&amp;'Output annual'!$AC$2&amp;'Output annual'!$AD$2&amp;"*FangerPMV(Hourly)",'Eplus results'!$1:$1048576,ROW(),FALSE)</f>
        <v>0</v>
      </c>
      <c r="AD1309" s="580">
        <f t="shared" si="136"/>
        <v>5</v>
      </c>
      <c r="AE1309" s="580">
        <f t="shared" si="137"/>
        <v>2.5</v>
      </c>
      <c r="AF1309" s="580">
        <f t="shared" si="138"/>
        <v>2.5</v>
      </c>
      <c r="AG1309" s="580">
        <f t="shared" si="139"/>
        <v>0</v>
      </c>
      <c r="AH1309" s="580">
        <f t="shared" si="140"/>
        <v>0</v>
      </c>
    </row>
    <row r="1310" spans="28:34">
      <c r="AB1310" s="580">
        <f>HLOOKUP("*"&amp;'Output annual'!$AC$2&amp;'Output annual'!$AD$2&amp;"*Zone People Number Of Occupants [](Hourly)",'Eplus results'!$1:$1048576,ROW(),FALSE)</f>
        <v>0</v>
      </c>
      <c r="AC1310" s="580">
        <f>HLOOKUP("*"&amp;'Output annual'!$AC$2&amp;'Output annual'!$AD$2&amp;"*FangerPMV(Hourly)",'Eplus results'!$1:$1048576,ROW(),FALSE)</f>
        <v>0</v>
      </c>
      <c r="AD1310" s="580">
        <f t="shared" si="136"/>
        <v>5</v>
      </c>
      <c r="AE1310" s="580">
        <f t="shared" si="137"/>
        <v>2.5</v>
      </c>
      <c r="AF1310" s="580">
        <f t="shared" si="138"/>
        <v>2.5</v>
      </c>
      <c r="AG1310" s="580">
        <f t="shared" si="139"/>
        <v>0</v>
      </c>
      <c r="AH1310" s="580">
        <f t="shared" si="140"/>
        <v>0</v>
      </c>
    </row>
    <row r="1311" spans="28:34">
      <c r="AB1311" s="580">
        <f>HLOOKUP("*"&amp;'Output annual'!$AC$2&amp;'Output annual'!$AD$2&amp;"*Zone People Number Of Occupants [](Hourly)",'Eplus results'!$1:$1048576,ROW(),FALSE)</f>
        <v>0</v>
      </c>
      <c r="AC1311" s="580">
        <f>HLOOKUP("*"&amp;'Output annual'!$AC$2&amp;'Output annual'!$AD$2&amp;"*FangerPMV(Hourly)",'Eplus results'!$1:$1048576,ROW(),FALSE)</f>
        <v>0</v>
      </c>
      <c r="AD1311" s="580">
        <f t="shared" si="136"/>
        <v>5</v>
      </c>
      <c r="AE1311" s="580">
        <f t="shared" si="137"/>
        <v>2.5</v>
      </c>
      <c r="AF1311" s="580">
        <f t="shared" si="138"/>
        <v>2.5</v>
      </c>
      <c r="AG1311" s="580">
        <f t="shared" si="139"/>
        <v>0</v>
      </c>
      <c r="AH1311" s="580">
        <f t="shared" si="140"/>
        <v>0</v>
      </c>
    </row>
    <row r="1312" spans="28:34">
      <c r="AB1312" s="580">
        <f>HLOOKUP("*"&amp;'Output annual'!$AC$2&amp;'Output annual'!$AD$2&amp;"*Zone People Number Of Occupants [](Hourly)",'Eplus results'!$1:$1048576,ROW(),FALSE)</f>
        <v>0</v>
      </c>
      <c r="AC1312" s="580">
        <f>HLOOKUP("*"&amp;'Output annual'!$AC$2&amp;'Output annual'!$AD$2&amp;"*FangerPMV(Hourly)",'Eplus results'!$1:$1048576,ROW(),FALSE)</f>
        <v>0</v>
      </c>
      <c r="AD1312" s="580">
        <f t="shared" si="136"/>
        <v>5</v>
      </c>
      <c r="AE1312" s="580">
        <f t="shared" si="137"/>
        <v>2.5</v>
      </c>
      <c r="AF1312" s="580">
        <f t="shared" si="138"/>
        <v>2.5</v>
      </c>
      <c r="AG1312" s="580">
        <f t="shared" si="139"/>
        <v>0</v>
      </c>
      <c r="AH1312" s="580">
        <f t="shared" si="140"/>
        <v>0</v>
      </c>
    </row>
    <row r="1313" spans="28:34">
      <c r="AB1313" s="580">
        <f>HLOOKUP("*"&amp;'Output annual'!$AC$2&amp;'Output annual'!$AD$2&amp;"*Zone People Number Of Occupants [](Hourly)",'Eplus results'!$1:$1048576,ROW(),FALSE)</f>
        <v>0</v>
      </c>
      <c r="AC1313" s="580">
        <f>HLOOKUP("*"&amp;'Output annual'!$AC$2&amp;'Output annual'!$AD$2&amp;"*FangerPMV(Hourly)",'Eplus results'!$1:$1048576,ROW(),FALSE)</f>
        <v>0</v>
      </c>
      <c r="AD1313" s="580">
        <f t="shared" si="136"/>
        <v>5</v>
      </c>
      <c r="AE1313" s="580">
        <f t="shared" si="137"/>
        <v>2.5</v>
      </c>
      <c r="AF1313" s="580">
        <f t="shared" si="138"/>
        <v>2.5</v>
      </c>
      <c r="AG1313" s="580">
        <f t="shared" si="139"/>
        <v>0</v>
      </c>
      <c r="AH1313" s="580">
        <f t="shared" si="140"/>
        <v>0</v>
      </c>
    </row>
    <row r="1314" spans="28:34">
      <c r="AB1314" s="580">
        <f>HLOOKUP("*"&amp;'Output annual'!$AC$2&amp;'Output annual'!$AD$2&amp;"*Zone People Number Of Occupants [](Hourly)",'Eplus results'!$1:$1048576,ROW(),FALSE)</f>
        <v>0</v>
      </c>
      <c r="AC1314" s="580">
        <f>HLOOKUP("*"&amp;'Output annual'!$AC$2&amp;'Output annual'!$AD$2&amp;"*FangerPMV(Hourly)",'Eplus results'!$1:$1048576,ROW(),FALSE)</f>
        <v>0</v>
      </c>
      <c r="AD1314" s="580">
        <f t="shared" si="136"/>
        <v>5</v>
      </c>
      <c r="AE1314" s="580">
        <f t="shared" si="137"/>
        <v>2.5</v>
      </c>
      <c r="AF1314" s="580">
        <f t="shared" si="138"/>
        <v>2.5</v>
      </c>
      <c r="AG1314" s="580">
        <f t="shared" si="139"/>
        <v>0</v>
      </c>
      <c r="AH1314" s="580">
        <f t="shared" si="140"/>
        <v>0</v>
      </c>
    </row>
    <row r="1315" spans="28:34">
      <c r="AB1315" s="580">
        <f>HLOOKUP("*"&amp;'Output annual'!$AC$2&amp;'Output annual'!$AD$2&amp;"*Zone People Number Of Occupants [](Hourly)",'Eplus results'!$1:$1048576,ROW(),FALSE)</f>
        <v>0</v>
      </c>
      <c r="AC1315" s="580">
        <f>HLOOKUP("*"&amp;'Output annual'!$AC$2&amp;'Output annual'!$AD$2&amp;"*FangerPMV(Hourly)",'Eplus results'!$1:$1048576,ROW(),FALSE)</f>
        <v>0</v>
      </c>
      <c r="AD1315" s="580">
        <f t="shared" si="136"/>
        <v>5</v>
      </c>
      <c r="AE1315" s="580">
        <f t="shared" si="137"/>
        <v>2.5</v>
      </c>
      <c r="AF1315" s="580">
        <f t="shared" si="138"/>
        <v>2.5</v>
      </c>
      <c r="AG1315" s="580">
        <f t="shared" si="139"/>
        <v>0</v>
      </c>
      <c r="AH1315" s="580">
        <f t="shared" si="140"/>
        <v>0</v>
      </c>
    </row>
    <row r="1316" spans="28:34">
      <c r="AB1316" s="580">
        <f>HLOOKUP("*"&amp;'Output annual'!$AC$2&amp;'Output annual'!$AD$2&amp;"*Zone People Number Of Occupants [](Hourly)",'Eplus results'!$1:$1048576,ROW(),FALSE)</f>
        <v>0</v>
      </c>
      <c r="AC1316" s="580">
        <f>HLOOKUP("*"&amp;'Output annual'!$AC$2&amp;'Output annual'!$AD$2&amp;"*FangerPMV(Hourly)",'Eplus results'!$1:$1048576,ROW(),FALSE)</f>
        <v>0</v>
      </c>
      <c r="AD1316" s="580">
        <f t="shared" si="136"/>
        <v>5</v>
      </c>
      <c r="AE1316" s="580">
        <f t="shared" si="137"/>
        <v>2.5</v>
      </c>
      <c r="AF1316" s="580">
        <f t="shared" si="138"/>
        <v>2.5</v>
      </c>
      <c r="AG1316" s="580">
        <f t="shared" si="139"/>
        <v>0</v>
      </c>
      <c r="AH1316" s="580">
        <f t="shared" si="140"/>
        <v>0</v>
      </c>
    </row>
    <row r="1317" spans="28:34">
      <c r="AB1317" s="580">
        <f>HLOOKUP("*"&amp;'Output annual'!$AC$2&amp;'Output annual'!$AD$2&amp;"*Zone People Number Of Occupants [](Hourly)",'Eplus results'!$1:$1048576,ROW(),FALSE)</f>
        <v>0</v>
      </c>
      <c r="AC1317" s="580">
        <f>HLOOKUP("*"&amp;'Output annual'!$AC$2&amp;'Output annual'!$AD$2&amp;"*FangerPMV(Hourly)",'Eplus results'!$1:$1048576,ROW(),FALSE)</f>
        <v>0</v>
      </c>
      <c r="AD1317" s="580">
        <f t="shared" si="136"/>
        <v>5</v>
      </c>
      <c r="AE1317" s="580">
        <f t="shared" si="137"/>
        <v>2.5</v>
      </c>
      <c r="AF1317" s="580">
        <f t="shared" si="138"/>
        <v>2.5</v>
      </c>
      <c r="AG1317" s="580">
        <f t="shared" si="139"/>
        <v>0</v>
      </c>
      <c r="AH1317" s="580">
        <f t="shared" si="140"/>
        <v>0</v>
      </c>
    </row>
    <row r="1318" spans="28:34">
      <c r="AB1318" s="580">
        <f>HLOOKUP("*"&amp;'Output annual'!$AC$2&amp;'Output annual'!$AD$2&amp;"*Zone People Number Of Occupants [](Hourly)",'Eplus results'!$1:$1048576,ROW(),FALSE)</f>
        <v>0</v>
      </c>
      <c r="AC1318" s="580">
        <f>HLOOKUP("*"&amp;'Output annual'!$AC$2&amp;'Output annual'!$AD$2&amp;"*FangerPMV(Hourly)",'Eplus results'!$1:$1048576,ROW(),FALSE)</f>
        <v>0</v>
      </c>
      <c r="AD1318" s="580">
        <f t="shared" si="136"/>
        <v>5</v>
      </c>
      <c r="AE1318" s="580">
        <f t="shared" si="137"/>
        <v>2.5</v>
      </c>
      <c r="AF1318" s="580">
        <f t="shared" si="138"/>
        <v>2.5</v>
      </c>
      <c r="AG1318" s="580">
        <f t="shared" si="139"/>
        <v>0</v>
      </c>
      <c r="AH1318" s="580">
        <f t="shared" si="140"/>
        <v>0</v>
      </c>
    </row>
    <row r="1319" spans="28:34">
      <c r="AB1319" s="580">
        <f>HLOOKUP("*"&amp;'Output annual'!$AC$2&amp;'Output annual'!$AD$2&amp;"*Zone People Number Of Occupants [](Hourly)",'Eplus results'!$1:$1048576,ROW(),FALSE)</f>
        <v>0</v>
      </c>
      <c r="AC1319" s="580">
        <f>HLOOKUP("*"&amp;'Output annual'!$AC$2&amp;'Output annual'!$AD$2&amp;"*FangerPMV(Hourly)",'Eplus results'!$1:$1048576,ROW(),FALSE)</f>
        <v>0</v>
      </c>
      <c r="AD1319" s="580">
        <f t="shared" si="136"/>
        <v>5</v>
      </c>
      <c r="AE1319" s="580">
        <f t="shared" si="137"/>
        <v>2.5</v>
      </c>
      <c r="AF1319" s="580">
        <f t="shared" si="138"/>
        <v>2.5</v>
      </c>
      <c r="AG1319" s="580">
        <f t="shared" si="139"/>
        <v>0</v>
      </c>
      <c r="AH1319" s="580">
        <f t="shared" si="140"/>
        <v>0</v>
      </c>
    </row>
    <row r="1320" spans="28:34">
      <c r="AB1320" s="580">
        <f>HLOOKUP("*"&amp;'Output annual'!$AC$2&amp;'Output annual'!$AD$2&amp;"*Zone People Number Of Occupants [](Hourly)",'Eplus results'!$1:$1048576,ROW(),FALSE)</f>
        <v>0</v>
      </c>
      <c r="AC1320" s="580">
        <f>HLOOKUP("*"&amp;'Output annual'!$AC$2&amp;'Output annual'!$AD$2&amp;"*FangerPMV(Hourly)",'Eplus results'!$1:$1048576,ROW(),FALSE)</f>
        <v>0</v>
      </c>
      <c r="AD1320" s="580">
        <f t="shared" si="136"/>
        <v>5</v>
      </c>
      <c r="AE1320" s="580">
        <f t="shared" si="137"/>
        <v>2.5</v>
      </c>
      <c r="AF1320" s="580">
        <f t="shared" si="138"/>
        <v>2.5</v>
      </c>
      <c r="AG1320" s="580">
        <f t="shared" si="139"/>
        <v>0</v>
      </c>
      <c r="AH1320" s="580">
        <f t="shared" si="140"/>
        <v>0</v>
      </c>
    </row>
    <row r="1321" spans="28:34">
      <c r="AB1321" s="580">
        <f>HLOOKUP("*"&amp;'Output annual'!$AC$2&amp;'Output annual'!$AD$2&amp;"*Zone People Number Of Occupants [](Hourly)",'Eplus results'!$1:$1048576,ROW(),FALSE)</f>
        <v>0</v>
      </c>
      <c r="AC1321" s="580">
        <f>HLOOKUP("*"&amp;'Output annual'!$AC$2&amp;'Output annual'!$AD$2&amp;"*FangerPMV(Hourly)",'Eplus results'!$1:$1048576,ROW(),FALSE)</f>
        <v>0</v>
      </c>
      <c r="AD1321" s="580">
        <f t="shared" si="136"/>
        <v>5</v>
      </c>
      <c r="AE1321" s="580">
        <f t="shared" si="137"/>
        <v>2.5</v>
      </c>
      <c r="AF1321" s="580">
        <f t="shared" si="138"/>
        <v>2.5</v>
      </c>
      <c r="AG1321" s="580">
        <f t="shared" si="139"/>
        <v>0</v>
      </c>
      <c r="AH1321" s="580">
        <f t="shared" si="140"/>
        <v>0</v>
      </c>
    </row>
    <row r="1322" spans="28:34">
      <c r="AB1322" s="580">
        <f>HLOOKUP("*"&amp;'Output annual'!$AC$2&amp;'Output annual'!$AD$2&amp;"*Zone People Number Of Occupants [](Hourly)",'Eplus results'!$1:$1048576,ROW(),FALSE)</f>
        <v>0</v>
      </c>
      <c r="AC1322" s="580">
        <f>HLOOKUP("*"&amp;'Output annual'!$AC$2&amp;'Output annual'!$AD$2&amp;"*FangerPMV(Hourly)",'Eplus results'!$1:$1048576,ROW(),FALSE)</f>
        <v>0</v>
      </c>
      <c r="AD1322" s="580">
        <f t="shared" si="136"/>
        <v>5</v>
      </c>
      <c r="AE1322" s="580">
        <f t="shared" si="137"/>
        <v>2.5</v>
      </c>
      <c r="AF1322" s="580">
        <f t="shared" si="138"/>
        <v>2.5</v>
      </c>
      <c r="AG1322" s="580">
        <f t="shared" si="139"/>
        <v>0</v>
      </c>
      <c r="AH1322" s="580">
        <f t="shared" si="140"/>
        <v>0</v>
      </c>
    </row>
    <row r="1323" spans="28:34">
      <c r="AB1323" s="580">
        <f>HLOOKUP("*"&amp;'Output annual'!$AC$2&amp;'Output annual'!$AD$2&amp;"*Zone People Number Of Occupants [](Hourly)",'Eplus results'!$1:$1048576,ROW(),FALSE)</f>
        <v>0</v>
      </c>
      <c r="AC1323" s="580">
        <f>HLOOKUP("*"&amp;'Output annual'!$AC$2&amp;'Output annual'!$AD$2&amp;"*FangerPMV(Hourly)",'Eplus results'!$1:$1048576,ROW(),FALSE)</f>
        <v>0</v>
      </c>
      <c r="AD1323" s="580">
        <f t="shared" si="136"/>
        <v>5</v>
      </c>
      <c r="AE1323" s="580">
        <f t="shared" si="137"/>
        <v>2.5</v>
      </c>
      <c r="AF1323" s="580">
        <f t="shared" si="138"/>
        <v>2.5</v>
      </c>
      <c r="AG1323" s="580">
        <f t="shared" si="139"/>
        <v>0</v>
      </c>
      <c r="AH1323" s="580">
        <f t="shared" si="140"/>
        <v>0</v>
      </c>
    </row>
    <row r="1324" spans="28:34">
      <c r="AB1324" s="580">
        <f>HLOOKUP("*"&amp;'Output annual'!$AC$2&amp;'Output annual'!$AD$2&amp;"*Zone People Number Of Occupants [](Hourly)",'Eplus results'!$1:$1048576,ROW(),FALSE)</f>
        <v>0</v>
      </c>
      <c r="AC1324" s="580">
        <f>HLOOKUP("*"&amp;'Output annual'!$AC$2&amp;'Output annual'!$AD$2&amp;"*FangerPMV(Hourly)",'Eplus results'!$1:$1048576,ROW(),FALSE)</f>
        <v>0</v>
      </c>
      <c r="AD1324" s="580">
        <f t="shared" si="136"/>
        <v>5</v>
      </c>
      <c r="AE1324" s="580">
        <f t="shared" si="137"/>
        <v>2.5</v>
      </c>
      <c r="AF1324" s="580">
        <f t="shared" si="138"/>
        <v>2.5</v>
      </c>
      <c r="AG1324" s="580">
        <f t="shared" si="139"/>
        <v>0</v>
      </c>
      <c r="AH1324" s="580">
        <f t="shared" si="140"/>
        <v>0</v>
      </c>
    </row>
    <row r="1325" spans="28:34">
      <c r="AB1325" s="580">
        <f>HLOOKUP("*"&amp;'Output annual'!$AC$2&amp;'Output annual'!$AD$2&amp;"*Zone People Number Of Occupants [](Hourly)",'Eplus results'!$1:$1048576,ROW(),FALSE)</f>
        <v>0</v>
      </c>
      <c r="AC1325" s="580">
        <f>HLOOKUP("*"&amp;'Output annual'!$AC$2&amp;'Output annual'!$AD$2&amp;"*FangerPMV(Hourly)",'Eplus results'!$1:$1048576,ROW(),FALSE)</f>
        <v>0</v>
      </c>
      <c r="AD1325" s="580">
        <f t="shared" si="136"/>
        <v>5</v>
      </c>
      <c r="AE1325" s="580">
        <f t="shared" si="137"/>
        <v>2.5</v>
      </c>
      <c r="AF1325" s="580">
        <f t="shared" si="138"/>
        <v>2.5</v>
      </c>
      <c r="AG1325" s="580">
        <f t="shared" si="139"/>
        <v>0</v>
      </c>
      <c r="AH1325" s="580">
        <f t="shared" si="140"/>
        <v>0</v>
      </c>
    </row>
    <row r="1326" spans="28:34">
      <c r="AB1326" s="580">
        <f>HLOOKUP("*"&amp;'Output annual'!$AC$2&amp;'Output annual'!$AD$2&amp;"*Zone People Number Of Occupants [](Hourly)",'Eplus results'!$1:$1048576,ROW(),FALSE)</f>
        <v>0</v>
      </c>
      <c r="AC1326" s="580">
        <f>HLOOKUP("*"&amp;'Output annual'!$AC$2&amp;'Output annual'!$AD$2&amp;"*FangerPMV(Hourly)",'Eplus results'!$1:$1048576,ROW(),FALSE)</f>
        <v>0</v>
      </c>
      <c r="AD1326" s="580">
        <f t="shared" si="136"/>
        <v>5</v>
      </c>
      <c r="AE1326" s="580">
        <f t="shared" si="137"/>
        <v>2.5</v>
      </c>
      <c r="AF1326" s="580">
        <f t="shared" si="138"/>
        <v>2.5</v>
      </c>
      <c r="AG1326" s="580">
        <f t="shared" si="139"/>
        <v>0</v>
      </c>
      <c r="AH1326" s="580">
        <f t="shared" si="140"/>
        <v>0</v>
      </c>
    </row>
    <row r="1327" spans="28:34">
      <c r="AB1327" s="580">
        <f>HLOOKUP("*"&amp;'Output annual'!$AC$2&amp;'Output annual'!$AD$2&amp;"*Zone People Number Of Occupants [](Hourly)",'Eplus results'!$1:$1048576,ROW(),FALSE)</f>
        <v>0</v>
      </c>
      <c r="AC1327" s="580">
        <f>HLOOKUP("*"&amp;'Output annual'!$AC$2&amp;'Output annual'!$AD$2&amp;"*FangerPMV(Hourly)",'Eplus results'!$1:$1048576,ROW(),FALSE)</f>
        <v>0</v>
      </c>
      <c r="AD1327" s="580">
        <f t="shared" si="136"/>
        <v>5</v>
      </c>
      <c r="AE1327" s="580">
        <f t="shared" si="137"/>
        <v>2.5</v>
      </c>
      <c r="AF1327" s="580">
        <f t="shared" si="138"/>
        <v>2.5</v>
      </c>
      <c r="AG1327" s="580">
        <f t="shared" si="139"/>
        <v>0</v>
      </c>
      <c r="AH1327" s="580">
        <f t="shared" si="140"/>
        <v>0</v>
      </c>
    </row>
    <row r="1328" spans="28:34">
      <c r="AB1328" s="580">
        <f>HLOOKUP("*"&amp;'Output annual'!$AC$2&amp;'Output annual'!$AD$2&amp;"*Zone People Number Of Occupants [](Hourly)",'Eplus results'!$1:$1048576,ROW(),FALSE)</f>
        <v>0</v>
      </c>
      <c r="AC1328" s="580">
        <f>HLOOKUP("*"&amp;'Output annual'!$AC$2&amp;'Output annual'!$AD$2&amp;"*FangerPMV(Hourly)",'Eplus results'!$1:$1048576,ROW(),FALSE)</f>
        <v>0</v>
      </c>
      <c r="AD1328" s="580">
        <f t="shared" si="136"/>
        <v>5</v>
      </c>
      <c r="AE1328" s="580">
        <f t="shared" si="137"/>
        <v>2.5</v>
      </c>
      <c r="AF1328" s="580">
        <f t="shared" si="138"/>
        <v>2.5</v>
      </c>
      <c r="AG1328" s="580">
        <f t="shared" si="139"/>
        <v>0</v>
      </c>
      <c r="AH1328" s="580">
        <f t="shared" si="140"/>
        <v>0</v>
      </c>
    </row>
    <row r="1329" spans="28:34">
      <c r="AB1329" s="580">
        <f>HLOOKUP("*"&amp;'Output annual'!$AC$2&amp;'Output annual'!$AD$2&amp;"*Zone People Number Of Occupants [](Hourly)",'Eplus results'!$1:$1048576,ROW(),FALSE)</f>
        <v>0</v>
      </c>
      <c r="AC1329" s="580">
        <f>HLOOKUP("*"&amp;'Output annual'!$AC$2&amp;'Output annual'!$AD$2&amp;"*FangerPMV(Hourly)",'Eplus results'!$1:$1048576,ROW(),FALSE)</f>
        <v>0</v>
      </c>
      <c r="AD1329" s="580">
        <f t="shared" si="136"/>
        <v>5</v>
      </c>
      <c r="AE1329" s="580">
        <f t="shared" si="137"/>
        <v>2.5</v>
      </c>
      <c r="AF1329" s="580">
        <f t="shared" si="138"/>
        <v>2.5</v>
      </c>
      <c r="AG1329" s="580">
        <f t="shared" si="139"/>
        <v>0</v>
      </c>
      <c r="AH1329" s="580">
        <f t="shared" si="140"/>
        <v>0</v>
      </c>
    </row>
    <row r="1330" spans="28:34">
      <c r="AB1330" s="580">
        <f>HLOOKUP("*"&amp;'Output annual'!$AC$2&amp;'Output annual'!$AD$2&amp;"*Zone People Number Of Occupants [](Hourly)",'Eplus results'!$1:$1048576,ROW(),FALSE)</f>
        <v>0</v>
      </c>
      <c r="AC1330" s="580">
        <f>HLOOKUP("*"&amp;'Output annual'!$AC$2&amp;'Output annual'!$AD$2&amp;"*FangerPMV(Hourly)",'Eplus results'!$1:$1048576,ROW(),FALSE)</f>
        <v>0</v>
      </c>
      <c r="AD1330" s="580">
        <f t="shared" si="136"/>
        <v>5</v>
      </c>
      <c r="AE1330" s="580">
        <f t="shared" si="137"/>
        <v>2.5</v>
      </c>
      <c r="AF1330" s="580">
        <f t="shared" si="138"/>
        <v>2.5</v>
      </c>
      <c r="AG1330" s="580">
        <f t="shared" si="139"/>
        <v>0</v>
      </c>
      <c r="AH1330" s="580">
        <f t="shared" si="140"/>
        <v>0</v>
      </c>
    </row>
    <row r="1331" spans="28:34">
      <c r="AB1331" s="580">
        <f>HLOOKUP("*"&amp;'Output annual'!$AC$2&amp;'Output annual'!$AD$2&amp;"*Zone People Number Of Occupants [](Hourly)",'Eplus results'!$1:$1048576,ROW(),FALSE)</f>
        <v>0</v>
      </c>
      <c r="AC1331" s="580">
        <f>HLOOKUP("*"&amp;'Output annual'!$AC$2&amp;'Output annual'!$AD$2&amp;"*FangerPMV(Hourly)",'Eplus results'!$1:$1048576,ROW(),FALSE)</f>
        <v>0</v>
      </c>
      <c r="AD1331" s="580">
        <f t="shared" si="136"/>
        <v>5</v>
      </c>
      <c r="AE1331" s="580">
        <f t="shared" si="137"/>
        <v>2.5</v>
      </c>
      <c r="AF1331" s="580">
        <f t="shared" si="138"/>
        <v>2.5</v>
      </c>
      <c r="AG1331" s="580">
        <f t="shared" si="139"/>
        <v>0</v>
      </c>
      <c r="AH1331" s="580">
        <f t="shared" si="140"/>
        <v>0</v>
      </c>
    </row>
    <row r="1332" spans="28:34">
      <c r="AB1332" s="580">
        <f>HLOOKUP("*"&amp;'Output annual'!$AC$2&amp;'Output annual'!$AD$2&amp;"*Zone People Number Of Occupants [](Hourly)",'Eplus results'!$1:$1048576,ROW(),FALSE)</f>
        <v>0</v>
      </c>
      <c r="AC1332" s="580">
        <f>HLOOKUP("*"&amp;'Output annual'!$AC$2&amp;'Output annual'!$AD$2&amp;"*FangerPMV(Hourly)",'Eplus results'!$1:$1048576,ROW(),FALSE)</f>
        <v>0</v>
      </c>
      <c r="AD1332" s="580">
        <f t="shared" si="136"/>
        <v>5</v>
      </c>
      <c r="AE1332" s="580">
        <f t="shared" si="137"/>
        <v>2.5</v>
      </c>
      <c r="AF1332" s="580">
        <f t="shared" si="138"/>
        <v>2.5</v>
      </c>
      <c r="AG1332" s="580">
        <f t="shared" si="139"/>
        <v>0</v>
      </c>
      <c r="AH1332" s="580">
        <f t="shared" si="140"/>
        <v>0</v>
      </c>
    </row>
    <row r="1333" spans="28:34">
      <c r="AB1333" s="580">
        <f>HLOOKUP("*"&amp;'Output annual'!$AC$2&amp;'Output annual'!$AD$2&amp;"*Zone People Number Of Occupants [](Hourly)",'Eplus results'!$1:$1048576,ROW(),FALSE)</f>
        <v>0</v>
      </c>
      <c r="AC1333" s="580">
        <f>HLOOKUP("*"&amp;'Output annual'!$AC$2&amp;'Output annual'!$AD$2&amp;"*FangerPMV(Hourly)",'Eplus results'!$1:$1048576,ROW(),FALSE)</f>
        <v>0</v>
      </c>
      <c r="AD1333" s="580">
        <f t="shared" si="136"/>
        <v>5</v>
      </c>
      <c r="AE1333" s="580">
        <f t="shared" si="137"/>
        <v>2.5</v>
      </c>
      <c r="AF1333" s="580">
        <f t="shared" si="138"/>
        <v>2.5</v>
      </c>
      <c r="AG1333" s="580">
        <f t="shared" si="139"/>
        <v>0</v>
      </c>
      <c r="AH1333" s="580">
        <f t="shared" si="140"/>
        <v>0</v>
      </c>
    </row>
    <row r="1334" spans="28:34">
      <c r="AB1334" s="580">
        <f>HLOOKUP("*"&amp;'Output annual'!$AC$2&amp;'Output annual'!$AD$2&amp;"*Zone People Number Of Occupants [](Hourly)",'Eplus results'!$1:$1048576,ROW(),FALSE)</f>
        <v>0</v>
      </c>
      <c r="AC1334" s="580">
        <f>HLOOKUP("*"&amp;'Output annual'!$AC$2&amp;'Output annual'!$AD$2&amp;"*FangerPMV(Hourly)",'Eplus results'!$1:$1048576,ROW(),FALSE)</f>
        <v>0</v>
      </c>
      <c r="AD1334" s="580">
        <f t="shared" si="136"/>
        <v>5</v>
      </c>
      <c r="AE1334" s="580">
        <f t="shared" si="137"/>
        <v>2.5</v>
      </c>
      <c r="AF1334" s="580">
        <f t="shared" si="138"/>
        <v>2.5</v>
      </c>
      <c r="AG1334" s="580">
        <f t="shared" si="139"/>
        <v>0</v>
      </c>
      <c r="AH1334" s="580">
        <f t="shared" si="140"/>
        <v>0</v>
      </c>
    </row>
    <row r="1335" spans="28:34">
      <c r="AB1335" s="580">
        <f>HLOOKUP("*"&amp;'Output annual'!$AC$2&amp;'Output annual'!$AD$2&amp;"*Zone People Number Of Occupants [](Hourly)",'Eplus results'!$1:$1048576,ROW(),FALSE)</f>
        <v>0</v>
      </c>
      <c r="AC1335" s="580">
        <f>HLOOKUP("*"&amp;'Output annual'!$AC$2&amp;'Output annual'!$AD$2&amp;"*FangerPMV(Hourly)",'Eplus results'!$1:$1048576,ROW(),FALSE)</f>
        <v>0</v>
      </c>
      <c r="AD1335" s="580">
        <f t="shared" si="136"/>
        <v>5</v>
      </c>
      <c r="AE1335" s="580">
        <f t="shared" si="137"/>
        <v>2.5</v>
      </c>
      <c r="AF1335" s="580">
        <f t="shared" si="138"/>
        <v>2.5</v>
      </c>
      <c r="AG1335" s="580">
        <f t="shared" si="139"/>
        <v>0</v>
      </c>
      <c r="AH1335" s="580">
        <f t="shared" si="140"/>
        <v>0</v>
      </c>
    </row>
    <row r="1336" spans="28:34">
      <c r="AB1336" s="580">
        <f>HLOOKUP("*"&amp;'Output annual'!$AC$2&amp;'Output annual'!$AD$2&amp;"*Zone People Number Of Occupants [](Hourly)",'Eplus results'!$1:$1048576,ROW(),FALSE)</f>
        <v>0</v>
      </c>
      <c r="AC1336" s="580">
        <f>HLOOKUP("*"&amp;'Output annual'!$AC$2&amp;'Output annual'!$AD$2&amp;"*FangerPMV(Hourly)",'Eplus results'!$1:$1048576,ROW(),FALSE)</f>
        <v>0</v>
      </c>
      <c r="AD1336" s="580">
        <f t="shared" si="136"/>
        <v>5</v>
      </c>
      <c r="AE1336" s="580">
        <f t="shared" si="137"/>
        <v>2.5</v>
      </c>
      <c r="AF1336" s="580">
        <f t="shared" si="138"/>
        <v>2.5</v>
      </c>
      <c r="AG1336" s="580">
        <f t="shared" si="139"/>
        <v>0</v>
      </c>
      <c r="AH1336" s="580">
        <f t="shared" si="140"/>
        <v>0</v>
      </c>
    </row>
    <row r="1337" spans="28:34">
      <c r="AB1337" s="580">
        <f>HLOOKUP("*"&amp;'Output annual'!$AC$2&amp;'Output annual'!$AD$2&amp;"*Zone People Number Of Occupants [](Hourly)",'Eplus results'!$1:$1048576,ROW(),FALSE)</f>
        <v>0</v>
      </c>
      <c r="AC1337" s="580">
        <f>HLOOKUP("*"&amp;'Output annual'!$AC$2&amp;'Output annual'!$AD$2&amp;"*FangerPMV(Hourly)",'Eplus results'!$1:$1048576,ROW(),FALSE)</f>
        <v>0</v>
      </c>
      <c r="AD1337" s="580">
        <f t="shared" si="136"/>
        <v>5</v>
      </c>
      <c r="AE1337" s="580">
        <f t="shared" si="137"/>
        <v>2.5</v>
      </c>
      <c r="AF1337" s="580">
        <f t="shared" si="138"/>
        <v>2.5</v>
      </c>
      <c r="AG1337" s="580">
        <f t="shared" si="139"/>
        <v>0</v>
      </c>
      <c r="AH1337" s="580">
        <f t="shared" si="140"/>
        <v>0</v>
      </c>
    </row>
    <row r="1338" spans="28:34">
      <c r="AB1338" s="580">
        <f>HLOOKUP("*"&amp;'Output annual'!$AC$2&amp;'Output annual'!$AD$2&amp;"*Zone People Number Of Occupants [](Hourly)",'Eplus results'!$1:$1048576,ROW(),FALSE)</f>
        <v>0</v>
      </c>
      <c r="AC1338" s="580">
        <f>HLOOKUP("*"&amp;'Output annual'!$AC$2&amp;'Output annual'!$AD$2&amp;"*FangerPMV(Hourly)",'Eplus results'!$1:$1048576,ROW(),FALSE)</f>
        <v>0</v>
      </c>
      <c r="AD1338" s="580">
        <f t="shared" si="136"/>
        <v>5</v>
      </c>
      <c r="AE1338" s="580">
        <f t="shared" si="137"/>
        <v>2.5</v>
      </c>
      <c r="AF1338" s="580">
        <f t="shared" si="138"/>
        <v>2.5</v>
      </c>
      <c r="AG1338" s="580">
        <f t="shared" si="139"/>
        <v>0</v>
      </c>
      <c r="AH1338" s="580">
        <f t="shared" si="140"/>
        <v>0</v>
      </c>
    </row>
    <row r="1339" spans="28:34">
      <c r="AB1339" s="580">
        <f>HLOOKUP("*"&amp;'Output annual'!$AC$2&amp;'Output annual'!$AD$2&amp;"*Zone People Number Of Occupants [](Hourly)",'Eplus results'!$1:$1048576,ROW(),FALSE)</f>
        <v>0</v>
      </c>
      <c r="AC1339" s="580">
        <f>HLOOKUP("*"&amp;'Output annual'!$AC$2&amp;'Output annual'!$AD$2&amp;"*FangerPMV(Hourly)",'Eplus results'!$1:$1048576,ROW(),FALSE)</f>
        <v>0</v>
      </c>
      <c r="AD1339" s="580">
        <f t="shared" si="136"/>
        <v>5</v>
      </c>
      <c r="AE1339" s="580">
        <f t="shared" si="137"/>
        <v>2.5</v>
      </c>
      <c r="AF1339" s="580">
        <f t="shared" si="138"/>
        <v>2.5</v>
      </c>
      <c r="AG1339" s="580">
        <f t="shared" si="139"/>
        <v>0</v>
      </c>
      <c r="AH1339" s="580">
        <f t="shared" si="140"/>
        <v>0</v>
      </c>
    </row>
    <row r="1340" spans="28:34">
      <c r="AB1340" s="580">
        <f>HLOOKUP("*"&amp;'Output annual'!$AC$2&amp;'Output annual'!$AD$2&amp;"*Zone People Number Of Occupants [](Hourly)",'Eplus results'!$1:$1048576,ROW(),FALSE)</f>
        <v>0</v>
      </c>
      <c r="AC1340" s="580">
        <f>HLOOKUP("*"&amp;'Output annual'!$AC$2&amp;'Output annual'!$AD$2&amp;"*FangerPMV(Hourly)",'Eplus results'!$1:$1048576,ROW(),FALSE)</f>
        <v>0</v>
      </c>
      <c r="AD1340" s="580">
        <f t="shared" si="136"/>
        <v>5</v>
      </c>
      <c r="AE1340" s="580">
        <f t="shared" si="137"/>
        <v>2.5</v>
      </c>
      <c r="AF1340" s="580">
        <f t="shared" si="138"/>
        <v>2.5</v>
      </c>
      <c r="AG1340" s="580">
        <f t="shared" si="139"/>
        <v>0</v>
      </c>
      <c r="AH1340" s="580">
        <f t="shared" si="140"/>
        <v>0</v>
      </c>
    </row>
    <row r="1341" spans="28:34">
      <c r="AB1341" s="580">
        <f>HLOOKUP("*"&amp;'Output annual'!$AC$2&amp;'Output annual'!$AD$2&amp;"*Zone People Number Of Occupants [](Hourly)",'Eplus results'!$1:$1048576,ROW(),FALSE)</f>
        <v>0</v>
      </c>
      <c r="AC1341" s="580">
        <f>HLOOKUP("*"&amp;'Output annual'!$AC$2&amp;'Output annual'!$AD$2&amp;"*FangerPMV(Hourly)",'Eplus results'!$1:$1048576,ROW(),FALSE)</f>
        <v>0</v>
      </c>
      <c r="AD1341" s="580">
        <f t="shared" si="136"/>
        <v>5</v>
      </c>
      <c r="AE1341" s="580">
        <f t="shared" si="137"/>
        <v>2.5</v>
      </c>
      <c r="AF1341" s="580">
        <f t="shared" si="138"/>
        <v>2.5</v>
      </c>
      <c r="AG1341" s="580">
        <f t="shared" si="139"/>
        <v>0</v>
      </c>
      <c r="AH1341" s="580">
        <f t="shared" si="140"/>
        <v>0</v>
      </c>
    </row>
    <row r="1342" spans="28:34">
      <c r="AB1342" s="580">
        <f>HLOOKUP("*"&amp;'Output annual'!$AC$2&amp;'Output annual'!$AD$2&amp;"*Zone People Number Of Occupants [](Hourly)",'Eplus results'!$1:$1048576,ROW(),FALSE)</f>
        <v>0</v>
      </c>
      <c r="AC1342" s="580">
        <f>HLOOKUP("*"&amp;'Output annual'!$AC$2&amp;'Output annual'!$AD$2&amp;"*FangerPMV(Hourly)",'Eplus results'!$1:$1048576,ROW(),FALSE)</f>
        <v>0</v>
      </c>
      <c r="AD1342" s="580">
        <f t="shared" si="136"/>
        <v>5</v>
      </c>
      <c r="AE1342" s="580">
        <f t="shared" si="137"/>
        <v>2.5</v>
      </c>
      <c r="AF1342" s="580">
        <f t="shared" si="138"/>
        <v>2.5</v>
      </c>
      <c r="AG1342" s="580">
        <f t="shared" si="139"/>
        <v>0</v>
      </c>
      <c r="AH1342" s="580">
        <f t="shared" si="140"/>
        <v>0</v>
      </c>
    </row>
    <row r="1343" spans="28:34">
      <c r="AB1343" s="580">
        <f>HLOOKUP("*"&amp;'Output annual'!$AC$2&amp;'Output annual'!$AD$2&amp;"*Zone People Number Of Occupants [](Hourly)",'Eplus results'!$1:$1048576,ROW(),FALSE)</f>
        <v>0</v>
      </c>
      <c r="AC1343" s="580">
        <f>HLOOKUP("*"&amp;'Output annual'!$AC$2&amp;'Output annual'!$AD$2&amp;"*FangerPMV(Hourly)",'Eplus results'!$1:$1048576,ROW(),FALSE)</f>
        <v>0</v>
      </c>
      <c r="AD1343" s="580">
        <f t="shared" si="136"/>
        <v>5</v>
      </c>
      <c r="AE1343" s="580">
        <f t="shared" si="137"/>
        <v>2.5</v>
      </c>
      <c r="AF1343" s="580">
        <f t="shared" si="138"/>
        <v>2.5</v>
      </c>
      <c r="AG1343" s="580">
        <f t="shared" si="139"/>
        <v>0</v>
      </c>
      <c r="AH1343" s="580">
        <f t="shared" si="140"/>
        <v>0</v>
      </c>
    </row>
    <row r="1344" spans="28:34">
      <c r="AB1344" s="580">
        <f>HLOOKUP("*"&amp;'Output annual'!$AC$2&amp;'Output annual'!$AD$2&amp;"*Zone People Number Of Occupants [](Hourly)",'Eplus results'!$1:$1048576,ROW(),FALSE)</f>
        <v>0</v>
      </c>
      <c r="AC1344" s="580">
        <f>HLOOKUP("*"&amp;'Output annual'!$AC$2&amp;'Output annual'!$AD$2&amp;"*FangerPMV(Hourly)",'Eplus results'!$1:$1048576,ROW(),FALSE)</f>
        <v>0</v>
      </c>
      <c r="AD1344" s="580">
        <f t="shared" si="136"/>
        <v>5</v>
      </c>
      <c r="AE1344" s="580">
        <f t="shared" si="137"/>
        <v>2.5</v>
      </c>
      <c r="AF1344" s="580">
        <f t="shared" si="138"/>
        <v>2.5</v>
      </c>
      <c r="AG1344" s="580">
        <f t="shared" si="139"/>
        <v>0</v>
      </c>
      <c r="AH1344" s="580">
        <f t="shared" si="140"/>
        <v>0</v>
      </c>
    </row>
    <row r="1345" spans="28:34">
      <c r="AB1345" s="580">
        <f>HLOOKUP("*"&amp;'Output annual'!$AC$2&amp;'Output annual'!$AD$2&amp;"*Zone People Number Of Occupants [](Hourly)",'Eplus results'!$1:$1048576,ROW(),FALSE)</f>
        <v>0</v>
      </c>
      <c r="AC1345" s="580">
        <f>HLOOKUP("*"&amp;'Output annual'!$AC$2&amp;'Output annual'!$AD$2&amp;"*FangerPMV(Hourly)",'Eplus results'!$1:$1048576,ROW(),FALSE)</f>
        <v>0</v>
      </c>
      <c r="AD1345" s="580">
        <f t="shared" si="136"/>
        <v>5</v>
      </c>
      <c r="AE1345" s="580">
        <f t="shared" si="137"/>
        <v>2.5</v>
      </c>
      <c r="AF1345" s="580">
        <f t="shared" si="138"/>
        <v>2.5</v>
      </c>
      <c r="AG1345" s="580">
        <f t="shared" si="139"/>
        <v>0</v>
      </c>
      <c r="AH1345" s="580">
        <f t="shared" si="140"/>
        <v>0</v>
      </c>
    </row>
    <row r="1346" spans="28:34">
      <c r="AB1346" s="580">
        <f>HLOOKUP("*"&amp;'Output annual'!$AC$2&amp;'Output annual'!$AD$2&amp;"*Zone People Number Of Occupants [](Hourly)",'Eplus results'!$1:$1048576,ROW(),FALSE)</f>
        <v>0</v>
      </c>
      <c r="AC1346" s="580">
        <f>HLOOKUP("*"&amp;'Output annual'!$AC$2&amp;'Output annual'!$AD$2&amp;"*FangerPMV(Hourly)",'Eplus results'!$1:$1048576,ROW(),FALSE)</f>
        <v>0</v>
      </c>
      <c r="AD1346" s="580">
        <f t="shared" si="136"/>
        <v>5</v>
      </c>
      <c r="AE1346" s="580">
        <f t="shared" si="137"/>
        <v>2.5</v>
      </c>
      <c r="AF1346" s="580">
        <f t="shared" si="138"/>
        <v>2.5</v>
      </c>
      <c r="AG1346" s="580">
        <f t="shared" si="139"/>
        <v>0</v>
      </c>
      <c r="AH1346" s="580">
        <f t="shared" si="140"/>
        <v>0</v>
      </c>
    </row>
    <row r="1347" spans="28:34">
      <c r="AB1347" s="580">
        <f>HLOOKUP("*"&amp;'Output annual'!$AC$2&amp;'Output annual'!$AD$2&amp;"*Zone People Number Of Occupants [](Hourly)",'Eplus results'!$1:$1048576,ROW(),FALSE)</f>
        <v>0</v>
      </c>
      <c r="AC1347" s="580">
        <f>HLOOKUP("*"&amp;'Output annual'!$AC$2&amp;'Output annual'!$AD$2&amp;"*FangerPMV(Hourly)",'Eplus results'!$1:$1048576,ROW(),FALSE)</f>
        <v>0</v>
      </c>
      <c r="AD1347" s="580">
        <f t="shared" ref="AD1347:AD1410" si="141">100-95*EXP(-0.03353*AC1347^4-0.2179*AC1347^2)</f>
        <v>5</v>
      </c>
      <c r="AE1347" s="580">
        <f t="shared" ref="AE1347:AE1410" si="142">AD1347*(1/(1+EXP(-6.3*$AC1347)))</f>
        <v>2.5</v>
      </c>
      <c r="AF1347" s="580">
        <f t="shared" ref="AF1347:AF1410" si="143">(AD1347-AE1347)</f>
        <v>2.5</v>
      </c>
      <c r="AG1347" s="580">
        <f t="shared" ref="AG1347:AG1410" si="144">AE1347*AB1347</f>
        <v>0</v>
      </c>
      <c r="AH1347" s="580">
        <f t="shared" ref="AH1347:AH1410" si="145">AF1347*AB1347</f>
        <v>0</v>
      </c>
    </row>
    <row r="1348" spans="28:34">
      <c r="AB1348" s="580">
        <f>HLOOKUP("*"&amp;'Output annual'!$AC$2&amp;'Output annual'!$AD$2&amp;"*Zone People Number Of Occupants [](Hourly)",'Eplus results'!$1:$1048576,ROW(),FALSE)</f>
        <v>0</v>
      </c>
      <c r="AC1348" s="580">
        <f>HLOOKUP("*"&amp;'Output annual'!$AC$2&amp;'Output annual'!$AD$2&amp;"*FangerPMV(Hourly)",'Eplus results'!$1:$1048576,ROW(),FALSE)</f>
        <v>0</v>
      </c>
      <c r="AD1348" s="580">
        <f t="shared" si="141"/>
        <v>5</v>
      </c>
      <c r="AE1348" s="580">
        <f t="shared" si="142"/>
        <v>2.5</v>
      </c>
      <c r="AF1348" s="580">
        <f t="shared" si="143"/>
        <v>2.5</v>
      </c>
      <c r="AG1348" s="580">
        <f t="shared" si="144"/>
        <v>0</v>
      </c>
      <c r="AH1348" s="580">
        <f t="shared" si="145"/>
        <v>0</v>
      </c>
    </row>
    <row r="1349" spans="28:34">
      <c r="AB1349" s="580">
        <f>HLOOKUP("*"&amp;'Output annual'!$AC$2&amp;'Output annual'!$AD$2&amp;"*Zone People Number Of Occupants [](Hourly)",'Eplus results'!$1:$1048576,ROW(),FALSE)</f>
        <v>0</v>
      </c>
      <c r="AC1349" s="580">
        <f>HLOOKUP("*"&amp;'Output annual'!$AC$2&amp;'Output annual'!$AD$2&amp;"*FangerPMV(Hourly)",'Eplus results'!$1:$1048576,ROW(),FALSE)</f>
        <v>0</v>
      </c>
      <c r="AD1349" s="580">
        <f t="shared" si="141"/>
        <v>5</v>
      </c>
      <c r="AE1349" s="580">
        <f t="shared" si="142"/>
        <v>2.5</v>
      </c>
      <c r="AF1349" s="580">
        <f t="shared" si="143"/>
        <v>2.5</v>
      </c>
      <c r="AG1349" s="580">
        <f t="shared" si="144"/>
        <v>0</v>
      </c>
      <c r="AH1349" s="580">
        <f t="shared" si="145"/>
        <v>0</v>
      </c>
    </row>
    <row r="1350" spans="28:34">
      <c r="AB1350" s="580">
        <f>HLOOKUP("*"&amp;'Output annual'!$AC$2&amp;'Output annual'!$AD$2&amp;"*Zone People Number Of Occupants [](Hourly)",'Eplus results'!$1:$1048576,ROW(),FALSE)</f>
        <v>0</v>
      </c>
      <c r="AC1350" s="580">
        <f>HLOOKUP("*"&amp;'Output annual'!$AC$2&amp;'Output annual'!$AD$2&amp;"*FangerPMV(Hourly)",'Eplus results'!$1:$1048576,ROW(),FALSE)</f>
        <v>0</v>
      </c>
      <c r="AD1350" s="580">
        <f t="shared" si="141"/>
        <v>5</v>
      </c>
      <c r="AE1350" s="580">
        <f t="shared" si="142"/>
        <v>2.5</v>
      </c>
      <c r="AF1350" s="580">
        <f t="shared" si="143"/>
        <v>2.5</v>
      </c>
      <c r="AG1350" s="580">
        <f t="shared" si="144"/>
        <v>0</v>
      </c>
      <c r="AH1350" s="580">
        <f t="shared" si="145"/>
        <v>0</v>
      </c>
    </row>
    <row r="1351" spans="28:34">
      <c r="AB1351" s="580">
        <f>HLOOKUP("*"&amp;'Output annual'!$AC$2&amp;'Output annual'!$AD$2&amp;"*Zone People Number Of Occupants [](Hourly)",'Eplus results'!$1:$1048576,ROW(),FALSE)</f>
        <v>0</v>
      </c>
      <c r="AC1351" s="580">
        <f>HLOOKUP("*"&amp;'Output annual'!$AC$2&amp;'Output annual'!$AD$2&amp;"*FangerPMV(Hourly)",'Eplus results'!$1:$1048576,ROW(),FALSE)</f>
        <v>0</v>
      </c>
      <c r="AD1351" s="580">
        <f t="shared" si="141"/>
        <v>5</v>
      </c>
      <c r="AE1351" s="580">
        <f t="shared" si="142"/>
        <v>2.5</v>
      </c>
      <c r="AF1351" s="580">
        <f t="shared" si="143"/>
        <v>2.5</v>
      </c>
      <c r="AG1351" s="580">
        <f t="shared" si="144"/>
        <v>0</v>
      </c>
      <c r="AH1351" s="580">
        <f t="shared" si="145"/>
        <v>0</v>
      </c>
    </row>
    <row r="1352" spans="28:34">
      <c r="AB1352" s="580">
        <f>HLOOKUP("*"&amp;'Output annual'!$AC$2&amp;'Output annual'!$AD$2&amp;"*Zone People Number Of Occupants [](Hourly)",'Eplus results'!$1:$1048576,ROW(),FALSE)</f>
        <v>0</v>
      </c>
      <c r="AC1352" s="580">
        <f>HLOOKUP("*"&amp;'Output annual'!$AC$2&amp;'Output annual'!$AD$2&amp;"*FangerPMV(Hourly)",'Eplus results'!$1:$1048576,ROW(),FALSE)</f>
        <v>0</v>
      </c>
      <c r="AD1352" s="580">
        <f t="shared" si="141"/>
        <v>5</v>
      </c>
      <c r="AE1352" s="580">
        <f t="shared" si="142"/>
        <v>2.5</v>
      </c>
      <c r="AF1352" s="580">
        <f t="shared" si="143"/>
        <v>2.5</v>
      </c>
      <c r="AG1352" s="580">
        <f t="shared" si="144"/>
        <v>0</v>
      </c>
      <c r="AH1352" s="580">
        <f t="shared" si="145"/>
        <v>0</v>
      </c>
    </row>
    <row r="1353" spans="28:34">
      <c r="AB1353" s="580">
        <f>HLOOKUP("*"&amp;'Output annual'!$AC$2&amp;'Output annual'!$AD$2&amp;"*Zone People Number Of Occupants [](Hourly)",'Eplus results'!$1:$1048576,ROW(),FALSE)</f>
        <v>0</v>
      </c>
      <c r="AC1353" s="580">
        <f>HLOOKUP("*"&amp;'Output annual'!$AC$2&amp;'Output annual'!$AD$2&amp;"*FangerPMV(Hourly)",'Eplus results'!$1:$1048576,ROW(),FALSE)</f>
        <v>0</v>
      </c>
      <c r="AD1353" s="580">
        <f t="shared" si="141"/>
        <v>5</v>
      </c>
      <c r="AE1353" s="580">
        <f t="shared" si="142"/>
        <v>2.5</v>
      </c>
      <c r="AF1353" s="580">
        <f t="shared" si="143"/>
        <v>2.5</v>
      </c>
      <c r="AG1353" s="580">
        <f t="shared" si="144"/>
        <v>0</v>
      </c>
      <c r="AH1353" s="580">
        <f t="shared" si="145"/>
        <v>0</v>
      </c>
    </row>
    <row r="1354" spans="28:34">
      <c r="AB1354" s="580">
        <f>HLOOKUP("*"&amp;'Output annual'!$AC$2&amp;'Output annual'!$AD$2&amp;"*Zone People Number Of Occupants [](Hourly)",'Eplus results'!$1:$1048576,ROW(),FALSE)</f>
        <v>0</v>
      </c>
      <c r="AC1354" s="580">
        <f>HLOOKUP("*"&amp;'Output annual'!$AC$2&amp;'Output annual'!$AD$2&amp;"*FangerPMV(Hourly)",'Eplus results'!$1:$1048576,ROW(),FALSE)</f>
        <v>0</v>
      </c>
      <c r="AD1354" s="580">
        <f t="shared" si="141"/>
        <v>5</v>
      </c>
      <c r="AE1354" s="580">
        <f t="shared" si="142"/>
        <v>2.5</v>
      </c>
      <c r="AF1354" s="580">
        <f t="shared" si="143"/>
        <v>2.5</v>
      </c>
      <c r="AG1354" s="580">
        <f t="shared" si="144"/>
        <v>0</v>
      </c>
      <c r="AH1354" s="580">
        <f t="shared" si="145"/>
        <v>0</v>
      </c>
    </row>
    <row r="1355" spans="28:34">
      <c r="AB1355" s="580">
        <f>HLOOKUP("*"&amp;'Output annual'!$AC$2&amp;'Output annual'!$AD$2&amp;"*Zone People Number Of Occupants [](Hourly)",'Eplus results'!$1:$1048576,ROW(),FALSE)</f>
        <v>0</v>
      </c>
      <c r="AC1355" s="580">
        <f>HLOOKUP("*"&amp;'Output annual'!$AC$2&amp;'Output annual'!$AD$2&amp;"*FangerPMV(Hourly)",'Eplus results'!$1:$1048576,ROW(),FALSE)</f>
        <v>0</v>
      </c>
      <c r="AD1355" s="580">
        <f t="shared" si="141"/>
        <v>5</v>
      </c>
      <c r="AE1355" s="580">
        <f t="shared" si="142"/>
        <v>2.5</v>
      </c>
      <c r="AF1355" s="580">
        <f t="shared" si="143"/>
        <v>2.5</v>
      </c>
      <c r="AG1355" s="580">
        <f t="shared" si="144"/>
        <v>0</v>
      </c>
      <c r="AH1355" s="580">
        <f t="shared" si="145"/>
        <v>0</v>
      </c>
    </row>
    <row r="1356" spans="28:34">
      <c r="AB1356" s="580">
        <f>HLOOKUP("*"&amp;'Output annual'!$AC$2&amp;'Output annual'!$AD$2&amp;"*Zone People Number Of Occupants [](Hourly)",'Eplus results'!$1:$1048576,ROW(),FALSE)</f>
        <v>0</v>
      </c>
      <c r="AC1356" s="580">
        <f>HLOOKUP("*"&amp;'Output annual'!$AC$2&amp;'Output annual'!$AD$2&amp;"*FangerPMV(Hourly)",'Eplus results'!$1:$1048576,ROW(),FALSE)</f>
        <v>0</v>
      </c>
      <c r="AD1356" s="580">
        <f t="shared" si="141"/>
        <v>5</v>
      </c>
      <c r="AE1356" s="580">
        <f t="shared" si="142"/>
        <v>2.5</v>
      </c>
      <c r="AF1356" s="580">
        <f t="shared" si="143"/>
        <v>2.5</v>
      </c>
      <c r="AG1356" s="580">
        <f t="shared" si="144"/>
        <v>0</v>
      </c>
      <c r="AH1356" s="580">
        <f t="shared" si="145"/>
        <v>0</v>
      </c>
    </row>
    <row r="1357" spans="28:34">
      <c r="AB1357" s="580">
        <f>HLOOKUP("*"&amp;'Output annual'!$AC$2&amp;'Output annual'!$AD$2&amp;"*Zone People Number Of Occupants [](Hourly)",'Eplus results'!$1:$1048576,ROW(),FALSE)</f>
        <v>0</v>
      </c>
      <c r="AC1357" s="580">
        <f>HLOOKUP("*"&amp;'Output annual'!$AC$2&amp;'Output annual'!$AD$2&amp;"*FangerPMV(Hourly)",'Eplus results'!$1:$1048576,ROW(),FALSE)</f>
        <v>0</v>
      </c>
      <c r="AD1357" s="580">
        <f t="shared" si="141"/>
        <v>5</v>
      </c>
      <c r="AE1357" s="580">
        <f t="shared" si="142"/>
        <v>2.5</v>
      </c>
      <c r="AF1357" s="580">
        <f t="shared" si="143"/>
        <v>2.5</v>
      </c>
      <c r="AG1357" s="580">
        <f t="shared" si="144"/>
        <v>0</v>
      </c>
      <c r="AH1357" s="580">
        <f t="shared" si="145"/>
        <v>0</v>
      </c>
    </row>
    <row r="1358" spans="28:34">
      <c r="AB1358" s="580">
        <f>HLOOKUP("*"&amp;'Output annual'!$AC$2&amp;'Output annual'!$AD$2&amp;"*Zone People Number Of Occupants [](Hourly)",'Eplus results'!$1:$1048576,ROW(),FALSE)</f>
        <v>0</v>
      </c>
      <c r="AC1358" s="580">
        <f>HLOOKUP("*"&amp;'Output annual'!$AC$2&amp;'Output annual'!$AD$2&amp;"*FangerPMV(Hourly)",'Eplus results'!$1:$1048576,ROW(),FALSE)</f>
        <v>0</v>
      </c>
      <c r="AD1358" s="580">
        <f t="shared" si="141"/>
        <v>5</v>
      </c>
      <c r="AE1358" s="580">
        <f t="shared" si="142"/>
        <v>2.5</v>
      </c>
      <c r="AF1358" s="580">
        <f t="shared" si="143"/>
        <v>2.5</v>
      </c>
      <c r="AG1358" s="580">
        <f t="shared" si="144"/>
        <v>0</v>
      </c>
      <c r="AH1358" s="580">
        <f t="shared" si="145"/>
        <v>0</v>
      </c>
    </row>
    <row r="1359" spans="28:34">
      <c r="AB1359" s="580">
        <f>HLOOKUP("*"&amp;'Output annual'!$AC$2&amp;'Output annual'!$AD$2&amp;"*Zone People Number Of Occupants [](Hourly)",'Eplus results'!$1:$1048576,ROW(),FALSE)</f>
        <v>0</v>
      </c>
      <c r="AC1359" s="580">
        <f>HLOOKUP("*"&amp;'Output annual'!$AC$2&amp;'Output annual'!$AD$2&amp;"*FangerPMV(Hourly)",'Eplus results'!$1:$1048576,ROW(),FALSE)</f>
        <v>0</v>
      </c>
      <c r="AD1359" s="580">
        <f t="shared" si="141"/>
        <v>5</v>
      </c>
      <c r="AE1359" s="580">
        <f t="shared" si="142"/>
        <v>2.5</v>
      </c>
      <c r="AF1359" s="580">
        <f t="shared" si="143"/>
        <v>2.5</v>
      </c>
      <c r="AG1359" s="580">
        <f t="shared" si="144"/>
        <v>0</v>
      </c>
      <c r="AH1359" s="580">
        <f t="shared" si="145"/>
        <v>0</v>
      </c>
    </row>
    <row r="1360" spans="28:34">
      <c r="AB1360" s="580">
        <f>HLOOKUP("*"&amp;'Output annual'!$AC$2&amp;'Output annual'!$AD$2&amp;"*Zone People Number Of Occupants [](Hourly)",'Eplus results'!$1:$1048576,ROW(),FALSE)</f>
        <v>0</v>
      </c>
      <c r="AC1360" s="580">
        <f>HLOOKUP("*"&amp;'Output annual'!$AC$2&amp;'Output annual'!$AD$2&amp;"*FangerPMV(Hourly)",'Eplus results'!$1:$1048576,ROW(),FALSE)</f>
        <v>0</v>
      </c>
      <c r="AD1360" s="580">
        <f t="shared" si="141"/>
        <v>5</v>
      </c>
      <c r="AE1360" s="580">
        <f t="shared" si="142"/>
        <v>2.5</v>
      </c>
      <c r="AF1360" s="580">
        <f t="shared" si="143"/>
        <v>2.5</v>
      </c>
      <c r="AG1360" s="580">
        <f t="shared" si="144"/>
        <v>0</v>
      </c>
      <c r="AH1360" s="580">
        <f t="shared" si="145"/>
        <v>0</v>
      </c>
    </row>
    <row r="1361" spans="28:34">
      <c r="AB1361" s="580">
        <f>HLOOKUP("*"&amp;'Output annual'!$AC$2&amp;'Output annual'!$AD$2&amp;"*Zone People Number Of Occupants [](Hourly)",'Eplus results'!$1:$1048576,ROW(),FALSE)</f>
        <v>0</v>
      </c>
      <c r="AC1361" s="580">
        <f>HLOOKUP("*"&amp;'Output annual'!$AC$2&amp;'Output annual'!$AD$2&amp;"*FangerPMV(Hourly)",'Eplus results'!$1:$1048576,ROW(),FALSE)</f>
        <v>0</v>
      </c>
      <c r="AD1361" s="580">
        <f t="shared" si="141"/>
        <v>5</v>
      </c>
      <c r="AE1361" s="580">
        <f t="shared" si="142"/>
        <v>2.5</v>
      </c>
      <c r="AF1361" s="580">
        <f t="shared" si="143"/>
        <v>2.5</v>
      </c>
      <c r="AG1361" s="580">
        <f t="shared" si="144"/>
        <v>0</v>
      </c>
      <c r="AH1361" s="580">
        <f t="shared" si="145"/>
        <v>0</v>
      </c>
    </row>
    <row r="1362" spans="28:34">
      <c r="AB1362" s="580">
        <f>HLOOKUP("*"&amp;'Output annual'!$AC$2&amp;'Output annual'!$AD$2&amp;"*Zone People Number Of Occupants [](Hourly)",'Eplus results'!$1:$1048576,ROW(),FALSE)</f>
        <v>0</v>
      </c>
      <c r="AC1362" s="580">
        <f>HLOOKUP("*"&amp;'Output annual'!$AC$2&amp;'Output annual'!$AD$2&amp;"*FangerPMV(Hourly)",'Eplus results'!$1:$1048576,ROW(),FALSE)</f>
        <v>0</v>
      </c>
      <c r="AD1362" s="580">
        <f t="shared" si="141"/>
        <v>5</v>
      </c>
      <c r="AE1362" s="580">
        <f t="shared" si="142"/>
        <v>2.5</v>
      </c>
      <c r="AF1362" s="580">
        <f t="shared" si="143"/>
        <v>2.5</v>
      </c>
      <c r="AG1362" s="580">
        <f t="shared" si="144"/>
        <v>0</v>
      </c>
      <c r="AH1362" s="580">
        <f t="shared" si="145"/>
        <v>0</v>
      </c>
    </row>
    <row r="1363" spans="28:34">
      <c r="AB1363" s="580">
        <f>HLOOKUP("*"&amp;'Output annual'!$AC$2&amp;'Output annual'!$AD$2&amp;"*Zone People Number Of Occupants [](Hourly)",'Eplus results'!$1:$1048576,ROW(),FALSE)</f>
        <v>0</v>
      </c>
      <c r="AC1363" s="580">
        <f>HLOOKUP("*"&amp;'Output annual'!$AC$2&amp;'Output annual'!$AD$2&amp;"*FangerPMV(Hourly)",'Eplus results'!$1:$1048576,ROW(),FALSE)</f>
        <v>0</v>
      </c>
      <c r="AD1363" s="580">
        <f t="shared" si="141"/>
        <v>5</v>
      </c>
      <c r="AE1363" s="580">
        <f t="shared" si="142"/>
        <v>2.5</v>
      </c>
      <c r="AF1363" s="580">
        <f t="shared" si="143"/>
        <v>2.5</v>
      </c>
      <c r="AG1363" s="580">
        <f t="shared" si="144"/>
        <v>0</v>
      </c>
      <c r="AH1363" s="580">
        <f t="shared" si="145"/>
        <v>0</v>
      </c>
    </row>
    <row r="1364" spans="28:34">
      <c r="AB1364" s="580">
        <f>HLOOKUP("*"&amp;'Output annual'!$AC$2&amp;'Output annual'!$AD$2&amp;"*Zone People Number Of Occupants [](Hourly)",'Eplus results'!$1:$1048576,ROW(),FALSE)</f>
        <v>0</v>
      </c>
      <c r="AC1364" s="580">
        <f>HLOOKUP("*"&amp;'Output annual'!$AC$2&amp;'Output annual'!$AD$2&amp;"*FangerPMV(Hourly)",'Eplus results'!$1:$1048576,ROW(),FALSE)</f>
        <v>0</v>
      </c>
      <c r="AD1364" s="580">
        <f t="shared" si="141"/>
        <v>5</v>
      </c>
      <c r="AE1364" s="580">
        <f t="shared" si="142"/>
        <v>2.5</v>
      </c>
      <c r="AF1364" s="580">
        <f t="shared" si="143"/>
        <v>2.5</v>
      </c>
      <c r="AG1364" s="580">
        <f t="shared" si="144"/>
        <v>0</v>
      </c>
      <c r="AH1364" s="580">
        <f t="shared" si="145"/>
        <v>0</v>
      </c>
    </row>
    <row r="1365" spans="28:34">
      <c r="AB1365" s="580">
        <f>HLOOKUP("*"&amp;'Output annual'!$AC$2&amp;'Output annual'!$AD$2&amp;"*Zone People Number Of Occupants [](Hourly)",'Eplus results'!$1:$1048576,ROW(),FALSE)</f>
        <v>0</v>
      </c>
      <c r="AC1365" s="580">
        <f>HLOOKUP("*"&amp;'Output annual'!$AC$2&amp;'Output annual'!$AD$2&amp;"*FangerPMV(Hourly)",'Eplus results'!$1:$1048576,ROW(),FALSE)</f>
        <v>0</v>
      </c>
      <c r="AD1365" s="580">
        <f t="shared" si="141"/>
        <v>5</v>
      </c>
      <c r="AE1365" s="580">
        <f t="shared" si="142"/>
        <v>2.5</v>
      </c>
      <c r="AF1365" s="580">
        <f t="shared" si="143"/>
        <v>2.5</v>
      </c>
      <c r="AG1365" s="580">
        <f t="shared" si="144"/>
        <v>0</v>
      </c>
      <c r="AH1365" s="580">
        <f t="shared" si="145"/>
        <v>0</v>
      </c>
    </row>
    <row r="1366" spans="28:34">
      <c r="AB1366" s="580">
        <f>HLOOKUP("*"&amp;'Output annual'!$AC$2&amp;'Output annual'!$AD$2&amp;"*Zone People Number Of Occupants [](Hourly)",'Eplus results'!$1:$1048576,ROW(),FALSE)</f>
        <v>0</v>
      </c>
      <c r="AC1366" s="580">
        <f>HLOOKUP("*"&amp;'Output annual'!$AC$2&amp;'Output annual'!$AD$2&amp;"*FangerPMV(Hourly)",'Eplus results'!$1:$1048576,ROW(),FALSE)</f>
        <v>0</v>
      </c>
      <c r="AD1366" s="580">
        <f t="shared" si="141"/>
        <v>5</v>
      </c>
      <c r="AE1366" s="580">
        <f t="shared" si="142"/>
        <v>2.5</v>
      </c>
      <c r="AF1366" s="580">
        <f t="shared" si="143"/>
        <v>2.5</v>
      </c>
      <c r="AG1366" s="580">
        <f t="shared" si="144"/>
        <v>0</v>
      </c>
      <c r="AH1366" s="580">
        <f t="shared" si="145"/>
        <v>0</v>
      </c>
    </row>
    <row r="1367" spans="28:34">
      <c r="AB1367" s="580">
        <f>HLOOKUP("*"&amp;'Output annual'!$AC$2&amp;'Output annual'!$AD$2&amp;"*Zone People Number Of Occupants [](Hourly)",'Eplus results'!$1:$1048576,ROW(),FALSE)</f>
        <v>0</v>
      </c>
      <c r="AC1367" s="580">
        <f>HLOOKUP("*"&amp;'Output annual'!$AC$2&amp;'Output annual'!$AD$2&amp;"*FangerPMV(Hourly)",'Eplus results'!$1:$1048576,ROW(),FALSE)</f>
        <v>0</v>
      </c>
      <c r="AD1367" s="580">
        <f t="shared" si="141"/>
        <v>5</v>
      </c>
      <c r="AE1367" s="580">
        <f t="shared" si="142"/>
        <v>2.5</v>
      </c>
      <c r="AF1367" s="580">
        <f t="shared" si="143"/>
        <v>2.5</v>
      </c>
      <c r="AG1367" s="580">
        <f t="shared" si="144"/>
        <v>0</v>
      </c>
      <c r="AH1367" s="580">
        <f t="shared" si="145"/>
        <v>0</v>
      </c>
    </row>
    <row r="1368" spans="28:34">
      <c r="AB1368" s="580">
        <f>HLOOKUP("*"&amp;'Output annual'!$AC$2&amp;'Output annual'!$AD$2&amp;"*Zone People Number Of Occupants [](Hourly)",'Eplus results'!$1:$1048576,ROW(),FALSE)</f>
        <v>0</v>
      </c>
      <c r="AC1368" s="580">
        <f>HLOOKUP("*"&amp;'Output annual'!$AC$2&amp;'Output annual'!$AD$2&amp;"*FangerPMV(Hourly)",'Eplus results'!$1:$1048576,ROW(),FALSE)</f>
        <v>0</v>
      </c>
      <c r="AD1368" s="580">
        <f t="shared" si="141"/>
        <v>5</v>
      </c>
      <c r="AE1368" s="580">
        <f t="shared" si="142"/>
        <v>2.5</v>
      </c>
      <c r="AF1368" s="580">
        <f t="shared" si="143"/>
        <v>2.5</v>
      </c>
      <c r="AG1368" s="580">
        <f t="shared" si="144"/>
        <v>0</v>
      </c>
      <c r="AH1368" s="580">
        <f t="shared" si="145"/>
        <v>0</v>
      </c>
    </row>
    <row r="1369" spans="28:34">
      <c r="AB1369" s="580">
        <f>HLOOKUP("*"&amp;'Output annual'!$AC$2&amp;'Output annual'!$AD$2&amp;"*Zone People Number Of Occupants [](Hourly)",'Eplus results'!$1:$1048576,ROW(),FALSE)</f>
        <v>0</v>
      </c>
      <c r="AC1369" s="580">
        <f>HLOOKUP("*"&amp;'Output annual'!$AC$2&amp;'Output annual'!$AD$2&amp;"*FangerPMV(Hourly)",'Eplus results'!$1:$1048576,ROW(),FALSE)</f>
        <v>0</v>
      </c>
      <c r="AD1369" s="580">
        <f t="shared" si="141"/>
        <v>5</v>
      </c>
      <c r="AE1369" s="580">
        <f t="shared" si="142"/>
        <v>2.5</v>
      </c>
      <c r="AF1369" s="580">
        <f t="shared" si="143"/>
        <v>2.5</v>
      </c>
      <c r="AG1369" s="580">
        <f t="shared" si="144"/>
        <v>0</v>
      </c>
      <c r="AH1369" s="580">
        <f t="shared" si="145"/>
        <v>0</v>
      </c>
    </row>
    <row r="1370" spans="28:34">
      <c r="AB1370" s="580">
        <f>HLOOKUP("*"&amp;'Output annual'!$AC$2&amp;'Output annual'!$AD$2&amp;"*Zone People Number Of Occupants [](Hourly)",'Eplus results'!$1:$1048576,ROW(),FALSE)</f>
        <v>0</v>
      </c>
      <c r="AC1370" s="580">
        <f>HLOOKUP("*"&amp;'Output annual'!$AC$2&amp;'Output annual'!$AD$2&amp;"*FangerPMV(Hourly)",'Eplus results'!$1:$1048576,ROW(),FALSE)</f>
        <v>0</v>
      </c>
      <c r="AD1370" s="580">
        <f t="shared" si="141"/>
        <v>5</v>
      </c>
      <c r="AE1370" s="580">
        <f t="shared" si="142"/>
        <v>2.5</v>
      </c>
      <c r="AF1370" s="580">
        <f t="shared" si="143"/>
        <v>2.5</v>
      </c>
      <c r="AG1370" s="580">
        <f t="shared" si="144"/>
        <v>0</v>
      </c>
      <c r="AH1370" s="580">
        <f t="shared" si="145"/>
        <v>0</v>
      </c>
    </row>
    <row r="1371" spans="28:34">
      <c r="AB1371" s="580">
        <f>HLOOKUP("*"&amp;'Output annual'!$AC$2&amp;'Output annual'!$AD$2&amp;"*Zone People Number Of Occupants [](Hourly)",'Eplus results'!$1:$1048576,ROW(),FALSE)</f>
        <v>0</v>
      </c>
      <c r="AC1371" s="580">
        <f>HLOOKUP("*"&amp;'Output annual'!$AC$2&amp;'Output annual'!$AD$2&amp;"*FangerPMV(Hourly)",'Eplus results'!$1:$1048576,ROW(),FALSE)</f>
        <v>0</v>
      </c>
      <c r="AD1371" s="580">
        <f t="shared" si="141"/>
        <v>5</v>
      </c>
      <c r="AE1371" s="580">
        <f t="shared" si="142"/>
        <v>2.5</v>
      </c>
      <c r="AF1371" s="580">
        <f t="shared" si="143"/>
        <v>2.5</v>
      </c>
      <c r="AG1371" s="580">
        <f t="shared" si="144"/>
        <v>0</v>
      </c>
      <c r="AH1371" s="580">
        <f t="shared" si="145"/>
        <v>0</v>
      </c>
    </row>
    <row r="1372" spans="28:34">
      <c r="AB1372" s="580">
        <f>HLOOKUP("*"&amp;'Output annual'!$AC$2&amp;'Output annual'!$AD$2&amp;"*Zone People Number Of Occupants [](Hourly)",'Eplus results'!$1:$1048576,ROW(),FALSE)</f>
        <v>0</v>
      </c>
      <c r="AC1372" s="580">
        <f>HLOOKUP("*"&amp;'Output annual'!$AC$2&amp;'Output annual'!$AD$2&amp;"*FangerPMV(Hourly)",'Eplus results'!$1:$1048576,ROW(),FALSE)</f>
        <v>0</v>
      </c>
      <c r="AD1372" s="580">
        <f t="shared" si="141"/>
        <v>5</v>
      </c>
      <c r="AE1372" s="580">
        <f t="shared" si="142"/>
        <v>2.5</v>
      </c>
      <c r="AF1372" s="580">
        <f t="shared" si="143"/>
        <v>2.5</v>
      </c>
      <c r="AG1372" s="580">
        <f t="shared" si="144"/>
        <v>0</v>
      </c>
      <c r="AH1372" s="580">
        <f t="shared" si="145"/>
        <v>0</v>
      </c>
    </row>
    <row r="1373" spans="28:34">
      <c r="AB1373" s="580">
        <f>HLOOKUP("*"&amp;'Output annual'!$AC$2&amp;'Output annual'!$AD$2&amp;"*Zone People Number Of Occupants [](Hourly)",'Eplus results'!$1:$1048576,ROW(),FALSE)</f>
        <v>0</v>
      </c>
      <c r="AC1373" s="580">
        <f>HLOOKUP("*"&amp;'Output annual'!$AC$2&amp;'Output annual'!$AD$2&amp;"*FangerPMV(Hourly)",'Eplus results'!$1:$1048576,ROW(),FALSE)</f>
        <v>0</v>
      </c>
      <c r="AD1373" s="580">
        <f t="shared" si="141"/>
        <v>5</v>
      </c>
      <c r="AE1373" s="580">
        <f t="shared" si="142"/>
        <v>2.5</v>
      </c>
      <c r="AF1373" s="580">
        <f t="shared" si="143"/>
        <v>2.5</v>
      </c>
      <c r="AG1373" s="580">
        <f t="shared" si="144"/>
        <v>0</v>
      </c>
      <c r="AH1373" s="580">
        <f t="shared" si="145"/>
        <v>0</v>
      </c>
    </row>
    <row r="1374" spans="28:34">
      <c r="AB1374" s="580">
        <f>HLOOKUP("*"&amp;'Output annual'!$AC$2&amp;'Output annual'!$AD$2&amp;"*Zone People Number Of Occupants [](Hourly)",'Eplus results'!$1:$1048576,ROW(),FALSE)</f>
        <v>0</v>
      </c>
      <c r="AC1374" s="580">
        <f>HLOOKUP("*"&amp;'Output annual'!$AC$2&amp;'Output annual'!$AD$2&amp;"*FangerPMV(Hourly)",'Eplus results'!$1:$1048576,ROW(),FALSE)</f>
        <v>0</v>
      </c>
      <c r="AD1374" s="580">
        <f t="shared" si="141"/>
        <v>5</v>
      </c>
      <c r="AE1374" s="580">
        <f t="shared" si="142"/>
        <v>2.5</v>
      </c>
      <c r="AF1374" s="580">
        <f t="shared" si="143"/>
        <v>2.5</v>
      </c>
      <c r="AG1374" s="580">
        <f t="shared" si="144"/>
        <v>0</v>
      </c>
      <c r="AH1374" s="580">
        <f t="shared" si="145"/>
        <v>0</v>
      </c>
    </row>
    <row r="1375" spans="28:34">
      <c r="AB1375" s="580">
        <f>HLOOKUP("*"&amp;'Output annual'!$AC$2&amp;'Output annual'!$AD$2&amp;"*Zone People Number Of Occupants [](Hourly)",'Eplus results'!$1:$1048576,ROW(),FALSE)</f>
        <v>0</v>
      </c>
      <c r="AC1375" s="580">
        <f>HLOOKUP("*"&amp;'Output annual'!$AC$2&amp;'Output annual'!$AD$2&amp;"*FangerPMV(Hourly)",'Eplus results'!$1:$1048576,ROW(),FALSE)</f>
        <v>0</v>
      </c>
      <c r="AD1375" s="580">
        <f t="shared" si="141"/>
        <v>5</v>
      </c>
      <c r="AE1375" s="580">
        <f t="shared" si="142"/>
        <v>2.5</v>
      </c>
      <c r="AF1375" s="580">
        <f t="shared" si="143"/>
        <v>2.5</v>
      </c>
      <c r="AG1375" s="580">
        <f t="shared" si="144"/>
        <v>0</v>
      </c>
      <c r="AH1375" s="580">
        <f t="shared" si="145"/>
        <v>0</v>
      </c>
    </row>
    <row r="1376" spans="28:34">
      <c r="AB1376" s="580">
        <f>HLOOKUP("*"&amp;'Output annual'!$AC$2&amp;'Output annual'!$AD$2&amp;"*Zone People Number Of Occupants [](Hourly)",'Eplus results'!$1:$1048576,ROW(),FALSE)</f>
        <v>0</v>
      </c>
      <c r="AC1376" s="580">
        <f>HLOOKUP("*"&amp;'Output annual'!$AC$2&amp;'Output annual'!$AD$2&amp;"*FangerPMV(Hourly)",'Eplus results'!$1:$1048576,ROW(),FALSE)</f>
        <v>0</v>
      </c>
      <c r="AD1376" s="580">
        <f t="shared" si="141"/>
        <v>5</v>
      </c>
      <c r="AE1376" s="580">
        <f t="shared" si="142"/>
        <v>2.5</v>
      </c>
      <c r="AF1376" s="580">
        <f t="shared" si="143"/>
        <v>2.5</v>
      </c>
      <c r="AG1376" s="580">
        <f t="shared" si="144"/>
        <v>0</v>
      </c>
      <c r="AH1376" s="580">
        <f t="shared" si="145"/>
        <v>0</v>
      </c>
    </row>
    <row r="1377" spans="28:34">
      <c r="AB1377" s="580">
        <f>HLOOKUP("*"&amp;'Output annual'!$AC$2&amp;'Output annual'!$AD$2&amp;"*Zone People Number Of Occupants [](Hourly)",'Eplus results'!$1:$1048576,ROW(),FALSE)</f>
        <v>0</v>
      </c>
      <c r="AC1377" s="580">
        <f>HLOOKUP("*"&amp;'Output annual'!$AC$2&amp;'Output annual'!$AD$2&amp;"*FangerPMV(Hourly)",'Eplus results'!$1:$1048576,ROW(),FALSE)</f>
        <v>0</v>
      </c>
      <c r="AD1377" s="580">
        <f t="shared" si="141"/>
        <v>5</v>
      </c>
      <c r="AE1377" s="580">
        <f t="shared" si="142"/>
        <v>2.5</v>
      </c>
      <c r="AF1377" s="580">
        <f t="shared" si="143"/>
        <v>2.5</v>
      </c>
      <c r="AG1377" s="580">
        <f t="shared" si="144"/>
        <v>0</v>
      </c>
      <c r="AH1377" s="580">
        <f t="shared" si="145"/>
        <v>0</v>
      </c>
    </row>
    <row r="1378" spans="28:34">
      <c r="AB1378" s="580">
        <f>HLOOKUP("*"&amp;'Output annual'!$AC$2&amp;'Output annual'!$AD$2&amp;"*Zone People Number Of Occupants [](Hourly)",'Eplus results'!$1:$1048576,ROW(),FALSE)</f>
        <v>0</v>
      </c>
      <c r="AC1378" s="580">
        <f>HLOOKUP("*"&amp;'Output annual'!$AC$2&amp;'Output annual'!$AD$2&amp;"*FangerPMV(Hourly)",'Eplus results'!$1:$1048576,ROW(),FALSE)</f>
        <v>0</v>
      </c>
      <c r="AD1378" s="580">
        <f t="shared" si="141"/>
        <v>5</v>
      </c>
      <c r="AE1378" s="580">
        <f t="shared" si="142"/>
        <v>2.5</v>
      </c>
      <c r="AF1378" s="580">
        <f t="shared" si="143"/>
        <v>2.5</v>
      </c>
      <c r="AG1378" s="580">
        <f t="shared" si="144"/>
        <v>0</v>
      </c>
      <c r="AH1378" s="580">
        <f t="shared" si="145"/>
        <v>0</v>
      </c>
    </row>
    <row r="1379" spans="28:34">
      <c r="AB1379" s="580">
        <f>HLOOKUP("*"&amp;'Output annual'!$AC$2&amp;'Output annual'!$AD$2&amp;"*Zone People Number Of Occupants [](Hourly)",'Eplus results'!$1:$1048576,ROW(),FALSE)</f>
        <v>0</v>
      </c>
      <c r="AC1379" s="580">
        <f>HLOOKUP("*"&amp;'Output annual'!$AC$2&amp;'Output annual'!$AD$2&amp;"*FangerPMV(Hourly)",'Eplus results'!$1:$1048576,ROW(),FALSE)</f>
        <v>0</v>
      </c>
      <c r="AD1379" s="580">
        <f t="shared" si="141"/>
        <v>5</v>
      </c>
      <c r="AE1379" s="580">
        <f t="shared" si="142"/>
        <v>2.5</v>
      </c>
      <c r="AF1379" s="580">
        <f t="shared" si="143"/>
        <v>2.5</v>
      </c>
      <c r="AG1379" s="580">
        <f t="shared" si="144"/>
        <v>0</v>
      </c>
      <c r="AH1379" s="580">
        <f t="shared" si="145"/>
        <v>0</v>
      </c>
    </row>
    <row r="1380" spans="28:34">
      <c r="AB1380" s="580">
        <f>HLOOKUP("*"&amp;'Output annual'!$AC$2&amp;'Output annual'!$AD$2&amp;"*Zone People Number Of Occupants [](Hourly)",'Eplus results'!$1:$1048576,ROW(),FALSE)</f>
        <v>0</v>
      </c>
      <c r="AC1380" s="580">
        <f>HLOOKUP("*"&amp;'Output annual'!$AC$2&amp;'Output annual'!$AD$2&amp;"*FangerPMV(Hourly)",'Eplus results'!$1:$1048576,ROW(),FALSE)</f>
        <v>0</v>
      </c>
      <c r="AD1380" s="580">
        <f t="shared" si="141"/>
        <v>5</v>
      </c>
      <c r="AE1380" s="580">
        <f t="shared" si="142"/>
        <v>2.5</v>
      </c>
      <c r="AF1380" s="580">
        <f t="shared" si="143"/>
        <v>2.5</v>
      </c>
      <c r="AG1380" s="580">
        <f t="shared" si="144"/>
        <v>0</v>
      </c>
      <c r="AH1380" s="580">
        <f t="shared" si="145"/>
        <v>0</v>
      </c>
    </row>
    <row r="1381" spans="28:34">
      <c r="AB1381" s="580">
        <f>HLOOKUP("*"&amp;'Output annual'!$AC$2&amp;'Output annual'!$AD$2&amp;"*Zone People Number Of Occupants [](Hourly)",'Eplus results'!$1:$1048576,ROW(),FALSE)</f>
        <v>0</v>
      </c>
      <c r="AC1381" s="580">
        <f>HLOOKUP("*"&amp;'Output annual'!$AC$2&amp;'Output annual'!$AD$2&amp;"*FangerPMV(Hourly)",'Eplus results'!$1:$1048576,ROW(),FALSE)</f>
        <v>0</v>
      </c>
      <c r="AD1381" s="580">
        <f t="shared" si="141"/>
        <v>5</v>
      </c>
      <c r="AE1381" s="580">
        <f t="shared" si="142"/>
        <v>2.5</v>
      </c>
      <c r="AF1381" s="580">
        <f t="shared" si="143"/>
        <v>2.5</v>
      </c>
      <c r="AG1381" s="580">
        <f t="shared" si="144"/>
        <v>0</v>
      </c>
      <c r="AH1381" s="580">
        <f t="shared" si="145"/>
        <v>0</v>
      </c>
    </row>
    <row r="1382" spans="28:34">
      <c r="AB1382" s="580">
        <f>HLOOKUP("*"&amp;'Output annual'!$AC$2&amp;'Output annual'!$AD$2&amp;"*Zone People Number Of Occupants [](Hourly)",'Eplus results'!$1:$1048576,ROW(),FALSE)</f>
        <v>0</v>
      </c>
      <c r="AC1382" s="580">
        <f>HLOOKUP("*"&amp;'Output annual'!$AC$2&amp;'Output annual'!$AD$2&amp;"*FangerPMV(Hourly)",'Eplus results'!$1:$1048576,ROW(),FALSE)</f>
        <v>0</v>
      </c>
      <c r="AD1382" s="580">
        <f t="shared" si="141"/>
        <v>5</v>
      </c>
      <c r="AE1382" s="580">
        <f t="shared" si="142"/>
        <v>2.5</v>
      </c>
      <c r="AF1382" s="580">
        <f t="shared" si="143"/>
        <v>2.5</v>
      </c>
      <c r="AG1382" s="580">
        <f t="shared" si="144"/>
        <v>0</v>
      </c>
      <c r="AH1382" s="580">
        <f t="shared" si="145"/>
        <v>0</v>
      </c>
    </row>
    <row r="1383" spans="28:34">
      <c r="AB1383" s="580">
        <f>HLOOKUP("*"&amp;'Output annual'!$AC$2&amp;'Output annual'!$AD$2&amp;"*Zone People Number Of Occupants [](Hourly)",'Eplus results'!$1:$1048576,ROW(),FALSE)</f>
        <v>0</v>
      </c>
      <c r="AC1383" s="580">
        <f>HLOOKUP("*"&amp;'Output annual'!$AC$2&amp;'Output annual'!$AD$2&amp;"*FangerPMV(Hourly)",'Eplus results'!$1:$1048576,ROW(),FALSE)</f>
        <v>0</v>
      </c>
      <c r="AD1383" s="580">
        <f t="shared" si="141"/>
        <v>5</v>
      </c>
      <c r="AE1383" s="580">
        <f t="shared" si="142"/>
        <v>2.5</v>
      </c>
      <c r="AF1383" s="580">
        <f t="shared" si="143"/>
        <v>2.5</v>
      </c>
      <c r="AG1383" s="580">
        <f t="shared" si="144"/>
        <v>0</v>
      </c>
      <c r="AH1383" s="580">
        <f t="shared" si="145"/>
        <v>0</v>
      </c>
    </row>
    <row r="1384" spans="28:34">
      <c r="AB1384" s="580">
        <f>HLOOKUP("*"&amp;'Output annual'!$AC$2&amp;'Output annual'!$AD$2&amp;"*Zone People Number Of Occupants [](Hourly)",'Eplus results'!$1:$1048576,ROW(),FALSE)</f>
        <v>0</v>
      </c>
      <c r="AC1384" s="580">
        <f>HLOOKUP("*"&amp;'Output annual'!$AC$2&amp;'Output annual'!$AD$2&amp;"*FangerPMV(Hourly)",'Eplus results'!$1:$1048576,ROW(),FALSE)</f>
        <v>0</v>
      </c>
      <c r="AD1384" s="580">
        <f t="shared" si="141"/>
        <v>5</v>
      </c>
      <c r="AE1384" s="580">
        <f t="shared" si="142"/>
        <v>2.5</v>
      </c>
      <c r="AF1384" s="580">
        <f t="shared" si="143"/>
        <v>2.5</v>
      </c>
      <c r="AG1384" s="580">
        <f t="shared" si="144"/>
        <v>0</v>
      </c>
      <c r="AH1384" s="580">
        <f t="shared" si="145"/>
        <v>0</v>
      </c>
    </row>
    <row r="1385" spans="28:34">
      <c r="AB1385" s="580">
        <f>HLOOKUP("*"&amp;'Output annual'!$AC$2&amp;'Output annual'!$AD$2&amp;"*Zone People Number Of Occupants [](Hourly)",'Eplus results'!$1:$1048576,ROW(),FALSE)</f>
        <v>0</v>
      </c>
      <c r="AC1385" s="580">
        <f>HLOOKUP("*"&amp;'Output annual'!$AC$2&amp;'Output annual'!$AD$2&amp;"*FangerPMV(Hourly)",'Eplus results'!$1:$1048576,ROW(),FALSE)</f>
        <v>0</v>
      </c>
      <c r="AD1385" s="580">
        <f t="shared" si="141"/>
        <v>5</v>
      </c>
      <c r="AE1385" s="580">
        <f t="shared" si="142"/>
        <v>2.5</v>
      </c>
      <c r="AF1385" s="580">
        <f t="shared" si="143"/>
        <v>2.5</v>
      </c>
      <c r="AG1385" s="580">
        <f t="shared" si="144"/>
        <v>0</v>
      </c>
      <c r="AH1385" s="580">
        <f t="shared" si="145"/>
        <v>0</v>
      </c>
    </row>
    <row r="1386" spans="28:34">
      <c r="AB1386" s="580">
        <f>HLOOKUP("*"&amp;'Output annual'!$AC$2&amp;'Output annual'!$AD$2&amp;"*Zone People Number Of Occupants [](Hourly)",'Eplus results'!$1:$1048576,ROW(),FALSE)</f>
        <v>0</v>
      </c>
      <c r="AC1386" s="580">
        <f>HLOOKUP("*"&amp;'Output annual'!$AC$2&amp;'Output annual'!$AD$2&amp;"*FangerPMV(Hourly)",'Eplus results'!$1:$1048576,ROW(),FALSE)</f>
        <v>0</v>
      </c>
      <c r="AD1386" s="580">
        <f t="shared" si="141"/>
        <v>5</v>
      </c>
      <c r="AE1386" s="580">
        <f t="shared" si="142"/>
        <v>2.5</v>
      </c>
      <c r="AF1386" s="580">
        <f t="shared" si="143"/>
        <v>2.5</v>
      </c>
      <c r="AG1386" s="580">
        <f t="shared" si="144"/>
        <v>0</v>
      </c>
      <c r="AH1386" s="580">
        <f t="shared" si="145"/>
        <v>0</v>
      </c>
    </row>
    <row r="1387" spans="28:34">
      <c r="AB1387" s="580">
        <f>HLOOKUP("*"&amp;'Output annual'!$AC$2&amp;'Output annual'!$AD$2&amp;"*Zone People Number Of Occupants [](Hourly)",'Eplus results'!$1:$1048576,ROW(),FALSE)</f>
        <v>0</v>
      </c>
      <c r="AC1387" s="580">
        <f>HLOOKUP("*"&amp;'Output annual'!$AC$2&amp;'Output annual'!$AD$2&amp;"*FangerPMV(Hourly)",'Eplus results'!$1:$1048576,ROW(),FALSE)</f>
        <v>0</v>
      </c>
      <c r="AD1387" s="580">
        <f t="shared" si="141"/>
        <v>5</v>
      </c>
      <c r="AE1387" s="580">
        <f t="shared" si="142"/>
        <v>2.5</v>
      </c>
      <c r="AF1387" s="580">
        <f t="shared" si="143"/>
        <v>2.5</v>
      </c>
      <c r="AG1387" s="580">
        <f t="shared" si="144"/>
        <v>0</v>
      </c>
      <c r="AH1387" s="580">
        <f t="shared" si="145"/>
        <v>0</v>
      </c>
    </row>
    <row r="1388" spans="28:34">
      <c r="AB1388" s="580">
        <f>HLOOKUP("*"&amp;'Output annual'!$AC$2&amp;'Output annual'!$AD$2&amp;"*Zone People Number Of Occupants [](Hourly)",'Eplus results'!$1:$1048576,ROW(),FALSE)</f>
        <v>0</v>
      </c>
      <c r="AC1388" s="580">
        <f>HLOOKUP("*"&amp;'Output annual'!$AC$2&amp;'Output annual'!$AD$2&amp;"*FangerPMV(Hourly)",'Eplus results'!$1:$1048576,ROW(),FALSE)</f>
        <v>0</v>
      </c>
      <c r="AD1388" s="580">
        <f t="shared" si="141"/>
        <v>5</v>
      </c>
      <c r="AE1388" s="580">
        <f t="shared" si="142"/>
        <v>2.5</v>
      </c>
      <c r="AF1388" s="580">
        <f t="shared" si="143"/>
        <v>2.5</v>
      </c>
      <c r="AG1388" s="580">
        <f t="shared" si="144"/>
        <v>0</v>
      </c>
      <c r="AH1388" s="580">
        <f t="shared" si="145"/>
        <v>0</v>
      </c>
    </row>
    <row r="1389" spans="28:34">
      <c r="AB1389" s="580">
        <f>HLOOKUP("*"&amp;'Output annual'!$AC$2&amp;'Output annual'!$AD$2&amp;"*Zone People Number Of Occupants [](Hourly)",'Eplus results'!$1:$1048576,ROW(),FALSE)</f>
        <v>0</v>
      </c>
      <c r="AC1389" s="580">
        <f>HLOOKUP("*"&amp;'Output annual'!$AC$2&amp;'Output annual'!$AD$2&amp;"*FangerPMV(Hourly)",'Eplus results'!$1:$1048576,ROW(),FALSE)</f>
        <v>0</v>
      </c>
      <c r="AD1389" s="580">
        <f t="shared" si="141"/>
        <v>5</v>
      </c>
      <c r="AE1389" s="580">
        <f t="shared" si="142"/>
        <v>2.5</v>
      </c>
      <c r="AF1389" s="580">
        <f t="shared" si="143"/>
        <v>2.5</v>
      </c>
      <c r="AG1389" s="580">
        <f t="shared" si="144"/>
        <v>0</v>
      </c>
      <c r="AH1389" s="580">
        <f t="shared" si="145"/>
        <v>0</v>
      </c>
    </row>
    <row r="1390" spans="28:34">
      <c r="AB1390" s="580">
        <f>HLOOKUP("*"&amp;'Output annual'!$AC$2&amp;'Output annual'!$AD$2&amp;"*Zone People Number Of Occupants [](Hourly)",'Eplus results'!$1:$1048576,ROW(),FALSE)</f>
        <v>0</v>
      </c>
      <c r="AC1390" s="580">
        <f>HLOOKUP("*"&amp;'Output annual'!$AC$2&amp;'Output annual'!$AD$2&amp;"*FangerPMV(Hourly)",'Eplus results'!$1:$1048576,ROW(),FALSE)</f>
        <v>0</v>
      </c>
      <c r="AD1390" s="580">
        <f t="shared" si="141"/>
        <v>5</v>
      </c>
      <c r="AE1390" s="580">
        <f t="shared" si="142"/>
        <v>2.5</v>
      </c>
      <c r="AF1390" s="580">
        <f t="shared" si="143"/>
        <v>2.5</v>
      </c>
      <c r="AG1390" s="580">
        <f t="shared" si="144"/>
        <v>0</v>
      </c>
      <c r="AH1390" s="580">
        <f t="shared" si="145"/>
        <v>0</v>
      </c>
    </row>
    <row r="1391" spans="28:34">
      <c r="AB1391" s="580">
        <f>HLOOKUP("*"&amp;'Output annual'!$AC$2&amp;'Output annual'!$AD$2&amp;"*Zone People Number Of Occupants [](Hourly)",'Eplus results'!$1:$1048576,ROW(),FALSE)</f>
        <v>0</v>
      </c>
      <c r="AC1391" s="580">
        <f>HLOOKUP("*"&amp;'Output annual'!$AC$2&amp;'Output annual'!$AD$2&amp;"*FangerPMV(Hourly)",'Eplus results'!$1:$1048576,ROW(),FALSE)</f>
        <v>0</v>
      </c>
      <c r="AD1391" s="580">
        <f t="shared" si="141"/>
        <v>5</v>
      </c>
      <c r="AE1391" s="580">
        <f t="shared" si="142"/>
        <v>2.5</v>
      </c>
      <c r="AF1391" s="580">
        <f t="shared" si="143"/>
        <v>2.5</v>
      </c>
      <c r="AG1391" s="580">
        <f t="shared" si="144"/>
        <v>0</v>
      </c>
      <c r="AH1391" s="580">
        <f t="shared" si="145"/>
        <v>0</v>
      </c>
    </row>
    <row r="1392" spans="28:34">
      <c r="AB1392" s="580">
        <f>HLOOKUP("*"&amp;'Output annual'!$AC$2&amp;'Output annual'!$AD$2&amp;"*Zone People Number Of Occupants [](Hourly)",'Eplus results'!$1:$1048576,ROW(),FALSE)</f>
        <v>0</v>
      </c>
      <c r="AC1392" s="580">
        <f>HLOOKUP("*"&amp;'Output annual'!$AC$2&amp;'Output annual'!$AD$2&amp;"*FangerPMV(Hourly)",'Eplus results'!$1:$1048576,ROW(),FALSE)</f>
        <v>0</v>
      </c>
      <c r="AD1392" s="580">
        <f t="shared" si="141"/>
        <v>5</v>
      </c>
      <c r="AE1392" s="580">
        <f t="shared" si="142"/>
        <v>2.5</v>
      </c>
      <c r="AF1392" s="580">
        <f t="shared" si="143"/>
        <v>2.5</v>
      </c>
      <c r="AG1392" s="580">
        <f t="shared" si="144"/>
        <v>0</v>
      </c>
      <c r="AH1392" s="580">
        <f t="shared" si="145"/>
        <v>0</v>
      </c>
    </row>
    <row r="1393" spans="28:34">
      <c r="AB1393" s="580">
        <f>HLOOKUP("*"&amp;'Output annual'!$AC$2&amp;'Output annual'!$AD$2&amp;"*Zone People Number Of Occupants [](Hourly)",'Eplus results'!$1:$1048576,ROW(),FALSE)</f>
        <v>0</v>
      </c>
      <c r="AC1393" s="580">
        <f>HLOOKUP("*"&amp;'Output annual'!$AC$2&amp;'Output annual'!$AD$2&amp;"*FangerPMV(Hourly)",'Eplus results'!$1:$1048576,ROW(),FALSE)</f>
        <v>0</v>
      </c>
      <c r="AD1393" s="580">
        <f t="shared" si="141"/>
        <v>5</v>
      </c>
      <c r="AE1393" s="580">
        <f t="shared" si="142"/>
        <v>2.5</v>
      </c>
      <c r="AF1393" s="580">
        <f t="shared" si="143"/>
        <v>2.5</v>
      </c>
      <c r="AG1393" s="580">
        <f t="shared" si="144"/>
        <v>0</v>
      </c>
      <c r="AH1393" s="580">
        <f t="shared" si="145"/>
        <v>0</v>
      </c>
    </row>
    <row r="1394" spans="28:34">
      <c r="AB1394" s="580">
        <f>HLOOKUP("*"&amp;'Output annual'!$AC$2&amp;'Output annual'!$AD$2&amp;"*Zone People Number Of Occupants [](Hourly)",'Eplus results'!$1:$1048576,ROW(),FALSE)</f>
        <v>0</v>
      </c>
      <c r="AC1394" s="580">
        <f>HLOOKUP("*"&amp;'Output annual'!$AC$2&amp;'Output annual'!$AD$2&amp;"*FangerPMV(Hourly)",'Eplus results'!$1:$1048576,ROW(),FALSE)</f>
        <v>0</v>
      </c>
      <c r="AD1394" s="580">
        <f t="shared" si="141"/>
        <v>5</v>
      </c>
      <c r="AE1394" s="580">
        <f t="shared" si="142"/>
        <v>2.5</v>
      </c>
      <c r="AF1394" s="580">
        <f t="shared" si="143"/>
        <v>2.5</v>
      </c>
      <c r="AG1394" s="580">
        <f t="shared" si="144"/>
        <v>0</v>
      </c>
      <c r="AH1394" s="580">
        <f t="shared" si="145"/>
        <v>0</v>
      </c>
    </row>
    <row r="1395" spans="28:34">
      <c r="AB1395" s="580">
        <f>HLOOKUP("*"&amp;'Output annual'!$AC$2&amp;'Output annual'!$AD$2&amp;"*Zone People Number Of Occupants [](Hourly)",'Eplus results'!$1:$1048576,ROW(),FALSE)</f>
        <v>0</v>
      </c>
      <c r="AC1395" s="580">
        <f>HLOOKUP("*"&amp;'Output annual'!$AC$2&amp;'Output annual'!$AD$2&amp;"*FangerPMV(Hourly)",'Eplus results'!$1:$1048576,ROW(),FALSE)</f>
        <v>0</v>
      </c>
      <c r="AD1395" s="580">
        <f t="shared" si="141"/>
        <v>5</v>
      </c>
      <c r="AE1395" s="580">
        <f t="shared" si="142"/>
        <v>2.5</v>
      </c>
      <c r="AF1395" s="580">
        <f t="shared" si="143"/>
        <v>2.5</v>
      </c>
      <c r="AG1395" s="580">
        <f t="shared" si="144"/>
        <v>0</v>
      </c>
      <c r="AH1395" s="580">
        <f t="shared" si="145"/>
        <v>0</v>
      </c>
    </row>
    <row r="1396" spans="28:34">
      <c r="AB1396" s="580">
        <f>HLOOKUP("*"&amp;'Output annual'!$AC$2&amp;'Output annual'!$AD$2&amp;"*Zone People Number Of Occupants [](Hourly)",'Eplus results'!$1:$1048576,ROW(),FALSE)</f>
        <v>0</v>
      </c>
      <c r="AC1396" s="580">
        <f>HLOOKUP("*"&amp;'Output annual'!$AC$2&amp;'Output annual'!$AD$2&amp;"*FangerPMV(Hourly)",'Eplus results'!$1:$1048576,ROW(),FALSE)</f>
        <v>0</v>
      </c>
      <c r="AD1396" s="580">
        <f t="shared" si="141"/>
        <v>5</v>
      </c>
      <c r="AE1396" s="580">
        <f t="shared" si="142"/>
        <v>2.5</v>
      </c>
      <c r="AF1396" s="580">
        <f t="shared" si="143"/>
        <v>2.5</v>
      </c>
      <c r="AG1396" s="580">
        <f t="shared" si="144"/>
        <v>0</v>
      </c>
      <c r="AH1396" s="580">
        <f t="shared" si="145"/>
        <v>0</v>
      </c>
    </row>
    <row r="1397" spans="28:34">
      <c r="AB1397" s="580">
        <f>HLOOKUP("*"&amp;'Output annual'!$AC$2&amp;'Output annual'!$AD$2&amp;"*Zone People Number Of Occupants [](Hourly)",'Eplus results'!$1:$1048576,ROW(),FALSE)</f>
        <v>0</v>
      </c>
      <c r="AC1397" s="580">
        <f>HLOOKUP("*"&amp;'Output annual'!$AC$2&amp;'Output annual'!$AD$2&amp;"*FangerPMV(Hourly)",'Eplus results'!$1:$1048576,ROW(),FALSE)</f>
        <v>0</v>
      </c>
      <c r="AD1397" s="580">
        <f t="shared" si="141"/>
        <v>5</v>
      </c>
      <c r="AE1397" s="580">
        <f t="shared" si="142"/>
        <v>2.5</v>
      </c>
      <c r="AF1397" s="580">
        <f t="shared" si="143"/>
        <v>2.5</v>
      </c>
      <c r="AG1397" s="580">
        <f t="shared" si="144"/>
        <v>0</v>
      </c>
      <c r="AH1397" s="580">
        <f t="shared" si="145"/>
        <v>0</v>
      </c>
    </row>
    <row r="1398" spans="28:34">
      <c r="AB1398" s="580">
        <f>HLOOKUP("*"&amp;'Output annual'!$AC$2&amp;'Output annual'!$AD$2&amp;"*Zone People Number Of Occupants [](Hourly)",'Eplus results'!$1:$1048576,ROW(),FALSE)</f>
        <v>0</v>
      </c>
      <c r="AC1398" s="580">
        <f>HLOOKUP("*"&amp;'Output annual'!$AC$2&amp;'Output annual'!$AD$2&amp;"*FangerPMV(Hourly)",'Eplus results'!$1:$1048576,ROW(),FALSE)</f>
        <v>0</v>
      </c>
      <c r="AD1398" s="580">
        <f t="shared" si="141"/>
        <v>5</v>
      </c>
      <c r="AE1398" s="580">
        <f t="shared" si="142"/>
        <v>2.5</v>
      </c>
      <c r="AF1398" s="580">
        <f t="shared" si="143"/>
        <v>2.5</v>
      </c>
      <c r="AG1398" s="580">
        <f t="shared" si="144"/>
        <v>0</v>
      </c>
      <c r="AH1398" s="580">
        <f t="shared" si="145"/>
        <v>0</v>
      </c>
    </row>
    <row r="1399" spans="28:34">
      <c r="AB1399" s="580">
        <f>HLOOKUP("*"&amp;'Output annual'!$AC$2&amp;'Output annual'!$AD$2&amp;"*Zone People Number Of Occupants [](Hourly)",'Eplus results'!$1:$1048576,ROW(),FALSE)</f>
        <v>0</v>
      </c>
      <c r="AC1399" s="580">
        <f>HLOOKUP("*"&amp;'Output annual'!$AC$2&amp;'Output annual'!$AD$2&amp;"*FangerPMV(Hourly)",'Eplus results'!$1:$1048576,ROW(),FALSE)</f>
        <v>0</v>
      </c>
      <c r="AD1399" s="580">
        <f t="shared" si="141"/>
        <v>5</v>
      </c>
      <c r="AE1399" s="580">
        <f t="shared" si="142"/>
        <v>2.5</v>
      </c>
      <c r="AF1399" s="580">
        <f t="shared" si="143"/>
        <v>2.5</v>
      </c>
      <c r="AG1399" s="580">
        <f t="shared" si="144"/>
        <v>0</v>
      </c>
      <c r="AH1399" s="580">
        <f t="shared" si="145"/>
        <v>0</v>
      </c>
    </row>
    <row r="1400" spans="28:34">
      <c r="AB1400" s="580">
        <f>HLOOKUP("*"&amp;'Output annual'!$AC$2&amp;'Output annual'!$AD$2&amp;"*Zone People Number Of Occupants [](Hourly)",'Eplus results'!$1:$1048576,ROW(),FALSE)</f>
        <v>0</v>
      </c>
      <c r="AC1400" s="580">
        <f>HLOOKUP("*"&amp;'Output annual'!$AC$2&amp;'Output annual'!$AD$2&amp;"*FangerPMV(Hourly)",'Eplus results'!$1:$1048576,ROW(),FALSE)</f>
        <v>0</v>
      </c>
      <c r="AD1400" s="580">
        <f t="shared" si="141"/>
        <v>5</v>
      </c>
      <c r="AE1400" s="580">
        <f t="shared" si="142"/>
        <v>2.5</v>
      </c>
      <c r="AF1400" s="580">
        <f t="shared" si="143"/>
        <v>2.5</v>
      </c>
      <c r="AG1400" s="580">
        <f t="shared" si="144"/>
        <v>0</v>
      </c>
      <c r="AH1400" s="580">
        <f t="shared" si="145"/>
        <v>0</v>
      </c>
    </row>
    <row r="1401" spans="28:34">
      <c r="AB1401" s="580">
        <f>HLOOKUP("*"&amp;'Output annual'!$AC$2&amp;'Output annual'!$AD$2&amp;"*Zone People Number Of Occupants [](Hourly)",'Eplus results'!$1:$1048576,ROW(),FALSE)</f>
        <v>0</v>
      </c>
      <c r="AC1401" s="580">
        <f>HLOOKUP("*"&amp;'Output annual'!$AC$2&amp;'Output annual'!$AD$2&amp;"*FangerPMV(Hourly)",'Eplus results'!$1:$1048576,ROW(),FALSE)</f>
        <v>0</v>
      </c>
      <c r="AD1401" s="580">
        <f t="shared" si="141"/>
        <v>5</v>
      </c>
      <c r="AE1401" s="580">
        <f t="shared" si="142"/>
        <v>2.5</v>
      </c>
      <c r="AF1401" s="580">
        <f t="shared" si="143"/>
        <v>2.5</v>
      </c>
      <c r="AG1401" s="580">
        <f t="shared" si="144"/>
        <v>0</v>
      </c>
      <c r="AH1401" s="580">
        <f t="shared" si="145"/>
        <v>0</v>
      </c>
    </row>
    <row r="1402" spans="28:34">
      <c r="AB1402" s="580">
        <f>HLOOKUP("*"&amp;'Output annual'!$AC$2&amp;'Output annual'!$AD$2&amp;"*Zone People Number Of Occupants [](Hourly)",'Eplus results'!$1:$1048576,ROW(),FALSE)</f>
        <v>0</v>
      </c>
      <c r="AC1402" s="580">
        <f>HLOOKUP("*"&amp;'Output annual'!$AC$2&amp;'Output annual'!$AD$2&amp;"*FangerPMV(Hourly)",'Eplus results'!$1:$1048576,ROW(),FALSE)</f>
        <v>0</v>
      </c>
      <c r="AD1402" s="580">
        <f t="shared" si="141"/>
        <v>5</v>
      </c>
      <c r="AE1402" s="580">
        <f t="shared" si="142"/>
        <v>2.5</v>
      </c>
      <c r="AF1402" s="580">
        <f t="shared" si="143"/>
        <v>2.5</v>
      </c>
      <c r="AG1402" s="580">
        <f t="shared" si="144"/>
        <v>0</v>
      </c>
      <c r="AH1402" s="580">
        <f t="shared" si="145"/>
        <v>0</v>
      </c>
    </row>
    <row r="1403" spans="28:34">
      <c r="AB1403" s="580">
        <f>HLOOKUP("*"&amp;'Output annual'!$AC$2&amp;'Output annual'!$AD$2&amp;"*Zone People Number Of Occupants [](Hourly)",'Eplus results'!$1:$1048576,ROW(),FALSE)</f>
        <v>0</v>
      </c>
      <c r="AC1403" s="580">
        <f>HLOOKUP("*"&amp;'Output annual'!$AC$2&amp;'Output annual'!$AD$2&amp;"*FangerPMV(Hourly)",'Eplus results'!$1:$1048576,ROW(),FALSE)</f>
        <v>0</v>
      </c>
      <c r="AD1403" s="580">
        <f t="shared" si="141"/>
        <v>5</v>
      </c>
      <c r="AE1403" s="580">
        <f t="shared" si="142"/>
        <v>2.5</v>
      </c>
      <c r="AF1403" s="580">
        <f t="shared" si="143"/>
        <v>2.5</v>
      </c>
      <c r="AG1403" s="580">
        <f t="shared" si="144"/>
        <v>0</v>
      </c>
      <c r="AH1403" s="580">
        <f t="shared" si="145"/>
        <v>0</v>
      </c>
    </row>
    <row r="1404" spans="28:34">
      <c r="AB1404" s="580">
        <f>HLOOKUP("*"&amp;'Output annual'!$AC$2&amp;'Output annual'!$AD$2&amp;"*Zone People Number Of Occupants [](Hourly)",'Eplus results'!$1:$1048576,ROW(),FALSE)</f>
        <v>0</v>
      </c>
      <c r="AC1404" s="580">
        <f>HLOOKUP("*"&amp;'Output annual'!$AC$2&amp;'Output annual'!$AD$2&amp;"*FangerPMV(Hourly)",'Eplus results'!$1:$1048576,ROW(),FALSE)</f>
        <v>0</v>
      </c>
      <c r="AD1404" s="580">
        <f t="shared" si="141"/>
        <v>5</v>
      </c>
      <c r="AE1404" s="580">
        <f t="shared" si="142"/>
        <v>2.5</v>
      </c>
      <c r="AF1404" s="580">
        <f t="shared" si="143"/>
        <v>2.5</v>
      </c>
      <c r="AG1404" s="580">
        <f t="shared" si="144"/>
        <v>0</v>
      </c>
      <c r="AH1404" s="580">
        <f t="shared" si="145"/>
        <v>0</v>
      </c>
    </row>
    <row r="1405" spans="28:34">
      <c r="AB1405" s="580">
        <f>HLOOKUP("*"&amp;'Output annual'!$AC$2&amp;'Output annual'!$AD$2&amp;"*Zone People Number Of Occupants [](Hourly)",'Eplus results'!$1:$1048576,ROW(),FALSE)</f>
        <v>0</v>
      </c>
      <c r="AC1405" s="580">
        <f>HLOOKUP("*"&amp;'Output annual'!$AC$2&amp;'Output annual'!$AD$2&amp;"*FangerPMV(Hourly)",'Eplus results'!$1:$1048576,ROW(),FALSE)</f>
        <v>0</v>
      </c>
      <c r="AD1405" s="580">
        <f t="shared" si="141"/>
        <v>5</v>
      </c>
      <c r="AE1405" s="580">
        <f t="shared" si="142"/>
        <v>2.5</v>
      </c>
      <c r="AF1405" s="580">
        <f t="shared" si="143"/>
        <v>2.5</v>
      </c>
      <c r="AG1405" s="580">
        <f t="shared" si="144"/>
        <v>0</v>
      </c>
      <c r="AH1405" s="580">
        <f t="shared" si="145"/>
        <v>0</v>
      </c>
    </row>
    <row r="1406" spans="28:34">
      <c r="AB1406" s="580">
        <f>HLOOKUP("*"&amp;'Output annual'!$AC$2&amp;'Output annual'!$AD$2&amp;"*Zone People Number Of Occupants [](Hourly)",'Eplus results'!$1:$1048576,ROW(),FALSE)</f>
        <v>0</v>
      </c>
      <c r="AC1406" s="580">
        <f>HLOOKUP("*"&amp;'Output annual'!$AC$2&amp;'Output annual'!$AD$2&amp;"*FangerPMV(Hourly)",'Eplus results'!$1:$1048576,ROW(),FALSE)</f>
        <v>0</v>
      </c>
      <c r="AD1406" s="580">
        <f t="shared" si="141"/>
        <v>5</v>
      </c>
      <c r="AE1406" s="580">
        <f t="shared" si="142"/>
        <v>2.5</v>
      </c>
      <c r="AF1406" s="580">
        <f t="shared" si="143"/>
        <v>2.5</v>
      </c>
      <c r="AG1406" s="580">
        <f t="shared" si="144"/>
        <v>0</v>
      </c>
      <c r="AH1406" s="580">
        <f t="shared" si="145"/>
        <v>0</v>
      </c>
    </row>
    <row r="1407" spans="28:34">
      <c r="AB1407" s="580">
        <f>HLOOKUP("*"&amp;'Output annual'!$AC$2&amp;'Output annual'!$AD$2&amp;"*Zone People Number Of Occupants [](Hourly)",'Eplus results'!$1:$1048576,ROW(),FALSE)</f>
        <v>0</v>
      </c>
      <c r="AC1407" s="580">
        <f>HLOOKUP("*"&amp;'Output annual'!$AC$2&amp;'Output annual'!$AD$2&amp;"*FangerPMV(Hourly)",'Eplus results'!$1:$1048576,ROW(),FALSE)</f>
        <v>0</v>
      </c>
      <c r="AD1407" s="580">
        <f t="shared" si="141"/>
        <v>5</v>
      </c>
      <c r="AE1407" s="580">
        <f t="shared" si="142"/>
        <v>2.5</v>
      </c>
      <c r="AF1407" s="580">
        <f t="shared" si="143"/>
        <v>2.5</v>
      </c>
      <c r="AG1407" s="580">
        <f t="shared" si="144"/>
        <v>0</v>
      </c>
      <c r="AH1407" s="580">
        <f t="shared" si="145"/>
        <v>0</v>
      </c>
    </row>
    <row r="1408" spans="28:34">
      <c r="AB1408" s="580">
        <f>HLOOKUP("*"&amp;'Output annual'!$AC$2&amp;'Output annual'!$AD$2&amp;"*Zone People Number Of Occupants [](Hourly)",'Eplus results'!$1:$1048576,ROW(),FALSE)</f>
        <v>0</v>
      </c>
      <c r="AC1408" s="580">
        <f>HLOOKUP("*"&amp;'Output annual'!$AC$2&amp;'Output annual'!$AD$2&amp;"*FangerPMV(Hourly)",'Eplus results'!$1:$1048576,ROW(),FALSE)</f>
        <v>0</v>
      </c>
      <c r="AD1408" s="580">
        <f t="shared" si="141"/>
        <v>5</v>
      </c>
      <c r="AE1408" s="580">
        <f t="shared" si="142"/>
        <v>2.5</v>
      </c>
      <c r="AF1408" s="580">
        <f t="shared" si="143"/>
        <v>2.5</v>
      </c>
      <c r="AG1408" s="580">
        <f t="shared" si="144"/>
        <v>0</v>
      </c>
      <c r="AH1408" s="580">
        <f t="shared" si="145"/>
        <v>0</v>
      </c>
    </row>
    <row r="1409" spans="28:34">
      <c r="AB1409" s="580">
        <f>HLOOKUP("*"&amp;'Output annual'!$AC$2&amp;'Output annual'!$AD$2&amp;"*Zone People Number Of Occupants [](Hourly)",'Eplus results'!$1:$1048576,ROW(),FALSE)</f>
        <v>0</v>
      </c>
      <c r="AC1409" s="580">
        <f>HLOOKUP("*"&amp;'Output annual'!$AC$2&amp;'Output annual'!$AD$2&amp;"*FangerPMV(Hourly)",'Eplus results'!$1:$1048576,ROW(),FALSE)</f>
        <v>0</v>
      </c>
      <c r="AD1409" s="580">
        <f t="shared" si="141"/>
        <v>5</v>
      </c>
      <c r="AE1409" s="580">
        <f t="shared" si="142"/>
        <v>2.5</v>
      </c>
      <c r="AF1409" s="580">
        <f t="shared" si="143"/>
        <v>2.5</v>
      </c>
      <c r="AG1409" s="580">
        <f t="shared" si="144"/>
        <v>0</v>
      </c>
      <c r="AH1409" s="580">
        <f t="shared" si="145"/>
        <v>0</v>
      </c>
    </row>
    <row r="1410" spans="28:34">
      <c r="AB1410" s="580">
        <f>HLOOKUP("*"&amp;'Output annual'!$AC$2&amp;'Output annual'!$AD$2&amp;"*Zone People Number Of Occupants [](Hourly)",'Eplus results'!$1:$1048576,ROW(),FALSE)</f>
        <v>0</v>
      </c>
      <c r="AC1410" s="580">
        <f>HLOOKUP("*"&amp;'Output annual'!$AC$2&amp;'Output annual'!$AD$2&amp;"*FangerPMV(Hourly)",'Eplus results'!$1:$1048576,ROW(),FALSE)</f>
        <v>0</v>
      </c>
      <c r="AD1410" s="580">
        <f t="shared" si="141"/>
        <v>5</v>
      </c>
      <c r="AE1410" s="580">
        <f t="shared" si="142"/>
        <v>2.5</v>
      </c>
      <c r="AF1410" s="580">
        <f t="shared" si="143"/>
        <v>2.5</v>
      </c>
      <c r="AG1410" s="580">
        <f t="shared" si="144"/>
        <v>0</v>
      </c>
      <c r="AH1410" s="580">
        <f t="shared" si="145"/>
        <v>0</v>
      </c>
    </row>
    <row r="1411" spans="28:34">
      <c r="AB1411" s="580">
        <f>HLOOKUP("*"&amp;'Output annual'!$AC$2&amp;'Output annual'!$AD$2&amp;"*Zone People Number Of Occupants [](Hourly)",'Eplus results'!$1:$1048576,ROW(),FALSE)</f>
        <v>0</v>
      </c>
      <c r="AC1411" s="580">
        <f>HLOOKUP("*"&amp;'Output annual'!$AC$2&amp;'Output annual'!$AD$2&amp;"*FangerPMV(Hourly)",'Eplus results'!$1:$1048576,ROW(),FALSE)</f>
        <v>0</v>
      </c>
      <c r="AD1411" s="580">
        <f t="shared" ref="AD1411:AD1474" si="146">100-95*EXP(-0.03353*AC1411^4-0.2179*AC1411^2)</f>
        <v>5</v>
      </c>
      <c r="AE1411" s="580">
        <f t="shared" ref="AE1411:AE1474" si="147">AD1411*(1/(1+EXP(-6.3*$AC1411)))</f>
        <v>2.5</v>
      </c>
      <c r="AF1411" s="580">
        <f t="shared" ref="AF1411:AF1474" si="148">(AD1411-AE1411)</f>
        <v>2.5</v>
      </c>
      <c r="AG1411" s="580">
        <f t="shared" ref="AG1411:AG1474" si="149">AE1411*AB1411</f>
        <v>0</v>
      </c>
      <c r="AH1411" s="580">
        <f t="shared" ref="AH1411:AH1474" si="150">AF1411*AB1411</f>
        <v>0</v>
      </c>
    </row>
    <row r="1412" spans="28:34">
      <c r="AB1412" s="580">
        <f>HLOOKUP("*"&amp;'Output annual'!$AC$2&amp;'Output annual'!$AD$2&amp;"*Zone People Number Of Occupants [](Hourly)",'Eplus results'!$1:$1048576,ROW(),FALSE)</f>
        <v>0</v>
      </c>
      <c r="AC1412" s="580">
        <f>HLOOKUP("*"&amp;'Output annual'!$AC$2&amp;'Output annual'!$AD$2&amp;"*FangerPMV(Hourly)",'Eplus results'!$1:$1048576,ROW(),FALSE)</f>
        <v>0</v>
      </c>
      <c r="AD1412" s="580">
        <f t="shared" si="146"/>
        <v>5</v>
      </c>
      <c r="AE1412" s="580">
        <f t="shared" si="147"/>
        <v>2.5</v>
      </c>
      <c r="AF1412" s="580">
        <f t="shared" si="148"/>
        <v>2.5</v>
      </c>
      <c r="AG1412" s="580">
        <f t="shared" si="149"/>
        <v>0</v>
      </c>
      <c r="AH1412" s="580">
        <f t="shared" si="150"/>
        <v>0</v>
      </c>
    </row>
    <row r="1413" spans="28:34">
      <c r="AB1413" s="580">
        <f>HLOOKUP("*"&amp;'Output annual'!$AC$2&amp;'Output annual'!$AD$2&amp;"*Zone People Number Of Occupants [](Hourly)",'Eplus results'!$1:$1048576,ROW(),FALSE)</f>
        <v>0</v>
      </c>
      <c r="AC1413" s="580">
        <f>HLOOKUP("*"&amp;'Output annual'!$AC$2&amp;'Output annual'!$AD$2&amp;"*FangerPMV(Hourly)",'Eplus results'!$1:$1048576,ROW(),FALSE)</f>
        <v>0</v>
      </c>
      <c r="AD1413" s="580">
        <f t="shared" si="146"/>
        <v>5</v>
      </c>
      <c r="AE1413" s="580">
        <f t="shared" si="147"/>
        <v>2.5</v>
      </c>
      <c r="AF1413" s="580">
        <f t="shared" si="148"/>
        <v>2.5</v>
      </c>
      <c r="AG1413" s="580">
        <f t="shared" si="149"/>
        <v>0</v>
      </c>
      <c r="AH1413" s="580">
        <f t="shared" si="150"/>
        <v>0</v>
      </c>
    </row>
    <row r="1414" spans="28:34">
      <c r="AB1414" s="580">
        <f>HLOOKUP("*"&amp;'Output annual'!$AC$2&amp;'Output annual'!$AD$2&amp;"*Zone People Number Of Occupants [](Hourly)",'Eplus results'!$1:$1048576,ROW(),FALSE)</f>
        <v>0</v>
      </c>
      <c r="AC1414" s="580">
        <f>HLOOKUP("*"&amp;'Output annual'!$AC$2&amp;'Output annual'!$AD$2&amp;"*FangerPMV(Hourly)",'Eplus results'!$1:$1048576,ROW(),FALSE)</f>
        <v>0</v>
      </c>
      <c r="AD1414" s="580">
        <f t="shared" si="146"/>
        <v>5</v>
      </c>
      <c r="AE1414" s="580">
        <f t="shared" si="147"/>
        <v>2.5</v>
      </c>
      <c r="AF1414" s="580">
        <f t="shared" si="148"/>
        <v>2.5</v>
      </c>
      <c r="AG1414" s="580">
        <f t="shared" si="149"/>
        <v>0</v>
      </c>
      <c r="AH1414" s="580">
        <f t="shared" si="150"/>
        <v>0</v>
      </c>
    </row>
    <row r="1415" spans="28:34">
      <c r="AB1415" s="580">
        <f>HLOOKUP("*"&amp;'Output annual'!$AC$2&amp;'Output annual'!$AD$2&amp;"*Zone People Number Of Occupants [](Hourly)",'Eplus results'!$1:$1048576,ROW(),FALSE)</f>
        <v>0</v>
      </c>
      <c r="AC1415" s="580">
        <f>HLOOKUP("*"&amp;'Output annual'!$AC$2&amp;'Output annual'!$AD$2&amp;"*FangerPMV(Hourly)",'Eplus results'!$1:$1048576,ROW(),FALSE)</f>
        <v>0</v>
      </c>
      <c r="AD1415" s="580">
        <f t="shared" si="146"/>
        <v>5</v>
      </c>
      <c r="AE1415" s="580">
        <f t="shared" si="147"/>
        <v>2.5</v>
      </c>
      <c r="AF1415" s="580">
        <f t="shared" si="148"/>
        <v>2.5</v>
      </c>
      <c r="AG1415" s="580">
        <f t="shared" si="149"/>
        <v>0</v>
      </c>
      <c r="AH1415" s="580">
        <f t="shared" si="150"/>
        <v>0</v>
      </c>
    </row>
    <row r="1416" spans="28:34">
      <c r="AB1416" s="580">
        <f>HLOOKUP("*"&amp;'Output annual'!$AC$2&amp;'Output annual'!$AD$2&amp;"*Zone People Number Of Occupants [](Hourly)",'Eplus results'!$1:$1048576,ROW(),FALSE)</f>
        <v>0</v>
      </c>
      <c r="AC1416" s="580">
        <f>HLOOKUP("*"&amp;'Output annual'!$AC$2&amp;'Output annual'!$AD$2&amp;"*FangerPMV(Hourly)",'Eplus results'!$1:$1048576,ROW(),FALSE)</f>
        <v>0</v>
      </c>
      <c r="AD1416" s="580">
        <f t="shared" si="146"/>
        <v>5</v>
      </c>
      <c r="AE1416" s="580">
        <f t="shared" si="147"/>
        <v>2.5</v>
      </c>
      <c r="AF1416" s="580">
        <f t="shared" si="148"/>
        <v>2.5</v>
      </c>
      <c r="AG1416" s="580">
        <f t="shared" si="149"/>
        <v>0</v>
      </c>
      <c r="AH1416" s="580">
        <f t="shared" si="150"/>
        <v>0</v>
      </c>
    </row>
    <row r="1417" spans="28:34">
      <c r="AB1417" s="580">
        <f>HLOOKUP("*"&amp;'Output annual'!$AC$2&amp;'Output annual'!$AD$2&amp;"*Zone People Number Of Occupants [](Hourly)",'Eplus results'!$1:$1048576,ROW(),FALSE)</f>
        <v>0</v>
      </c>
      <c r="AC1417" s="580">
        <f>HLOOKUP("*"&amp;'Output annual'!$AC$2&amp;'Output annual'!$AD$2&amp;"*FangerPMV(Hourly)",'Eplus results'!$1:$1048576,ROW(),FALSE)</f>
        <v>0</v>
      </c>
      <c r="AD1417" s="580">
        <f t="shared" si="146"/>
        <v>5</v>
      </c>
      <c r="AE1417" s="580">
        <f t="shared" si="147"/>
        <v>2.5</v>
      </c>
      <c r="AF1417" s="580">
        <f t="shared" si="148"/>
        <v>2.5</v>
      </c>
      <c r="AG1417" s="580">
        <f t="shared" si="149"/>
        <v>0</v>
      </c>
      <c r="AH1417" s="580">
        <f t="shared" si="150"/>
        <v>0</v>
      </c>
    </row>
    <row r="1418" spans="28:34">
      <c r="AB1418" s="580">
        <f>HLOOKUP("*"&amp;'Output annual'!$AC$2&amp;'Output annual'!$AD$2&amp;"*Zone People Number Of Occupants [](Hourly)",'Eplus results'!$1:$1048576,ROW(),FALSE)</f>
        <v>0</v>
      </c>
      <c r="AC1418" s="580">
        <f>HLOOKUP("*"&amp;'Output annual'!$AC$2&amp;'Output annual'!$AD$2&amp;"*FangerPMV(Hourly)",'Eplus results'!$1:$1048576,ROW(),FALSE)</f>
        <v>0</v>
      </c>
      <c r="AD1418" s="580">
        <f t="shared" si="146"/>
        <v>5</v>
      </c>
      <c r="AE1418" s="580">
        <f t="shared" si="147"/>
        <v>2.5</v>
      </c>
      <c r="AF1418" s="580">
        <f t="shared" si="148"/>
        <v>2.5</v>
      </c>
      <c r="AG1418" s="580">
        <f t="shared" si="149"/>
        <v>0</v>
      </c>
      <c r="AH1418" s="580">
        <f t="shared" si="150"/>
        <v>0</v>
      </c>
    </row>
    <row r="1419" spans="28:34">
      <c r="AB1419" s="580">
        <f>HLOOKUP("*"&amp;'Output annual'!$AC$2&amp;'Output annual'!$AD$2&amp;"*Zone People Number Of Occupants [](Hourly)",'Eplus results'!$1:$1048576,ROW(),FALSE)</f>
        <v>0</v>
      </c>
      <c r="AC1419" s="580">
        <f>HLOOKUP("*"&amp;'Output annual'!$AC$2&amp;'Output annual'!$AD$2&amp;"*FangerPMV(Hourly)",'Eplus results'!$1:$1048576,ROW(),FALSE)</f>
        <v>0</v>
      </c>
      <c r="AD1419" s="580">
        <f t="shared" si="146"/>
        <v>5</v>
      </c>
      <c r="AE1419" s="580">
        <f t="shared" si="147"/>
        <v>2.5</v>
      </c>
      <c r="AF1419" s="580">
        <f t="shared" si="148"/>
        <v>2.5</v>
      </c>
      <c r="AG1419" s="580">
        <f t="shared" si="149"/>
        <v>0</v>
      </c>
      <c r="AH1419" s="580">
        <f t="shared" si="150"/>
        <v>0</v>
      </c>
    </row>
    <row r="1420" spans="28:34">
      <c r="AB1420" s="580">
        <f>HLOOKUP("*"&amp;'Output annual'!$AC$2&amp;'Output annual'!$AD$2&amp;"*Zone People Number Of Occupants [](Hourly)",'Eplus results'!$1:$1048576,ROW(),FALSE)</f>
        <v>0</v>
      </c>
      <c r="AC1420" s="580">
        <f>HLOOKUP("*"&amp;'Output annual'!$AC$2&amp;'Output annual'!$AD$2&amp;"*FangerPMV(Hourly)",'Eplus results'!$1:$1048576,ROW(),FALSE)</f>
        <v>0</v>
      </c>
      <c r="AD1420" s="580">
        <f t="shared" si="146"/>
        <v>5</v>
      </c>
      <c r="AE1420" s="580">
        <f t="shared" si="147"/>
        <v>2.5</v>
      </c>
      <c r="AF1420" s="580">
        <f t="shared" si="148"/>
        <v>2.5</v>
      </c>
      <c r="AG1420" s="580">
        <f t="shared" si="149"/>
        <v>0</v>
      </c>
      <c r="AH1420" s="580">
        <f t="shared" si="150"/>
        <v>0</v>
      </c>
    </row>
    <row r="1421" spans="28:34">
      <c r="AB1421" s="580">
        <f>HLOOKUP("*"&amp;'Output annual'!$AC$2&amp;'Output annual'!$AD$2&amp;"*Zone People Number Of Occupants [](Hourly)",'Eplus results'!$1:$1048576,ROW(),FALSE)</f>
        <v>0</v>
      </c>
      <c r="AC1421" s="580">
        <f>HLOOKUP("*"&amp;'Output annual'!$AC$2&amp;'Output annual'!$AD$2&amp;"*FangerPMV(Hourly)",'Eplus results'!$1:$1048576,ROW(),FALSE)</f>
        <v>0</v>
      </c>
      <c r="AD1421" s="580">
        <f t="shared" si="146"/>
        <v>5</v>
      </c>
      <c r="AE1421" s="580">
        <f t="shared" si="147"/>
        <v>2.5</v>
      </c>
      <c r="AF1421" s="580">
        <f t="shared" si="148"/>
        <v>2.5</v>
      </c>
      <c r="AG1421" s="580">
        <f t="shared" si="149"/>
        <v>0</v>
      </c>
      <c r="AH1421" s="580">
        <f t="shared" si="150"/>
        <v>0</v>
      </c>
    </row>
    <row r="1422" spans="28:34">
      <c r="AB1422" s="580">
        <f>HLOOKUP("*"&amp;'Output annual'!$AC$2&amp;'Output annual'!$AD$2&amp;"*Zone People Number Of Occupants [](Hourly)",'Eplus results'!$1:$1048576,ROW(),FALSE)</f>
        <v>0</v>
      </c>
      <c r="AC1422" s="580">
        <f>HLOOKUP("*"&amp;'Output annual'!$AC$2&amp;'Output annual'!$AD$2&amp;"*FangerPMV(Hourly)",'Eplus results'!$1:$1048576,ROW(),FALSE)</f>
        <v>0</v>
      </c>
      <c r="AD1422" s="580">
        <f t="shared" si="146"/>
        <v>5</v>
      </c>
      <c r="AE1422" s="580">
        <f t="shared" si="147"/>
        <v>2.5</v>
      </c>
      <c r="AF1422" s="580">
        <f t="shared" si="148"/>
        <v>2.5</v>
      </c>
      <c r="AG1422" s="580">
        <f t="shared" si="149"/>
        <v>0</v>
      </c>
      <c r="AH1422" s="580">
        <f t="shared" si="150"/>
        <v>0</v>
      </c>
    </row>
    <row r="1423" spans="28:34">
      <c r="AB1423" s="580">
        <f>HLOOKUP("*"&amp;'Output annual'!$AC$2&amp;'Output annual'!$AD$2&amp;"*Zone People Number Of Occupants [](Hourly)",'Eplus results'!$1:$1048576,ROW(),FALSE)</f>
        <v>0</v>
      </c>
      <c r="AC1423" s="580">
        <f>HLOOKUP("*"&amp;'Output annual'!$AC$2&amp;'Output annual'!$AD$2&amp;"*FangerPMV(Hourly)",'Eplus results'!$1:$1048576,ROW(),FALSE)</f>
        <v>0</v>
      </c>
      <c r="AD1423" s="580">
        <f t="shared" si="146"/>
        <v>5</v>
      </c>
      <c r="AE1423" s="580">
        <f t="shared" si="147"/>
        <v>2.5</v>
      </c>
      <c r="AF1423" s="580">
        <f t="shared" si="148"/>
        <v>2.5</v>
      </c>
      <c r="AG1423" s="580">
        <f t="shared" si="149"/>
        <v>0</v>
      </c>
      <c r="AH1423" s="580">
        <f t="shared" si="150"/>
        <v>0</v>
      </c>
    </row>
    <row r="1424" spans="28:34">
      <c r="AB1424" s="580">
        <f>HLOOKUP("*"&amp;'Output annual'!$AC$2&amp;'Output annual'!$AD$2&amp;"*Zone People Number Of Occupants [](Hourly)",'Eplus results'!$1:$1048576,ROW(),FALSE)</f>
        <v>0</v>
      </c>
      <c r="AC1424" s="580">
        <f>HLOOKUP("*"&amp;'Output annual'!$AC$2&amp;'Output annual'!$AD$2&amp;"*FangerPMV(Hourly)",'Eplus results'!$1:$1048576,ROW(),FALSE)</f>
        <v>0</v>
      </c>
      <c r="AD1424" s="580">
        <f t="shared" si="146"/>
        <v>5</v>
      </c>
      <c r="AE1424" s="580">
        <f t="shared" si="147"/>
        <v>2.5</v>
      </c>
      <c r="AF1424" s="580">
        <f t="shared" si="148"/>
        <v>2.5</v>
      </c>
      <c r="AG1424" s="580">
        <f t="shared" si="149"/>
        <v>0</v>
      </c>
      <c r="AH1424" s="580">
        <f t="shared" si="150"/>
        <v>0</v>
      </c>
    </row>
    <row r="1425" spans="28:34">
      <c r="AB1425" s="580">
        <f>HLOOKUP("*"&amp;'Output annual'!$AC$2&amp;'Output annual'!$AD$2&amp;"*Zone People Number Of Occupants [](Hourly)",'Eplus results'!$1:$1048576,ROW(),FALSE)</f>
        <v>0</v>
      </c>
      <c r="AC1425" s="580">
        <f>HLOOKUP("*"&amp;'Output annual'!$AC$2&amp;'Output annual'!$AD$2&amp;"*FangerPMV(Hourly)",'Eplus results'!$1:$1048576,ROW(),FALSE)</f>
        <v>0</v>
      </c>
      <c r="AD1425" s="580">
        <f t="shared" si="146"/>
        <v>5</v>
      </c>
      <c r="AE1425" s="580">
        <f t="shared" si="147"/>
        <v>2.5</v>
      </c>
      <c r="AF1425" s="580">
        <f t="shared" si="148"/>
        <v>2.5</v>
      </c>
      <c r="AG1425" s="580">
        <f t="shared" si="149"/>
        <v>0</v>
      </c>
      <c r="AH1425" s="580">
        <f t="shared" si="150"/>
        <v>0</v>
      </c>
    </row>
    <row r="1426" spans="28:34">
      <c r="AB1426" s="580">
        <f>HLOOKUP("*"&amp;'Output annual'!$AC$2&amp;'Output annual'!$AD$2&amp;"*Zone People Number Of Occupants [](Hourly)",'Eplus results'!$1:$1048576,ROW(),FALSE)</f>
        <v>0</v>
      </c>
      <c r="AC1426" s="580">
        <f>HLOOKUP("*"&amp;'Output annual'!$AC$2&amp;'Output annual'!$AD$2&amp;"*FangerPMV(Hourly)",'Eplus results'!$1:$1048576,ROW(),FALSE)</f>
        <v>0</v>
      </c>
      <c r="AD1426" s="580">
        <f t="shared" si="146"/>
        <v>5</v>
      </c>
      <c r="AE1426" s="580">
        <f t="shared" si="147"/>
        <v>2.5</v>
      </c>
      <c r="AF1426" s="580">
        <f t="shared" si="148"/>
        <v>2.5</v>
      </c>
      <c r="AG1426" s="580">
        <f t="shared" si="149"/>
        <v>0</v>
      </c>
      <c r="AH1426" s="580">
        <f t="shared" si="150"/>
        <v>0</v>
      </c>
    </row>
    <row r="1427" spans="28:34">
      <c r="AB1427" s="580">
        <f>HLOOKUP("*"&amp;'Output annual'!$AC$2&amp;'Output annual'!$AD$2&amp;"*Zone People Number Of Occupants [](Hourly)",'Eplus results'!$1:$1048576,ROW(),FALSE)</f>
        <v>0</v>
      </c>
      <c r="AC1427" s="580">
        <f>HLOOKUP("*"&amp;'Output annual'!$AC$2&amp;'Output annual'!$AD$2&amp;"*FangerPMV(Hourly)",'Eplus results'!$1:$1048576,ROW(),FALSE)</f>
        <v>0</v>
      </c>
      <c r="AD1427" s="580">
        <f t="shared" si="146"/>
        <v>5</v>
      </c>
      <c r="AE1427" s="580">
        <f t="shared" si="147"/>
        <v>2.5</v>
      </c>
      <c r="AF1427" s="580">
        <f t="shared" si="148"/>
        <v>2.5</v>
      </c>
      <c r="AG1427" s="580">
        <f t="shared" si="149"/>
        <v>0</v>
      </c>
      <c r="AH1427" s="580">
        <f t="shared" si="150"/>
        <v>0</v>
      </c>
    </row>
    <row r="1428" spans="28:34">
      <c r="AB1428" s="580">
        <f>HLOOKUP("*"&amp;'Output annual'!$AC$2&amp;'Output annual'!$AD$2&amp;"*Zone People Number Of Occupants [](Hourly)",'Eplus results'!$1:$1048576,ROW(),FALSE)</f>
        <v>0</v>
      </c>
      <c r="AC1428" s="580">
        <f>HLOOKUP("*"&amp;'Output annual'!$AC$2&amp;'Output annual'!$AD$2&amp;"*FangerPMV(Hourly)",'Eplus results'!$1:$1048576,ROW(),FALSE)</f>
        <v>0</v>
      </c>
      <c r="AD1428" s="580">
        <f t="shared" si="146"/>
        <v>5</v>
      </c>
      <c r="AE1428" s="580">
        <f t="shared" si="147"/>
        <v>2.5</v>
      </c>
      <c r="AF1428" s="580">
        <f t="shared" si="148"/>
        <v>2.5</v>
      </c>
      <c r="AG1428" s="580">
        <f t="shared" si="149"/>
        <v>0</v>
      </c>
      <c r="AH1428" s="580">
        <f t="shared" si="150"/>
        <v>0</v>
      </c>
    </row>
    <row r="1429" spans="28:34">
      <c r="AB1429" s="580">
        <f>HLOOKUP("*"&amp;'Output annual'!$AC$2&amp;'Output annual'!$AD$2&amp;"*Zone People Number Of Occupants [](Hourly)",'Eplus results'!$1:$1048576,ROW(),FALSE)</f>
        <v>0</v>
      </c>
      <c r="AC1429" s="580">
        <f>HLOOKUP("*"&amp;'Output annual'!$AC$2&amp;'Output annual'!$AD$2&amp;"*FangerPMV(Hourly)",'Eplus results'!$1:$1048576,ROW(),FALSE)</f>
        <v>0</v>
      </c>
      <c r="AD1429" s="580">
        <f t="shared" si="146"/>
        <v>5</v>
      </c>
      <c r="AE1429" s="580">
        <f t="shared" si="147"/>
        <v>2.5</v>
      </c>
      <c r="AF1429" s="580">
        <f t="shared" si="148"/>
        <v>2.5</v>
      </c>
      <c r="AG1429" s="580">
        <f t="shared" si="149"/>
        <v>0</v>
      </c>
      <c r="AH1429" s="580">
        <f t="shared" si="150"/>
        <v>0</v>
      </c>
    </row>
    <row r="1430" spans="28:34">
      <c r="AB1430" s="580">
        <f>HLOOKUP("*"&amp;'Output annual'!$AC$2&amp;'Output annual'!$AD$2&amp;"*Zone People Number Of Occupants [](Hourly)",'Eplus results'!$1:$1048576,ROW(),FALSE)</f>
        <v>0</v>
      </c>
      <c r="AC1430" s="580">
        <f>HLOOKUP("*"&amp;'Output annual'!$AC$2&amp;'Output annual'!$AD$2&amp;"*FangerPMV(Hourly)",'Eplus results'!$1:$1048576,ROW(),FALSE)</f>
        <v>0</v>
      </c>
      <c r="AD1430" s="580">
        <f t="shared" si="146"/>
        <v>5</v>
      </c>
      <c r="AE1430" s="580">
        <f t="shared" si="147"/>
        <v>2.5</v>
      </c>
      <c r="AF1430" s="580">
        <f t="shared" si="148"/>
        <v>2.5</v>
      </c>
      <c r="AG1430" s="580">
        <f t="shared" si="149"/>
        <v>0</v>
      </c>
      <c r="AH1430" s="580">
        <f t="shared" si="150"/>
        <v>0</v>
      </c>
    </row>
    <row r="1431" spans="28:34">
      <c r="AB1431" s="580">
        <f>HLOOKUP("*"&amp;'Output annual'!$AC$2&amp;'Output annual'!$AD$2&amp;"*Zone People Number Of Occupants [](Hourly)",'Eplus results'!$1:$1048576,ROW(),FALSE)</f>
        <v>0</v>
      </c>
      <c r="AC1431" s="580">
        <f>HLOOKUP("*"&amp;'Output annual'!$AC$2&amp;'Output annual'!$AD$2&amp;"*FangerPMV(Hourly)",'Eplus results'!$1:$1048576,ROW(),FALSE)</f>
        <v>0</v>
      </c>
      <c r="AD1431" s="580">
        <f t="shared" si="146"/>
        <v>5</v>
      </c>
      <c r="AE1431" s="580">
        <f t="shared" si="147"/>
        <v>2.5</v>
      </c>
      <c r="AF1431" s="580">
        <f t="shared" si="148"/>
        <v>2.5</v>
      </c>
      <c r="AG1431" s="580">
        <f t="shared" si="149"/>
        <v>0</v>
      </c>
      <c r="AH1431" s="580">
        <f t="shared" si="150"/>
        <v>0</v>
      </c>
    </row>
    <row r="1432" spans="28:34">
      <c r="AB1432" s="580">
        <f>HLOOKUP("*"&amp;'Output annual'!$AC$2&amp;'Output annual'!$AD$2&amp;"*Zone People Number Of Occupants [](Hourly)",'Eplus results'!$1:$1048576,ROW(),FALSE)</f>
        <v>0</v>
      </c>
      <c r="AC1432" s="580">
        <f>HLOOKUP("*"&amp;'Output annual'!$AC$2&amp;'Output annual'!$AD$2&amp;"*FangerPMV(Hourly)",'Eplus results'!$1:$1048576,ROW(),FALSE)</f>
        <v>0</v>
      </c>
      <c r="AD1432" s="580">
        <f t="shared" si="146"/>
        <v>5</v>
      </c>
      <c r="AE1432" s="580">
        <f t="shared" si="147"/>
        <v>2.5</v>
      </c>
      <c r="AF1432" s="580">
        <f t="shared" si="148"/>
        <v>2.5</v>
      </c>
      <c r="AG1432" s="580">
        <f t="shared" si="149"/>
        <v>0</v>
      </c>
      <c r="AH1432" s="580">
        <f t="shared" si="150"/>
        <v>0</v>
      </c>
    </row>
    <row r="1433" spans="28:34">
      <c r="AB1433" s="580">
        <f>HLOOKUP("*"&amp;'Output annual'!$AC$2&amp;'Output annual'!$AD$2&amp;"*Zone People Number Of Occupants [](Hourly)",'Eplus results'!$1:$1048576,ROW(),FALSE)</f>
        <v>0</v>
      </c>
      <c r="AC1433" s="580">
        <f>HLOOKUP("*"&amp;'Output annual'!$AC$2&amp;'Output annual'!$AD$2&amp;"*FangerPMV(Hourly)",'Eplus results'!$1:$1048576,ROW(),FALSE)</f>
        <v>0</v>
      </c>
      <c r="AD1433" s="580">
        <f t="shared" si="146"/>
        <v>5</v>
      </c>
      <c r="AE1433" s="580">
        <f t="shared" si="147"/>
        <v>2.5</v>
      </c>
      <c r="AF1433" s="580">
        <f t="shared" si="148"/>
        <v>2.5</v>
      </c>
      <c r="AG1433" s="580">
        <f t="shared" si="149"/>
        <v>0</v>
      </c>
      <c r="AH1433" s="580">
        <f t="shared" si="150"/>
        <v>0</v>
      </c>
    </row>
    <row r="1434" spans="28:34">
      <c r="AB1434" s="580">
        <f>HLOOKUP("*"&amp;'Output annual'!$AC$2&amp;'Output annual'!$AD$2&amp;"*Zone People Number Of Occupants [](Hourly)",'Eplus results'!$1:$1048576,ROW(),FALSE)</f>
        <v>0</v>
      </c>
      <c r="AC1434" s="580">
        <f>HLOOKUP("*"&amp;'Output annual'!$AC$2&amp;'Output annual'!$AD$2&amp;"*FangerPMV(Hourly)",'Eplus results'!$1:$1048576,ROW(),FALSE)</f>
        <v>0</v>
      </c>
      <c r="AD1434" s="580">
        <f t="shared" si="146"/>
        <v>5</v>
      </c>
      <c r="AE1434" s="580">
        <f t="shared" si="147"/>
        <v>2.5</v>
      </c>
      <c r="AF1434" s="580">
        <f t="shared" si="148"/>
        <v>2.5</v>
      </c>
      <c r="AG1434" s="580">
        <f t="shared" si="149"/>
        <v>0</v>
      </c>
      <c r="AH1434" s="580">
        <f t="shared" si="150"/>
        <v>0</v>
      </c>
    </row>
    <row r="1435" spans="28:34">
      <c r="AB1435" s="580">
        <f>HLOOKUP("*"&amp;'Output annual'!$AC$2&amp;'Output annual'!$AD$2&amp;"*Zone People Number Of Occupants [](Hourly)",'Eplus results'!$1:$1048576,ROW(),FALSE)</f>
        <v>0</v>
      </c>
      <c r="AC1435" s="580">
        <f>HLOOKUP("*"&amp;'Output annual'!$AC$2&amp;'Output annual'!$AD$2&amp;"*FangerPMV(Hourly)",'Eplus results'!$1:$1048576,ROW(),FALSE)</f>
        <v>0</v>
      </c>
      <c r="AD1435" s="580">
        <f t="shared" si="146"/>
        <v>5</v>
      </c>
      <c r="AE1435" s="580">
        <f t="shared" si="147"/>
        <v>2.5</v>
      </c>
      <c r="AF1435" s="580">
        <f t="shared" si="148"/>
        <v>2.5</v>
      </c>
      <c r="AG1435" s="580">
        <f t="shared" si="149"/>
        <v>0</v>
      </c>
      <c r="AH1435" s="580">
        <f t="shared" si="150"/>
        <v>0</v>
      </c>
    </row>
    <row r="1436" spans="28:34">
      <c r="AB1436" s="580">
        <f>HLOOKUP("*"&amp;'Output annual'!$AC$2&amp;'Output annual'!$AD$2&amp;"*Zone People Number Of Occupants [](Hourly)",'Eplus results'!$1:$1048576,ROW(),FALSE)</f>
        <v>0</v>
      </c>
      <c r="AC1436" s="580">
        <f>HLOOKUP("*"&amp;'Output annual'!$AC$2&amp;'Output annual'!$AD$2&amp;"*FangerPMV(Hourly)",'Eplus results'!$1:$1048576,ROW(),FALSE)</f>
        <v>0</v>
      </c>
      <c r="AD1436" s="580">
        <f t="shared" si="146"/>
        <v>5</v>
      </c>
      <c r="AE1436" s="580">
        <f t="shared" si="147"/>
        <v>2.5</v>
      </c>
      <c r="AF1436" s="580">
        <f t="shared" si="148"/>
        <v>2.5</v>
      </c>
      <c r="AG1436" s="580">
        <f t="shared" si="149"/>
        <v>0</v>
      </c>
      <c r="AH1436" s="580">
        <f t="shared" si="150"/>
        <v>0</v>
      </c>
    </row>
    <row r="1437" spans="28:34">
      <c r="AB1437" s="580">
        <f>HLOOKUP("*"&amp;'Output annual'!$AC$2&amp;'Output annual'!$AD$2&amp;"*Zone People Number Of Occupants [](Hourly)",'Eplus results'!$1:$1048576,ROW(),FALSE)</f>
        <v>0</v>
      </c>
      <c r="AC1437" s="580">
        <f>HLOOKUP("*"&amp;'Output annual'!$AC$2&amp;'Output annual'!$AD$2&amp;"*FangerPMV(Hourly)",'Eplus results'!$1:$1048576,ROW(),FALSE)</f>
        <v>0</v>
      </c>
      <c r="AD1437" s="580">
        <f t="shared" si="146"/>
        <v>5</v>
      </c>
      <c r="AE1437" s="580">
        <f t="shared" si="147"/>
        <v>2.5</v>
      </c>
      <c r="AF1437" s="580">
        <f t="shared" si="148"/>
        <v>2.5</v>
      </c>
      <c r="AG1437" s="580">
        <f t="shared" si="149"/>
        <v>0</v>
      </c>
      <c r="AH1437" s="580">
        <f t="shared" si="150"/>
        <v>0</v>
      </c>
    </row>
    <row r="1438" spans="28:34">
      <c r="AB1438" s="580">
        <f>HLOOKUP("*"&amp;'Output annual'!$AC$2&amp;'Output annual'!$AD$2&amp;"*Zone People Number Of Occupants [](Hourly)",'Eplus results'!$1:$1048576,ROW(),FALSE)</f>
        <v>0</v>
      </c>
      <c r="AC1438" s="580">
        <f>HLOOKUP("*"&amp;'Output annual'!$AC$2&amp;'Output annual'!$AD$2&amp;"*FangerPMV(Hourly)",'Eplus results'!$1:$1048576,ROW(),FALSE)</f>
        <v>0</v>
      </c>
      <c r="AD1438" s="580">
        <f t="shared" si="146"/>
        <v>5</v>
      </c>
      <c r="AE1438" s="580">
        <f t="shared" si="147"/>
        <v>2.5</v>
      </c>
      <c r="AF1438" s="580">
        <f t="shared" si="148"/>
        <v>2.5</v>
      </c>
      <c r="AG1438" s="580">
        <f t="shared" si="149"/>
        <v>0</v>
      </c>
      <c r="AH1438" s="580">
        <f t="shared" si="150"/>
        <v>0</v>
      </c>
    </row>
    <row r="1439" spans="28:34">
      <c r="AB1439" s="580">
        <f>HLOOKUP("*"&amp;'Output annual'!$AC$2&amp;'Output annual'!$AD$2&amp;"*Zone People Number Of Occupants [](Hourly)",'Eplus results'!$1:$1048576,ROW(),FALSE)</f>
        <v>0</v>
      </c>
      <c r="AC1439" s="580">
        <f>HLOOKUP("*"&amp;'Output annual'!$AC$2&amp;'Output annual'!$AD$2&amp;"*FangerPMV(Hourly)",'Eplus results'!$1:$1048576,ROW(),FALSE)</f>
        <v>0</v>
      </c>
      <c r="AD1439" s="580">
        <f t="shared" si="146"/>
        <v>5</v>
      </c>
      <c r="AE1439" s="580">
        <f t="shared" si="147"/>
        <v>2.5</v>
      </c>
      <c r="AF1439" s="580">
        <f t="shared" si="148"/>
        <v>2.5</v>
      </c>
      <c r="AG1439" s="580">
        <f t="shared" si="149"/>
        <v>0</v>
      </c>
      <c r="AH1439" s="580">
        <f t="shared" si="150"/>
        <v>0</v>
      </c>
    </row>
    <row r="1440" spans="28:34">
      <c r="AB1440" s="580">
        <f>HLOOKUP("*"&amp;'Output annual'!$AC$2&amp;'Output annual'!$AD$2&amp;"*Zone People Number Of Occupants [](Hourly)",'Eplus results'!$1:$1048576,ROW(),FALSE)</f>
        <v>0</v>
      </c>
      <c r="AC1440" s="580">
        <f>HLOOKUP("*"&amp;'Output annual'!$AC$2&amp;'Output annual'!$AD$2&amp;"*FangerPMV(Hourly)",'Eplus results'!$1:$1048576,ROW(),FALSE)</f>
        <v>0</v>
      </c>
      <c r="AD1440" s="580">
        <f t="shared" si="146"/>
        <v>5</v>
      </c>
      <c r="AE1440" s="580">
        <f t="shared" si="147"/>
        <v>2.5</v>
      </c>
      <c r="AF1440" s="580">
        <f t="shared" si="148"/>
        <v>2.5</v>
      </c>
      <c r="AG1440" s="580">
        <f t="shared" si="149"/>
        <v>0</v>
      </c>
      <c r="AH1440" s="580">
        <f t="shared" si="150"/>
        <v>0</v>
      </c>
    </row>
    <row r="1441" spans="28:34">
      <c r="AB1441" s="580">
        <f>HLOOKUP("*"&amp;'Output annual'!$AC$2&amp;'Output annual'!$AD$2&amp;"*Zone People Number Of Occupants [](Hourly)",'Eplus results'!$1:$1048576,ROW(),FALSE)</f>
        <v>0</v>
      </c>
      <c r="AC1441" s="580">
        <f>HLOOKUP("*"&amp;'Output annual'!$AC$2&amp;'Output annual'!$AD$2&amp;"*FangerPMV(Hourly)",'Eplus results'!$1:$1048576,ROW(),FALSE)</f>
        <v>0</v>
      </c>
      <c r="AD1441" s="580">
        <f t="shared" si="146"/>
        <v>5</v>
      </c>
      <c r="AE1441" s="580">
        <f t="shared" si="147"/>
        <v>2.5</v>
      </c>
      <c r="AF1441" s="580">
        <f t="shared" si="148"/>
        <v>2.5</v>
      </c>
      <c r="AG1441" s="580">
        <f t="shared" si="149"/>
        <v>0</v>
      </c>
      <c r="AH1441" s="580">
        <f t="shared" si="150"/>
        <v>0</v>
      </c>
    </row>
    <row r="1442" spans="28:34">
      <c r="AB1442" s="580">
        <f>HLOOKUP("*"&amp;'Output annual'!$AC$2&amp;'Output annual'!$AD$2&amp;"*Zone People Number Of Occupants [](Hourly)",'Eplus results'!$1:$1048576,ROW(),FALSE)</f>
        <v>0</v>
      </c>
      <c r="AC1442" s="580">
        <f>HLOOKUP("*"&amp;'Output annual'!$AC$2&amp;'Output annual'!$AD$2&amp;"*FangerPMV(Hourly)",'Eplus results'!$1:$1048576,ROW(),FALSE)</f>
        <v>0</v>
      </c>
      <c r="AD1442" s="580">
        <f t="shared" si="146"/>
        <v>5</v>
      </c>
      <c r="AE1442" s="580">
        <f t="shared" si="147"/>
        <v>2.5</v>
      </c>
      <c r="AF1442" s="580">
        <f t="shared" si="148"/>
        <v>2.5</v>
      </c>
      <c r="AG1442" s="580">
        <f t="shared" si="149"/>
        <v>0</v>
      </c>
      <c r="AH1442" s="580">
        <f t="shared" si="150"/>
        <v>0</v>
      </c>
    </row>
    <row r="1443" spans="28:34">
      <c r="AB1443" s="580">
        <f>HLOOKUP("*"&amp;'Output annual'!$AC$2&amp;'Output annual'!$AD$2&amp;"*Zone People Number Of Occupants [](Hourly)",'Eplus results'!$1:$1048576,ROW(),FALSE)</f>
        <v>0</v>
      </c>
      <c r="AC1443" s="580">
        <f>HLOOKUP("*"&amp;'Output annual'!$AC$2&amp;'Output annual'!$AD$2&amp;"*FangerPMV(Hourly)",'Eplus results'!$1:$1048576,ROW(),FALSE)</f>
        <v>0</v>
      </c>
      <c r="AD1443" s="580">
        <f t="shared" si="146"/>
        <v>5</v>
      </c>
      <c r="AE1443" s="580">
        <f t="shared" si="147"/>
        <v>2.5</v>
      </c>
      <c r="AF1443" s="580">
        <f t="shared" si="148"/>
        <v>2.5</v>
      </c>
      <c r="AG1443" s="580">
        <f t="shared" si="149"/>
        <v>0</v>
      </c>
      <c r="AH1443" s="580">
        <f t="shared" si="150"/>
        <v>0</v>
      </c>
    </row>
    <row r="1444" spans="28:34">
      <c r="AB1444" s="580">
        <f>HLOOKUP("*"&amp;'Output annual'!$AC$2&amp;'Output annual'!$AD$2&amp;"*Zone People Number Of Occupants [](Hourly)",'Eplus results'!$1:$1048576,ROW(),FALSE)</f>
        <v>0</v>
      </c>
      <c r="AC1444" s="580">
        <f>HLOOKUP("*"&amp;'Output annual'!$AC$2&amp;'Output annual'!$AD$2&amp;"*FangerPMV(Hourly)",'Eplus results'!$1:$1048576,ROW(),FALSE)</f>
        <v>0</v>
      </c>
      <c r="AD1444" s="580">
        <f t="shared" si="146"/>
        <v>5</v>
      </c>
      <c r="AE1444" s="580">
        <f t="shared" si="147"/>
        <v>2.5</v>
      </c>
      <c r="AF1444" s="580">
        <f t="shared" si="148"/>
        <v>2.5</v>
      </c>
      <c r="AG1444" s="580">
        <f t="shared" si="149"/>
        <v>0</v>
      </c>
      <c r="AH1444" s="580">
        <f t="shared" si="150"/>
        <v>0</v>
      </c>
    </row>
    <row r="1445" spans="28:34">
      <c r="AB1445" s="580">
        <f>HLOOKUP("*"&amp;'Output annual'!$AC$2&amp;'Output annual'!$AD$2&amp;"*Zone People Number Of Occupants [](Hourly)",'Eplus results'!$1:$1048576,ROW(),FALSE)</f>
        <v>0</v>
      </c>
      <c r="AC1445" s="580">
        <f>HLOOKUP("*"&amp;'Output annual'!$AC$2&amp;'Output annual'!$AD$2&amp;"*FangerPMV(Hourly)",'Eplus results'!$1:$1048576,ROW(),FALSE)</f>
        <v>0</v>
      </c>
      <c r="AD1445" s="580">
        <f t="shared" si="146"/>
        <v>5</v>
      </c>
      <c r="AE1445" s="580">
        <f t="shared" si="147"/>
        <v>2.5</v>
      </c>
      <c r="AF1445" s="580">
        <f t="shared" si="148"/>
        <v>2.5</v>
      </c>
      <c r="AG1445" s="580">
        <f t="shared" si="149"/>
        <v>0</v>
      </c>
      <c r="AH1445" s="580">
        <f t="shared" si="150"/>
        <v>0</v>
      </c>
    </row>
    <row r="1446" spans="28:34">
      <c r="AB1446" s="580">
        <f>HLOOKUP("*"&amp;'Output annual'!$AC$2&amp;'Output annual'!$AD$2&amp;"*Zone People Number Of Occupants [](Hourly)",'Eplus results'!$1:$1048576,ROW(),FALSE)</f>
        <v>0</v>
      </c>
      <c r="AC1446" s="580">
        <f>HLOOKUP("*"&amp;'Output annual'!$AC$2&amp;'Output annual'!$AD$2&amp;"*FangerPMV(Hourly)",'Eplus results'!$1:$1048576,ROW(),FALSE)</f>
        <v>0</v>
      </c>
      <c r="AD1446" s="580">
        <f t="shared" si="146"/>
        <v>5</v>
      </c>
      <c r="AE1446" s="580">
        <f t="shared" si="147"/>
        <v>2.5</v>
      </c>
      <c r="AF1446" s="580">
        <f t="shared" si="148"/>
        <v>2.5</v>
      </c>
      <c r="AG1446" s="580">
        <f t="shared" si="149"/>
        <v>0</v>
      </c>
      <c r="AH1446" s="580">
        <f t="shared" si="150"/>
        <v>0</v>
      </c>
    </row>
    <row r="1447" spans="28:34">
      <c r="AB1447" s="580">
        <f>HLOOKUP("*"&amp;'Output annual'!$AC$2&amp;'Output annual'!$AD$2&amp;"*Zone People Number Of Occupants [](Hourly)",'Eplus results'!$1:$1048576,ROW(),FALSE)</f>
        <v>0</v>
      </c>
      <c r="AC1447" s="580">
        <f>HLOOKUP("*"&amp;'Output annual'!$AC$2&amp;'Output annual'!$AD$2&amp;"*FangerPMV(Hourly)",'Eplus results'!$1:$1048576,ROW(),FALSE)</f>
        <v>0</v>
      </c>
      <c r="AD1447" s="580">
        <f t="shared" si="146"/>
        <v>5</v>
      </c>
      <c r="AE1447" s="580">
        <f t="shared" si="147"/>
        <v>2.5</v>
      </c>
      <c r="AF1447" s="580">
        <f t="shared" si="148"/>
        <v>2.5</v>
      </c>
      <c r="AG1447" s="580">
        <f t="shared" si="149"/>
        <v>0</v>
      </c>
      <c r="AH1447" s="580">
        <f t="shared" si="150"/>
        <v>0</v>
      </c>
    </row>
    <row r="1448" spans="28:34">
      <c r="AB1448" s="580">
        <f>HLOOKUP("*"&amp;'Output annual'!$AC$2&amp;'Output annual'!$AD$2&amp;"*Zone People Number Of Occupants [](Hourly)",'Eplus results'!$1:$1048576,ROW(),FALSE)</f>
        <v>0</v>
      </c>
      <c r="AC1448" s="580">
        <f>HLOOKUP("*"&amp;'Output annual'!$AC$2&amp;'Output annual'!$AD$2&amp;"*FangerPMV(Hourly)",'Eplus results'!$1:$1048576,ROW(),FALSE)</f>
        <v>0</v>
      </c>
      <c r="AD1448" s="580">
        <f t="shared" si="146"/>
        <v>5</v>
      </c>
      <c r="AE1448" s="580">
        <f t="shared" si="147"/>
        <v>2.5</v>
      </c>
      <c r="AF1448" s="580">
        <f t="shared" si="148"/>
        <v>2.5</v>
      </c>
      <c r="AG1448" s="580">
        <f t="shared" si="149"/>
        <v>0</v>
      </c>
      <c r="AH1448" s="580">
        <f t="shared" si="150"/>
        <v>0</v>
      </c>
    </row>
    <row r="1449" spans="28:34">
      <c r="AB1449" s="580">
        <f>HLOOKUP("*"&amp;'Output annual'!$AC$2&amp;'Output annual'!$AD$2&amp;"*Zone People Number Of Occupants [](Hourly)",'Eplus results'!$1:$1048576,ROW(),FALSE)</f>
        <v>0</v>
      </c>
      <c r="AC1449" s="580">
        <f>HLOOKUP("*"&amp;'Output annual'!$AC$2&amp;'Output annual'!$AD$2&amp;"*FangerPMV(Hourly)",'Eplus results'!$1:$1048576,ROW(),FALSE)</f>
        <v>0</v>
      </c>
      <c r="AD1449" s="580">
        <f t="shared" si="146"/>
        <v>5</v>
      </c>
      <c r="AE1449" s="580">
        <f t="shared" si="147"/>
        <v>2.5</v>
      </c>
      <c r="AF1449" s="580">
        <f t="shared" si="148"/>
        <v>2.5</v>
      </c>
      <c r="AG1449" s="580">
        <f t="shared" si="149"/>
        <v>0</v>
      </c>
      <c r="AH1449" s="580">
        <f t="shared" si="150"/>
        <v>0</v>
      </c>
    </row>
    <row r="1450" spans="28:34">
      <c r="AB1450" s="580">
        <f>HLOOKUP("*"&amp;'Output annual'!$AC$2&amp;'Output annual'!$AD$2&amp;"*Zone People Number Of Occupants [](Hourly)",'Eplus results'!$1:$1048576,ROW(),FALSE)</f>
        <v>0</v>
      </c>
      <c r="AC1450" s="580">
        <f>HLOOKUP("*"&amp;'Output annual'!$AC$2&amp;'Output annual'!$AD$2&amp;"*FangerPMV(Hourly)",'Eplus results'!$1:$1048576,ROW(),FALSE)</f>
        <v>0</v>
      </c>
      <c r="AD1450" s="580">
        <f t="shared" si="146"/>
        <v>5</v>
      </c>
      <c r="AE1450" s="580">
        <f t="shared" si="147"/>
        <v>2.5</v>
      </c>
      <c r="AF1450" s="580">
        <f t="shared" si="148"/>
        <v>2.5</v>
      </c>
      <c r="AG1450" s="580">
        <f t="shared" si="149"/>
        <v>0</v>
      </c>
      <c r="AH1450" s="580">
        <f t="shared" si="150"/>
        <v>0</v>
      </c>
    </row>
    <row r="1451" spans="28:34">
      <c r="AB1451" s="580">
        <f>HLOOKUP("*"&amp;'Output annual'!$AC$2&amp;'Output annual'!$AD$2&amp;"*Zone People Number Of Occupants [](Hourly)",'Eplus results'!$1:$1048576,ROW(),FALSE)</f>
        <v>0</v>
      </c>
      <c r="AC1451" s="580">
        <f>HLOOKUP("*"&amp;'Output annual'!$AC$2&amp;'Output annual'!$AD$2&amp;"*FangerPMV(Hourly)",'Eplus results'!$1:$1048576,ROW(),FALSE)</f>
        <v>0</v>
      </c>
      <c r="AD1451" s="580">
        <f t="shared" si="146"/>
        <v>5</v>
      </c>
      <c r="AE1451" s="580">
        <f t="shared" si="147"/>
        <v>2.5</v>
      </c>
      <c r="AF1451" s="580">
        <f t="shared" si="148"/>
        <v>2.5</v>
      </c>
      <c r="AG1451" s="580">
        <f t="shared" si="149"/>
        <v>0</v>
      </c>
      <c r="AH1451" s="580">
        <f t="shared" si="150"/>
        <v>0</v>
      </c>
    </row>
    <row r="1452" spans="28:34">
      <c r="AB1452" s="580">
        <f>HLOOKUP("*"&amp;'Output annual'!$AC$2&amp;'Output annual'!$AD$2&amp;"*Zone People Number Of Occupants [](Hourly)",'Eplus results'!$1:$1048576,ROW(),FALSE)</f>
        <v>0</v>
      </c>
      <c r="AC1452" s="580">
        <f>HLOOKUP("*"&amp;'Output annual'!$AC$2&amp;'Output annual'!$AD$2&amp;"*FangerPMV(Hourly)",'Eplus results'!$1:$1048576,ROW(),FALSE)</f>
        <v>0</v>
      </c>
      <c r="AD1452" s="580">
        <f t="shared" si="146"/>
        <v>5</v>
      </c>
      <c r="AE1452" s="580">
        <f t="shared" si="147"/>
        <v>2.5</v>
      </c>
      <c r="AF1452" s="580">
        <f t="shared" si="148"/>
        <v>2.5</v>
      </c>
      <c r="AG1452" s="580">
        <f t="shared" si="149"/>
        <v>0</v>
      </c>
      <c r="AH1452" s="580">
        <f t="shared" si="150"/>
        <v>0</v>
      </c>
    </row>
    <row r="1453" spans="28:34">
      <c r="AB1453" s="580">
        <f>HLOOKUP("*"&amp;'Output annual'!$AC$2&amp;'Output annual'!$AD$2&amp;"*Zone People Number Of Occupants [](Hourly)",'Eplus results'!$1:$1048576,ROW(),FALSE)</f>
        <v>0</v>
      </c>
      <c r="AC1453" s="580">
        <f>HLOOKUP("*"&amp;'Output annual'!$AC$2&amp;'Output annual'!$AD$2&amp;"*FangerPMV(Hourly)",'Eplus results'!$1:$1048576,ROW(),FALSE)</f>
        <v>0</v>
      </c>
      <c r="AD1453" s="580">
        <f t="shared" si="146"/>
        <v>5</v>
      </c>
      <c r="AE1453" s="580">
        <f t="shared" si="147"/>
        <v>2.5</v>
      </c>
      <c r="AF1453" s="580">
        <f t="shared" si="148"/>
        <v>2.5</v>
      </c>
      <c r="AG1453" s="580">
        <f t="shared" si="149"/>
        <v>0</v>
      </c>
      <c r="AH1453" s="580">
        <f t="shared" si="150"/>
        <v>0</v>
      </c>
    </row>
    <row r="1454" spans="28:34">
      <c r="AB1454" s="580">
        <f>HLOOKUP("*"&amp;'Output annual'!$AC$2&amp;'Output annual'!$AD$2&amp;"*Zone People Number Of Occupants [](Hourly)",'Eplus results'!$1:$1048576,ROW(),FALSE)</f>
        <v>0</v>
      </c>
      <c r="AC1454" s="580">
        <f>HLOOKUP("*"&amp;'Output annual'!$AC$2&amp;'Output annual'!$AD$2&amp;"*FangerPMV(Hourly)",'Eplus results'!$1:$1048576,ROW(),FALSE)</f>
        <v>0</v>
      </c>
      <c r="AD1454" s="580">
        <f t="shared" si="146"/>
        <v>5</v>
      </c>
      <c r="AE1454" s="580">
        <f t="shared" si="147"/>
        <v>2.5</v>
      </c>
      <c r="AF1454" s="580">
        <f t="shared" si="148"/>
        <v>2.5</v>
      </c>
      <c r="AG1454" s="580">
        <f t="shared" si="149"/>
        <v>0</v>
      </c>
      <c r="AH1454" s="580">
        <f t="shared" si="150"/>
        <v>0</v>
      </c>
    </row>
    <row r="1455" spans="28:34">
      <c r="AB1455" s="580">
        <f>HLOOKUP("*"&amp;'Output annual'!$AC$2&amp;'Output annual'!$AD$2&amp;"*Zone People Number Of Occupants [](Hourly)",'Eplus results'!$1:$1048576,ROW(),FALSE)</f>
        <v>0</v>
      </c>
      <c r="AC1455" s="580">
        <f>HLOOKUP("*"&amp;'Output annual'!$AC$2&amp;'Output annual'!$AD$2&amp;"*FangerPMV(Hourly)",'Eplus results'!$1:$1048576,ROW(),FALSE)</f>
        <v>0</v>
      </c>
      <c r="AD1455" s="580">
        <f t="shared" si="146"/>
        <v>5</v>
      </c>
      <c r="AE1455" s="580">
        <f t="shared" si="147"/>
        <v>2.5</v>
      </c>
      <c r="AF1455" s="580">
        <f t="shared" si="148"/>
        <v>2.5</v>
      </c>
      <c r="AG1455" s="580">
        <f t="shared" si="149"/>
        <v>0</v>
      </c>
      <c r="AH1455" s="580">
        <f t="shared" si="150"/>
        <v>0</v>
      </c>
    </row>
    <row r="1456" spans="28:34">
      <c r="AB1456" s="580">
        <f>HLOOKUP("*"&amp;'Output annual'!$AC$2&amp;'Output annual'!$AD$2&amp;"*Zone People Number Of Occupants [](Hourly)",'Eplus results'!$1:$1048576,ROW(),FALSE)</f>
        <v>0</v>
      </c>
      <c r="AC1456" s="580">
        <f>HLOOKUP("*"&amp;'Output annual'!$AC$2&amp;'Output annual'!$AD$2&amp;"*FangerPMV(Hourly)",'Eplus results'!$1:$1048576,ROW(),FALSE)</f>
        <v>0</v>
      </c>
      <c r="AD1456" s="580">
        <f t="shared" si="146"/>
        <v>5</v>
      </c>
      <c r="AE1456" s="580">
        <f t="shared" si="147"/>
        <v>2.5</v>
      </c>
      <c r="AF1456" s="580">
        <f t="shared" si="148"/>
        <v>2.5</v>
      </c>
      <c r="AG1456" s="580">
        <f t="shared" si="149"/>
        <v>0</v>
      </c>
      <c r="AH1456" s="580">
        <f t="shared" si="150"/>
        <v>0</v>
      </c>
    </row>
    <row r="1457" spans="28:34">
      <c r="AB1457" s="580">
        <f>HLOOKUP("*"&amp;'Output annual'!$AC$2&amp;'Output annual'!$AD$2&amp;"*Zone People Number Of Occupants [](Hourly)",'Eplus results'!$1:$1048576,ROW(),FALSE)</f>
        <v>0</v>
      </c>
      <c r="AC1457" s="580">
        <f>HLOOKUP("*"&amp;'Output annual'!$AC$2&amp;'Output annual'!$AD$2&amp;"*FangerPMV(Hourly)",'Eplus results'!$1:$1048576,ROW(),FALSE)</f>
        <v>0</v>
      </c>
      <c r="AD1457" s="580">
        <f t="shared" si="146"/>
        <v>5</v>
      </c>
      <c r="AE1457" s="580">
        <f t="shared" si="147"/>
        <v>2.5</v>
      </c>
      <c r="AF1457" s="580">
        <f t="shared" si="148"/>
        <v>2.5</v>
      </c>
      <c r="AG1457" s="580">
        <f t="shared" si="149"/>
        <v>0</v>
      </c>
      <c r="AH1457" s="580">
        <f t="shared" si="150"/>
        <v>0</v>
      </c>
    </row>
    <row r="1458" spans="28:34">
      <c r="AB1458" s="580">
        <f>HLOOKUP("*"&amp;'Output annual'!$AC$2&amp;'Output annual'!$AD$2&amp;"*Zone People Number Of Occupants [](Hourly)",'Eplus results'!$1:$1048576,ROW(),FALSE)</f>
        <v>0</v>
      </c>
      <c r="AC1458" s="580">
        <f>HLOOKUP("*"&amp;'Output annual'!$AC$2&amp;'Output annual'!$AD$2&amp;"*FangerPMV(Hourly)",'Eplus results'!$1:$1048576,ROW(),FALSE)</f>
        <v>0</v>
      </c>
      <c r="AD1458" s="580">
        <f t="shared" si="146"/>
        <v>5</v>
      </c>
      <c r="AE1458" s="580">
        <f t="shared" si="147"/>
        <v>2.5</v>
      </c>
      <c r="AF1458" s="580">
        <f t="shared" si="148"/>
        <v>2.5</v>
      </c>
      <c r="AG1458" s="580">
        <f t="shared" si="149"/>
        <v>0</v>
      </c>
      <c r="AH1458" s="580">
        <f t="shared" si="150"/>
        <v>0</v>
      </c>
    </row>
    <row r="1459" spans="28:34">
      <c r="AB1459" s="580">
        <f>HLOOKUP("*"&amp;'Output annual'!$AC$2&amp;'Output annual'!$AD$2&amp;"*Zone People Number Of Occupants [](Hourly)",'Eplus results'!$1:$1048576,ROW(),FALSE)</f>
        <v>0</v>
      </c>
      <c r="AC1459" s="580">
        <f>HLOOKUP("*"&amp;'Output annual'!$AC$2&amp;'Output annual'!$AD$2&amp;"*FangerPMV(Hourly)",'Eplus results'!$1:$1048576,ROW(),FALSE)</f>
        <v>0</v>
      </c>
      <c r="AD1459" s="580">
        <f t="shared" si="146"/>
        <v>5</v>
      </c>
      <c r="AE1459" s="580">
        <f t="shared" si="147"/>
        <v>2.5</v>
      </c>
      <c r="AF1459" s="580">
        <f t="shared" si="148"/>
        <v>2.5</v>
      </c>
      <c r="AG1459" s="580">
        <f t="shared" si="149"/>
        <v>0</v>
      </c>
      <c r="AH1459" s="580">
        <f t="shared" si="150"/>
        <v>0</v>
      </c>
    </row>
    <row r="1460" spans="28:34">
      <c r="AB1460" s="580">
        <f>HLOOKUP("*"&amp;'Output annual'!$AC$2&amp;'Output annual'!$AD$2&amp;"*Zone People Number Of Occupants [](Hourly)",'Eplus results'!$1:$1048576,ROW(),FALSE)</f>
        <v>0</v>
      </c>
      <c r="AC1460" s="580">
        <f>HLOOKUP("*"&amp;'Output annual'!$AC$2&amp;'Output annual'!$AD$2&amp;"*FangerPMV(Hourly)",'Eplus results'!$1:$1048576,ROW(),FALSE)</f>
        <v>0</v>
      </c>
      <c r="AD1460" s="580">
        <f t="shared" si="146"/>
        <v>5</v>
      </c>
      <c r="AE1460" s="580">
        <f t="shared" si="147"/>
        <v>2.5</v>
      </c>
      <c r="AF1460" s="580">
        <f t="shared" si="148"/>
        <v>2.5</v>
      </c>
      <c r="AG1460" s="580">
        <f t="shared" si="149"/>
        <v>0</v>
      </c>
      <c r="AH1460" s="580">
        <f t="shared" si="150"/>
        <v>0</v>
      </c>
    </row>
    <row r="1461" spans="28:34">
      <c r="AB1461" s="580">
        <f>HLOOKUP("*"&amp;'Output annual'!$AC$2&amp;'Output annual'!$AD$2&amp;"*Zone People Number Of Occupants [](Hourly)",'Eplus results'!$1:$1048576,ROW(),FALSE)</f>
        <v>0</v>
      </c>
      <c r="AC1461" s="580">
        <f>HLOOKUP("*"&amp;'Output annual'!$AC$2&amp;'Output annual'!$AD$2&amp;"*FangerPMV(Hourly)",'Eplus results'!$1:$1048576,ROW(),FALSE)</f>
        <v>0</v>
      </c>
      <c r="AD1461" s="580">
        <f t="shared" si="146"/>
        <v>5</v>
      </c>
      <c r="AE1461" s="580">
        <f t="shared" si="147"/>
        <v>2.5</v>
      </c>
      <c r="AF1461" s="580">
        <f t="shared" si="148"/>
        <v>2.5</v>
      </c>
      <c r="AG1461" s="580">
        <f t="shared" si="149"/>
        <v>0</v>
      </c>
      <c r="AH1461" s="580">
        <f t="shared" si="150"/>
        <v>0</v>
      </c>
    </row>
    <row r="1462" spans="28:34">
      <c r="AB1462" s="580">
        <f>HLOOKUP("*"&amp;'Output annual'!$AC$2&amp;'Output annual'!$AD$2&amp;"*Zone People Number Of Occupants [](Hourly)",'Eplus results'!$1:$1048576,ROW(),FALSE)</f>
        <v>0</v>
      </c>
      <c r="AC1462" s="580">
        <f>HLOOKUP("*"&amp;'Output annual'!$AC$2&amp;'Output annual'!$AD$2&amp;"*FangerPMV(Hourly)",'Eplus results'!$1:$1048576,ROW(),FALSE)</f>
        <v>0</v>
      </c>
      <c r="AD1462" s="580">
        <f t="shared" si="146"/>
        <v>5</v>
      </c>
      <c r="AE1462" s="580">
        <f t="shared" si="147"/>
        <v>2.5</v>
      </c>
      <c r="AF1462" s="580">
        <f t="shared" si="148"/>
        <v>2.5</v>
      </c>
      <c r="AG1462" s="580">
        <f t="shared" si="149"/>
        <v>0</v>
      </c>
      <c r="AH1462" s="580">
        <f t="shared" si="150"/>
        <v>0</v>
      </c>
    </row>
    <row r="1463" spans="28:34">
      <c r="AB1463" s="580">
        <f>HLOOKUP("*"&amp;'Output annual'!$AC$2&amp;'Output annual'!$AD$2&amp;"*Zone People Number Of Occupants [](Hourly)",'Eplus results'!$1:$1048576,ROW(),FALSE)</f>
        <v>0</v>
      </c>
      <c r="AC1463" s="580">
        <f>HLOOKUP("*"&amp;'Output annual'!$AC$2&amp;'Output annual'!$AD$2&amp;"*FangerPMV(Hourly)",'Eplus results'!$1:$1048576,ROW(),FALSE)</f>
        <v>0</v>
      </c>
      <c r="AD1463" s="580">
        <f t="shared" si="146"/>
        <v>5</v>
      </c>
      <c r="AE1463" s="580">
        <f t="shared" si="147"/>
        <v>2.5</v>
      </c>
      <c r="AF1463" s="580">
        <f t="shared" si="148"/>
        <v>2.5</v>
      </c>
      <c r="AG1463" s="580">
        <f t="shared" si="149"/>
        <v>0</v>
      </c>
      <c r="AH1463" s="580">
        <f t="shared" si="150"/>
        <v>0</v>
      </c>
    </row>
    <row r="1464" spans="28:34">
      <c r="AB1464" s="580">
        <f>HLOOKUP("*"&amp;'Output annual'!$AC$2&amp;'Output annual'!$AD$2&amp;"*Zone People Number Of Occupants [](Hourly)",'Eplus results'!$1:$1048576,ROW(),FALSE)</f>
        <v>0</v>
      </c>
      <c r="AC1464" s="580">
        <f>HLOOKUP("*"&amp;'Output annual'!$AC$2&amp;'Output annual'!$AD$2&amp;"*FangerPMV(Hourly)",'Eplus results'!$1:$1048576,ROW(),FALSE)</f>
        <v>0</v>
      </c>
      <c r="AD1464" s="580">
        <f t="shared" si="146"/>
        <v>5</v>
      </c>
      <c r="AE1464" s="580">
        <f t="shared" si="147"/>
        <v>2.5</v>
      </c>
      <c r="AF1464" s="580">
        <f t="shared" si="148"/>
        <v>2.5</v>
      </c>
      <c r="AG1464" s="580">
        <f t="shared" si="149"/>
        <v>0</v>
      </c>
      <c r="AH1464" s="580">
        <f t="shared" si="150"/>
        <v>0</v>
      </c>
    </row>
    <row r="1465" spans="28:34">
      <c r="AB1465" s="580">
        <f>HLOOKUP("*"&amp;'Output annual'!$AC$2&amp;'Output annual'!$AD$2&amp;"*Zone People Number Of Occupants [](Hourly)",'Eplus results'!$1:$1048576,ROW(),FALSE)</f>
        <v>0</v>
      </c>
      <c r="AC1465" s="580">
        <f>HLOOKUP("*"&amp;'Output annual'!$AC$2&amp;'Output annual'!$AD$2&amp;"*FangerPMV(Hourly)",'Eplus results'!$1:$1048576,ROW(),FALSE)</f>
        <v>0</v>
      </c>
      <c r="AD1465" s="580">
        <f t="shared" si="146"/>
        <v>5</v>
      </c>
      <c r="AE1465" s="580">
        <f t="shared" si="147"/>
        <v>2.5</v>
      </c>
      <c r="AF1465" s="580">
        <f t="shared" si="148"/>
        <v>2.5</v>
      </c>
      <c r="AG1465" s="580">
        <f t="shared" si="149"/>
        <v>0</v>
      </c>
      <c r="AH1465" s="580">
        <f t="shared" si="150"/>
        <v>0</v>
      </c>
    </row>
    <row r="1466" spans="28:34">
      <c r="AB1466" s="580">
        <f>HLOOKUP("*"&amp;'Output annual'!$AC$2&amp;'Output annual'!$AD$2&amp;"*Zone People Number Of Occupants [](Hourly)",'Eplus results'!$1:$1048576,ROW(),FALSE)</f>
        <v>0</v>
      </c>
      <c r="AC1466" s="580">
        <f>HLOOKUP("*"&amp;'Output annual'!$AC$2&amp;'Output annual'!$AD$2&amp;"*FangerPMV(Hourly)",'Eplus results'!$1:$1048576,ROW(),FALSE)</f>
        <v>0</v>
      </c>
      <c r="AD1466" s="580">
        <f t="shared" si="146"/>
        <v>5</v>
      </c>
      <c r="AE1466" s="580">
        <f t="shared" si="147"/>
        <v>2.5</v>
      </c>
      <c r="AF1466" s="580">
        <f t="shared" si="148"/>
        <v>2.5</v>
      </c>
      <c r="AG1466" s="580">
        <f t="shared" si="149"/>
        <v>0</v>
      </c>
      <c r="AH1466" s="580">
        <f t="shared" si="150"/>
        <v>0</v>
      </c>
    </row>
    <row r="1467" spans="28:34">
      <c r="AB1467" s="580">
        <f>HLOOKUP("*"&amp;'Output annual'!$AC$2&amp;'Output annual'!$AD$2&amp;"*Zone People Number Of Occupants [](Hourly)",'Eplus results'!$1:$1048576,ROW(),FALSE)</f>
        <v>0</v>
      </c>
      <c r="AC1467" s="580">
        <f>HLOOKUP("*"&amp;'Output annual'!$AC$2&amp;'Output annual'!$AD$2&amp;"*FangerPMV(Hourly)",'Eplus results'!$1:$1048576,ROW(),FALSE)</f>
        <v>0</v>
      </c>
      <c r="AD1467" s="580">
        <f t="shared" si="146"/>
        <v>5</v>
      </c>
      <c r="AE1467" s="580">
        <f t="shared" si="147"/>
        <v>2.5</v>
      </c>
      <c r="AF1467" s="580">
        <f t="shared" si="148"/>
        <v>2.5</v>
      </c>
      <c r="AG1467" s="580">
        <f t="shared" si="149"/>
        <v>0</v>
      </c>
      <c r="AH1467" s="580">
        <f t="shared" si="150"/>
        <v>0</v>
      </c>
    </row>
    <row r="1468" spans="28:34">
      <c r="AB1468" s="580">
        <f>HLOOKUP("*"&amp;'Output annual'!$AC$2&amp;'Output annual'!$AD$2&amp;"*Zone People Number Of Occupants [](Hourly)",'Eplus results'!$1:$1048576,ROW(),FALSE)</f>
        <v>0</v>
      </c>
      <c r="AC1468" s="580">
        <f>HLOOKUP("*"&amp;'Output annual'!$AC$2&amp;'Output annual'!$AD$2&amp;"*FangerPMV(Hourly)",'Eplus results'!$1:$1048576,ROW(),FALSE)</f>
        <v>0</v>
      </c>
      <c r="AD1468" s="580">
        <f t="shared" si="146"/>
        <v>5</v>
      </c>
      <c r="AE1468" s="580">
        <f t="shared" si="147"/>
        <v>2.5</v>
      </c>
      <c r="AF1468" s="580">
        <f t="shared" si="148"/>
        <v>2.5</v>
      </c>
      <c r="AG1468" s="580">
        <f t="shared" si="149"/>
        <v>0</v>
      </c>
      <c r="AH1468" s="580">
        <f t="shared" si="150"/>
        <v>0</v>
      </c>
    </row>
    <row r="1469" spans="28:34">
      <c r="AB1469" s="580">
        <f>HLOOKUP("*"&amp;'Output annual'!$AC$2&amp;'Output annual'!$AD$2&amp;"*Zone People Number Of Occupants [](Hourly)",'Eplus results'!$1:$1048576,ROW(),FALSE)</f>
        <v>0</v>
      </c>
      <c r="AC1469" s="580">
        <f>HLOOKUP("*"&amp;'Output annual'!$AC$2&amp;'Output annual'!$AD$2&amp;"*FangerPMV(Hourly)",'Eplus results'!$1:$1048576,ROW(),FALSE)</f>
        <v>0</v>
      </c>
      <c r="AD1469" s="580">
        <f t="shared" si="146"/>
        <v>5</v>
      </c>
      <c r="AE1469" s="580">
        <f t="shared" si="147"/>
        <v>2.5</v>
      </c>
      <c r="AF1469" s="580">
        <f t="shared" si="148"/>
        <v>2.5</v>
      </c>
      <c r="AG1469" s="580">
        <f t="shared" si="149"/>
        <v>0</v>
      </c>
      <c r="AH1469" s="580">
        <f t="shared" si="150"/>
        <v>0</v>
      </c>
    </row>
    <row r="1470" spans="28:34">
      <c r="AB1470" s="580">
        <f>HLOOKUP("*"&amp;'Output annual'!$AC$2&amp;'Output annual'!$AD$2&amp;"*Zone People Number Of Occupants [](Hourly)",'Eplus results'!$1:$1048576,ROW(),FALSE)</f>
        <v>0</v>
      </c>
      <c r="AC1470" s="580">
        <f>HLOOKUP("*"&amp;'Output annual'!$AC$2&amp;'Output annual'!$AD$2&amp;"*FangerPMV(Hourly)",'Eplus results'!$1:$1048576,ROW(),FALSE)</f>
        <v>0</v>
      </c>
      <c r="AD1470" s="580">
        <f t="shared" si="146"/>
        <v>5</v>
      </c>
      <c r="AE1470" s="580">
        <f t="shared" si="147"/>
        <v>2.5</v>
      </c>
      <c r="AF1470" s="580">
        <f t="shared" si="148"/>
        <v>2.5</v>
      </c>
      <c r="AG1470" s="580">
        <f t="shared" si="149"/>
        <v>0</v>
      </c>
      <c r="AH1470" s="580">
        <f t="shared" si="150"/>
        <v>0</v>
      </c>
    </row>
    <row r="1471" spans="28:34">
      <c r="AB1471" s="580">
        <f>HLOOKUP("*"&amp;'Output annual'!$AC$2&amp;'Output annual'!$AD$2&amp;"*Zone People Number Of Occupants [](Hourly)",'Eplus results'!$1:$1048576,ROW(),FALSE)</f>
        <v>0</v>
      </c>
      <c r="AC1471" s="580">
        <f>HLOOKUP("*"&amp;'Output annual'!$AC$2&amp;'Output annual'!$AD$2&amp;"*FangerPMV(Hourly)",'Eplus results'!$1:$1048576,ROW(),FALSE)</f>
        <v>0</v>
      </c>
      <c r="AD1471" s="580">
        <f t="shared" si="146"/>
        <v>5</v>
      </c>
      <c r="AE1471" s="580">
        <f t="shared" si="147"/>
        <v>2.5</v>
      </c>
      <c r="AF1471" s="580">
        <f t="shared" si="148"/>
        <v>2.5</v>
      </c>
      <c r="AG1471" s="580">
        <f t="shared" si="149"/>
        <v>0</v>
      </c>
      <c r="AH1471" s="580">
        <f t="shared" si="150"/>
        <v>0</v>
      </c>
    </row>
    <row r="1472" spans="28:34">
      <c r="AB1472" s="580">
        <f>HLOOKUP("*"&amp;'Output annual'!$AC$2&amp;'Output annual'!$AD$2&amp;"*Zone People Number Of Occupants [](Hourly)",'Eplus results'!$1:$1048576,ROW(),FALSE)</f>
        <v>0</v>
      </c>
      <c r="AC1472" s="580">
        <f>HLOOKUP("*"&amp;'Output annual'!$AC$2&amp;'Output annual'!$AD$2&amp;"*FangerPMV(Hourly)",'Eplus results'!$1:$1048576,ROW(),FALSE)</f>
        <v>0</v>
      </c>
      <c r="AD1472" s="580">
        <f t="shared" si="146"/>
        <v>5</v>
      </c>
      <c r="AE1472" s="580">
        <f t="shared" si="147"/>
        <v>2.5</v>
      </c>
      <c r="AF1472" s="580">
        <f t="shared" si="148"/>
        <v>2.5</v>
      </c>
      <c r="AG1472" s="580">
        <f t="shared" si="149"/>
        <v>0</v>
      </c>
      <c r="AH1472" s="580">
        <f t="shared" si="150"/>
        <v>0</v>
      </c>
    </row>
    <row r="1473" spans="28:34">
      <c r="AB1473" s="580">
        <f>HLOOKUP("*"&amp;'Output annual'!$AC$2&amp;'Output annual'!$AD$2&amp;"*Zone People Number Of Occupants [](Hourly)",'Eplus results'!$1:$1048576,ROW(),FALSE)</f>
        <v>0</v>
      </c>
      <c r="AC1473" s="580">
        <f>HLOOKUP("*"&amp;'Output annual'!$AC$2&amp;'Output annual'!$AD$2&amp;"*FangerPMV(Hourly)",'Eplus results'!$1:$1048576,ROW(),FALSE)</f>
        <v>0</v>
      </c>
      <c r="AD1473" s="580">
        <f t="shared" si="146"/>
        <v>5</v>
      </c>
      <c r="AE1473" s="580">
        <f t="shared" si="147"/>
        <v>2.5</v>
      </c>
      <c r="AF1473" s="580">
        <f t="shared" si="148"/>
        <v>2.5</v>
      </c>
      <c r="AG1473" s="580">
        <f t="shared" si="149"/>
        <v>0</v>
      </c>
      <c r="AH1473" s="580">
        <f t="shared" si="150"/>
        <v>0</v>
      </c>
    </row>
    <row r="1474" spans="28:34">
      <c r="AB1474" s="580">
        <f>HLOOKUP("*"&amp;'Output annual'!$AC$2&amp;'Output annual'!$AD$2&amp;"*Zone People Number Of Occupants [](Hourly)",'Eplus results'!$1:$1048576,ROW(),FALSE)</f>
        <v>0</v>
      </c>
      <c r="AC1474" s="580">
        <f>HLOOKUP("*"&amp;'Output annual'!$AC$2&amp;'Output annual'!$AD$2&amp;"*FangerPMV(Hourly)",'Eplus results'!$1:$1048576,ROW(),FALSE)</f>
        <v>0</v>
      </c>
      <c r="AD1474" s="580">
        <f t="shared" si="146"/>
        <v>5</v>
      </c>
      <c r="AE1474" s="580">
        <f t="shared" si="147"/>
        <v>2.5</v>
      </c>
      <c r="AF1474" s="580">
        <f t="shared" si="148"/>
        <v>2.5</v>
      </c>
      <c r="AG1474" s="580">
        <f t="shared" si="149"/>
        <v>0</v>
      </c>
      <c r="AH1474" s="580">
        <f t="shared" si="150"/>
        <v>0</v>
      </c>
    </row>
    <row r="1475" spans="28:34">
      <c r="AB1475" s="580">
        <f>HLOOKUP("*"&amp;'Output annual'!$AC$2&amp;'Output annual'!$AD$2&amp;"*Zone People Number Of Occupants [](Hourly)",'Eplus results'!$1:$1048576,ROW(),FALSE)</f>
        <v>0</v>
      </c>
      <c r="AC1475" s="580">
        <f>HLOOKUP("*"&amp;'Output annual'!$AC$2&amp;'Output annual'!$AD$2&amp;"*FangerPMV(Hourly)",'Eplus results'!$1:$1048576,ROW(),FALSE)</f>
        <v>0</v>
      </c>
      <c r="AD1475" s="580">
        <f t="shared" ref="AD1475:AD1538" si="151">100-95*EXP(-0.03353*AC1475^4-0.2179*AC1475^2)</f>
        <v>5</v>
      </c>
      <c r="AE1475" s="580">
        <f t="shared" ref="AE1475:AE1538" si="152">AD1475*(1/(1+EXP(-6.3*$AC1475)))</f>
        <v>2.5</v>
      </c>
      <c r="AF1475" s="580">
        <f t="shared" ref="AF1475:AF1538" si="153">(AD1475-AE1475)</f>
        <v>2.5</v>
      </c>
      <c r="AG1475" s="580">
        <f t="shared" ref="AG1475:AG1538" si="154">AE1475*AB1475</f>
        <v>0</v>
      </c>
      <c r="AH1475" s="580">
        <f t="shared" ref="AH1475:AH1538" si="155">AF1475*AB1475</f>
        <v>0</v>
      </c>
    </row>
    <row r="1476" spans="28:34">
      <c r="AB1476" s="580">
        <f>HLOOKUP("*"&amp;'Output annual'!$AC$2&amp;'Output annual'!$AD$2&amp;"*Zone People Number Of Occupants [](Hourly)",'Eplus results'!$1:$1048576,ROW(),FALSE)</f>
        <v>0</v>
      </c>
      <c r="AC1476" s="580">
        <f>HLOOKUP("*"&amp;'Output annual'!$AC$2&amp;'Output annual'!$AD$2&amp;"*FangerPMV(Hourly)",'Eplus results'!$1:$1048576,ROW(),FALSE)</f>
        <v>0</v>
      </c>
      <c r="AD1476" s="580">
        <f t="shared" si="151"/>
        <v>5</v>
      </c>
      <c r="AE1476" s="580">
        <f t="shared" si="152"/>
        <v>2.5</v>
      </c>
      <c r="AF1476" s="580">
        <f t="shared" si="153"/>
        <v>2.5</v>
      </c>
      <c r="AG1476" s="580">
        <f t="shared" si="154"/>
        <v>0</v>
      </c>
      <c r="AH1476" s="580">
        <f t="shared" si="155"/>
        <v>0</v>
      </c>
    </row>
    <row r="1477" spans="28:34">
      <c r="AB1477" s="580">
        <f>HLOOKUP("*"&amp;'Output annual'!$AC$2&amp;'Output annual'!$AD$2&amp;"*Zone People Number Of Occupants [](Hourly)",'Eplus results'!$1:$1048576,ROW(),FALSE)</f>
        <v>0</v>
      </c>
      <c r="AC1477" s="580">
        <f>HLOOKUP("*"&amp;'Output annual'!$AC$2&amp;'Output annual'!$AD$2&amp;"*FangerPMV(Hourly)",'Eplus results'!$1:$1048576,ROW(),FALSE)</f>
        <v>0</v>
      </c>
      <c r="AD1477" s="580">
        <f t="shared" si="151"/>
        <v>5</v>
      </c>
      <c r="AE1477" s="580">
        <f t="shared" si="152"/>
        <v>2.5</v>
      </c>
      <c r="AF1477" s="580">
        <f t="shared" si="153"/>
        <v>2.5</v>
      </c>
      <c r="AG1477" s="580">
        <f t="shared" si="154"/>
        <v>0</v>
      </c>
      <c r="AH1477" s="580">
        <f t="shared" si="155"/>
        <v>0</v>
      </c>
    </row>
    <row r="1478" spans="28:34">
      <c r="AB1478" s="580">
        <f>HLOOKUP("*"&amp;'Output annual'!$AC$2&amp;'Output annual'!$AD$2&amp;"*Zone People Number Of Occupants [](Hourly)",'Eplus results'!$1:$1048576,ROW(),FALSE)</f>
        <v>0</v>
      </c>
      <c r="AC1478" s="580">
        <f>HLOOKUP("*"&amp;'Output annual'!$AC$2&amp;'Output annual'!$AD$2&amp;"*FangerPMV(Hourly)",'Eplus results'!$1:$1048576,ROW(),FALSE)</f>
        <v>0</v>
      </c>
      <c r="AD1478" s="580">
        <f t="shared" si="151"/>
        <v>5</v>
      </c>
      <c r="AE1478" s="580">
        <f t="shared" si="152"/>
        <v>2.5</v>
      </c>
      <c r="AF1478" s="580">
        <f t="shared" si="153"/>
        <v>2.5</v>
      </c>
      <c r="AG1478" s="580">
        <f t="shared" si="154"/>
        <v>0</v>
      </c>
      <c r="AH1478" s="580">
        <f t="shared" si="155"/>
        <v>0</v>
      </c>
    </row>
    <row r="1479" spans="28:34">
      <c r="AB1479" s="580">
        <f>HLOOKUP("*"&amp;'Output annual'!$AC$2&amp;'Output annual'!$AD$2&amp;"*Zone People Number Of Occupants [](Hourly)",'Eplus results'!$1:$1048576,ROW(),FALSE)</f>
        <v>0</v>
      </c>
      <c r="AC1479" s="580">
        <f>HLOOKUP("*"&amp;'Output annual'!$AC$2&amp;'Output annual'!$AD$2&amp;"*FangerPMV(Hourly)",'Eplus results'!$1:$1048576,ROW(),FALSE)</f>
        <v>0</v>
      </c>
      <c r="AD1479" s="580">
        <f t="shared" si="151"/>
        <v>5</v>
      </c>
      <c r="AE1479" s="580">
        <f t="shared" si="152"/>
        <v>2.5</v>
      </c>
      <c r="AF1479" s="580">
        <f t="shared" si="153"/>
        <v>2.5</v>
      </c>
      <c r="AG1479" s="580">
        <f t="shared" si="154"/>
        <v>0</v>
      </c>
      <c r="AH1479" s="580">
        <f t="shared" si="155"/>
        <v>0</v>
      </c>
    </row>
    <row r="1480" spans="28:34">
      <c r="AB1480" s="580">
        <f>HLOOKUP("*"&amp;'Output annual'!$AC$2&amp;'Output annual'!$AD$2&amp;"*Zone People Number Of Occupants [](Hourly)",'Eplus results'!$1:$1048576,ROW(),FALSE)</f>
        <v>0</v>
      </c>
      <c r="AC1480" s="580">
        <f>HLOOKUP("*"&amp;'Output annual'!$AC$2&amp;'Output annual'!$AD$2&amp;"*FangerPMV(Hourly)",'Eplus results'!$1:$1048576,ROW(),FALSE)</f>
        <v>0</v>
      </c>
      <c r="AD1480" s="580">
        <f t="shared" si="151"/>
        <v>5</v>
      </c>
      <c r="AE1480" s="580">
        <f t="shared" si="152"/>
        <v>2.5</v>
      </c>
      <c r="AF1480" s="580">
        <f t="shared" si="153"/>
        <v>2.5</v>
      </c>
      <c r="AG1480" s="580">
        <f t="shared" si="154"/>
        <v>0</v>
      </c>
      <c r="AH1480" s="580">
        <f t="shared" si="155"/>
        <v>0</v>
      </c>
    </row>
    <row r="1481" spans="28:34">
      <c r="AB1481" s="580">
        <f>HLOOKUP("*"&amp;'Output annual'!$AC$2&amp;'Output annual'!$AD$2&amp;"*Zone People Number Of Occupants [](Hourly)",'Eplus results'!$1:$1048576,ROW(),FALSE)</f>
        <v>0</v>
      </c>
      <c r="AC1481" s="580">
        <f>HLOOKUP("*"&amp;'Output annual'!$AC$2&amp;'Output annual'!$AD$2&amp;"*FangerPMV(Hourly)",'Eplus results'!$1:$1048576,ROW(),FALSE)</f>
        <v>0</v>
      </c>
      <c r="AD1481" s="580">
        <f t="shared" si="151"/>
        <v>5</v>
      </c>
      <c r="AE1481" s="580">
        <f t="shared" si="152"/>
        <v>2.5</v>
      </c>
      <c r="AF1481" s="580">
        <f t="shared" si="153"/>
        <v>2.5</v>
      </c>
      <c r="AG1481" s="580">
        <f t="shared" si="154"/>
        <v>0</v>
      </c>
      <c r="AH1481" s="580">
        <f t="shared" si="155"/>
        <v>0</v>
      </c>
    </row>
    <row r="1482" spans="28:34">
      <c r="AB1482" s="580">
        <f>HLOOKUP("*"&amp;'Output annual'!$AC$2&amp;'Output annual'!$AD$2&amp;"*Zone People Number Of Occupants [](Hourly)",'Eplus results'!$1:$1048576,ROW(),FALSE)</f>
        <v>0</v>
      </c>
      <c r="AC1482" s="580">
        <f>HLOOKUP("*"&amp;'Output annual'!$AC$2&amp;'Output annual'!$AD$2&amp;"*FangerPMV(Hourly)",'Eplus results'!$1:$1048576,ROW(),FALSE)</f>
        <v>0</v>
      </c>
      <c r="AD1482" s="580">
        <f t="shared" si="151"/>
        <v>5</v>
      </c>
      <c r="AE1482" s="580">
        <f t="shared" si="152"/>
        <v>2.5</v>
      </c>
      <c r="AF1482" s="580">
        <f t="shared" si="153"/>
        <v>2.5</v>
      </c>
      <c r="AG1482" s="580">
        <f t="shared" si="154"/>
        <v>0</v>
      </c>
      <c r="AH1482" s="580">
        <f t="shared" si="155"/>
        <v>0</v>
      </c>
    </row>
    <row r="1483" spans="28:34">
      <c r="AB1483" s="580">
        <f>HLOOKUP("*"&amp;'Output annual'!$AC$2&amp;'Output annual'!$AD$2&amp;"*Zone People Number Of Occupants [](Hourly)",'Eplus results'!$1:$1048576,ROW(),FALSE)</f>
        <v>0</v>
      </c>
      <c r="AC1483" s="580">
        <f>HLOOKUP("*"&amp;'Output annual'!$AC$2&amp;'Output annual'!$AD$2&amp;"*FangerPMV(Hourly)",'Eplus results'!$1:$1048576,ROW(),FALSE)</f>
        <v>0</v>
      </c>
      <c r="AD1483" s="580">
        <f t="shared" si="151"/>
        <v>5</v>
      </c>
      <c r="AE1483" s="580">
        <f t="shared" si="152"/>
        <v>2.5</v>
      </c>
      <c r="AF1483" s="580">
        <f t="shared" si="153"/>
        <v>2.5</v>
      </c>
      <c r="AG1483" s="580">
        <f t="shared" si="154"/>
        <v>0</v>
      </c>
      <c r="AH1483" s="580">
        <f t="shared" si="155"/>
        <v>0</v>
      </c>
    </row>
    <row r="1484" spans="28:34">
      <c r="AB1484" s="580">
        <f>HLOOKUP("*"&amp;'Output annual'!$AC$2&amp;'Output annual'!$AD$2&amp;"*Zone People Number Of Occupants [](Hourly)",'Eplus results'!$1:$1048576,ROW(),FALSE)</f>
        <v>0</v>
      </c>
      <c r="AC1484" s="580">
        <f>HLOOKUP("*"&amp;'Output annual'!$AC$2&amp;'Output annual'!$AD$2&amp;"*FangerPMV(Hourly)",'Eplus results'!$1:$1048576,ROW(),FALSE)</f>
        <v>0</v>
      </c>
      <c r="AD1484" s="580">
        <f t="shared" si="151"/>
        <v>5</v>
      </c>
      <c r="AE1484" s="580">
        <f t="shared" si="152"/>
        <v>2.5</v>
      </c>
      <c r="AF1484" s="580">
        <f t="shared" si="153"/>
        <v>2.5</v>
      </c>
      <c r="AG1484" s="580">
        <f t="shared" si="154"/>
        <v>0</v>
      </c>
      <c r="AH1484" s="580">
        <f t="shared" si="155"/>
        <v>0</v>
      </c>
    </row>
    <row r="1485" spans="28:34">
      <c r="AB1485" s="580">
        <f>HLOOKUP("*"&amp;'Output annual'!$AC$2&amp;'Output annual'!$AD$2&amp;"*Zone People Number Of Occupants [](Hourly)",'Eplus results'!$1:$1048576,ROW(),FALSE)</f>
        <v>0</v>
      </c>
      <c r="AC1485" s="580">
        <f>HLOOKUP("*"&amp;'Output annual'!$AC$2&amp;'Output annual'!$AD$2&amp;"*FangerPMV(Hourly)",'Eplus results'!$1:$1048576,ROW(),FALSE)</f>
        <v>0</v>
      </c>
      <c r="AD1485" s="580">
        <f t="shared" si="151"/>
        <v>5</v>
      </c>
      <c r="AE1485" s="580">
        <f t="shared" si="152"/>
        <v>2.5</v>
      </c>
      <c r="AF1485" s="580">
        <f t="shared" si="153"/>
        <v>2.5</v>
      </c>
      <c r="AG1485" s="580">
        <f t="shared" si="154"/>
        <v>0</v>
      </c>
      <c r="AH1485" s="580">
        <f t="shared" si="155"/>
        <v>0</v>
      </c>
    </row>
    <row r="1486" spans="28:34">
      <c r="AB1486" s="580">
        <f>HLOOKUP("*"&amp;'Output annual'!$AC$2&amp;'Output annual'!$AD$2&amp;"*Zone People Number Of Occupants [](Hourly)",'Eplus results'!$1:$1048576,ROW(),FALSE)</f>
        <v>0</v>
      </c>
      <c r="AC1486" s="580">
        <f>HLOOKUP("*"&amp;'Output annual'!$AC$2&amp;'Output annual'!$AD$2&amp;"*FangerPMV(Hourly)",'Eplus results'!$1:$1048576,ROW(),FALSE)</f>
        <v>0</v>
      </c>
      <c r="AD1486" s="580">
        <f t="shared" si="151"/>
        <v>5</v>
      </c>
      <c r="AE1486" s="580">
        <f t="shared" si="152"/>
        <v>2.5</v>
      </c>
      <c r="AF1486" s="580">
        <f t="shared" si="153"/>
        <v>2.5</v>
      </c>
      <c r="AG1486" s="580">
        <f t="shared" si="154"/>
        <v>0</v>
      </c>
      <c r="AH1486" s="580">
        <f t="shared" si="155"/>
        <v>0</v>
      </c>
    </row>
    <row r="1487" spans="28:34">
      <c r="AB1487" s="580">
        <f>HLOOKUP("*"&amp;'Output annual'!$AC$2&amp;'Output annual'!$AD$2&amp;"*Zone People Number Of Occupants [](Hourly)",'Eplus results'!$1:$1048576,ROW(),FALSE)</f>
        <v>0</v>
      </c>
      <c r="AC1487" s="580">
        <f>HLOOKUP("*"&amp;'Output annual'!$AC$2&amp;'Output annual'!$AD$2&amp;"*FangerPMV(Hourly)",'Eplus results'!$1:$1048576,ROW(),FALSE)</f>
        <v>0</v>
      </c>
      <c r="AD1487" s="580">
        <f t="shared" si="151"/>
        <v>5</v>
      </c>
      <c r="AE1487" s="580">
        <f t="shared" si="152"/>
        <v>2.5</v>
      </c>
      <c r="AF1487" s="580">
        <f t="shared" si="153"/>
        <v>2.5</v>
      </c>
      <c r="AG1487" s="580">
        <f t="shared" si="154"/>
        <v>0</v>
      </c>
      <c r="AH1487" s="580">
        <f t="shared" si="155"/>
        <v>0</v>
      </c>
    </row>
    <row r="1488" spans="28:34">
      <c r="AB1488" s="580">
        <f>HLOOKUP("*"&amp;'Output annual'!$AC$2&amp;'Output annual'!$AD$2&amp;"*Zone People Number Of Occupants [](Hourly)",'Eplus results'!$1:$1048576,ROW(),FALSE)</f>
        <v>0</v>
      </c>
      <c r="AC1488" s="580">
        <f>HLOOKUP("*"&amp;'Output annual'!$AC$2&amp;'Output annual'!$AD$2&amp;"*FangerPMV(Hourly)",'Eplus results'!$1:$1048576,ROW(),FALSE)</f>
        <v>0</v>
      </c>
      <c r="AD1488" s="580">
        <f t="shared" si="151"/>
        <v>5</v>
      </c>
      <c r="AE1488" s="580">
        <f t="shared" si="152"/>
        <v>2.5</v>
      </c>
      <c r="AF1488" s="580">
        <f t="shared" si="153"/>
        <v>2.5</v>
      </c>
      <c r="AG1488" s="580">
        <f t="shared" si="154"/>
        <v>0</v>
      </c>
      <c r="AH1488" s="580">
        <f t="shared" si="155"/>
        <v>0</v>
      </c>
    </row>
    <row r="1489" spans="28:34">
      <c r="AB1489" s="580">
        <f>HLOOKUP("*"&amp;'Output annual'!$AC$2&amp;'Output annual'!$AD$2&amp;"*Zone People Number Of Occupants [](Hourly)",'Eplus results'!$1:$1048576,ROW(),FALSE)</f>
        <v>0</v>
      </c>
      <c r="AC1489" s="580">
        <f>HLOOKUP("*"&amp;'Output annual'!$AC$2&amp;'Output annual'!$AD$2&amp;"*FangerPMV(Hourly)",'Eplus results'!$1:$1048576,ROW(),FALSE)</f>
        <v>0</v>
      </c>
      <c r="AD1489" s="580">
        <f t="shared" si="151"/>
        <v>5</v>
      </c>
      <c r="AE1489" s="580">
        <f t="shared" si="152"/>
        <v>2.5</v>
      </c>
      <c r="AF1489" s="580">
        <f t="shared" si="153"/>
        <v>2.5</v>
      </c>
      <c r="AG1489" s="580">
        <f t="shared" si="154"/>
        <v>0</v>
      </c>
      <c r="AH1489" s="580">
        <f t="shared" si="155"/>
        <v>0</v>
      </c>
    </row>
    <row r="1490" spans="28:34">
      <c r="AB1490" s="580">
        <f>HLOOKUP("*"&amp;'Output annual'!$AC$2&amp;'Output annual'!$AD$2&amp;"*Zone People Number Of Occupants [](Hourly)",'Eplus results'!$1:$1048576,ROW(),FALSE)</f>
        <v>0</v>
      </c>
      <c r="AC1490" s="580">
        <f>HLOOKUP("*"&amp;'Output annual'!$AC$2&amp;'Output annual'!$AD$2&amp;"*FangerPMV(Hourly)",'Eplus results'!$1:$1048576,ROW(),FALSE)</f>
        <v>0</v>
      </c>
      <c r="AD1490" s="580">
        <f t="shared" si="151"/>
        <v>5</v>
      </c>
      <c r="AE1490" s="580">
        <f t="shared" si="152"/>
        <v>2.5</v>
      </c>
      <c r="AF1490" s="580">
        <f t="shared" si="153"/>
        <v>2.5</v>
      </c>
      <c r="AG1490" s="580">
        <f t="shared" si="154"/>
        <v>0</v>
      </c>
      <c r="AH1490" s="580">
        <f t="shared" si="155"/>
        <v>0</v>
      </c>
    </row>
    <row r="1491" spans="28:34">
      <c r="AB1491" s="580">
        <f>HLOOKUP("*"&amp;'Output annual'!$AC$2&amp;'Output annual'!$AD$2&amp;"*Zone People Number Of Occupants [](Hourly)",'Eplus results'!$1:$1048576,ROW(),FALSE)</f>
        <v>0</v>
      </c>
      <c r="AC1491" s="580">
        <f>HLOOKUP("*"&amp;'Output annual'!$AC$2&amp;'Output annual'!$AD$2&amp;"*FangerPMV(Hourly)",'Eplus results'!$1:$1048576,ROW(),FALSE)</f>
        <v>0</v>
      </c>
      <c r="AD1491" s="580">
        <f t="shared" si="151"/>
        <v>5</v>
      </c>
      <c r="AE1491" s="580">
        <f t="shared" si="152"/>
        <v>2.5</v>
      </c>
      <c r="AF1491" s="580">
        <f t="shared" si="153"/>
        <v>2.5</v>
      </c>
      <c r="AG1491" s="580">
        <f t="shared" si="154"/>
        <v>0</v>
      </c>
      <c r="AH1491" s="580">
        <f t="shared" si="155"/>
        <v>0</v>
      </c>
    </row>
    <row r="1492" spans="28:34">
      <c r="AB1492" s="580">
        <f>HLOOKUP("*"&amp;'Output annual'!$AC$2&amp;'Output annual'!$AD$2&amp;"*Zone People Number Of Occupants [](Hourly)",'Eplus results'!$1:$1048576,ROW(),FALSE)</f>
        <v>0</v>
      </c>
      <c r="AC1492" s="580">
        <f>HLOOKUP("*"&amp;'Output annual'!$AC$2&amp;'Output annual'!$AD$2&amp;"*FangerPMV(Hourly)",'Eplus results'!$1:$1048576,ROW(),FALSE)</f>
        <v>0</v>
      </c>
      <c r="AD1492" s="580">
        <f t="shared" si="151"/>
        <v>5</v>
      </c>
      <c r="AE1492" s="580">
        <f t="shared" si="152"/>
        <v>2.5</v>
      </c>
      <c r="AF1492" s="580">
        <f t="shared" si="153"/>
        <v>2.5</v>
      </c>
      <c r="AG1492" s="580">
        <f t="shared" si="154"/>
        <v>0</v>
      </c>
      <c r="AH1492" s="580">
        <f t="shared" si="155"/>
        <v>0</v>
      </c>
    </row>
    <row r="1493" spans="28:34">
      <c r="AB1493" s="580">
        <f>HLOOKUP("*"&amp;'Output annual'!$AC$2&amp;'Output annual'!$AD$2&amp;"*Zone People Number Of Occupants [](Hourly)",'Eplus results'!$1:$1048576,ROW(),FALSE)</f>
        <v>0</v>
      </c>
      <c r="AC1493" s="580">
        <f>HLOOKUP("*"&amp;'Output annual'!$AC$2&amp;'Output annual'!$AD$2&amp;"*FangerPMV(Hourly)",'Eplus results'!$1:$1048576,ROW(),FALSE)</f>
        <v>0</v>
      </c>
      <c r="AD1493" s="580">
        <f t="shared" si="151"/>
        <v>5</v>
      </c>
      <c r="AE1493" s="580">
        <f t="shared" si="152"/>
        <v>2.5</v>
      </c>
      <c r="AF1493" s="580">
        <f t="shared" si="153"/>
        <v>2.5</v>
      </c>
      <c r="AG1493" s="580">
        <f t="shared" si="154"/>
        <v>0</v>
      </c>
      <c r="AH1493" s="580">
        <f t="shared" si="155"/>
        <v>0</v>
      </c>
    </row>
    <row r="1494" spans="28:34">
      <c r="AB1494" s="580">
        <f>HLOOKUP("*"&amp;'Output annual'!$AC$2&amp;'Output annual'!$AD$2&amp;"*Zone People Number Of Occupants [](Hourly)",'Eplus results'!$1:$1048576,ROW(),FALSE)</f>
        <v>0</v>
      </c>
      <c r="AC1494" s="580">
        <f>HLOOKUP("*"&amp;'Output annual'!$AC$2&amp;'Output annual'!$AD$2&amp;"*FangerPMV(Hourly)",'Eplus results'!$1:$1048576,ROW(),FALSE)</f>
        <v>0</v>
      </c>
      <c r="AD1494" s="580">
        <f t="shared" si="151"/>
        <v>5</v>
      </c>
      <c r="AE1494" s="580">
        <f t="shared" si="152"/>
        <v>2.5</v>
      </c>
      <c r="AF1494" s="580">
        <f t="shared" si="153"/>
        <v>2.5</v>
      </c>
      <c r="AG1494" s="580">
        <f t="shared" si="154"/>
        <v>0</v>
      </c>
      <c r="AH1494" s="580">
        <f t="shared" si="155"/>
        <v>0</v>
      </c>
    </row>
    <row r="1495" spans="28:34">
      <c r="AB1495" s="580">
        <f>HLOOKUP("*"&amp;'Output annual'!$AC$2&amp;'Output annual'!$AD$2&amp;"*Zone People Number Of Occupants [](Hourly)",'Eplus results'!$1:$1048576,ROW(),FALSE)</f>
        <v>0</v>
      </c>
      <c r="AC1495" s="580">
        <f>HLOOKUP("*"&amp;'Output annual'!$AC$2&amp;'Output annual'!$AD$2&amp;"*FangerPMV(Hourly)",'Eplus results'!$1:$1048576,ROW(),FALSE)</f>
        <v>0</v>
      </c>
      <c r="AD1495" s="580">
        <f t="shared" si="151"/>
        <v>5</v>
      </c>
      <c r="AE1495" s="580">
        <f t="shared" si="152"/>
        <v>2.5</v>
      </c>
      <c r="AF1495" s="580">
        <f t="shared" si="153"/>
        <v>2.5</v>
      </c>
      <c r="AG1495" s="580">
        <f t="shared" si="154"/>
        <v>0</v>
      </c>
      <c r="AH1495" s="580">
        <f t="shared" si="155"/>
        <v>0</v>
      </c>
    </row>
    <row r="1496" spans="28:34">
      <c r="AB1496" s="580">
        <f>HLOOKUP("*"&amp;'Output annual'!$AC$2&amp;'Output annual'!$AD$2&amp;"*Zone People Number Of Occupants [](Hourly)",'Eplus results'!$1:$1048576,ROW(),FALSE)</f>
        <v>0</v>
      </c>
      <c r="AC1496" s="580">
        <f>HLOOKUP("*"&amp;'Output annual'!$AC$2&amp;'Output annual'!$AD$2&amp;"*FangerPMV(Hourly)",'Eplus results'!$1:$1048576,ROW(),FALSE)</f>
        <v>0</v>
      </c>
      <c r="AD1496" s="580">
        <f t="shared" si="151"/>
        <v>5</v>
      </c>
      <c r="AE1496" s="580">
        <f t="shared" si="152"/>
        <v>2.5</v>
      </c>
      <c r="AF1496" s="580">
        <f t="shared" si="153"/>
        <v>2.5</v>
      </c>
      <c r="AG1496" s="580">
        <f t="shared" si="154"/>
        <v>0</v>
      </c>
      <c r="AH1496" s="580">
        <f t="shared" si="155"/>
        <v>0</v>
      </c>
    </row>
    <row r="1497" spans="28:34">
      <c r="AB1497" s="580">
        <f>HLOOKUP("*"&amp;'Output annual'!$AC$2&amp;'Output annual'!$AD$2&amp;"*Zone People Number Of Occupants [](Hourly)",'Eplus results'!$1:$1048576,ROW(),FALSE)</f>
        <v>0</v>
      </c>
      <c r="AC1497" s="580">
        <f>HLOOKUP("*"&amp;'Output annual'!$AC$2&amp;'Output annual'!$AD$2&amp;"*FangerPMV(Hourly)",'Eplus results'!$1:$1048576,ROW(),FALSE)</f>
        <v>0</v>
      </c>
      <c r="AD1497" s="580">
        <f t="shared" si="151"/>
        <v>5</v>
      </c>
      <c r="AE1497" s="580">
        <f t="shared" si="152"/>
        <v>2.5</v>
      </c>
      <c r="AF1497" s="580">
        <f t="shared" si="153"/>
        <v>2.5</v>
      </c>
      <c r="AG1497" s="580">
        <f t="shared" si="154"/>
        <v>0</v>
      </c>
      <c r="AH1497" s="580">
        <f t="shared" si="155"/>
        <v>0</v>
      </c>
    </row>
    <row r="1498" spans="28:34">
      <c r="AB1498" s="580">
        <f>HLOOKUP("*"&amp;'Output annual'!$AC$2&amp;'Output annual'!$AD$2&amp;"*Zone People Number Of Occupants [](Hourly)",'Eplus results'!$1:$1048576,ROW(),FALSE)</f>
        <v>0</v>
      </c>
      <c r="AC1498" s="580">
        <f>HLOOKUP("*"&amp;'Output annual'!$AC$2&amp;'Output annual'!$AD$2&amp;"*FangerPMV(Hourly)",'Eplus results'!$1:$1048576,ROW(),FALSE)</f>
        <v>0</v>
      </c>
      <c r="AD1498" s="580">
        <f t="shared" si="151"/>
        <v>5</v>
      </c>
      <c r="AE1498" s="580">
        <f t="shared" si="152"/>
        <v>2.5</v>
      </c>
      <c r="AF1498" s="580">
        <f t="shared" si="153"/>
        <v>2.5</v>
      </c>
      <c r="AG1498" s="580">
        <f t="shared" si="154"/>
        <v>0</v>
      </c>
      <c r="AH1498" s="580">
        <f t="shared" si="155"/>
        <v>0</v>
      </c>
    </row>
    <row r="1499" spans="28:34">
      <c r="AB1499" s="580">
        <f>HLOOKUP("*"&amp;'Output annual'!$AC$2&amp;'Output annual'!$AD$2&amp;"*Zone People Number Of Occupants [](Hourly)",'Eplus results'!$1:$1048576,ROW(),FALSE)</f>
        <v>0</v>
      </c>
      <c r="AC1499" s="580">
        <f>HLOOKUP("*"&amp;'Output annual'!$AC$2&amp;'Output annual'!$AD$2&amp;"*FangerPMV(Hourly)",'Eplus results'!$1:$1048576,ROW(),FALSE)</f>
        <v>0</v>
      </c>
      <c r="AD1499" s="580">
        <f t="shared" si="151"/>
        <v>5</v>
      </c>
      <c r="AE1499" s="580">
        <f t="shared" si="152"/>
        <v>2.5</v>
      </c>
      <c r="AF1499" s="580">
        <f t="shared" si="153"/>
        <v>2.5</v>
      </c>
      <c r="AG1499" s="580">
        <f t="shared" si="154"/>
        <v>0</v>
      </c>
      <c r="AH1499" s="580">
        <f t="shared" si="155"/>
        <v>0</v>
      </c>
    </row>
    <row r="1500" spans="28:34">
      <c r="AB1500" s="580">
        <f>HLOOKUP("*"&amp;'Output annual'!$AC$2&amp;'Output annual'!$AD$2&amp;"*Zone People Number Of Occupants [](Hourly)",'Eplus results'!$1:$1048576,ROW(),FALSE)</f>
        <v>0</v>
      </c>
      <c r="AC1500" s="580">
        <f>HLOOKUP("*"&amp;'Output annual'!$AC$2&amp;'Output annual'!$AD$2&amp;"*FangerPMV(Hourly)",'Eplus results'!$1:$1048576,ROW(),FALSE)</f>
        <v>0</v>
      </c>
      <c r="AD1500" s="580">
        <f t="shared" si="151"/>
        <v>5</v>
      </c>
      <c r="AE1500" s="580">
        <f t="shared" si="152"/>
        <v>2.5</v>
      </c>
      <c r="AF1500" s="580">
        <f t="shared" si="153"/>
        <v>2.5</v>
      </c>
      <c r="AG1500" s="580">
        <f t="shared" si="154"/>
        <v>0</v>
      </c>
      <c r="AH1500" s="580">
        <f t="shared" si="155"/>
        <v>0</v>
      </c>
    </row>
    <row r="1501" spans="28:34">
      <c r="AB1501" s="580">
        <f>HLOOKUP("*"&amp;'Output annual'!$AC$2&amp;'Output annual'!$AD$2&amp;"*Zone People Number Of Occupants [](Hourly)",'Eplus results'!$1:$1048576,ROW(),FALSE)</f>
        <v>0</v>
      </c>
      <c r="AC1501" s="580">
        <f>HLOOKUP("*"&amp;'Output annual'!$AC$2&amp;'Output annual'!$AD$2&amp;"*FangerPMV(Hourly)",'Eplus results'!$1:$1048576,ROW(),FALSE)</f>
        <v>0</v>
      </c>
      <c r="AD1501" s="580">
        <f t="shared" si="151"/>
        <v>5</v>
      </c>
      <c r="AE1501" s="580">
        <f t="shared" si="152"/>
        <v>2.5</v>
      </c>
      <c r="AF1501" s="580">
        <f t="shared" si="153"/>
        <v>2.5</v>
      </c>
      <c r="AG1501" s="580">
        <f t="shared" si="154"/>
        <v>0</v>
      </c>
      <c r="AH1501" s="580">
        <f t="shared" si="155"/>
        <v>0</v>
      </c>
    </row>
    <row r="1502" spans="28:34">
      <c r="AB1502" s="580">
        <f>HLOOKUP("*"&amp;'Output annual'!$AC$2&amp;'Output annual'!$AD$2&amp;"*Zone People Number Of Occupants [](Hourly)",'Eplus results'!$1:$1048576,ROW(),FALSE)</f>
        <v>0</v>
      </c>
      <c r="AC1502" s="580">
        <f>HLOOKUP("*"&amp;'Output annual'!$AC$2&amp;'Output annual'!$AD$2&amp;"*FangerPMV(Hourly)",'Eplus results'!$1:$1048576,ROW(),FALSE)</f>
        <v>0</v>
      </c>
      <c r="AD1502" s="580">
        <f t="shared" si="151"/>
        <v>5</v>
      </c>
      <c r="AE1502" s="580">
        <f t="shared" si="152"/>
        <v>2.5</v>
      </c>
      <c r="AF1502" s="580">
        <f t="shared" si="153"/>
        <v>2.5</v>
      </c>
      <c r="AG1502" s="580">
        <f t="shared" si="154"/>
        <v>0</v>
      </c>
      <c r="AH1502" s="580">
        <f t="shared" si="155"/>
        <v>0</v>
      </c>
    </row>
    <row r="1503" spans="28:34">
      <c r="AB1503" s="580">
        <f>HLOOKUP("*"&amp;'Output annual'!$AC$2&amp;'Output annual'!$AD$2&amp;"*Zone People Number Of Occupants [](Hourly)",'Eplus results'!$1:$1048576,ROW(),FALSE)</f>
        <v>0</v>
      </c>
      <c r="AC1503" s="580">
        <f>HLOOKUP("*"&amp;'Output annual'!$AC$2&amp;'Output annual'!$AD$2&amp;"*FangerPMV(Hourly)",'Eplus results'!$1:$1048576,ROW(),FALSE)</f>
        <v>0</v>
      </c>
      <c r="AD1503" s="580">
        <f t="shared" si="151"/>
        <v>5</v>
      </c>
      <c r="AE1503" s="580">
        <f t="shared" si="152"/>
        <v>2.5</v>
      </c>
      <c r="AF1503" s="580">
        <f t="shared" si="153"/>
        <v>2.5</v>
      </c>
      <c r="AG1503" s="580">
        <f t="shared" si="154"/>
        <v>0</v>
      </c>
      <c r="AH1503" s="580">
        <f t="shared" si="155"/>
        <v>0</v>
      </c>
    </row>
    <row r="1504" spans="28:34">
      <c r="AB1504" s="580">
        <f>HLOOKUP("*"&amp;'Output annual'!$AC$2&amp;'Output annual'!$AD$2&amp;"*Zone People Number Of Occupants [](Hourly)",'Eplus results'!$1:$1048576,ROW(),FALSE)</f>
        <v>0</v>
      </c>
      <c r="AC1504" s="580">
        <f>HLOOKUP("*"&amp;'Output annual'!$AC$2&amp;'Output annual'!$AD$2&amp;"*FangerPMV(Hourly)",'Eplus results'!$1:$1048576,ROW(),FALSE)</f>
        <v>0</v>
      </c>
      <c r="AD1504" s="580">
        <f t="shared" si="151"/>
        <v>5</v>
      </c>
      <c r="AE1504" s="580">
        <f t="shared" si="152"/>
        <v>2.5</v>
      </c>
      <c r="AF1504" s="580">
        <f t="shared" si="153"/>
        <v>2.5</v>
      </c>
      <c r="AG1504" s="580">
        <f t="shared" si="154"/>
        <v>0</v>
      </c>
      <c r="AH1504" s="580">
        <f t="shared" si="155"/>
        <v>0</v>
      </c>
    </row>
    <row r="1505" spans="28:34">
      <c r="AB1505" s="580">
        <f>HLOOKUP("*"&amp;'Output annual'!$AC$2&amp;'Output annual'!$AD$2&amp;"*Zone People Number Of Occupants [](Hourly)",'Eplus results'!$1:$1048576,ROW(),FALSE)</f>
        <v>0</v>
      </c>
      <c r="AC1505" s="580">
        <f>HLOOKUP("*"&amp;'Output annual'!$AC$2&amp;'Output annual'!$AD$2&amp;"*FangerPMV(Hourly)",'Eplus results'!$1:$1048576,ROW(),FALSE)</f>
        <v>0</v>
      </c>
      <c r="AD1505" s="580">
        <f t="shared" si="151"/>
        <v>5</v>
      </c>
      <c r="AE1505" s="580">
        <f t="shared" si="152"/>
        <v>2.5</v>
      </c>
      <c r="AF1505" s="580">
        <f t="shared" si="153"/>
        <v>2.5</v>
      </c>
      <c r="AG1505" s="580">
        <f t="shared" si="154"/>
        <v>0</v>
      </c>
      <c r="AH1505" s="580">
        <f t="shared" si="155"/>
        <v>0</v>
      </c>
    </row>
    <row r="1506" spans="28:34">
      <c r="AB1506" s="580">
        <f>HLOOKUP("*"&amp;'Output annual'!$AC$2&amp;'Output annual'!$AD$2&amp;"*Zone People Number Of Occupants [](Hourly)",'Eplus results'!$1:$1048576,ROW(),FALSE)</f>
        <v>0</v>
      </c>
      <c r="AC1506" s="580">
        <f>HLOOKUP("*"&amp;'Output annual'!$AC$2&amp;'Output annual'!$AD$2&amp;"*FangerPMV(Hourly)",'Eplus results'!$1:$1048576,ROW(),FALSE)</f>
        <v>0</v>
      </c>
      <c r="AD1506" s="580">
        <f t="shared" si="151"/>
        <v>5</v>
      </c>
      <c r="AE1506" s="580">
        <f t="shared" si="152"/>
        <v>2.5</v>
      </c>
      <c r="AF1506" s="580">
        <f t="shared" si="153"/>
        <v>2.5</v>
      </c>
      <c r="AG1506" s="580">
        <f t="shared" si="154"/>
        <v>0</v>
      </c>
      <c r="AH1506" s="580">
        <f t="shared" si="155"/>
        <v>0</v>
      </c>
    </row>
    <row r="1507" spans="28:34">
      <c r="AB1507" s="580">
        <f>HLOOKUP("*"&amp;'Output annual'!$AC$2&amp;'Output annual'!$AD$2&amp;"*Zone People Number Of Occupants [](Hourly)",'Eplus results'!$1:$1048576,ROW(),FALSE)</f>
        <v>0</v>
      </c>
      <c r="AC1507" s="580">
        <f>HLOOKUP("*"&amp;'Output annual'!$AC$2&amp;'Output annual'!$AD$2&amp;"*FangerPMV(Hourly)",'Eplus results'!$1:$1048576,ROW(),FALSE)</f>
        <v>0</v>
      </c>
      <c r="AD1507" s="580">
        <f t="shared" si="151"/>
        <v>5</v>
      </c>
      <c r="AE1507" s="580">
        <f t="shared" si="152"/>
        <v>2.5</v>
      </c>
      <c r="AF1507" s="580">
        <f t="shared" si="153"/>
        <v>2.5</v>
      </c>
      <c r="AG1507" s="580">
        <f t="shared" si="154"/>
        <v>0</v>
      </c>
      <c r="AH1507" s="580">
        <f t="shared" si="155"/>
        <v>0</v>
      </c>
    </row>
    <row r="1508" spans="28:34">
      <c r="AB1508" s="580">
        <f>HLOOKUP("*"&amp;'Output annual'!$AC$2&amp;'Output annual'!$AD$2&amp;"*Zone People Number Of Occupants [](Hourly)",'Eplus results'!$1:$1048576,ROW(),FALSE)</f>
        <v>0</v>
      </c>
      <c r="AC1508" s="580">
        <f>HLOOKUP("*"&amp;'Output annual'!$AC$2&amp;'Output annual'!$AD$2&amp;"*FangerPMV(Hourly)",'Eplus results'!$1:$1048576,ROW(),FALSE)</f>
        <v>0</v>
      </c>
      <c r="AD1508" s="580">
        <f t="shared" si="151"/>
        <v>5</v>
      </c>
      <c r="AE1508" s="580">
        <f t="shared" si="152"/>
        <v>2.5</v>
      </c>
      <c r="AF1508" s="580">
        <f t="shared" si="153"/>
        <v>2.5</v>
      </c>
      <c r="AG1508" s="580">
        <f t="shared" si="154"/>
        <v>0</v>
      </c>
      <c r="AH1508" s="580">
        <f t="shared" si="155"/>
        <v>0</v>
      </c>
    </row>
    <row r="1509" spans="28:34">
      <c r="AB1509" s="580">
        <f>HLOOKUP("*"&amp;'Output annual'!$AC$2&amp;'Output annual'!$AD$2&amp;"*Zone People Number Of Occupants [](Hourly)",'Eplus results'!$1:$1048576,ROW(),FALSE)</f>
        <v>0</v>
      </c>
      <c r="AC1509" s="580">
        <f>HLOOKUP("*"&amp;'Output annual'!$AC$2&amp;'Output annual'!$AD$2&amp;"*FangerPMV(Hourly)",'Eplus results'!$1:$1048576,ROW(),FALSE)</f>
        <v>0</v>
      </c>
      <c r="AD1509" s="580">
        <f t="shared" si="151"/>
        <v>5</v>
      </c>
      <c r="AE1509" s="580">
        <f t="shared" si="152"/>
        <v>2.5</v>
      </c>
      <c r="AF1509" s="580">
        <f t="shared" si="153"/>
        <v>2.5</v>
      </c>
      <c r="AG1509" s="580">
        <f t="shared" si="154"/>
        <v>0</v>
      </c>
      <c r="AH1509" s="580">
        <f t="shared" si="155"/>
        <v>0</v>
      </c>
    </row>
    <row r="1510" spans="28:34">
      <c r="AB1510" s="580">
        <f>HLOOKUP("*"&amp;'Output annual'!$AC$2&amp;'Output annual'!$AD$2&amp;"*Zone People Number Of Occupants [](Hourly)",'Eplus results'!$1:$1048576,ROW(),FALSE)</f>
        <v>0</v>
      </c>
      <c r="AC1510" s="580">
        <f>HLOOKUP("*"&amp;'Output annual'!$AC$2&amp;'Output annual'!$AD$2&amp;"*FangerPMV(Hourly)",'Eplus results'!$1:$1048576,ROW(),FALSE)</f>
        <v>0</v>
      </c>
      <c r="AD1510" s="580">
        <f t="shared" si="151"/>
        <v>5</v>
      </c>
      <c r="AE1510" s="580">
        <f t="shared" si="152"/>
        <v>2.5</v>
      </c>
      <c r="AF1510" s="580">
        <f t="shared" si="153"/>
        <v>2.5</v>
      </c>
      <c r="AG1510" s="580">
        <f t="shared" si="154"/>
        <v>0</v>
      </c>
      <c r="AH1510" s="580">
        <f t="shared" si="155"/>
        <v>0</v>
      </c>
    </row>
    <row r="1511" spans="28:34">
      <c r="AB1511" s="580">
        <f>HLOOKUP("*"&amp;'Output annual'!$AC$2&amp;'Output annual'!$AD$2&amp;"*Zone People Number Of Occupants [](Hourly)",'Eplus results'!$1:$1048576,ROW(),FALSE)</f>
        <v>0</v>
      </c>
      <c r="AC1511" s="580">
        <f>HLOOKUP("*"&amp;'Output annual'!$AC$2&amp;'Output annual'!$AD$2&amp;"*FangerPMV(Hourly)",'Eplus results'!$1:$1048576,ROW(),FALSE)</f>
        <v>0</v>
      </c>
      <c r="AD1511" s="580">
        <f t="shared" si="151"/>
        <v>5</v>
      </c>
      <c r="AE1511" s="580">
        <f t="shared" si="152"/>
        <v>2.5</v>
      </c>
      <c r="AF1511" s="580">
        <f t="shared" si="153"/>
        <v>2.5</v>
      </c>
      <c r="AG1511" s="580">
        <f t="shared" si="154"/>
        <v>0</v>
      </c>
      <c r="AH1511" s="580">
        <f t="shared" si="155"/>
        <v>0</v>
      </c>
    </row>
    <row r="1512" spans="28:34">
      <c r="AB1512" s="580">
        <f>HLOOKUP("*"&amp;'Output annual'!$AC$2&amp;'Output annual'!$AD$2&amp;"*Zone People Number Of Occupants [](Hourly)",'Eplus results'!$1:$1048576,ROW(),FALSE)</f>
        <v>0</v>
      </c>
      <c r="AC1512" s="580">
        <f>HLOOKUP("*"&amp;'Output annual'!$AC$2&amp;'Output annual'!$AD$2&amp;"*FangerPMV(Hourly)",'Eplus results'!$1:$1048576,ROW(),FALSE)</f>
        <v>0</v>
      </c>
      <c r="AD1512" s="580">
        <f t="shared" si="151"/>
        <v>5</v>
      </c>
      <c r="AE1512" s="580">
        <f t="shared" si="152"/>
        <v>2.5</v>
      </c>
      <c r="AF1512" s="580">
        <f t="shared" si="153"/>
        <v>2.5</v>
      </c>
      <c r="AG1512" s="580">
        <f t="shared" si="154"/>
        <v>0</v>
      </c>
      <c r="AH1512" s="580">
        <f t="shared" si="155"/>
        <v>0</v>
      </c>
    </row>
    <row r="1513" spans="28:34">
      <c r="AB1513" s="580">
        <f>HLOOKUP("*"&amp;'Output annual'!$AC$2&amp;'Output annual'!$AD$2&amp;"*Zone People Number Of Occupants [](Hourly)",'Eplus results'!$1:$1048576,ROW(),FALSE)</f>
        <v>0</v>
      </c>
      <c r="AC1513" s="580">
        <f>HLOOKUP("*"&amp;'Output annual'!$AC$2&amp;'Output annual'!$AD$2&amp;"*FangerPMV(Hourly)",'Eplus results'!$1:$1048576,ROW(),FALSE)</f>
        <v>0</v>
      </c>
      <c r="AD1513" s="580">
        <f t="shared" si="151"/>
        <v>5</v>
      </c>
      <c r="AE1513" s="580">
        <f t="shared" si="152"/>
        <v>2.5</v>
      </c>
      <c r="AF1513" s="580">
        <f t="shared" si="153"/>
        <v>2.5</v>
      </c>
      <c r="AG1513" s="580">
        <f t="shared" si="154"/>
        <v>0</v>
      </c>
      <c r="AH1513" s="580">
        <f t="shared" si="155"/>
        <v>0</v>
      </c>
    </row>
    <row r="1514" spans="28:34">
      <c r="AB1514" s="580">
        <f>HLOOKUP("*"&amp;'Output annual'!$AC$2&amp;'Output annual'!$AD$2&amp;"*Zone People Number Of Occupants [](Hourly)",'Eplus results'!$1:$1048576,ROW(),FALSE)</f>
        <v>0</v>
      </c>
      <c r="AC1514" s="580">
        <f>HLOOKUP("*"&amp;'Output annual'!$AC$2&amp;'Output annual'!$AD$2&amp;"*FangerPMV(Hourly)",'Eplus results'!$1:$1048576,ROW(),FALSE)</f>
        <v>0</v>
      </c>
      <c r="AD1514" s="580">
        <f t="shared" si="151"/>
        <v>5</v>
      </c>
      <c r="AE1514" s="580">
        <f t="shared" si="152"/>
        <v>2.5</v>
      </c>
      <c r="AF1514" s="580">
        <f t="shared" si="153"/>
        <v>2.5</v>
      </c>
      <c r="AG1514" s="580">
        <f t="shared" si="154"/>
        <v>0</v>
      </c>
      <c r="AH1514" s="580">
        <f t="shared" si="155"/>
        <v>0</v>
      </c>
    </row>
    <row r="1515" spans="28:34">
      <c r="AB1515" s="580">
        <f>HLOOKUP("*"&amp;'Output annual'!$AC$2&amp;'Output annual'!$AD$2&amp;"*Zone People Number Of Occupants [](Hourly)",'Eplus results'!$1:$1048576,ROW(),FALSE)</f>
        <v>0</v>
      </c>
      <c r="AC1515" s="580">
        <f>HLOOKUP("*"&amp;'Output annual'!$AC$2&amp;'Output annual'!$AD$2&amp;"*FangerPMV(Hourly)",'Eplus results'!$1:$1048576,ROW(),FALSE)</f>
        <v>0</v>
      </c>
      <c r="AD1515" s="580">
        <f t="shared" si="151"/>
        <v>5</v>
      </c>
      <c r="AE1515" s="580">
        <f t="shared" si="152"/>
        <v>2.5</v>
      </c>
      <c r="AF1515" s="580">
        <f t="shared" si="153"/>
        <v>2.5</v>
      </c>
      <c r="AG1515" s="580">
        <f t="shared" si="154"/>
        <v>0</v>
      </c>
      <c r="AH1515" s="580">
        <f t="shared" si="155"/>
        <v>0</v>
      </c>
    </row>
    <row r="1516" spans="28:34">
      <c r="AB1516" s="580">
        <f>HLOOKUP("*"&amp;'Output annual'!$AC$2&amp;'Output annual'!$AD$2&amp;"*Zone People Number Of Occupants [](Hourly)",'Eplus results'!$1:$1048576,ROW(),FALSE)</f>
        <v>0</v>
      </c>
      <c r="AC1516" s="580">
        <f>HLOOKUP("*"&amp;'Output annual'!$AC$2&amp;'Output annual'!$AD$2&amp;"*FangerPMV(Hourly)",'Eplus results'!$1:$1048576,ROW(),FALSE)</f>
        <v>0</v>
      </c>
      <c r="AD1516" s="580">
        <f t="shared" si="151"/>
        <v>5</v>
      </c>
      <c r="AE1516" s="580">
        <f t="shared" si="152"/>
        <v>2.5</v>
      </c>
      <c r="AF1516" s="580">
        <f t="shared" si="153"/>
        <v>2.5</v>
      </c>
      <c r="AG1516" s="580">
        <f t="shared" si="154"/>
        <v>0</v>
      </c>
      <c r="AH1516" s="580">
        <f t="shared" si="155"/>
        <v>0</v>
      </c>
    </row>
    <row r="1517" spans="28:34">
      <c r="AB1517" s="580">
        <f>HLOOKUP("*"&amp;'Output annual'!$AC$2&amp;'Output annual'!$AD$2&amp;"*Zone People Number Of Occupants [](Hourly)",'Eplus results'!$1:$1048576,ROW(),FALSE)</f>
        <v>0</v>
      </c>
      <c r="AC1517" s="580">
        <f>HLOOKUP("*"&amp;'Output annual'!$AC$2&amp;'Output annual'!$AD$2&amp;"*FangerPMV(Hourly)",'Eplus results'!$1:$1048576,ROW(),FALSE)</f>
        <v>0</v>
      </c>
      <c r="AD1517" s="580">
        <f t="shared" si="151"/>
        <v>5</v>
      </c>
      <c r="AE1517" s="580">
        <f t="shared" si="152"/>
        <v>2.5</v>
      </c>
      <c r="AF1517" s="580">
        <f t="shared" si="153"/>
        <v>2.5</v>
      </c>
      <c r="AG1517" s="580">
        <f t="shared" si="154"/>
        <v>0</v>
      </c>
      <c r="AH1517" s="580">
        <f t="shared" si="155"/>
        <v>0</v>
      </c>
    </row>
    <row r="1518" spans="28:34">
      <c r="AB1518" s="580">
        <f>HLOOKUP("*"&amp;'Output annual'!$AC$2&amp;'Output annual'!$AD$2&amp;"*Zone People Number Of Occupants [](Hourly)",'Eplus results'!$1:$1048576,ROW(),FALSE)</f>
        <v>0</v>
      </c>
      <c r="AC1518" s="580">
        <f>HLOOKUP("*"&amp;'Output annual'!$AC$2&amp;'Output annual'!$AD$2&amp;"*FangerPMV(Hourly)",'Eplus results'!$1:$1048576,ROW(),FALSE)</f>
        <v>0</v>
      </c>
      <c r="AD1518" s="580">
        <f t="shared" si="151"/>
        <v>5</v>
      </c>
      <c r="AE1518" s="580">
        <f t="shared" si="152"/>
        <v>2.5</v>
      </c>
      <c r="AF1518" s="580">
        <f t="shared" si="153"/>
        <v>2.5</v>
      </c>
      <c r="AG1518" s="580">
        <f t="shared" si="154"/>
        <v>0</v>
      </c>
      <c r="AH1518" s="580">
        <f t="shared" si="155"/>
        <v>0</v>
      </c>
    </row>
    <row r="1519" spans="28:34">
      <c r="AB1519" s="580">
        <f>HLOOKUP("*"&amp;'Output annual'!$AC$2&amp;'Output annual'!$AD$2&amp;"*Zone People Number Of Occupants [](Hourly)",'Eplus results'!$1:$1048576,ROW(),FALSE)</f>
        <v>0</v>
      </c>
      <c r="AC1519" s="580">
        <f>HLOOKUP("*"&amp;'Output annual'!$AC$2&amp;'Output annual'!$AD$2&amp;"*FangerPMV(Hourly)",'Eplus results'!$1:$1048576,ROW(),FALSE)</f>
        <v>0</v>
      </c>
      <c r="AD1519" s="580">
        <f t="shared" si="151"/>
        <v>5</v>
      </c>
      <c r="AE1519" s="580">
        <f t="shared" si="152"/>
        <v>2.5</v>
      </c>
      <c r="AF1519" s="580">
        <f t="shared" si="153"/>
        <v>2.5</v>
      </c>
      <c r="AG1519" s="580">
        <f t="shared" si="154"/>
        <v>0</v>
      </c>
      <c r="AH1519" s="580">
        <f t="shared" si="155"/>
        <v>0</v>
      </c>
    </row>
    <row r="1520" spans="28:34">
      <c r="AB1520" s="580">
        <f>HLOOKUP("*"&amp;'Output annual'!$AC$2&amp;'Output annual'!$AD$2&amp;"*Zone People Number Of Occupants [](Hourly)",'Eplus results'!$1:$1048576,ROW(),FALSE)</f>
        <v>0</v>
      </c>
      <c r="AC1520" s="580">
        <f>HLOOKUP("*"&amp;'Output annual'!$AC$2&amp;'Output annual'!$AD$2&amp;"*FangerPMV(Hourly)",'Eplus results'!$1:$1048576,ROW(),FALSE)</f>
        <v>0</v>
      </c>
      <c r="AD1520" s="580">
        <f t="shared" si="151"/>
        <v>5</v>
      </c>
      <c r="AE1520" s="580">
        <f t="shared" si="152"/>
        <v>2.5</v>
      </c>
      <c r="AF1520" s="580">
        <f t="shared" si="153"/>
        <v>2.5</v>
      </c>
      <c r="AG1520" s="580">
        <f t="shared" si="154"/>
        <v>0</v>
      </c>
      <c r="AH1520" s="580">
        <f t="shared" si="155"/>
        <v>0</v>
      </c>
    </row>
    <row r="1521" spans="28:34">
      <c r="AB1521" s="580">
        <f>HLOOKUP("*"&amp;'Output annual'!$AC$2&amp;'Output annual'!$AD$2&amp;"*Zone People Number Of Occupants [](Hourly)",'Eplus results'!$1:$1048576,ROW(),FALSE)</f>
        <v>0</v>
      </c>
      <c r="AC1521" s="580">
        <f>HLOOKUP("*"&amp;'Output annual'!$AC$2&amp;'Output annual'!$AD$2&amp;"*FangerPMV(Hourly)",'Eplus results'!$1:$1048576,ROW(),FALSE)</f>
        <v>0</v>
      </c>
      <c r="AD1521" s="580">
        <f t="shared" si="151"/>
        <v>5</v>
      </c>
      <c r="AE1521" s="580">
        <f t="shared" si="152"/>
        <v>2.5</v>
      </c>
      <c r="AF1521" s="580">
        <f t="shared" si="153"/>
        <v>2.5</v>
      </c>
      <c r="AG1521" s="580">
        <f t="shared" si="154"/>
        <v>0</v>
      </c>
      <c r="AH1521" s="580">
        <f t="shared" si="155"/>
        <v>0</v>
      </c>
    </row>
    <row r="1522" spans="28:34">
      <c r="AB1522" s="580">
        <f>HLOOKUP("*"&amp;'Output annual'!$AC$2&amp;'Output annual'!$AD$2&amp;"*Zone People Number Of Occupants [](Hourly)",'Eplus results'!$1:$1048576,ROW(),FALSE)</f>
        <v>0</v>
      </c>
      <c r="AC1522" s="580">
        <f>HLOOKUP("*"&amp;'Output annual'!$AC$2&amp;'Output annual'!$AD$2&amp;"*FangerPMV(Hourly)",'Eplus results'!$1:$1048576,ROW(),FALSE)</f>
        <v>0</v>
      </c>
      <c r="AD1522" s="580">
        <f t="shared" si="151"/>
        <v>5</v>
      </c>
      <c r="AE1522" s="580">
        <f t="shared" si="152"/>
        <v>2.5</v>
      </c>
      <c r="AF1522" s="580">
        <f t="shared" si="153"/>
        <v>2.5</v>
      </c>
      <c r="AG1522" s="580">
        <f t="shared" si="154"/>
        <v>0</v>
      </c>
      <c r="AH1522" s="580">
        <f t="shared" si="155"/>
        <v>0</v>
      </c>
    </row>
    <row r="1523" spans="28:34">
      <c r="AB1523" s="580">
        <f>HLOOKUP("*"&amp;'Output annual'!$AC$2&amp;'Output annual'!$AD$2&amp;"*Zone People Number Of Occupants [](Hourly)",'Eplus results'!$1:$1048576,ROW(),FALSE)</f>
        <v>0</v>
      </c>
      <c r="AC1523" s="580">
        <f>HLOOKUP("*"&amp;'Output annual'!$AC$2&amp;'Output annual'!$AD$2&amp;"*FangerPMV(Hourly)",'Eplus results'!$1:$1048576,ROW(),FALSE)</f>
        <v>0</v>
      </c>
      <c r="AD1523" s="580">
        <f t="shared" si="151"/>
        <v>5</v>
      </c>
      <c r="AE1523" s="580">
        <f t="shared" si="152"/>
        <v>2.5</v>
      </c>
      <c r="AF1523" s="580">
        <f t="shared" si="153"/>
        <v>2.5</v>
      </c>
      <c r="AG1523" s="580">
        <f t="shared" si="154"/>
        <v>0</v>
      </c>
      <c r="AH1523" s="580">
        <f t="shared" si="155"/>
        <v>0</v>
      </c>
    </row>
    <row r="1524" spans="28:34">
      <c r="AB1524" s="580">
        <f>HLOOKUP("*"&amp;'Output annual'!$AC$2&amp;'Output annual'!$AD$2&amp;"*Zone People Number Of Occupants [](Hourly)",'Eplus results'!$1:$1048576,ROW(),FALSE)</f>
        <v>0</v>
      </c>
      <c r="AC1524" s="580">
        <f>HLOOKUP("*"&amp;'Output annual'!$AC$2&amp;'Output annual'!$AD$2&amp;"*FangerPMV(Hourly)",'Eplus results'!$1:$1048576,ROW(),FALSE)</f>
        <v>0</v>
      </c>
      <c r="AD1524" s="580">
        <f t="shared" si="151"/>
        <v>5</v>
      </c>
      <c r="AE1524" s="580">
        <f t="shared" si="152"/>
        <v>2.5</v>
      </c>
      <c r="AF1524" s="580">
        <f t="shared" si="153"/>
        <v>2.5</v>
      </c>
      <c r="AG1524" s="580">
        <f t="shared" si="154"/>
        <v>0</v>
      </c>
      <c r="AH1524" s="580">
        <f t="shared" si="155"/>
        <v>0</v>
      </c>
    </row>
    <row r="1525" spans="28:34">
      <c r="AB1525" s="580">
        <f>HLOOKUP("*"&amp;'Output annual'!$AC$2&amp;'Output annual'!$AD$2&amp;"*Zone People Number Of Occupants [](Hourly)",'Eplus results'!$1:$1048576,ROW(),FALSE)</f>
        <v>0</v>
      </c>
      <c r="AC1525" s="580">
        <f>HLOOKUP("*"&amp;'Output annual'!$AC$2&amp;'Output annual'!$AD$2&amp;"*FangerPMV(Hourly)",'Eplus results'!$1:$1048576,ROW(),FALSE)</f>
        <v>0</v>
      </c>
      <c r="AD1525" s="580">
        <f t="shared" si="151"/>
        <v>5</v>
      </c>
      <c r="AE1525" s="580">
        <f t="shared" si="152"/>
        <v>2.5</v>
      </c>
      <c r="AF1525" s="580">
        <f t="shared" si="153"/>
        <v>2.5</v>
      </c>
      <c r="AG1525" s="580">
        <f t="shared" si="154"/>
        <v>0</v>
      </c>
      <c r="AH1525" s="580">
        <f t="shared" si="155"/>
        <v>0</v>
      </c>
    </row>
    <row r="1526" spans="28:34">
      <c r="AB1526" s="580">
        <f>HLOOKUP("*"&amp;'Output annual'!$AC$2&amp;'Output annual'!$AD$2&amp;"*Zone People Number Of Occupants [](Hourly)",'Eplus results'!$1:$1048576,ROW(),FALSE)</f>
        <v>0</v>
      </c>
      <c r="AC1526" s="580">
        <f>HLOOKUP("*"&amp;'Output annual'!$AC$2&amp;'Output annual'!$AD$2&amp;"*FangerPMV(Hourly)",'Eplus results'!$1:$1048576,ROW(),FALSE)</f>
        <v>0</v>
      </c>
      <c r="AD1526" s="580">
        <f t="shared" si="151"/>
        <v>5</v>
      </c>
      <c r="AE1526" s="580">
        <f t="shared" si="152"/>
        <v>2.5</v>
      </c>
      <c r="AF1526" s="580">
        <f t="shared" si="153"/>
        <v>2.5</v>
      </c>
      <c r="AG1526" s="580">
        <f t="shared" si="154"/>
        <v>0</v>
      </c>
      <c r="AH1526" s="580">
        <f t="shared" si="155"/>
        <v>0</v>
      </c>
    </row>
    <row r="1527" spans="28:34">
      <c r="AB1527" s="580">
        <f>HLOOKUP("*"&amp;'Output annual'!$AC$2&amp;'Output annual'!$AD$2&amp;"*Zone People Number Of Occupants [](Hourly)",'Eplus results'!$1:$1048576,ROW(),FALSE)</f>
        <v>0</v>
      </c>
      <c r="AC1527" s="580">
        <f>HLOOKUP("*"&amp;'Output annual'!$AC$2&amp;'Output annual'!$AD$2&amp;"*FangerPMV(Hourly)",'Eplus results'!$1:$1048576,ROW(),FALSE)</f>
        <v>0</v>
      </c>
      <c r="AD1527" s="580">
        <f t="shared" si="151"/>
        <v>5</v>
      </c>
      <c r="AE1527" s="580">
        <f t="shared" si="152"/>
        <v>2.5</v>
      </c>
      <c r="AF1527" s="580">
        <f t="shared" si="153"/>
        <v>2.5</v>
      </c>
      <c r="AG1527" s="580">
        <f t="shared" si="154"/>
        <v>0</v>
      </c>
      <c r="AH1527" s="580">
        <f t="shared" si="155"/>
        <v>0</v>
      </c>
    </row>
    <row r="1528" spans="28:34">
      <c r="AB1528" s="580">
        <f>HLOOKUP("*"&amp;'Output annual'!$AC$2&amp;'Output annual'!$AD$2&amp;"*Zone People Number Of Occupants [](Hourly)",'Eplus results'!$1:$1048576,ROW(),FALSE)</f>
        <v>0</v>
      </c>
      <c r="AC1528" s="580">
        <f>HLOOKUP("*"&amp;'Output annual'!$AC$2&amp;'Output annual'!$AD$2&amp;"*FangerPMV(Hourly)",'Eplus results'!$1:$1048576,ROW(),FALSE)</f>
        <v>0</v>
      </c>
      <c r="AD1528" s="580">
        <f t="shared" si="151"/>
        <v>5</v>
      </c>
      <c r="AE1528" s="580">
        <f t="shared" si="152"/>
        <v>2.5</v>
      </c>
      <c r="AF1528" s="580">
        <f t="shared" si="153"/>
        <v>2.5</v>
      </c>
      <c r="AG1528" s="580">
        <f t="shared" si="154"/>
        <v>0</v>
      </c>
      <c r="AH1528" s="580">
        <f t="shared" si="155"/>
        <v>0</v>
      </c>
    </row>
    <row r="1529" spans="28:34">
      <c r="AB1529" s="580">
        <f>HLOOKUP("*"&amp;'Output annual'!$AC$2&amp;'Output annual'!$AD$2&amp;"*Zone People Number Of Occupants [](Hourly)",'Eplus results'!$1:$1048576,ROW(),FALSE)</f>
        <v>0</v>
      </c>
      <c r="AC1529" s="580">
        <f>HLOOKUP("*"&amp;'Output annual'!$AC$2&amp;'Output annual'!$AD$2&amp;"*FangerPMV(Hourly)",'Eplus results'!$1:$1048576,ROW(),FALSE)</f>
        <v>0</v>
      </c>
      <c r="AD1529" s="580">
        <f t="shared" si="151"/>
        <v>5</v>
      </c>
      <c r="AE1529" s="580">
        <f t="shared" si="152"/>
        <v>2.5</v>
      </c>
      <c r="AF1529" s="580">
        <f t="shared" si="153"/>
        <v>2.5</v>
      </c>
      <c r="AG1529" s="580">
        <f t="shared" si="154"/>
        <v>0</v>
      </c>
      <c r="AH1529" s="580">
        <f t="shared" si="155"/>
        <v>0</v>
      </c>
    </row>
    <row r="1530" spans="28:34">
      <c r="AB1530" s="580">
        <f>HLOOKUP("*"&amp;'Output annual'!$AC$2&amp;'Output annual'!$AD$2&amp;"*Zone People Number Of Occupants [](Hourly)",'Eplus results'!$1:$1048576,ROW(),FALSE)</f>
        <v>0</v>
      </c>
      <c r="AC1530" s="580">
        <f>HLOOKUP("*"&amp;'Output annual'!$AC$2&amp;'Output annual'!$AD$2&amp;"*FangerPMV(Hourly)",'Eplus results'!$1:$1048576,ROW(),FALSE)</f>
        <v>0</v>
      </c>
      <c r="AD1530" s="580">
        <f t="shared" si="151"/>
        <v>5</v>
      </c>
      <c r="AE1530" s="580">
        <f t="shared" si="152"/>
        <v>2.5</v>
      </c>
      <c r="AF1530" s="580">
        <f t="shared" si="153"/>
        <v>2.5</v>
      </c>
      <c r="AG1530" s="580">
        <f t="shared" si="154"/>
        <v>0</v>
      </c>
      <c r="AH1530" s="580">
        <f t="shared" si="155"/>
        <v>0</v>
      </c>
    </row>
    <row r="1531" spans="28:34">
      <c r="AB1531" s="580">
        <f>HLOOKUP("*"&amp;'Output annual'!$AC$2&amp;'Output annual'!$AD$2&amp;"*Zone People Number Of Occupants [](Hourly)",'Eplus results'!$1:$1048576,ROW(),FALSE)</f>
        <v>0</v>
      </c>
      <c r="AC1531" s="580">
        <f>HLOOKUP("*"&amp;'Output annual'!$AC$2&amp;'Output annual'!$AD$2&amp;"*FangerPMV(Hourly)",'Eplus results'!$1:$1048576,ROW(),FALSE)</f>
        <v>0</v>
      </c>
      <c r="AD1531" s="580">
        <f t="shared" si="151"/>
        <v>5</v>
      </c>
      <c r="AE1531" s="580">
        <f t="shared" si="152"/>
        <v>2.5</v>
      </c>
      <c r="AF1531" s="580">
        <f t="shared" si="153"/>
        <v>2.5</v>
      </c>
      <c r="AG1531" s="580">
        <f t="shared" si="154"/>
        <v>0</v>
      </c>
      <c r="AH1531" s="580">
        <f t="shared" si="155"/>
        <v>0</v>
      </c>
    </row>
    <row r="1532" spans="28:34">
      <c r="AB1532" s="580">
        <f>HLOOKUP("*"&amp;'Output annual'!$AC$2&amp;'Output annual'!$AD$2&amp;"*Zone People Number Of Occupants [](Hourly)",'Eplus results'!$1:$1048576,ROW(),FALSE)</f>
        <v>0</v>
      </c>
      <c r="AC1532" s="580">
        <f>HLOOKUP("*"&amp;'Output annual'!$AC$2&amp;'Output annual'!$AD$2&amp;"*FangerPMV(Hourly)",'Eplus results'!$1:$1048576,ROW(),FALSE)</f>
        <v>0</v>
      </c>
      <c r="AD1532" s="580">
        <f t="shared" si="151"/>
        <v>5</v>
      </c>
      <c r="AE1532" s="580">
        <f t="shared" si="152"/>
        <v>2.5</v>
      </c>
      <c r="AF1532" s="580">
        <f t="shared" si="153"/>
        <v>2.5</v>
      </c>
      <c r="AG1532" s="580">
        <f t="shared" si="154"/>
        <v>0</v>
      </c>
      <c r="AH1532" s="580">
        <f t="shared" si="155"/>
        <v>0</v>
      </c>
    </row>
    <row r="1533" spans="28:34">
      <c r="AB1533" s="580">
        <f>HLOOKUP("*"&amp;'Output annual'!$AC$2&amp;'Output annual'!$AD$2&amp;"*Zone People Number Of Occupants [](Hourly)",'Eplus results'!$1:$1048576,ROW(),FALSE)</f>
        <v>0</v>
      </c>
      <c r="AC1533" s="580">
        <f>HLOOKUP("*"&amp;'Output annual'!$AC$2&amp;'Output annual'!$AD$2&amp;"*FangerPMV(Hourly)",'Eplus results'!$1:$1048576,ROW(),FALSE)</f>
        <v>0</v>
      </c>
      <c r="AD1533" s="580">
        <f t="shared" si="151"/>
        <v>5</v>
      </c>
      <c r="AE1533" s="580">
        <f t="shared" si="152"/>
        <v>2.5</v>
      </c>
      <c r="AF1533" s="580">
        <f t="shared" si="153"/>
        <v>2.5</v>
      </c>
      <c r="AG1533" s="580">
        <f t="shared" si="154"/>
        <v>0</v>
      </c>
      <c r="AH1533" s="580">
        <f t="shared" si="155"/>
        <v>0</v>
      </c>
    </row>
    <row r="1534" spans="28:34">
      <c r="AB1534" s="580">
        <f>HLOOKUP("*"&amp;'Output annual'!$AC$2&amp;'Output annual'!$AD$2&amp;"*Zone People Number Of Occupants [](Hourly)",'Eplus results'!$1:$1048576,ROW(),FALSE)</f>
        <v>0</v>
      </c>
      <c r="AC1534" s="580">
        <f>HLOOKUP("*"&amp;'Output annual'!$AC$2&amp;'Output annual'!$AD$2&amp;"*FangerPMV(Hourly)",'Eplus results'!$1:$1048576,ROW(),FALSE)</f>
        <v>0</v>
      </c>
      <c r="AD1534" s="580">
        <f t="shared" si="151"/>
        <v>5</v>
      </c>
      <c r="AE1534" s="580">
        <f t="shared" si="152"/>
        <v>2.5</v>
      </c>
      <c r="AF1534" s="580">
        <f t="shared" si="153"/>
        <v>2.5</v>
      </c>
      <c r="AG1534" s="580">
        <f t="shared" si="154"/>
        <v>0</v>
      </c>
      <c r="AH1534" s="580">
        <f t="shared" si="155"/>
        <v>0</v>
      </c>
    </row>
    <row r="1535" spans="28:34">
      <c r="AB1535" s="580">
        <f>HLOOKUP("*"&amp;'Output annual'!$AC$2&amp;'Output annual'!$AD$2&amp;"*Zone People Number Of Occupants [](Hourly)",'Eplus results'!$1:$1048576,ROW(),FALSE)</f>
        <v>0</v>
      </c>
      <c r="AC1535" s="580">
        <f>HLOOKUP("*"&amp;'Output annual'!$AC$2&amp;'Output annual'!$AD$2&amp;"*FangerPMV(Hourly)",'Eplus results'!$1:$1048576,ROW(),FALSE)</f>
        <v>0</v>
      </c>
      <c r="AD1535" s="580">
        <f t="shared" si="151"/>
        <v>5</v>
      </c>
      <c r="AE1535" s="580">
        <f t="shared" si="152"/>
        <v>2.5</v>
      </c>
      <c r="AF1535" s="580">
        <f t="shared" si="153"/>
        <v>2.5</v>
      </c>
      <c r="AG1535" s="580">
        <f t="shared" si="154"/>
        <v>0</v>
      </c>
      <c r="AH1535" s="580">
        <f t="shared" si="155"/>
        <v>0</v>
      </c>
    </row>
    <row r="1536" spans="28:34">
      <c r="AB1536" s="580">
        <f>HLOOKUP("*"&amp;'Output annual'!$AC$2&amp;'Output annual'!$AD$2&amp;"*Zone People Number Of Occupants [](Hourly)",'Eplus results'!$1:$1048576,ROW(),FALSE)</f>
        <v>0</v>
      </c>
      <c r="AC1536" s="580">
        <f>HLOOKUP("*"&amp;'Output annual'!$AC$2&amp;'Output annual'!$AD$2&amp;"*FangerPMV(Hourly)",'Eplus results'!$1:$1048576,ROW(),FALSE)</f>
        <v>0</v>
      </c>
      <c r="AD1536" s="580">
        <f t="shared" si="151"/>
        <v>5</v>
      </c>
      <c r="AE1536" s="580">
        <f t="shared" si="152"/>
        <v>2.5</v>
      </c>
      <c r="AF1536" s="580">
        <f t="shared" si="153"/>
        <v>2.5</v>
      </c>
      <c r="AG1536" s="580">
        <f t="shared" si="154"/>
        <v>0</v>
      </c>
      <c r="AH1536" s="580">
        <f t="shared" si="155"/>
        <v>0</v>
      </c>
    </row>
    <row r="1537" spans="28:34">
      <c r="AB1537" s="580">
        <f>HLOOKUP("*"&amp;'Output annual'!$AC$2&amp;'Output annual'!$AD$2&amp;"*Zone People Number Of Occupants [](Hourly)",'Eplus results'!$1:$1048576,ROW(),FALSE)</f>
        <v>0</v>
      </c>
      <c r="AC1537" s="580">
        <f>HLOOKUP("*"&amp;'Output annual'!$AC$2&amp;'Output annual'!$AD$2&amp;"*FangerPMV(Hourly)",'Eplus results'!$1:$1048576,ROW(),FALSE)</f>
        <v>0</v>
      </c>
      <c r="AD1537" s="580">
        <f t="shared" si="151"/>
        <v>5</v>
      </c>
      <c r="AE1537" s="580">
        <f t="shared" si="152"/>
        <v>2.5</v>
      </c>
      <c r="AF1537" s="580">
        <f t="shared" si="153"/>
        <v>2.5</v>
      </c>
      <c r="AG1537" s="580">
        <f t="shared" si="154"/>
        <v>0</v>
      </c>
      <c r="AH1537" s="580">
        <f t="shared" si="155"/>
        <v>0</v>
      </c>
    </row>
    <row r="1538" spans="28:34">
      <c r="AB1538" s="580">
        <f>HLOOKUP("*"&amp;'Output annual'!$AC$2&amp;'Output annual'!$AD$2&amp;"*Zone People Number Of Occupants [](Hourly)",'Eplus results'!$1:$1048576,ROW(),FALSE)</f>
        <v>0</v>
      </c>
      <c r="AC1538" s="580">
        <f>HLOOKUP("*"&amp;'Output annual'!$AC$2&amp;'Output annual'!$AD$2&amp;"*FangerPMV(Hourly)",'Eplus results'!$1:$1048576,ROW(),FALSE)</f>
        <v>0</v>
      </c>
      <c r="AD1538" s="580">
        <f t="shared" si="151"/>
        <v>5</v>
      </c>
      <c r="AE1538" s="580">
        <f t="shared" si="152"/>
        <v>2.5</v>
      </c>
      <c r="AF1538" s="580">
        <f t="shared" si="153"/>
        <v>2.5</v>
      </c>
      <c r="AG1538" s="580">
        <f t="shared" si="154"/>
        <v>0</v>
      </c>
      <c r="AH1538" s="580">
        <f t="shared" si="155"/>
        <v>0</v>
      </c>
    </row>
    <row r="1539" spans="28:34">
      <c r="AB1539" s="580">
        <f>HLOOKUP("*"&amp;'Output annual'!$AC$2&amp;'Output annual'!$AD$2&amp;"*Zone People Number Of Occupants [](Hourly)",'Eplus results'!$1:$1048576,ROW(),FALSE)</f>
        <v>0</v>
      </c>
      <c r="AC1539" s="580">
        <f>HLOOKUP("*"&amp;'Output annual'!$AC$2&amp;'Output annual'!$AD$2&amp;"*FangerPMV(Hourly)",'Eplus results'!$1:$1048576,ROW(),FALSE)</f>
        <v>0</v>
      </c>
      <c r="AD1539" s="580">
        <f t="shared" ref="AD1539:AD1602" si="156">100-95*EXP(-0.03353*AC1539^4-0.2179*AC1539^2)</f>
        <v>5</v>
      </c>
      <c r="AE1539" s="580">
        <f t="shared" ref="AE1539:AE1602" si="157">AD1539*(1/(1+EXP(-6.3*$AC1539)))</f>
        <v>2.5</v>
      </c>
      <c r="AF1539" s="580">
        <f t="shared" ref="AF1539:AF1602" si="158">(AD1539-AE1539)</f>
        <v>2.5</v>
      </c>
      <c r="AG1539" s="580">
        <f t="shared" ref="AG1539:AG1602" si="159">AE1539*AB1539</f>
        <v>0</v>
      </c>
      <c r="AH1539" s="580">
        <f t="shared" ref="AH1539:AH1602" si="160">AF1539*AB1539</f>
        <v>0</v>
      </c>
    </row>
    <row r="1540" spans="28:34">
      <c r="AB1540" s="580">
        <f>HLOOKUP("*"&amp;'Output annual'!$AC$2&amp;'Output annual'!$AD$2&amp;"*Zone People Number Of Occupants [](Hourly)",'Eplus results'!$1:$1048576,ROW(),FALSE)</f>
        <v>0</v>
      </c>
      <c r="AC1540" s="580">
        <f>HLOOKUP("*"&amp;'Output annual'!$AC$2&amp;'Output annual'!$AD$2&amp;"*FangerPMV(Hourly)",'Eplus results'!$1:$1048576,ROW(),FALSE)</f>
        <v>0</v>
      </c>
      <c r="AD1540" s="580">
        <f t="shared" si="156"/>
        <v>5</v>
      </c>
      <c r="AE1540" s="580">
        <f t="shared" si="157"/>
        <v>2.5</v>
      </c>
      <c r="AF1540" s="580">
        <f t="shared" si="158"/>
        <v>2.5</v>
      </c>
      <c r="AG1540" s="580">
        <f t="shared" si="159"/>
        <v>0</v>
      </c>
      <c r="AH1540" s="580">
        <f t="shared" si="160"/>
        <v>0</v>
      </c>
    </row>
    <row r="1541" spans="28:34">
      <c r="AB1541" s="580">
        <f>HLOOKUP("*"&amp;'Output annual'!$AC$2&amp;'Output annual'!$AD$2&amp;"*Zone People Number Of Occupants [](Hourly)",'Eplus results'!$1:$1048576,ROW(),FALSE)</f>
        <v>0</v>
      </c>
      <c r="AC1541" s="580">
        <f>HLOOKUP("*"&amp;'Output annual'!$AC$2&amp;'Output annual'!$AD$2&amp;"*FangerPMV(Hourly)",'Eplus results'!$1:$1048576,ROW(),FALSE)</f>
        <v>0</v>
      </c>
      <c r="AD1541" s="580">
        <f t="shared" si="156"/>
        <v>5</v>
      </c>
      <c r="AE1541" s="580">
        <f t="shared" si="157"/>
        <v>2.5</v>
      </c>
      <c r="AF1541" s="580">
        <f t="shared" si="158"/>
        <v>2.5</v>
      </c>
      <c r="AG1541" s="580">
        <f t="shared" si="159"/>
        <v>0</v>
      </c>
      <c r="AH1541" s="580">
        <f t="shared" si="160"/>
        <v>0</v>
      </c>
    </row>
    <row r="1542" spans="28:34">
      <c r="AB1542" s="580">
        <f>HLOOKUP("*"&amp;'Output annual'!$AC$2&amp;'Output annual'!$AD$2&amp;"*Zone People Number Of Occupants [](Hourly)",'Eplus results'!$1:$1048576,ROW(),FALSE)</f>
        <v>0</v>
      </c>
      <c r="AC1542" s="580">
        <f>HLOOKUP("*"&amp;'Output annual'!$AC$2&amp;'Output annual'!$AD$2&amp;"*FangerPMV(Hourly)",'Eplus results'!$1:$1048576,ROW(),FALSE)</f>
        <v>0</v>
      </c>
      <c r="AD1542" s="580">
        <f t="shared" si="156"/>
        <v>5</v>
      </c>
      <c r="AE1542" s="580">
        <f t="shared" si="157"/>
        <v>2.5</v>
      </c>
      <c r="AF1542" s="580">
        <f t="shared" si="158"/>
        <v>2.5</v>
      </c>
      <c r="AG1542" s="580">
        <f t="shared" si="159"/>
        <v>0</v>
      </c>
      <c r="AH1542" s="580">
        <f t="shared" si="160"/>
        <v>0</v>
      </c>
    </row>
    <row r="1543" spans="28:34">
      <c r="AB1543" s="580">
        <f>HLOOKUP("*"&amp;'Output annual'!$AC$2&amp;'Output annual'!$AD$2&amp;"*Zone People Number Of Occupants [](Hourly)",'Eplus results'!$1:$1048576,ROW(),FALSE)</f>
        <v>0</v>
      </c>
      <c r="AC1543" s="580">
        <f>HLOOKUP("*"&amp;'Output annual'!$AC$2&amp;'Output annual'!$AD$2&amp;"*FangerPMV(Hourly)",'Eplus results'!$1:$1048576,ROW(),FALSE)</f>
        <v>0</v>
      </c>
      <c r="AD1543" s="580">
        <f t="shared" si="156"/>
        <v>5</v>
      </c>
      <c r="AE1543" s="580">
        <f t="shared" si="157"/>
        <v>2.5</v>
      </c>
      <c r="AF1543" s="580">
        <f t="shared" si="158"/>
        <v>2.5</v>
      </c>
      <c r="AG1543" s="580">
        <f t="shared" si="159"/>
        <v>0</v>
      </c>
      <c r="AH1543" s="580">
        <f t="shared" si="160"/>
        <v>0</v>
      </c>
    </row>
    <row r="1544" spans="28:34">
      <c r="AB1544" s="580">
        <f>HLOOKUP("*"&amp;'Output annual'!$AC$2&amp;'Output annual'!$AD$2&amp;"*Zone People Number Of Occupants [](Hourly)",'Eplus results'!$1:$1048576,ROW(),FALSE)</f>
        <v>0</v>
      </c>
      <c r="AC1544" s="580">
        <f>HLOOKUP("*"&amp;'Output annual'!$AC$2&amp;'Output annual'!$AD$2&amp;"*FangerPMV(Hourly)",'Eplus results'!$1:$1048576,ROW(),FALSE)</f>
        <v>0</v>
      </c>
      <c r="AD1544" s="580">
        <f t="shared" si="156"/>
        <v>5</v>
      </c>
      <c r="AE1544" s="580">
        <f t="shared" si="157"/>
        <v>2.5</v>
      </c>
      <c r="AF1544" s="580">
        <f t="shared" si="158"/>
        <v>2.5</v>
      </c>
      <c r="AG1544" s="580">
        <f t="shared" si="159"/>
        <v>0</v>
      </c>
      <c r="AH1544" s="580">
        <f t="shared" si="160"/>
        <v>0</v>
      </c>
    </row>
    <row r="1545" spans="28:34">
      <c r="AB1545" s="580">
        <f>HLOOKUP("*"&amp;'Output annual'!$AC$2&amp;'Output annual'!$AD$2&amp;"*Zone People Number Of Occupants [](Hourly)",'Eplus results'!$1:$1048576,ROW(),FALSE)</f>
        <v>0</v>
      </c>
      <c r="AC1545" s="580">
        <f>HLOOKUP("*"&amp;'Output annual'!$AC$2&amp;'Output annual'!$AD$2&amp;"*FangerPMV(Hourly)",'Eplus results'!$1:$1048576,ROW(),FALSE)</f>
        <v>0</v>
      </c>
      <c r="AD1545" s="580">
        <f t="shared" si="156"/>
        <v>5</v>
      </c>
      <c r="AE1545" s="580">
        <f t="shared" si="157"/>
        <v>2.5</v>
      </c>
      <c r="AF1545" s="580">
        <f t="shared" si="158"/>
        <v>2.5</v>
      </c>
      <c r="AG1545" s="580">
        <f t="shared" si="159"/>
        <v>0</v>
      </c>
      <c r="AH1545" s="580">
        <f t="shared" si="160"/>
        <v>0</v>
      </c>
    </row>
    <row r="1546" spans="28:34">
      <c r="AB1546" s="580">
        <f>HLOOKUP("*"&amp;'Output annual'!$AC$2&amp;'Output annual'!$AD$2&amp;"*Zone People Number Of Occupants [](Hourly)",'Eplus results'!$1:$1048576,ROW(),FALSE)</f>
        <v>0</v>
      </c>
      <c r="AC1546" s="580">
        <f>HLOOKUP("*"&amp;'Output annual'!$AC$2&amp;'Output annual'!$AD$2&amp;"*FangerPMV(Hourly)",'Eplus results'!$1:$1048576,ROW(),FALSE)</f>
        <v>0</v>
      </c>
      <c r="AD1546" s="580">
        <f t="shared" si="156"/>
        <v>5</v>
      </c>
      <c r="AE1546" s="580">
        <f t="shared" si="157"/>
        <v>2.5</v>
      </c>
      <c r="AF1546" s="580">
        <f t="shared" si="158"/>
        <v>2.5</v>
      </c>
      <c r="AG1546" s="580">
        <f t="shared" si="159"/>
        <v>0</v>
      </c>
      <c r="AH1546" s="580">
        <f t="shared" si="160"/>
        <v>0</v>
      </c>
    </row>
    <row r="1547" spans="28:34">
      <c r="AB1547" s="580">
        <f>HLOOKUP("*"&amp;'Output annual'!$AC$2&amp;'Output annual'!$AD$2&amp;"*Zone People Number Of Occupants [](Hourly)",'Eplus results'!$1:$1048576,ROW(),FALSE)</f>
        <v>0</v>
      </c>
      <c r="AC1547" s="580">
        <f>HLOOKUP("*"&amp;'Output annual'!$AC$2&amp;'Output annual'!$AD$2&amp;"*FangerPMV(Hourly)",'Eplus results'!$1:$1048576,ROW(),FALSE)</f>
        <v>0</v>
      </c>
      <c r="AD1547" s="580">
        <f t="shared" si="156"/>
        <v>5</v>
      </c>
      <c r="AE1547" s="580">
        <f t="shared" si="157"/>
        <v>2.5</v>
      </c>
      <c r="AF1547" s="580">
        <f t="shared" si="158"/>
        <v>2.5</v>
      </c>
      <c r="AG1547" s="580">
        <f t="shared" si="159"/>
        <v>0</v>
      </c>
      <c r="AH1547" s="580">
        <f t="shared" si="160"/>
        <v>0</v>
      </c>
    </row>
    <row r="1548" spans="28:34">
      <c r="AB1548" s="580">
        <f>HLOOKUP("*"&amp;'Output annual'!$AC$2&amp;'Output annual'!$AD$2&amp;"*Zone People Number Of Occupants [](Hourly)",'Eplus results'!$1:$1048576,ROW(),FALSE)</f>
        <v>0</v>
      </c>
      <c r="AC1548" s="580">
        <f>HLOOKUP("*"&amp;'Output annual'!$AC$2&amp;'Output annual'!$AD$2&amp;"*FangerPMV(Hourly)",'Eplus results'!$1:$1048576,ROW(),FALSE)</f>
        <v>0</v>
      </c>
      <c r="AD1548" s="580">
        <f t="shared" si="156"/>
        <v>5</v>
      </c>
      <c r="AE1548" s="580">
        <f t="shared" si="157"/>
        <v>2.5</v>
      </c>
      <c r="AF1548" s="580">
        <f t="shared" si="158"/>
        <v>2.5</v>
      </c>
      <c r="AG1548" s="580">
        <f t="shared" si="159"/>
        <v>0</v>
      </c>
      <c r="AH1548" s="580">
        <f t="shared" si="160"/>
        <v>0</v>
      </c>
    </row>
    <row r="1549" spans="28:34">
      <c r="AB1549" s="580">
        <f>HLOOKUP("*"&amp;'Output annual'!$AC$2&amp;'Output annual'!$AD$2&amp;"*Zone People Number Of Occupants [](Hourly)",'Eplus results'!$1:$1048576,ROW(),FALSE)</f>
        <v>0</v>
      </c>
      <c r="AC1549" s="580">
        <f>HLOOKUP("*"&amp;'Output annual'!$AC$2&amp;'Output annual'!$AD$2&amp;"*FangerPMV(Hourly)",'Eplus results'!$1:$1048576,ROW(),FALSE)</f>
        <v>0</v>
      </c>
      <c r="AD1549" s="580">
        <f t="shared" si="156"/>
        <v>5</v>
      </c>
      <c r="AE1549" s="580">
        <f t="shared" si="157"/>
        <v>2.5</v>
      </c>
      <c r="AF1549" s="580">
        <f t="shared" si="158"/>
        <v>2.5</v>
      </c>
      <c r="AG1549" s="580">
        <f t="shared" si="159"/>
        <v>0</v>
      </c>
      <c r="AH1549" s="580">
        <f t="shared" si="160"/>
        <v>0</v>
      </c>
    </row>
    <row r="1550" spans="28:34">
      <c r="AB1550" s="580">
        <f>HLOOKUP("*"&amp;'Output annual'!$AC$2&amp;'Output annual'!$AD$2&amp;"*Zone People Number Of Occupants [](Hourly)",'Eplus results'!$1:$1048576,ROW(),FALSE)</f>
        <v>0</v>
      </c>
      <c r="AC1550" s="580">
        <f>HLOOKUP("*"&amp;'Output annual'!$AC$2&amp;'Output annual'!$AD$2&amp;"*FangerPMV(Hourly)",'Eplus results'!$1:$1048576,ROW(),FALSE)</f>
        <v>0</v>
      </c>
      <c r="AD1550" s="580">
        <f t="shared" si="156"/>
        <v>5</v>
      </c>
      <c r="AE1550" s="580">
        <f t="shared" si="157"/>
        <v>2.5</v>
      </c>
      <c r="AF1550" s="580">
        <f t="shared" si="158"/>
        <v>2.5</v>
      </c>
      <c r="AG1550" s="580">
        <f t="shared" si="159"/>
        <v>0</v>
      </c>
      <c r="AH1550" s="580">
        <f t="shared" si="160"/>
        <v>0</v>
      </c>
    </row>
    <row r="1551" spans="28:34">
      <c r="AB1551" s="580">
        <f>HLOOKUP("*"&amp;'Output annual'!$AC$2&amp;'Output annual'!$AD$2&amp;"*Zone People Number Of Occupants [](Hourly)",'Eplus results'!$1:$1048576,ROW(),FALSE)</f>
        <v>0</v>
      </c>
      <c r="AC1551" s="580">
        <f>HLOOKUP("*"&amp;'Output annual'!$AC$2&amp;'Output annual'!$AD$2&amp;"*FangerPMV(Hourly)",'Eplus results'!$1:$1048576,ROW(),FALSE)</f>
        <v>0</v>
      </c>
      <c r="AD1551" s="580">
        <f t="shared" si="156"/>
        <v>5</v>
      </c>
      <c r="AE1551" s="580">
        <f t="shared" si="157"/>
        <v>2.5</v>
      </c>
      <c r="AF1551" s="580">
        <f t="shared" si="158"/>
        <v>2.5</v>
      </c>
      <c r="AG1551" s="580">
        <f t="shared" si="159"/>
        <v>0</v>
      </c>
      <c r="AH1551" s="580">
        <f t="shared" si="160"/>
        <v>0</v>
      </c>
    </row>
    <row r="1552" spans="28:34">
      <c r="AB1552" s="580">
        <f>HLOOKUP("*"&amp;'Output annual'!$AC$2&amp;'Output annual'!$AD$2&amp;"*Zone People Number Of Occupants [](Hourly)",'Eplus results'!$1:$1048576,ROW(),FALSE)</f>
        <v>0</v>
      </c>
      <c r="AC1552" s="580">
        <f>HLOOKUP("*"&amp;'Output annual'!$AC$2&amp;'Output annual'!$AD$2&amp;"*FangerPMV(Hourly)",'Eplus results'!$1:$1048576,ROW(),FALSE)</f>
        <v>0</v>
      </c>
      <c r="AD1552" s="580">
        <f t="shared" si="156"/>
        <v>5</v>
      </c>
      <c r="AE1552" s="580">
        <f t="shared" si="157"/>
        <v>2.5</v>
      </c>
      <c r="AF1552" s="580">
        <f t="shared" si="158"/>
        <v>2.5</v>
      </c>
      <c r="AG1552" s="580">
        <f t="shared" si="159"/>
        <v>0</v>
      </c>
      <c r="AH1552" s="580">
        <f t="shared" si="160"/>
        <v>0</v>
      </c>
    </row>
    <row r="1553" spans="28:34">
      <c r="AB1553" s="580">
        <f>HLOOKUP("*"&amp;'Output annual'!$AC$2&amp;'Output annual'!$AD$2&amp;"*Zone People Number Of Occupants [](Hourly)",'Eplus results'!$1:$1048576,ROW(),FALSE)</f>
        <v>0</v>
      </c>
      <c r="AC1553" s="580">
        <f>HLOOKUP("*"&amp;'Output annual'!$AC$2&amp;'Output annual'!$AD$2&amp;"*FangerPMV(Hourly)",'Eplus results'!$1:$1048576,ROW(),FALSE)</f>
        <v>0</v>
      </c>
      <c r="AD1553" s="580">
        <f t="shared" si="156"/>
        <v>5</v>
      </c>
      <c r="AE1553" s="580">
        <f t="shared" si="157"/>
        <v>2.5</v>
      </c>
      <c r="AF1553" s="580">
        <f t="shared" si="158"/>
        <v>2.5</v>
      </c>
      <c r="AG1553" s="580">
        <f t="shared" si="159"/>
        <v>0</v>
      </c>
      <c r="AH1553" s="580">
        <f t="shared" si="160"/>
        <v>0</v>
      </c>
    </row>
    <row r="1554" spans="28:34">
      <c r="AB1554" s="580">
        <f>HLOOKUP("*"&amp;'Output annual'!$AC$2&amp;'Output annual'!$AD$2&amp;"*Zone People Number Of Occupants [](Hourly)",'Eplus results'!$1:$1048576,ROW(),FALSE)</f>
        <v>0</v>
      </c>
      <c r="AC1554" s="580">
        <f>HLOOKUP("*"&amp;'Output annual'!$AC$2&amp;'Output annual'!$AD$2&amp;"*FangerPMV(Hourly)",'Eplus results'!$1:$1048576,ROW(),FALSE)</f>
        <v>0</v>
      </c>
      <c r="AD1554" s="580">
        <f t="shared" si="156"/>
        <v>5</v>
      </c>
      <c r="AE1554" s="580">
        <f t="shared" si="157"/>
        <v>2.5</v>
      </c>
      <c r="AF1554" s="580">
        <f t="shared" si="158"/>
        <v>2.5</v>
      </c>
      <c r="AG1554" s="580">
        <f t="shared" si="159"/>
        <v>0</v>
      </c>
      <c r="AH1554" s="580">
        <f t="shared" si="160"/>
        <v>0</v>
      </c>
    </row>
    <row r="1555" spans="28:34">
      <c r="AB1555" s="580">
        <f>HLOOKUP("*"&amp;'Output annual'!$AC$2&amp;'Output annual'!$AD$2&amp;"*Zone People Number Of Occupants [](Hourly)",'Eplus results'!$1:$1048576,ROW(),FALSE)</f>
        <v>0</v>
      </c>
      <c r="AC1555" s="580">
        <f>HLOOKUP("*"&amp;'Output annual'!$AC$2&amp;'Output annual'!$AD$2&amp;"*FangerPMV(Hourly)",'Eplus results'!$1:$1048576,ROW(),FALSE)</f>
        <v>0</v>
      </c>
      <c r="AD1555" s="580">
        <f t="shared" si="156"/>
        <v>5</v>
      </c>
      <c r="AE1555" s="580">
        <f t="shared" si="157"/>
        <v>2.5</v>
      </c>
      <c r="AF1555" s="580">
        <f t="shared" si="158"/>
        <v>2.5</v>
      </c>
      <c r="AG1555" s="580">
        <f t="shared" si="159"/>
        <v>0</v>
      </c>
      <c r="AH1555" s="580">
        <f t="shared" si="160"/>
        <v>0</v>
      </c>
    </row>
    <row r="1556" spans="28:34">
      <c r="AB1556" s="580">
        <f>HLOOKUP("*"&amp;'Output annual'!$AC$2&amp;'Output annual'!$AD$2&amp;"*Zone People Number Of Occupants [](Hourly)",'Eplus results'!$1:$1048576,ROW(),FALSE)</f>
        <v>0</v>
      </c>
      <c r="AC1556" s="580">
        <f>HLOOKUP("*"&amp;'Output annual'!$AC$2&amp;'Output annual'!$AD$2&amp;"*FangerPMV(Hourly)",'Eplus results'!$1:$1048576,ROW(),FALSE)</f>
        <v>0</v>
      </c>
      <c r="AD1556" s="580">
        <f t="shared" si="156"/>
        <v>5</v>
      </c>
      <c r="AE1556" s="580">
        <f t="shared" si="157"/>
        <v>2.5</v>
      </c>
      <c r="AF1556" s="580">
        <f t="shared" si="158"/>
        <v>2.5</v>
      </c>
      <c r="AG1556" s="580">
        <f t="shared" si="159"/>
        <v>0</v>
      </c>
      <c r="AH1556" s="580">
        <f t="shared" si="160"/>
        <v>0</v>
      </c>
    </row>
    <row r="1557" spans="28:34">
      <c r="AB1557" s="580">
        <f>HLOOKUP("*"&amp;'Output annual'!$AC$2&amp;'Output annual'!$AD$2&amp;"*Zone People Number Of Occupants [](Hourly)",'Eplus results'!$1:$1048576,ROW(),FALSE)</f>
        <v>0</v>
      </c>
      <c r="AC1557" s="580">
        <f>HLOOKUP("*"&amp;'Output annual'!$AC$2&amp;'Output annual'!$AD$2&amp;"*FangerPMV(Hourly)",'Eplus results'!$1:$1048576,ROW(),FALSE)</f>
        <v>0</v>
      </c>
      <c r="AD1557" s="580">
        <f t="shared" si="156"/>
        <v>5</v>
      </c>
      <c r="AE1557" s="580">
        <f t="shared" si="157"/>
        <v>2.5</v>
      </c>
      <c r="AF1557" s="580">
        <f t="shared" si="158"/>
        <v>2.5</v>
      </c>
      <c r="AG1557" s="580">
        <f t="shared" si="159"/>
        <v>0</v>
      </c>
      <c r="AH1557" s="580">
        <f t="shared" si="160"/>
        <v>0</v>
      </c>
    </row>
    <row r="1558" spans="28:34">
      <c r="AB1558" s="580">
        <f>HLOOKUP("*"&amp;'Output annual'!$AC$2&amp;'Output annual'!$AD$2&amp;"*Zone People Number Of Occupants [](Hourly)",'Eplus results'!$1:$1048576,ROW(),FALSE)</f>
        <v>0</v>
      </c>
      <c r="AC1558" s="580">
        <f>HLOOKUP("*"&amp;'Output annual'!$AC$2&amp;'Output annual'!$AD$2&amp;"*FangerPMV(Hourly)",'Eplus results'!$1:$1048576,ROW(),FALSE)</f>
        <v>0</v>
      </c>
      <c r="AD1558" s="580">
        <f t="shared" si="156"/>
        <v>5</v>
      </c>
      <c r="AE1558" s="580">
        <f t="shared" si="157"/>
        <v>2.5</v>
      </c>
      <c r="AF1558" s="580">
        <f t="shared" si="158"/>
        <v>2.5</v>
      </c>
      <c r="AG1558" s="580">
        <f t="shared" si="159"/>
        <v>0</v>
      </c>
      <c r="AH1558" s="580">
        <f t="shared" si="160"/>
        <v>0</v>
      </c>
    </row>
    <row r="1559" spans="28:34">
      <c r="AB1559" s="580">
        <f>HLOOKUP("*"&amp;'Output annual'!$AC$2&amp;'Output annual'!$AD$2&amp;"*Zone People Number Of Occupants [](Hourly)",'Eplus results'!$1:$1048576,ROW(),FALSE)</f>
        <v>0</v>
      </c>
      <c r="AC1559" s="580">
        <f>HLOOKUP("*"&amp;'Output annual'!$AC$2&amp;'Output annual'!$AD$2&amp;"*FangerPMV(Hourly)",'Eplus results'!$1:$1048576,ROW(),FALSE)</f>
        <v>0</v>
      </c>
      <c r="AD1559" s="580">
        <f t="shared" si="156"/>
        <v>5</v>
      </c>
      <c r="AE1559" s="580">
        <f t="shared" si="157"/>
        <v>2.5</v>
      </c>
      <c r="AF1559" s="580">
        <f t="shared" si="158"/>
        <v>2.5</v>
      </c>
      <c r="AG1559" s="580">
        <f t="shared" si="159"/>
        <v>0</v>
      </c>
      <c r="AH1559" s="580">
        <f t="shared" si="160"/>
        <v>0</v>
      </c>
    </row>
    <row r="1560" spans="28:34">
      <c r="AB1560" s="580">
        <f>HLOOKUP("*"&amp;'Output annual'!$AC$2&amp;'Output annual'!$AD$2&amp;"*Zone People Number Of Occupants [](Hourly)",'Eplus results'!$1:$1048576,ROW(),FALSE)</f>
        <v>0</v>
      </c>
      <c r="AC1560" s="580">
        <f>HLOOKUP("*"&amp;'Output annual'!$AC$2&amp;'Output annual'!$AD$2&amp;"*FangerPMV(Hourly)",'Eplus results'!$1:$1048576,ROW(),FALSE)</f>
        <v>0</v>
      </c>
      <c r="AD1560" s="580">
        <f t="shared" si="156"/>
        <v>5</v>
      </c>
      <c r="AE1560" s="580">
        <f t="shared" si="157"/>
        <v>2.5</v>
      </c>
      <c r="AF1560" s="580">
        <f t="shared" si="158"/>
        <v>2.5</v>
      </c>
      <c r="AG1560" s="580">
        <f t="shared" si="159"/>
        <v>0</v>
      </c>
      <c r="AH1560" s="580">
        <f t="shared" si="160"/>
        <v>0</v>
      </c>
    </row>
    <row r="1561" spans="28:34">
      <c r="AB1561" s="580">
        <f>HLOOKUP("*"&amp;'Output annual'!$AC$2&amp;'Output annual'!$AD$2&amp;"*Zone People Number Of Occupants [](Hourly)",'Eplus results'!$1:$1048576,ROW(),FALSE)</f>
        <v>0</v>
      </c>
      <c r="AC1561" s="580">
        <f>HLOOKUP("*"&amp;'Output annual'!$AC$2&amp;'Output annual'!$AD$2&amp;"*FangerPMV(Hourly)",'Eplus results'!$1:$1048576,ROW(),FALSE)</f>
        <v>0</v>
      </c>
      <c r="AD1561" s="580">
        <f t="shared" si="156"/>
        <v>5</v>
      </c>
      <c r="AE1561" s="580">
        <f t="shared" si="157"/>
        <v>2.5</v>
      </c>
      <c r="AF1561" s="580">
        <f t="shared" si="158"/>
        <v>2.5</v>
      </c>
      <c r="AG1561" s="580">
        <f t="shared" si="159"/>
        <v>0</v>
      </c>
      <c r="AH1561" s="580">
        <f t="shared" si="160"/>
        <v>0</v>
      </c>
    </row>
    <row r="1562" spans="28:34">
      <c r="AB1562" s="580">
        <f>HLOOKUP("*"&amp;'Output annual'!$AC$2&amp;'Output annual'!$AD$2&amp;"*Zone People Number Of Occupants [](Hourly)",'Eplus results'!$1:$1048576,ROW(),FALSE)</f>
        <v>0</v>
      </c>
      <c r="AC1562" s="580">
        <f>HLOOKUP("*"&amp;'Output annual'!$AC$2&amp;'Output annual'!$AD$2&amp;"*FangerPMV(Hourly)",'Eplus results'!$1:$1048576,ROW(),FALSE)</f>
        <v>0</v>
      </c>
      <c r="AD1562" s="580">
        <f t="shared" si="156"/>
        <v>5</v>
      </c>
      <c r="AE1562" s="580">
        <f t="shared" si="157"/>
        <v>2.5</v>
      </c>
      <c r="AF1562" s="580">
        <f t="shared" si="158"/>
        <v>2.5</v>
      </c>
      <c r="AG1562" s="580">
        <f t="shared" si="159"/>
        <v>0</v>
      </c>
      <c r="AH1562" s="580">
        <f t="shared" si="160"/>
        <v>0</v>
      </c>
    </row>
    <row r="1563" spans="28:34">
      <c r="AB1563" s="580">
        <f>HLOOKUP("*"&amp;'Output annual'!$AC$2&amp;'Output annual'!$AD$2&amp;"*Zone People Number Of Occupants [](Hourly)",'Eplus results'!$1:$1048576,ROW(),FALSE)</f>
        <v>0</v>
      </c>
      <c r="AC1563" s="580">
        <f>HLOOKUP("*"&amp;'Output annual'!$AC$2&amp;'Output annual'!$AD$2&amp;"*FangerPMV(Hourly)",'Eplus results'!$1:$1048576,ROW(),FALSE)</f>
        <v>0</v>
      </c>
      <c r="AD1563" s="580">
        <f t="shared" si="156"/>
        <v>5</v>
      </c>
      <c r="AE1563" s="580">
        <f t="shared" si="157"/>
        <v>2.5</v>
      </c>
      <c r="AF1563" s="580">
        <f t="shared" si="158"/>
        <v>2.5</v>
      </c>
      <c r="AG1563" s="580">
        <f t="shared" si="159"/>
        <v>0</v>
      </c>
      <c r="AH1563" s="580">
        <f t="shared" si="160"/>
        <v>0</v>
      </c>
    </row>
    <row r="1564" spans="28:34">
      <c r="AB1564" s="580">
        <f>HLOOKUP("*"&amp;'Output annual'!$AC$2&amp;'Output annual'!$AD$2&amp;"*Zone People Number Of Occupants [](Hourly)",'Eplus results'!$1:$1048576,ROW(),FALSE)</f>
        <v>0</v>
      </c>
      <c r="AC1564" s="580">
        <f>HLOOKUP("*"&amp;'Output annual'!$AC$2&amp;'Output annual'!$AD$2&amp;"*FangerPMV(Hourly)",'Eplus results'!$1:$1048576,ROW(),FALSE)</f>
        <v>0</v>
      </c>
      <c r="AD1564" s="580">
        <f t="shared" si="156"/>
        <v>5</v>
      </c>
      <c r="AE1564" s="580">
        <f t="shared" si="157"/>
        <v>2.5</v>
      </c>
      <c r="AF1564" s="580">
        <f t="shared" si="158"/>
        <v>2.5</v>
      </c>
      <c r="AG1564" s="580">
        <f t="shared" si="159"/>
        <v>0</v>
      </c>
      <c r="AH1564" s="580">
        <f t="shared" si="160"/>
        <v>0</v>
      </c>
    </row>
    <row r="1565" spans="28:34">
      <c r="AB1565" s="580">
        <f>HLOOKUP("*"&amp;'Output annual'!$AC$2&amp;'Output annual'!$AD$2&amp;"*Zone People Number Of Occupants [](Hourly)",'Eplus results'!$1:$1048576,ROW(),FALSE)</f>
        <v>0</v>
      </c>
      <c r="AC1565" s="580">
        <f>HLOOKUP("*"&amp;'Output annual'!$AC$2&amp;'Output annual'!$AD$2&amp;"*FangerPMV(Hourly)",'Eplus results'!$1:$1048576,ROW(),FALSE)</f>
        <v>0</v>
      </c>
      <c r="AD1565" s="580">
        <f t="shared" si="156"/>
        <v>5</v>
      </c>
      <c r="AE1565" s="580">
        <f t="shared" si="157"/>
        <v>2.5</v>
      </c>
      <c r="AF1565" s="580">
        <f t="shared" si="158"/>
        <v>2.5</v>
      </c>
      <c r="AG1565" s="580">
        <f t="shared" si="159"/>
        <v>0</v>
      </c>
      <c r="AH1565" s="580">
        <f t="shared" si="160"/>
        <v>0</v>
      </c>
    </row>
    <row r="1566" spans="28:34">
      <c r="AB1566" s="580">
        <f>HLOOKUP("*"&amp;'Output annual'!$AC$2&amp;'Output annual'!$AD$2&amp;"*Zone People Number Of Occupants [](Hourly)",'Eplus results'!$1:$1048576,ROW(),FALSE)</f>
        <v>0</v>
      </c>
      <c r="AC1566" s="580">
        <f>HLOOKUP("*"&amp;'Output annual'!$AC$2&amp;'Output annual'!$AD$2&amp;"*FangerPMV(Hourly)",'Eplus results'!$1:$1048576,ROW(),FALSE)</f>
        <v>0</v>
      </c>
      <c r="AD1566" s="580">
        <f t="shared" si="156"/>
        <v>5</v>
      </c>
      <c r="AE1566" s="580">
        <f t="shared" si="157"/>
        <v>2.5</v>
      </c>
      <c r="AF1566" s="580">
        <f t="shared" si="158"/>
        <v>2.5</v>
      </c>
      <c r="AG1566" s="580">
        <f t="shared" si="159"/>
        <v>0</v>
      </c>
      <c r="AH1566" s="580">
        <f t="shared" si="160"/>
        <v>0</v>
      </c>
    </row>
    <row r="1567" spans="28:34">
      <c r="AB1567" s="580">
        <f>HLOOKUP("*"&amp;'Output annual'!$AC$2&amp;'Output annual'!$AD$2&amp;"*Zone People Number Of Occupants [](Hourly)",'Eplus results'!$1:$1048576,ROW(),FALSE)</f>
        <v>0</v>
      </c>
      <c r="AC1567" s="580">
        <f>HLOOKUP("*"&amp;'Output annual'!$AC$2&amp;'Output annual'!$AD$2&amp;"*FangerPMV(Hourly)",'Eplus results'!$1:$1048576,ROW(),FALSE)</f>
        <v>0</v>
      </c>
      <c r="AD1567" s="580">
        <f t="shared" si="156"/>
        <v>5</v>
      </c>
      <c r="AE1567" s="580">
        <f t="shared" si="157"/>
        <v>2.5</v>
      </c>
      <c r="AF1567" s="580">
        <f t="shared" si="158"/>
        <v>2.5</v>
      </c>
      <c r="AG1567" s="580">
        <f t="shared" si="159"/>
        <v>0</v>
      </c>
      <c r="AH1567" s="580">
        <f t="shared" si="160"/>
        <v>0</v>
      </c>
    </row>
    <row r="1568" spans="28:34">
      <c r="AB1568" s="580">
        <f>HLOOKUP("*"&amp;'Output annual'!$AC$2&amp;'Output annual'!$AD$2&amp;"*Zone People Number Of Occupants [](Hourly)",'Eplus results'!$1:$1048576,ROW(),FALSE)</f>
        <v>0</v>
      </c>
      <c r="AC1568" s="580">
        <f>HLOOKUP("*"&amp;'Output annual'!$AC$2&amp;'Output annual'!$AD$2&amp;"*FangerPMV(Hourly)",'Eplus results'!$1:$1048576,ROW(),FALSE)</f>
        <v>0</v>
      </c>
      <c r="AD1568" s="580">
        <f t="shared" si="156"/>
        <v>5</v>
      </c>
      <c r="AE1568" s="580">
        <f t="shared" si="157"/>
        <v>2.5</v>
      </c>
      <c r="AF1568" s="580">
        <f t="shared" si="158"/>
        <v>2.5</v>
      </c>
      <c r="AG1568" s="580">
        <f t="shared" si="159"/>
        <v>0</v>
      </c>
      <c r="AH1568" s="580">
        <f t="shared" si="160"/>
        <v>0</v>
      </c>
    </row>
    <row r="1569" spans="28:34">
      <c r="AB1569" s="580">
        <f>HLOOKUP("*"&amp;'Output annual'!$AC$2&amp;'Output annual'!$AD$2&amp;"*Zone People Number Of Occupants [](Hourly)",'Eplus results'!$1:$1048576,ROW(),FALSE)</f>
        <v>0</v>
      </c>
      <c r="AC1569" s="580">
        <f>HLOOKUP("*"&amp;'Output annual'!$AC$2&amp;'Output annual'!$AD$2&amp;"*FangerPMV(Hourly)",'Eplus results'!$1:$1048576,ROW(),FALSE)</f>
        <v>0</v>
      </c>
      <c r="AD1569" s="580">
        <f t="shared" si="156"/>
        <v>5</v>
      </c>
      <c r="AE1569" s="580">
        <f t="shared" si="157"/>
        <v>2.5</v>
      </c>
      <c r="AF1569" s="580">
        <f t="shared" si="158"/>
        <v>2.5</v>
      </c>
      <c r="AG1569" s="580">
        <f t="shared" si="159"/>
        <v>0</v>
      </c>
      <c r="AH1569" s="580">
        <f t="shared" si="160"/>
        <v>0</v>
      </c>
    </row>
    <row r="1570" spans="28:34">
      <c r="AB1570" s="580">
        <f>HLOOKUP("*"&amp;'Output annual'!$AC$2&amp;'Output annual'!$AD$2&amp;"*Zone People Number Of Occupants [](Hourly)",'Eplus results'!$1:$1048576,ROW(),FALSE)</f>
        <v>0</v>
      </c>
      <c r="AC1570" s="580">
        <f>HLOOKUP("*"&amp;'Output annual'!$AC$2&amp;'Output annual'!$AD$2&amp;"*FangerPMV(Hourly)",'Eplus results'!$1:$1048576,ROW(),FALSE)</f>
        <v>0</v>
      </c>
      <c r="AD1570" s="580">
        <f t="shared" si="156"/>
        <v>5</v>
      </c>
      <c r="AE1570" s="580">
        <f t="shared" si="157"/>
        <v>2.5</v>
      </c>
      <c r="AF1570" s="580">
        <f t="shared" si="158"/>
        <v>2.5</v>
      </c>
      <c r="AG1570" s="580">
        <f t="shared" si="159"/>
        <v>0</v>
      </c>
      <c r="AH1570" s="580">
        <f t="shared" si="160"/>
        <v>0</v>
      </c>
    </row>
    <row r="1571" spans="28:34">
      <c r="AB1571" s="580">
        <f>HLOOKUP("*"&amp;'Output annual'!$AC$2&amp;'Output annual'!$AD$2&amp;"*Zone People Number Of Occupants [](Hourly)",'Eplus results'!$1:$1048576,ROW(),FALSE)</f>
        <v>0</v>
      </c>
      <c r="AC1571" s="580">
        <f>HLOOKUP("*"&amp;'Output annual'!$AC$2&amp;'Output annual'!$AD$2&amp;"*FangerPMV(Hourly)",'Eplus results'!$1:$1048576,ROW(),FALSE)</f>
        <v>0</v>
      </c>
      <c r="AD1571" s="580">
        <f t="shared" si="156"/>
        <v>5</v>
      </c>
      <c r="AE1571" s="580">
        <f t="shared" si="157"/>
        <v>2.5</v>
      </c>
      <c r="AF1571" s="580">
        <f t="shared" si="158"/>
        <v>2.5</v>
      </c>
      <c r="AG1571" s="580">
        <f t="shared" si="159"/>
        <v>0</v>
      </c>
      <c r="AH1571" s="580">
        <f t="shared" si="160"/>
        <v>0</v>
      </c>
    </row>
    <row r="1572" spans="28:34">
      <c r="AB1572" s="580">
        <f>HLOOKUP("*"&amp;'Output annual'!$AC$2&amp;'Output annual'!$AD$2&amp;"*Zone People Number Of Occupants [](Hourly)",'Eplus results'!$1:$1048576,ROW(),FALSE)</f>
        <v>0</v>
      </c>
      <c r="AC1572" s="580">
        <f>HLOOKUP("*"&amp;'Output annual'!$AC$2&amp;'Output annual'!$AD$2&amp;"*FangerPMV(Hourly)",'Eplus results'!$1:$1048576,ROW(),FALSE)</f>
        <v>0</v>
      </c>
      <c r="AD1572" s="580">
        <f t="shared" si="156"/>
        <v>5</v>
      </c>
      <c r="AE1572" s="580">
        <f t="shared" si="157"/>
        <v>2.5</v>
      </c>
      <c r="AF1572" s="580">
        <f t="shared" si="158"/>
        <v>2.5</v>
      </c>
      <c r="AG1572" s="580">
        <f t="shared" si="159"/>
        <v>0</v>
      </c>
      <c r="AH1572" s="580">
        <f t="shared" si="160"/>
        <v>0</v>
      </c>
    </row>
    <row r="1573" spans="28:34">
      <c r="AB1573" s="580">
        <f>HLOOKUP("*"&amp;'Output annual'!$AC$2&amp;'Output annual'!$AD$2&amp;"*Zone People Number Of Occupants [](Hourly)",'Eplus results'!$1:$1048576,ROW(),FALSE)</f>
        <v>0</v>
      </c>
      <c r="AC1573" s="580">
        <f>HLOOKUP("*"&amp;'Output annual'!$AC$2&amp;'Output annual'!$AD$2&amp;"*FangerPMV(Hourly)",'Eplus results'!$1:$1048576,ROW(),FALSE)</f>
        <v>0</v>
      </c>
      <c r="AD1573" s="580">
        <f t="shared" si="156"/>
        <v>5</v>
      </c>
      <c r="AE1573" s="580">
        <f t="shared" si="157"/>
        <v>2.5</v>
      </c>
      <c r="AF1573" s="580">
        <f t="shared" si="158"/>
        <v>2.5</v>
      </c>
      <c r="AG1573" s="580">
        <f t="shared" si="159"/>
        <v>0</v>
      </c>
      <c r="AH1573" s="580">
        <f t="shared" si="160"/>
        <v>0</v>
      </c>
    </row>
    <row r="1574" spans="28:34">
      <c r="AB1574" s="580">
        <f>HLOOKUP("*"&amp;'Output annual'!$AC$2&amp;'Output annual'!$AD$2&amp;"*Zone People Number Of Occupants [](Hourly)",'Eplus results'!$1:$1048576,ROW(),FALSE)</f>
        <v>0</v>
      </c>
      <c r="AC1574" s="580">
        <f>HLOOKUP("*"&amp;'Output annual'!$AC$2&amp;'Output annual'!$AD$2&amp;"*FangerPMV(Hourly)",'Eplus results'!$1:$1048576,ROW(),FALSE)</f>
        <v>0</v>
      </c>
      <c r="AD1574" s="580">
        <f t="shared" si="156"/>
        <v>5</v>
      </c>
      <c r="AE1574" s="580">
        <f t="shared" si="157"/>
        <v>2.5</v>
      </c>
      <c r="AF1574" s="580">
        <f t="shared" si="158"/>
        <v>2.5</v>
      </c>
      <c r="AG1574" s="580">
        <f t="shared" si="159"/>
        <v>0</v>
      </c>
      <c r="AH1574" s="580">
        <f t="shared" si="160"/>
        <v>0</v>
      </c>
    </row>
    <row r="1575" spans="28:34">
      <c r="AB1575" s="580">
        <f>HLOOKUP("*"&amp;'Output annual'!$AC$2&amp;'Output annual'!$AD$2&amp;"*Zone People Number Of Occupants [](Hourly)",'Eplus results'!$1:$1048576,ROW(),FALSE)</f>
        <v>0</v>
      </c>
      <c r="AC1575" s="580">
        <f>HLOOKUP("*"&amp;'Output annual'!$AC$2&amp;'Output annual'!$AD$2&amp;"*FangerPMV(Hourly)",'Eplus results'!$1:$1048576,ROW(),FALSE)</f>
        <v>0</v>
      </c>
      <c r="AD1575" s="580">
        <f t="shared" si="156"/>
        <v>5</v>
      </c>
      <c r="AE1575" s="580">
        <f t="shared" si="157"/>
        <v>2.5</v>
      </c>
      <c r="AF1575" s="580">
        <f t="shared" si="158"/>
        <v>2.5</v>
      </c>
      <c r="AG1575" s="580">
        <f t="shared" si="159"/>
        <v>0</v>
      </c>
      <c r="AH1575" s="580">
        <f t="shared" si="160"/>
        <v>0</v>
      </c>
    </row>
    <row r="1576" spans="28:34">
      <c r="AB1576" s="580">
        <f>HLOOKUP("*"&amp;'Output annual'!$AC$2&amp;'Output annual'!$AD$2&amp;"*Zone People Number Of Occupants [](Hourly)",'Eplus results'!$1:$1048576,ROW(),FALSE)</f>
        <v>0</v>
      </c>
      <c r="AC1576" s="580">
        <f>HLOOKUP("*"&amp;'Output annual'!$AC$2&amp;'Output annual'!$AD$2&amp;"*FangerPMV(Hourly)",'Eplus results'!$1:$1048576,ROW(),FALSE)</f>
        <v>0</v>
      </c>
      <c r="AD1576" s="580">
        <f t="shared" si="156"/>
        <v>5</v>
      </c>
      <c r="AE1576" s="580">
        <f t="shared" si="157"/>
        <v>2.5</v>
      </c>
      <c r="AF1576" s="580">
        <f t="shared" si="158"/>
        <v>2.5</v>
      </c>
      <c r="AG1576" s="580">
        <f t="shared" si="159"/>
        <v>0</v>
      </c>
      <c r="AH1576" s="580">
        <f t="shared" si="160"/>
        <v>0</v>
      </c>
    </row>
    <row r="1577" spans="28:34">
      <c r="AB1577" s="580">
        <f>HLOOKUP("*"&amp;'Output annual'!$AC$2&amp;'Output annual'!$AD$2&amp;"*Zone People Number Of Occupants [](Hourly)",'Eplus results'!$1:$1048576,ROW(),FALSE)</f>
        <v>0</v>
      </c>
      <c r="AC1577" s="580">
        <f>HLOOKUP("*"&amp;'Output annual'!$AC$2&amp;'Output annual'!$AD$2&amp;"*FangerPMV(Hourly)",'Eplus results'!$1:$1048576,ROW(),FALSE)</f>
        <v>0</v>
      </c>
      <c r="AD1577" s="580">
        <f t="shared" si="156"/>
        <v>5</v>
      </c>
      <c r="AE1577" s="580">
        <f t="shared" si="157"/>
        <v>2.5</v>
      </c>
      <c r="AF1577" s="580">
        <f t="shared" si="158"/>
        <v>2.5</v>
      </c>
      <c r="AG1577" s="580">
        <f t="shared" si="159"/>
        <v>0</v>
      </c>
      <c r="AH1577" s="580">
        <f t="shared" si="160"/>
        <v>0</v>
      </c>
    </row>
    <row r="1578" spans="28:34">
      <c r="AB1578" s="580">
        <f>HLOOKUP("*"&amp;'Output annual'!$AC$2&amp;'Output annual'!$AD$2&amp;"*Zone People Number Of Occupants [](Hourly)",'Eplus results'!$1:$1048576,ROW(),FALSE)</f>
        <v>0</v>
      </c>
      <c r="AC1578" s="580">
        <f>HLOOKUP("*"&amp;'Output annual'!$AC$2&amp;'Output annual'!$AD$2&amp;"*FangerPMV(Hourly)",'Eplus results'!$1:$1048576,ROW(),FALSE)</f>
        <v>0</v>
      </c>
      <c r="AD1578" s="580">
        <f t="shared" si="156"/>
        <v>5</v>
      </c>
      <c r="AE1578" s="580">
        <f t="shared" si="157"/>
        <v>2.5</v>
      </c>
      <c r="AF1578" s="580">
        <f t="shared" si="158"/>
        <v>2.5</v>
      </c>
      <c r="AG1578" s="580">
        <f t="shared" si="159"/>
        <v>0</v>
      </c>
      <c r="AH1578" s="580">
        <f t="shared" si="160"/>
        <v>0</v>
      </c>
    </row>
    <row r="1579" spans="28:34">
      <c r="AB1579" s="580">
        <f>HLOOKUP("*"&amp;'Output annual'!$AC$2&amp;'Output annual'!$AD$2&amp;"*Zone People Number Of Occupants [](Hourly)",'Eplus results'!$1:$1048576,ROW(),FALSE)</f>
        <v>0</v>
      </c>
      <c r="AC1579" s="580">
        <f>HLOOKUP("*"&amp;'Output annual'!$AC$2&amp;'Output annual'!$AD$2&amp;"*FangerPMV(Hourly)",'Eplus results'!$1:$1048576,ROW(),FALSE)</f>
        <v>0</v>
      </c>
      <c r="AD1579" s="580">
        <f t="shared" si="156"/>
        <v>5</v>
      </c>
      <c r="AE1579" s="580">
        <f t="shared" si="157"/>
        <v>2.5</v>
      </c>
      <c r="AF1579" s="580">
        <f t="shared" si="158"/>
        <v>2.5</v>
      </c>
      <c r="AG1579" s="580">
        <f t="shared" si="159"/>
        <v>0</v>
      </c>
      <c r="AH1579" s="580">
        <f t="shared" si="160"/>
        <v>0</v>
      </c>
    </row>
    <row r="1580" spans="28:34">
      <c r="AB1580" s="580">
        <f>HLOOKUP("*"&amp;'Output annual'!$AC$2&amp;'Output annual'!$AD$2&amp;"*Zone People Number Of Occupants [](Hourly)",'Eplus results'!$1:$1048576,ROW(),FALSE)</f>
        <v>0</v>
      </c>
      <c r="AC1580" s="580">
        <f>HLOOKUP("*"&amp;'Output annual'!$AC$2&amp;'Output annual'!$AD$2&amp;"*FangerPMV(Hourly)",'Eplus results'!$1:$1048576,ROW(),FALSE)</f>
        <v>0</v>
      </c>
      <c r="AD1580" s="580">
        <f t="shared" si="156"/>
        <v>5</v>
      </c>
      <c r="AE1580" s="580">
        <f t="shared" si="157"/>
        <v>2.5</v>
      </c>
      <c r="AF1580" s="580">
        <f t="shared" si="158"/>
        <v>2.5</v>
      </c>
      <c r="AG1580" s="580">
        <f t="shared" si="159"/>
        <v>0</v>
      </c>
      <c r="AH1580" s="580">
        <f t="shared" si="160"/>
        <v>0</v>
      </c>
    </row>
    <row r="1581" spans="28:34">
      <c r="AB1581" s="580">
        <f>HLOOKUP("*"&amp;'Output annual'!$AC$2&amp;'Output annual'!$AD$2&amp;"*Zone People Number Of Occupants [](Hourly)",'Eplus results'!$1:$1048576,ROW(),FALSE)</f>
        <v>0</v>
      </c>
      <c r="AC1581" s="580">
        <f>HLOOKUP("*"&amp;'Output annual'!$AC$2&amp;'Output annual'!$AD$2&amp;"*FangerPMV(Hourly)",'Eplus results'!$1:$1048576,ROW(),FALSE)</f>
        <v>0</v>
      </c>
      <c r="AD1581" s="580">
        <f t="shared" si="156"/>
        <v>5</v>
      </c>
      <c r="AE1581" s="580">
        <f t="shared" si="157"/>
        <v>2.5</v>
      </c>
      <c r="AF1581" s="580">
        <f t="shared" si="158"/>
        <v>2.5</v>
      </c>
      <c r="AG1581" s="580">
        <f t="shared" si="159"/>
        <v>0</v>
      </c>
      <c r="AH1581" s="580">
        <f t="shared" si="160"/>
        <v>0</v>
      </c>
    </row>
    <row r="1582" spans="28:34">
      <c r="AB1582" s="580">
        <f>HLOOKUP("*"&amp;'Output annual'!$AC$2&amp;'Output annual'!$AD$2&amp;"*Zone People Number Of Occupants [](Hourly)",'Eplus results'!$1:$1048576,ROW(),FALSE)</f>
        <v>0</v>
      </c>
      <c r="AC1582" s="580">
        <f>HLOOKUP("*"&amp;'Output annual'!$AC$2&amp;'Output annual'!$AD$2&amp;"*FangerPMV(Hourly)",'Eplus results'!$1:$1048576,ROW(),FALSE)</f>
        <v>0</v>
      </c>
      <c r="AD1582" s="580">
        <f t="shared" si="156"/>
        <v>5</v>
      </c>
      <c r="AE1582" s="580">
        <f t="shared" si="157"/>
        <v>2.5</v>
      </c>
      <c r="AF1582" s="580">
        <f t="shared" si="158"/>
        <v>2.5</v>
      </c>
      <c r="AG1582" s="580">
        <f t="shared" si="159"/>
        <v>0</v>
      </c>
      <c r="AH1582" s="580">
        <f t="shared" si="160"/>
        <v>0</v>
      </c>
    </row>
    <row r="1583" spans="28:34">
      <c r="AB1583" s="580">
        <f>HLOOKUP("*"&amp;'Output annual'!$AC$2&amp;'Output annual'!$AD$2&amp;"*Zone People Number Of Occupants [](Hourly)",'Eplus results'!$1:$1048576,ROW(),FALSE)</f>
        <v>0</v>
      </c>
      <c r="AC1583" s="580">
        <f>HLOOKUP("*"&amp;'Output annual'!$AC$2&amp;'Output annual'!$AD$2&amp;"*FangerPMV(Hourly)",'Eplus results'!$1:$1048576,ROW(),FALSE)</f>
        <v>0</v>
      </c>
      <c r="AD1583" s="580">
        <f t="shared" si="156"/>
        <v>5</v>
      </c>
      <c r="AE1583" s="580">
        <f t="shared" si="157"/>
        <v>2.5</v>
      </c>
      <c r="AF1583" s="580">
        <f t="shared" si="158"/>
        <v>2.5</v>
      </c>
      <c r="AG1583" s="580">
        <f t="shared" si="159"/>
        <v>0</v>
      </c>
      <c r="AH1583" s="580">
        <f t="shared" si="160"/>
        <v>0</v>
      </c>
    </row>
    <row r="1584" spans="28:34">
      <c r="AB1584" s="580">
        <f>HLOOKUP("*"&amp;'Output annual'!$AC$2&amp;'Output annual'!$AD$2&amp;"*Zone People Number Of Occupants [](Hourly)",'Eplus results'!$1:$1048576,ROW(),FALSE)</f>
        <v>0</v>
      </c>
      <c r="AC1584" s="580">
        <f>HLOOKUP("*"&amp;'Output annual'!$AC$2&amp;'Output annual'!$AD$2&amp;"*FangerPMV(Hourly)",'Eplus results'!$1:$1048576,ROW(),FALSE)</f>
        <v>0</v>
      </c>
      <c r="AD1584" s="580">
        <f t="shared" si="156"/>
        <v>5</v>
      </c>
      <c r="AE1584" s="580">
        <f t="shared" si="157"/>
        <v>2.5</v>
      </c>
      <c r="AF1584" s="580">
        <f t="shared" si="158"/>
        <v>2.5</v>
      </c>
      <c r="AG1584" s="580">
        <f t="shared" si="159"/>
        <v>0</v>
      </c>
      <c r="AH1584" s="580">
        <f t="shared" si="160"/>
        <v>0</v>
      </c>
    </row>
    <row r="1585" spans="28:34">
      <c r="AB1585" s="580">
        <f>HLOOKUP("*"&amp;'Output annual'!$AC$2&amp;'Output annual'!$AD$2&amp;"*Zone People Number Of Occupants [](Hourly)",'Eplus results'!$1:$1048576,ROW(),FALSE)</f>
        <v>0</v>
      </c>
      <c r="AC1585" s="580">
        <f>HLOOKUP("*"&amp;'Output annual'!$AC$2&amp;'Output annual'!$AD$2&amp;"*FangerPMV(Hourly)",'Eplus results'!$1:$1048576,ROW(),FALSE)</f>
        <v>0</v>
      </c>
      <c r="AD1585" s="580">
        <f t="shared" si="156"/>
        <v>5</v>
      </c>
      <c r="AE1585" s="580">
        <f t="shared" si="157"/>
        <v>2.5</v>
      </c>
      <c r="AF1585" s="580">
        <f t="shared" si="158"/>
        <v>2.5</v>
      </c>
      <c r="AG1585" s="580">
        <f t="shared" si="159"/>
        <v>0</v>
      </c>
      <c r="AH1585" s="580">
        <f t="shared" si="160"/>
        <v>0</v>
      </c>
    </row>
    <row r="1586" spans="28:34">
      <c r="AB1586" s="580">
        <f>HLOOKUP("*"&amp;'Output annual'!$AC$2&amp;'Output annual'!$AD$2&amp;"*Zone People Number Of Occupants [](Hourly)",'Eplus results'!$1:$1048576,ROW(),FALSE)</f>
        <v>0</v>
      </c>
      <c r="AC1586" s="580">
        <f>HLOOKUP("*"&amp;'Output annual'!$AC$2&amp;'Output annual'!$AD$2&amp;"*FangerPMV(Hourly)",'Eplus results'!$1:$1048576,ROW(),FALSE)</f>
        <v>0</v>
      </c>
      <c r="AD1586" s="580">
        <f t="shared" si="156"/>
        <v>5</v>
      </c>
      <c r="AE1586" s="580">
        <f t="shared" si="157"/>
        <v>2.5</v>
      </c>
      <c r="AF1586" s="580">
        <f t="shared" si="158"/>
        <v>2.5</v>
      </c>
      <c r="AG1586" s="580">
        <f t="shared" si="159"/>
        <v>0</v>
      </c>
      <c r="AH1586" s="580">
        <f t="shared" si="160"/>
        <v>0</v>
      </c>
    </row>
    <row r="1587" spans="28:34">
      <c r="AB1587" s="580">
        <f>HLOOKUP("*"&amp;'Output annual'!$AC$2&amp;'Output annual'!$AD$2&amp;"*Zone People Number Of Occupants [](Hourly)",'Eplus results'!$1:$1048576,ROW(),FALSE)</f>
        <v>0</v>
      </c>
      <c r="AC1587" s="580">
        <f>HLOOKUP("*"&amp;'Output annual'!$AC$2&amp;'Output annual'!$AD$2&amp;"*FangerPMV(Hourly)",'Eplus results'!$1:$1048576,ROW(),FALSE)</f>
        <v>0</v>
      </c>
      <c r="AD1587" s="580">
        <f t="shared" si="156"/>
        <v>5</v>
      </c>
      <c r="AE1587" s="580">
        <f t="shared" si="157"/>
        <v>2.5</v>
      </c>
      <c r="AF1587" s="580">
        <f t="shared" si="158"/>
        <v>2.5</v>
      </c>
      <c r="AG1587" s="580">
        <f t="shared" si="159"/>
        <v>0</v>
      </c>
      <c r="AH1587" s="580">
        <f t="shared" si="160"/>
        <v>0</v>
      </c>
    </row>
    <row r="1588" spans="28:34">
      <c r="AB1588" s="580">
        <f>HLOOKUP("*"&amp;'Output annual'!$AC$2&amp;'Output annual'!$AD$2&amp;"*Zone People Number Of Occupants [](Hourly)",'Eplus results'!$1:$1048576,ROW(),FALSE)</f>
        <v>0</v>
      </c>
      <c r="AC1588" s="580">
        <f>HLOOKUP("*"&amp;'Output annual'!$AC$2&amp;'Output annual'!$AD$2&amp;"*FangerPMV(Hourly)",'Eplus results'!$1:$1048576,ROW(),FALSE)</f>
        <v>0</v>
      </c>
      <c r="AD1588" s="580">
        <f t="shared" si="156"/>
        <v>5</v>
      </c>
      <c r="AE1588" s="580">
        <f t="shared" si="157"/>
        <v>2.5</v>
      </c>
      <c r="AF1588" s="580">
        <f t="shared" si="158"/>
        <v>2.5</v>
      </c>
      <c r="AG1588" s="580">
        <f t="shared" si="159"/>
        <v>0</v>
      </c>
      <c r="AH1588" s="580">
        <f t="shared" si="160"/>
        <v>0</v>
      </c>
    </row>
    <row r="1589" spans="28:34">
      <c r="AB1589" s="580">
        <f>HLOOKUP("*"&amp;'Output annual'!$AC$2&amp;'Output annual'!$AD$2&amp;"*Zone People Number Of Occupants [](Hourly)",'Eplus results'!$1:$1048576,ROW(),FALSE)</f>
        <v>0</v>
      </c>
      <c r="AC1589" s="580">
        <f>HLOOKUP("*"&amp;'Output annual'!$AC$2&amp;'Output annual'!$AD$2&amp;"*FangerPMV(Hourly)",'Eplus results'!$1:$1048576,ROW(),FALSE)</f>
        <v>0</v>
      </c>
      <c r="AD1589" s="580">
        <f t="shared" si="156"/>
        <v>5</v>
      </c>
      <c r="AE1589" s="580">
        <f t="shared" si="157"/>
        <v>2.5</v>
      </c>
      <c r="AF1589" s="580">
        <f t="shared" si="158"/>
        <v>2.5</v>
      </c>
      <c r="AG1589" s="580">
        <f t="shared" si="159"/>
        <v>0</v>
      </c>
      <c r="AH1589" s="580">
        <f t="shared" si="160"/>
        <v>0</v>
      </c>
    </row>
    <row r="1590" spans="28:34">
      <c r="AB1590" s="580">
        <f>HLOOKUP("*"&amp;'Output annual'!$AC$2&amp;'Output annual'!$AD$2&amp;"*Zone People Number Of Occupants [](Hourly)",'Eplus results'!$1:$1048576,ROW(),FALSE)</f>
        <v>0</v>
      </c>
      <c r="AC1590" s="580">
        <f>HLOOKUP("*"&amp;'Output annual'!$AC$2&amp;'Output annual'!$AD$2&amp;"*FangerPMV(Hourly)",'Eplus results'!$1:$1048576,ROW(),FALSE)</f>
        <v>0</v>
      </c>
      <c r="AD1590" s="580">
        <f t="shared" si="156"/>
        <v>5</v>
      </c>
      <c r="AE1590" s="580">
        <f t="shared" si="157"/>
        <v>2.5</v>
      </c>
      <c r="AF1590" s="580">
        <f t="shared" si="158"/>
        <v>2.5</v>
      </c>
      <c r="AG1590" s="580">
        <f t="shared" si="159"/>
        <v>0</v>
      </c>
      <c r="AH1590" s="580">
        <f t="shared" si="160"/>
        <v>0</v>
      </c>
    </row>
    <row r="1591" spans="28:34">
      <c r="AB1591" s="580">
        <f>HLOOKUP("*"&amp;'Output annual'!$AC$2&amp;'Output annual'!$AD$2&amp;"*Zone People Number Of Occupants [](Hourly)",'Eplus results'!$1:$1048576,ROW(),FALSE)</f>
        <v>0</v>
      </c>
      <c r="AC1591" s="580">
        <f>HLOOKUP("*"&amp;'Output annual'!$AC$2&amp;'Output annual'!$AD$2&amp;"*FangerPMV(Hourly)",'Eplus results'!$1:$1048576,ROW(),FALSE)</f>
        <v>0</v>
      </c>
      <c r="AD1591" s="580">
        <f t="shared" si="156"/>
        <v>5</v>
      </c>
      <c r="AE1591" s="580">
        <f t="shared" si="157"/>
        <v>2.5</v>
      </c>
      <c r="AF1591" s="580">
        <f t="shared" si="158"/>
        <v>2.5</v>
      </c>
      <c r="AG1591" s="580">
        <f t="shared" si="159"/>
        <v>0</v>
      </c>
      <c r="AH1591" s="580">
        <f t="shared" si="160"/>
        <v>0</v>
      </c>
    </row>
    <row r="1592" spans="28:34">
      <c r="AB1592" s="580">
        <f>HLOOKUP("*"&amp;'Output annual'!$AC$2&amp;'Output annual'!$AD$2&amp;"*Zone People Number Of Occupants [](Hourly)",'Eplus results'!$1:$1048576,ROW(),FALSE)</f>
        <v>0</v>
      </c>
      <c r="AC1592" s="580">
        <f>HLOOKUP("*"&amp;'Output annual'!$AC$2&amp;'Output annual'!$AD$2&amp;"*FangerPMV(Hourly)",'Eplus results'!$1:$1048576,ROW(),FALSE)</f>
        <v>0</v>
      </c>
      <c r="AD1592" s="580">
        <f t="shared" si="156"/>
        <v>5</v>
      </c>
      <c r="AE1592" s="580">
        <f t="shared" si="157"/>
        <v>2.5</v>
      </c>
      <c r="AF1592" s="580">
        <f t="shared" si="158"/>
        <v>2.5</v>
      </c>
      <c r="AG1592" s="580">
        <f t="shared" si="159"/>
        <v>0</v>
      </c>
      <c r="AH1592" s="580">
        <f t="shared" si="160"/>
        <v>0</v>
      </c>
    </row>
    <row r="1593" spans="28:34">
      <c r="AB1593" s="580">
        <f>HLOOKUP("*"&amp;'Output annual'!$AC$2&amp;'Output annual'!$AD$2&amp;"*Zone People Number Of Occupants [](Hourly)",'Eplus results'!$1:$1048576,ROW(),FALSE)</f>
        <v>0</v>
      </c>
      <c r="AC1593" s="580">
        <f>HLOOKUP("*"&amp;'Output annual'!$AC$2&amp;'Output annual'!$AD$2&amp;"*FangerPMV(Hourly)",'Eplus results'!$1:$1048576,ROW(),FALSE)</f>
        <v>0</v>
      </c>
      <c r="AD1593" s="580">
        <f t="shared" si="156"/>
        <v>5</v>
      </c>
      <c r="AE1593" s="580">
        <f t="shared" si="157"/>
        <v>2.5</v>
      </c>
      <c r="AF1593" s="580">
        <f t="shared" si="158"/>
        <v>2.5</v>
      </c>
      <c r="AG1593" s="580">
        <f t="shared" si="159"/>
        <v>0</v>
      </c>
      <c r="AH1593" s="580">
        <f t="shared" si="160"/>
        <v>0</v>
      </c>
    </row>
    <row r="1594" spans="28:34">
      <c r="AB1594" s="580">
        <f>HLOOKUP("*"&amp;'Output annual'!$AC$2&amp;'Output annual'!$AD$2&amp;"*Zone People Number Of Occupants [](Hourly)",'Eplus results'!$1:$1048576,ROW(),FALSE)</f>
        <v>0</v>
      </c>
      <c r="AC1594" s="580">
        <f>HLOOKUP("*"&amp;'Output annual'!$AC$2&amp;'Output annual'!$AD$2&amp;"*FangerPMV(Hourly)",'Eplus results'!$1:$1048576,ROW(),FALSE)</f>
        <v>0</v>
      </c>
      <c r="AD1594" s="580">
        <f t="shared" si="156"/>
        <v>5</v>
      </c>
      <c r="AE1594" s="580">
        <f t="shared" si="157"/>
        <v>2.5</v>
      </c>
      <c r="AF1594" s="580">
        <f t="shared" si="158"/>
        <v>2.5</v>
      </c>
      <c r="AG1594" s="580">
        <f t="shared" si="159"/>
        <v>0</v>
      </c>
      <c r="AH1594" s="580">
        <f t="shared" si="160"/>
        <v>0</v>
      </c>
    </row>
    <row r="1595" spans="28:34">
      <c r="AB1595" s="580">
        <f>HLOOKUP("*"&amp;'Output annual'!$AC$2&amp;'Output annual'!$AD$2&amp;"*Zone People Number Of Occupants [](Hourly)",'Eplus results'!$1:$1048576,ROW(),FALSE)</f>
        <v>0</v>
      </c>
      <c r="AC1595" s="580">
        <f>HLOOKUP("*"&amp;'Output annual'!$AC$2&amp;'Output annual'!$AD$2&amp;"*FangerPMV(Hourly)",'Eplus results'!$1:$1048576,ROW(),FALSE)</f>
        <v>0</v>
      </c>
      <c r="AD1595" s="580">
        <f t="shared" si="156"/>
        <v>5</v>
      </c>
      <c r="AE1595" s="580">
        <f t="shared" si="157"/>
        <v>2.5</v>
      </c>
      <c r="AF1595" s="580">
        <f t="shared" si="158"/>
        <v>2.5</v>
      </c>
      <c r="AG1595" s="580">
        <f t="shared" si="159"/>
        <v>0</v>
      </c>
      <c r="AH1595" s="580">
        <f t="shared" si="160"/>
        <v>0</v>
      </c>
    </row>
    <row r="1596" spans="28:34">
      <c r="AB1596" s="580">
        <f>HLOOKUP("*"&amp;'Output annual'!$AC$2&amp;'Output annual'!$AD$2&amp;"*Zone People Number Of Occupants [](Hourly)",'Eplus results'!$1:$1048576,ROW(),FALSE)</f>
        <v>0</v>
      </c>
      <c r="AC1596" s="580">
        <f>HLOOKUP("*"&amp;'Output annual'!$AC$2&amp;'Output annual'!$AD$2&amp;"*FangerPMV(Hourly)",'Eplus results'!$1:$1048576,ROW(),FALSE)</f>
        <v>0</v>
      </c>
      <c r="AD1596" s="580">
        <f t="shared" si="156"/>
        <v>5</v>
      </c>
      <c r="AE1596" s="580">
        <f t="shared" si="157"/>
        <v>2.5</v>
      </c>
      <c r="AF1596" s="580">
        <f t="shared" si="158"/>
        <v>2.5</v>
      </c>
      <c r="AG1596" s="580">
        <f t="shared" si="159"/>
        <v>0</v>
      </c>
      <c r="AH1596" s="580">
        <f t="shared" si="160"/>
        <v>0</v>
      </c>
    </row>
    <row r="1597" spans="28:34">
      <c r="AB1597" s="580">
        <f>HLOOKUP("*"&amp;'Output annual'!$AC$2&amp;'Output annual'!$AD$2&amp;"*Zone People Number Of Occupants [](Hourly)",'Eplus results'!$1:$1048576,ROW(),FALSE)</f>
        <v>0</v>
      </c>
      <c r="AC1597" s="580">
        <f>HLOOKUP("*"&amp;'Output annual'!$AC$2&amp;'Output annual'!$AD$2&amp;"*FangerPMV(Hourly)",'Eplus results'!$1:$1048576,ROW(),FALSE)</f>
        <v>0</v>
      </c>
      <c r="AD1597" s="580">
        <f t="shared" si="156"/>
        <v>5</v>
      </c>
      <c r="AE1597" s="580">
        <f t="shared" si="157"/>
        <v>2.5</v>
      </c>
      <c r="AF1597" s="580">
        <f t="shared" si="158"/>
        <v>2.5</v>
      </c>
      <c r="AG1597" s="580">
        <f t="shared" si="159"/>
        <v>0</v>
      </c>
      <c r="AH1597" s="580">
        <f t="shared" si="160"/>
        <v>0</v>
      </c>
    </row>
    <row r="1598" spans="28:34">
      <c r="AB1598" s="580">
        <f>HLOOKUP("*"&amp;'Output annual'!$AC$2&amp;'Output annual'!$AD$2&amp;"*Zone People Number Of Occupants [](Hourly)",'Eplus results'!$1:$1048576,ROW(),FALSE)</f>
        <v>0</v>
      </c>
      <c r="AC1598" s="580">
        <f>HLOOKUP("*"&amp;'Output annual'!$AC$2&amp;'Output annual'!$AD$2&amp;"*FangerPMV(Hourly)",'Eplus results'!$1:$1048576,ROW(),FALSE)</f>
        <v>0</v>
      </c>
      <c r="AD1598" s="580">
        <f t="shared" si="156"/>
        <v>5</v>
      </c>
      <c r="AE1598" s="580">
        <f t="shared" si="157"/>
        <v>2.5</v>
      </c>
      <c r="AF1598" s="580">
        <f t="shared" si="158"/>
        <v>2.5</v>
      </c>
      <c r="AG1598" s="580">
        <f t="shared" si="159"/>
        <v>0</v>
      </c>
      <c r="AH1598" s="580">
        <f t="shared" si="160"/>
        <v>0</v>
      </c>
    </row>
    <row r="1599" spans="28:34">
      <c r="AB1599" s="580">
        <f>HLOOKUP("*"&amp;'Output annual'!$AC$2&amp;'Output annual'!$AD$2&amp;"*Zone People Number Of Occupants [](Hourly)",'Eplus results'!$1:$1048576,ROW(),FALSE)</f>
        <v>0</v>
      </c>
      <c r="AC1599" s="580">
        <f>HLOOKUP("*"&amp;'Output annual'!$AC$2&amp;'Output annual'!$AD$2&amp;"*FangerPMV(Hourly)",'Eplus results'!$1:$1048576,ROW(),FALSE)</f>
        <v>0</v>
      </c>
      <c r="AD1599" s="580">
        <f t="shared" si="156"/>
        <v>5</v>
      </c>
      <c r="AE1599" s="580">
        <f t="shared" si="157"/>
        <v>2.5</v>
      </c>
      <c r="AF1599" s="580">
        <f t="shared" si="158"/>
        <v>2.5</v>
      </c>
      <c r="AG1599" s="580">
        <f t="shared" si="159"/>
        <v>0</v>
      </c>
      <c r="AH1599" s="580">
        <f t="shared" si="160"/>
        <v>0</v>
      </c>
    </row>
    <row r="1600" spans="28:34">
      <c r="AB1600" s="580">
        <f>HLOOKUP("*"&amp;'Output annual'!$AC$2&amp;'Output annual'!$AD$2&amp;"*Zone People Number Of Occupants [](Hourly)",'Eplus results'!$1:$1048576,ROW(),FALSE)</f>
        <v>0</v>
      </c>
      <c r="AC1600" s="580">
        <f>HLOOKUP("*"&amp;'Output annual'!$AC$2&amp;'Output annual'!$AD$2&amp;"*FangerPMV(Hourly)",'Eplus results'!$1:$1048576,ROW(),FALSE)</f>
        <v>0</v>
      </c>
      <c r="AD1600" s="580">
        <f t="shared" si="156"/>
        <v>5</v>
      </c>
      <c r="AE1600" s="580">
        <f t="shared" si="157"/>
        <v>2.5</v>
      </c>
      <c r="AF1600" s="580">
        <f t="shared" si="158"/>
        <v>2.5</v>
      </c>
      <c r="AG1600" s="580">
        <f t="shared" si="159"/>
        <v>0</v>
      </c>
      <c r="AH1600" s="580">
        <f t="shared" si="160"/>
        <v>0</v>
      </c>
    </row>
    <row r="1601" spans="28:34">
      <c r="AB1601" s="580">
        <f>HLOOKUP("*"&amp;'Output annual'!$AC$2&amp;'Output annual'!$AD$2&amp;"*Zone People Number Of Occupants [](Hourly)",'Eplus results'!$1:$1048576,ROW(),FALSE)</f>
        <v>0</v>
      </c>
      <c r="AC1601" s="580">
        <f>HLOOKUP("*"&amp;'Output annual'!$AC$2&amp;'Output annual'!$AD$2&amp;"*FangerPMV(Hourly)",'Eplus results'!$1:$1048576,ROW(),FALSE)</f>
        <v>0</v>
      </c>
      <c r="AD1601" s="580">
        <f t="shared" si="156"/>
        <v>5</v>
      </c>
      <c r="AE1601" s="580">
        <f t="shared" si="157"/>
        <v>2.5</v>
      </c>
      <c r="AF1601" s="580">
        <f t="shared" si="158"/>
        <v>2.5</v>
      </c>
      <c r="AG1601" s="580">
        <f t="shared" si="159"/>
        <v>0</v>
      </c>
      <c r="AH1601" s="580">
        <f t="shared" si="160"/>
        <v>0</v>
      </c>
    </row>
    <row r="1602" spans="28:34">
      <c r="AB1602" s="580">
        <f>HLOOKUP("*"&amp;'Output annual'!$AC$2&amp;'Output annual'!$AD$2&amp;"*Zone People Number Of Occupants [](Hourly)",'Eplus results'!$1:$1048576,ROW(),FALSE)</f>
        <v>0</v>
      </c>
      <c r="AC1602" s="580">
        <f>HLOOKUP("*"&amp;'Output annual'!$AC$2&amp;'Output annual'!$AD$2&amp;"*FangerPMV(Hourly)",'Eplus results'!$1:$1048576,ROW(),FALSE)</f>
        <v>0</v>
      </c>
      <c r="AD1602" s="580">
        <f t="shared" si="156"/>
        <v>5</v>
      </c>
      <c r="AE1602" s="580">
        <f t="shared" si="157"/>
        <v>2.5</v>
      </c>
      <c r="AF1602" s="580">
        <f t="shared" si="158"/>
        <v>2.5</v>
      </c>
      <c r="AG1602" s="580">
        <f t="shared" si="159"/>
        <v>0</v>
      </c>
      <c r="AH1602" s="580">
        <f t="shared" si="160"/>
        <v>0</v>
      </c>
    </row>
    <row r="1603" spans="28:34">
      <c r="AB1603" s="580">
        <f>HLOOKUP("*"&amp;'Output annual'!$AC$2&amp;'Output annual'!$AD$2&amp;"*Zone People Number Of Occupants [](Hourly)",'Eplus results'!$1:$1048576,ROW(),FALSE)</f>
        <v>0</v>
      </c>
      <c r="AC1603" s="580">
        <f>HLOOKUP("*"&amp;'Output annual'!$AC$2&amp;'Output annual'!$AD$2&amp;"*FangerPMV(Hourly)",'Eplus results'!$1:$1048576,ROW(),FALSE)</f>
        <v>0</v>
      </c>
      <c r="AD1603" s="580">
        <f t="shared" ref="AD1603:AD1666" si="161">100-95*EXP(-0.03353*AC1603^4-0.2179*AC1603^2)</f>
        <v>5</v>
      </c>
      <c r="AE1603" s="580">
        <f t="shared" ref="AE1603:AE1666" si="162">AD1603*(1/(1+EXP(-6.3*$AC1603)))</f>
        <v>2.5</v>
      </c>
      <c r="AF1603" s="580">
        <f t="shared" ref="AF1603:AF1666" si="163">(AD1603-AE1603)</f>
        <v>2.5</v>
      </c>
      <c r="AG1603" s="580">
        <f t="shared" ref="AG1603:AG1666" si="164">AE1603*AB1603</f>
        <v>0</v>
      </c>
      <c r="AH1603" s="580">
        <f t="shared" ref="AH1603:AH1666" si="165">AF1603*AB1603</f>
        <v>0</v>
      </c>
    </row>
    <row r="1604" spans="28:34">
      <c r="AB1604" s="580">
        <f>HLOOKUP("*"&amp;'Output annual'!$AC$2&amp;'Output annual'!$AD$2&amp;"*Zone People Number Of Occupants [](Hourly)",'Eplus results'!$1:$1048576,ROW(),FALSE)</f>
        <v>0</v>
      </c>
      <c r="AC1604" s="580">
        <f>HLOOKUP("*"&amp;'Output annual'!$AC$2&amp;'Output annual'!$AD$2&amp;"*FangerPMV(Hourly)",'Eplus results'!$1:$1048576,ROW(),FALSE)</f>
        <v>0</v>
      </c>
      <c r="AD1604" s="580">
        <f t="shared" si="161"/>
        <v>5</v>
      </c>
      <c r="AE1604" s="580">
        <f t="shared" si="162"/>
        <v>2.5</v>
      </c>
      <c r="AF1604" s="580">
        <f t="shared" si="163"/>
        <v>2.5</v>
      </c>
      <c r="AG1604" s="580">
        <f t="shared" si="164"/>
        <v>0</v>
      </c>
      <c r="AH1604" s="580">
        <f t="shared" si="165"/>
        <v>0</v>
      </c>
    </row>
    <row r="1605" spans="28:34">
      <c r="AB1605" s="580">
        <f>HLOOKUP("*"&amp;'Output annual'!$AC$2&amp;'Output annual'!$AD$2&amp;"*Zone People Number Of Occupants [](Hourly)",'Eplus results'!$1:$1048576,ROW(),FALSE)</f>
        <v>0</v>
      </c>
      <c r="AC1605" s="580">
        <f>HLOOKUP("*"&amp;'Output annual'!$AC$2&amp;'Output annual'!$AD$2&amp;"*FangerPMV(Hourly)",'Eplus results'!$1:$1048576,ROW(),FALSE)</f>
        <v>0</v>
      </c>
      <c r="AD1605" s="580">
        <f t="shared" si="161"/>
        <v>5</v>
      </c>
      <c r="AE1605" s="580">
        <f t="shared" si="162"/>
        <v>2.5</v>
      </c>
      <c r="AF1605" s="580">
        <f t="shared" si="163"/>
        <v>2.5</v>
      </c>
      <c r="AG1605" s="580">
        <f t="shared" si="164"/>
        <v>0</v>
      </c>
      <c r="AH1605" s="580">
        <f t="shared" si="165"/>
        <v>0</v>
      </c>
    </row>
    <row r="1606" spans="28:34">
      <c r="AB1606" s="580">
        <f>HLOOKUP("*"&amp;'Output annual'!$AC$2&amp;'Output annual'!$AD$2&amp;"*Zone People Number Of Occupants [](Hourly)",'Eplus results'!$1:$1048576,ROW(),FALSE)</f>
        <v>0</v>
      </c>
      <c r="AC1606" s="580">
        <f>HLOOKUP("*"&amp;'Output annual'!$AC$2&amp;'Output annual'!$AD$2&amp;"*FangerPMV(Hourly)",'Eplus results'!$1:$1048576,ROW(),FALSE)</f>
        <v>0</v>
      </c>
      <c r="AD1606" s="580">
        <f t="shared" si="161"/>
        <v>5</v>
      </c>
      <c r="AE1606" s="580">
        <f t="shared" si="162"/>
        <v>2.5</v>
      </c>
      <c r="AF1606" s="580">
        <f t="shared" si="163"/>
        <v>2.5</v>
      </c>
      <c r="AG1606" s="580">
        <f t="shared" si="164"/>
        <v>0</v>
      </c>
      <c r="AH1606" s="580">
        <f t="shared" si="165"/>
        <v>0</v>
      </c>
    </row>
    <row r="1607" spans="28:34">
      <c r="AB1607" s="580">
        <f>HLOOKUP("*"&amp;'Output annual'!$AC$2&amp;'Output annual'!$AD$2&amp;"*Zone People Number Of Occupants [](Hourly)",'Eplus results'!$1:$1048576,ROW(),FALSE)</f>
        <v>0</v>
      </c>
      <c r="AC1607" s="580">
        <f>HLOOKUP("*"&amp;'Output annual'!$AC$2&amp;'Output annual'!$AD$2&amp;"*FangerPMV(Hourly)",'Eplus results'!$1:$1048576,ROW(),FALSE)</f>
        <v>0</v>
      </c>
      <c r="AD1607" s="580">
        <f t="shared" si="161"/>
        <v>5</v>
      </c>
      <c r="AE1607" s="580">
        <f t="shared" si="162"/>
        <v>2.5</v>
      </c>
      <c r="AF1607" s="580">
        <f t="shared" si="163"/>
        <v>2.5</v>
      </c>
      <c r="AG1607" s="580">
        <f t="shared" si="164"/>
        <v>0</v>
      </c>
      <c r="AH1607" s="580">
        <f t="shared" si="165"/>
        <v>0</v>
      </c>
    </row>
    <row r="1608" spans="28:34">
      <c r="AB1608" s="580">
        <f>HLOOKUP("*"&amp;'Output annual'!$AC$2&amp;'Output annual'!$AD$2&amp;"*Zone People Number Of Occupants [](Hourly)",'Eplus results'!$1:$1048576,ROW(),FALSE)</f>
        <v>0</v>
      </c>
      <c r="AC1608" s="580">
        <f>HLOOKUP("*"&amp;'Output annual'!$AC$2&amp;'Output annual'!$AD$2&amp;"*FangerPMV(Hourly)",'Eplus results'!$1:$1048576,ROW(),FALSE)</f>
        <v>0</v>
      </c>
      <c r="AD1608" s="580">
        <f t="shared" si="161"/>
        <v>5</v>
      </c>
      <c r="AE1608" s="580">
        <f t="shared" si="162"/>
        <v>2.5</v>
      </c>
      <c r="AF1608" s="580">
        <f t="shared" si="163"/>
        <v>2.5</v>
      </c>
      <c r="AG1608" s="580">
        <f t="shared" si="164"/>
        <v>0</v>
      </c>
      <c r="AH1608" s="580">
        <f t="shared" si="165"/>
        <v>0</v>
      </c>
    </row>
    <row r="1609" spans="28:34">
      <c r="AB1609" s="580">
        <f>HLOOKUP("*"&amp;'Output annual'!$AC$2&amp;'Output annual'!$AD$2&amp;"*Zone People Number Of Occupants [](Hourly)",'Eplus results'!$1:$1048576,ROW(),FALSE)</f>
        <v>0</v>
      </c>
      <c r="AC1609" s="580">
        <f>HLOOKUP("*"&amp;'Output annual'!$AC$2&amp;'Output annual'!$AD$2&amp;"*FangerPMV(Hourly)",'Eplus results'!$1:$1048576,ROW(),FALSE)</f>
        <v>0</v>
      </c>
      <c r="AD1609" s="580">
        <f t="shared" si="161"/>
        <v>5</v>
      </c>
      <c r="AE1609" s="580">
        <f t="shared" si="162"/>
        <v>2.5</v>
      </c>
      <c r="AF1609" s="580">
        <f t="shared" si="163"/>
        <v>2.5</v>
      </c>
      <c r="AG1609" s="580">
        <f t="shared" si="164"/>
        <v>0</v>
      </c>
      <c r="AH1609" s="580">
        <f t="shared" si="165"/>
        <v>0</v>
      </c>
    </row>
    <row r="1610" spans="28:34">
      <c r="AB1610" s="580">
        <f>HLOOKUP("*"&amp;'Output annual'!$AC$2&amp;'Output annual'!$AD$2&amp;"*Zone People Number Of Occupants [](Hourly)",'Eplus results'!$1:$1048576,ROW(),FALSE)</f>
        <v>0</v>
      </c>
      <c r="AC1610" s="580">
        <f>HLOOKUP("*"&amp;'Output annual'!$AC$2&amp;'Output annual'!$AD$2&amp;"*FangerPMV(Hourly)",'Eplus results'!$1:$1048576,ROW(),FALSE)</f>
        <v>0</v>
      </c>
      <c r="AD1610" s="580">
        <f t="shared" si="161"/>
        <v>5</v>
      </c>
      <c r="AE1610" s="580">
        <f t="shared" si="162"/>
        <v>2.5</v>
      </c>
      <c r="AF1610" s="580">
        <f t="shared" si="163"/>
        <v>2.5</v>
      </c>
      <c r="AG1610" s="580">
        <f t="shared" si="164"/>
        <v>0</v>
      </c>
      <c r="AH1610" s="580">
        <f t="shared" si="165"/>
        <v>0</v>
      </c>
    </row>
    <row r="1611" spans="28:34">
      <c r="AB1611" s="580">
        <f>HLOOKUP("*"&amp;'Output annual'!$AC$2&amp;'Output annual'!$AD$2&amp;"*Zone People Number Of Occupants [](Hourly)",'Eplus results'!$1:$1048576,ROW(),FALSE)</f>
        <v>0</v>
      </c>
      <c r="AC1611" s="580">
        <f>HLOOKUP("*"&amp;'Output annual'!$AC$2&amp;'Output annual'!$AD$2&amp;"*FangerPMV(Hourly)",'Eplus results'!$1:$1048576,ROW(),FALSE)</f>
        <v>0</v>
      </c>
      <c r="AD1611" s="580">
        <f t="shared" si="161"/>
        <v>5</v>
      </c>
      <c r="AE1611" s="580">
        <f t="shared" si="162"/>
        <v>2.5</v>
      </c>
      <c r="AF1611" s="580">
        <f t="shared" si="163"/>
        <v>2.5</v>
      </c>
      <c r="AG1611" s="580">
        <f t="shared" si="164"/>
        <v>0</v>
      </c>
      <c r="AH1611" s="580">
        <f t="shared" si="165"/>
        <v>0</v>
      </c>
    </row>
    <row r="1612" spans="28:34">
      <c r="AB1612" s="580">
        <f>HLOOKUP("*"&amp;'Output annual'!$AC$2&amp;'Output annual'!$AD$2&amp;"*Zone People Number Of Occupants [](Hourly)",'Eplus results'!$1:$1048576,ROW(),FALSE)</f>
        <v>0</v>
      </c>
      <c r="AC1612" s="580">
        <f>HLOOKUP("*"&amp;'Output annual'!$AC$2&amp;'Output annual'!$AD$2&amp;"*FangerPMV(Hourly)",'Eplus results'!$1:$1048576,ROW(),FALSE)</f>
        <v>0</v>
      </c>
      <c r="AD1612" s="580">
        <f t="shared" si="161"/>
        <v>5</v>
      </c>
      <c r="AE1612" s="580">
        <f t="shared" si="162"/>
        <v>2.5</v>
      </c>
      <c r="AF1612" s="580">
        <f t="shared" si="163"/>
        <v>2.5</v>
      </c>
      <c r="AG1612" s="580">
        <f t="shared" si="164"/>
        <v>0</v>
      </c>
      <c r="AH1612" s="580">
        <f t="shared" si="165"/>
        <v>0</v>
      </c>
    </row>
    <row r="1613" spans="28:34">
      <c r="AB1613" s="580">
        <f>HLOOKUP("*"&amp;'Output annual'!$AC$2&amp;'Output annual'!$AD$2&amp;"*Zone People Number Of Occupants [](Hourly)",'Eplus results'!$1:$1048576,ROW(),FALSE)</f>
        <v>0</v>
      </c>
      <c r="AC1613" s="580">
        <f>HLOOKUP("*"&amp;'Output annual'!$AC$2&amp;'Output annual'!$AD$2&amp;"*FangerPMV(Hourly)",'Eplus results'!$1:$1048576,ROW(),FALSE)</f>
        <v>0</v>
      </c>
      <c r="AD1613" s="580">
        <f t="shared" si="161"/>
        <v>5</v>
      </c>
      <c r="AE1613" s="580">
        <f t="shared" si="162"/>
        <v>2.5</v>
      </c>
      <c r="AF1613" s="580">
        <f t="shared" si="163"/>
        <v>2.5</v>
      </c>
      <c r="AG1613" s="580">
        <f t="shared" si="164"/>
        <v>0</v>
      </c>
      <c r="AH1613" s="580">
        <f t="shared" si="165"/>
        <v>0</v>
      </c>
    </row>
    <row r="1614" spans="28:34">
      <c r="AB1614" s="580">
        <f>HLOOKUP("*"&amp;'Output annual'!$AC$2&amp;'Output annual'!$AD$2&amp;"*Zone People Number Of Occupants [](Hourly)",'Eplus results'!$1:$1048576,ROW(),FALSE)</f>
        <v>0</v>
      </c>
      <c r="AC1614" s="580">
        <f>HLOOKUP("*"&amp;'Output annual'!$AC$2&amp;'Output annual'!$AD$2&amp;"*FangerPMV(Hourly)",'Eplus results'!$1:$1048576,ROW(),FALSE)</f>
        <v>0</v>
      </c>
      <c r="AD1614" s="580">
        <f t="shared" si="161"/>
        <v>5</v>
      </c>
      <c r="AE1614" s="580">
        <f t="shared" si="162"/>
        <v>2.5</v>
      </c>
      <c r="AF1614" s="580">
        <f t="shared" si="163"/>
        <v>2.5</v>
      </c>
      <c r="AG1614" s="580">
        <f t="shared" si="164"/>
        <v>0</v>
      </c>
      <c r="AH1614" s="580">
        <f t="shared" si="165"/>
        <v>0</v>
      </c>
    </row>
    <row r="1615" spans="28:34">
      <c r="AB1615" s="580">
        <f>HLOOKUP("*"&amp;'Output annual'!$AC$2&amp;'Output annual'!$AD$2&amp;"*Zone People Number Of Occupants [](Hourly)",'Eplus results'!$1:$1048576,ROW(),FALSE)</f>
        <v>0</v>
      </c>
      <c r="AC1615" s="580">
        <f>HLOOKUP("*"&amp;'Output annual'!$AC$2&amp;'Output annual'!$AD$2&amp;"*FangerPMV(Hourly)",'Eplus results'!$1:$1048576,ROW(),FALSE)</f>
        <v>0</v>
      </c>
      <c r="AD1615" s="580">
        <f t="shared" si="161"/>
        <v>5</v>
      </c>
      <c r="AE1615" s="580">
        <f t="shared" si="162"/>
        <v>2.5</v>
      </c>
      <c r="AF1615" s="580">
        <f t="shared" si="163"/>
        <v>2.5</v>
      </c>
      <c r="AG1615" s="580">
        <f t="shared" si="164"/>
        <v>0</v>
      </c>
      <c r="AH1615" s="580">
        <f t="shared" si="165"/>
        <v>0</v>
      </c>
    </row>
    <row r="1616" spans="28:34">
      <c r="AB1616" s="580">
        <f>HLOOKUP("*"&amp;'Output annual'!$AC$2&amp;'Output annual'!$AD$2&amp;"*Zone People Number Of Occupants [](Hourly)",'Eplus results'!$1:$1048576,ROW(),FALSE)</f>
        <v>0</v>
      </c>
      <c r="AC1616" s="580">
        <f>HLOOKUP("*"&amp;'Output annual'!$AC$2&amp;'Output annual'!$AD$2&amp;"*FangerPMV(Hourly)",'Eplus results'!$1:$1048576,ROW(),FALSE)</f>
        <v>0</v>
      </c>
      <c r="AD1616" s="580">
        <f t="shared" si="161"/>
        <v>5</v>
      </c>
      <c r="AE1616" s="580">
        <f t="shared" si="162"/>
        <v>2.5</v>
      </c>
      <c r="AF1616" s="580">
        <f t="shared" si="163"/>
        <v>2.5</v>
      </c>
      <c r="AG1616" s="580">
        <f t="shared" si="164"/>
        <v>0</v>
      </c>
      <c r="AH1616" s="580">
        <f t="shared" si="165"/>
        <v>0</v>
      </c>
    </row>
    <row r="1617" spans="28:34">
      <c r="AB1617" s="580">
        <f>HLOOKUP("*"&amp;'Output annual'!$AC$2&amp;'Output annual'!$AD$2&amp;"*Zone People Number Of Occupants [](Hourly)",'Eplus results'!$1:$1048576,ROW(),FALSE)</f>
        <v>0</v>
      </c>
      <c r="AC1617" s="580">
        <f>HLOOKUP("*"&amp;'Output annual'!$AC$2&amp;'Output annual'!$AD$2&amp;"*FangerPMV(Hourly)",'Eplus results'!$1:$1048576,ROW(),FALSE)</f>
        <v>0</v>
      </c>
      <c r="AD1617" s="580">
        <f t="shared" si="161"/>
        <v>5</v>
      </c>
      <c r="AE1617" s="580">
        <f t="shared" si="162"/>
        <v>2.5</v>
      </c>
      <c r="AF1617" s="580">
        <f t="shared" si="163"/>
        <v>2.5</v>
      </c>
      <c r="AG1617" s="580">
        <f t="shared" si="164"/>
        <v>0</v>
      </c>
      <c r="AH1617" s="580">
        <f t="shared" si="165"/>
        <v>0</v>
      </c>
    </row>
    <row r="1618" spans="28:34">
      <c r="AB1618" s="580">
        <f>HLOOKUP("*"&amp;'Output annual'!$AC$2&amp;'Output annual'!$AD$2&amp;"*Zone People Number Of Occupants [](Hourly)",'Eplus results'!$1:$1048576,ROW(),FALSE)</f>
        <v>0</v>
      </c>
      <c r="AC1618" s="580">
        <f>HLOOKUP("*"&amp;'Output annual'!$AC$2&amp;'Output annual'!$AD$2&amp;"*FangerPMV(Hourly)",'Eplus results'!$1:$1048576,ROW(),FALSE)</f>
        <v>0</v>
      </c>
      <c r="AD1618" s="580">
        <f t="shared" si="161"/>
        <v>5</v>
      </c>
      <c r="AE1618" s="580">
        <f t="shared" si="162"/>
        <v>2.5</v>
      </c>
      <c r="AF1618" s="580">
        <f t="shared" si="163"/>
        <v>2.5</v>
      </c>
      <c r="AG1618" s="580">
        <f t="shared" si="164"/>
        <v>0</v>
      </c>
      <c r="AH1618" s="580">
        <f t="shared" si="165"/>
        <v>0</v>
      </c>
    </row>
    <row r="1619" spans="28:34">
      <c r="AB1619" s="580">
        <f>HLOOKUP("*"&amp;'Output annual'!$AC$2&amp;'Output annual'!$AD$2&amp;"*Zone People Number Of Occupants [](Hourly)",'Eplus results'!$1:$1048576,ROW(),FALSE)</f>
        <v>0</v>
      </c>
      <c r="AC1619" s="580">
        <f>HLOOKUP("*"&amp;'Output annual'!$AC$2&amp;'Output annual'!$AD$2&amp;"*FangerPMV(Hourly)",'Eplus results'!$1:$1048576,ROW(),FALSE)</f>
        <v>0</v>
      </c>
      <c r="AD1619" s="580">
        <f t="shared" si="161"/>
        <v>5</v>
      </c>
      <c r="AE1619" s="580">
        <f t="shared" si="162"/>
        <v>2.5</v>
      </c>
      <c r="AF1619" s="580">
        <f t="shared" si="163"/>
        <v>2.5</v>
      </c>
      <c r="AG1619" s="580">
        <f t="shared" si="164"/>
        <v>0</v>
      </c>
      <c r="AH1619" s="580">
        <f t="shared" si="165"/>
        <v>0</v>
      </c>
    </row>
    <row r="1620" spans="28:34">
      <c r="AB1620" s="580">
        <f>HLOOKUP("*"&amp;'Output annual'!$AC$2&amp;'Output annual'!$AD$2&amp;"*Zone People Number Of Occupants [](Hourly)",'Eplus results'!$1:$1048576,ROW(),FALSE)</f>
        <v>0</v>
      </c>
      <c r="AC1620" s="580">
        <f>HLOOKUP("*"&amp;'Output annual'!$AC$2&amp;'Output annual'!$AD$2&amp;"*FangerPMV(Hourly)",'Eplus results'!$1:$1048576,ROW(),FALSE)</f>
        <v>0</v>
      </c>
      <c r="AD1620" s="580">
        <f t="shared" si="161"/>
        <v>5</v>
      </c>
      <c r="AE1620" s="580">
        <f t="shared" si="162"/>
        <v>2.5</v>
      </c>
      <c r="AF1620" s="580">
        <f t="shared" si="163"/>
        <v>2.5</v>
      </c>
      <c r="AG1620" s="580">
        <f t="shared" si="164"/>
        <v>0</v>
      </c>
      <c r="AH1620" s="580">
        <f t="shared" si="165"/>
        <v>0</v>
      </c>
    </row>
    <row r="1621" spans="28:34">
      <c r="AB1621" s="580">
        <f>HLOOKUP("*"&amp;'Output annual'!$AC$2&amp;'Output annual'!$AD$2&amp;"*Zone People Number Of Occupants [](Hourly)",'Eplus results'!$1:$1048576,ROW(),FALSE)</f>
        <v>0</v>
      </c>
      <c r="AC1621" s="580">
        <f>HLOOKUP("*"&amp;'Output annual'!$AC$2&amp;'Output annual'!$AD$2&amp;"*FangerPMV(Hourly)",'Eplus results'!$1:$1048576,ROW(),FALSE)</f>
        <v>0</v>
      </c>
      <c r="AD1621" s="580">
        <f t="shared" si="161"/>
        <v>5</v>
      </c>
      <c r="AE1621" s="580">
        <f t="shared" si="162"/>
        <v>2.5</v>
      </c>
      <c r="AF1621" s="580">
        <f t="shared" si="163"/>
        <v>2.5</v>
      </c>
      <c r="AG1621" s="580">
        <f t="shared" si="164"/>
        <v>0</v>
      </c>
      <c r="AH1621" s="580">
        <f t="shared" si="165"/>
        <v>0</v>
      </c>
    </row>
    <row r="1622" spans="28:34">
      <c r="AB1622" s="580">
        <f>HLOOKUP("*"&amp;'Output annual'!$AC$2&amp;'Output annual'!$AD$2&amp;"*Zone People Number Of Occupants [](Hourly)",'Eplus results'!$1:$1048576,ROW(),FALSE)</f>
        <v>0</v>
      </c>
      <c r="AC1622" s="580">
        <f>HLOOKUP("*"&amp;'Output annual'!$AC$2&amp;'Output annual'!$AD$2&amp;"*FangerPMV(Hourly)",'Eplus results'!$1:$1048576,ROW(),FALSE)</f>
        <v>0</v>
      </c>
      <c r="AD1622" s="580">
        <f t="shared" si="161"/>
        <v>5</v>
      </c>
      <c r="AE1622" s="580">
        <f t="shared" si="162"/>
        <v>2.5</v>
      </c>
      <c r="AF1622" s="580">
        <f t="shared" si="163"/>
        <v>2.5</v>
      </c>
      <c r="AG1622" s="580">
        <f t="shared" si="164"/>
        <v>0</v>
      </c>
      <c r="AH1622" s="580">
        <f t="shared" si="165"/>
        <v>0</v>
      </c>
    </row>
    <row r="1623" spans="28:34">
      <c r="AB1623" s="580">
        <f>HLOOKUP("*"&amp;'Output annual'!$AC$2&amp;'Output annual'!$AD$2&amp;"*Zone People Number Of Occupants [](Hourly)",'Eplus results'!$1:$1048576,ROW(),FALSE)</f>
        <v>0</v>
      </c>
      <c r="AC1623" s="580">
        <f>HLOOKUP("*"&amp;'Output annual'!$AC$2&amp;'Output annual'!$AD$2&amp;"*FangerPMV(Hourly)",'Eplus results'!$1:$1048576,ROW(),FALSE)</f>
        <v>0</v>
      </c>
      <c r="AD1623" s="580">
        <f t="shared" si="161"/>
        <v>5</v>
      </c>
      <c r="AE1623" s="580">
        <f t="shared" si="162"/>
        <v>2.5</v>
      </c>
      <c r="AF1623" s="580">
        <f t="shared" si="163"/>
        <v>2.5</v>
      </c>
      <c r="AG1623" s="580">
        <f t="shared" si="164"/>
        <v>0</v>
      </c>
      <c r="AH1623" s="580">
        <f t="shared" si="165"/>
        <v>0</v>
      </c>
    </row>
    <row r="1624" spans="28:34">
      <c r="AB1624" s="580">
        <f>HLOOKUP("*"&amp;'Output annual'!$AC$2&amp;'Output annual'!$AD$2&amp;"*Zone People Number Of Occupants [](Hourly)",'Eplus results'!$1:$1048576,ROW(),FALSE)</f>
        <v>0</v>
      </c>
      <c r="AC1624" s="580">
        <f>HLOOKUP("*"&amp;'Output annual'!$AC$2&amp;'Output annual'!$AD$2&amp;"*FangerPMV(Hourly)",'Eplus results'!$1:$1048576,ROW(),FALSE)</f>
        <v>0</v>
      </c>
      <c r="AD1624" s="580">
        <f t="shared" si="161"/>
        <v>5</v>
      </c>
      <c r="AE1624" s="580">
        <f t="shared" si="162"/>
        <v>2.5</v>
      </c>
      <c r="AF1624" s="580">
        <f t="shared" si="163"/>
        <v>2.5</v>
      </c>
      <c r="AG1624" s="580">
        <f t="shared" si="164"/>
        <v>0</v>
      </c>
      <c r="AH1624" s="580">
        <f t="shared" si="165"/>
        <v>0</v>
      </c>
    </row>
    <row r="1625" spans="28:34">
      <c r="AB1625" s="580">
        <f>HLOOKUP("*"&amp;'Output annual'!$AC$2&amp;'Output annual'!$AD$2&amp;"*Zone People Number Of Occupants [](Hourly)",'Eplus results'!$1:$1048576,ROW(),FALSE)</f>
        <v>0</v>
      </c>
      <c r="AC1625" s="580">
        <f>HLOOKUP("*"&amp;'Output annual'!$AC$2&amp;'Output annual'!$AD$2&amp;"*FangerPMV(Hourly)",'Eplus results'!$1:$1048576,ROW(),FALSE)</f>
        <v>0</v>
      </c>
      <c r="AD1625" s="580">
        <f t="shared" si="161"/>
        <v>5</v>
      </c>
      <c r="AE1625" s="580">
        <f t="shared" si="162"/>
        <v>2.5</v>
      </c>
      <c r="AF1625" s="580">
        <f t="shared" si="163"/>
        <v>2.5</v>
      </c>
      <c r="AG1625" s="580">
        <f t="shared" si="164"/>
        <v>0</v>
      </c>
      <c r="AH1625" s="580">
        <f t="shared" si="165"/>
        <v>0</v>
      </c>
    </row>
    <row r="1626" spans="28:34">
      <c r="AB1626" s="580">
        <f>HLOOKUP("*"&amp;'Output annual'!$AC$2&amp;'Output annual'!$AD$2&amp;"*Zone People Number Of Occupants [](Hourly)",'Eplus results'!$1:$1048576,ROW(),FALSE)</f>
        <v>0</v>
      </c>
      <c r="AC1626" s="580">
        <f>HLOOKUP("*"&amp;'Output annual'!$AC$2&amp;'Output annual'!$AD$2&amp;"*FangerPMV(Hourly)",'Eplus results'!$1:$1048576,ROW(),FALSE)</f>
        <v>0</v>
      </c>
      <c r="AD1626" s="580">
        <f t="shared" si="161"/>
        <v>5</v>
      </c>
      <c r="AE1626" s="580">
        <f t="shared" si="162"/>
        <v>2.5</v>
      </c>
      <c r="AF1626" s="580">
        <f t="shared" si="163"/>
        <v>2.5</v>
      </c>
      <c r="AG1626" s="580">
        <f t="shared" si="164"/>
        <v>0</v>
      </c>
      <c r="AH1626" s="580">
        <f t="shared" si="165"/>
        <v>0</v>
      </c>
    </row>
    <row r="1627" spans="28:34">
      <c r="AB1627" s="580">
        <f>HLOOKUP("*"&amp;'Output annual'!$AC$2&amp;'Output annual'!$AD$2&amp;"*Zone People Number Of Occupants [](Hourly)",'Eplus results'!$1:$1048576,ROW(),FALSE)</f>
        <v>0</v>
      </c>
      <c r="AC1627" s="580">
        <f>HLOOKUP("*"&amp;'Output annual'!$AC$2&amp;'Output annual'!$AD$2&amp;"*FangerPMV(Hourly)",'Eplus results'!$1:$1048576,ROW(),FALSE)</f>
        <v>0</v>
      </c>
      <c r="AD1627" s="580">
        <f t="shared" si="161"/>
        <v>5</v>
      </c>
      <c r="AE1627" s="580">
        <f t="shared" si="162"/>
        <v>2.5</v>
      </c>
      <c r="AF1627" s="580">
        <f t="shared" si="163"/>
        <v>2.5</v>
      </c>
      <c r="AG1627" s="580">
        <f t="shared" si="164"/>
        <v>0</v>
      </c>
      <c r="AH1627" s="580">
        <f t="shared" si="165"/>
        <v>0</v>
      </c>
    </row>
    <row r="1628" spans="28:34">
      <c r="AB1628" s="580">
        <f>HLOOKUP("*"&amp;'Output annual'!$AC$2&amp;'Output annual'!$AD$2&amp;"*Zone People Number Of Occupants [](Hourly)",'Eplus results'!$1:$1048576,ROW(),FALSE)</f>
        <v>0</v>
      </c>
      <c r="AC1628" s="580">
        <f>HLOOKUP("*"&amp;'Output annual'!$AC$2&amp;'Output annual'!$AD$2&amp;"*FangerPMV(Hourly)",'Eplus results'!$1:$1048576,ROW(),FALSE)</f>
        <v>0</v>
      </c>
      <c r="AD1628" s="580">
        <f t="shared" si="161"/>
        <v>5</v>
      </c>
      <c r="AE1628" s="580">
        <f t="shared" si="162"/>
        <v>2.5</v>
      </c>
      <c r="AF1628" s="580">
        <f t="shared" si="163"/>
        <v>2.5</v>
      </c>
      <c r="AG1628" s="580">
        <f t="shared" si="164"/>
        <v>0</v>
      </c>
      <c r="AH1628" s="580">
        <f t="shared" si="165"/>
        <v>0</v>
      </c>
    </row>
    <row r="1629" spans="28:34">
      <c r="AB1629" s="580">
        <f>HLOOKUP("*"&amp;'Output annual'!$AC$2&amp;'Output annual'!$AD$2&amp;"*Zone People Number Of Occupants [](Hourly)",'Eplus results'!$1:$1048576,ROW(),FALSE)</f>
        <v>0</v>
      </c>
      <c r="AC1629" s="580">
        <f>HLOOKUP("*"&amp;'Output annual'!$AC$2&amp;'Output annual'!$AD$2&amp;"*FangerPMV(Hourly)",'Eplus results'!$1:$1048576,ROW(),FALSE)</f>
        <v>0</v>
      </c>
      <c r="AD1629" s="580">
        <f t="shared" si="161"/>
        <v>5</v>
      </c>
      <c r="AE1629" s="580">
        <f t="shared" si="162"/>
        <v>2.5</v>
      </c>
      <c r="AF1629" s="580">
        <f t="shared" si="163"/>
        <v>2.5</v>
      </c>
      <c r="AG1629" s="580">
        <f t="shared" si="164"/>
        <v>0</v>
      </c>
      <c r="AH1629" s="580">
        <f t="shared" si="165"/>
        <v>0</v>
      </c>
    </row>
    <row r="1630" spans="28:34">
      <c r="AB1630" s="580">
        <f>HLOOKUP("*"&amp;'Output annual'!$AC$2&amp;'Output annual'!$AD$2&amp;"*Zone People Number Of Occupants [](Hourly)",'Eplus results'!$1:$1048576,ROW(),FALSE)</f>
        <v>0</v>
      </c>
      <c r="AC1630" s="580">
        <f>HLOOKUP("*"&amp;'Output annual'!$AC$2&amp;'Output annual'!$AD$2&amp;"*FangerPMV(Hourly)",'Eplus results'!$1:$1048576,ROW(),FALSE)</f>
        <v>0</v>
      </c>
      <c r="AD1630" s="580">
        <f t="shared" si="161"/>
        <v>5</v>
      </c>
      <c r="AE1630" s="580">
        <f t="shared" si="162"/>
        <v>2.5</v>
      </c>
      <c r="AF1630" s="580">
        <f t="shared" si="163"/>
        <v>2.5</v>
      </c>
      <c r="AG1630" s="580">
        <f t="shared" si="164"/>
        <v>0</v>
      </c>
      <c r="AH1630" s="580">
        <f t="shared" si="165"/>
        <v>0</v>
      </c>
    </row>
    <row r="1631" spans="28:34">
      <c r="AB1631" s="580">
        <f>HLOOKUP("*"&amp;'Output annual'!$AC$2&amp;'Output annual'!$AD$2&amp;"*Zone People Number Of Occupants [](Hourly)",'Eplus results'!$1:$1048576,ROW(),FALSE)</f>
        <v>0</v>
      </c>
      <c r="AC1631" s="580">
        <f>HLOOKUP("*"&amp;'Output annual'!$AC$2&amp;'Output annual'!$AD$2&amp;"*FangerPMV(Hourly)",'Eplus results'!$1:$1048576,ROW(),FALSE)</f>
        <v>0</v>
      </c>
      <c r="AD1631" s="580">
        <f t="shared" si="161"/>
        <v>5</v>
      </c>
      <c r="AE1631" s="580">
        <f t="shared" si="162"/>
        <v>2.5</v>
      </c>
      <c r="AF1631" s="580">
        <f t="shared" si="163"/>
        <v>2.5</v>
      </c>
      <c r="AG1631" s="580">
        <f t="shared" si="164"/>
        <v>0</v>
      </c>
      <c r="AH1631" s="580">
        <f t="shared" si="165"/>
        <v>0</v>
      </c>
    </row>
    <row r="1632" spans="28:34">
      <c r="AB1632" s="580">
        <f>HLOOKUP("*"&amp;'Output annual'!$AC$2&amp;'Output annual'!$AD$2&amp;"*Zone People Number Of Occupants [](Hourly)",'Eplus results'!$1:$1048576,ROW(),FALSE)</f>
        <v>0</v>
      </c>
      <c r="AC1632" s="580">
        <f>HLOOKUP("*"&amp;'Output annual'!$AC$2&amp;'Output annual'!$AD$2&amp;"*FangerPMV(Hourly)",'Eplus results'!$1:$1048576,ROW(),FALSE)</f>
        <v>0</v>
      </c>
      <c r="AD1632" s="580">
        <f t="shared" si="161"/>
        <v>5</v>
      </c>
      <c r="AE1632" s="580">
        <f t="shared" si="162"/>
        <v>2.5</v>
      </c>
      <c r="AF1632" s="580">
        <f t="shared" si="163"/>
        <v>2.5</v>
      </c>
      <c r="AG1632" s="580">
        <f t="shared" si="164"/>
        <v>0</v>
      </c>
      <c r="AH1632" s="580">
        <f t="shared" si="165"/>
        <v>0</v>
      </c>
    </row>
    <row r="1633" spans="28:34">
      <c r="AB1633" s="580">
        <f>HLOOKUP("*"&amp;'Output annual'!$AC$2&amp;'Output annual'!$AD$2&amp;"*Zone People Number Of Occupants [](Hourly)",'Eplus results'!$1:$1048576,ROW(),FALSE)</f>
        <v>0</v>
      </c>
      <c r="AC1633" s="580">
        <f>HLOOKUP("*"&amp;'Output annual'!$AC$2&amp;'Output annual'!$AD$2&amp;"*FangerPMV(Hourly)",'Eplus results'!$1:$1048576,ROW(),FALSE)</f>
        <v>0</v>
      </c>
      <c r="AD1633" s="580">
        <f t="shared" si="161"/>
        <v>5</v>
      </c>
      <c r="AE1633" s="580">
        <f t="shared" si="162"/>
        <v>2.5</v>
      </c>
      <c r="AF1633" s="580">
        <f t="shared" si="163"/>
        <v>2.5</v>
      </c>
      <c r="AG1633" s="580">
        <f t="shared" si="164"/>
        <v>0</v>
      </c>
      <c r="AH1633" s="580">
        <f t="shared" si="165"/>
        <v>0</v>
      </c>
    </row>
    <row r="1634" spans="28:34">
      <c r="AB1634" s="580">
        <f>HLOOKUP("*"&amp;'Output annual'!$AC$2&amp;'Output annual'!$AD$2&amp;"*Zone People Number Of Occupants [](Hourly)",'Eplus results'!$1:$1048576,ROW(),FALSE)</f>
        <v>0</v>
      </c>
      <c r="AC1634" s="580">
        <f>HLOOKUP("*"&amp;'Output annual'!$AC$2&amp;'Output annual'!$AD$2&amp;"*FangerPMV(Hourly)",'Eplus results'!$1:$1048576,ROW(),FALSE)</f>
        <v>0</v>
      </c>
      <c r="AD1634" s="580">
        <f t="shared" si="161"/>
        <v>5</v>
      </c>
      <c r="AE1634" s="580">
        <f t="shared" si="162"/>
        <v>2.5</v>
      </c>
      <c r="AF1634" s="580">
        <f t="shared" si="163"/>
        <v>2.5</v>
      </c>
      <c r="AG1634" s="580">
        <f t="shared" si="164"/>
        <v>0</v>
      </c>
      <c r="AH1634" s="580">
        <f t="shared" si="165"/>
        <v>0</v>
      </c>
    </row>
    <row r="1635" spans="28:34">
      <c r="AB1635" s="580">
        <f>HLOOKUP("*"&amp;'Output annual'!$AC$2&amp;'Output annual'!$AD$2&amp;"*Zone People Number Of Occupants [](Hourly)",'Eplus results'!$1:$1048576,ROW(),FALSE)</f>
        <v>0</v>
      </c>
      <c r="AC1635" s="580">
        <f>HLOOKUP("*"&amp;'Output annual'!$AC$2&amp;'Output annual'!$AD$2&amp;"*FangerPMV(Hourly)",'Eplus results'!$1:$1048576,ROW(),FALSE)</f>
        <v>0</v>
      </c>
      <c r="AD1635" s="580">
        <f t="shared" si="161"/>
        <v>5</v>
      </c>
      <c r="AE1635" s="580">
        <f t="shared" si="162"/>
        <v>2.5</v>
      </c>
      <c r="AF1635" s="580">
        <f t="shared" si="163"/>
        <v>2.5</v>
      </c>
      <c r="AG1635" s="580">
        <f t="shared" si="164"/>
        <v>0</v>
      </c>
      <c r="AH1635" s="580">
        <f t="shared" si="165"/>
        <v>0</v>
      </c>
    </row>
    <row r="1636" spans="28:34">
      <c r="AB1636" s="580">
        <f>HLOOKUP("*"&amp;'Output annual'!$AC$2&amp;'Output annual'!$AD$2&amp;"*Zone People Number Of Occupants [](Hourly)",'Eplus results'!$1:$1048576,ROW(),FALSE)</f>
        <v>0</v>
      </c>
      <c r="AC1636" s="580">
        <f>HLOOKUP("*"&amp;'Output annual'!$AC$2&amp;'Output annual'!$AD$2&amp;"*FangerPMV(Hourly)",'Eplus results'!$1:$1048576,ROW(),FALSE)</f>
        <v>0</v>
      </c>
      <c r="AD1636" s="580">
        <f t="shared" si="161"/>
        <v>5</v>
      </c>
      <c r="AE1636" s="580">
        <f t="shared" si="162"/>
        <v>2.5</v>
      </c>
      <c r="AF1636" s="580">
        <f t="shared" si="163"/>
        <v>2.5</v>
      </c>
      <c r="AG1636" s="580">
        <f t="shared" si="164"/>
        <v>0</v>
      </c>
      <c r="AH1636" s="580">
        <f t="shared" si="165"/>
        <v>0</v>
      </c>
    </row>
    <row r="1637" spans="28:34">
      <c r="AB1637" s="580">
        <f>HLOOKUP("*"&amp;'Output annual'!$AC$2&amp;'Output annual'!$AD$2&amp;"*Zone People Number Of Occupants [](Hourly)",'Eplus results'!$1:$1048576,ROW(),FALSE)</f>
        <v>0</v>
      </c>
      <c r="AC1637" s="580">
        <f>HLOOKUP("*"&amp;'Output annual'!$AC$2&amp;'Output annual'!$AD$2&amp;"*FangerPMV(Hourly)",'Eplus results'!$1:$1048576,ROW(),FALSE)</f>
        <v>0</v>
      </c>
      <c r="AD1637" s="580">
        <f t="shared" si="161"/>
        <v>5</v>
      </c>
      <c r="AE1637" s="580">
        <f t="shared" si="162"/>
        <v>2.5</v>
      </c>
      <c r="AF1637" s="580">
        <f t="shared" si="163"/>
        <v>2.5</v>
      </c>
      <c r="AG1637" s="580">
        <f t="shared" si="164"/>
        <v>0</v>
      </c>
      <c r="AH1637" s="580">
        <f t="shared" si="165"/>
        <v>0</v>
      </c>
    </row>
    <row r="1638" spans="28:34">
      <c r="AB1638" s="580">
        <f>HLOOKUP("*"&amp;'Output annual'!$AC$2&amp;'Output annual'!$AD$2&amp;"*Zone People Number Of Occupants [](Hourly)",'Eplus results'!$1:$1048576,ROW(),FALSE)</f>
        <v>0</v>
      </c>
      <c r="AC1638" s="580">
        <f>HLOOKUP("*"&amp;'Output annual'!$AC$2&amp;'Output annual'!$AD$2&amp;"*FangerPMV(Hourly)",'Eplus results'!$1:$1048576,ROW(),FALSE)</f>
        <v>0</v>
      </c>
      <c r="AD1638" s="580">
        <f t="shared" si="161"/>
        <v>5</v>
      </c>
      <c r="AE1638" s="580">
        <f t="shared" si="162"/>
        <v>2.5</v>
      </c>
      <c r="AF1638" s="580">
        <f t="shared" si="163"/>
        <v>2.5</v>
      </c>
      <c r="AG1638" s="580">
        <f t="shared" si="164"/>
        <v>0</v>
      </c>
      <c r="AH1638" s="580">
        <f t="shared" si="165"/>
        <v>0</v>
      </c>
    </row>
    <row r="1639" spans="28:34">
      <c r="AB1639" s="580">
        <f>HLOOKUP("*"&amp;'Output annual'!$AC$2&amp;'Output annual'!$AD$2&amp;"*Zone People Number Of Occupants [](Hourly)",'Eplus results'!$1:$1048576,ROW(),FALSE)</f>
        <v>0</v>
      </c>
      <c r="AC1639" s="580">
        <f>HLOOKUP("*"&amp;'Output annual'!$AC$2&amp;'Output annual'!$AD$2&amp;"*FangerPMV(Hourly)",'Eplus results'!$1:$1048576,ROW(),FALSE)</f>
        <v>0</v>
      </c>
      <c r="AD1639" s="580">
        <f t="shared" si="161"/>
        <v>5</v>
      </c>
      <c r="AE1639" s="580">
        <f t="shared" si="162"/>
        <v>2.5</v>
      </c>
      <c r="AF1639" s="580">
        <f t="shared" si="163"/>
        <v>2.5</v>
      </c>
      <c r="AG1639" s="580">
        <f t="shared" si="164"/>
        <v>0</v>
      </c>
      <c r="AH1639" s="580">
        <f t="shared" si="165"/>
        <v>0</v>
      </c>
    </row>
    <row r="1640" spans="28:34">
      <c r="AB1640" s="580">
        <f>HLOOKUP("*"&amp;'Output annual'!$AC$2&amp;'Output annual'!$AD$2&amp;"*Zone People Number Of Occupants [](Hourly)",'Eplus results'!$1:$1048576,ROW(),FALSE)</f>
        <v>0</v>
      </c>
      <c r="AC1640" s="580">
        <f>HLOOKUP("*"&amp;'Output annual'!$AC$2&amp;'Output annual'!$AD$2&amp;"*FangerPMV(Hourly)",'Eplus results'!$1:$1048576,ROW(),FALSE)</f>
        <v>0</v>
      </c>
      <c r="AD1640" s="580">
        <f t="shared" si="161"/>
        <v>5</v>
      </c>
      <c r="AE1640" s="580">
        <f t="shared" si="162"/>
        <v>2.5</v>
      </c>
      <c r="AF1640" s="580">
        <f t="shared" si="163"/>
        <v>2.5</v>
      </c>
      <c r="AG1640" s="580">
        <f t="shared" si="164"/>
        <v>0</v>
      </c>
      <c r="AH1640" s="580">
        <f t="shared" si="165"/>
        <v>0</v>
      </c>
    </row>
    <row r="1641" spans="28:34">
      <c r="AB1641" s="580">
        <f>HLOOKUP("*"&amp;'Output annual'!$AC$2&amp;'Output annual'!$AD$2&amp;"*Zone People Number Of Occupants [](Hourly)",'Eplus results'!$1:$1048576,ROW(),FALSE)</f>
        <v>0</v>
      </c>
      <c r="AC1641" s="580">
        <f>HLOOKUP("*"&amp;'Output annual'!$AC$2&amp;'Output annual'!$AD$2&amp;"*FangerPMV(Hourly)",'Eplus results'!$1:$1048576,ROW(),FALSE)</f>
        <v>0</v>
      </c>
      <c r="AD1641" s="580">
        <f t="shared" si="161"/>
        <v>5</v>
      </c>
      <c r="AE1641" s="580">
        <f t="shared" si="162"/>
        <v>2.5</v>
      </c>
      <c r="AF1641" s="580">
        <f t="shared" si="163"/>
        <v>2.5</v>
      </c>
      <c r="AG1641" s="580">
        <f t="shared" si="164"/>
        <v>0</v>
      </c>
      <c r="AH1641" s="580">
        <f t="shared" si="165"/>
        <v>0</v>
      </c>
    </row>
    <row r="1642" spans="28:34">
      <c r="AB1642" s="580">
        <f>HLOOKUP("*"&amp;'Output annual'!$AC$2&amp;'Output annual'!$AD$2&amp;"*Zone People Number Of Occupants [](Hourly)",'Eplus results'!$1:$1048576,ROW(),FALSE)</f>
        <v>0</v>
      </c>
      <c r="AC1642" s="580">
        <f>HLOOKUP("*"&amp;'Output annual'!$AC$2&amp;'Output annual'!$AD$2&amp;"*FangerPMV(Hourly)",'Eplus results'!$1:$1048576,ROW(),FALSE)</f>
        <v>0</v>
      </c>
      <c r="AD1642" s="580">
        <f t="shared" si="161"/>
        <v>5</v>
      </c>
      <c r="AE1642" s="580">
        <f t="shared" si="162"/>
        <v>2.5</v>
      </c>
      <c r="AF1642" s="580">
        <f t="shared" si="163"/>
        <v>2.5</v>
      </c>
      <c r="AG1642" s="580">
        <f t="shared" si="164"/>
        <v>0</v>
      </c>
      <c r="AH1642" s="580">
        <f t="shared" si="165"/>
        <v>0</v>
      </c>
    </row>
    <row r="1643" spans="28:34">
      <c r="AB1643" s="580">
        <f>HLOOKUP("*"&amp;'Output annual'!$AC$2&amp;'Output annual'!$AD$2&amp;"*Zone People Number Of Occupants [](Hourly)",'Eplus results'!$1:$1048576,ROW(),FALSE)</f>
        <v>0</v>
      </c>
      <c r="AC1643" s="580">
        <f>HLOOKUP("*"&amp;'Output annual'!$AC$2&amp;'Output annual'!$AD$2&amp;"*FangerPMV(Hourly)",'Eplus results'!$1:$1048576,ROW(),FALSE)</f>
        <v>0</v>
      </c>
      <c r="AD1643" s="580">
        <f t="shared" si="161"/>
        <v>5</v>
      </c>
      <c r="AE1643" s="580">
        <f t="shared" si="162"/>
        <v>2.5</v>
      </c>
      <c r="AF1643" s="580">
        <f t="shared" si="163"/>
        <v>2.5</v>
      </c>
      <c r="AG1643" s="580">
        <f t="shared" si="164"/>
        <v>0</v>
      </c>
      <c r="AH1643" s="580">
        <f t="shared" si="165"/>
        <v>0</v>
      </c>
    </row>
    <row r="1644" spans="28:34">
      <c r="AB1644" s="580">
        <f>HLOOKUP("*"&amp;'Output annual'!$AC$2&amp;'Output annual'!$AD$2&amp;"*Zone People Number Of Occupants [](Hourly)",'Eplus results'!$1:$1048576,ROW(),FALSE)</f>
        <v>0</v>
      </c>
      <c r="AC1644" s="580">
        <f>HLOOKUP("*"&amp;'Output annual'!$AC$2&amp;'Output annual'!$AD$2&amp;"*FangerPMV(Hourly)",'Eplus results'!$1:$1048576,ROW(),FALSE)</f>
        <v>0</v>
      </c>
      <c r="AD1644" s="580">
        <f t="shared" si="161"/>
        <v>5</v>
      </c>
      <c r="AE1644" s="580">
        <f t="shared" si="162"/>
        <v>2.5</v>
      </c>
      <c r="AF1644" s="580">
        <f t="shared" si="163"/>
        <v>2.5</v>
      </c>
      <c r="AG1644" s="580">
        <f t="shared" si="164"/>
        <v>0</v>
      </c>
      <c r="AH1644" s="580">
        <f t="shared" si="165"/>
        <v>0</v>
      </c>
    </row>
    <row r="1645" spans="28:34">
      <c r="AB1645" s="580">
        <f>HLOOKUP("*"&amp;'Output annual'!$AC$2&amp;'Output annual'!$AD$2&amp;"*Zone People Number Of Occupants [](Hourly)",'Eplus results'!$1:$1048576,ROW(),FALSE)</f>
        <v>0</v>
      </c>
      <c r="AC1645" s="580">
        <f>HLOOKUP("*"&amp;'Output annual'!$AC$2&amp;'Output annual'!$AD$2&amp;"*FangerPMV(Hourly)",'Eplus results'!$1:$1048576,ROW(),FALSE)</f>
        <v>0</v>
      </c>
      <c r="AD1645" s="580">
        <f t="shared" si="161"/>
        <v>5</v>
      </c>
      <c r="AE1645" s="580">
        <f t="shared" si="162"/>
        <v>2.5</v>
      </c>
      <c r="AF1645" s="580">
        <f t="shared" si="163"/>
        <v>2.5</v>
      </c>
      <c r="AG1645" s="580">
        <f t="shared" si="164"/>
        <v>0</v>
      </c>
      <c r="AH1645" s="580">
        <f t="shared" si="165"/>
        <v>0</v>
      </c>
    </row>
    <row r="1646" spans="28:34">
      <c r="AB1646" s="580">
        <f>HLOOKUP("*"&amp;'Output annual'!$AC$2&amp;'Output annual'!$AD$2&amp;"*Zone People Number Of Occupants [](Hourly)",'Eplus results'!$1:$1048576,ROW(),FALSE)</f>
        <v>0</v>
      </c>
      <c r="AC1646" s="580">
        <f>HLOOKUP("*"&amp;'Output annual'!$AC$2&amp;'Output annual'!$AD$2&amp;"*FangerPMV(Hourly)",'Eplus results'!$1:$1048576,ROW(),FALSE)</f>
        <v>0</v>
      </c>
      <c r="AD1646" s="580">
        <f t="shared" si="161"/>
        <v>5</v>
      </c>
      <c r="AE1646" s="580">
        <f t="shared" si="162"/>
        <v>2.5</v>
      </c>
      <c r="AF1646" s="580">
        <f t="shared" si="163"/>
        <v>2.5</v>
      </c>
      <c r="AG1646" s="580">
        <f t="shared" si="164"/>
        <v>0</v>
      </c>
      <c r="AH1646" s="580">
        <f t="shared" si="165"/>
        <v>0</v>
      </c>
    </row>
    <row r="1647" spans="28:34">
      <c r="AB1647" s="580">
        <f>HLOOKUP("*"&amp;'Output annual'!$AC$2&amp;'Output annual'!$AD$2&amp;"*Zone People Number Of Occupants [](Hourly)",'Eplus results'!$1:$1048576,ROW(),FALSE)</f>
        <v>0</v>
      </c>
      <c r="AC1647" s="580">
        <f>HLOOKUP("*"&amp;'Output annual'!$AC$2&amp;'Output annual'!$AD$2&amp;"*FangerPMV(Hourly)",'Eplus results'!$1:$1048576,ROW(),FALSE)</f>
        <v>0</v>
      </c>
      <c r="AD1647" s="580">
        <f t="shared" si="161"/>
        <v>5</v>
      </c>
      <c r="AE1647" s="580">
        <f t="shared" si="162"/>
        <v>2.5</v>
      </c>
      <c r="AF1647" s="580">
        <f t="shared" si="163"/>
        <v>2.5</v>
      </c>
      <c r="AG1647" s="580">
        <f t="shared" si="164"/>
        <v>0</v>
      </c>
      <c r="AH1647" s="580">
        <f t="shared" si="165"/>
        <v>0</v>
      </c>
    </row>
    <row r="1648" spans="28:34">
      <c r="AB1648" s="580">
        <f>HLOOKUP("*"&amp;'Output annual'!$AC$2&amp;'Output annual'!$AD$2&amp;"*Zone People Number Of Occupants [](Hourly)",'Eplus results'!$1:$1048576,ROW(),FALSE)</f>
        <v>0</v>
      </c>
      <c r="AC1648" s="580">
        <f>HLOOKUP("*"&amp;'Output annual'!$AC$2&amp;'Output annual'!$AD$2&amp;"*FangerPMV(Hourly)",'Eplus results'!$1:$1048576,ROW(),FALSE)</f>
        <v>0</v>
      </c>
      <c r="AD1648" s="580">
        <f t="shared" si="161"/>
        <v>5</v>
      </c>
      <c r="AE1648" s="580">
        <f t="shared" si="162"/>
        <v>2.5</v>
      </c>
      <c r="AF1648" s="580">
        <f t="shared" si="163"/>
        <v>2.5</v>
      </c>
      <c r="AG1648" s="580">
        <f t="shared" si="164"/>
        <v>0</v>
      </c>
      <c r="AH1648" s="580">
        <f t="shared" si="165"/>
        <v>0</v>
      </c>
    </row>
    <row r="1649" spans="28:34">
      <c r="AB1649" s="580">
        <f>HLOOKUP("*"&amp;'Output annual'!$AC$2&amp;'Output annual'!$AD$2&amp;"*Zone People Number Of Occupants [](Hourly)",'Eplus results'!$1:$1048576,ROW(),FALSE)</f>
        <v>0</v>
      </c>
      <c r="AC1649" s="580">
        <f>HLOOKUP("*"&amp;'Output annual'!$AC$2&amp;'Output annual'!$AD$2&amp;"*FangerPMV(Hourly)",'Eplus results'!$1:$1048576,ROW(),FALSE)</f>
        <v>0</v>
      </c>
      <c r="AD1649" s="580">
        <f t="shared" si="161"/>
        <v>5</v>
      </c>
      <c r="AE1649" s="580">
        <f t="shared" si="162"/>
        <v>2.5</v>
      </c>
      <c r="AF1649" s="580">
        <f t="shared" si="163"/>
        <v>2.5</v>
      </c>
      <c r="AG1649" s="580">
        <f t="shared" si="164"/>
        <v>0</v>
      </c>
      <c r="AH1649" s="580">
        <f t="shared" si="165"/>
        <v>0</v>
      </c>
    </row>
    <row r="1650" spans="28:34">
      <c r="AB1650" s="580">
        <f>HLOOKUP("*"&amp;'Output annual'!$AC$2&amp;'Output annual'!$AD$2&amp;"*Zone People Number Of Occupants [](Hourly)",'Eplus results'!$1:$1048576,ROW(),FALSE)</f>
        <v>0</v>
      </c>
      <c r="AC1650" s="580">
        <f>HLOOKUP("*"&amp;'Output annual'!$AC$2&amp;'Output annual'!$AD$2&amp;"*FangerPMV(Hourly)",'Eplus results'!$1:$1048576,ROW(),FALSE)</f>
        <v>0</v>
      </c>
      <c r="AD1650" s="580">
        <f t="shared" si="161"/>
        <v>5</v>
      </c>
      <c r="AE1650" s="580">
        <f t="shared" si="162"/>
        <v>2.5</v>
      </c>
      <c r="AF1650" s="580">
        <f t="shared" si="163"/>
        <v>2.5</v>
      </c>
      <c r="AG1650" s="580">
        <f t="shared" si="164"/>
        <v>0</v>
      </c>
      <c r="AH1650" s="580">
        <f t="shared" si="165"/>
        <v>0</v>
      </c>
    </row>
    <row r="1651" spans="28:34">
      <c r="AB1651" s="580">
        <f>HLOOKUP("*"&amp;'Output annual'!$AC$2&amp;'Output annual'!$AD$2&amp;"*Zone People Number Of Occupants [](Hourly)",'Eplus results'!$1:$1048576,ROW(),FALSE)</f>
        <v>0</v>
      </c>
      <c r="AC1651" s="580">
        <f>HLOOKUP("*"&amp;'Output annual'!$AC$2&amp;'Output annual'!$AD$2&amp;"*FangerPMV(Hourly)",'Eplus results'!$1:$1048576,ROW(),FALSE)</f>
        <v>0</v>
      </c>
      <c r="AD1651" s="580">
        <f t="shared" si="161"/>
        <v>5</v>
      </c>
      <c r="AE1651" s="580">
        <f t="shared" si="162"/>
        <v>2.5</v>
      </c>
      <c r="AF1651" s="580">
        <f t="shared" si="163"/>
        <v>2.5</v>
      </c>
      <c r="AG1651" s="580">
        <f t="shared" si="164"/>
        <v>0</v>
      </c>
      <c r="AH1651" s="580">
        <f t="shared" si="165"/>
        <v>0</v>
      </c>
    </row>
    <row r="1652" spans="28:34">
      <c r="AB1652" s="580">
        <f>HLOOKUP("*"&amp;'Output annual'!$AC$2&amp;'Output annual'!$AD$2&amp;"*Zone People Number Of Occupants [](Hourly)",'Eplus results'!$1:$1048576,ROW(),FALSE)</f>
        <v>0</v>
      </c>
      <c r="AC1652" s="580">
        <f>HLOOKUP("*"&amp;'Output annual'!$AC$2&amp;'Output annual'!$AD$2&amp;"*FangerPMV(Hourly)",'Eplus results'!$1:$1048576,ROW(),FALSE)</f>
        <v>0</v>
      </c>
      <c r="AD1652" s="580">
        <f t="shared" si="161"/>
        <v>5</v>
      </c>
      <c r="AE1652" s="580">
        <f t="shared" si="162"/>
        <v>2.5</v>
      </c>
      <c r="AF1652" s="580">
        <f t="shared" si="163"/>
        <v>2.5</v>
      </c>
      <c r="AG1652" s="580">
        <f t="shared" si="164"/>
        <v>0</v>
      </c>
      <c r="AH1652" s="580">
        <f t="shared" si="165"/>
        <v>0</v>
      </c>
    </row>
    <row r="1653" spans="28:34">
      <c r="AB1653" s="580">
        <f>HLOOKUP("*"&amp;'Output annual'!$AC$2&amp;'Output annual'!$AD$2&amp;"*Zone People Number Of Occupants [](Hourly)",'Eplus results'!$1:$1048576,ROW(),FALSE)</f>
        <v>0</v>
      </c>
      <c r="AC1653" s="580">
        <f>HLOOKUP("*"&amp;'Output annual'!$AC$2&amp;'Output annual'!$AD$2&amp;"*FangerPMV(Hourly)",'Eplus results'!$1:$1048576,ROW(),FALSE)</f>
        <v>0</v>
      </c>
      <c r="AD1653" s="580">
        <f t="shared" si="161"/>
        <v>5</v>
      </c>
      <c r="AE1653" s="580">
        <f t="shared" si="162"/>
        <v>2.5</v>
      </c>
      <c r="AF1653" s="580">
        <f t="shared" si="163"/>
        <v>2.5</v>
      </c>
      <c r="AG1653" s="580">
        <f t="shared" si="164"/>
        <v>0</v>
      </c>
      <c r="AH1653" s="580">
        <f t="shared" si="165"/>
        <v>0</v>
      </c>
    </row>
    <row r="1654" spans="28:34">
      <c r="AB1654" s="580">
        <f>HLOOKUP("*"&amp;'Output annual'!$AC$2&amp;'Output annual'!$AD$2&amp;"*Zone People Number Of Occupants [](Hourly)",'Eplus results'!$1:$1048576,ROW(),FALSE)</f>
        <v>0</v>
      </c>
      <c r="AC1654" s="580">
        <f>HLOOKUP("*"&amp;'Output annual'!$AC$2&amp;'Output annual'!$AD$2&amp;"*FangerPMV(Hourly)",'Eplus results'!$1:$1048576,ROW(),FALSE)</f>
        <v>0</v>
      </c>
      <c r="AD1654" s="580">
        <f t="shared" si="161"/>
        <v>5</v>
      </c>
      <c r="AE1654" s="580">
        <f t="shared" si="162"/>
        <v>2.5</v>
      </c>
      <c r="AF1654" s="580">
        <f t="shared" si="163"/>
        <v>2.5</v>
      </c>
      <c r="AG1654" s="580">
        <f t="shared" si="164"/>
        <v>0</v>
      </c>
      <c r="AH1654" s="580">
        <f t="shared" si="165"/>
        <v>0</v>
      </c>
    </row>
    <row r="1655" spans="28:34">
      <c r="AB1655" s="580">
        <f>HLOOKUP("*"&amp;'Output annual'!$AC$2&amp;'Output annual'!$AD$2&amp;"*Zone People Number Of Occupants [](Hourly)",'Eplus results'!$1:$1048576,ROW(),FALSE)</f>
        <v>0</v>
      </c>
      <c r="AC1655" s="580">
        <f>HLOOKUP("*"&amp;'Output annual'!$AC$2&amp;'Output annual'!$AD$2&amp;"*FangerPMV(Hourly)",'Eplus results'!$1:$1048576,ROW(),FALSE)</f>
        <v>0</v>
      </c>
      <c r="AD1655" s="580">
        <f t="shared" si="161"/>
        <v>5</v>
      </c>
      <c r="AE1655" s="580">
        <f t="shared" si="162"/>
        <v>2.5</v>
      </c>
      <c r="AF1655" s="580">
        <f t="shared" si="163"/>
        <v>2.5</v>
      </c>
      <c r="AG1655" s="580">
        <f t="shared" si="164"/>
        <v>0</v>
      </c>
      <c r="AH1655" s="580">
        <f t="shared" si="165"/>
        <v>0</v>
      </c>
    </row>
    <row r="1656" spans="28:34">
      <c r="AB1656" s="580">
        <f>HLOOKUP("*"&amp;'Output annual'!$AC$2&amp;'Output annual'!$AD$2&amp;"*Zone People Number Of Occupants [](Hourly)",'Eplus results'!$1:$1048576,ROW(),FALSE)</f>
        <v>0</v>
      </c>
      <c r="AC1656" s="580">
        <f>HLOOKUP("*"&amp;'Output annual'!$AC$2&amp;'Output annual'!$AD$2&amp;"*FangerPMV(Hourly)",'Eplus results'!$1:$1048576,ROW(),FALSE)</f>
        <v>0</v>
      </c>
      <c r="AD1656" s="580">
        <f t="shared" si="161"/>
        <v>5</v>
      </c>
      <c r="AE1656" s="580">
        <f t="shared" si="162"/>
        <v>2.5</v>
      </c>
      <c r="AF1656" s="580">
        <f t="shared" si="163"/>
        <v>2.5</v>
      </c>
      <c r="AG1656" s="580">
        <f t="shared" si="164"/>
        <v>0</v>
      </c>
      <c r="AH1656" s="580">
        <f t="shared" si="165"/>
        <v>0</v>
      </c>
    </row>
    <row r="1657" spans="28:34">
      <c r="AB1657" s="580">
        <f>HLOOKUP("*"&amp;'Output annual'!$AC$2&amp;'Output annual'!$AD$2&amp;"*Zone People Number Of Occupants [](Hourly)",'Eplus results'!$1:$1048576,ROW(),FALSE)</f>
        <v>0</v>
      </c>
      <c r="AC1657" s="580">
        <f>HLOOKUP("*"&amp;'Output annual'!$AC$2&amp;'Output annual'!$AD$2&amp;"*FangerPMV(Hourly)",'Eplus results'!$1:$1048576,ROW(),FALSE)</f>
        <v>0</v>
      </c>
      <c r="AD1657" s="580">
        <f t="shared" si="161"/>
        <v>5</v>
      </c>
      <c r="AE1657" s="580">
        <f t="shared" si="162"/>
        <v>2.5</v>
      </c>
      <c r="AF1657" s="580">
        <f t="shared" si="163"/>
        <v>2.5</v>
      </c>
      <c r="AG1657" s="580">
        <f t="shared" si="164"/>
        <v>0</v>
      </c>
      <c r="AH1657" s="580">
        <f t="shared" si="165"/>
        <v>0</v>
      </c>
    </row>
    <row r="1658" spans="28:34">
      <c r="AB1658" s="580">
        <f>HLOOKUP("*"&amp;'Output annual'!$AC$2&amp;'Output annual'!$AD$2&amp;"*Zone People Number Of Occupants [](Hourly)",'Eplus results'!$1:$1048576,ROW(),FALSE)</f>
        <v>0</v>
      </c>
      <c r="AC1658" s="580">
        <f>HLOOKUP("*"&amp;'Output annual'!$AC$2&amp;'Output annual'!$AD$2&amp;"*FangerPMV(Hourly)",'Eplus results'!$1:$1048576,ROW(),FALSE)</f>
        <v>0</v>
      </c>
      <c r="AD1658" s="580">
        <f t="shared" si="161"/>
        <v>5</v>
      </c>
      <c r="AE1658" s="580">
        <f t="shared" si="162"/>
        <v>2.5</v>
      </c>
      <c r="AF1658" s="580">
        <f t="shared" si="163"/>
        <v>2.5</v>
      </c>
      <c r="AG1658" s="580">
        <f t="shared" si="164"/>
        <v>0</v>
      </c>
      <c r="AH1658" s="580">
        <f t="shared" si="165"/>
        <v>0</v>
      </c>
    </row>
    <row r="1659" spans="28:34">
      <c r="AB1659" s="580">
        <f>HLOOKUP("*"&amp;'Output annual'!$AC$2&amp;'Output annual'!$AD$2&amp;"*Zone People Number Of Occupants [](Hourly)",'Eplus results'!$1:$1048576,ROW(),FALSE)</f>
        <v>0</v>
      </c>
      <c r="AC1659" s="580">
        <f>HLOOKUP("*"&amp;'Output annual'!$AC$2&amp;'Output annual'!$AD$2&amp;"*FangerPMV(Hourly)",'Eplus results'!$1:$1048576,ROW(),FALSE)</f>
        <v>0</v>
      </c>
      <c r="AD1659" s="580">
        <f t="shared" si="161"/>
        <v>5</v>
      </c>
      <c r="AE1659" s="580">
        <f t="shared" si="162"/>
        <v>2.5</v>
      </c>
      <c r="AF1659" s="580">
        <f t="shared" si="163"/>
        <v>2.5</v>
      </c>
      <c r="AG1659" s="580">
        <f t="shared" si="164"/>
        <v>0</v>
      </c>
      <c r="AH1659" s="580">
        <f t="shared" si="165"/>
        <v>0</v>
      </c>
    </row>
    <row r="1660" spans="28:34">
      <c r="AB1660" s="580">
        <f>HLOOKUP("*"&amp;'Output annual'!$AC$2&amp;'Output annual'!$AD$2&amp;"*Zone People Number Of Occupants [](Hourly)",'Eplus results'!$1:$1048576,ROW(),FALSE)</f>
        <v>0</v>
      </c>
      <c r="AC1660" s="580">
        <f>HLOOKUP("*"&amp;'Output annual'!$AC$2&amp;'Output annual'!$AD$2&amp;"*FangerPMV(Hourly)",'Eplus results'!$1:$1048576,ROW(),FALSE)</f>
        <v>0</v>
      </c>
      <c r="AD1660" s="580">
        <f t="shared" si="161"/>
        <v>5</v>
      </c>
      <c r="AE1660" s="580">
        <f t="shared" si="162"/>
        <v>2.5</v>
      </c>
      <c r="AF1660" s="580">
        <f t="shared" si="163"/>
        <v>2.5</v>
      </c>
      <c r="AG1660" s="580">
        <f t="shared" si="164"/>
        <v>0</v>
      </c>
      <c r="AH1660" s="580">
        <f t="shared" si="165"/>
        <v>0</v>
      </c>
    </row>
    <row r="1661" spans="28:34">
      <c r="AB1661" s="580">
        <f>HLOOKUP("*"&amp;'Output annual'!$AC$2&amp;'Output annual'!$AD$2&amp;"*Zone People Number Of Occupants [](Hourly)",'Eplus results'!$1:$1048576,ROW(),FALSE)</f>
        <v>0</v>
      </c>
      <c r="AC1661" s="580">
        <f>HLOOKUP("*"&amp;'Output annual'!$AC$2&amp;'Output annual'!$AD$2&amp;"*FangerPMV(Hourly)",'Eplus results'!$1:$1048576,ROW(),FALSE)</f>
        <v>0</v>
      </c>
      <c r="AD1661" s="580">
        <f t="shared" si="161"/>
        <v>5</v>
      </c>
      <c r="AE1661" s="580">
        <f t="shared" si="162"/>
        <v>2.5</v>
      </c>
      <c r="AF1661" s="580">
        <f t="shared" si="163"/>
        <v>2.5</v>
      </c>
      <c r="AG1661" s="580">
        <f t="shared" si="164"/>
        <v>0</v>
      </c>
      <c r="AH1661" s="580">
        <f t="shared" si="165"/>
        <v>0</v>
      </c>
    </row>
    <row r="1662" spans="28:34">
      <c r="AB1662" s="580">
        <f>HLOOKUP("*"&amp;'Output annual'!$AC$2&amp;'Output annual'!$AD$2&amp;"*Zone People Number Of Occupants [](Hourly)",'Eplus results'!$1:$1048576,ROW(),FALSE)</f>
        <v>0</v>
      </c>
      <c r="AC1662" s="580">
        <f>HLOOKUP("*"&amp;'Output annual'!$AC$2&amp;'Output annual'!$AD$2&amp;"*FangerPMV(Hourly)",'Eplus results'!$1:$1048576,ROW(),FALSE)</f>
        <v>0</v>
      </c>
      <c r="AD1662" s="580">
        <f t="shared" si="161"/>
        <v>5</v>
      </c>
      <c r="AE1662" s="580">
        <f t="shared" si="162"/>
        <v>2.5</v>
      </c>
      <c r="AF1662" s="580">
        <f t="shared" si="163"/>
        <v>2.5</v>
      </c>
      <c r="AG1662" s="580">
        <f t="shared" si="164"/>
        <v>0</v>
      </c>
      <c r="AH1662" s="580">
        <f t="shared" si="165"/>
        <v>0</v>
      </c>
    </row>
    <row r="1663" spans="28:34">
      <c r="AB1663" s="580">
        <f>HLOOKUP("*"&amp;'Output annual'!$AC$2&amp;'Output annual'!$AD$2&amp;"*Zone People Number Of Occupants [](Hourly)",'Eplus results'!$1:$1048576,ROW(),FALSE)</f>
        <v>0</v>
      </c>
      <c r="AC1663" s="580">
        <f>HLOOKUP("*"&amp;'Output annual'!$AC$2&amp;'Output annual'!$AD$2&amp;"*FangerPMV(Hourly)",'Eplus results'!$1:$1048576,ROW(),FALSE)</f>
        <v>0</v>
      </c>
      <c r="AD1663" s="580">
        <f t="shared" si="161"/>
        <v>5</v>
      </c>
      <c r="AE1663" s="580">
        <f t="shared" si="162"/>
        <v>2.5</v>
      </c>
      <c r="AF1663" s="580">
        <f t="shared" si="163"/>
        <v>2.5</v>
      </c>
      <c r="AG1663" s="580">
        <f t="shared" si="164"/>
        <v>0</v>
      </c>
      <c r="AH1663" s="580">
        <f t="shared" si="165"/>
        <v>0</v>
      </c>
    </row>
    <row r="1664" spans="28:34">
      <c r="AB1664" s="580">
        <f>HLOOKUP("*"&amp;'Output annual'!$AC$2&amp;'Output annual'!$AD$2&amp;"*Zone People Number Of Occupants [](Hourly)",'Eplus results'!$1:$1048576,ROW(),FALSE)</f>
        <v>0</v>
      </c>
      <c r="AC1664" s="580">
        <f>HLOOKUP("*"&amp;'Output annual'!$AC$2&amp;'Output annual'!$AD$2&amp;"*FangerPMV(Hourly)",'Eplus results'!$1:$1048576,ROW(),FALSE)</f>
        <v>0</v>
      </c>
      <c r="AD1664" s="580">
        <f t="shared" si="161"/>
        <v>5</v>
      </c>
      <c r="AE1664" s="580">
        <f t="shared" si="162"/>
        <v>2.5</v>
      </c>
      <c r="AF1664" s="580">
        <f t="shared" si="163"/>
        <v>2.5</v>
      </c>
      <c r="AG1664" s="580">
        <f t="shared" si="164"/>
        <v>0</v>
      </c>
      <c r="AH1664" s="580">
        <f t="shared" si="165"/>
        <v>0</v>
      </c>
    </row>
    <row r="1665" spans="28:34">
      <c r="AB1665" s="580">
        <f>HLOOKUP("*"&amp;'Output annual'!$AC$2&amp;'Output annual'!$AD$2&amp;"*Zone People Number Of Occupants [](Hourly)",'Eplus results'!$1:$1048576,ROW(),FALSE)</f>
        <v>0</v>
      </c>
      <c r="AC1665" s="580">
        <f>HLOOKUP("*"&amp;'Output annual'!$AC$2&amp;'Output annual'!$AD$2&amp;"*FangerPMV(Hourly)",'Eplus results'!$1:$1048576,ROW(),FALSE)</f>
        <v>0</v>
      </c>
      <c r="AD1665" s="580">
        <f t="shared" si="161"/>
        <v>5</v>
      </c>
      <c r="AE1665" s="580">
        <f t="shared" si="162"/>
        <v>2.5</v>
      </c>
      <c r="AF1665" s="580">
        <f t="shared" si="163"/>
        <v>2.5</v>
      </c>
      <c r="AG1665" s="580">
        <f t="shared" si="164"/>
        <v>0</v>
      </c>
      <c r="AH1665" s="580">
        <f t="shared" si="165"/>
        <v>0</v>
      </c>
    </row>
    <row r="1666" spans="28:34">
      <c r="AB1666" s="580">
        <f>HLOOKUP("*"&amp;'Output annual'!$AC$2&amp;'Output annual'!$AD$2&amp;"*Zone People Number Of Occupants [](Hourly)",'Eplus results'!$1:$1048576,ROW(),FALSE)</f>
        <v>0</v>
      </c>
      <c r="AC1666" s="580">
        <f>HLOOKUP("*"&amp;'Output annual'!$AC$2&amp;'Output annual'!$AD$2&amp;"*FangerPMV(Hourly)",'Eplus results'!$1:$1048576,ROW(),FALSE)</f>
        <v>0</v>
      </c>
      <c r="AD1666" s="580">
        <f t="shared" si="161"/>
        <v>5</v>
      </c>
      <c r="AE1666" s="580">
        <f t="shared" si="162"/>
        <v>2.5</v>
      </c>
      <c r="AF1666" s="580">
        <f t="shared" si="163"/>
        <v>2.5</v>
      </c>
      <c r="AG1666" s="580">
        <f t="shared" si="164"/>
        <v>0</v>
      </c>
      <c r="AH1666" s="580">
        <f t="shared" si="165"/>
        <v>0</v>
      </c>
    </row>
    <row r="1667" spans="28:34">
      <c r="AB1667" s="580">
        <f>HLOOKUP("*"&amp;'Output annual'!$AC$2&amp;'Output annual'!$AD$2&amp;"*Zone People Number Of Occupants [](Hourly)",'Eplus results'!$1:$1048576,ROW(),FALSE)</f>
        <v>0</v>
      </c>
      <c r="AC1667" s="580">
        <f>HLOOKUP("*"&amp;'Output annual'!$AC$2&amp;'Output annual'!$AD$2&amp;"*FangerPMV(Hourly)",'Eplus results'!$1:$1048576,ROW(),FALSE)</f>
        <v>0</v>
      </c>
      <c r="AD1667" s="580">
        <f t="shared" ref="AD1667:AD1730" si="166">100-95*EXP(-0.03353*AC1667^4-0.2179*AC1667^2)</f>
        <v>5</v>
      </c>
      <c r="AE1667" s="580">
        <f t="shared" ref="AE1667:AE1730" si="167">AD1667*(1/(1+EXP(-6.3*$AC1667)))</f>
        <v>2.5</v>
      </c>
      <c r="AF1667" s="580">
        <f t="shared" ref="AF1667:AF1730" si="168">(AD1667-AE1667)</f>
        <v>2.5</v>
      </c>
      <c r="AG1667" s="580">
        <f t="shared" ref="AG1667:AG1730" si="169">AE1667*AB1667</f>
        <v>0</v>
      </c>
      <c r="AH1667" s="580">
        <f t="shared" ref="AH1667:AH1730" si="170">AF1667*AB1667</f>
        <v>0</v>
      </c>
    </row>
    <row r="1668" spans="28:34">
      <c r="AB1668" s="580">
        <f>HLOOKUP("*"&amp;'Output annual'!$AC$2&amp;'Output annual'!$AD$2&amp;"*Zone People Number Of Occupants [](Hourly)",'Eplus results'!$1:$1048576,ROW(),FALSE)</f>
        <v>0</v>
      </c>
      <c r="AC1668" s="580">
        <f>HLOOKUP("*"&amp;'Output annual'!$AC$2&amp;'Output annual'!$AD$2&amp;"*FangerPMV(Hourly)",'Eplus results'!$1:$1048576,ROW(),FALSE)</f>
        <v>0</v>
      </c>
      <c r="AD1668" s="580">
        <f t="shared" si="166"/>
        <v>5</v>
      </c>
      <c r="AE1668" s="580">
        <f t="shared" si="167"/>
        <v>2.5</v>
      </c>
      <c r="AF1668" s="580">
        <f t="shared" si="168"/>
        <v>2.5</v>
      </c>
      <c r="AG1668" s="580">
        <f t="shared" si="169"/>
        <v>0</v>
      </c>
      <c r="AH1668" s="580">
        <f t="shared" si="170"/>
        <v>0</v>
      </c>
    </row>
    <row r="1669" spans="28:34">
      <c r="AB1669" s="580">
        <f>HLOOKUP("*"&amp;'Output annual'!$AC$2&amp;'Output annual'!$AD$2&amp;"*Zone People Number Of Occupants [](Hourly)",'Eplus results'!$1:$1048576,ROW(),FALSE)</f>
        <v>0</v>
      </c>
      <c r="AC1669" s="580">
        <f>HLOOKUP("*"&amp;'Output annual'!$AC$2&amp;'Output annual'!$AD$2&amp;"*FangerPMV(Hourly)",'Eplus results'!$1:$1048576,ROW(),FALSE)</f>
        <v>0</v>
      </c>
      <c r="AD1669" s="580">
        <f t="shared" si="166"/>
        <v>5</v>
      </c>
      <c r="AE1669" s="580">
        <f t="shared" si="167"/>
        <v>2.5</v>
      </c>
      <c r="AF1669" s="580">
        <f t="shared" si="168"/>
        <v>2.5</v>
      </c>
      <c r="AG1669" s="580">
        <f t="shared" si="169"/>
        <v>0</v>
      </c>
      <c r="AH1669" s="580">
        <f t="shared" si="170"/>
        <v>0</v>
      </c>
    </row>
    <row r="1670" spans="28:34">
      <c r="AB1670" s="580">
        <f>HLOOKUP("*"&amp;'Output annual'!$AC$2&amp;'Output annual'!$AD$2&amp;"*Zone People Number Of Occupants [](Hourly)",'Eplus results'!$1:$1048576,ROW(),FALSE)</f>
        <v>0</v>
      </c>
      <c r="AC1670" s="580">
        <f>HLOOKUP("*"&amp;'Output annual'!$AC$2&amp;'Output annual'!$AD$2&amp;"*FangerPMV(Hourly)",'Eplus results'!$1:$1048576,ROW(),FALSE)</f>
        <v>0</v>
      </c>
      <c r="AD1670" s="580">
        <f t="shared" si="166"/>
        <v>5</v>
      </c>
      <c r="AE1670" s="580">
        <f t="shared" si="167"/>
        <v>2.5</v>
      </c>
      <c r="AF1670" s="580">
        <f t="shared" si="168"/>
        <v>2.5</v>
      </c>
      <c r="AG1670" s="580">
        <f t="shared" si="169"/>
        <v>0</v>
      </c>
      <c r="AH1670" s="580">
        <f t="shared" si="170"/>
        <v>0</v>
      </c>
    </row>
    <row r="1671" spans="28:34">
      <c r="AB1671" s="580">
        <f>HLOOKUP("*"&amp;'Output annual'!$AC$2&amp;'Output annual'!$AD$2&amp;"*Zone People Number Of Occupants [](Hourly)",'Eplus results'!$1:$1048576,ROW(),FALSE)</f>
        <v>0</v>
      </c>
      <c r="AC1671" s="580">
        <f>HLOOKUP("*"&amp;'Output annual'!$AC$2&amp;'Output annual'!$AD$2&amp;"*FangerPMV(Hourly)",'Eplus results'!$1:$1048576,ROW(),FALSE)</f>
        <v>0</v>
      </c>
      <c r="AD1671" s="580">
        <f t="shared" si="166"/>
        <v>5</v>
      </c>
      <c r="AE1671" s="580">
        <f t="shared" si="167"/>
        <v>2.5</v>
      </c>
      <c r="AF1671" s="580">
        <f t="shared" si="168"/>
        <v>2.5</v>
      </c>
      <c r="AG1671" s="580">
        <f t="shared" si="169"/>
        <v>0</v>
      </c>
      <c r="AH1671" s="580">
        <f t="shared" si="170"/>
        <v>0</v>
      </c>
    </row>
    <row r="1672" spans="28:34">
      <c r="AB1672" s="580">
        <f>HLOOKUP("*"&amp;'Output annual'!$AC$2&amp;'Output annual'!$AD$2&amp;"*Zone People Number Of Occupants [](Hourly)",'Eplus results'!$1:$1048576,ROW(),FALSE)</f>
        <v>0</v>
      </c>
      <c r="AC1672" s="580">
        <f>HLOOKUP("*"&amp;'Output annual'!$AC$2&amp;'Output annual'!$AD$2&amp;"*FangerPMV(Hourly)",'Eplus results'!$1:$1048576,ROW(),FALSE)</f>
        <v>0</v>
      </c>
      <c r="AD1672" s="580">
        <f t="shared" si="166"/>
        <v>5</v>
      </c>
      <c r="AE1672" s="580">
        <f t="shared" si="167"/>
        <v>2.5</v>
      </c>
      <c r="AF1672" s="580">
        <f t="shared" si="168"/>
        <v>2.5</v>
      </c>
      <c r="AG1672" s="580">
        <f t="shared" si="169"/>
        <v>0</v>
      </c>
      <c r="AH1672" s="580">
        <f t="shared" si="170"/>
        <v>0</v>
      </c>
    </row>
    <row r="1673" spans="28:34">
      <c r="AB1673" s="580">
        <f>HLOOKUP("*"&amp;'Output annual'!$AC$2&amp;'Output annual'!$AD$2&amp;"*Zone People Number Of Occupants [](Hourly)",'Eplus results'!$1:$1048576,ROW(),FALSE)</f>
        <v>0</v>
      </c>
      <c r="AC1673" s="580">
        <f>HLOOKUP("*"&amp;'Output annual'!$AC$2&amp;'Output annual'!$AD$2&amp;"*FangerPMV(Hourly)",'Eplus results'!$1:$1048576,ROW(),FALSE)</f>
        <v>0</v>
      </c>
      <c r="AD1673" s="580">
        <f t="shared" si="166"/>
        <v>5</v>
      </c>
      <c r="AE1673" s="580">
        <f t="shared" si="167"/>
        <v>2.5</v>
      </c>
      <c r="AF1673" s="580">
        <f t="shared" si="168"/>
        <v>2.5</v>
      </c>
      <c r="AG1673" s="580">
        <f t="shared" si="169"/>
        <v>0</v>
      </c>
      <c r="AH1673" s="580">
        <f t="shared" si="170"/>
        <v>0</v>
      </c>
    </row>
    <row r="1674" spans="28:34">
      <c r="AB1674" s="580">
        <f>HLOOKUP("*"&amp;'Output annual'!$AC$2&amp;'Output annual'!$AD$2&amp;"*Zone People Number Of Occupants [](Hourly)",'Eplus results'!$1:$1048576,ROW(),FALSE)</f>
        <v>0</v>
      </c>
      <c r="AC1674" s="580">
        <f>HLOOKUP("*"&amp;'Output annual'!$AC$2&amp;'Output annual'!$AD$2&amp;"*FangerPMV(Hourly)",'Eplus results'!$1:$1048576,ROW(),FALSE)</f>
        <v>0</v>
      </c>
      <c r="AD1674" s="580">
        <f t="shared" si="166"/>
        <v>5</v>
      </c>
      <c r="AE1674" s="580">
        <f t="shared" si="167"/>
        <v>2.5</v>
      </c>
      <c r="AF1674" s="580">
        <f t="shared" si="168"/>
        <v>2.5</v>
      </c>
      <c r="AG1674" s="580">
        <f t="shared" si="169"/>
        <v>0</v>
      </c>
      <c r="AH1674" s="580">
        <f t="shared" si="170"/>
        <v>0</v>
      </c>
    </row>
    <row r="1675" spans="28:34">
      <c r="AB1675" s="580">
        <f>HLOOKUP("*"&amp;'Output annual'!$AC$2&amp;'Output annual'!$AD$2&amp;"*Zone People Number Of Occupants [](Hourly)",'Eplus results'!$1:$1048576,ROW(),FALSE)</f>
        <v>0</v>
      </c>
      <c r="AC1675" s="580">
        <f>HLOOKUP("*"&amp;'Output annual'!$AC$2&amp;'Output annual'!$AD$2&amp;"*FangerPMV(Hourly)",'Eplus results'!$1:$1048576,ROW(),FALSE)</f>
        <v>0</v>
      </c>
      <c r="AD1675" s="580">
        <f t="shared" si="166"/>
        <v>5</v>
      </c>
      <c r="AE1675" s="580">
        <f t="shared" si="167"/>
        <v>2.5</v>
      </c>
      <c r="AF1675" s="580">
        <f t="shared" si="168"/>
        <v>2.5</v>
      </c>
      <c r="AG1675" s="580">
        <f t="shared" si="169"/>
        <v>0</v>
      </c>
      <c r="AH1675" s="580">
        <f t="shared" si="170"/>
        <v>0</v>
      </c>
    </row>
    <row r="1676" spans="28:34">
      <c r="AB1676" s="580">
        <f>HLOOKUP("*"&amp;'Output annual'!$AC$2&amp;'Output annual'!$AD$2&amp;"*Zone People Number Of Occupants [](Hourly)",'Eplus results'!$1:$1048576,ROW(),FALSE)</f>
        <v>0</v>
      </c>
      <c r="AC1676" s="580">
        <f>HLOOKUP("*"&amp;'Output annual'!$AC$2&amp;'Output annual'!$AD$2&amp;"*FangerPMV(Hourly)",'Eplus results'!$1:$1048576,ROW(),FALSE)</f>
        <v>0</v>
      </c>
      <c r="AD1676" s="580">
        <f t="shared" si="166"/>
        <v>5</v>
      </c>
      <c r="AE1676" s="580">
        <f t="shared" si="167"/>
        <v>2.5</v>
      </c>
      <c r="AF1676" s="580">
        <f t="shared" si="168"/>
        <v>2.5</v>
      </c>
      <c r="AG1676" s="580">
        <f t="shared" si="169"/>
        <v>0</v>
      </c>
      <c r="AH1676" s="580">
        <f t="shared" si="170"/>
        <v>0</v>
      </c>
    </row>
    <row r="1677" spans="28:34">
      <c r="AB1677" s="580">
        <f>HLOOKUP("*"&amp;'Output annual'!$AC$2&amp;'Output annual'!$AD$2&amp;"*Zone People Number Of Occupants [](Hourly)",'Eplus results'!$1:$1048576,ROW(),FALSE)</f>
        <v>0</v>
      </c>
      <c r="AC1677" s="580">
        <f>HLOOKUP("*"&amp;'Output annual'!$AC$2&amp;'Output annual'!$AD$2&amp;"*FangerPMV(Hourly)",'Eplus results'!$1:$1048576,ROW(),FALSE)</f>
        <v>0</v>
      </c>
      <c r="AD1677" s="580">
        <f t="shared" si="166"/>
        <v>5</v>
      </c>
      <c r="AE1677" s="580">
        <f t="shared" si="167"/>
        <v>2.5</v>
      </c>
      <c r="AF1677" s="580">
        <f t="shared" si="168"/>
        <v>2.5</v>
      </c>
      <c r="AG1677" s="580">
        <f t="shared" si="169"/>
        <v>0</v>
      </c>
      <c r="AH1677" s="580">
        <f t="shared" si="170"/>
        <v>0</v>
      </c>
    </row>
    <row r="1678" spans="28:34">
      <c r="AB1678" s="580">
        <f>HLOOKUP("*"&amp;'Output annual'!$AC$2&amp;'Output annual'!$AD$2&amp;"*Zone People Number Of Occupants [](Hourly)",'Eplus results'!$1:$1048576,ROW(),FALSE)</f>
        <v>0</v>
      </c>
      <c r="AC1678" s="580">
        <f>HLOOKUP("*"&amp;'Output annual'!$AC$2&amp;'Output annual'!$AD$2&amp;"*FangerPMV(Hourly)",'Eplus results'!$1:$1048576,ROW(),FALSE)</f>
        <v>0</v>
      </c>
      <c r="AD1678" s="580">
        <f t="shared" si="166"/>
        <v>5</v>
      </c>
      <c r="AE1678" s="580">
        <f t="shared" si="167"/>
        <v>2.5</v>
      </c>
      <c r="AF1678" s="580">
        <f t="shared" si="168"/>
        <v>2.5</v>
      </c>
      <c r="AG1678" s="580">
        <f t="shared" si="169"/>
        <v>0</v>
      </c>
      <c r="AH1678" s="580">
        <f t="shared" si="170"/>
        <v>0</v>
      </c>
    </row>
    <row r="1679" spans="28:34">
      <c r="AB1679" s="580">
        <f>HLOOKUP("*"&amp;'Output annual'!$AC$2&amp;'Output annual'!$AD$2&amp;"*Zone People Number Of Occupants [](Hourly)",'Eplus results'!$1:$1048576,ROW(),FALSE)</f>
        <v>0</v>
      </c>
      <c r="AC1679" s="580">
        <f>HLOOKUP("*"&amp;'Output annual'!$AC$2&amp;'Output annual'!$AD$2&amp;"*FangerPMV(Hourly)",'Eplus results'!$1:$1048576,ROW(),FALSE)</f>
        <v>0</v>
      </c>
      <c r="AD1679" s="580">
        <f t="shared" si="166"/>
        <v>5</v>
      </c>
      <c r="AE1679" s="580">
        <f t="shared" si="167"/>
        <v>2.5</v>
      </c>
      <c r="AF1679" s="580">
        <f t="shared" si="168"/>
        <v>2.5</v>
      </c>
      <c r="AG1679" s="580">
        <f t="shared" si="169"/>
        <v>0</v>
      </c>
      <c r="AH1679" s="580">
        <f t="shared" si="170"/>
        <v>0</v>
      </c>
    </row>
    <row r="1680" spans="28:34">
      <c r="AB1680" s="580">
        <f>HLOOKUP("*"&amp;'Output annual'!$AC$2&amp;'Output annual'!$AD$2&amp;"*Zone People Number Of Occupants [](Hourly)",'Eplus results'!$1:$1048576,ROW(),FALSE)</f>
        <v>0</v>
      </c>
      <c r="AC1680" s="580">
        <f>HLOOKUP("*"&amp;'Output annual'!$AC$2&amp;'Output annual'!$AD$2&amp;"*FangerPMV(Hourly)",'Eplus results'!$1:$1048576,ROW(),FALSE)</f>
        <v>0</v>
      </c>
      <c r="AD1680" s="580">
        <f t="shared" si="166"/>
        <v>5</v>
      </c>
      <c r="AE1680" s="580">
        <f t="shared" si="167"/>
        <v>2.5</v>
      </c>
      <c r="AF1680" s="580">
        <f t="shared" si="168"/>
        <v>2.5</v>
      </c>
      <c r="AG1680" s="580">
        <f t="shared" si="169"/>
        <v>0</v>
      </c>
      <c r="AH1680" s="580">
        <f t="shared" si="170"/>
        <v>0</v>
      </c>
    </row>
    <row r="1681" spans="28:34">
      <c r="AB1681" s="580">
        <f>HLOOKUP("*"&amp;'Output annual'!$AC$2&amp;'Output annual'!$AD$2&amp;"*Zone People Number Of Occupants [](Hourly)",'Eplus results'!$1:$1048576,ROW(),FALSE)</f>
        <v>0</v>
      </c>
      <c r="AC1681" s="580">
        <f>HLOOKUP("*"&amp;'Output annual'!$AC$2&amp;'Output annual'!$AD$2&amp;"*FangerPMV(Hourly)",'Eplus results'!$1:$1048576,ROW(),FALSE)</f>
        <v>0</v>
      </c>
      <c r="AD1681" s="580">
        <f t="shared" si="166"/>
        <v>5</v>
      </c>
      <c r="AE1681" s="580">
        <f t="shared" si="167"/>
        <v>2.5</v>
      </c>
      <c r="AF1681" s="580">
        <f t="shared" si="168"/>
        <v>2.5</v>
      </c>
      <c r="AG1681" s="580">
        <f t="shared" si="169"/>
        <v>0</v>
      </c>
      <c r="AH1681" s="580">
        <f t="shared" si="170"/>
        <v>0</v>
      </c>
    </row>
    <row r="1682" spans="28:34">
      <c r="AB1682" s="580">
        <f>HLOOKUP("*"&amp;'Output annual'!$AC$2&amp;'Output annual'!$AD$2&amp;"*Zone People Number Of Occupants [](Hourly)",'Eplus results'!$1:$1048576,ROW(),FALSE)</f>
        <v>0</v>
      </c>
      <c r="AC1682" s="580">
        <f>HLOOKUP("*"&amp;'Output annual'!$AC$2&amp;'Output annual'!$AD$2&amp;"*FangerPMV(Hourly)",'Eplus results'!$1:$1048576,ROW(),FALSE)</f>
        <v>0</v>
      </c>
      <c r="AD1682" s="580">
        <f t="shared" si="166"/>
        <v>5</v>
      </c>
      <c r="AE1682" s="580">
        <f t="shared" si="167"/>
        <v>2.5</v>
      </c>
      <c r="AF1682" s="580">
        <f t="shared" si="168"/>
        <v>2.5</v>
      </c>
      <c r="AG1682" s="580">
        <f t="shared" si="169"/>
        <v>0</v>
      </c>
      <c r="AH1682" s="580">
        <f t="shared" si="170"/>
        <v>0</v>
      </c>
    </row>
    <row r="1683" spans="28:34">
      <c r="AB1683" s="580">
        <f>HLOOKUP("*"&amp;'Output annual'!$AC$2&amp;'Output annual'!$AD$2&amp;"*Zone People Number Of Occupants [](Hourly)",'Eplus results'!$1:$1048576,ROW(),FALSE)</f>
        <v>0</v>
      </c>
      <c r="AC1683" s="580">
        <f>HLOOKUP("*"&amp;'Output annual'!$AC$2&amp;'Output annual'!$AD$2&amp;"*FangerPMV(Hourly)",'Eplus results'!$1:$1048576,ROW(),FALSE)</f>
        <v>0</v>
      </c>
      <c r="AD1683" s="580">
        <f t="shared" si="166"/>
        <v>5</v>
      </c>
      <c r="AE1683" s="580">
        <f t="shared" si="167"/>
        <v>2.5</v>
      </c>
      <c r="AF1683" s="580">
        <f t="shared" si="168"/>
        <v>2.5</v>
      </c>
      <c r="AG1683" s="580">
        <f t="shared" si="169"/>
        <v>0</v>
      </c>
      <c r="AH1683" s="580">
        <f t="shared" si="170"/>
        <v>0</v>
      </c>
    </row>
    <row r="1684" spans="28:34">
      <c r="AB1684" s="580">
        <f>HLOOKUP("*"&amp;'Output annual'!$AC$2&amp;'Output annual'!$AD$2&amp;"*Zone People Number Of Occupants [](Hourly)",'Eplus results'!$1:$1048576,ROW(),FALSE)</f>
        <v>0</v>
      </c>
      <c r="AC1684" s="580">
        <f>HLOOKUP("*"&amp;'Output annual'!$AC$2&amp;'Output annual'!$AD$2&amp;"*FangerPMV(Hourly)",'Eplus results'!$1:$1048576,ROW(),FALSE)</f>
        <v>0</v>
      </c>
      <c r="AD1684" s="580">
        <f t="shared" si="166"/>
        <v>5</v>
      </c>
      <c r="AE1684" s="580">
        <f t="shared" si="167"/>
        <v>2.5</v>
      </c>
      <c r="AF1684" s="580">
        <f t="shared" si="168"/>
        <v>2.5</v>
      </c>
      <c r="AG1684" s="580">
        <f t="shared" si="169"/>
        <v>0</v>
      </c>
      <c r="AH1684" s="580">
        <f t="shared" si="170"/>
        <v>0</v>
      </c>
    </row>
    <row r="1685" spans="28:34">
      <c r="AB1685" s="580">
        <f>HLOOKUP("*"&amp;'Output annual'!$AC$2&amp;'Output annual'!$AD$2&amp;"*Zone People Number Of Occupants [](Hourly)",'Eplus results'!$1:$1048576,ROW(),FALSE)</f>
        <v>0</v>
      </c>
      <c r="AC1685" s="580">
        <f>HLOOKUP("*"&amp;'Output annual'!$AC$2&amp;'Output annual'!$AD$2&amp;"*FangerPMV(Hourly)",'Eplus results'!$1:$1048576,ROW(),FALSE)</f>
        <v>0</v>
      </c>
      <c r="AD1685" s="580">
        <f t="shared" si="166"/>
        <v>5</v>
      </c>
      <c r="AE1685" s="580">
        <f t="shared" si="167"/>
        <v>2.5</v>
      </c>
      <c r="AF1685" s="580">
        <f t="shared" si="168"/>
        <v>2.5</v>
      </c>
      <c r="AG1685" s="580">
        <f t="shared" si="169"/>
        <v>0</v>
      </c>
      <c r="AH1685" s="580">
        <f t="shared" si="170"/>
        <v>0</v>
      </c>
    </row>
    <row r="1686" spans="28:34">
      <c r="AB1686" s="580">
        <f>HLOOKUP("*"&amp;'Output annual'!$AC$2&amp;'Output annual'!$AD$2&amp;"*Zone People Number Of Occupants [](Hourly)",'Eplus results'!$1:$1048576,ROW(),FALSE)</f>
        <v>0</v>
      </c>
      <c r="AC1686" s="580">
        <f>HLOOKUP("*"&amp;'Output annual'!$AC$2&amp;'Output annual'!$AD$2&amp;"*FangerPMV(Hourly)",'Eplus results'!$1:$1048576,ROW(),FALSE)</f>
        <v>0</v>
      </c>
      <c r="AD1686" s="580">
        <f t="shared" si="166"/>
        <v>5</v>
      </c>
      <c r="AE1686" s="580">
        <f t="shared" si="167"/>
        <v>2.5</v>
      </c>
      <c r="AF1686" s="580">
        <f t="shared" si="168"/>
        <v>2.5</v>
      </c>
      <c r="AG1686" s="580">
        <f t="shared" si="169"/>
        <v>0</v>
      </c>
      <c r="AH1686" s="580">
        <f t="shared" si="170"/>
        <v>0</v>
      </c>
    </row>
    <row r="1687" spans="28:34">
      <c r="AB1687" s="580">
        <f>HLOOKUP("*"&amp;'Output annual'!$AC$2&amp;'Output annual'!$AD$2&amp;"*Zone People Number Of Occupants [](Hourly)",'Eplus results'!$1:$1048576,ROW(),FALSE)</f>
        <v>0</v>
      </c>
      <c r="AC1687" s="580">
        <f>HLOOKUP("*"&amp;'Output annual'!$AC$2&amp;'Output annual'!$AD$2&amp;"*FangerPMV(Hourly)",'Eplus results'!$1:$1048576,ROW(),FALSE)</f>
        <v>0</v>
      </c>
      <c r="AD1687" s="580">
        <f t="shared" si="166"/>
        <v>5</v>
      </c>
      <c r="AE1687" s="580">
        <f t="shared" si="167"/>
        <v>2.5</v>
      </c>
      <c r="AF1687" s="580">
        <f t="shared" si="168"/>
        <v>2.5</v>
      </c>
      <c r="AG1687" s="580">
        <f t="shared" si="169"/>
        <v>0</v>
      </c>
      <c r="AH1687" s="580">
        <f t="shared" si="170"/>
        <v>0</v>
      </c>
    </row>
    <row r="1688" spans="28:34">
      <c r="AB1688" s="580">
        <f>HLOOKUP("*"&amp;'Output annual'!$AC$2&amp;'Output annual'!$AD$2&amp;"*Zone People Number Of Occupants [](Hourly)",'Eplus results'!$1:$1048576,ROW(),FALSE)</f>
        <v>0</v>
      </c>
      <c r="AC1688" s="580">
        <f>HLOOKUP("*"&amp;'Output annual'!$AC$2&amp;'Output annual'!$AD$2&amp;"*FangerPMV(Hourly)",'Eplus results'!$1:$1048576,ROW(),FALSE)</f>
        <v>0</v>
      </c>
      <c r="AD1688" s="580">
        <f t="shared" si="166"/>
        <v>5</v>
      </c>
      <c r="AE1688" s="580">
        <f t="shared" si="167"/>
        <v>2.5</v>
      </c>
      <c r="AF1688" s="580">
        <f t="shared" si="168"/>
        <v>2.5</v>
      </c>
      <c r="AG1688" s="580">
        <f t="shared" si="169"/>
        <v>0</v>
      </c>
      <c r="AH1688" s="580">
        <f t="shared" si="170"/>
        <v>0</v>
      </c>
    </row>
    <row r="1689" spans="28:34">
      <c r="AB1689" s="580">
        <f>HLOOKUP("*"&amp;'Output annual'!$AC$2&amp;'Output annual'!$AD$2&amp;"*Zone People Number Of Occupants [](Hourly)",'Eplus results'!$1:$1048576,ROW(),FALSE)</f>
        <v>0</v>
      </c>
      <c r="AC1689" s="580">
        <f>HLOOKUP("*"&amp;'Output annual'!$AC$2&amp;'Output annual'!$AD$2&amp;"*FangerPMV(Hourly)",'Eplus results'!$1:$1048576,ROW(),FALSE)</f>
        <v>0</v>
      </c>
      <c r="AD1689" s="580">
        <f t="shared" si="166"/>
        <v>5</v>
      </c>
      <c r="AE1689" s="580">
        <f t="shared" si="167"/>
        <v>2.5</v>
      </c>
      <c r="AF1689" s="580">
        <f t="shared" si="168"/>
        <v>2.5</v>
      </c>
      <c r="AG1689" s="580">
        <f t="shared" si="169"/>
        <v>0</v>
      </c>
      <c r="AH1689" s="580">
        <f t="shared" si="170"/>
        <v>0</v>
      </c>
    </row>
    <row r="1690" spans="28:34">
      <c r="AB1690" s="580">
        <f>HLOOKUP("*"&amp;'Output annual'!$AC$2&amp;'Output annual'!$AD$2&amp;"*Zone People Number Of Occupants [](Hourly)",'Eplus results'!$1:$1048576,ROW(),FALSE)</f>
        <v>0</v>
      </c>
      <c r="AC1690" s="580">
        <f>HLOOKUP("*"&amp;'Output annual'!$AC$2&amp;'Output annual'!$AD$2&amp;"*FangerPMV(Hourly)",'Eplus results'!$1:$1048576,ROW(),FALSE)</f>
        <v>0</v>
      </c>
      <c r="AD1690" s="580">
        <f t="shared" si="166"/>
        <v>5</v>
      </c>
      <c r="AE1690" s="580">
        <f t="shared" si="167"/>
        <v>2.5</v>
      </c>
      <c r="AF1690" s="580">
        <f t="shared" si="168"/>
        <v>2.5</v>
      </c>
      <c r="AG1690" s="580">
        <f t="shared" si="169"/>
        <v>0</v>
      </c>
      <c r="AH1690" s="580">
        <f t="shared" si="170"/>
        <v>0</v>
      </c>
    </row>
    <row r="1691" spans="28:34">
      <c r="AB1691" s="580">
        <f>HLOOKUP("*"&amp;'Output annual'!$AC$2&amp;'Output annual'!$AD$2&amp;"*Zone People Number Of Occupants [](Hourly)",'Eplus results'!$1:$1048576,ROW(),FALSE)</f>
        <v>0</v>
      </c>
      <c r="AC1691" s="580">
        <f>HLOOKUP("*"&amp;'Output annual'!$AC$2&amp;'Output annual'!$AD$2&amp;"*FangerPMV(Hourly)",'Eplus results'!$1:$1048576,ROW(),FALSE)</f>
        <v>0</v>
      </c>
      <c r="AD1691" s="580">
        <f t="shared" si="166"/>
        <v>5</v>
      </c>
      <c r="AE1691" s="580">
        <f t="shared" si="167"/>
        <v>2.5</v>
      </c>
      <c r="AF1691" s="580">
        <f t="shared" si="168"/>
        <v>2.5</v>
      </c>
      <c r="AG1691" s="580">
        <f t="shared" si="169"/>
        <v>0</v>
      </c>
      <c r="AH1691" s="580">
        <f t="shared" si="170"/>
        <v>0</v>
      </c>
    </row>
    <row r="1692" spans="28:34">
      <c r="AB1692" s="580">
        <f>HLOOKUP("*"&amp;'Output annual'!$AC$2&amp;'Output annual'!$AD$2&amp;"*Zone People Number Of Occupants [](Hourly)",'Eplus results'!$1:$1048576,ROW(),FALSE)</f>
        <v>0</v>
      </c>
      <c r="AC1692" s="580">
        <f>HLOOKUP("*"&amp;'Output annual'!$AC$2&amp;'Output annual'!$AD$2&amp;"*FangerPMV(Hourly)",'Eplus results'!$1:$1048576,ROW(),FALSE)</f>
        <v>0</v>
      </c>
      <c r="AD1692" s="580">
        <f t="shared" si="166"/>
        <v>5</v>
      </c>
      <c r="AE1692" s="580">
        <f t="shared" si="167"/>
        <v>2.5</v>
      </c>
      <c r="AF1692" s="580">
        <f t="shared" si="168"/>
        <v>2.5</v>
      </c>
      <c r="AG1692" s="580">
        <f t="shared" si="169"/>
        <v>0</v>
      </c>
      <c r="AH1692" s="580">
        <f t="shared" si="170"/>
        <v>0</v>
      </c>
    </row>
    <row r="1693" spans="28:34">
      <c r="AB1693" s="580">
        <f>HLOOKUP("*"&amp;'Output annual'!$AC$2&amp;'Output annual'!$AD$2&amp;"*Zone People Number Of Occupants [](Hourly)",'Eplus results'!$1:$1048576,ROW(),FALSE)</f>
        <v>0</v>
      </c>
      <c r="AC1693" s="580">
        <f>HLOOKUP("*"&amp;'Output annual'!$AC$2&amp;'Output annual'!$AD$2&amp;"*FangerPMV(Hourly)",'Eplus results'!$1:$1048576,ROW(),FALSE)</f>
        <v>0</v>
      </c>
      <c r="AD1693" s="580">
        <f t="shared" si="166"/>
        <v>5</v>
      </c>
      <c r="AE1693" s="580">
        <f t="shared" si="167"/>
        <v>2.5</v>
      </c>
      <c r="AF1693" s="580">
        <f t="shared" si="168"/>
        <v>2.5</v>
      </c>
      <c r="AG1693" s="580">
        <f t="shared" si="169"/>
        <v>0</v>
      </c>
      <c r="AH1693" s="580">
        <f t="shared" si="170"/>
        <v>0</v>
      </c>
    </row>
    <row r="1694" spans="28:34">
      <c r="AB1694" s="580">
        <f>HLOOKUP("*"&amp;'Output annual'!$AC$2&amp;'Output annual'!$AD$2&amp;"*Zone People Number Of Occupants [](Hourly)",'Eplus results'!$1:$1048576,ROW(),FALSE)</f>
        <v>0</v>
      </c>
      <c r="AC1694" s="580">
        <f>HLOOKUP("*"&amp;'Output annual'!$AC$2&amp;'Output annual'!$AD$2&amp;"*FangerPMV(Hourly)",'Eplus results'!$1:$1048576,ROW(),FALSE)</f>
        <v>0</v>
      </c>
      <c r="AD1694" s="580">
        <f t="shared" si="166"/>
        <v>5</v>
      </c>
      <c r="AE1694" s="580">
        <f t="shared" si="167"/>
        <v>2.5</v>
      </c>
      <c r="AF1694" s="580">
        <f t="shared" si="168"/>
        <v>2.5</v>
      </c>
      <c r="AG1694" s="580">
        <f t="shared" si="169"/>
        <v>0</v>
      </c>
      <c r="AH1694" s="580">
        <f t="shared" si="170"/>
        <v>0</v>
      </c>
    </row>
    <row r="1695" spans="28:34">
      <c r="AB1695" s="580">
        <f>HLOOKUP("*"&amp;'Output annual'!$AC$2&amp;'Output annual'!$AD$2&amp;"*Zone People Number Of Occupants [](Hourly)",'Eplus results'!$1:$1048576,ROW(),FALSE)</f>
        <v>0</v>
      </c>
      <c r="AC1695" s="580">
        <f>HLOOKUP("*"&amp;'Output annual'!$AC$2&amp;'Output annual'!$AD$2&amp;"*FangerPMV(Hourly)",'Eplus results'!$1:$1048576,ROW(),FALSE)</f>
        <v>0</v>
      </c>
      <c r="AD1695" s="580">
        <f t="shared" si="166"/>
        <v>5</v>
      </c>
      <c r="AE1695" s="580">
        <f t="shared" si="167"/>
        <v>2.5</v>
      </c>
      <c r="AF1695" s="580">
        <f t="shared" si="168"/>
        <v>2.5</v>
      </c>
      <c r="AG1695" s="580">
        <f t="shared" si="169"/>
        <v>0</v>
      </c>
      <c r="AH1695" s="580">
        <f t="shared" si="170"/>
        <v>0</v>
      </c>
    </row>
    <row r="1696" spans="28:34">
      <c r="AB1696" s="580">
        <f>HLOOKUP("*"&amp;'Output annual'!$AC$2&amp;'Output annual'!$AD$2&amp;"*Zone People Number Of Occupants [](Hourly)",'Eplus results'!$1:$1048576,ROW(),FALSE)</f>
        <v>0</v>
      </c>
      <c r="AC1696" s="580">
        <f>HLOOKUP("*"&amp;'Output annual'!$AC$2&amp;'Output annual'!$AD$2&amp;"*FangerPMV(Hourly)",'Eplus results'!$1:$1048576,ROW(),FALSE)</f>
        <v>0</v>
      </c>
      <c r="AD1696" s="580">
        <f t="shared" si="166"/>
        <v>5</v>
      </c>
      <c r="AE1696" s="580">
        <f t="shared" si="167"/>
        <v>2.5</v>
      </c>
      <c r="AF1696" s="580">
        <f t="shared" si="168"/>
        <v>2.5</v>
      </c>
      <c r="AG1696" s="580">
        <f t="shared" si="169"/>
        <v>0</v>
      </c>
      <c r="AH1696" s="580">
        <f t="shared" si="170"/>
        <v>0</v>
      </c>
    </row>
    <row r="1697" spans="28:34">
      <c r="AB1697" s="580">
        <f>HLOOKUP("*"&amp;'Output annual'!$AC$2&amp;'Output annual'!$AD$2&amp;"*Zone People Number Of Occupants [](Hourly)",'Eplus results'!$1:$1048576,ROW(),FALSE)</f>
        <v>0</v>
      </c>
      <c r="AC1697" s="580">
        <f>HLOOKUP("*"&amp;'Output annual'!$AC$2&amp;'Output annual'!$AD$2&amp;"*FangerPMV(Hourly)",'Eplus results'!$1:$1048576,ROW(),FALSE)</f>
        <v>0</v>
      </c>
      <c r="AD1697" s="580">
        <f t="shared" si="166"/>
        <v>5</v>
      </c>
      <c r="AE1697" s="580">
        <f t="shared" si="167"/>
        <v>2.5</v>
      </c>
      <c r="AF1697" s="580">
        <f t="shared" si="168"/>
        <v>2.5</v>
      </c>
      <c r="AG1697" s="580">
        <f t="shared" si="169"/>
        <v>0</v>
      </c>
      <c r="AH1697" s="580">
        <f t="shared" si="170"/>
        <v>0</v>
      </c>
    </row>
    <row r="1698" spans="28:34">
      <c r="AB1698" s="580">
        <f>HLOOKUP("*"&amp;'Output annual'!$AC$2&amp;'Output annual'!$AD$2&amp;"*Zone People Number Of Occupants [](Hourly)",'Eplus results'!$1:$1048576,ROW(),FALSE)</f>
        <v>0</v>
      </c>
      <c r="AC1698" s="580">
        <f>HLOOKUP("*"&amp;'Output annual'!$AC$2&amp;'Output annual'!$AD$2&amp;"*FangerPMV(Hourly)",'Eplus results'!$1:$1048576,ROW(),FALSE)</f>
        <v>0</v>
      </c>
      <c r="AD1698" s="580">
        <f t="shared" si="166"/>
        <v>5</v>
      </c>
      <c r="AE1698" s="580">
        <f t="shared" si="167"/>
        <v>2.5</v>
      </c>
      <c r="AF1698" s="580">
        <f t="shared" si="168"/>
        <v>2.5</v>
      </c>
      <c r="AG1698" s="580">
        <f t="shared" si="169"/>
        <v>0</v>
      </c>
      <c r="AH1698" s="580">
        <f t="shared" si="170"/>
        <v>0</v>
      </c>
    </row>
    <row r="1699" spans="28:34">
      <c r="AB1699" s="580">
        <f>HLOOKUP("*"&amp;'Output annual'!$AC$2&amp;'Output annual'!$AD$2&amp;"*Zone People Number Of Occupants [](Hourly)",'Eplus results'!$1:$1048576,ROW(),FALSE)</f>
        <v>0</v>
      </c>
      <c r="AC1699" s="580">
        <f>HLOOKUP("*"&amp;'Output annual'!$AC$2&amp;'Output annual'!$AD$2&amp;"*FangerPMV(Hourly)",'Eplus results'!$1:$1048576,ROW(),FALSE)</f>
        <v>0</v>
      </c>
      <c r="AD1699" s="580">
        <f t="shared" si="166"/>
        <v>5</v>
      </c>
      <c r="AE1699" s="580">
        <f t="shared" si="167"/>
        <v>2.5</v>
      </c>
      <c r="AF1699" s="580">
        <f t="shared" si="168"/>
        <v>2.5</v>
      </c>
      <c r="AG1699" s="580">
        <f t="shared" si="169"/>
        <v>0</v>
      </c>
      <c r="AH1699" s="580">
        <f t="shared" si="170"/>
        <v>0</v>
      </c>
    </row>
    <row r="1700" spans="28:34">
      <c r="AB1700" s="580">
        <f>HLOOKUP("*"&amp;'Output annual'!$AC$2&amp;'Output annual'!$AD$2&amp;"*Zone People Number Of Occupants [](Hourly)",'Eplus results'!$1:$1048576,ROW(),FALSE)</f>
        <v>0</v>
      </c>
      <c r="AC1700" s="580">
        <f>HLOOKUP("*"&amp;'Output annual'!$AC$2&amp;'Output annual'!$AD$2&amp;"*FangerPMV(Hourly)",'Eplus results'!$1:$1048576,ROW(),FALSE)</f>
        <v>0</v>
      </c>
      <c r="AD1700" s="580">
        <f t="shared" si="166"/>
        <v>5</v>
      </c>
      <c r="AE1700" s="580">
        <f t="shared" si="167"/>
        <v>2.5</v>
      </c>
      <c r="AF1700" s="580">
        <f t="shared" si="168"/>
        <v>2.5</v>
      </c>
      <c r="AG1700" s="580">
        <f t="shared" si="169"/>
        <v>0</v>
      </c>
      <c r="AH1700" s="580">
        <f t="shared" si="170"/>
        <v>0</v>
      </c>
    </row>
    <row r="1701" spans="28:34">
      <c r="AB1701" s="580">
        <f>HLOOKUP("*"&amp;'Output annual'!$AC$2&amp;'Output annual'!$AD$2&amp;"*Zone People Number Of Occupants [](Hourly)",'Eplus results'!$1:$1048576,ROW(),FALSE)</f>
        <v>0</v>
      </c>
      <c r="AC1701" s="580">
        <f>HLOOKUP("*"&amp;'Output annual'!$AC$2&amp;'Output annual'!$AD$2&amp;"*FangerPMV(Hourly)",'Eplus results'!$1:$1048576,ROW(),FALSE)</f>
        <v>0</v>
      </c>
      <c r="AD1701" s="580">
        <f t="shared" si="166"/>
        <v>5</v>
      </c>
      <c r="AE1701" s="580">
        <f t="shared" si="167"/>
        <v>2.5</v>
      </c>
      <c r="AF1701" s="580">
        <f t="shared" si="168"/>
        <v>2.5</v>
      </c>
      <c r="AG1701" s="580">
        <f t="shared" si="169"/>
        <v>0</v>
      </c>
      <c r="AH1701" s="580">
        <f t="shared" si="170"/>
        <v>0</v>
      </c>
    </row>
    <row r="1702" spans="28:34">
      <c r="AB1702" s="580">
        <f>HLOOKUP("*"&amp;'Output annual'!$AC$2&amp;'Output annual'!$AD$2&amp;"*Zone People Number Of Occupants [](Hourly)",'Eplus results'!$1:$1048576,ROW(),FALSE)</f>
        <v>0</v>
      </c>
      <c r="AC1702" s="580">
        <f>HLOOKUP("*"&amp;'Output annual'!$AC$2&amp;'Output annual'!$AD$2&amp;"*FangerPMV(Hourly)",'Eplus results'!$1:$1048576,ROW(),FALSE)</f>
        <v>0</v>
      </c>
      <c r="AD1702" s="580">
        <f t="shared" si="166"/>
        <v>5</v>
      </c>
      <c r="AE1702" s="580">
        <f t="shared" si="167"/>
        <v>2.5</v>
      </c>
      <c r="AF1702" s="580">
        <f t="shared" si="168"/>
        <v>2.5</v>
      </c>
      <c r="AG1702" s="580">
        <f t="shared" si="169"/>
        <v>0</v>
      </c>
      <c r="AH1702" s="580">
        <f t="shared" si="170"/>
        <v>0</v>
      </c>
    </row>
    <row r="1703" spans="28:34">
      <c r="AB1703" s="580">
        <f>HLOOKUP("*"&amp;'Output annual'!$AC$2&amp;'Output annual'!$AD$2&amp;"*Zone People Number Of Occupants [](Hourly)",'Eplus results'!$1:$1048576,ROW(),FALSE)</f>
        <v>0</v>
      </c>
      <c r="AC1703" s="580">
        <f>HLOOKUP("*"&amp;'Output annual'!$AC$2&amp;'Output annual'!$AD$2&amp;"*FangerPMV(Hourly)",'Eplus results'!$1:$1048576,ROW(),FALSE)</f>
        <v>0</v>
      </c>
      <c r="AD1703" s="580">
        <f t="shared" si="166"/>
        <v>5</v>
      </c>
      <c r="AE1703" s="580">
        <f t="shared" si="167"/>
        <v>2.5</v>
      </c>
      <c r="AF1703" s="580">
        <f t="shared" si="168"/>
        <v>2.5</v>
      </c>
      <c r="AG1703" s="580">
        <f t="shared" si="169"/>
        <v>0</v>
      </c>
      <c r="AH1703" s="580">
        <f t="shared" si="170"/>
        <v>0</v>
      </c>
    </row>
    <row r="1704" spans="28:34">
      <c r="AB1704" s="580">
        <f>HLOOKUP("*"&amp;'Output annual'!$AC$2&amp;'Output annual'!$AD$2&amp;"*Zone People Number Of Occupants [](Hourly)",'Eplus results'!$1:$1048576,ROW(),FALSE)</f>
        <v>0</v>
      </c>
      <c r="AC1704" s="580">
        <f>HLOOKUP("*"&amp;'Output annual'!$AC$2&amp;'Output annual'!$AD$2&amp;"*FangerPMV(Hourly)",'Eplus results'!$1:$1048576,ROW(),FALSE)</f>
        <v>0</v>
      </c>
      <c r="AD1704" s="580">
        <f t="shared" si="166"/>
        <v>5</v>
      </c>
      <c r="AE1704" s="580">
        <f t="shared" si="167"/>
        <v>2.5</v>
      </c>
      <c r="AF1704" s="580">
        <f t="shared" si="168"/>
        <v>2.5</v>
      </c>
      <c r="AG1704" s="580">
        <f t="shared" si="169"/>
        <v>0</v>
      </c>
      <c r="AH1704" s="580">
        <f t="shared" si="170"/>
        <v>0</v>
      </c>
    </row>
    <row r="1705" spans="28:34">
      <c r="AB1705" s="580">
        <f>HLOOKUP("*"&amp;'Output annual'!$AC$2&amp;'Output annual'!$AD$2&amp;"*Zone People Number Of Occupants [](Hourly)",'Eplus results'!$1:$1048576,ROW(),FALSE)</f>
        <v>0</v>
      </c>
      <c r="AC1705" s="580">
        <f>HLOOKUP("*"&amp;'Output annual'!$AC$2&amp;'Output annual'!$AD$2&amp;"*FangerPMV(Hourly)",'Eplus results'!$1:$1048576,ROW(),FALSE)</f>
        <v>0</v>
      </c>
      <c r="AD1705" s="580">
        <f t="shared" si="166"/>
        <v>5</v>
      </c>
      <c r="AE1705" s="580">
        <f t="shared" si="167"/>
        <v>2.5</v>
      </c>
      <c r="AF1705" s="580">
        <f t="shared" si="168"/>
        <v>2.5</v>
      </c>
      <c r="AG1705" s="580">
        <f t="shared" si="169"/>
        <v>0</v>
      </c>
      <c r="AH1705" s="580">
        <f t="shared" si="170"/>
        <v>0</v>
      </c>
    </row>
    <row r="1706" spans="28:34">
      <c r="AB1706" s="580">
        <f>HLOOKUP("*"&amp;'Output annual'!$AC$2&amp;'Output annual'!$AD$2&amp;"*Zone People Number Of Occupants [](Hourly)",'Eplus results'!$1:$1048576,ROW(),FALSE)</f>
        <v>0</v>
      </c>
      <c r="AC1706" s="580">
        <f>HLOOKUP("*"&amp;'Output annual'!$AC$2&amp;'Output annual'!$AD$2&amp;"*FangerPMV(Hourly)",'Eplus results'!$1:$1048576,ROW(),FALSE)</f>
        <v>0</v>
      </c>
      <c r="AD1706" s="580">
        <f t="shared" si="166"/>
        <v>5</v>
      </c>
      <c r="AE1706" s="580">
        <f t="shared" si="167"/>
        <v>2.5</v>
      </c>
      <c r="AF1706" s="580">
        <f t="shared" si="168"/>
        <v>2.5</v>
      </c>
      <c r="AG1706" s="580">
        <f t="shared" si="169"/>
        <v>0</v>
      </c>
      <c r="AH1706" s="580">
        <f t="shared" si="170"/>
        <v>0</v>
      </c>
    </row>
    <row r="1707" spans="28:34">
      <c r="AB1707" s="580">
        <f>HLOOKUP("*"&amp;'Output annual'!$AC$2&amp;'Output annual'!$AD$2&amp;"*Zone People Number Of Occupants [](Hourly)",'Eplus results'!$1:$1048576,ROW(),FALSE)</f>
        <v>0</v>
      </c>
      <c r="AC1707" s="580">
        <f>HLOOKUP("*"&amp;'Output annual'!$AC$2&amp;'Output annual'!$AD$2&amp;"*FangerPMV(Hourly)",'Eplus results'!$1:$1048576,ROW(),FALSE)</f>
        <v>0</v>
      </c>
      <c r="AD1707" s="580">
        <f t="shared" si="166"/>
        <v>5</v>
      </c>
      <c r="AE1707" s="580">
        <f t="shared" si="167"/>
        <v>2.5</v>
      </c>
      <c r="AF1707" s="580">
        <f t="shared" si="168"/>
        <v>2.5</v>
      </c>
      <c r="AG1707" s="580">
        <f t="shared" si="169"/>
        <v>0</v>
      </c>
      <c r="AH1707" s="580">
        <f t="shared" si="170"/>
        <v>0</v>
      </c>
    </row>
    <row r="1708" spans="28:34">
      <c r="AB1708" s="580">
        <f>HLOOKUP("*"&amp;'Output annual'!$AC$2&amp;'Output annual'!$AD$2&amp;"*Zone People Number Of Occupants [](Hourly)",'Eplus results'!$1:$1048576,ROW(),FALSE)</f>
        <v>0</v>
      </c>
      <c r="AC1708" s="580">
        <f>HLOOKUP("*"&amp;'Output annual'!$AC$2&amp;'Output annual'!$AD$2&amp;"*FangerPMV(Hourly)",'Eplus results'!$1:$1048576,ROW(),FALSE)</f>
        <v>0</v>
      </c>
      <c r="AD1708" s="580">
        <f t="shared" si="166"/>
        <v>5</v>
      </c>
      <c r="AE1708" s="580">
        <f t="shared" si="167"/>
        <v>2.5</v>
      </c>
      <c r="AF1708" s="580">
        <f t="shared" si="168"/>
        <v>2.5</v>
      </c>
      <c r="AG1708" s="580">
        <f t="shared" si="169"/>
        <v>0</v>
      </c>
      <c r="AH1708" s="580">
        <f t="shared" si="170"/>
        <v>0</v>
      </c>
    </row>
    <row r="1709" spans="28:34">
      <c r="AB1709" s="580">
        <f>HLOOKUP("*"&amp;'Output annual'!$AC$2&amp;'Output annual'!$AD$2&amp;"*Zone People Number Of Occupants [](Hourly)",'Eplus results'!$1:$1048576,ROW(),FALSE)</f>
        <v>0</v>
      </c>
      <c r="AC1709" s="580">
        <f>HLOOKUP("*"&amp;'Output annual'!$AC$2&amp;'Output annual'!$AD$2&amp;"*FangerPMV(Hourly)",'Eplus results'!$1:$1048576,ROW(),FALSE)</f>
        <v>0</v>
      </c>
      <c r="AD1709" s="580">
        <f t="shared" si="166"/>
        <v>5</v>
      </c>
      <c r="AE1709" s="580">
        <f t="shared" si="167"/>
        <v>2.5</v>
      </c>
      <c r="AF1709" s="580">
        <f t="shared" si="168"/>
        <v>2.5</v>
      </c>
      <c r="AG1709" s="580">
        <f t="shared" si="169"/>
        <v>0</v>
      </c>
      <c r="AH1709" s="580">
        <f t="shared" si="170"/>
        <v>0</v>
      </c>
    </row>
    <row r="1710" spans="28:34">
      <c r="AB1710" s="580">
        <f>HLOOKUP("*"&amp;'Output annual'!$AC$2&amp;'Output annual'!$AD$2&amp;"*Zone People Number Of Occupants [](Hourly)",'Eplus results'!$1:$1048576,ROW(),FALSE)</f>
        <v>0</v>
      </c>
      <c r="AC1710" s="580">
        <f>HLOOKUP("*"&amp;'Output annual'!$AC$2&amp;'Output annual'!$AD$2&amp;"*FangerPMV(Hourly)",'Eplus results'!$1:$1048576,ROW(),FALSE)</f>
        <v>0</v>
      </c>
      <c r="AD1710" s="580">
        <f t="shared" si="166"/>
        <v>5</v>
      </c>
      <c r="AE1710" s="580">
        <f t="shared" si="167"/>
        <v>2.5</v>
      </c>
      <c r="AF1710" s="580">
        <f t="shared" si="168"/>
        <v>2.5</v>
      </c>
      <c r="AG1710" s="580">
        <f t="shared" si="169"/>
        <v>0</v>
      </c>
      <c r="AH1710" s="580">
        <f t="shared" si="170"/>
        <v>0</v>
      </c>
    </row>
    <row r="1711" spans="28:34">
      <c r="AB1711" s="580">
        <f>HLOOKUP("*"&amp;'Output annual'!$AC$2&amp;'Output annual'!$AD$2&amp;"*Zone People Number Of Occupants [](Hourly)",'Eplus results'!$1:$1048576,ROW(),FALSE)</f>
        <v>0</v>
      </c>
      <c r="AC1711" s="580">
        <f>HLOOKUP("*"&amp;'Output annual'!$AC$2&amp;'Output annual'!$AD$2&amp;"*FangerPMV(Hourly)",'Eplus results'!$1:$1048576,ROW(),FALSE)</f>
        <v>0</v>
      </c>
      <c r="AD1711" s="580">
        <f t="shared" si="166"/>
        <v>5</v>
      </c>
      <c r="AE1711" s="580">
        <f t="shared" si="167"/>
        <v>2.5</v>
      </c>
      <c r="AF1711" s="580">
        <f t="shared" si="168"/>
        <v>2.5</v>
      </c>
      <c r="AG1711" s="580">
        <f t="shared" si="169"/>
        <v>0</v>
      </c>
      <c r="AH1711" s="580">
        <f t="shared" si="170"/>
        <v>0</v>
      </c>
    </row>
    <row r="1712" spans="28:34">
      <c r="AB1712" s="580">
        <f>HLOOKUP("*"&amp;'Output annual'!$AC$2&amp;'Output annual'!$AD$2&amp;"*Zone People Number Of Occupants [](Hourly)",'Eplus results'!$1:$1048576,ROW(),FALSE)</f>
        <v>0</v>
      </c>
      <c r="AC1712" s="580">
        <f>HLOOKUP("*"&amp;'Output annual'!$AC$2&amp;'Output annual'!$AD$2&amp;"*FangerPMV(Hourly)",'Eplus results'!$1:$1048576,ROW(),FALSE)</f>
        <v>0</v>
      </c>
      <c r="AD1712" s="580">
        <f t="shared" si="166"/>
        <v>5</v>
      </c>
      <c r="AE1712" s="580">
        <f t="shared" si="167"/>
        <v>2.5</v>
      </c>
      <c r="AF1712" s="580">
        <f t="shared" si="168"/>
        <v>2.5</v>
      </c>
      <c r="AG1712" s="580">
        <f t="shared" si="169"/>
        <v>0</v>
      </c>
      <c r="AH1712" s="580">
        <f t="shared" si="170"/>
        <v>0</v>
      </c>
    </row>
    <row r="1713" spans="28:34">
      <c r="AB1713" s="580">
        <f>HLOOKUP("*"&amp;'Output annual'!$AC$2&amp;'Output annual'!$AD$2&amp;"*Zone People Number Of Occupants [](Hourly)",'Eplus results'!$1:$1048576,ROW(),FALSE)</f>
        <v>0</v>
      </c>
      <c r="AC1713" s="580">
        <f>HLOOKUP("*"&amp;'Output annual'!$AC$2&amp;'Output annual'!$AD$2&amp;"*FangerPMV(Hourly)",'Eplus results'!$1:$1048576,ROW(),FALSE)</f>
        <v>0</v>
      </c>
      <c r="AD1713" s="580">
        <f t="shared" si="166"/>
        <v>5</v>
      </c>
      <c r="AE1713" s="580">
        <f t="shared" si="167"/>
        <v>2.5</v>
      </c>
      <c r="AF1713" s="580">
        <f t="shared" si="168"/>
        <v>2.5</v>
      </c>
      <c r="AG1713" s="580">
        <f t="shared" si="169"/>
        <v>0</v>
      </c>
      <c r="AH1713" s="580">
        <f t="shared" si="170"/>
        <v>0</v>
      </c>
    </row>
    <row r="1714" spans="28:34">
      <c r="AB1714" s="580">
        <f>HLOOKUP("*"&amp;'Output annual'!$AC$2&amp;'Output annual'!$AD$2&amp;"*Zone People Number Of Occupants [](Hourly)",'Eplus results'!$1:$1048576,ROW(),FALSE)</f>
        <v>0</v>
      </c>
      <c r="AC1714" s="580">
        <f>HLOOKUP("*"&amp;'Output annual'!$AC$2&amp;'Output annual'!$AD$2&amp;"*FangerPMV(Hourly)",'Eplus results'!$1:$1048576,ROW(),FALSE)</f>
        <v>0</v>
      </c>
      <c r="AD1714" s="580">
        <f t="shared" si="166"/>
        <v>5</v>
      </c>
      <c r="AE1714" s="580">
        <f t="shared" si="167"/>
        <v>2.5</v>
      </c>
      <c r="AF1714" s="580">
        <f t="shared" si="168"/>
        <v>2.5</v>
      </c>
      <c r="AG1714" s="580">
        <f t="shared" si="169"/>
        <v>0</v>
      </c>
      <c r="AH1714" s="580">
        <f t="shared" si="170"/>
        <v>0</v>
      </c>
    </row>
    <row r="1715" spans="28:34">
      <c r="AB1715" s="580">
        <f>HLOOKUP("*"&amp;'Output annual'!$AC$2&amp;'Output annual'!$AD$2&amp;"*Zone People Number Of Occupants [](Hourly)",'Eplus results'!$1:$1048576,ROW(),FALSE)</f>
        <v>0</v>
      </c>
      <c r="AC1715" s="580">
        <f>HLOOKUP("*"&amp;'Output annual'!$AC$2&amp;'Output annual'!$AD$2&amp;"*FangerPMV(Hourly)",'Eplus results'!$1:$1048576,ROW(),FALSE)</f>
        <v>0</v>
      </c>
      <c r="AD1715" s="580">
        <f t="shared" si="166"/>
        <v>5</v>
      </c>
      <c r="AE1715" s="580">
        <f t="shared" si="167"/>
        <v>2.5</v>
      </c>
      <c r="AF1715" s="580">
        <f t="shared" si="168"/>
        <v>2.5</v>
      </c>
      <c r="AG1715" s="580">
        <f t="shared" si="169"/>
        <v>0</v>
      </c>
      <c r="AH1715" s="580">
        <f t="shared" si="170"/>
        <v>0</v>
      </c>
    </row>
    <row r="1716" spans="28:34">
      <c r="AB1716" s="580">
        <f>HLOOKUP("*"&amp;'Output annual'!$AC$2&amp;'Output annual'!$AD$2&amp;"*Zone People Number Of Occupants [](Hourly)",'Eplus results'!$1:$1048576,ROW(),FALSE)</f>
        <v>0</v>
      </c>
      <c r="AC1716" s="580">
        <f>HLOOKUP("*"&amp;'Output annual'!$AC$2&amp;'Output annual'!$AD$2&amp;"*FangerPMV(Hourly)",'Eplus results'!$1:$1048576,ROW(),FALSE)</f>
        <v>0</v>
      </c>
      <c r="AD1716" s="580">
        <f t="shared" si="166"/>
        <v>5</v>
      </c>
      <c r="AE1716" s="580">
        <f t="shared" si="167"/>
        <v>2.5</v>
      </c>
      <c r="AF1716" s="580">
        <f t="shared" si="168"/>
        <v>2.5</v>
      </c>
      <c r="AG1716" s="580">
        <f t="shared" si="169"/>
        <v>0</v>
      </c>
      <c r="AH1716" s="580">
        <f t="shared" si="170"/>
        <v>0</v>
      </c>
    </row>
    <row r="1717" spans="28:34">
      <c r="AB1717" s="580">
        <f>HLOOKUP("*"&amp;'Output annual'!$AC$2&amp;'Output annual'!$AD$2&amp;"*Zone People Number Of Occupants [](Hourly)",'Eplus results'!$1:$1048576,ROW(),FALSE)</f>
        <v>0</v>
      </c>
      <c r="AC1717" s="580">
        <f>HLOOKUP("*"&amp;'Output annual'!$AC$2&amp;'Output annual'!$AD$2&amp;"*FangerPMV(Hourly)",'Eplus results'!$1:$1048576,ROW(),FALSE)</f>
        <v>0</v>
      </c>
      <c r="AD1717" s="580">
        <f t="shared" si="166"/>
        <v>5</v>
      </c>
      <c r="AE1717" s="580">
        <f t="shared" si="167"/>
        <v>2.5</v>
      </c>
      <c r="AF1717" s="580">
        <f t="shared" si="168"/>
        <v>2.5</v>
      </c>
      <c r="AG1717" s="580">
        <f t="shared" si="169"/>
        <v>0</v>
      </c>
      <c r="AH1717" s="580">
        <f t="shared" si="170"/>
        <v>0</v>
      </c>
    </row>
    <row r="1718" spans="28:34">
      <c r="AB1718" s="580">
        <f>HLOOKUP("*"&amp;'Output annual'!$AC$2&amp;'Output annual'!$AD$2&amp;"*Zone People Number Of Occupants [](Hourly)",'Eplus results'!$1:$1048576,ROW(),FALSE)</f>
        <v>0</v>
      </c>
      <c r="AC1718" s="580">
        <f>HLOOKUP("*"&amp;'Output annual'!$AC$2&amp;'Output annual'!$AD$2&amp;"*FangerPMV(Hourly)",'Eplus results'!$1:$1048576,ROW(),FALSE)</f>
        <v>0</v>
      </c>
      <c r="AD1718" s="580">
        <f t="shared" si="166"/>
        <v>5</v>
      </c>
      <c r="AE1718" s="580">
        <f t="shared" si="167"/>
        <v>2.5</v>
      </c>
      <c r="AF1718" s="580">
        <f t="shared" si="168"/>
        <v>2.5</v>
      </c>
      <c r="AG1718" s="580">
        <f t="shared" si="169"/>
        <v>0</v>
      </c>
      <c r="AH1718" s="580">
        <f t="shared" si="170"/>
        <v>0</v>
      </c>
    </row>
    <row r="1719" spans="28:34">
      <c r="AB1719" s="580">
        <f>HLOOKUP("*"&amp;'Output annual'!$AC$2&amp;'Output annual'!$AD$2&amp;"*Zone People Number Of Occupants [](Hourly)",'Eplus results'!$1:$1048576,ROW(),FALSE)</f>
        <v>0</v>
      </c>
      <c r="AC1719" s="580">
        <f>HLOOKUP("*"&amp;'Output annual'!$AC$2&amp;'Output annual'!$AD$2&amp;"*FangerPMV(Hourly)",'Eplus results'!$1:$1048576,ROW(),FALSE)</f>
        <v>0</v>
      </c>
      <c r="AD1719" s="580">
        <f t="shared" si="166"/>
        <v>5</v>
      </c>
      <c r="AE1719" s="580">
        <f t="shared" si="167"/>
        <v>2.5</v>
      </c>
      <c r="AF1719" s="580">
        <f t="shared" si="168"/>
        <v>2.5</v>
      </c>
      <c r="AG1719" s="580">
        <f t="shared" si="169"/>
        <v>0</v>
      </c>
      <c r="AH1719" s="580">
        <f t="shared" si="170"/>
        <v>0</v>
      </c>
    </row>
    <row r="1720" spans="28:34">
      <c r="AB1720" s="580">
        <f>HLOOKUP("*"&amp;'Output annual'!$AC$2&amp;'Output annual'!$AD$2&amp;"*Zone People Number Of Occupants [](Hourly)",'Eplus results'!$1:$1048576,ROW(),FALSE)</f>
        <v>0</v>
      </c>
      <c r="AC1720" s="580">
        <f>HLOOKUP("*"&amp;'Output annual'!$AC$2&amp;'Output annual'!$AD$2&amp;"*FangerPMV(Hourly)",'Eplus results'!$1:$1048576,ROW(),FALSE)</f>
        <v>0</v>
      </c>
      <c r="AD1720" s="580">
        <f t="shared" si="166"/>
        <v>5</v>
      </c>
      <c r="AE1720" s="580">
        <f t="shared" si="167"/>
        <v>2.5</v>
      </c>
      <c r="AF1720" s="580">
        <f t="shared" si="168"/>
        <v>2.5</v>
      </c>
      <c r="AG1720" s="580">
        <f t="shared" si="169"/>
        <v>0</v>
      </c>
      <c r="AH1720" s="580">
        <f t="shared" si="170"/>
        <v>0</v>
      </c>
    </row>
    <row r="1721" spans="28:34">
      <c r="AB1721" s="580">
        <f>HLOOKUP("*"&amp;'Output annual'!$AC$2&amp;'Output annual'!$AD$2&amp;"*Zone People Number Of Occupants [](Hourly)",'Eplus results'!$1:$1048576,ROW(),FALSE)</f>
        <v>0</v>
      </c>
      <c r="AC1721" s="580">
        <f>HLOOKUP("*"&amp;'Output annual'!$AC$2&amp;'Output annual'!$AD$2&amp;"*FangerPMV(Hourly)",'Eplus results'!$1:$1048576,ROW(),FALSE)</f>
        <v>0</v>
      </c>
      <c r="AD1721" s="580">
        <f t="shared" si="166"/>
        <v>5</v>
      </c>
      <c r="AE1721" s="580">
        <f t="shared" si="167"/>
        <v>2.5</v>
      </c>
      <c r="AF1721" s="580">
        <f t="shared" si="168"/>
        <v>2.5</v>
      </c>
      <c r="AG1721" s="580">
        <f t="shared" si="169"/>
        <v>0</v>
      </c>
      <c r="AH1721" s="580">
        <f t="shared" si="170"/>
        <v>0</v>
      </c>
    </row>
    <row r="1722" spans="28:34">
      <c r="AB1722" s="580">
        <f>HLOOKUP("*"&amp;'Output annual'!$AC$2&amp;'Output annual'!$AD$2&amp;"*Zone People Number Of Occupants [](Hourly)",'Eplus results'!$1:$1048576,ROW(),FALSE)</f>
        <v>0</v>
      </c>
      <c r="AC1722" s="580">
        <f>HLOOKUP("*"&amp;'Output annual'!$AC$2&amp;'Output annual'!$AD$2&amp;"*FangerPMV(Hourly)",'Eplus results'!$1:$1048576,ROW(),FALSE)</f>
        <v>0</v>
      </c>
      <c r="AD1722" s="580">
        <f t="shared" si="166"/>
        <v>5</v>
      </c>
      <c r="AE1722" s="580">
        <f t="shared" si="167"/>
        <v>2.5</v>
      </c>
      <c r="AF1722" s="580">
        <f t="shared" si="168"/>
        <v>2.5</v>
      </c>
      <c r="AG1722" s="580">
        <f t="shared" si="169"/>
        <v>0</v>
      </c>
      <c r="AH1722" s="580">
        <f t="shared" si="170"/>
        <v>0</v>
      </c>
    </row>
    <row r="1723" spans="28:34">
      <c r="AB1723" s="580">
        <f>HLOOKUP("*"&amp;'Output annual'!$AC$2&amp;'Output annual'!$AD$2&amp;"*Zone People Number Of Occupants [](Hourly)",'Eplus results'!$1:$1048576,ROW(),FALSE)</f>
        <v>0</v>
      </c>
      <c r="AC1723" s="580">
        <f>HLOOKUP("*"&amp;'Output annual'!$AC$2&amp;'Output annual'!$AD$2&amp;"*FangerPMV(Hourly)",'Eplus results'!$1:$1048576,ROW(),FALSE)</f>
        <v>0</v>
      </c>
      <c r="AD1723" s="580">
        <f t="shared" si="166"/>
        <v>5</v>
      </c>
      <c r="AE1723" s="580">
        <f t="shared" si="167"/>
        <v>2.5</v>
      </c>
      <c r="AF1723" s="580">
        <f t="shared" si="168"/>
        <v>2.5</v>
      </c>
      <c r="AG1723" s="580">
        <f t="shared" si="169"/>
        <v>0</v>
      </c>
      <c r="AH1723" s="580">
        <f t="shared" si="170"/>
        <v>0</v>
      </c>
    </row>
    <row r="1724" spans="28:34">
      <c r="AB1724" s="580">
        <f>HLOOKUP("*"&amp;'Output annual'!$AC$2&amp;'Output annual'!$AD$2&amp;"*Zone People Number Of Occupants [](Hourly)",'Eplus results'!$1:$1048576,ROW(),FALSE)</f>
        <v>0</v>
      </c>
      <c r="AC1724" s="580">
        <f>HLOOKUP("*"&amp;'Output annual'!$AC$2&amp;'Output annual'!$AD$2&amp;"*FangerPMV(Hourly)",'Eplus results'!$1:$1048576,ROW(),FALSE)</f>
        <v>0</v>
      </c>
      <c r="AD1724" s="580">
        <f t="shared" si="166"/>
        <v>5</v>
      </c>
      <c r="AE1724" s="580">
        <f t="shared" si="167"/>
        <v>2.5</v>
      </c>
      <c r="AF1724" s="580">
        <f t="shared" si="168"/>
        <v>2.5</v>
      </c>
      <c r="AG1724" s="580">
        <f t="shared" si="169"/>
        <v>0</v>
      </c>
      <c r="AH1724" s="580">
        <f t="shared" si="170"/>
        <v>0</v>
      </c>
    </row>
    <row r="1725" spans="28:34">
      <c r="AB1725" s="580">
        <f>HLOOKUP("*"&amp;'Output annual'!$AC$2&amp;'Output annual'!$AD$2&amp;"*Zone People Number Of Occupants [](Hourly)",'Eplus results'!$1:$1048576,ROW(),FALSE)</f>
        <v>0</v>
      </c>
      <c r="AC1725" s="580">
        <f>HLOOKUP("*"&amp;'Output annual'!$AC$2&amp;'Output annual'!$AD$2&amp;"*FangerPMV(Hourly)",'Eplus results'!$1:$1048576,ROW(),FALSE)</f>
        <v>0</v>
      </c>
      <c r="AD1725" s="580">
        <f t="shared" si="166"/>
        <v>5</v>
      </c>
      <c r="AE1725" s="580">
        <f t="shared" si="167"/>
        <v>2.5</v>
      </c>
      <c r="AF1725" s="580">
        <f t="shared" si="168"/>
        <v>2.5</v>
      </c>
      <c r="AG1725" s="580">
        <f t="shared" si="169"/>
        <v>0</v>
      </c>
      <c r="AH1725" s="580">
        <f t="shared" si="170"/>
        <v>0</v>
      </c>
    </row>
    <row r="1726" spans="28:34">
      <c r="AB1726" s="580">
        <f>HLOOKUP("*"&amp;'Output annual'!$AC$2&amp;'Output annual'!$AD$2&amp;"*Zone People Number Of Occupants [](Hourly)",'Eplus results'!$1:$1048576,ROW(),FALSE)</f>
        <v>0</v>
      </c>
      <c r="AC1726" s="580">
        <f>HLOOKUP("*"&amp;'Output annual'!$AC$2&amp;'Output annual'!$AD$2&amp;"*FangerPMV(Hourly)",'Eplus results'!$1:$1048576,ROW(),FALSE)</f>
        <v>0</v>
      </c>
      <c r="AD1726" s="580">
        <f t="shared" si="166"/>
        <v>5</v>
      </c>
      <c r="AE1726" s="580">
        <f t="shared" si="167"/>
        <v>2.5</v>
      </c>
      <c r="AF1726" s="580">
        <f t="shared" si="168"/>
        <v>2.5</v>
      </c>
      <c r="AG1726" s="580">
        <f t="shared" si="169"/>
        <v>0</v>
      </c>
      <c r="AH1726" s="580">
        <f t="shared" si="170"/>
        <v>0</v>
      </c>
    </row>
    <row r="1727" spans="28:34">
      <c r="AB1727" s="580">
        <f>HLOOKUP("*"&amp;'Output annual'!$AC$2&amp;'Output annual'!$AD$2&amp;"*Zone People Number Of Occupants [](Hourly)",'Eplus results'!$1:$1048576,ROW(),FALSE)</f>
        <v>0</v>
      </c>
      <c r="AC1727" s="580">
        <f>HLOOKUP("*"&amp;'Output annual'!$AC$2&amp;'Output annual'!$AD$2&amp;"*FangerPMV(Hourly)",'Eplus results'!$1:$1048576,ROW(),FALSE)</f>
        <v>0</v>
      </c>
      <c r="AD1727" s="580">
        <f t="shared" si="166"/>
        <v>5</v>
      </c>
      <c r="AE1727" s="580">
        <f t="shared" si="167"/>
        <v>2.5</v>
      </c>
      <c r="AF1727" s="580">
        <f t="shared" si="168"/>
        <v>2.5</v>
      </c>
      <c r="AG1727" s="580">
        <f t="shared" si="169"/>
        <v>0</v>
      </c>
      <c r="AH1727" s="580">
        <f t="shared" si="170"/>
        <v>0</v>
      </c>
    </row>
    <row r="1728" spans="28:34">
      <c r="AB1728" s="580">
        <f>HLOOKUP("*"&amp;'Output annual'!$AC$2&amp;'Output annual'!$AD$2&amp;"*Zone People Number Of Occupants [](Hourly)",'Eplus results'!$1:$1048576,ROW(),FALSE)</f>
        <v>0</v>
      </c>
      <c r="AC1728" s="580">
        <f>HLOOKUP("*"&amp;'Output annual'!$AC$2&amp;'Output annual'!$AD$2&amp;"*FangerPMV(Hourly)",'Eplus results'!$1:$1048576,ROW(),FALSE)</f>
        <v>0</v>
      </c>
      <c r="AD1728" s="580">
        <f t="shared" si="166"/>
        <v>5</v>
      </c>
      <c r="AE1728" s="580">
        <f t="shared" si="167"/>
        <v>2.5</v>
      </c>
      <c r="AF1728" s="580">
        <f t="shared" si="168"/>
        <v>2.5</v>
      </c>
      <c r="AG1728" s="580">
        <f t="shared" si="169"/>
        <v>0</v>
      </c>
      <c r="AH1728" s="580">
        <f t="shared" si="170"/>
        <v>0</v>
      </c>
    </row>
    <row r="1729" spans="28:34">
      <c r="AB1729" s="580">
        <f>HLOOKUP("*"&amp;'Output annual'!$AC$2&amp;'Output annual'!$AD$2&amp;"*Zone People Number Of Occupants [](Hourly)",'Eplus results'!$1:$1048576,ROW(),FALSE)</f>
        <v>0</v>
      </c>
      <c r="AC1729" s="580">
        <f>HLOOKUP("*"&amp;'Output annual'!$AC$2&amp;'Output annual'!$AD$2&amp;"*FangerPMV(Hourly)",'Eplus results'!$1:$1048576,ROW(),FALSE)</f>
        <v>0</v>
      </c>
      <c r="AD1729" s="580">
        <f t="shared" si="166"/>
        <v>5</v>
      </c>
      <c r="AE1729" s="580">
        <f t="shared" si="167"/>
        <v>2.5</v>
      </c>
      <c r="AF1729" s="580">
        <f t="shared" si="168"/>
        <v>2.5</v>
      </c>
      <c r="AG1729" s="580">
        <f t="shared" si="169"/>
        <v>0</v>
      </c>
      <c r="AH1729" s="580">
        <f t="shared" si="170"/>
        <v>0</v>
      </c>
    </row>
    <row r="1730" spans="28:34">
      <c r="AB1730" s="580">
        <f>HLOOKUP("*"&amp;'Output annual'!$AC$2&amp;'Output annual'!$AD$2&amp;"*Zone People Number Of Occupants [](Hourly)",'Eplus results'!$1:$1048576,ROW(),FALSE)</f>
        <v>0</v>
      </c>
      <c r="AC1730" s="580">
        <f>HLOOKUP("*"&amp;'Output annual'!$AC$2&amp;'Output annual'!$AD$2&amp;"*FangerPMV(Hourly)",'Eplus results'!$1:$1048576,ROW(),FALSE)</f>
        <v>0</v>
      </c>
      <c r="AD1730" s="580">
        <f t="shared" si="166"/>
        <v>5</v>
      </c>
      <c r="AE1730" s="580">
        <f t="shared" si="167"/>
        <v>2.5</v>
      </c>
      <c r="AF1730" s="580">
        <f t="shared" si="168"/>
        <v>2.5</v>
      </c>
      <c r="AG1730" s="580">
        <f t="shared" si="169"/>
        <v>0</v>
      </c>
      <c r="AH1730" s="580">
        <f t="shared" si="170"/>
        <v>0</v>
      </c>
    </row>
    <row r="1731" spans="28:34">
      <c r="AB1731" s="580">
        <f>HLOOKUP("*"&amp;'Output annual'!$AC$2&amp;'Output annual'!$AD$2&amp;"*Zone People Number Of Occupants [](Hourly)",'Eplus results'!$1:$1048576,ROW(),FALSE)</f>
        <v>0</v>
      </c>
      <c r="AC1731" s="580">
        <f>HLOOKUP("*"&amp;'Output annual'!$AC$2&amp;'Output annual'!$AD$2&amp;"*FangerPMV(Hourly)",'Eplus results'!$1:$1048576,ROW(),FALSE)</f>
        <v>0</v>
      </c>
      <c r="AD1731" s="580">
        <f t="shared" ref="AD1731:AD1794" si="171">100-95*EXP(-0.03353*AC1731^4-0.2179*AC1731^2)</f>
        <v>5</v>
      </c>
      <c r="AE1731" s="580">
        <f t="shared" ref="AE1731:AE1794" si="172">AD1731*(1/(1+EXP(-6.3*$AC1731)))</f>
        <v>2.5</v>
      </c>
      <c r="AF1731" s="580">
        <f t="shared" ref="AF1731:AF1794" si="173">(AD1731-AE1731)</f>
        <v>2.5</v>
      </c>
      <c r="AG1731" s="580">
        <f t="shared" ref="AG1731:AG1794" si="174">AE1731*AB1731</f>
        <v>0</v>
      </c>
      <c r="AH1731" s="580">
        <f t="shared" ref="AH1731:AH1794" si="175">AF1731*AB1731</f>
        <v>0</v>
      </c>
    </row>
    <row r="1732" spans="28:34">
      <c r="AB1732" s="580">
        <f>HLOOKUP("*"&amp;'Output annual'!$AC$2&amp;'Output annual'!$AD$2&amp;"*Zone People Number Of Occupants [](Hourly)",'Eplus results'!$1:$1048576,ROW(),FALSE)</f>
        <v>0</v>
      </c>
      <c r="AC1732" s="580">
        <f>HLOOKUP("*"&amp;'Output annual'!$AC$2&amp;'Output annual'!$AD$2&amp;"*FangerPMV(Hourly)",'Eplus results'!$1:$1048576,ROW(),FALSE)</f>
        <v>0</v>
      </c>
      <c r="AD1732" s="580">
        <f t="shared" si="171"/>
        <v>5</v>
      </c>
      <c r="AE1732" s="580">
        <f t="shared" si="172"/>
        <v>2.5</v>
      </c>
      <c r="AF1732" s="580">
        <f t="shared" si="173"/>
        <v>2.5</v>
      </c>
      <c r="AG1732" s="580">
        <f t="shared" si="174"/>
        <v>0</v>
      </c>
      <c r="AH1732" s="580">
        <f t="shared" si="175"/>
        <v>0</v>
      </c>
    </row>
    <row r="1733" spans="28:34">
      <c r="AB1733" s="580">
        <f>HLOOKUP("*"&amp;'Output annual'!$AC$2&amp;'Output annual'!$AD$2&amp;"*Zone People Number Of Occupants [](Hourly)",'Eplus results'!$1:$1048576,ROW(),FALSE)</f>
        <v>0</v>
      </c>
      <c r="AC1733" s="580">
        <f>HLOOKUP("*"&amp;'Output annual'!$AC$2&amp;'Output annual'!$AD$2&amp;"*FangerPMV(Hourly)",'Eplus results'!$1:$1048576,ROW(),FALSE)</f>
        <v>0</v>
      </c>
      <c r="AD1733" s="580">
        <f t="shared" si="171"/>
        <v>5</v>
      </c>
      <c r="AE1733" s="580">
        <f t="shared" si="172"/>
        <v>2.5</v>
      </c>
      <c r="AF1733" s="580">
        <f t="shared" si="173"/>
        <v>2.5</v>
      </c>
      <c r="AG1733" s="580">
        <f t="shared" si="174"/>
        <v>0</v>
      </c>
      <c r="AH1733" s="580">
        <f t="shared" si="175"/>
        <v>0</v>
      </c>
    </row>
    <row r="1734" spans="28:34">
      <c r="AB1734" s="580">
        <f>HLOOKUP("*"&amp;'Output annual'!$AC$2&amp;'Output annual'!$AD$2&amp;"*Zone People Number Of Occupants [](Hourly)",'Eplus results'!$1:$1048576,ROW(),FALSE)</f>
        <v>0</v>
      </c>
      <c r="AC1734" s="580">
        <f>HLOOKUP("*"&amp;'Output annual'!$AC$2&amp;'Output annual'!$AD$2&amp;"*FangerPMV(Hourly)",'Eplus results'!$1:$1048576,ROW(),FALSE)</f>
        <v>0</v>
      </c>
      <c r="AD1734" s="580">
        <f t="shared" si="171"/>
        <v>5</v>
      </c>
      <c r="AE1734" s="580">
        <f t="shared" si="172"/>
        <v>2.5</v>
      </c>
      <c r="AF1734" s="580">
        <f t="shared" si="173"/>
        <v>2.5</v>
      </c>
      <c r="AG1734" s="580">
        <f t="shared" si="174"/>
        <v>0</v>
      </c>
      <c r="AH1734" s="580">
        <f t="shared" si="175"/>
        <v>0</v>
      </c>
    </row>
    <row r="1735" spans="28:34">
      <c r="AB1735" s="580">
        <f>HLOOKUP("*"&amp;'Output annual'!$AC$2&amp;'Output annual'!$AD$2&amp;"*Zone People Number Of Occupants [](Hourly)",'Eplus results'!$1:$1048576,ROW(),FALSE)</f>
        <v>0</v>
      </c>
      <c r="AC1735" s="580">
        <f>HLOOKUP("*"&amp;'Output annual'!$AC$2&amp;'Output annual'!$AD$2&amp;"*FangerPMV(Hourly)",'Eplus results'!$1:$1048576,ROW(),FALSE)</f>
        <v>0</v>
      </c>
      <c r="AD1735" s="580">
        <f t="shared" si="171"/>
        <v>5</v>
      </c>
      <c r="AE1735" s="580">
        <f t="shared" si="172"/>
        <v>2.5</v>
      </c>
      <c r="AF1735" s="580">
        <f t="shared" si="173"/>
        <v>2.5</v>
      </c>
      <c r="AG1735" s="580">
        <f t="shared" si="174"/>
        <v>0</v>
      </c>
      <c r="AH1735" s="580">
        <f t="shared" si="175"/>
        <v>0</v>
      </c>
    </row>
    <row r="1736" spans="28:34">
      <c r="AB1736" s="580">
        <f>HLOOKUP("*"&amp;'Output annual'!$AC$2&amp;'Output annual'!$AD$2&amp;"*Zone People Number Of Occupants [](Hourly)",'Eplus results'!$1:$1048576,ROW(),FALSE)</f>
        <v>0</v>
      </c>
      <c r="AC1736" s="580">
        <f>HLOOKUP("*"&amp;'Output annual'!$AC$2&amp;'Output annual'!$AD$2&amp;"*FangerPMV(Hourly)",'Eplus results'!$1:$1048576,ROW(),FALSE)</f>
        <v>0</v>
      </c>
      <c r="AD1736" s="580">
        <f t="shared" si="171"/>
        <v>5</v>
      </c>
      <c r="AE1736" s="580">
        <f t="shared" si="172"/>
        <v>2.5</v>
      </c>
      <c r="AF1736" s="580">
        <f t="shared" si="173"/>
        <v>2.5</v>
      </c>
      <c r="AG1736" s="580">
        <f t="shared" si="174"/>
        <v>0</v>
      </c>
      <c r="AH1736" s="580">
        <f t="shared" si="175"/>
        <v>0</v>
      </c>
    </row>
    <row r="1737" spans="28:34">
      <c r="AB1737" s="580">
        <f>HLOOKUP("*"&amp;'Output annual'!$AC$2&amp;'Output annual'!$AD$2&amp;"*Zone People Number Of Occupants [](Hourly)",'Eplus results'!$1:$1048576,ROW(),FALSE)</f>
        <v>0</v>
      </c>
      <c r="AC1737" s="580">
        <f>HLOOKUP("*"&amp;'Output annual'!$AC$2&amp;'Output annual'!$AD$2&amp;"*FangerPMV(Hourly)",'Eplus results'!$1:$1048576,ROW(),FALSE)</f>
        <v>0</v>
      </c>
      <c r="AD1737" s="580">
        <f t="shared" si="171"/>
        <v>5</v>
      </c>
      <c r="AE1737" s="580">
        <f t="shared" si="172"/>
        <v>2.5</v>
      </c>
      <c r="AF1737" s="580">
        <f t="shared" si="173"/>
        <v>2.5</v>
      </c>
      <c r="AG1737" s="580">
        <f t="shared" si="174"/>
        <v>0</v>
      </c>
      <c r="AH1737" s="580">
        <f t="shared" si="175"/>
        <v>0</v>
      </c>
    </row>
    <row r="1738" spans="28:34">
      <c r="AB1738" s="580">
        <f>HLOOKUP("*"&amp;'Output annual'!$AC$2&amp;'Output annual'!$AD$2&amp;"*Zone People Number Of Occupants [](Hourly)",'Eplus results'!$1:$1048576,ROW(),FALSE)</f>
        <v>0</v>
      </c>
      <c r="AC1738" s="580">
        <f>HLOOKUP("*"&amp;'Output annual'!$AC$2&amp;'Output annual'!$AD$2&amp;"*FangerPMV(Hourly)",'Eplus results'!$1:$1048576,ROW(),FALSE)</f>
        <v>0</v>
      </c>
      <c r="AD1738" s="580">
        <f t="shared" si="171"/>
        <v>5</v>
      </c>
      <c r="AE1738" s="580">
        <f t="shared" si="172"/>
        <v>2.5</v>
      </c>
      <c r="AF1738" s="580">
        <f t="shared" si="173"/>
        <v>2.5</v>
      </c>
      <c r="AG1738" s="580">
        <f t="shared" si="174"/>
        <v>0</v>
      </c>
      <c r="AH1738" s="580">
        <f t="shared" si="175"/>
        <v>0</v>
      </c>
    </row>
    <row r="1739" spans="28:34">
      <c r="AB1739" s="580">
        <f>HLOOKUP("*"&amp;'Output annual'!$AC$2&amp;'Output annual'!$AD$2&amp;"*Zone People Number Of Occupants [](Hourly)",'Eplus results'!$1:$1048576,ROW(),FALSE)</f>
        <v>0</v>
      </c>
      <c r="AC1739" s="580">
        <f>HLOOKUP("*"&amp;'Output annual'!$AC$2&amp;'Output annual'!$AD$2&amp;"*FangerPMV(Hourly)",'Eplus results'!$1:$1048576,ROW(),FALSE)</f>
        <v>0</v>
      </c>
      <c r="AD1739" s="580">
        <f t="shared" si="171"/>
        <v>5</v>
      </c>
      <c r="AE1739" s="580">
        <f t="shared" si="172"/>
        <v>2.5</v>
      </c>
      <c r="AF1739" s="580">
        <f t="shared" si="173"/>
        <v>2.5</v>
      </c>
      <c r="AG1739" s="580">
        <f t="shared" si="174"/>
        <v>0</v>
      </c>
      <c r="AH1739" s="580">
        <f t="shared" si="175"/>
        <v>0</v>
      </c>
    </row>
    <row r="1740" spans="28:34">
      <c r="AB1740" s="580">
        <f>HLOOKUP("*"&amp;'Output annual'!$AC$2&amp;'Output annual'!$AD$2&amp;"*Zone People Number Of Occupants [](Hourly)",'Eplus results'!$1:$1048576,ROW(),FALSE)</f>
        <v>0</v>
      </c>
      <c r="AC1740" s="580">
        <f>HLOOKUP("*"&amp;'Output annual'!$AC$2&amp;'Output annual'!$AD$2&amp;"*FangerPMV(Hourly)",'Eplus results'!$1:$1048576,ROW(),FALSE)</f>
        <v>0</v>
      </c>
      <c r="AD1740" s="580">
        <f t="shared" si="171"/>
        <v>5</v>
      </c>
      <c r="AE1740" s="580">
        <f t="shared" si="172"/>
        <v>2.5</v>
      </c>
      <c r="AF1740" s="580">
        <f t="shared" si="173"/>
        <v>2.5</v>
      </c>
      <c r="AG1740" s="580">
        <f t="shared" si="174"/>
        <v>0</v>
      </c>
      <c r="AH1740" s="580">
        <f t="shared" si="175"/>
        <v>0</v>
      </c>
    </row>
    <row r="1741" spans="28:34">
      <c r="AB1741" s="580">
        <f>HLOOKUP("*"&amp;'Output annual'!$AC$2&amp;'Output annual'!$AD$2&amp;"*Zone People Number Of Occupants [](Hourly)",'Eplus results'!$1:$1048576,ROW(),FALSE)</f>
        <v>0</v>
      </c>
      <c r="AC1741" s="580">
        <f>HLOOKUP("*"&amp;'Output annual'!$AC$2&amp;'Output annual'!$AD$2&amp;"*FangerPMV(Hourly)",'Eplus results'!$1:$1048576,ROW(),FALSE)</f>
        <v>0</v>
      </c>
      <c r="AD1741" s="580">
        <f t="shared" si="171"/>
        <v>5</v>
      </c>
      <c r="AE1741" s="580">
        <f t="shared" si="172"/>
        <v>2.5</v>
      </c>
      <c r="AF1741" s="580">
        <f t="shared" si="173"/>
        <v>2.5</v>
      </c>
      <c r="AG1741" s="580">
        <f t="shared" si="174"/>
        <v>0</v>
      </c>
      <c r="AH1741" s="580">
        <f t="shared" si="175"/>
        <v>0</v>
      </c>
    </row>
    <row r="1742" spans="28:34">
      <c r="AB1742" s="580">
        <f>HLOOKUP("*"&amp;'Output annual'!$AC$2&amp;'Output annual'!$AD$2&amp;"*Zone People Number Of Occupants [](Hourly)",'Eplus results'!$1:$1048576,ROW(),FALSE)</f>
        <v>0</v>
      </c>
      <c r="AC1742" s="580">
        <f>HLOOKUP("*"&amp;'Output annual'!$AC$2&amp;'Output annual'!$AD$2&amp;"*FangerPMV(Hourly)",'Eplus results'!$1:$1048576,ROW(),FALSE)</f>
        <v>0</v>
      </c>
      <c r="AD1742" s="580">
        <f t="shared" si="171"/>
        <v>5</v>
      </c>
      <c r="AE1742" s="580">
        <f t="shared" si="172"/>
        <v>2.5</v>
      </c>
      <c r="AF1742" s="580">
        <f t="shared" si="173"/>
        <v>2.5</v>
      </c>
      <c r="AG1742" s="580">
        <f t="shared" si="174"/>
        <v>0</v>
      </c>
      <c r="AH1742" s="580">
        <f t="shared" si="175"/>
        <v>0</v>
      </c>
    </row>
    <row r="1743" spans="28:34">
      <c r="AB1743" s="580">
        <f>HLOOKUP("*"&amp;'Output annual'!$AC$2&amp;'Output annual'!$AD$2&amp;"*Zone People Number Of Occupants [](Hourly)",'Eplus results'!$1:$1048576,ROW(),FALSE)</f>
        <v>0</v>
      </c>
      <c r="AC1743" s="580">
        <f>HLOOKUP("*"&amp;'Output annual'!$AC$2&amp;'Output annual'!$AD$2&amp;"*FangerPMV(Hourly)",'Eplus results'!$1:$1048576,ROW(),FALSE)</f>
        <v>0</v>
      </c>
      <c r="AD1743" s="580">
        <f t="shared" si="171"/>
        <v>5</v>
      </c>
      <c r="AE1743" s="580">
        <f t="shared" si="172"/>
        <v>2.5</v>
      </c>
      <c r="AF1743" s="580">
        <f t="shared" si="173"/>
        <v>2.5</v>
      </c>
      <c r="AG1743" s="580">
        <f t="shared" si="174"/>
        <v>0</v>
      </c>
      <c r="AH1743" s="580">
        <f t="shared" si="175"/>
        <v>0</v>
      </c>
    </row>
    <row r="1744" spans="28:34">
      <c r="AB1744" s="580">
        <f>HLOOKUP("*"&amp;'Output annual'!$AC$2&amp;'Output annual'!$AD$2&amp;"*Zone People Number Of Occupants [](Hourly)",'Eplus results'!$1:$1048576,ROW(),FALSE)</f>
        <v>0</v>
      </c>
      <c r="AC1744" s="580">
        <f>HLOOKUP("*"&amp;'Output annual'!$AC$2&amp;'Output annual'!$AD$2&amp;"*FangerPMV(Hourly)",'Eplus results'!$1:$1048576,ROW(),FALSE)</f>
        <v>0</v>
      </c>
      <c r="AD1744" s="580">
        <f t="shared" si="171"/>
        <v>5</v>
      </c>
      <c r="AE1744" s="580">
        <f t="shared" si="172"/>
        <v>2.5</v>
      </c>
      <c r="AF1744" s="580">
        <f t="shared" si="173"/>
        <v>2.5</v>
      </c>
      <c r="AG1744" s="580">
        <f t="shared" si="174"/>
        <v>0</v>
      </c>
      <c r="AH1744" s="580">
        <f t="shared" si="175"/>
        <v>0</v>
      </c>
    </row>
    <row r="1745" spans="28:34">
      <c r="AB1745" s="580">
        <f>HLOOKUP("*"&amp;'Output annual'!$AC$2&amp;'Output annual'!$AD$2&amp;"*Zone People Number Of Occupants [](Hourly)",'Eplus results'!$1:$1048576,ROW(),FALSE)</f>
        <v>0</v>
      </c>
      <c r="AC1745" s="580">
        <f>HLOOKUP("*"&amp;'Output annual'!$AC$2&amp;'Output annual'!$AD$2&amp;"*FangerPMV(Hourly)",'Eplus results'!$1:$1048576,ROW(),FALSE)</f>
        <v>0</v>
      </c>
      <c r="AD1745" s="580">
        <f t="shared" si="171"/>
        <v>5</v>
      </c>
      <c r="AE1745" s="580">
        <f t="shared" si="172"/>
        <v>2.5</v>
      </c>
      <c r="AF1745" s="580">
        <f t="shared" si="173"/>
        <v>2.5</v>
      </c>
      <c r="AG1745" s="580">
        <f t="shared" si="174"/>
        <v>0</v>
      </c>
      <c r="AH1745" s="580">
        <f t="shared" si="175"/>
        <v>0</v>
      </c>
    </row>
    <row r="1746" spans="28:34">
      <c r="AB1746" s="580">
        <f>HLOOKUP("*"&amp;'Output annual'!$AC$2&amp;'Output annual'!$AD$2&amp;"*Zone People Number Of Occupants [](Hourly)",'Eplus results'!$1:$1048576,ROW(),FALSE)</f>
        <v>0</v>
      </c>
      <c r="AC1746" s="580">
        <f>HLOOKUP("*"&amp;'Output annual'!$AC$2&amp;'Output annual'!$AD$2&amp;"*FangerPMV(Hourly)",'Eplus results'!$1:$1048576,ROW(),FALSE)</f>
        <v>0</v>
      </c>
      <c r="AD1746" s="580">
        <f t="shared" si="171"/>
        <v>5</v>
      </c>
      <c r="AE1746" s="580">
        <f t="shared" si="172"/>
        <v>2.5</v>
      </c>
      <c r="AF1746" s="580">
        <f t="shared" si="173"/>
        <v>2.5</v>
      </c>
      <c r="AG1746" s="580">
        <f t="shared" si="174"/>
        <v>0</v>
      </c>
      <c r="AH1746" s="580">
        <f t="shared" si="175"/>
        <v>0</v>
      </c>
    </row>
    <row r="1747" spans="28:34">
      <c r="AB1747" s="580">
        <f>HLOOKUP("*"&amp;'Output annual'!$AC$2&amp;'Output annual'!$AD$2&amp;"*Zone People Number Of Occupants [](Hourly)",'Eplus results'!$1:$1048576,ROW(),FALSE)</f>
        <v>0</v>
      </c>
      <c r="AC1747" s="580">
        <f>HLOOKUP("*"&amp;'Output annual'!$AC$2&amp;'Output annual'!$AD$2&amp;"*FangerPMV(Hourly)",'Eplus results'!$1:$1048576,ROW(),FALSE)</f>
        <v>0</v>
      </c>
      <c r="AD1747" s="580">
        <f t="shared" si="171"/>
        <v>5</v>
      </c>
      <c r="AE1747" s="580">
        <f t="shared" si="172"/>
        <v>2.5</v>
      </c>
      <c r="AF1747" s="580">
        <f t="shared" si="173"/>
        <v>2.5</v>
      </c>
      <c r="AG1747" s="580">
        <f t="shared" si="174"/>
        <v>0</v>
      </c>
      <c r="AH1747" s="580">
        <f t="shared" si="175"/>
        <v>0</v>
      </c>
    </row>
    <row r="1748" spans="28:34">
      <c r="AB1748" s="580">
        <f>HLOOKUP("*"&amp;'Output annual'!$AC$2&amp;'Output annual'!$AD$2&amp;"*Zone People Number Of Occupants [](Hourly)",'Eplus results'!$1:$1048576,ROW(),FALSE)</f>
        <v>0</v>
      </c>
      <c r="AC1748" s="580">
        <f>HLOOKUP("*"&amp;'Output annual'!$AC$2&amp;'Output annual'!$AD$2&amp;"*FangerPMV(Hourly)",'Eplus results'!$1:$1048576,ROW(),FALSE)</f>
        <v>0</v>
      </c>
      <c r="AD1748" s="580">
        <f t="shared" si="171"/>
        <v>5</v>
      </c>
      <c r="AE1748" s="580">
        <f t="shared" si="172"/>
        <v>2.5</v>
      </c>
      <c r="AF1748" s="580">
        <f t="shared" si="173"/>
        <v>2.5</v>
      </c>
      <c r="AG1748" s="580">
        <f t="shared" si="174"/>
        <v>0</v>
      </c>
      <c r="AH1748" s="580">
        <f t="shared" si="175"/>
        <v>0</v>
      </c>
    </row>
    <row r="1749" spans="28:34">
      <c r="AB1749" s="580">
        <f>HLOOKUP("*"&amp;'Output annual'!$AC$2&amp;'Output annual'!$AD$2&amp;"*Zone People Number Of Occupants [](Hourly)",'Eplus results'!$1:$1048576,ROW(),FALSE)</f>
        <v>0</v>
      </c>
      <c r="AC1749" s="580">
        <f>HLOOKUP("*"&amp;'Output annual'!$AC$2&amp;'Output annual'!$AD$2&amp;"*FangerPMV(Hourly)",'Eplus results'!$1:$1048576,ROW(),FALSE)</f>
        <v>0</v>
      </c>
      <c r="AD1749" s="580">
        <f t="shared" si="171"/>
        <v>5</v>
      </c>
      <c r="AE1749" s="580">
        <f t="shared" si="172"/>
        <v>2.5</v>
      </c>
      <c r="AF1749" s="580">
        <f t="shared" si="173"/>
        <v>2.5</v>
      </c>
      <c r="AG1749" s="580">
        <f t="shared" si="174"/>
        <v>0</v>
      </c>
      <c r="AH1749" s="580">
        <f t="shared" si="175"/>
        <v>0</v>
      </c>
    </row>
    <row r="1750" spans="28:34">
      <c r="AB1750" s="580">
        <f>HLOOKUP("*"&amp;'Output annual'!$AC$2&amp;'Output annual'!$AD$2&amp;"*Zone People Number Of Occupants [](Hourly)",'Eplus results'!$1:$1048576,ROW(),FALSE)</f>
        <v>0</v>
      </c>
      <c r="AC1750" s="580">
        <f>HLOOKUP("*"&amp;'Output annual'!$AC$2&amp;'Output annual'!$AD$2&amp;"*FangerPMV(Hourly)",'Eplus results'!$1:$1048576,ROW(),FALSE)</f>
        <v>0</v>
      </c>
      <c r="AD1750" s="580">
        <f t="shared" si="171"/>
        <v>5</v>
      </c>
      <c r="AE1750" s="580">
        <f t="shared" si="172"/>
        <v>2.5</v>
      </c>
      <c r="AF1750" s="580">
        <f t="shared" si="173"/>
        <v>2.5</v>
      </c>
      <c r="AG1750" s="580">
        <f t="shared" si="174"/>
        <v>0</v>
      </c>
      <c r="AH1750" s="580">
        <f t="shared" si="175"/>
        <v>0</v>
      </c>
    </row>
    <row r="1751" spans="28:34">
      <c r="AB1751" s="580">
        <f>HLOOKUP("*"&amp;'Output annual'!$AC$2&amp;'Output annual'!$AD$2&amp;"*Zone People Number Of Occupants [](Hourly)",'Eplus results'!$1:$1048576,ROW(),FALSE)</f>
        <v>0</v>
      </c>
      <c r="AC1751" s="580">
        <f>HLOOKUP("*"&amp;'Output annual'!$AC$2&amp;'Output annual'!$AD$2&amp;"*FangerPMV(Hourly)",'Eplus results'!$1:$1048576,ROW(),FALSE)</f>
        <v>0</v>
      </c>
      <c r="AD1751" s="580">
        <f t="shared" si="171"/>
        <v>5</v>
      </c>
      <c r="AE1751" s="580">
        <f t="shared" si="172"/>
        <v>2.5</v>
      </c>
      <c r="AF1751" s="580">
        <f t="shared" si="173"/>
        <v>2.5</v>
      </c>
      <c r="AG1751" s="580">
        <f t="shared" si="174"/>
        <v>0</v>
      </c>
      <c r="AH1751" s="580">
        <f t="shared" si="175"/>
        <v>0</v>
      </c>
    </row>
    <row r="1752" spans="28:34">
      <c r="AB1752" s="580">
        <f>HLOOKUP("*"&amp;'Output annual'!$AC$2&amp;'Output annual'!$AD$2&amp;"*Zone People Number Of Occupants [](Hourly)",'Eplus results'!$1:$1048576,ROW(),FALSE)</f>
        <v>0</v>
      </c>
      <c r="AC1752" s="580">
        <f>HLOOKUP("*"&amp;'Output annual'!$AC$2&amp;'Output annual'!$AD$2&amp;"*FangerPMV(Hourly)",'Eplus results'!$1:$1048576,ROW(),FALSE)</f>
        <v>0</v>
      </c>
      <c r="AD1752" s="580">
        <f t="shared" si="171"/>
        <v>5</v>
      </c>
      <c r="AE1752" s="580">
        <f t="shared" si="172"/>
        <v>2.5</v>
      </c>
      <c r="AF1752" s="580">
        <f t="shared" si="173"/>
        <v>2.5</v>
      </c>
      <c r="AG1752" s="580">
        <f t="shared" si="174"/>
        <v>0</v>
      </c>
      <c r="AH1752" s="580">
        <f t="shared" si="175"/>
        <v>0</v>
      </c>
    </row>
    <row r="1753" spans="28:34">
      <c r="AB1753" s="580">
        <f>HLOOKUP("*"&amp;'Output annual'!$AC$2&amp;'Output annual'!$AD$2&amp;"*Zone People Number Of Occupants [](Hourly)",'Eplus results'!$1:$1048576,ROW(),FALSE)</f>
        <v>0</v>
      </c>
      <c r="AC1753" s="580">
        <f>HLOOKUP("*"&amp;'Output annual'!$AC$2&amp;'Output annual'!$AD$2&amp;"*FangerPMV(Hourly)",'Eplus results'!$1:$1048576,ROW(),FALSE)</f>
        <v>0</v>
      </c>
      <c r="AD1753" s="580">
        <f t="shared" si="171"/>
        <v>5</v>
      </c>
      <c r="AE1753" s="580">
        <f t="shared" si="172"/>
        <v>2.5</v>
      </c>
      <c r="AF1753" s="580">
        <f t="shared" si="173"/>
        <v>2.5</v>
      </c>
      <c r="AG1753" s="580">
        <f t="shared" si="174"/>
        <v>0</v>
      </c>
      <c r="AH1753" s="580">
        <f t="shared" si="175"/>
        <v>0</v>
      </c>
    </row>
    <row r="1754" spans="28:34">
      <c r="AB1754" s="580">
        <f>HLOOKUP("*"&amp;'Output annual'!$AC$2&amp;'Output annual'!$AD$2&amp;"*Zone People Number Of Occupants [](Hourly)",'Eplus results'!$1:$1048576,ROW(),FALSE)</f>
        <v>0</v>
      </c>
      <c r="AC1754" s="580">
        <f>HLOOKUP("*"&amp;'Output annual'!$AC$2&amp;'Output annual'!$AD$2&amp;"*FangerPMV(Hourly)",'Eplus results'!$1:$1048576,ROW(),FALSE)</f>
        <v>0</v>
      </c>
      <c r="AD1754" s="580">
        <f t="shared" si="171"/>
        <v>5</v>
      </c>
      <c r="AE1754" s="580">
        <f t="shared" si="172"/>
        <v>2.5</v>
      </c>
      <c r="AF1754" s="580">
        <f t="shared" si="173"/>
        <v>2.5</v>
      </c>
      <c r="AG1754" s="580">
        <f t="shared" si="174"/>
        <v>0</v>
      </c>
      <c r="AH1754" s="580">
        <f t="shared" si="175"/>
        <v>0</v>
      </c>
    </row>
    <row r="1755" spans="28:34">
      <c r="AB1755" s="580">
        <f>HLOOKUP("*"&amp;'Output annual'!$AC$2&amp;'Output annual'!$AD$2&amp;"*Zone People Number Of Occupants [](Hourly)",'Eplus results'!$1:$1048576,ROW(),FALSE)</f>
        <v>0</v>
      </c>
      <c r="AC1755" s="580">
        <f>HLOOKUP("*"&amp;'Output annual'!$AC$2&amp;'Output annual'!$AD$2&amp;"*FangerPMV(Hourly)",'Eplus results'!$1:$1048576,ROW(),FALSE)</f>
        <v>0</v>
      </c>
      <c r="AD1755" s="580">
        <f t="shared" si="171"/>
        <v>5</v>
      </c>
      <c r="AE1755" s="580">
        <f t="shared" si="172"/>
        <v>2.5</v>
      </c>
      <c r="AF1755" s="580">
        <f t="shared" si="173"/>
        <v>2.5</v>
      </c>
      <c r="AG1755" s="580">
        <f t="shared" si="174"/>
        <v>0</v>
      </c>
      <c r="AH1755" s="580">
        <f t="shared" si="175"/>
        <v>0</v>
      </c>
    </row>
    <row r="1756" spans="28:34">
      <c r="AB1756" s="580">
        <f>HLOOKUP("*"&amp;'Output annual'!$AC$2&amp;'Output annual'!$AD$2&amp;"*Zone People Number Of Occupants [](Hourly)",'Eplus results'!$1:$1048576,ROW(),FALSE)</f>
        <v>0</v>
      </c>
      <c r="AC1756" s="580">
        <f>HLOOKUP("*"&amp;'Output annual'!$AC$2&amp;'Output annual'!$AD$2&amp;"*FangerPMV(Hourly)",'Eplus results'!$1:$1048576,ROW(),FALSE)</f>
        <v>0</v>
      </c>
      <c r="AD1756" s="580">
        <f t="shared" si="171"/>
        <v>5</v>
      </c>
      <c r="AE1756" s="580">
        <f t="shared" si="172"/>
        <v>2.5</v>
      </c>
      <c r="AF1756" s="580">
        <f t="shared" si="173"/>
        <v>2.5</v>
      </c>
      <c r="AG1756" s="580">
        <f t="shared" si="174"/>
        <v>0</v>
      </c>
      <c r="AH1756" s="580">
        <f t="shared" si="175"/>
        <v>0</v>
      </c>
    </row>
    <row r="1757" spans="28:34">
      <c r="AB1757" s="580">
        <f>HLOOKUP("*"&amp;'Output annual'!$AC$2&amp;'Output annual'!$AD$2&amp;"*Zone People Number Of Occupants [](Hourly)",'Eplus results'!$1:$1048576,ROW(),FALSE)</f>
        <v>0</v>
      </c>
      <c r="AC1757" s="580">
        <f>HLOOKUP("*"&amp;'Output annual'!$AC$2&amp;'Output annual'!$AD$2&amp;"*FangerPMV(Hourly)",'Eplus results'!$1:$1048576,ROW(),FALSE)</f>
        <v>0</v>
      </c>
      <c r="AD1757" s="580">
        <f t="shared" si="171"/>
        <v>5</v>
      </c>
      <c r="AE1757" s="580">
        <f t="shared" si="172"/>
        <v>2.5</v>
      </c>
      <c r="AF1757" s="580">
        <f t="shared" si="173"/>
        <v>2.5</v>
      </c>
      <c r="AG1757" s="580">
        <f t="shared" si="174"/>
        <v>0</v>
      </c>
      <c r="AH1757" s="580">
        <f t="shared" si="175"/>
        <v>0</v>
      </c>
    </row>
    <row r="1758" spans="28:34">
      <c r="AB1758" s="580">
        <f>HLOOKUP("*"&amp;'Output annual'!$AC$2&amp;'Output annual'!$AD$2&amp;"*Zone People Number Of Occupants [](Hourly)",'Eplus results'!$1:$1048576,ROW(),FALSE)</f>
        <v>0</v>
      </c>
      <c r="AC1758" s="580">
        <f>HLOOKUP("*"&amp;'Output annual'!$AC$2&amp;'Output annual'!$AD$2&amp;"*FangerPMV(Hourly)",'Eplus results'!$1:$1048576,ROW(),FALSE)</f>
        <v>0</v>
      </c>
      <c r="AD1758" s="580">
        <f t="shared" si="171"/>
        <v>5</v>
      </c>
      <c r="AE1758" s="580">
        <f t="shared" si="172"/>
        <v>2.5</v>
      </c>
      <c r="AF1758" s="580">
        <f t="shared" si="173"/>
        <v>2.5</v>
      </c>
      <c r="AG1758" s="580">
        <f t="shared" si="174"/>
        <v>0</v>
      </c>
      <c r="AH1758" s="580">
        <f t="shared" si="175"/>
        <v>0</v>
      </c>
    </row>
    <row r="1759" spans="28:34">
      <c r="AB1759" s="580">
        <f>HLOOKUP("*"&amp;'Output annual'!$AC$2&amp;'Output annual'!$AD$2&amp;"*Zone People Number Of Occupants [](Hourly)",'Eplus results'!$1:$1048576,ROW(),FALSE)</f>
        <v>0</v>
      </c>
      <c r="AC1759" s="580">
        <f>HLOOKUP("*"&amp;'Output annual'!$AC$2&amp;'Output annual'!$AD$2&amp;"*FangerPMV(Hourly)",'Eplus results'!$1:$1048576,ROW(),FALSE)</f>
        <v>0</v>
      </c>
      <c r="AD1759" s="580">
        <f t="shared" si="171"/>
        <v>5</v>
      </c>
      <c r="AE1759" s="580">
        <f t="shared" si="172"/>
        <v>2.5</v>
      </c>
      <c r="AF1759" s="580">
        <f t="shared" si="173"/>
        <v>2.5</v>
      </c>
      <c r="AG1759" s="580">
        <f t="shared" si="174"/>
        <v>0</v>
      </c>
      <c r="AH1759" s="580">
        <f t="shared" si="175"/>
        <v>0</v>
      </c>
    </row>
    <row r="1760" spans="28:34">
      <c r="AB1760" s="580">
        <f>HLOOKUP("*"&amp;'Output annual'!$AC$2&amp;'Output annual'!$AD$2&amp;"*Zone People Number Of Occupants [](Hourly)",'Eplus results'!$1:$1048576,ROW(),FALSE)</f>
        <v>0</v>
      </c>
      <c r="AC1760" s="580">
        <f>HLOOKUP("*"&amp;'Output annual'!$AC$2&amp;'Output annual'!$AD$2&amp;"*FangerPMV(Hourly)",'Eplus results'!$1:$1048576,ROW(),FALSE)</f>
        <v>0</v>
      </c>
      <c r="AD1760" s="580">
        <f t="shared" si="171"/>
        <v>5</v>
      </c>
      <c r="AE1760" s="580">
        <f t="shared" si="172"/>
        <v>2.5</v>
      </c>
      <c r="AF1760" s="580">
        <f t="shared" si="173"/>
        <v>2.5</v>
      </c>
      <c r="AG1760" s="580">
        <f t="shared" si="174"/>
        <v>0</v>
      </c>
      <c r="AH1760" s="580">
        <f t="shared" si="175"/>
        <v>0</v>
      </c>
    </row>
    <row r="1761" spans="28:34">
      <c r="AB1761" s="580">
        <f>HLOOKUP("*"&amp;'Output annual'!$AC$2&amp;'Output annual'!$AD$2&amp;"*Zone People Number Of Occupants [](Hourly)",'Eplus results'!$1:$1048576,ROW(),FALSE)</f>
        <v>0</v>
      </c>
      <c r="AC1761" s="580">
        <f>HLOOKUP("*"&amp;'Output annual'!$AC$2&amp;'Output annual'!$AD$2&amp;"*FangerPMV(Hourly)",'Eplus results'!$1:$1048576,ROW(),FALSE)</f>
        <v>0</v>
      </c>
      <c r="AD1761" s="580">
        <f t="shared" si="171"/>
        <v>5</v>
      </c>
      <c r="AE1761" s="580">
        <f t="shared" si="172"/>
        <v>2.5</v>
      </c>
      <c r="AF1761" s="580">
        <f t="shared" si="173"/>
        <v>2.5</v>
      </c>
      <c r="AG1761" s="580">
        <f t="shared" si="174"/>
        <v>0</v>
      </c>
      <c r="AH1761" s="580">
        <f t="shared" si="175"/>
        <v>0</v>
      </c>
    </row>
    <row r="1762" spans="28:34">
      <c r="AB1762" s="580">
        <f>HLOOKUP("*"&amp;'Output annual'!$AC$2&amp;'Output annual'!$AD$2&amp;"*Zone People Number Of Occupants [](Hourly)",'Eplus results'!$1:$1048576,ROW(),FALSE)</f>
        <v>0</v>
      </c>
      <c r="AC1762" s="580">
        <f>HLOOKUP("*"&amp;'Output annual'!$AC$2&amp;'Output annual'!$AD$2&amp;"*FangerPMV(Hourly)",'Eplus results'!$1:$1048576,ROW(),FALSE)</f>
        <v>0</v>
      </c>
      <c r="AD1762" s="580">
        <f t="shared" si="171"/>
        <v>5</v>
      </c>
      <c r="AE1762" s="580">
        <f t="shared" si="172"/>
        <v>2.5</v>
      </c>
      <c r="AF1762" s="580">
        <f t="shared" si="173"/>
        <v>2.5</v>
      </c>
      <c r="AG1762" s="580">
        <f t="shared" si="174"/>
        <v>0</v>
      </c>
      <c r="AH1762" s="580">
        <f t="shared" si="175"/>
        <v>0</v>
      </c>
    </row>
    <row r="1763" spans="28:34">
      <c r="AB1763" s="580">
        <f>HLOOKUP("*"&amp;'Output annual'!$AC$2&amp;'Output annual'!$AD$2&amp;"*Zone People Number Of Occupants [](Hourly)",'Eplus results'!$1:$1048576,ROW(),FALSE)</f>
        <v>0</v>
      </c>
      <c r="AC1763" s="580">
        <f>HLOOKUP("*"&amp;'Output annual'!$AC$2&amp;'Output annual'!$AD$2&amp;"*FangerPMV(Hourly)",'Eplus results'!$1:$1048576,ROW(),FALSE)</f>
        <v>0</v>
      </c>
      <c r="AD1763" s="580">
        <f t="shared" si="171"/>
        <v>5</v>
      </c>
      <c r="AE1763" s="580">
        <f t="shared" si="172"/>
        <v>2.5</v>
      </c>
      <c r="AF1763" s="580">
        <f t="shared" si="173"/>
        <v>2.5</v>
      </c>
      <c r="AG1763" s="580">
        <f t="shared" si="174"/>
        <v>0</v>
      </c>
      <c r="AH1763" s="580">
        <f t="shared" si="175"/>
        <v>0</v>
      </c>
    </row>
    <row r="1764" spans="28:34">
      <c r="AB1764" s="580">
        <f>HLOOKUP("*"&amp;'Output annual'!$AC$2&amp;'Output annual'!$AD$2&amp;"*Zone People Number Of Occupants [](Hourly)",'Eplus results'!$1:$1048576,ROW(),FALSE)</f>
        <v>0</v>
      </c>
      <c r="AC1764" s="580">
        <f>HLOOKUP("*"&amp;'Output annual'!$AC$2&amp;'Output annual'!$AD$2&amp;"*FangerPMV(Hourly)",'Eplus results'!$1:$1048576,ROW(),FALSE)</f>
        <v>0</v>
      </c>
      <c r="AD1764" s="580">
        <f t="shared" si="171"/>
        <v>5</v>
      </c>
      <c r="AE1764" s="580">
        <f t="shared" si="172"/>
        <v>2.5</v>
      </c>
      <c r="AF1764" s="580">
        <f t="shared" si="173"/>
        <v>2.5</v>
      </c>
      <c r="AG1764" s="580">
        <f t="shared" si="174"/>
        <v>0</v>
      </c>
      <c r="AH1764" s="580">
        <f t="shared" si="175"/>
        <v>0</v>
      </c>
    </row>
    <row r="1765" spans="28:34">
      <c r="AB1765" s="580">
        <f>HLOOKUP("*"&amp;'Output annual'!$AC$2&amp;'Output annual'!$AD$2&amp;"*Zone People Number Of Occupants [](Hourly)",'Eplus results'!$1:$1048576,ROW(),FALSE)</f>
        <v>0</v>
      </c>
      <c r="AC1765" s="580">
        <f>HLOOKUP("*"&amp;'Output annual'!$AC$2&amp;'Output annual'!$AD$2&amp;"*FangerPMV(Hourly)",'Eplus results'!$1:$1048576,ROW(),FALSE)</f>
        <v>0</v>
      </c>
      <c r="AD1765" s="580">
        <f t="shared" si="171"/>
        <v>5</v>
      </c>
      <c r="AE1765" s="580">
        <f t="shared" si="172"/>
        <v>2.5</v>
      </c>
      <c r="AF1765" s="580">
        <f t="shared" si="173"/>
        <v>2.5</v>
      </c>
      <c r="AG1765" s="580">
        <f t="shared" si="174"/>
        <v>0</v>
      </c>
      <c r="AH1765" s="580">
        <f t="shared" si="175"/>
        <v>0</v>
      </c>
    </row>
    <row r="1766" spans="28:34">
      <c r="AB1766" s="580">
        <f>HLOOKUP("*"&amp;'Output annual'!$AC$2&amp;'Output annual'!$AD$2&amp;"*Zone People Number Of Occupants [](Hourly)",'Eplus results'!$1:$1048576,ROW(),FALSE)</f>
        <v>0</v>
      </c>
      <c r="AC1766" s="580">
        <f>HLOOKUP("*"&amp;'Output annual'!$AC$2&amp;'Output annual'!$AD$2&amp;"*FangerPMV(Hourly)",'Eplus results'!$1:$1048576,ROW(),FALSE)</f>
        <v>0</v>
      </c>
      <c r="AD1766" s="580">
        <f t="shared" si="171"/>
        <v>5</v>
      </c>
      <c r="AE1766" s="580">
        <f t="shared" si="172"/>
        <v>2.5</v>
      </c>
      <c r="AF1766" s="580">
        <f t="shared" si="173"/>
        <v>2.5</v>
      </c>
      <c r="AG1766" s="580">
        <f t="shared" si="174"/>
        <v>0</v>
      </c>
      <c r="AH1766" s="580">
        <f t="shared" si="175"/>
        <v>0</v>
      </c>
    </row>
    <row r="1767" spans="28:34">
      <c r="AB1767" s="580">
        <f>HLOOKUP("*"&amp;'Output annual'!$AC$2&amp;'Output annual'!$AD$2&amp;"*Zone People Number Of Occupants [](Hourly)",'Eplus results'!$1:$1048576,ROW(),FALSE)</f>
        <v>0</v>
      </c>
      <c r="AC1767" s="580">
        <f>HLOOKUP("*"&amp;'Output annual'!$AC$2&amp;'Output annual'!$AD$2&amp;"*FangerPMV(Hourly)",'Eplus results'!$1:$1048576,ROW(),FALSE)</f>
        <v>0</v>
      </c>
      <c r="AD1767" s="580">
        <f t="shared" si="171"/>
        <v>5</v>
      </c>
      <c r="AE1767" s="580">
        <f t="shared" si="172"/>
        <v>2.5</v>
      </c>
      <c r="AF1767" s="580">
        <f t="shared" si="173"/>
        <v>2.5</v>
      </c>
      <c r="AG1767" s="580">
        <f t="shared" si="174"/>
        <v>0</v>
      </c>
      <c r="AH1767" s="580">
        <f t="shared" si="175"/>
        <v>0</v>
      </c>
    </row>
    <row r="1768" spans="28:34">
      <c r="AB1768" s="580">
        <f>HLOOKUP("*"&amp;'Output annual'!$AC$2&amp;'Output annual'!$AD$2&amp;"*Zone People Number Of Occupants [](Hourly)",'Eplus results'!$1:$1048576,ROW(),FALSE)</f>
        <v>0</v>
      </c>
      <c r="AC1768" s="580">
        <f>HLOOKUP("*"&amp;'Output annual'!$AC$2&amp;'Output annual'!$AD$2&amp;"*FangerPMV(Hourly)",'Eplus results'!$1:$1048576,ROW(),FALSE)</f>
        <v>0</v>
      </c>
      <c r="AD1768" s="580">
        <f t="shared" si="171"/>
        <v>5</v>
      </c>
      <c r="AE1768" s="580">
        <f t="shared" si="172"/>
        <v>2.5</v>
      </c>
      <c r="AF1768" s="580">
        <f t="shared" si="173"/>
        <v>2.5</v>
      </c>
      <c r="AG1768" s="580">
        <f t="shared" si="174"/>
        <v>0</v>
      </c>
      <c r="AH1768" s="580">
        <f t="shared" si="175"/>
        <v>0</v>
      </c>
    </row>
    <row r="1769" spans="28:34">
      <c r="AB1769" s="580">
        <f>HLOOKUP("*"&amp;'Output annual'!$AC$2&amp;'Output annual'!$AD$2&amp;"*Zone People Number Of Occupants [](Hourly)",'Eplus results'!$1:$1048576,ROW(),FALSE)</f>
        <v>0</v>
      </c>
      <c r="AC1769" s="580">
        <f>HLOOKUP("*"&amp;'Output annual'!$AC$2&amp;'Output annual'!$AD$2&amp;"*FangerPMV(Hourly)",'Eplus results'!$1:$1048576,ROW(),FALSE)</f>
        <v>0</v>
      </c>
      <c r="AD1769" s="580">
        <f t="shared" si="171"/>
        <v>5</v>
      </c>
      <c r="AE1769" s="580">
        <f t="shared" si="172"/>
        <v>2.5</v>
      </c>
      <c r="AF1769" s="580">
        <f t="shared" si="173"/>
        <v>2.5</v>
      </c>
      <c r="AG1769" s="580">
        <f t="shared" si="174"/>
        <v>0</v>
      </c>
      <c r="AH1769" s="580">
        <f t="shared" si="175"/>
        <v>0</v>
      </c>
    </row>
    <row r="1770" spans="28:34">
      <c r="AB1770" s="580">
        <f>HLOOKUP("*"&amp;'Output annual'!$AC$2&amp;'Output annual'!$AD$2&amp;"*Zone People Number Of Occupants [](Hourly)",'Eplus results'!$1:$1048576,ROW(),FALSE)</f>
        <v>0</v>
      </c>
      <c r="AC1770" s="580">
        <f>HLOOKUP("*"&amp;'Output annual'!$AC$2&amp;'Output annual'!$AD$2&amp;"*FangerPMV(Hourly)",'Eplus results'!$1:$1048576,ROW(),FALSE)</f>
        <v>0</v>
      </c>
      <c r="AD1770" s="580">
        <f t="shared" si="171"/>
        <v>5</v>
      </c>
      <c r="AE1770" s="580">
        <f t="shared" si="172"/>
        <v>2.5</v>
      </c>
      <c r="AF1770" s="580">
        <f t="shared" si="173"/>
        <v>2.5</v>
      </c>
      <c r="AG1770" s="580">
        <f t="shared" si="174"/>
        <v>0</v>
      </c>
      <c r="AH1770" s="580">
        <f t="shared" si="175"/>
        <v>0</v>
      </c>
    </row>
    <row r="1771" spans="28:34">
      <c r="AB1771" s="580">
        <f>HLOOKUP("*"&amp;'Output annual'!$AC$2&amp;'Output annual'!$AD$2&amp;"*Zone People Number Of Occupants [](Hourly)",'Eplus results'!$1:$1048576,ROW(),FALSE)</f>
        <v>0</v>
      </c>
      <c r="AC1771" s="580">
        <f>HLOOKUP("*"&amp;'Output annual'!$AC$2&amp;'Output annual'!$AD$2&amp;"*FangerPMV(Hourly)",'Eplus results'!$1:$1048576,ROW(),FALSE)</f>
        <v>0</v>
      </c>
      <c r="AD1771" s="580">
        <f t="shared" si="171"/>
        <v>5</v>
      </c>
      <c r="AE1771" s="580">
        <f t="shared" si="172"/>
        <v>2.5</v>
      </c>
      <c r="AF1771" s="580">
        <f t="shared" si="173"/>
        <v>2.5</v>
      </c>
      <c r="AG1771" s="580">
        <f t="shared" si="174"/>
        <v>0</v>
      </c>
      <c r="AH1771" s="580">
        <f t="shared" si="175"/>
        <v>0</v>
      </c>
    </row>
    <row r="1772" spans="28:34">
      <c r="AB1772" s="580">
        <f>HLOOKUP("*"&amp;'Output annual'!$AC$2&amp;'Output annual'!$AD$2&amp;"*Zone People Number Of Occupants [](Hourly)",'Eplus results'!$1:$1048576,ROW(),FALSE)</f>
        <v>0</v>
      </c>
      <c r="AC1772" s="580">
        <f>HLOOKUP("*"&amp;'Output annual'!$AC$2&amp;'Output annual'!$AD$2&amp;"*FangerPMV(Hourly)",'Eplus results'!$1:$1048576,ROW(),FALSE)</f>
        <v>0</v>
      </c>
      <c r="AD1772" s="580">
        <f t="shared" si="171"/>
        <v>5</v>
      </c>
      <c r="AE1772" s="580">
        <f t="shared" si="172"/>
        <v>2.5</v>
      </c>
      <c r="AF1772" s="580">
        <f t="shared" si="173"/>
        <v>2.5</v>
      </c>
      <c r="AG1772" s="580">
        <f t="shared" si="174"/>
        <v>0</v>
      </c>
      <c r="AH1772" s="580">
        <f t="shared" si="175"/>
        <v>0</v>
      </c>
    </row>
    <row r="1773" spans="28:34">
      <c r="AB1773" s="580">
        <f>HLOOKUP("*"&amp;'Output annual'!$AC$2&amp;'Output annual'!$AD$2&amp;"*Zone People Number Of Occupants [](Hourly)",'Eplus results'!$1:$1048576,ROW(),FALSE)</f>
        <v>0</v>
      </c>
      <c r="AC1773" s="580">
        <f>HLOOKUP("*"&amp;'Output annual'!$AC$2&amp;'Output annual'!$AD$2&amp;"*FangerPMV(Hourly)",'Eplus results'!$1:$1048576,ROW(),FALSE)</f>
        <v>0</v>
      </c>
      <c r="AD1773" s="580">
        <f t="shared" si="171"/>
        <v>5</v>
      </c>
      <c r="AE1773" s="580">
        <f t="shared" si="172"/>
        <v>2.5</v>
      </c>
      <c r="AF1773" s="580">
        <f t="shared" si="173"/>
        <v>2.5</v>
      </c>
      <c r="AG1773" s="580">
        <f t="shared" si="174"/>
        <v>0</v>
      </c>
      <c r="AH1773" s="580">
        <f t="shared" si="175"/>
        <v>0</v>
      </c>
    </row>
    <row r="1774" spans="28:34">
      <c r="AB1774" s="580">
        <f>HLOOKUP("*"&amp;'Output annual'!$AC$2&amp;'Output annual'!$AD$2&amp;"*Zone People Number Of Occupants [](Hourly)",'Eplus results'!$1:$1048576,ROW(),FALSE)</f>
        <v>0</v>
      </c>
      <c r="AC1774" s="580">
        <f>HLOOKUP("*"&amp;'Output annual'!$AC$2&amp;'Output annual'!$AD$2&amp;"*FangerPMV(Hourly)",'Eplus results'!$1:$1048576,ROW(),FALSE)</f>
        <v>0</v>
      </c>
      <c r="AD1774" s="580">
        <f t="shared" si="171"/>
        <v>5</v>
      </c>
      <c r="AE1774" s="580">
        <f t="shared" si="172"/>
        <v>2.5</v>
      </c>
      <c r="AF1774" s="580">
        <f t="shared" si="173"/>
        <v>2.5</v>
      </c>
      <c r="AG1774" s="580">
        <f t="shared" si="174"/>
        <v>0</v>
      </c>
      <c r="AH1774" s="580">
        <f t="shared" si="175"/>
        <v>0</v>
      </c>
    </row>
    <row r="1775" spans="28:34">
      <c r="AB1775" s="580">
        <f>HLOOKUP("*"&amp;'Output annual'!$AC$2&amp;'Output annual'!$AD$2&amp;"*Zone People Number Of Occupants [](Hourly)",'Eplus results'!$1:$1048576,ROW(),FALSE)</f>
        <v>0</v>
      </c>
      <c r="AC1775" s="580">
        <f>HLOOKUP("*"&amp;'Output annual'!$AC$2&amp;'Output annual'!$AD$2&amp;"*FangerPMV(Hourly)",'Eplus results'!$1:$1048576,ROW(),FALSE)</f>
        <v>0</v>
      </c>
      <c r="AD1775" s="580">
        <f t="shared" si="171"/>
        <v>5</v>
      </c>
      <c r="AE1775" s="580">
        <f t="shared" si="172"/>
        <v>2.5</v>
      </c>
      <c r="AF1775" s="580">
        <f t="shared" si="173"/>
        <v>2.5</v>
      </c>
      <c r="AG1775" s="580">
        <f t="shared" si="174"/>
        <v>0</v>
      </c>
      <c r="AH1775" s="580">
        <f t="shared" si="175"/>
        <v>0</v>
      </c>
    </row>
    <row r="1776" spans="28:34">
      <c r="AB1776" s="580">
        <f>HLOOKUP("*"&amp;'Output annual'!$AC$2&amp;'Output annual'!$AD$2&amp;"*Zone People Number Of Occupants [](Hourly)",'Eplus results'!$1:$1048576,ROW(),FALSE)</f>
        <v>0</v>
      </c>
      <c r="AC1776" s="580">
        <f>HLOOKUP("*"&amp;'Output annual'!$AC$2&amp;'Output annual'!$AD$2&amp;"*FangerPMV(Hourly)",'Eplus results'!$1:$1048576,ROW(),FALSE)</f>
        <v>0</v>
      </c>
      <c r="AD1776" s="580">
        <f t="shared" si="171"/>
        <v>5</v>
      </c>
      <c r="AE1776" s="580">
        <f t="shared" si="172"/>
        <v>2.5</v>
      </c>
      <c r="AF1776" s="580">
        <f t="shared" si="173"/>
        <v>2.5</v>
      </c>
      <c r="AG1776" s="580">
        <f t="shared" si="174"/>
        <v>0</v>
      </c>
      <c r="AH1776" s="580">
        <f t="shared" si="175"/>
        <v>0</v>
      </c>
    </row>
    <row r="1777" spans="28:34">
      <c r="AB1777" s="580">
        <f>HLOOKUP("*"&amp;'Output annual'!$AC$2&amp;'Output annual'!$AD$2&amp;"*Zone People Number Of Occupants [](Hourly)",'Eplus results'!$1:$1048576,ROW(),FALSE)</f>
        <v>0</v>
      </c>
      <c r="AC1777" s="580">
        <f>HLOOKUP("*"&amp;'Output annual'!$AC$2&amp;'Output annual'!$AD$2&amp;"*FangerPMV(Hourly)",'Eplus results'!$1:$1048576,ROW(),FALSE)</f>
        <v>0</v>
      </c>
      <c r="AD1777" s="580">
        <f t="shared" si="171"/>
        <v>5</v>
      </c>
      <c r="AE1777" s="580">
        <f t="shared" si="172"/>
        <v>2.5</v>
      </c>
      <c r="AF1777" s="580">
        <f t="shared" si="173"/>
        <v>2.5</v>
      </c>
      <c r="AG1777" s="580">
        <f t="shared" si="174"/>
        <v>0</v>
      </c>
      <c r="AH1777" s="580">
        <f t="shared" si="175"/>
        <v>0</v>
      </c>
    </row>
    <row r="1778" spans="28:34">
      <c r="AB1778" s="580">
        <f>HLOOKUP("*"&amp;'Output annual'!$AC$2&amp;'Output annual'!$AD$2&amp;"*Zone People Number Of Occupants [](Hourly)",'Eplus results'!$1:$1048576,ROW(),FALSE)</f>
        <v>0</v>
      </c>
      <c r="AC1778" s="580">
        <f>HLOOKUP("*"&amp;'Output annual'!$AC$2&amp;'Output annual'!$AD$2&amp;"*FangerPMV(Hourly)",'Eplus results'!$1:$1048576,ROW(),FALSE)</f>
        <v>0</v>
      </c>
      <c r="AD1778" s="580">
        <f t="shared" si="171"/>
        <v>5</v>
      </c>
      <c r="AE1778" s="580">
        <f t="shared" si="172"/>
        <v>2.5</v>
      </c>
      <c r="AF1778" s="580">
        <f t="shared" si="173"/>
        <v>2.5</v>
      </c>
      <c r="AG1778" s="580">
        <f t="shared" si="174"/>
        <v>0</v>
      </c>
      <c r="AH1778" s="580">
        <f t="shared" si="175"/>
        <v>0</v>
      </c>
    </row>
    <row r="1779" spans="28:34">
      <c r="AB1779" s="580">
        <f>HLOOKUP("*"&amp;'Output annual'!$AC$2&amp;'Output annual'!$AD$2&amp;"*Zone People Number Of Occupants [](Hourly)",'Eplus results'!$1:$1048576,ROW(),FALSE)</f>
        <v>0</v>
      </c>
      <c r="AC1779" s="580">
        <f>HLOOKUP("*"&amp;'Output annual'!$AC$2&amp;'Output annual'!$AD$2&amp;"*FangerPMV(Hourly)",'Eplus results'!$1:$1048576,ROW(),FALSE)</f>
        <v>0</v>
      </c>
      <c r="AD1779" s="580">
        <f t="shared" si="171"/>
        <v>5</v>
      </c>
      <c r="AE1779" s="580">
        <f t="shared" si="172"/>
        <v>2.5</v>
      </c>
      <c r="AF1779" s="580">
        <f t="shared" si="173"/>
        <v>2.5</v>
      </c>
      <c r="AG1779" s="580">
        <f t="shared" si="174"/>
        <v>0</v>
      </c>
      <c r="AH1779" s="580">
        <f t="shared" si="175"/>
        <v>0</v>
      </c>
    </row>
    <row r="1780" spans="28:34">
      <c r="AB1780" s="580">
        <f>HLOOKUP("*"&amp;'Output annual'!$AC$2&amp;'Output annual'!$AD$2&amp;"*Zone People Number Of Occupants [](Hourly)",'Eplus results'!$1:$1048576,ROW(),FALSE)</f>
        <v>0</v>
      </c>
      <c r="AC1780" s="580">
        <f>HLOOKUP("*"&amp;'Output annual'!$AC$2&amp;'Output annual'!$AD$2&amp;"*FangerPMV(Hourly)",'Eplus results'!$1:$1048576,ROW(),FALSE)</f>
        <v>0</v>
      </c>
      <c r="AD1780" s="580">
        <f t="shared" si="171"/>
        <v>5</v>
      </c>
      <c r="AE1780" s="580">
        <f t="shared" si="172"/>
        <v>2.5</v>
      </c>
      <c r="AF1780" s="580">
        <f t="shared" si="173"/>
        <v>2.5</v>
      </c>
      <c r="AG1780" s="580">
        <f t="shared" si="174"/>
        <v>0</v>
      </c>
      <c r="AH1780" s="580">
        <f t="shared" si="175"/>
        <v>0</v>
      </c>
    </row>
    <row r="1781" spans="28:34">
      <c r="AB1781" s="580">
        <f>HLOOKUP("*"&amp;'Output annual'!$AC$2&amp;'Output annual'!$AD$2&amp;"*Zone People Number Of Occupants [](Hourly)",'Eplus results'!$1:$1048576,ROW(),FALSE)</f>
        <v>0</v>
      </c>
      <c r="AC1781" s="580">
        <f>HLOOKUP("*"&amp;'Output annual'!$AC$2&amp;'Output annual'!$AD$2&amp;"*FangerPMV(Hourly)",'Eplus results'!$1:$1048576,ROW(),FALSE)</f>
        <v>0</v>
      </c>
      <c r="AD1781" s="580">
        <f t="shared" si="171"/>
        <v>5</v>
      </c>
      <c r="AE1781" s="580">
        <f t="shared" si="172"/>
        <v>2.5</v>
      </c>
      <c r="AF1781" s="580">
        <f t="shared" si="173"/>
        <v>2.5</v>
      </c>
      <c r="AG1781" s="580">
        <f t="shared" si="174"/>
        <v>0</v>
      </c>
      <c r="AH1781" s="580">
        <f t="shared" si="175"/>
        <v>0</v>
      </c>
    </row>
    <row r="1782" spans="28:34">
      <c r="AB1782" s="580">
        <f>HLOOKUP("*"&amp;'Output annual'!$AC$2&amp;'Output annual'!$AD$2&amp;"*Zone People Number Of Occupants [](Hourly)",'Eplus results'!$1:$1048576,ROW(),FALSE)</f>
        <v>0</v>
      </c>
      <c r="AC1782" s="580">
        <f>HLOOKUP("*"&amp;'Output annual'!$AC$2&amp;'Output annual'!$AD$2&amp;"*FangerPMV(Hourly)",'Eplus results'!$1:$1048576,ROW(),FALSE)</f>
        <v>0</v>
      </c>
      <c r="AD1782" s="580">
        <f t="shared" si="171"/>
        <v>5</v>
      </c>
      <c r="AE1782" s="580">
        <f t="shared" si="172"/>
        <v>2.5</v>
      </c>
      <c r="AF1782" s="580">
        <f t="shared" si="173"/>
        <v>2.5</v>
      </c>
      <c r="AG1782" s="580">
        <f t="shared" si="174"/>
        <v>0</v>
      </c>
      <c r="AH1782" s="580">
        <f t="shared" si="175"/>
        <v>0</v>
      </c>
    </row>
    <row r="1783" spans="28:34">
      <c r="AB1783" s="580">
        <f>HLOOKUP("*"&amp;'Output annual'!$AC$2&amp;'Output annual'!$AD$2&amp;"*Zone People Number Of Occupants [](Hourly)",'Eplus results'!$1:$1048576,ROW(),FALSE)</f>
        <v>0</v>
      </c>
      <c r="AC1783" s="580">
        <f>HLOOKUP("*"&amp;'Output annual'!$AC$2&amp;'Output annual'!$AD$2&amp;"*FangerPMV(Hourly)",'Eplus results'!$1:$1048576,ROW(),FALSE)</f>
        <v>0</v>
      </c>
      <c r="AD1783" s="580">
        <f t="shared" si="171"/>
        <v>5</v>
      </c>
      <c r="AE1783" s="580">
        <f t="shared" si="172"/>
        <v>2.5</v>
      </c>
      <c r="AF1783" s="580">
        <f t="shared" si="173"/>
        <v>2.5</v>
      </c>
      <c r="AG1783" s="580">
        <f t="shared" si="174"/>
        <v>0</v>
      </c>
      <c r="AH1783" s="580">
        <f t="shared" si="175"/>
        <v>0</v>
      </c>
    </row>
    <row r="1784" spans="28:34">
      <c r="AB1784" s="580">
        <f>HLOOKUP("*"&amp;'Output annual'!$AC$2&amp;'Output annual'!$AD$2&amp;"*Zone People Number Of Occupants [](Hourly)",'Eplus results'!$1:$1048576,ROW(),FALSE)</f>
        <v>0</v>
      </c>
      <c r="AC1784" s="580">
        <f>HLOOKUP("*"&amp;'Output annual'!$AC$2&amp;'Output annual'!$AD$2&amp;"*FangerPMV(Hourly)",'Eplus results'!$1:$1048576,ROW(),FALSE)</f>
        <v>0</v>
      </c>
      <c r="AD1784" s="580">
        <f t="shared" si="171"/>
        <v>5</v>
      </c>
      <c r="AE1784" s="580">
        <f t="shared" si="172"/>
        <v>2.5</v>
      </c>
      <c r="AF1784" s="580">
        <f t="shared" si="173"/>
        <v>2.5</v>
      </c>
      <c r="AG1784" s="580">
        <f t="shared" si="174"/>
        <v>0</v>
      </c>
      <c r="AH1784" s="580">
        <f t="shared" si="175"/>
        <v>0</v>
      </c>
    </row>
    <row r="1785" spans="28:34">
      <c r="AB1785" s="580">
        <f>HLOOKUP("*"&amp;'Output annual'!$AC$2&amp;'Output annual'!$AD$2&amp;"*Zone People Number Of Occupants [](Hourly)",'Eplus results'!$1:$1048576,ROW(),FALSE)</f>
        <v>0</v>
      </c>
      <c r="AC1785" s="580">
        <f>HLOOKUP("*"&amp;'Output annual'!$AC$2&amp;'Output annual'!$AD$2&amp;"*FangerPMV(Hourly)",'Eplus results'!$1:$1048576,ROW(),FALSE)</f>
        <v>0</v>
      </c>
      <c r="AD1785" s="580">
        <f t="shared" si="171"/>
        <v>5</v>
      </c>
      <c r="AE1785" s="580">
        <f t="shared" si="172"/>
        <v>2.5</v>
      </c>
      <c r="AF1785" s="580">
        <f t="shared" si="173"/>
        <v>2.5</v>
      </c>
      <c r="AG1785" s="580">
        <f t="shared" si="174"/>
        <v>0</v>
      </c>
      <c r="AH1785" s="580">
        <f t="shared" si="175"/>
        <v>0</v>
      </c>
    </row>
    <row r="1786" spans="28:34">
      <c r="AB1786" s="580">
        <f>HLOOKUP("*"&amp;'Output annual'!$AC$2&amp;'Output annual'!$AD$2&amp;"*Zone People Number Of Occupants [](Hourly)",'Eplus results'!$1:$1048576,ROW(),FALSE)</f>
        <v>0</v>
      </c>
      <c r="AC1786" s="580">
        <f>HLOOKUP("*"&amp;'Output annual'!$AC$2&amp;'Output annual'!$AD$2&amp;"*FangerPMV(Hourly)",'Eplus results'!$1:$1048576,ROW(),FALSE)</f>
        <v>0</v>
      </c>
      <c r="AD1786" s="580">
        <f t="shared" si="171"/>
        <v>5</v>
      </c>
      <c r="AE1786" s="580">
        <f t="shared" si="172"/>
        <v>2.5</v>
      </c>
      <c r="AF1786" s="580">
        <f t="shared" si="173"/>
        <v>2.5</v>
      </c>
      <c r="AG1786" s="580">
        <f t="shared" si="174"/>
        <v>0</v>
      </c>
      <c r="AH1786" s="580">
        <f t="shared" si="175"/>
        <v>0</v>
      </c>
    </row>
    <row r="1787" spans="28:34">
      <c r="AB1787" s="580">
        <f>HLOOKUP("*"&amp;'Output annual'!$AC$2&amp;'Output annual'!$AD$2&amp;"*Zone People Number Of Occupants [](Hourly)",'Eplus results'!$1:$1048576,ROW(),FALSE)</f>
        <v>0</v>
      </c>
      <c r="AC1787" s="580">
        <f>HLOOKUP("*"&amp;'Output annual'!$AC$2&amp;'Output annual'!$AD$2&amp;"*FangerPMV(Hourly)",'Eplus results'!$1:$1048576,ROW(),FALSE)</f>
        <v>0</v>
      </c>
      <c r="AD1787" s="580">
        <f t="shared" si="171"/>
        <v>5</v>
      </c>
      <c r="AE1787" s="580">
        <f t="shared" si="172"/>
        <v>2.5</v>
      </c>
      <c r="AF1787" s="580">
        <f t="shared" si="173"/>
        <v>2.5</v>
      </c>
      <c r="AG1787" s="580">
        <f t="shared" si="174"/>
        <v>0</v>
      </c>
      <c r="AH1787" s="580">
        <f t="shared" si="175"/>
        <v>0</v>
      </c>
    </row>
    <row r="1788" spans="28:34">
      <c r="AB1788" s="580">
        <f>HLOOKUP("*"&amp;'Output annual'!$AC$2&amp;'Output annual'!$AD$2&amp;"*Zone People Number Of Occupants [](Hourly)",'Eplus results'!$1:$1048576,ROW(),FALSE)</f>
        <v>0</v>
      </c>
      <c r="AC1788" s="580">
        <f>HLOOKUP("*"&amp;'Output annual'!$AC$2&amp;'Output annual'!$AD$2&amp;"*FangerPMV(Hourly)",'Eplus results'!$1:$1048576,ROW(),FALSE)</f>
        <v>0</v>
      </c>
      <c r="AD1788" s="580">
        <f t="shared" si="171"/>
        <v>5</v>
      </c>
      <c r="AE1788" s="580">
        <f t="shared" si="172"/>
        <v>2.5</v>
      </c>
      <c r="AF1788" s="580">
        <f t="shared" si="173"/>
        <v>2.5</v>
      </c>
      <c r="AG1788" s="580">
        <f t="shared" si="174"/>
        <v>0</v>
      </c>
      <c r="AH1788" s="580">
        <f t="shared" si="175"/>
        <v>0</v>
      </c>
    </row>
    <row r="1789" spans="28:34">
      <c r="AB1789" s="580">
        <f>HLOOKUP("*"&amp;'Output annual'!$AC$2&amp;'Output annual'!$AD$2&amp;"*Zone People Number Of Occupants [](Hourly)",'Eplus results'!$1:$1048576,ROW(),FALSE)</f>
        <v>0</v>
      </c>
      <c r="AC1789" s="580">
        <f>HLOOKUP("*"&amp;'Output annual'!$AC$2&amp;'Output annual'!$AD$2&amp;"*FangerPMV(Hourly)",'Eplus results'!$1:$1048576,ROW(),FALSE)</f>
        <v>0</v>
      </c>
      <c r="AD1789" s="580">
        <f t="shared" si="171"/>
        <v>5</v>
      </c>
      <c r="AE1789" s="580">
        <f t="shared" si="172"/>
        <v>2.5</v>
      </c>
      <c r="AF1789" s="580">
        <f t="shared" si="173"/>
        <v>2.5</v>
      </c>
      <c r="AG1789" s="580">
        <f t="shared" si="174"/>
        <v>0</v>
      </c>
      <c r="AH1789" s="580">
        <f t="shared" si="175"/>
        <v>0</v>
      </c>
    </row>
    <row r="1790" spans="28:34">
      <c r="AB1790" s="580">
        <f>HLOOKUP("*"&amp;'Output annual'!$AC$2&amp;'Output annual'!$AD$2&amp;"*Zone People Number Of Occupants [](Hourly)",'Eplus results'!$1:$1048576,ROW(),FALSE)</f>
        <v>0</v>
      </c>
      <c r="AC1790" s="580">
        <f>HLOOKUP("*"&amp;'Output annual'!$AC$2&amp;'Output annual'!$AD$2&amp;"*FangerPMV(Hourly)",'Eplus results'!$1:$1048576,ROW(),FALSE)</f>
        <v>0</v>
      </c>
      <c r="AD1790" s="580">
        <f t="shared" si="171"/>
        <v>5</v>
      </c>
      <c r="AE1790" s="580">
        <f t="shared" si="172"/>
        <v>2.5</v>
      </c>
      <c r="AF1790" s="580">
        <f t="shared" si="173"/>
        <v>2.5</v>
      </c>
      <c r="AG1790" s="580">
        <f t="shared" si="174"/>
        <v>0</v>
      </c>
      <c r="AH1790" s="580">
        <f t="shared" si="175"/>
        <v>0</v>
      </c>
    </row>
    <row r="1791" spans="28:34">
      <c r="AB1791" s="580">
        <f>HLOOKUP("*"&amp;'Output annual'!$AC$2&amp;'Output annual'!$AD$2&amp;"*Zone People Number Of Occupants [](Hourly)",'Eplus results'!$1:$1048576,ROW(),FALSE)</f>
        <v>0</v>
      </c>
      <c r="AC1791" s="580">
        <f>HLOOKUP("*"&amp;'Output annual'!$AC$2&amp;'Output annual'!$AD$2&amp;"*FangerPMV(Hourly)",'Eplus results'!$1:$1048576,ROW(),FALSE)</f>
        <v>0</v>
      </c>
      <c r="AD1791" s="580">
        <f t="shared" si="171"/>
        <v>5</v>
      </c>
      <c r="AE1791" s="580">
        <f t="shared" si="172"/>
        <v>2.5</v>
      </c>
      <c r="AF1791" s="580">
        <f t="shared" si="173"/>
        <v>2.5</v>
      </c>
      <c r="AG1791" s="580">
        <f t="shared" si="174"/>
        <v>0</v>
      </c>
      <c r="AH1791" s="580">
        <f t="shared" si="175"/>
        <v>0</v>
      </c>
    </row>
    <row r="1792" spans="28:34">
      <c r="AB1792" s="580">
        <f>HLOOKUP("*"&amp;'Output annual'!$AC$2&amp;'Output annual'!$AD$2&amp;"*Zone People Number Of Occupants [](Hourly)",'Eplus results'!$1:$1048576,ROW(),FALSE)</f>
        <v>0</v>
      </c>
      <c r="AC1792" s="580">
        <f>HLOOKUP("*"&amp;'Output annual'!$AC$2&amp;'Output annual'!$AD$2&amp;"*FangerPMV(Hourly)",'Eplus results'!$1:$1048576,ROW(),FALSE)</f>
        <v>0</v>
      </c>
      <c r="AD1792" s="580">
        <f t="shared" si="171"/>
        <v>5</v>
      </c>
      <c r="AE1792" s="580">
        <f t="shared" si="172"/>
        <v>2.5</v>
      </c>
      <c r="AF1792" s="580">
        <f t="shared" si="173"/>
        <v>2.5</v>
      </c>
      <c r="AG1792" s="580">
        <f t="shared" si="174"/>
        <v>0</v>
      </c>
      <c r="AH1792" s="580">
        <f t="shared" si="175"/>
        <v>0</v>
      </c>
    </row>
    <row r="1793" spans="28:34">
      <c r="AB1793" s="580">
        <f>HLOOKUP("*"&amp;'Output annual'!$AC$2&amp;'Output annual'!$AD$2&amp;"*Zone People Number Of Occupants [](Hourly)",'Eplus results'!$1:$1048576,ROW(),FALSE)</f>
        <v>0</v>
      </c>
      <c r="AC1793" s="580">
        <f>HLOOKUP("*"&amp;'Output annual'!$AC$2&amp;'Output annual'!$AD$2&amp;"*FangerPMV(Hourly)",'Eplus results'!$1:$1048576,ROW(),FALSE)</f>
        <v>0</v>
      </c>
      <c r="AD1793" s="580">
        <f t="shared" si="171"/>
        <v>5</v>
      </c>
      <c r="AE1793" s="580">
        <f t="shared" si="172"/>
        <v>2.5</v>
      </c>
      <c r="AF1793" s="580">
        <f t="shared" si="173"/>
        <v>2.5</v>
      </c>
      <c r="AG1793" s="580">
        <f t="shared" si="174"/>
        <v>0</v>
      </c>
      <c r="AH1793" s="580">
        <f t="shared" si="175"/>
        <v>0</v>
      </c>
    </row>
    <row r="1794" spans="28:34">
      <c r="AB1794" s="580">
        <f>HLOOKUP("*"&amp;'Output annual'!$AC$2&amp;'Output annual'!$AD$2&amp;"*Zone People Number Of Occupants [](Hourly)",'Eplus results'!$1:$1048576,ROW(),FALSE)</f>
        <v>0</v>
      </c>
      <c r="AC1794" s="580">
        <f>HLOOKUP("*"&amp;'Output annual'!$AC$2&amp;'Output annual'!$AD$2&amp;"*FangerPMV(Hourly)",'Eplus results'!$1:$1048576,ROW(),FALSE)</f>
        <v>0</v>
      </c>
      <c r="AD1794" s="580">
        <f t="shared" si="171"/>
        <v>5</v>
      </c>
      <c r="AE1794" s="580">
        <f t="shared" si="172"/>
        <v>2.5</v>
      </c>
      <c r="AF1794" s="580">
        <f t="shared" si="173"/>
        <v>2.5</v>
      </c>
      <c r="AG1794" s="580">
        <f t="shared" si="174"/>
        <v>0</v>
      </c>
      <c r="AH1794" s="580">
        <f t="shared" si="175"/>
        <v>0</v>
      </c>
    </row>
    <row r="1795" spans="28:34">
      <c r="AB1795" s="580">
        <f>HLOOKUP("*"&amp;'Output annual'!$AC$2&amp;'Output annual'!$AD$2&amp;"*Zone People Number Of Occupants [](Hourly)",'Eplus results'!$1:$1048576,ROW(),FALSE)</f>
        <v>0</v>
      </c>
      <c r="AC1795" s="580">
        <f>HLOOKUP("*"&amp;'Output annual'!$AC$2&amp;'Output annual'!$AD$2&amp;"*FangerPMV(Hourly)",'Eplus results'!$1:$1048576,ROW(),FALSE)</f>
        <v>0</v>
      </c>
      <c r="AD1795" s="580">
        <f t="shared" ref="AD1795:AD1858" si="176">100-95*EXP(-0.03353*AC1795^4-0.2179*AC1795^2)</f>
        <v>5</v>
      </c>
      <c r="AE1795" s="580">
        <f t="shared" ref="AE1795:AE1858" si="177">AD1795*(1/(1+EXP(-6.3*$AC1795)))</f>
        <v>2.5</v>
      </c>
      <c r="AF1795" s="580">
        <f t="shared" ref="AF1795:AF1858" si="178">(AD1795-AE1795)</f>
        <v>2.5</v>
      </c>
      <c r="AG1795" s="580">
        <f t="shared" ref="AG1795:AG1858" si="179">AE1795*AB1795</f>
        <v>0</v>
      </c>
      <c r="AH1795" s="580">
        <f t="shared" ref="AH1795:AH1858" si="180">AF1795*AB1795</f>
        <v>0</v>
      </c>
    </row>
    <row r="1796" spans="28:34">
      <c r="AB1796" s="580">
        <f>HLOOKUP("*"&amp;'Output annual'!$AC$2&amp;'Output annual'!$AD$2&amp;"*Zone People Number Of Occupants [](Hourly)",'Eplus results'!$1:$1048576,ROW(),FALSE)</f>
        <v>0</v>
      </c>
      <c r="AC1796" s="580">
        <f>HLOOKUP("*"&amp;'Output annual'!$AC$2&amp;'Output annual'!$AD$2&amp;"*FangerPMV(Hourly)",'Eplus results'!$1:$1048576,ROW(),FALSE)</f>
        <v>0</v>
      </c>
      <c r="AD1796" s="580">
        <f t="shared" si="176"/>
        <v>5</v>
      </c>
      <c r="AE1796" s="580">
        <f t="shared" si="177"/>
        <v>2.5</v>
      </c>
      <c r="AF1796" s="580">
        <f t="shared" si="178"/>
        <v>2.5</v>
      </c>
      <c r="AG1796" s="580">
        <f t="shared" si="179"/>
        <v>0</v>
      </c>
      <c r="AH1796" s="580">
        <f t="shared" si="180"/>
        <v>0</v>
      </c>
    </row>
    <row r="1797" spans="28:34">
      <c r="AB1797" s="580">
        <f>HLOOKUP("*"&amp;'Output annual'!$AC$2&amp;'Output annual'!$AD$2&amp;"*Zone People Number Of Occupants [](Hourly)",'Eplus results'!$1:$1048576,ROW(),FALSE)</f>
        <v>0</v>
      </c>
      <c r="AC1797" s="580">
        <f>HLOOKUP("*"&amp;'Output annual'!$AC$2&amp;'Output annual'!$AD$2&amp;"*FangerPMV(Hourly)",'Eplus results'!$1:$1048576,ROW(),FALSE)</f>
        <v>0</v>
      </c>
      <c r="AD1797" s="580">
        <f t="shared" si="176"/>
        <v>5</v>
      </c>
      <c r="AE1797" s="580">
        <f t="shared" si="177"/>
        <v>2.5</v>
      </c>
      <c r="AF1797" s="580">
        <f t="shared" si="178"/>
        <v>2.5</v>
      </c>
      <c r="AG1797" s="580">
        <f t="shared" si="179"/>
        <v>0</v>
      </c>
      <c r="AH1797" s="580">
        <f t="shared" si="180"/>
        <v>0</v>
      </c>
    </row>
    <row r="1798" spans="28:34">
      <c r="AB1798" s="580">
        <f>HLOOKUP("*"&amp;'Output annual'!$AC$2&amp;'Output annual'!$AD$2&amp;"*Zone People Number Of Occupants [](Hourly)",'Eplus results'!$1:$1048576,ROW(),FALSE)</f>
        <v>0</v>
      </c>
      <c r="AC1798" s="580">
        <f>HLOOKUP("*"&amp;'Output annual'!$AC$2&amp;'Output annual'!$AD$2&amp;"*FangerPMV(Hourly)",'Eplus results'!$1:$1048576,ROW(),FALSE)</f>
        <v>0</v>
      </c>
      <c r="AD1798" s="580">
        <f t="shared" si="176"/>
        <v>5</v>
      </c>
      <c r="AE1798" s="580">
        <f t="shared" si="177"/>
        <v>2.5</v>
      </c>
      <c r="AF1798" s="580">
        <f t="shared" si="178"/>
        <v>2.5</v>
      </c>
      <c r="AG1798" s="580">
        <f t="shared" si="179"/>
        <v>0</v>
      </c>
      <c r="AH1798" s="580">
        <f t="shared" si="180"/>
        <v>0</v>
      </c>
    </row>
    <row r="1799" spans="28:34">
      <c r="AB1799" s="580">
        <f>HLOOKUP("*"&amp;'Output annual'!$AC$2&amp;'Output annual'!$AD$2&amp;"*Zone People Number Of Occupants [](Hourly)",'Eplus results'!$1:$1048576,ROW(),FALSE)</f>
        <v>0</v>
      </c>
      <c r="AC1799" s="580">
        <f>HLOOKUP("*"&amp;'Output annual'!$AC$2&amp;'Output annual'!$AD$2&amp;"*FangerPMV(Hourly)",'Eplus results'!$1:$1048576,ROW(),FALSE)</f>
        <v>0</v>
      </c>
      <c r="AD1799" s="580">
        <f t="shared" si="176"/>
        <v>5</v>
      </c>
      <c r="AE1799" s="580">
        <f t="shared" si="177"/>
        <v>2.5</v>
      </c>
      <c r="AF1799" s="580">
        <f t="shared" si="178"/>
        <v>2.5</v>
      </c>
      <c r="AG1799" s="580">
        <f t="shared" si="179"/>
        <v>0</v>
      </c>
      <c r="AH1799" s="580">
        <f t="shared" si="180"/>
        <v>0</v>
      </c>
    </row>
    <row r="1800" spans="28:34">
      <c r="AB1800" s="580">
        <f>HLOOKUP("*"&amp;'Output annual'!$AC$2&amp;'Output annual'!$AD$2&amp;"*Zone People Number Of Occupants [](Hourly)",'Eplus results'!$1:$1048576,ROW(),FALSE)</f>
        <v>0</v>
      </c>
      <c r="AC1800" s="580">
        <f>HLOOKUP("*"&amp;'Output annual'!$AC$2&amp;'Output annual'!$AD$2&amp;"*FangerPMV(Hourly)",'Eplus results'!$1:$1048576,ROW(),FALSE)</f>
        <v>0</v>
      </c>
      <c r="AD1800" s="580">
        <f t="shared" si="176"/>
        <v>5</v>
      </c>
      <c r="AE1800" s="580">
        <f t="shared" si="177"/>
        <v>2.5</v>
      </c>
      <c r="AF1800" s="580">
        <f t="shared" si="178"/>
        <v>2.5</v>
      </c>
      <c r="AG1800" s="580">
        <f t="shared" si="179"/>
        <v>0</v>
      </c>
      <c r="AH1800" s="580">
        <f t="shared" si="180"/>
        <v>0</v>
      </c>
    </row>
    <row r="1801" spans="28:34">
      <c r="AB1801" s="580">
        <f>HLOOKUP("*"&amp;'Output annual'!$AC$2&amp;'Output annual'!$AD$2&amp;"*Zone People Number Of Occupants [](Hourly)",'Eplus results'!$1:$1048576,ROW(),FALSE)</f>
        <v>0</v>
      </c>
      <c r="AC1801" s="580">
        <f>HLOOKUP("*"&amp;'Output annual'!$AC$2&amp;'Output annual'!$AD$2&amp;"*FangerPMV(Hourly)",'Eplus results'!$1:$1048576,ROW(),FALSE)</f>
        <v>0</v>
      </c>
      <c r="AD1801" s="580">
        <f t="shared" si="176"/>
        <v>5</v>
      </c>
      <c r="AE1801" s="580">
        <f t="shared" si="177"/>
        <v>2.5</v>
      </c>
      <c r="AF1801" s="580">
        <f t="shared" si="178"/>
        <v>2.5</v>
      </c>
      <c r="AG1801" s="580">
        <f t="shared" si="179"/>
        <v>0</v>
      </c>
      <c r="AH1801" s="580">
        <f t="shared" si="180"/>
        <v>0</v>
      </c>
    </row>
    <row r="1802" spans="28:34">
      <c r="AB1802" s="580">
        <f>HLOOKUP("*"&amp;'Output annual'!$AC$2&amp;'Output annual'!$AD$2&amp;"*Zone People Number Of Occupants [](Hourly)",'Eplus results'!$1:$1048576,ROW(),FALSE)</f>
        <v>0</v>
      </c>
      <c r="AC1802" s="580">
        <f>HLOOKUP("*"&amp;'Output annual'!$AC$2&amp;'Output annual'!$AD$2&amp;"*FangerPMV(Hourly)",'Eplus results'!$1:$1048576,ROW(),FALSE)</f>
        <v>0</v>
      </c>
      <c r="AD1802" s="580">
        <f t="shared" si="176"/>
        <v>5</v>
      </c>
      <c r="AE1802" s="580">
        <f t="shared" si="177"/>
        <v>2.5</v>
      </c>
      <c r="AF1802" s="580">
        <f t="shared" si="178"/>
        <v>2.5</v>
      </c>
      <c r="AG1802" s="580">
        <f t="shared" si="179"/>
        <v>0</v>
      </c>
      <c r="AH1802" s="580">
        <f t="shared" si="180"/>
        <v>0</v>
      </c>
    </row>
    <row r="1803" spans="28:34">
      <c r="AB1803" s="580">
        <f>HLOOKUP("*"&amp;'Output annual'!$AC$2&amp;'Output annual'!$AD$2&amp;"*Zone People Number Of Occupants [](Hourly)",'Eplus results'!$1:$1048576,ROW(),FALSE)</f>
        <v>0</v>
      </c>
      <c r="AC1803" s="580">
        <f>HLOOKUP("*"&amp;'Output annual'!$AC$2&amp;'Output annual'!$AD$2&amp;"*FangerPMV(Hourly)",'Eplus results'!$1:$1048576,ROW(),FALSE)</f>
        <v>0</v>
      </c>
      <c r="AD1803" s="580">
        <f t="shared" si="176"/>
        <v>5</v>
      </c>
      <c r="AE1803" s="580">
        <f t="shared" si="177"/>
        <v>2.5</v>
      </c>
      <c r="AF1803" s="580">
        <f t="shared" si="178"/>
        <v>2.5</v>
      </c>
      <c r="AG1803" s="580">
        <f t="shared" si="179"/>
        <v>0</v>
      </c>
      <c r="AH1803" s="580">
        <f t="shared" si="180"/>
        <v>0</v>
      </c>
    </row>
    <row r="1804" spans="28:34">
      <c r="AB1804" s="580">
        <f>HLOOKUP("*"&amp;'Output annual'!$AC$2&amp;'Output annual'!$AD$2&amp;"*Zone People Number Of Occupants [](Hourly)",'Eplus results'!$1:$1048576,ROW(),FALSE)</f>
        <v>0</v>
      </c>
      <c r="AC1804" s="580">
        <f>HLOOKUP("*"&amp;'Output annual'!$AC$2&amp;'Output annual'!$AD$2&amp;"*FangerPMV(Hourly)",'Eplus results'!$1:$1048576,ROW(),FALSE)</f>
        <v>0</v>
      </c>
      <c r="AD1804" s="580">
        <f t="shared" si="176"/>
        <v>5</v>
      </c>
      <c r="AE1804" s="580">
        <f t="shared" si="177"/>
        <v>2.5</v>
      </c>
      <c r="AF1804" s="580">
        <f t="shared" si="178"/>
        <v>2.5</v>
      </c>
      <c r="AG1804" s="580">
        <f t="shared" si="179"/>
        <v>0</v>
      </c>
      <c r="AH1804" s="580">
        <f t="shared" si="180"/>
        <v>0</v>
      </c>
    </row>
    <row r="1805" spans="28:34">
      <c r="AB1805" s="580">
        <f>HLOOKUP("*"&amp;'Output annual'!$AC$2&amp;'Output annual'!$AD$2&amp;"*Zone People Number Of Occupants [](Hourly)",'Eplus results'!$1:$1048576,ROW(),FALSE)</f>
        <v>0</v>
      </c>
      <c r="AC1805" s="580">
        <f>HLOOKUP("*"&amp;'Output annual'!$AC$2&amp;'Output annual'!$AD$2&amp;"*FangerPMV(Hourly)",'Eplus results'!$1:$1048576,ROW(),FALSE)</f>
        <v>0</v>
      </c>
      <c r="AD1805" s="580">
        <f t="shared" si="176"/>
        <v>5</v>
      </c>
      <c r="AE1805" s="580">
        <f t="shared" si="177"/>
        <v>2.5</v>
      </c>
      <c r="AF1805" s="580">
        <f t="shared" si="178"/>
        <v>2.5</v>
      </c>
      <c r="AG1805" s="580">
        <f t="shared" si="179"/>
        <v>0</v>
      </c>
      <c r="AH1805" s="580">
        <f t="shared" si="180"/>
        <v>0</v>
      </c>
    </row>
    <row r="1806" spans="28:34">
      <c r="AB1806" s="580">
        <f>HLOOKUP("*"&amp;'Output annual'!$AC$2&amp;'Output annual'!$AD$2&amp;"*Zone People Number Of Occupants [](Hourly)",'Eplus results'!$1:$1048576,ROW(),FALSE)</f>
        <v>0</v>
      </c>
      <c r="AC1806" s="580">
        <f>HLOOKUP("*"&amp;'Output annual'!$AC$2&amp;'Output annual'!$AD$2&amp;"*FangerPMV(Hourly)",'Eplus results'!$1:$1048576,ROW(),FALSE)</f>
        <v>0</v>
      </c>
      <c r="AD1806" s="580">
        <f t="shared" si="176"/>
        <v>5</v>
      </c>
      <c r="AE1806" s="580">
        <f t="shared" si="177"/>
        <v>2.5</v>
      </c>
      <c r="AF1806" s="580">
        <f t="shared" si="178"/>
        <v>2.5</v>
      </c>
      <c r="AG1806" s="580">
        <f t="shared" si="179"/>
        <v>0</v>
      </c>
      <c r="AH1806" s="580">
        <f t="shared" si="180"/>
        <v>0</v>
      </c>
    </row>
    <row r="1807" spans="28:34">
      <c r="AB1807" s="580">
        <f>HLOOKUP("*"&amp;'Output annual'!$AC$2&amp;'Output annual'!$AD$2&amp;"*Zone People Number Of Occupants [](Hourly)",'Eplus results'!$1:$1048576,ROW(),FALSE)</f>
        <v>0</v>
      </c>
      <c r="AC1807" s="580">
        <f>HLOOKUP("*"&amp;'Output annual'!$AC$2&amp;'Output annual'!$AD$2&amp;"*FangerPMV(Hourly)",'Eplus results'!$1:$1048576,ROW(),FALSE)</f>
        <v>0</v>
      </c>
      <c r="AD1807" s="580">
        <f t="shared" si="176"/>
        <v>5</v>
      </c>
      <c r="AE1807" s="580">
        <f t="shared" si="177"/>
        <v>2.5</v>
      </c>
      <c r="AF1807" s="580">
        <f t="shared" si="178"/>
        <v>2.5</v>
      </c>
      <c r="AG1807" s="580">
        <f t="shared" si="179"/>
        <v>0</v>
      </c>
      <c r="AH1807" s="580">
        <f t="shared" si="180"/>
        <v>0</v>
      </c>
    </row>
    <row r="1808" spans="28:34">
      <c r="AB1808" s="580">
        <f>HLOOKUP("*"&amp;'Output annual'!$AC$2&amp;'Output annual'!$AD$2&amp;"*Zone People Number Of Occupants [](Hourly)",'Eplus results'!$1:$1048576,ROW(),FALSE)</f>
        <v>0</v>
      </c>
      <c r="AC1808" s="580">
        <f>HLOOKUP("*"&amp;'Output annual'!$AC$2&amp;'Output annual'!$AD$2&amp;"*FangerPMV(Hourly)",'Eplus results'!$1:$1048576,ROW(),FALSE)</f>
        <v>0</v>
      </c>
      <c r="AD1808" s="580">
        <f t="shared" si="176"/>
        <v>5</v>
      </c>
      <c r="AE1808" s="580">
        <f t="shared" si="177"/>
        <v>2.5</v>
      </c>
      <c r="AF1808" s="580">
        <f t="shared" si="178"/>
        <v>2.5</v>
      </c>
      <c r="AG1808" s="580">
        <f t="shared" si="179"/>
        <v>0</v>
      </c>
      <c r="AH1808" s="580">
        <f t="shared" si="180"/>
        <v>0</v>
      </c>
    </row>
    <row r="1809" spans="28:34">
      <c r="AB1809" s="580">
        <f>HLOOKUP("*"&amp;'Output annual'!$AC$2&amp;'Output annual'!$AD$2&amp;"*Zone People Number Of Occupants [](Hourly)",'Eplus results'!$1:$1048576,ROW(),FALSE)</f>
        <v>0</v>
      </c>
      <c r="AC1809" s="580">
        <f>HLOOKUP("*"&amp;'Output annual'!$AC$2&amp;'Output annual'!$AD$2&amp;"*FangerPMV(Hourly)",'Eplus results'!$1:$1048576,ROW(),FALSE)</f>
        <v>0</v>
      </c>
      <c r="AD1809" s="580">
        <f t="shared" si="176"/>
        <v>5</v>
      </c>
      <c r="AE1809" s="580">
        <f t="shared" si="177"/>
        <v>2.5</v>
      </c>
      <c r="AF1809" s="580">
        <f t="shared" si="178"/>
        <v>2.5</v>
      </c>
      <c r="AG1809" s="580">
        <f t="shared" si="179"/>
        <v>0</v>
      </c>
      <c r="AH1809" s="580">
        <f t="shared" si="180"/>
        <v>0</v>
      </c>
    </row>
    <row r="1810" spans="28:34">
      <c r="AB1810" s="580">
        <f>HLOOKUP("*"&amp;'Output annual'!$AC$2&amp;'Output annual'!$AD$2&amp;"*Zone People Number Of Occupants [](Hourly)",'Eplus results'!$1:$1048576,ROW(),FALSE)</f>
        <v>0</v>
      </c>
      <c r="AC1810" s="580">
        <f>HLOOKUP("*"&amp;'Output annual'!$AC$2&amp;'Output annual'!$AD$2&amp;"*FangerPMV(Hourly)",'Eplus results'!$1:$1048576,ROW(),FALSE)</f>
        <v>0</v>
      </c>
      <c r="AD1810" s="580">
        <f t="shared" si="176"/>
        <v>5</v>
      </c>
      <c r="AE1810" s="580">
        <f t="shared" si="177"/>
        <v>2.5</v>
      </c>
      <c r="AF1810" s="580">
        <f t="shared" si="178"/>
        <v>2.5</v>
      </c>
      <c r="AG1810" s="580">
        <f t="shared" si="179"/>
        <v>0</v>
      </c>
      <c r="AH1810" s="580">
        <f t="shared" si="180"/>
        <v>0</v>
      </c>
    </row>
    <row r="1811" spans="28:34">
      <c r="AB1811" s="580">
        <f>HLOOKUP("*"&amp;'Output annual'!$AC$2&amp;'Output annual'!$AD$2&amp;"*Zone People Number Of Occupants [](Hourly)",'Eplus results'!$1:$1048576,ROW(),FALSE)</f>
        <v>0</v>
      </c>
      <c r="AC1811" s="580">
        <f>HLOOKUP("*"&amp;'Output annual'!$AC$2&amp;'Output annual'!$AD$2&amp;"*FangerPMV(Hourly)",'Eplus results'!$1:$1048576,ROW(),FALSE)</f>
        <v>0</v>
      </c>
      <c r="AD1811" s="580">
        <f t="shared" si="176"/>
        <v>5</v>
      </c>
      <c r="AE1811" s="580">
        <f t="shared" si="177"/>
        <v>2.5</v>
      </c>
      <c r="AF1811" s="580">
        <f t="shared" si="178"/>
        <v>2.5</v>
      </c>
      <c r="AG1811" s="580">
        <f t="shared" si="179"/>
        <v>0</v>
      </c>
      <c r="AH1811" s="580">
        <f t="shared" si="180"/>
        <v>0</v>
      </c>
    </row>
    <row r="1812" spans="28:34">
      <c r="AB1812" s="580">
        <f>HLOOKUP("*"&amp;'Output annual'!$AC$2&amp;'Output annual'!$AD$2&amp;"*Zone People Number Of Occupants [](Hourly)",'Eplus results'!$1:$1048576,ROW(),FALSE)</f>
        <v>0</v>
      </c>
      <c r="AC1812" s="580">
        <f>HLOOKUP("*"&amp;'Output annual'!$AC$2&amp;'Output annual'!$AD$2&amp;"*FangerPMV(Hourly)",'Eplus results'!$1:$1048576,ROW(),FALSE)</f>
        <v>0</v>
      </c>
      <c r="AD1812" s="580">
        <f t="shared" si="176"/>
        <v>5</v>
      </c>
      <c r="AE1812" s="580">
        <f t="shared" si="177"/>
        <v>2.5</v>
      </c>
      <c r="AF1812" s="580">
        <f t="shared" si="178"/>
        <v>2.5</v>
      </c>
      <c r="AG1812" s="580">
        <f t="shared" si="179"/>
        <v>0</v>
      </c>
      <c r="AH1812" s="580">
        <f t="shared" si="180"/>
        <v>0</v>
      </c>
    </row>
    <row r="1813" spans="28:34">
      <c r="AB1813" s="580">
        <f>HLOOKUP("*"&amp;'Output annual'!$AC$2&amp;'Output annual'!$AD$2&amp;"*Zone People Number Of Occupants [](Hourly)",'Eplus results'!$1:$1048576,ROW(),FALSE)</f>
        <v>0</v>
      </c>
      <c r="AC1813" s="580">
        <f>HLOOKUP("*"&amp;'Output annual'!$AC$2&amp;'Output annual'!$AD$2&amp;"*FangerPMV(Hourly)",'Eplus results'!$1:$1048576,ROW(),FALSE)</f>
        <v>0</v>
      </c>
      <c r="AD1813" s="580">
        <f t="shared" si="176"/>
        <v>5</v>
      </c>
      <c r="AE1813" s="580">
        <f t="shared" si="177"/>
        <v>2.5</v>
      </c>
      <c r="AF1813" s="580">
        <f t="shared" si="178"/>
        <v>2.5</v>
      </c>
      <c r="AG1813" s="580">
        <f t="shared" si="179"/>
        <v>0</v>
      </c>
      <c r="AH1813" s="580">
        <f t="shared" si="180"/>
        <v>0</v>
      </c>
    </row>
    <row r="1814" spans="28:34">
      <c r="AB1814" s="580">
        <f>HLOOKUP("*"&amp;'Output annual'!$AC$2&amp;'Output annual'!$AD$2&amp;"*Zone People Number Of Occupants [](Hourly)",'Eplus results'!$1:$1048576,ROW(),FALSE)</f>
        <v>0</v>
      </c>
      <c r="AC1814" s="580">
        <f>HLOOKUP("*"&amp;'Output annual'!$AC$2&amp;'Output annual'!$AD$2&amp;"*FangerPMV(Hourly)",'Eplus results'!$1:$1048576,ROW(),FALSE)</f>
        <v>0</v>
      </c>
      <c r="AD1814" s="580">
        <f t="shared" si="176"/>
        <v>5</v>
      </c>
      <c r="AE1814" s="580">
        <f t="shared" si="177"/>
        <v>2.5</v>
      </c>
      <c r="AF1814" s="580">
        <f t="shared" si="178"/>
        <v>2.5</v>
      </c>
      <c r="AG1814" s="580">
        <f t="shared" si="179"/>
        <v>0</v>
      </c>
      <c r="AH1814" s="580">
        <f t="shared" si="180"/>
        <v>0</v>
      </c>
    </row>
    <row r="1815" spans="28:34">
      <c r="AB1815" s="580">
        <f>HLOOKUP("*"&amp;'Output annual'!$AC$2&amp;'Output annual'!$AD$2&amp;"*Zone People Number Of Occupants [](Hourly)",'Eplus results'!$1:$1048576,ROW(),FALSE)</f>
        <v>0</v>
      </c>
      <c r="AC1815" s="580">
        <f>HLOOKUP("*"&amp;'Output annual'!$AC$2&amp;'Output annual'!$AD$2&amp;"*FangerPMV(Hourly)",'Eplus results'!$1:$1048576,ROW(),FALSE)</f>
        <v>0</v>
      </c>
      <c r="AD1815" s="580">
        <f t="shared" si="176"/>
        <v>5</v>
      </c>
      <c r="AE1815" s="580">
        <f t="shared" si="177"/>
        <v>2.5</v>
      </c>
      <c r="AF1815" s="580">
        <f t="shared" si="178"/>
        <v>2.5</v>
      </c>
      <c r="AG1815" s="580">
        <f t="shared" si="179"/>
        <v>0</v>
      </c>
      <c r="AH1815" s="580">
        <f t="shared" si="180"/>
        <v>0</v>
      </c>
    </row>
    <row r="1816" spans="28:34">
      <c r="AB1816" s="580">
        <f>HLOOKUP("*"&amp;'Output annual'!$AC$2&amp;'Output annual'!$AD$2&amp;"*Zone People Number Of Occupants [](Hourly)",'Eplus results'!$1:$1048576,ROW(),FALSE)</f>
        <v>0</v>
      </c>
      <c r="AC1816" s="580">
        <f>HLOOKUP("*"&amp;'Output annual'!$AC$2&amp;'Output annual'!$AD$2&amp;"*FangerPMV(Hourly)",'Eplus results'!$1:$1048576,ROW(),FALSE)</f>
        <v>0</v>
      </c>
      <c r="AD1816" s="580">
        <f t="shared" si="176"/>
        <v>5</v>
      </c>
      <c r="AE1816" s="580">
        <f t="shared" si="177"/>
        <v>2.5</v>
      </c>
      <c r="AF1816" s="580">
        <f t="shared" si="178"/>
        <v>2.5</v>
      </c>
      <c r="AG1816" s="580">
        <f t="shared" si="179"/>
        <v>0</v>
      </c>
      <c r="AH1816" s="580">
        <f t="shared" si="180"/>
        <v>0</v>
      </c>
    </row>
    <row r="1817" spans="28:34">
      <c r="AB1817" s="580">
        <f>HLOOKUP("*"&amp;'Output annual'!$AC$2&amp;'Output annual'!$AD$2&amp;"*Zone People Number Of Occupants [](Hourly)",'Eplus results'!$1:$1048576,ROW(),FALSE)</f>
        <v>0</v>
      </c>
      <c r="AC1817" s="580">
        <f>HLOOKUP("*"&amp;'Output annual'!$AC$2&amp;'Output annual'!$AD$2&amp;"*FangerPMV(Hourly)",'Eplus results'!$1:$1048576,ROW(),FALSE)</f>
        <v>0</v>
      </c>
      <c r="AD1817" s="580">
        <f t="shared" si="176"/>
        <v>5</v>
      </c>
      <c r="AE1817" s="580">
        <f t="shared" si="177"/>
        <v>2.5</v>
      </c>
      <c r="AF1817" s="580">
        <f t="shared" si="178"/>
        <v>2.5</v>
      </c>
      <c r="AG1817" s="580">
        <f t="shared" si="179"/>
        <v>0</v>
      </c>
      <c r="AH1817" s="580">
        <f t="shared" si="180"/>
        <v>0</v>
      </c>
    </row>
    <row r="1818" spans="28:34">
      <c r="AB1818" s="580">
        <f>HLOOKUP("*"&amp;'Output annual'!$AC$2&amp;'Output annual'!$AD$2&amp;"*Zone People Number Of Occupants [](Hourly)",'Eplus results'!$1:$1048576,ROW(),FALSE)</f>
        <v>0</v>
      </c>
      <c r="AC1818" s="580">
        <f>HLOOKUP("*"&amp;'Output annual'!$AC$2&amp;'Output annual'!$AD$2&amp;"*FangerPMV(Hourly)",'Eplus results'!$1:$1048576,ROW(),FALSE)</f>
        <v>0</v>
      </c>
      <c r="AD1818" s="580">
        <f t="shared" si="176"/>
        <v>5</v>
      </c>
      <c r="AE1818" s="580">
        <f t="shared" si="177"/>
        <v>2.5</v>
      </c>
      <c r="AF1818" s="580">
        <f t="shared" si="178"/>
        <v>2.5</v>
      </c>
      <c r="AG1818" s="580">
        <f t="shared" si="179"/>
        <v>0</v>
      </c>
      <c r="AH1818" s="580">
        <f t="shared" si="180"/>
        <v>0</v>
      </c>
    </row>
    <row r="1819" spans="28:34">
      <c r="AB1819" s="580">
        <f>HLOOKUP("*"&amp;'Output annual'!$AC$2&amp;'Output annual'!$AD$2&amp;"*Zone People Number Of Occupants [](Hourly)",'Eplus results'!$1:$1048576,ROW(),FALSE)</f>
        <v>0</v>
      </c>
      <c r="AC1819" s="580">
        <f>HLOOKUP("*"&amp;'Output annual'!$AC$2&amp;'Output annual'!$AD$2&amp;"*FangerPMV(Hourly)",'Eplus results'!$1:$1048576,ROW(),FALSE)</f>
        <v>0</v>
      </c>
      <c r="AD1819" s="580">
        <f t="shared" si="176"/>
        <v>5</v>
      </c>
      <c r="AE1819" s="580">
        <f t="shared" si="177"/>
        <v>2.5</v>
      </c>
      <c r="AF1819" s="580">
        <f t="shared" si="178"/>
        <v>2.5</v>
      </c>
      <c r="AG1819" s="580">
        <f t="shared" si="179"/>
        <v>0</v>
      </c>
      <c r="AH1819" s="580">
        <f t="shared" si="180"/>
        <v>0</v>
      </c>
    </row>
    <row r="1820" spans="28:34">
      <c r="AB1820" s="580">
        <f>HLOOKUP("*"&amp;'Output annual'!$AC$2&amp;'Output annual'!$AD$2&amp;"*Zone People Number Of Occupants [](Hourly)",'Eplus results'!$1:$1048576,ROW(),FALSE)</f>
        <v>0</v>
      </c>
      <c r="AC1820" s="580">
        <f>HLOOKUP("*"&amp;'Output annual'!$AC$2&amp;'Output annual'!$AD$2&amp;"*FangerPMV(Hourly)",'Eplus results'!$1:$1048576,ROW(),FALSE)</f>
        <v>0</v>
      </c>
      <c r="AD1820" s="580">
        <f t="shared" si="176"/>
        <v>5</v>
      </c>
      <c r="AE1820" s="580">
        <f t="shared" si="177"/>
        <v>2.5</v>
      </c>
      <c r="AF1820" s="580">
        <f t="shared" si="178"/>
        <v>2.5</v>
      </c>
      <c r="AG1820" s="580">
        <f t="shared" si="179"/>
        <v>0</v>
      </c>
      <c r="AH1820" s="580">
        <f t="shared" si="180"/>
        <v>0</v>
      </c>
    </row>
    <row r="1821" spans="28:34">
      <c r="AB1821" s="580">
        <f>HLOOKUP("*"&amp;'Output annual'!$AC$2&amp;'Output annual'!$AD$2&amp;"*Zone People Number Of Occupants [](Hourly)",'Eplus results'!$1:$1048576,ROW(),FALSE)</f>
        <v>0</v>
      </c>
      <c r="AC1821" s="580">
        <f>HLOOKUP("*"&amp;'Output annual'!$AC$2&amp;'Output annual'!$AD$2&amp;"*FangerPMV(Hourly)",'Eplus results'!$1:$1048576,ROW(),FALSE)</f>
        <v>0</v>
      </c>
      <c r="AD1821" s="580">
        <f t="shared" si="176"/>
        <v>5</v>
      </c>
      <c r="AE1821" s="580">
        <f t="shared" si="177"/>
        <v>2.5</v>
      </c>
      <c r="AF1821" s="580">
        <f t="shared" si="178"/>
        <v>2.5</v>
      </c>
      <c r="AG1821" s="580">
        <f t="shared" si="179"/>
        <v>0</v>
      </c>
      <c r="AH1821" s="580">
        <f t="shared" si="180"/>
        <v>0</v>
      </c>
    </row>
    <row r="1822" spans="28:34">
      <c r="AB1822" s="580">
        <f>HLOOKUP("*"&amp;'Output annual'!$AC$2&amp;'Output annual'!$AD$2&amp;"*Zone People Number Of Occupants [](Hourly)",'Eplus results'!$1:$1048576,ROW(),FALSE)</f>
        <v>0</v>
      </c>
      <c r="AC1822" s="580">
        <f>HLOOKUP("*"&amp;'Output annual'!$AC$2&amp;'Output annual'!$AD$2&amp;"*FangerPMV(Hourly)",'Eplus results'!$1:$1048576,ROW(),FALSE)</f>
        <v>0</v>
      </c>
      <c r="AD1822" s="580">
        <f t="shared" si="176"/>
        <v>5</v>
      </c>
      <c r="AE1822" s="580">
        <f t="shared" si="177"/>
        <v>2.5</v>
      </c>
      <c r="AF1822" s="580">
        <f t="shared" si="178"/>
        <v>2.5</v>
      </c>
      <c r="AG1822" s="580">
        <f t="shared" si="179"/>
        <v>0</v>
      </c>
      <c r="AH1822" s="580">
        <f t="shared" si="180"/>
        <v>0</v>
      </c>
    </row>
    <row r="1823" spans="28:34">
      <c r="AB1823" s="580">
        <f>HLOOKUP("*"&amp;'Output annual'!$AC$2&amp;'Output annual'!$AD$2&amp;"*Zone People Number Of Occupants [](Hourly)",'Eplus results'!$1:$1048576,ROW(),FALSE)</f>
        <v>0</v>
      </c>
      <c r="AC1823" s="580">
        <f>HLOOKUP("*"&amp;'Output annual'!$AC$2&amp;'Output annual'!$AD$2&amp;"*FangerPMV(Hourly)",'Eplus results'!$1:$1048576,ROW(),FALSE)</f>
        <v>0</v>
      </c>
      <c r="AD1823" s="580">
        <f t="shared" si="176"/>
        <v>5</v>
      </c>
      <c r="AE1823" s="580">
        <f t="shared" si="177"/>
        <v>2.5</v>
      </c>
      <c r="AF1823" s="580">
        <f t="shared" si="178"/>
        <v>2.5</v>
      </c>
      <c r="AG1823" s="580">
        <f t="shared" si="179"/>
        <v>0</v>
      </c>
      <c r="AH1823" s="580">
        <f t="shared" si="180"/>
        <v>0</v>
      </c>
    </row>
    <row r="1824" spans="28:34">
      <c r="AB1824" s="580">
        <f>HLOOKUP("*"&amp;'Output annual'!$AC$2&amp;'Output annual'!$AD$2&amp;"*Zone People Number Of Occupants [](Hourly)",'Eplus results'!$1:$1048576,ROW(),FALSE)</f>
        <v>0</v>
      </c>
      <c r="AC1824" s="580">
        <f>HLOOKUP("*"&amp;'Output annual'!$AC$2&amp;'Output annual'!$AD$2&amp;"*FangerPMV(Hourly)",'Eplus results'!$1:$1048576,ROW(),FALSE)</f>
        <v>0</v>
      </c>
      <c r="AD1824" s="580">
        <f t="shared" si="176"/>
        <v>5</v>
      </c>
      <c r="AE1824" s="580">
        <f t="shared" si="177"/>
        <v>2.5</v>
      </c>
      <c r="AF1824" s="580">
        <f t="shared" si="178"/>
        <v>2.5</v>
      </c>
      <c r="AG1824" s="580">
        <f t="shared" si="179"/>
        <v>0</v>
      </c>
      <c r="AH1824" s="580">
        <f t="shared" si="180"/>
        <v>0</v>
      </c>
    </row>
    <row r="1825" spans="28:34">
      <c r="AB1825" s="580">
        <f>HLOOKUP("*"&amp;'Output annual'!$AC$2&amp;'Output annual'!$AD$2&amp;"*Zone People Number Of Occupants [](Hourly)",'Eplus results'!$1:$1048576,ROW(),FALSE)</f>
        <v>0</v>
      </c>
      <c r="AC1825" s="580">
        <f>HLOOKUP("*"&amp;'Output annual'!$AC$2&amp;'Output annual'!$AD$2&amp;"*FangerPMV(Hourly)",'Eplus results'!$1:$1048576,ROW(),FALSE)</f>
        <v>0</v>
      </c>
      <c r="AD1825" s="580">
        <f t="shared" si="176"/>
        <v>5</v>
      </c>
      <c r="AE1825" s="580">
        <f t="shared" si="177"/>
        <v>2.5</v>
      </c>
      <c r="AF1825" s="580">
        <f t="shared" si="178"/>
        <v>2.5</v>
      </c>
      <c r="AG1825" s="580">
        <f t="shared" si="179"/>
        <v>0</v>
      </c>
      <c r="AH1825" s="580">
        <f t="shared" si="180"/>
        <v>0</v>
      </c>
    </row>
    <row r="1826" spans="28:34">
      <c r="AB1826" s="580">
        <f>HLOOKUP("*"&amp;'Output annual'!$AC$2&amp;'Output annual'!$AD$2&amp;"*Zone People Number Of Occupants [](Hourly)",'Eplus results'!$1:$1048576,ROW(),FALSE)</f>
        <v>0</v>
      </c>
      <c r="AC1826" s="580">
        <f>HLOOKUP("*"&amp;'Output annual'!$AC$2&amp;'Output annual'!$AD$2&amp;"*FangerPMV(Hourly)",'Eplus results'!$1:$1048576,ROW(),FALSE)</f>
        <v>0</v>
      </c>
      <c r="AD1826" s="580">
        <f t="shared" si="176"/>
        <v>5</v>
      </c>
      <c r="AE1826" s="580">
        <f t="shared" si="177"/>
        <v>2.5</v>
      </c>
      <c r="AF1826" s="580">
        <f t="shared" si="178"/>
        <v>2.5</v>
      </c>
      <c r="AG1826" s="580">
        <f t="shared" si="179"/>
        <v>0</v>
      </c>
      <c r="AH1826" s="580">
        <f t="shared" si="180"/>
        <v>0</v>
      </c>
    </row>
    <row r="1827" spans="28:34">
      <c r="AB1827" s="580">
        <f>HLOOKUP("*"&amp;'Output annual'!$AC$2&amp;'Output annual'!$AD$2&amp;"*Zone People Number Of Occupants [](Hourly)",'Eplus results'!$1:$1048576,ROW(),FALSE)</f>
        <v>0</v>
      </c>
      <c r="AC1827" s="580">
        <f>HLOOKUP("*"&amp;'Output annual'!$AC$2&amp;'Output annual'!$AD$2&amp;"*FangerPMV(Hourly)",'Eplus results'!$1:$1048576,ROW(),FALSE)</f>
        <v>0</v>
      </c>
      <c r="AD1827" s="580">
        <f t="shared" si="176"/>
        <v>5</v>
      </c>
      <c r="AE1827" s="580">
        <f t="shared" si="177"/>
        <v>2.5</v>
      </c>
      <c r="AF1827" s="580">
        <f t="shared" si="178"/>
        <v>2.5</v>
      </c>
      <c r="AG1827" s="580">
        <f t="shared" si="179"/>
        <v>0</v>
      </c>
      <c r="AH1827" s="580">
        <f t="shared" si="180"/>
        <v>0</v>
      </c>
    </row>
    <row r="1828" spans="28:34">
      <c r="AB1828" s="580">
        <f>HLOOKUP("*"&amp;'Output annual'!$AC$2&amp;'Output annual'!$AD$2&amp;"*Zone People Number Of Occupants [](Hourly)",'Eplus results'!$1:$1048576,ROW(),FALSE)</f>
        <v>0</v>
      </c>
      <c r="AC1828" s="580">
        <f>HLOOKUP("*"&amp;'Output annual'!$AC$2&amp;'Output annual'!$AD$2&amp;"*FangerPMV(Hourly)",'Eplus results'!$1:$1048576,ROW(),FALSE)</f>
        <v>0</v>
      </c>
      <c r="AD1828" s="580">
        <f t="shared" si="176"/>
        <v>5</v>
      </c>
      <c r="AE1828" s="580">
        <f t="shared" si="177"/>
        <v>2.5</v>
      </c>
      <c r="AF1828" s="580">
        <f t="shared" si="178"/>
        <v>2.5</v>
      </c>
      <c r="AG1828" s="580">
        <f t="shared" si="179"/>
        <v>0</v>
      </c>
      <c r="AH1828" s="580">
        <f t="shared" si="180"/>
        <v>0</v>
      </c>
    </row>
    <row r="1829" spans="28:34">
      <c r="AB1829" s="580">
        <f>HLOOKUP("*"&amp;'Output annual'!$AC$2&amp;'Output annual'!$AD$2&amp;"*Zone People Number Of Occupants [](Hourly)",'Eplus results'!$1:$1048576,ROW(),FALSE)</f>
        <v>0</v>
      </c>
      <c r="AC1829" s="580">
        <f>HLOOKUP("*"&amp;'Output annual'!$AC$2&amp;'Output annual'!$AD$2&amp;"*FangerPMV(Hourly)",'Eplus results'!$1:$1048576,ROW(),FALSE)</f>
        <v>0</v>
      </c>
      <c r="AD1829" s="580">
        <f t="shared" si="176"/>
        <v>5</v>
      </c>
      <c r="AE1829" s="580">
        <f t="shared" si="177"/>
        <v>2.5</v>
      </c>
      <c r="AF1829" s="580">
        <f t="shared" si="178"/>
        <v>2.5</v>
      </c>
      <c r="AG1829" s="580">
        <f t="shared" si="179"/>
        <v>0</v>
      </c>
      <c r="AH1829" s="580">
        <f t="shared" si="180"/>
        <v>0</v>
      </c>
    </row>
    <row r="1830" spans="28:34">
      <c r="AB1830" s="580">
        <f>HLOOKUP("*"&amp;'Output annual'!$AC$2&amp;'Output annual'!$AD$2&amp;"*Zone People Number Of Occupants [](Hourly)",'Eplus results'!$1:$1048576,ROW(),FALSE)</f>
        <v>0</v>
      </c>
      <c r="AC1830" s="580">
        <f>HLOOKUP("*"&amp;'Output annual'!$AC$2&amp;'Output annual'!$AD$2&amp;"*FangerPMV(Hourly)",'Eplus results'!$1:$1048576,ROW(),FALSE)</f>
        <v>0</v>
      </c>
      <c r="AD1830" s="580">
        <f t="shared" si="176"/>
        <v>5</v>
      </c>
      <c r="AE1830" s="580">
        <f t="shared" si="177"/>
        <v>2.5</v>
      </c>
      <c r="AF1830" s="580">
        <f t="shared" si="178"/>
        <v>2.5</v>
      </c>
      <c r="AG1830" s="580">
        <f t="shared" si="179"/>
        <v>0</v>
      </c>
      <c r="AH1830" s="580">
        <f t="shared" si="180"/>
        <v>0</v>
      </c>
    </row>
    <row r="1831" spans="28:34">
      <c r="AB1831" s="580">
        <f>HLOOKUP("*"&amp;'Output annual'!$AC$2&amp;'Output annual'!$AD$2&amp;"*Zone People Number Of Occupants [](Hourly)",'Eplus results'!$1:$1048576,ROW(),FALSE)</f>
        <v>0</v>
      </c>
      <c r="AC1831" s="580">
        <f>HLOOKUP("*"&amp;'Output annual'!$AC$2&amp;'Output annual'!$AD$2&amp;"*FangerPMV(Hourly)",'Eplus results'!$1:$1048576,ROW(),FALSE)</f>
        <v>0</v>
      </c>
      <c r="AD1831" s="580">
        <f t="shared" si="176"/>
        <v>5</v>
      </c>
      <c r="AE1831" s="580">
        <f t="shared" si="177"/>
        <v>2.5</v>
      </c>
      <c r="AF1831" s="580">
        <f t="shared" si="178"/>
        <v>2.5</v>
      </c>
      <c r="AG1831" s="580">
        <f t="shared" si="179"/>
        <v>0</v>
      </c>
      <c r="AH1831" s="580">
        <f t="shared" si="180"/>
        <v>0</v>
      </c>
    </row>
    <row r="1832" spans="28:34">
      <c r="AB1832" s="580">
        <f>HLOOKUP("*"&amp;'Output annual'!$AC$2&amp;'Output annual'!$AD$2&amp;"*Zone People Number Of Occupants [](Hourly)",'Eplus results'!$1:$1048576,ROW(),FALSE)</f>
        <v>0</v>
      </c>
      <c r="AC1832" s="580">
        <f>HLOOKUP("*"&amp;'Output annual'!$AC$2&amp;'Output annual'!$AD$2&amp;"*FangerPMV(Hourly)",'Eplus results'!$1:$1048576,ROW(),FALSE)</f>
        <v>0</v>
      </c>
      <c r="AD1832" s="580">
        <f t="shared" si="176"/>
        <v>5</v>
      </c>
      <c r="AE1832" s="580">
        <f t="shared" si="177"/>
        <v>2.5</v>
      </c>
      <c r="AF1832" s="580">
        <f t="shared" si="178"/>
        <v>2.5</v>
      </c>
      <c r="AG1832" s="580">
        <f t="shared" si="179"/>
        <v>0</v>
      </c>
      <c r="AH1832" s="580">
        <f t="shared" si="180"/>
        <v>0</v>
      </c>
    </row>
    <row r="1833" spans="28:34">
      <c r="AB1833" s="580">
        <f>HLOOKUP("*"&amp;'Output annual'!$AC$2&amp;'Output annual'!$AD$2&amp;"*Zone People Number Of Occupants [](Hourly)",'Eplus results'!$1:$1048576,ROW(),FALSE)</f>
        <v>0</v>
      </c>
      <c r="AC1833" s="580">
        <f>HLOOKUP("*"&amp;'Output annual'!$AC$2&amp;'Output annual'!$AD$2&amp;"*FangerPMV(Hourly)",'Eplus results'!$1:$1048576,ROW(),FALSE)</f>
        <v>0</v>
      </c>
      <c r="AD1833" s="580">
        <f t="shared" si="176"/>
        <v>5</v>
      </c>
      <c r="AE1833" s="580">
        <f t="shared" si="177"/>
        <v>2.5</v>
      </c>
      <c r="AF1833" s="580">
        <f t="shared" si="178"/>
        <v>2.5</v>
      </c>
      <c r="AG1833" s="580">
        <f t="shared" si="179"/>
        <v>0</v>
      </c>
      <c r="AH1833" s="580">
        <f t="shared" si="180"/>
        <v>0</v>
      </c>
    </row>
    <row r="1834" spans="28:34">
      <c r="AB1834" s="580">
        <f>HLOOKUP("*"&amp;'Output annual'!$AC$2&amp;'Output annual'!$AD$2&amp;"*Zone People Number Of Occupants [](Hourly)",'Eplus results'!$1:$1048576,ROW(),FALSE)</f>
        <v>0</v>
      </c>
      <c r="AC1834" s="580">
        <f>HLOOKUP("*"&amp;'Output annual'!$AC$2&amp;'Output annual'!$AD$2&amp;"*FangerPMV(Hourly)",'Eplus results'!$1:$1048576,ROW(),FALSE)</f>
        <v>0</v>
      </c>
      <c r="AD1834" s="580">
        <f t="shared" si="176"/>
        <v>5</v>
      </c>
      <c r="AE1834" s="580">
        <f t="shared" si="177"/>
        <v>2.5</v>
      </c>
      <c r="AF1834" s="580">
        <f t="shared" si="178"/>
        <v>2.5</v>
      </c>
      <c r="AG1834" s="580">
        <f t="shared" si="179"/>
        <v>0</v>
      </c>
      <c r="AH1834" s="580">
        <f t="shared" si="180"/>
        <v>0</v>
      </c>
    </row>
    <row r="1835" spans="28:34">
      <c r="AB1835" s="580">
        <f>HLOOKUP("*"&amp;'Output annual'!$AC$2&amp;'Output annual'!$AD$2&amp;"*Zone People Number Of Occupants [](Hourly)",'Eplus results'!$1:$1048576,ROW(),FALSE)</f>
        <v>0</v>
      </c>
      <c r="AC1835" s="580">
        <f>HLOOKUP("*"&amp;'Output annual'!$AC$2&amp;'Output annual'!$AD$2&amp;"*FangerPMV(Hourly)",'Eplus results'!$1:$1048576,ROW(),FALSE)</f>
        <v>0</v>
      </c>
      <c r="AD1835" s="580">
        <f t="shared" si="176"/>
        <v>5</v>
      </c>
      <c r="AE1835" s="580">
        <f t="shared" si="177"/>
        <v>2.5</v>
      </c>
      <c r="AF1835" s="580">
        <f t="shared" si="178"/>
        <v>2.5</v>
      </c>
      <c r="AG1835" s="580">
        <f t="shared" si="179"/>
        <v>0</v>
      </c>
      <c r="AH1835" s="580">
        <f t="shared" si="180"/>
        <v>0</v>
      </c>
    </row>
    <row r="1836" spans="28:34">
      <c r="AB1836" s="580">
        <f>HLOOKUP("*"&amp;'Output annual'!$AC$2&amp;'Output annual'!$AD$2&amp;"*Zone People Number Of Occupants [](Hourly)",'Eplus results'!$1:$1048576,ROW(),FALSE)</f>
        <v>0</v>
      </c>
      <c r="AC1836" s="580">
        <f>HLOOKUP("*"&amp;'Output annual'!$AC$2&amp;'Output annual'!$AD$2&amp;"*FangerPMV(Hourly)",'Eplus results'!$1:$1048576,ROW(),FALSE)</f>
        <v>0</v>
      </c>
      <c r="AD1836" s="580">
        <f t="shared" si="176"/>
        <v>5</v>
      </c>
      <c r="AE1836" s="580">
        <f t="shared" si="177"/>
        <v>2.5</v>
      </c>
      <c r="AF1836" s="580">
        <f t="shared" si="178"/>
        <v>2.5</v>
      </c>
      <c r="AG1836" s="580">
        <f t="shared" si="179"/>
        <v>0</v>
      </c>
      <c r="AH1836" s="580">
        <f t="shared" si="180"/>
        <v>0</v>
      </c>
    </row>
    <row r="1837" spans="28:34">
      <c r="AB1837" s="580">
        <f>HLOOKUP("*"&amp;'Output annual'!$AC$2&amp;'Output annual'!$AD$2&amp;"*Zone People Number Of Occupants [](Hourly)",'Eplus results'!$1:$1048576,ROW(),FALSE)</f>
        <v>0</v>
      </c>
      <c r="AC1837" s="580">
        <f>HLOOKUP("*"&amp;'Output annual'!$AC$2&amp;'Output annual'!$AD$2&amp;"*FangerPMV(Hourly)",'Eplus results'!$1:$1048576,ROW(),FALSE)</f>
        <v>0</v>
      </c>
      <c r="AD1837" s="580">
        <f t="shared" si="176"/>
        <v>5</v>
      </c>
      <c r="AE1837" s="580">
        <f t="shared" si="177"/>
        <v>2.5</v>
      </c>
      <c r="AF1837" s="580">
        <f t="shared" si="178"/>
        <v>2.5</v>
      </c>
      <c r="AG1837" s="580">
        <f t="shared" si="179"/>
        <v>0</v>
      </c>
      <c r="AH1837" s="580">
        <f t="shared" si="180"/>
        <v>0</v>
      </c>
    </row>
    <row r="1838" spans="28:34">
      <c r="AB1838" s="580">
        <f>HLOOKUP("*"&amp;'Output annual'!$AC$2&amp;'Output annual'!$AD$2&amp;"*Zone People Number Of Occupants [](Hourly)",'Eplus results'!$1:$1048576,ROW(),FALSE)</f>
        <v>0</v>
      </c>
      <c r="AC1838" s="580">
        <f>HLOOKUP("*"&amp;'Output annual'!$AC$2&amp;'Output annual'!$AD$2&amp;"*FangerPMV(Hourly)",'Eplus results'!$1:$1048576,ROW(),FALSE)</f>
        <v>0</v>
      </c>
      <c r="AD1838" s="580">
        <f t="shared" si="176"/>
        <v>5</v>
      </c>
      <c r="AE1838" s="580">
        <f t="shared" si="177"/>
        <v>2.5</v>
      </c>
      <c r="AF1838" s="580">
        <f t="shared" si="178"/>
        <v>2.5</v>
      </c>
      <c r="AG1838" s="580">
        <f t="shared" si="179"/>
        <v>0</v>
      </c>
      <c r="AH1838" s="580">
        <f t="shared" si="180"/>
        <v>0</v>
      </c>
    </row>
    <row r="1839" spans="28:34">
      <c r="AB1839" s="580">
        <f>HLOOKUP("*"&amp;'Output annual'!$AC$2&amp;'Output annual'!$AD$2&amp;"*Zone People Number Of Occupants [](Hourly)",'Eplus results'!$1:$1048576,ROW(),FALSE)</f>
        <v>0</v>
      </c>
      <c r="AC1839" s="580">
        <f>HLOOKUP("*"&amp;'Output annual'!$AC$2&amp;'Output annual'!$AD$2&amp;"*FangerPMV(Hourly)",'Eplus results'!$1:$1048576,ROW(),FALSE)</f>
        <v>0</v>
      </c>
      <c r="AD1839" s="580">
        <f t="shared" si="176"/>
        <v>5</v>
      </c>
      <c r="AE1839" s="580">
        <f t="shared" si="177"/>
        <v>2.5</v>
      </c>
      <c r="AF1839" s="580">
        <f t="shared" si="178"/>
        <v>2.5</v>
      </c>
      <c r="AG1839" s="580">
        <f t="shared" si="179"/>
        <v>0</v>
      </c>
      <c r="AH1839" s="580">
        <f t="shared" si="180"/>
        <v>0</v>
      </c>
    </row>
    <row r="1840" spans="28:34">
      <c r="AB1840" s="580">
        <f>HLOOKUP("*"&amp;'Output annual'!$AC$2&amp;'Output annual'!$AD$2&amp;"*Zone People Number Of Occupants [](Hourly)",'Eplus results'!$1:$1048576,ROW(),FALSE)</f>
        <v>0</v>
      </c>
      <c r="AC1840" s="580">
        <f>HLOOKUP("*"&amp;'Output annual'!$AC$2&amp;'Output annual'!$AD$2&amp;"*FangerPMV(Hourly)",'Eplus results'!$1:$1048576,ROW(),FALSE)</f>
        <v>0</v>
      </c>
      <c r="AD1840" s="580">
        <f t="shared" si="176"/>
        <v>5</v>
      </c>
      <c r="AE1840" s="580">
        <f t="shared" si="177"/>
        <v>2.5</v>
      </c>
      <c r="AF1840" s="580">
        <f t="shared" si="178"/>
        <v>2.5</v>
      </c>
      <c r="AG1840" s="580">
        <f t="shared" si="179"/>
        <v>0</v>
      </c>
      <c r="AH1840" s="580">
        <f t="shared" si="180"/>
        <v>0</v>
      </c>
    </row>
    <row r="1841" spans="28:34">
      <c r="AB1841" s="580">
        <f>HLOOKUP("*"&amp;'Output annual'!$AC$2&amp;'Output annual'!$AD$2&amp;"*Zone People Number Of Occupants [](Hourly)",'Eplus results'!$1:$1048576,ROW(),FALSE)</f>
        <v>0</v>
      </c>
      <c r="AC1841" s="580">
        <f>HLOOKUP("*"&amp;'Output annual'!$AC$2&amp;'Output annual'!$AD$2&amp;"*FangerPMV(Hourly)",'Eplus results'!$1:$1048576,ROW(),FALSE)</f>
        <v>0</v>
      </c>
      <c r="AD1841" s="580">
        <f t="shared" si="176"/>
        <v>5</v>
      </c>
      <c r="AE1841" s="580">
        <f t="shared" si="177"/>
        <v>2.5</v>
      </c>
      <c r="AF1841" s="580">
        <f t="shared" si="178"/>
        <v>2.5</v>
      </c>
      <c r="AG1841" s="580">
        <f t="shared" si="179"/>
        <v>0</v>
      </c>
      <c r="AH1841" s="580">
        <f t="shared" si="180"/>
        <v>0</v>
      </c>
    </row>
    <row r="1842" spans="28:34">
      <c r="AB1842" s="580">
        <f>HLOOKUP("*"&amp;'Output annual'!$AC$2&amp;'Output annual'!$AD$2&amp;"*Zone People Number Of Occupants [](Hourly)",'Eplus results'!$1:$1048576,ROW(),FALSE)</f>
        <v>0</v>
      </c>
      <c r="AC1842" s="580">
        <f>HLOOKUP("*"&amp;'Output annual'!$AC$2&amp;'Output annual'!$AD$2&amp;"*FangerPMV(Hourly)",'Eplus results'!$1:$1048576,ROW(),FALSE)</f>
        <v>0</v>
      </c>
      <c r="AD1842" s="580">
        <f t="shared" si="176"/>
        <v>5</v>
      </c>
      <c r="AE1842" s="580">
        <f t="shared" si="177"/>
        <v>2.5</v>
      </c>
      <c r="AF1842" s="580">
        <f t="shared" si="178"/>
        <v>2.5</v>
      </c>
      <c r="AG1842" s="580">
        <f t="shared" si="179"/>
        <v>0</v>
      </c>
      <c r="AH1842" s="580">
        <f t="shared" si="180"/>
        <v>0</v>
      </c>
    </row>
    <row r="1843" spans="28:34">
      <c r="AB1843" s="580">
        <f>HLOOKUP("*"&amp;'Output annual'!$AC$2&amp;'Output annual'!$AD$2&amp;"*Zone People Number Of Occupants [](Hourly)",'Eplus results'!$1:$1048576,ROW(),FALSE)</f>
        <v>0</v>
      </c>
      <c r="AC1843" s="580">
        <f>HLOOKUP("*"&amp;'Output annual'!$AC$2&amp;'Output annual'!$AD$2&amp;"*FangerPMV(Hourly)",'Eplus results'!$1:$1048576,ROW(),FALSE)</f>
        <v>0</v>
      </c>
      <c r="AD1843" s="580">
        <f t="shared" si="176"/>
        <v>5</v>
      </c>
      <c r="AE1843" s="580">
        <f t="shared" si="177"/>
        <v>2.5</v>
      </c>
      <c r="AF1843" s="580">
        <f t="shared" si="178"/>
        <v>2.5</v>
      </c>
      <c r="AG1843" s="580">
        <f t="shared" si="179"/>
        <v>0</v>
      </c>
      <c r="AH1843" s="580">
        <f t="shared" si="180"/>
        <v>0</v>
      </c>
    </row>
    <row r="1844" spans="28:34">
      <c r="AB1844" s="580">
        <f>HLOOKUP("*"&amp;'Output annual'!$AC$2&amp;'Output annual'!$AD$2&amp;"*Zone People Number Of Occupants [](Hourly)",'Eplus results'!$1:$1048576,ROW(),FALSE)</f>
        <v>0</v>
      </c>
      <c r="AC1844" s="580">
        <f>HLOOKUP("*"&amp;'Output annual'!$AC$2&amp;'Output annual'!$AD$2&amp;"*FangerPMV(Hourly)",'Eplus results'!$1:$1048576,ROW(),FALSE)</f>
        <v>0</v>
      </c>
      <c r="AD1844" s="580">
        <f t="shared" si="176"/>
        <v>5</v>
      </c>
      <c r="AE1844" s="580">
        <f t="shared" si="177"/>
        <v>2.5</v>
      </c>
      <c r="AF1844" s="580">
        <f t="shared" si="178"/>
        <v>2.5</v>
      </c>
      <c r="AG1844" s="580">
        <f t="shared" si="179"/>
        <v>0</v>
      </c>
      <c r="AH1844" s="580">
        <f t="shared" si="180"/>
        <v>0</v>
      </c>
    </row>
    <row r="1845" spans="28:34">
      <c r="AB1845" s="580">
        <f>HLOOKUP("*"&amp;'Output annual'!$AC$2&amp;'Output annual'!$AD$2&amp;"*Zone People Number Of Occupants [](Hourly)",'Eplus results'!$1:$1048576,ROW(),FALSE)</f>
        <v>0</v>
      </c>
      <c r="AC1845" s="580">
        <f>HLOOKUP("*"&amp;'Output annual'!$AC$2&amp;'Output annual'!$AD$2&amp;"*FangerPMV(Hourly)",'Eplus results'!$1:$1048576,ROW(),FALSE)</f>
        <v>0</v>
      </c>
      <c r="AD1845" s="580">
        <f t="shared" si="176"/>
        <v>5</v>
      </c>
      <c r="AE1845" s="580">
        <f t="shared" si="177"/>
        <v>2.5</v>
      </c>
      <c r="AF1845" s="580">
        <f t="shared" si="178"/>
        <v>2.5</v>
      </c>
      <c r="AG1845" s="580">
        <f t="shared" si="179"/>
        <v>0</v>
      </c>
      <c r="AH1845" s="580">
        <f t="shared" si="180"/>
        <v>0</v>
      </c>
    </row>
    <row r="1846" spans="28:34">
      <c r="AB1846" s="580">
        <f>HLOOKUP("*"&amp;'Output annual'!$AC$2&amp;'Output annual'!$AD$2&amp;"*Zone People Number Of Occupants [](Hourly)",'Eplus results'!$1:$1048576,ROW(),FALSE)</f>
        <v>0</v>
      </c>
      <c r="AC1846" s="580">
        <f>HLOOKUP("*"&amp;'Output annual'!$AC$2&amp;'Output annual'!$AD$2&amp;"*FangerPMV(Hourly)",'Eplus results'!$1:$1048576,ROW(),FALSE)</f>
        <v>0</v>
      </c>
      <c r="AD1846" s="580">
        <f t="shared" si="176"/>
        <v>5</v>
      </c>
      <c r="AE1846" s="580">
        <f t="shared" si="177"/>
        <v>2.5</v>
      </c>
      <c r="AF1846" s="580">
        <f t="shared" si="178"/>
        <v>2.5</v>
      </c>
      <c r="AG1846" s="580">
        <f t="shared" si="179"/>
        <v>0</v>
      </c>
      <c r="AH1846" s="580">
        <f t="shared" si="180"/>
        <v>0</v>
      </c>
    </row>
    <row r="1847" spans="28:34">
      <c r="AB1847" s="580">
        <f>HLOOKUP("*"&amp;'Output annual'!$AC$2&amp;'Output annual'!$AD$2&amp;"*Zone People Number Of Occupants [](Hourly)",'Eplus results'!$1:$1048576,ROW(),FALSE)</f>
        <v>0</v>
      </c>
      <c r="AC1847" s="580">
        <f>HLOOKUP("*"&amp;'Output annual'!$AC$2&amp;'Output annual'!$AD$2&amp;"*FangerPMV(Hourly)",'Eplus results'!$1:$1048576,ROW(),FALSE)</f>
        <v>0</v>
      </c>
      <c r="AD1847" s="580">
        <f t="shared" si="176"/>
        <v>5</v>
      </c>
      <c r="AE1847" s="580">
        <f t="shared" si="177"/>
        <v>2.5</v>
      </c>
      <c r="AF1847" s="580">
        <f t="shared" si="178"/>
        <v>2.5</v>
      </c>
      <c r="AG1847" s="580">
        <f t="shared" si="179"/>
        <v>0</v>
      </c>
      <c r="AH1847" s="580">
        <f t="shared" si="180"/>
        <v>0</v>
      </c>
    </row>
    <row r="1848" spans="28:34">
      <c r="AB1848" s="580">
        <f>HLOOKUP("*"&amp;'Output annual'!$AC$2&amp;'Output annual'!$AD$2&amp;"*Zone People Number Of Occupants [](Hourly)",'Eplus results'!$1:$1048576,ROW(),FALSE)</f>
        <v>0</v>
      </c>
      <c r="AC1848" s="580">
        <f>HLOOKUP("*"&amp;'Output annual'!$AC$2&amp;'Output annual'!$AD$2&amp;"*FangerPMV(Hourly)",'Eplus results'!$1:$1048576,ROW(),FALSE)</f>
        <v>0</v>
      </c>
      <c r="AD1848" s="580">
        <f t="shared" si="176"/>
        <v>5</v>
      </c>
      <c r="AE1848" s="580">
        <f t="shared" si="177"/>
        <v>2.5</v>
      </c>
      <c r="AF1848" s="580">
        <f t="shared" si="178"/>
        <v>2.5</v>
      </c>
      <c r="AG1848" s="580">
        <f t="shared" si="179"/>
        <v>0</v>
      </c>
      <c r="AH1848" s="580">
        <f t="shared" si="180"/>
        <v>0</v>
      </c>
    </row>
    <row r="1849" spans="28:34">
      <c r="AB1849" s="580">
        <f>HLOOKUP("*"&amp;'Output annual'!$AC$2&amp;'Output annual'!$AD$2&amp;"*Zone People Number Of Occupants [](Hourly)",'Eplus results'!$1:$1048576,ROW(),FALSE)</f>
        <v>0</v>
      </c>
      <c r="AC1849" s="580">
        <f>HLOOKUP("*"&amp;'Output annual'!$AC$2&amp;'Output annual'!$AD$2&amp;"*FangerPMV(Hourly)",'Eplus results'!$1:$1048576,ROW(),FALSE)</f>
        <v>0</v>
      </c>
      <c r="AD1849" s="580">
        <f t="shared" si="176"/>
        <v>5</v>
      </c>
      <c r="AE1849" s="580">
        <f t="shared" si="177"/>
        <v>2.5</v>
      </c>
      <c r="AF1849" s="580">
        <f t="shared" si="178"/>
        <v>2.5</v>
      </c>
      <c r="AG1849" s="580">
        <f t="shared" si="179"/>
        <v>0</v>
      </c>
      <c r="AH1849" s="580">
        <f t="shared" si="180"/>
        <v>0</v>
      </c>
    </row>
    <row r="1850" spans="28:34">
      <c r="AB1850" s="580">
        <f>HLOOKUP("*"&amp;'Output annual'!$AC$2&amp;'Output annual'!$AD$2&amp;"*Zone People Number Of Occupants [](Hourly)",'Eplus results'!$1:$1048576,ROW(),FALSE)</f>
        <v>0</v>
      </c>
      <c r="AC1850" s="580">
        <f>HLOOKUP("*"&amp;'Output annual'!$AC$2&amp;'Output annual'!$AD$2&amp;"*FangerPMV(Hourly)",'Eplus results'!$1:$1048576,ROW(),FALSE)</f>
        <v>0</v>
      </c>
      <c r="AD1850" s="580">
        <f t="shared" si="176"/>
        <v>5</v>
      </c>
      <c r="AE1850" s="580">
        <f t="shared" si="177"/>
        <v>2.5</v>
      </c>
      <c r="AF1850" s="580">
        <f t="shared" si="178"/>
        <v>2.5</v>
      </c>
      <c r="AG1850" s="580">
        <f t="shared" si="179"/>
        <v>0</v>
      </c>
      <c r="AH1850" s="580">
        <f t="shared" si="180"/>
        <v>0</v>
      </c>
    </row>
    <row r="1851" spans="28:34">
      <c r="AB1851" s="580">
        <f>HLOOKUP("*"&amp;'Output annual'!$AC$2&amp;'Output annual'!$AD$2&amp;"*Zone People Number Of Occupants [](Hourly)",'Eplus results'!$1:$1048576,ROW(),FALSE)</f>
        <v>0</v>
      </c>
      <c r="AC1851" s="580">
        <f>HLOOKUP("*"&amp;'Output annual'!$AC$2&amp;'Output annual'!$AD$2&amp;"*FangerPMV(Hourly)",'Eplus results'!$1:$1048576,ROW(),FALSE)</f>
        <v>0</v>
      </c>
      <c r="AD1851" s="580">
        <f t="shared" si="176"/>
        <v>5</v>
      </c>
      <c r="AE1851" s="580">
        <f t="shared" si="177"/>
        <v>2.5</v>
      </c>
      <c r="AF1851" s="580">
        <f t="shared" si="178"/>
        <v>2.5</v>
      </c>
      <c r="AG1851" s="580">
        <f t="shared" si="179"/>
        <v>0</v>
      </c>
      <c r="AH1851" s="580">
        <f t="shared" si="180"/>
        <v>0</v>
      </c>
    </row>
    <row r="1852" spans="28:34">
      <c r="AB1852" s="580">
        <f>HLOOKUP("*"&amp;'Output annual'!$AC$2&amp;'Output annual'!$AD$2&amp;"*Zone People Number Of Occupants [](Hourly)",'Eplus results'!$1:$1048576,ROW(),FALSE)</f>
        <v>0</v>
      </c>
      <c r="AC1852" s="580">
        <f>HLOOKUP("*"&amp;'Output annual'!$AC$2&amp;'Output annual'!$AD$2&amp;"*FangerPMV(Hourly)",'Eplus results'!$1:$1048576,ROW(),FALSE)</f>
        <v>0</v>
      </c>
      <c r="AD1852" s="580">
        <f t="shared" si="176"/>
        <v>5</v>
      </c>
      <c r="AE1852" s="580">
        <f t="shared" si="177"/>
        <v>2.5</v>
      </c>
      <c r="AF1852" s="580">
        <f t="shared" si="178"/>
        <v>2.5</v>
      </c>
      <c r="AG1852" s="580">
        <f t="shared" si="179"/>
        <v>0</v>
      </c>
      <c r="AH1852" s="580">
        <f t="shared" si="180"/>
        <v>0</v>
      </c>
    </row>
    <row r="1853" spans="28:34">
      <c r="AB1853" s="580">
        <f>HLOOKUP("*"&amp;'Output annual'!$AC$2&amp;'Output annual'!$AD$2&amp;"*Zone People Number Of Occupants [](Hourly)",'Eplus results'!$1:$1048576,ROW(),FALSE)</f>
        <v>0</v>
      </c>
      <c r="AC1853" s="580">
        <f>HLOOKUP("*"&amp;'Output annual'!$AC$2&amp;'Output annual'!$AD$2&amp;"*FangerPMV(Hourly)",'Eplus results'!$1:$1048576,ROW(),FALSE)</f>
        <v>0</v>
      </c>
      <c r="AD1853" s="580">
        <f t="shared" si="176"/>
        <v>5</v>
      </c>
      <c r="AE1853" s="580">
        <f t="shared" si="177"/>
        <v>2.5</v>
      </c>
      <c r="AF1853" s="580">
        <f t="shared" si="178"/>
        <v>2.5</v>
      </c>
      <c r="AG1853" s="580">
        <f t="shared" si="179"/>
        <v>0</v>
      </c>
      <c r="AH1853" s="580">
        <f t="shared" si="180"/>
        <v>0</v>
      </c>
    </row>
    <row r="1854" spans="28:34">
      <c r="AB1854" s="580">
        <f>HLOOKUP("*"&amp;'Output annual'!$AC$2&amp;'Output annual'!$AD$2&amp;"*Zone People Number Of Occupants [](Hourly)",'Eplus results'!$1:$1048576,ROW(),FALSE)</f>
        <v>0</v>
      </c>
      <c r="AC1854" s="580">
        <f>HLOOKUP("*"&amp;'Output annual'!$AC$2&amp;'Output annual'!$AD$2&amp;"*FangerPMV(Hourly)",'Eplus results'!$1:$1048576,ROW(),FALSE)</f>
        <v>0</v>
      </c>
      <c r="AD1854" s="580">
        <f t="shared" si="176"/>
        <v>5</v>
      </c>
      <c r="AE1854" s="580">
        <f t="shared" si="177"/>
        <v>2.5</v>
      </c>
      <c r="AF1854" s="580">
        <f t="shared" si="178"/>
        <v>2.5</v>
      </c>
      <c r="AG1854" s="580">
        <f t="shared" si="179"/>
        <v>0</v>
      </c>
      <c r="AH1854" s="580">
        <f t="shared" si="180"/>
        <v>0</v>
      </c>
    </row>
    <row r="1855" spans="28:34">
      <c r="AB1855" s="580">
        <f>HLOOKUP("*"&amp;'Output annual'!$AC$2&amp;'Output annual'!$AD$2&amp;"*Zone People Number Of Occupants [](Hourly)",'Eplus results'!$1:$1048576,ROW(),FALSE)</f>
        <v>0</v>
      </c>
      <c r="AC1855" s="580">
        <f>HLOOKUP("*"&amp;'Output annual'!$AC$2&amp;'Output annual'!$AD$2&amp;"*FangerPMV(Hourly)",'Eplus results'!$1:$1048576,ROW(),FALSE)</f>
        <v>0</v>
      </c>
      <c r="AD1855" s="580">
        <f t="shared" si="176"/>
        <v>5</v>
      </c>
      <c r="AE1855" s="580">
        <f t="shared" si="177"/>
        <v>2.5</v>
      </c>
      <c r="AF1855" s="580">
        <f t="shared" si="178"/>
        <v>2.5</v>
      </c>
      <c r="AG1855" s="580">
        <f t="shared" si="179"/>
        <v>0</v>
      </c>
      <c r="AH1855" s="580">
        <f t="shared" si="180"/>
        <v>0</v>
      </c>
    </row>
    <row r="1856" spans="28:34">
      <c r="AB1856" s="580">
        <f>HLOOKUP("*"&amp;'Output annual'!$AC$2&amp;'Output annual'!$AD$2&amp;"*Zone People Number Of Occupants [](Hourly)",'Eplus results'!$1:$1048576,ROW(),FALSE)</f>
        <v>0</v>
      </c>
      <c r="AC1856" s="580">
        <f>HLOOKUP("*"&amp;'Output annual'!$AC$2&amp;'Output annual'!$AD$2&amp;"*FangerPMV(Hourly)",'Eplus results'!$1:$1048576,ROW(),FALSE)</f>
        <v>0</v>
      </c>
      <c r="AD1856" s="580">
        <f t="shared" si="176"/>
        <v>5</v>
      </c>
      <c r="AE1856" s="580">
        <f t="shared" si="177"/>
        <v>2.5</v>
      </c>
      <c r="AF1856" s="580">
        <f t="shared" si="178"/>
        <v>2.5</v>
      </c>
      <c r="AG1856" s="580">
        <f t="shared" si="179"/>
        <v>0</v>
      </c>
      <c r="AH1856" s="580">
        <f t="shared" si="180"/>
        <v>0</v>
      </c>
    </row>
    <row r="1857" spans="28:34">
      <c r="AB1857" s="580">
        <f>HLOOKUP("*"&amp;'Output annual'!$AC$2&amp;'Output annual'!$AD$2&amp;"*Zone People Number Of Occupants [](Hourly)",'Eplus results'!$1:$1048576,ROW(),FALSE)</f>
        <v>0</v>
      </c>
      <c r="AC1857" s="580">
        <f>HLOOKUP("*"&amp;'Output annual'!$AC$2&amp;'Output annual'!$AD$2&amp;"*FangerPMV(Hourly)",'Eplus results'!$1:$1048576,ROW(),FALSE)</f>
        <v>0</v>
      </c>
      <c r="AD1857" s="580">
        <f t="shared" si="176"/>
        <v>5</v>
      </c>
      <c r="AE1857" s="580">
        <f t="shared" si="177"/>
        <v>2.5</v>
      </c>
      <c r="AF1857" s="580">
        <f t="shared" si="178"/>
        <v>2.5</v>
      </c>
      <c r="AG1857" s="580">
        <f t="shared" si="179"/>
        <v>0</v>
      </c>
      <c r="AH1857" s="580">
        <f t="shared" si="180"/>
        <v>0</v>
      </c>
    </row>
    <row r="1858" spans="28:34">
      <c r="AB1858" s="580">
        <f>HLOOKUP("*"&amp;'Output annual'!$AC$2&amp;'Output annual'!$AD$2&amp;"*Zone People Number Of Occupants [](Hourly)",'Eplus results'!$1:$1048576,ROW(),FALSE)</f>
        <v>0</v>
      </c>
      <c r="AC1858" s="580">
        <f>HLOOKUP("*"&amp;'Output annual'!$AC$2&amp;'Output annual'!$AD$2&amp;"*FangerPMV(Hourly)",'Eplus results'!$1:$1048576,ROW(),FALSE)</f>
        <v>0</v>
      </c>
      <c r="AD1858" s="580">
        <f t="shared" si="176"/>
        <v>5</v>
      </c>
      <c r="AE1858" s="580">
        <f t="shared" si="177"/>
        <v>2.5</v>
      </c>
      <c r="AF1858" s="580">
        <f t="shared" si="178"/>
        <v>2.5</v>
      </c>
      <c r="AG1858" s="580">
        <f t="shared" si="179"/>
        <v>0</v>
      </c>
      <c r="AH1858" s="580">
        <f t="shared" si="180"/>
        <v>0</v>
      </c>
    </row>
    <row r="1859" spans="28:34">
      <c r="AB1859" s="580">
        <f>HLOOKUP("*"&amp;'Output annual'!$AC$2&amp;'Output annual'!$AD$2&amp;"*Zone People Number Of Occupants [](Hourly)",'Eplus results'!$1:$1048576,ROW(),FALSE)</f>
        <v>0</v>
      </c>
      <c r="AC1859" s="580">
        <f>HLOOKUP("*"&amp;'Output annual'!$AC$2&amp;'Output annual'!$AD$2&amp;"*FangerPMV(Hourly)",'Eplus results'!$1:$1048576,ROW(),FALSE)</f>
        <v>0</v>
      </c>
      <c r="AD1859" s="580">
        <f t="shared" ref="AD1859:AD1922" si="181">100-95*EXP(-0.03353*AC1859^4-0.2179*AC1859^2)</f>
        <v>5</v>
      </c>
      <c r="AE1859" s="580">
        <f t="shared" ref="AE1859:AE1922" si="182">AD1859*(1/(1+EXP(-6.3*$AC1859)))</f>
        <v>2.5</v>
      </c>
      <c r="AF1859" s="580">
        <f t="shared" ref="AF1859:AF1922" si="183">(AD1859-AE1859)</f>
        <v>2.5</v>
      </c>
      <c r="AG1859" s="580">
        <f t="shared" ref="AG1859:AG1922" si="184">AE1859*AB1859</f>
        <v>0</v>
      </c>
      <c r="AH1859" s="580">
        <f t="shared" ref="AH1859:AH1922" si="185">AF1859*AB1859</f>
        <v>0</v>
      </c>
    </row>
    <row r="1860" spans="28:34">
      <c r="AB1860" s="580">
        <f>HLOOKUP("*"&amp;'Output annual'!$AC$2&amp;'Output annual'!$AD$2&amp;"*Zone People Number Of Occupants [](Hourly)",'Eplus results'!$1:$1048576,ROW(),FALSE)</f>
        <v>0</v>
      </c>
      <c r="AC1860" s="580">
        <f>HLOOKUP("*"&amp;'Output annual'!$AC$2&amp;'Output annual'!$AD$2&amp;"*FangerPMV(Hourly)",'Eplus results'!$1:$1048576,ROW(),FALSE)</f>
        <v>0</v>
      </c>
      <c r="AD1860" s="580">
        <f t="shared" si="181"/>
        <v>5</v>
      </c>
      <c r="AE1860" s="580">
        <f t="shared" si="182"/>
        <v>2.5</v>
      </c>
      <c r="AF1860" s="580">
        <f t="shared" si="183"/>
        <v>2.5</v>
      </c>
      <c r="AG1860" s="580">
        <f t="shared" si="184"/>
        <v>0</v>
      </c>
      <c r="AH1860" s="580">
        <f t="shared" si="185"/>
        <v>0</v>
      </c>
    </row>
    <row r="1861" spans="28:34">
      <c r="AB1861" s="580">
        <f>HLOOKUP("*"&amp;'Output annual'!$AC$2&amp;'Output annual'!$AD$2&amp;"*Zone People Number Of Occupants [](Hourly)",'Eplus results'!$1:$1048576,ROW(),FALSE)</f>
        <v>0</v>
      </c>
      <c r="AC1861" s="580">
        <f>HLOOKUP("*"&amp;'Output annual'!$AC$2&amp;'Output annual'!$AD$2&amp;"*FangerPMV(Hourly)",'Eplus results'!$1:$1048576,ROW(),FALSE)</f>
        <v>0</v>
      </c>
      <c r="AD1861" s="580">
        <f t="shared" si="181"/>
        <v>5</v>
      </c>
      <c r="AE1861" s="580">
        <f t="shared" si="182"/>
        <v>2.5</v>
      </c>
      <c r="AF1861" s="580">
        <f t="shared" si="183"/>
        <v>2.5</v>
      </c>
      <c r="AG1861" s="580">
        <f t="shared" si="184"/>
        <v>0</v>
      </c>
      <c r="AH1861" s="580">
        <f t="shared" si="185"/>
        <v>0</v>
      </c>
    </row>
    <row r="1862" spans="28:34">
      <c r="AB1862" s="580">
        <f>HLOOKUP("*"&amp;'Output annual'!$AC$2&amp;'Output annual'!$AD$2&amp;"*Zone People Number Of Occupants [](Hourly)",'Eplus results'!$1:$1048576,ROW(),FALSE)</f>
        <v>0</v>
      </c>
      <c r="AC1862" s="580">
        <f>HLOOKUP("*"&amp;'Output annual'!$AC$2&amp;'Output annual'!$AD$2&amp;"*FangerPMV(Hourly)",'Eplus results'!$1:$1048576,ROW(),FALSE)</f>
        <v>0</v>
      </c>
      <c r="AD1862" s="580">
        <f t="shared" si="181"/>
        <v>5</v>
      </c>
      <c r="AE1862" s="580">
        <f t="shared" si="182"/>
        <v>2.5</v>
      </c>
      <c r="AF1862" s="580">
        <f t="shared" si="183"/>
        <v>2.5</v>
      </c>
      <c r="AG1862" s="580">
        <f t="shared" si="184"/>
        <v>0</v>
      </c>
      <c r="AH1862" s="580">
        <f t="shared" si="185"/>
        <v>0</v>
      </c>
    </row>
    <row r="1863" spans="28:34">
      <c r="AB1863" s="580">
        <f>HLOOKUP("*"&amp;'Output annual'!$AC$2&amp;'Output annual'!$AD$2&amp;"*Zone People Number Of Occupants [](Hourly)",'Eplus results'!$1:$1048576,ROW(),FALSE)</f>
        <v>0</v>
      </c>
      <c r="AC1863" s="580">
        <f>HLOOKUP("*"&amp;'Output annual'!$AC$2&amp;'Output annual'!$AD$2&amp;"*FangerPMV(Hourly)",'Eplus results'!$1:$1048576,ROW(),FALSE)</f>
        <v>0</v>
      </c>
      <c r="AD1863" s="580">
        <f t="shared" si="181"/>
        <v>5</v>
      </c>
      <c r="AE1863" s="580">
        <f t="shared" si="182"/>
        <v>2.5</v>
      </c>
      <c r="AF1863" s="580">
        <f t="shared" si="183"/>
        <v>2.5</v>
      </c>
      <c r="AG1863" s="580">
        <f t="shared" si="184"/>
        <v>0</v>
      </c>
      <c r="AH1863" s="580">
        <f t="shared" si="185"/>
        <v>0</v>
      </c>
    </row>
    <row r="1864" spans="28:34">
      <c r="AB1864" s="580">
        <f>HLOOKUP("*"&amp;'Output annual'!$AC$2&amp;'Output annual'!$AD$2&amp;"*Zone People Number Of Occupants [](Hourly)",'Eplus results'!$1:$1048576,ROW(),FALSE)</f>
        <v>0</v>
      </c>
      <c r="AC1864" s="580">
        <f>HLOOKUP("*"&amp;'Output annual'!$AC$2&amp;'Output annual'!$AD$2&amp;"*FangerPMV(Hourly)",'Eplus results'!$1:$1048576,ROW(),FALSE)</f>
        <v>0</v>
      </c>
      <c r="AD1864" s="580">
        <f t="shared" si="181"/>
        <v>5</v>
      </c>
      <c r="AE1864" s="580">
        <f t="shared" si="182"/>
        <v>2.5</v>
      </c>
      <c r="AF1864" s="580">
        <f t="shared" si="183"/>
        <v>2.5</v>
      </c>
      <c r="AG1864" s="580">
        <f t="shared" si="184"/>
        <v>0</v>
      </c>
      <c r="AH1864" s="580">
        <f t="shared" si="185"/>
        <v>0</v>
      </c>
    </row>
    <row r="1865" spans="28:34">
      <c r="AB1865" s="580">
        <f>HLOOKUP("*"&amp;'Output annual'!$AC$2&amp;'Output annual'!$AD$2&amp;"*Zone People Number Of Occupants [](Hourly)",'Eplus results'!$1:$1048576,ROW(),FALSE)</f>
        <v>0</v>
      </c>
      <c r="AC1865" s="580">
        <f>HLOOKUP("*"&amp;'Output annual'!$AC$2&amp;'Output annual'!$AD$2&amp;"*FangerPMV(Hourly)",'Eplus results'!$1:$1048576,ROW(),FALSE)</f>
        <v>0</v>
      </c>
      <c r="AD1865" s="580">
        <f t="shared" si="181"/>
        <v>5</v>
      </c>
      <c r="AE1865" s="580">
        <f t="shared" si="182"/>
        <v>2.5</v>
      </c>
      <c r="AF1865" s="580">
        <f t="shared" si="183"/>
        <v>2.5</v>
      </c>
      <c r="AG1865" s="580">
        <f t="shared" si="184"/>
        <v>0</v>
      </c>
      <c r="AH1865" s="580">
        <f t="shared" si="185"/>
        <v>0</v>
      </c>
    </row>
    <row r="1866" spans="28:34">
      <c r="AB1866" s="580">
        <f>HLOOKUP("*"&amp;'Output annual'!$AC$2&amp;'Output annual'!$AD$2&amp;"*Zone People Number Of Occupants [](Hourly)",'Eplus results'!$1:$1048576,ROW(),FALSE)</f>
        <v>0</v>
      </c>
      <c r="AC1866" s="580">
        <f>HLOOKUP("*"&amp;'Output annual'!$AC$2&amp;'Output annual'!$AD$2&amp;"*FangerPMV(Hourly)",'Eplus results'!$1:$1048576,ROW(),FALSE)</f>
        <v>0</v>
      </c>
      <c r="AD1866" s="580">
        <f t="shared" si="181"/>
        <v>5</v>
      </c>
      <c r="AE1866" s="580">
        <f t="shared" si="182"/>
        <v>2.5</v>
      </c>
      <c r="AF1866" s="580">
        <f t="shared" si="183"/>
        <v>2.5</v>
      </c>
      <c r="AG1866" s="580">
        <f t="shared" si="184"/>
        <v>0</v>
      </c>
      <c r="AH1866" s="580">
        <f t="shared" si="185"/>
        <v>0</v>
      </c>
    </row>
    <row r="1867" spans="28:34">
      <c r="AB1867" s="580">
        <f>HLOOKUP("*"&amp;'Output annual'!$AC$2&amp;'Output annual'!$AD$2&amp;"*Zone People Number Of Occupants [](Hourly)",'Eplus results'!$1:$1048576,ROW(),FALSE)</f>
        <v>0</v>
      </c>
      <c r="AC1867" s="580">
        <f>HLOOKUP("*"&amp;'Output annual'!$AC$2&amp;'Output annual'!$AD$2&amp;"*FangerPMV(Hourly)",'Eplus results'!$1:$1048576,ROW(),FALSE)</f>
        <v>0</v>
      </c>
      <c r="AD1867" s="580">
        <f t="shared" si="181"/>
        <v>5</v>
      </c>
      <c r="AE1867" s="580">
        <f t="shared" si="182"/>
        <v>2.5</v>
      </c>
      <c r="AF1867" s="580">
        <f t="shared" si="183"/>
        <v>2.5</v>
      </c>
      <c r="AG1867" s="580">
        <f t="shared" si="184"/>
        <v>0</v>
      </c>
      <c r="AH1867" s="580">
        <f t="shared" si="185"/>
        <v>0</v>
      </c>
    </row>
    <row r="1868" spans="28:34">
      <c r="AB1868" s="580">
        <f>HLOOKUP("*"&amp;'Output annual'!$AC$2&amp;'Output annual'!$AD$2&amp;"*Zone People Number Of Occupants [](Hourly)",'Eplus results'!$1:$1048576,ROW(),FALSE)</f>
        <v>0</v>
      </c>
      <c r="AC1868" s="580">
        <f>HLOOKUP("*"&amp;'Output annual'!$AC$2&amp;'Output annual'!$AD$2&amp;"*FangerPMV(Hourly)",'Eplus results'!$1:$1048576,ROW(),FALSE)</f>
        <v>0</v>
      </c>
      <c r="AD1868" s="580">
        <f t="shared" si="181"/>
        <v>5</v>
      </c>
      <c r="AE1868" s="580">
        <f t="shared" si="182"/>
        <v>2.5</v>
      </c>
      <c r="AF1868" s="580">
        <f t="shared" si="183"/>
        <v>2.5</v>
      </c>
      <c r="AG1868" s="580">
        <f t="shared" si="184"/>
        <v>0</v>
      </c>
      <c r="AH1868" s="580">
        <f t="shared" si="185"/>
        <v>0</v>
      </c>
    </row>
    <row r="1869" spans="28:34">
      <c r="AB1869" s="580">
        <f>HLOOKUP("*"&amp;'Output annual'!$AC$2&amp;'Output annual'!$AD$2&amp;"*Zone People Number Of Occupants [](Hourly)",'Eplus results'!$1:$1048576,ROW(),FALSE)</f>
        <v>0</v>
      </c>
      <c r="AC1869" s="580">
        <f>HLOOKUP("*"&amp;'Output annual'!$AC$2&amp;'Output annual'!$AD$2&amp;"*FangerPMV(Hourly)",'Eplus results'!$1:$1048576,ROW(),FALSE)</f>
        <v>0</v>
      </c>
      <c r="AD1869" s="580">
        <f t="shared" si="181"/>
        <v>5</v>
      </c>
      <c r="AE1869" s="580">
        <f t="shared" si="182"/>
        <v>2.5</v>
      </c>
      <c r="AF1869" s="580">
        <f t="shared" si="183"/>
        <v>2.5</v>
      </c>
      <c r="AG1869" s="580">
        <f t="shared" si="184"/>
        <v>0</v>
      </c>
      <c r="AH1869" s="580">
        <f t="shared" si="185"/>
        <v>0</v>
      </c>
    </row>
    <row r="1870" spans="28:34">
      <c r="AB1870" s="580">
        <f>HLOOKUP("*"&amp;'Output annual'!$AC$2&amp;'Output annual'!$AD$2&amp;"*Zone People Number Of Occupants [](Hourly)",'Eplus results'!$1:$1048576,ROW(),FALSE)</f>
        <v>0</v>
      </c>
      <c r="AC1870" s="580">
        <f>HLOOKUP("*"&amp;'Output annual'!$AC$2&amp;'Output annual'!$AD$2&amp;"*FangerPMV(Hourly)",'Eplus results'!$1:$1048576,ROW(),FALSE)</f>
        <v>0</v>
      </c>
      <c r="AD1870" s="580">
        <f t="shared" si="181"/>
        <v>5</v>
      </c>
      <c r="AE1870" s="580">
        <f t="shared" si="182"/>
        <v>2.5</v>
      </c>
      <c r="AF1870" s="580">
        <f t="shared" si="183"/>
        <v>2.5</v>
      </c>
      <c r="AG1870" s="580">
        <f t="shared" si="184"/>
        <v>0</v>
      </c>
      <c r="AH1870" s="580">
        <f t="shared" si="185"/>
        <v>0</v>
      </c>
    </row>
    <row r="1871" spans="28:34">
      <c r="AB1871" s="580">
        <f>HLOOKUP("*"&amp;'Output annual'!$AC$2&amp;'Output annual'!$AD$2&amp;"*Zone People Number Of Occupants [](Hourly)",'Eplus results'!$1:$1048576,ROW(),FALSE)</f>
        <v>0</v>
      </c>
      <c r="AC1871" s="580">
        <f>HLOOKUP("*"&amp;'Output annual'!$AC$2&amp;'Output annual'!$AD$2&amp;"*FangerPMV(Hourly)",'Eplus results'!$1:$1048576,ROW(),FALSE)</f>
        <v>0</v>
      </c>
      <c r="AD1871" s="580">
        <f t="shared" si="181"/>
        <v>5</v>
      </c>
      <c r="AE1871" s="580">
        <f t="shared" si="182"/>
        <v>2.5</v>
      </c>
      <c r="AF1871" s="580">
        <f t="shared" si="183"/>
        <v>2.5</v>
      </c>
      <c r="AG1871" s="580">
        <f t="shared" si="184"/>
        <v>0</v>
      </c>
      <c r="AH1871" s="580">
        <f t="shared" si="185"/>
        <v>0</v>
      </c>
    </row>
    <row r="1872" spans="28:34">
      <c r="AB1872" s="580">
        <f>HLOOKUP("*"&amp;'Output annual'!$AC$2&amp;'Output annual'!$AD$2&amp;"*Zone People Number Of Occupants [](Hourly)",'Eplus results'!$1:$1048576,ROW(),FALSE)</f>
        <v>0</v>
      </c>
      <c r="AC1872" s="580">
        <f>HLOOKUP("*"&amp;'Output annual'!$AC$2&amp;'Output annual'!$AD$2&amp;"*FangerPMV(Hourly)",'Eplus results'!$1:$1048576,ROW(),FALSE)</f>
        <v>0</v>
      </c>
      <c r="AD1872" s="580">
        <f t="shared" si="181"/>
        <v>5</v>
      </c>
      <c r="AE1872" s="580">
        <f t="shared" si="182"/>
        <v>2.5</v>
      </c>
      <c r="AF1872" s="580">
        <f t="shared" si="183"/>
        <v>2.5</v>
      </c>
      <c r="AG1872" s="580">
        <f t="shared" si="184"/>
        <v>0</v>
      </c>
      <c r="AH1872" s="580">
        <f t="shared" si="185"/>
        <v>0</v>
      </c>
    </row>
    <row r="1873" spans="28:34">
      <c r="AB1873" s="580">
        <f>HLOOKUP("*"&amp;'Output annual'!$AC$2&amp;'Output annual'!$AD$2&amp;"*Zone People Number Of Occupants [](Hourly)",'Eplus results'!$1:$1048576,ROW(),FALSE)</f>
        <v>0</v>
      </c>
      <c r="AC1873" s="580">
        <f>HLOOKUP("*"&amp;'Output annual'!$AC$2&amp;'Output annual'!$AD$2&amp;"*FangerPMV(Hourly)",'Eplus results'!$1:$1048576,ROW(),FALSE)</f>
        <v>0</v>
      </c>
      <c r="AD1873" s="580">
        <f t="shared" si="181"/>
        <v>5</v>
      </c>
      <c r="AE1873" s="580">
        <f t="shared" si="182"/>
        <v>2.5</v>
      </c>
      <c r="AF1873" s="580">
        <f t="shared" si="183"/>
        <v>2.5</v>
      </c>
      <c r="AG1873" s="580">
        <f t="shared" si="184"/>
        <v>0</v>
      </c>
      <c r="AH1873" s="580">
        <f t="shared" si="185"/>
        <v>0</v>
      </c>
    </row>
    <row r="1874" spans="28:34">
      <c r="AB1874" s="580">
        <f>HLOOKUP("*"&amp;'Output annual'!$AC$2&amp;'Output annual'!$AD$2&amp;"*Zone People Number Of Occupants [](Hourly)",'Eplus results'!$1:$1048576,ROW(),FALSE)</f>
        <v>0</v>
      </c>
      <c r="AC1874" s="580">
        <f>HLOOKUP("*"&amp;'Output annual'!$AC$2&amp;'Output annual'!$AD$2&amp;"*FangerPMV(Hourly)",'Eplus results'!$1:$1048576,ROW(),FALSE)</f>
        <v>0</v>
      </c>
      <c r="AD1874" s="580">
        <f t="shared" si="181"/>
        <v>5</v>
      </c>
      <c r="AE1874" s="580">
        <f t="shared" si="182"/>
        <v>2.5</v>
      </c>
      <c r="AF1874" s="580">
        <f t="shared" si="183"/>
        <v>2.5</v>
      </c>
      <c r="AG1874" s="580">
        <f t="shared" si="184"/>
        <v>0</v>
      </c>
      <c r="AH1874" s="580">
        <f t="shared" si="185"/>
        <v>0</v>
      </c>
    </row>
    <row r="1875" spans="28:34">
      <c r="AB1875" s="580">
        <f>HLOOKUP("*"&amp;'Output annual'!$AC$2&amp;'Output annual'!$AD$2&amp;"*Zone People Number Of Occupants [](Hourly)",'Eplus results'!$1:$1048576,ROW(),FALSE)</f>
        <v>0</v>
      </c>
      <c r="AC1875" s="580">
        <f>HLOOKUP("*"&amp;'Output annual'!$AC$2&amp;'Output annual'!$AD$2&amp;"*FangerPMV(Hourly)",'Eplus results'!$1:$1048576,ROW(),FALSE)</f>
        <v>0</v>
      </c>
      <c r="AD1875" s="580">
        <f t="shared" si="181"/>
        <v>5</v>
      </c>
      <c r="AE1875" s="580">
        <f t="shared" si="182"/>
        <v>2.5</v>
      </c>
      <c r="AF1875" s="580">
        <f t="shared" si="183"/>
        <v>2.5</v>
      </c>
      <c r="AG1875" s="580">
        <f t="shared" si="184"/>
        <v>0</v>
      </c>
      <c r="AH1875" s="580">
        <f t="shared" si="185"/>
        <v>0</v>
      </c>
    </row>
    <row r="1876" spans="28:34">
      <c r="AB1876" s="580">
        <f>HLOOKUP("*"&amp;'Output annual'!$AC$2&amp;'Output annual'!$AD$2&amp;"*Zone People Number Of Occupants [](Hourly)",'Eplus results'!$1:$1048576,ROW(),FALSE)</f>
        <v>0</v>
      </c>
      <c r="AC1876" s="580">
        <f>HLOOKUP("*"&amp;'Output annual'!$AC$2&amp;'Output annual'!$AD$2&amp;"*FangerPMV(Hourly)",'Eplus results'!$1:$1048576,ROW(),FALSE)</f>
        <v>0</v>
      </c>
      <c r="AD1876" s="580">
        <f t="shared" si="181"/>
        <v>5</v>
      </c>
      <c r="AE1876" s="580">
        <f t="shared" si="182"/>
        <v>2.5</v>
      </c>
      <c r="AF1876" s="580">
        <f t="shared" si="183"/>
        <v>2.5</v>
      </c>
      <c r="AG1876" s="580">
        <f t="shared" si="184"/>
        <v>0</v>
      </c>
      <c r="AH1876" s="580">
        <f t="shared" si="185"/>
        <v>0</v>
      </c>
    </row>
    <row r="1877" spans="28:34">
      <c r="AB1877" s="580">
        <f>HLOOKUP("*"&amp;'Output annual'!$AC$2&amp;'Output annual'!$AD$2&amp;"*Zone People Number Of Occupants [](Hourly)",'Eplus results'!$1:$1048576,ROW(),FALSE)</f>
        <v>0</v>
      </c>
      <c r="AC1877" s="580">
        <f>HLOOKUP("*"&amp;'Output annual'!$AC$2&amp;'Output annual'!$AD$2&amp;"*FangerPMV(Hourly)",'Eplus results'!$1:$1048576,ROW(),FALSE)</f>
        <v>0</v>
      </c>
      <c r="AD1877" s="580">
        <f t="shared" si="181"/>
        <v>5</v>
      </c>
      <c r="AE1877" s="580">
        <f t="shared" si="182"/>
        <v>2.5</v>
      </c>
      <c r="AF1877" s="580">
        <f t="shared" si="183"/>
        <v>2.5</v>
      </c>
      <c r="AG1877" s="580">
        <f t="shared" si="184"/>
        <v>0</v>
      </c>
      <c r="AH1877" s="580">
        <f t="shared" si="185"/>
        <v>0</v>
      </c>
    </row>
    <row r="1878" spans="28:34">
      <c r="AB1878" s="580">
        <f>HLOOKUP("*"&amp;'Output annual'!$AC$2&amp;'Output annual'!$AD$2&amp;"*Zone People Number Of Occupants [](Hourly)",'Eplus results'!$1:$1048576,ROW(),FALSE)</f>
        <v>0</v>
      </c>
      <c r="AC1878" s="580">
        <f>HLOOKUP("*"&amp;'Output annual'!$AC$2&amp;'Output annual'!$AD$2&amp;"*FangerPMV(Hourly)",'Eplus results'!$1:$1048576,ROW(),FALSE)</f>
        <v>0</v>
      </c>
      <c r="AD1878" s="580">
        <f t="shared" si="181"/>
        <v>5</v>
      </c>
      <c r="AE1878" s="580">
        <f t="shared" si="182"/>
        <v>2.5</v>
      </c>
      <c r="AF1878" s="580">
        <f t="shared" si="183"/>
        <v>2.5</v>
      </c>
      <c r="AG1878" s="580">
        <f t="shared" si="184"/>
        <v>0</v>
      </c>
      <c r="AH1878" s="580">
        <f t="shared" si="185"/>
        <v>0</v>
      </c>
    </row>
    <row r="1879" spans="28:34">
      <c r="AB1879" s="580">
        <f>HLOOKUP("*"&amp;'Output annual'!$AC$2&amp;'Output annual'!$AD$2&amp;"*Zone People Number Of Occupants [](Hourly)",'Eplus results'!$1:$1048576,ROW(),FALSE)</f>
        <v>0</v>
      </c>
      <c r="AC1879" s="580">
        <f>HLOOKUP("*"&amp;'Output annual'!$AC$2&amp;'Output annual'!$AD$2&amp;"*FangerPMV(Hourly)",'Eplus results'!$1:$1048576,ROW(),FALSE)</f>
        <v>0</v>
      </c>
      <c r="AD1879" s="580">
        <f t="shared" si="181"/>
        <v>5</v>
      </c>
      <c r="AE1879" s="580">
        <f t="shared" si="182"/>
        <v>2.5</v>
      </c>
      <c r="AF1879" s="580">
        <f t="shared" si="183"/>
        <v>2.5</v>
      </c>
      <c r="AG1879" s="580">
        <f t="shared" si="184"/>
        <v>0</v>
      </c>
      <c r="AH1879" s="580">
        <f t="shared" si="185"/>
        <v>0</v>
      </c>
    </row>
    <row r="1880" spans="28:34">
      <c r="AB1880" s="580">
        <f>HLOOKUP("*"&amp;'Output annual'!$AC$2&amp;'Output annual'!$AD$2&amp;"*Zone People Number Of Occupants [](Hourly)",'Eplus results'!$1:$1048576,ROW(),FALSE)</f>
        <v>0</v>
      </c>
      <c r="AC1880" s="580">
        <f>HLOOKUP("*"&amp;'Output annual'!$AC$2&amp;'Output annual'!$AD$2&amp;"*FangerPMV(Hourly)",'Eplus results'!$1:$1048576,ROW(),FALSE)</f>
        <v>0</v>
      </c>
      <c r="AD1880" s="580">
        <f t="shared" si="181"/>
        <v>5</v>
      </c>
      <c r="AE1880" s="580">
        <f t="shared" si="182"/>
        <v>2.5</v>
      </c>
      <c r="AF1880" s="580">
        <f t="shared" si="183"/>
        <v>2.5</v>
      </c>
      <c r="AG1880" s="580">
        <f t="shared" si="184"/>
        <v>0</v>
      </c>
      <c r="AH1880" s="580">
        <f t="shared" si="185"/>
        <v>0</v>
      </c>
    </row>
    <row r="1881" spans="28:34">
      <c r="AB1881" s="580">
        <f>HLOOKUP("*"&amp;'Output annual'!$AC$2&amp;'Output annual'!$AD$2&amp;"*Zone People Number Of Occupants [](Hourly)",'Eplus results'!$1:$1048576,ROW(),FALSE)</f>
        <v>0</v>
      </c>
      <c r="AC1881" s="580">
        <f>HLOOKUP("*"&amp;'Output annual'!$AC$2&amp;'Output annual'!$AD$2&amp;"*FangerPMV(Hourly)",'Eplus results'!$1:$1048576,ROW(),FALSE)</f>
        <v>0</v>
      </c>
      <c r="AD1881" s="580">
        <f t="shared" si="181"/>
        <v>5</v>
      </c>
      <c r="AE1881" s="580">
        <f t="shared" si="182"/>
        <v>2.5</v>
      </c>
      <c r="AF1881" s="580">
        <f t="shared" si="183"/>
        <v>2.5</v>
      </c>
      <c r="AG1881" s="580">
        <f t="shared" si="184"/>
        <v>0</v>
      </c>
      <c r="AH1881" s="580">
        <f t="shared" si="185"/>
        <v>0</v>
      </c>
    </row>
    <row r="1882" spans="28:34">
      <c r="AB1882" s="580">
        <f>HLOOKUP("*"&amp;'Output annual'!$AC$2&amp;'Output annual'!$AD$2&amp;"*Zone People Number Of Occupants [](Hourly)",'Eplus results'!$1:$1048576,ROW(),FALSE)</f>
        <v>0</v>
      </c>
      <c r="AC1882" s="580">
        <f>HLOOKUP("*"&amp;'Output annual'!$AC$2&amp;'Output annual'!$AD$2&amp;"*FangerPMV(Hourly)",'Eplus results'!$1:$1048576,ROW(),FALSE)</f>
        <v>0</v>
      </c>
      <c r="AD1882" s="580">
        <f t="shared" si="181"/>
        <v>5</v>
      </c>
      <c r="AE1882" s="580">
        <f t="shared" si="182"/>
        <v>2.5</v>
      </c>
      <c r="AF1882" s="580">
        <f t="shared" si="183"/>
        <v>2.5</v>
      </c>
      <c r="AG1882" s="580">
        <f t="shared" si="184"/>
        <v>0</v>
      </c>
      <c r="AH1882" s="580">
        <f t="shared" si="185"/>
        <v>0</v>
      </c>
    </row>
    <row r="1883" spans="28:34">
      <c r="AB1883" s="580">
        <f>HLOOKUP("*"&amp;'Output annual'!$AC$2&amp;'Output annual'!$AD$2&amp;"*Zone People Number Of Occupants [](Hourly)",'Eplus results'!$1:$1048576,ROW(),FALSE)</f>
        <v>0</v>
      </c>
      <c r="AC1883" s="580">
        <f>HLOOKUP("*"&amp;'Output annual'!$AC$2&amp;'Output annual'!$AD$2&amp;"*FangerPMV(Hourly)",'Eplus results'!$1:$1048576,ROW(),FALSE)</f>
        <v>0</v>
      </c>
      <c r="AD1883" s="580">
        <f t="shared" si="181"/>
        <v>5</v>
      </c>
      <c r="AE1883" s="580">
        <f t="shared" si="182"/>
        <v>2.5</v>
      </c>
      <c r="AF1883" s="580">
        <f t="shared" si="183"/>
        <v>2.5</v>
      </c>
      <c r="AG1883" s="580">
        <f t="shared" si="184"/>
        <v>0</v>
      </c>
      <c r="AH1883" s="580">
        <f t="shared" si="185"/>
        <v>0</v>
      </c>
    </row>
    <row r="1884" spans="28:34">
      <c r="AB1884" s="580">
        <f>HLOOKUP("*"&amp;'Output annual'!$AC$2&amp;'Output annual'!$AD$2&amp;"*Zone People Number Of Occupants [](Hourly)",'Eplus results'!$1:$1048576,ROW(),FALSE)</f>
        <v>0</v>
      </c>
      <c r="AC1884" s="580">
        <f>HLOOKUP("*"&amp;'Output annual'!$AC$2&amp;'Output annual'!$AD$2&amp;"*FangerPMV(Hourly)",'Eplus results'!$1:$1048576,ROW(),FALSE)</f>
        <v>0</v>
      </c>
      <c r="AD1884" s="580">
        <f t="shared" si="181"/>
        <v>5</v>
      </c>
      <c r="AE1884" s="580">
        <f t="shared" si="182"/>
        <v>2.5</v>
      </c>
      <c r="AF1884" s="580">
        <f t="shared" si="183"/>
        <v>2.5</v>
      </c>
      <c r="AG1884" s="580">
        <f t="shared" si="184"/>
        <v>0</v>
      </c>
      <c r="AH1884" s="580">
        <f t="shared" si="185"/>
        <v>0</v>
      </c>
    </row>
    <row r="1885" spans="28:34">
      <c r="AB1885" s="580">
        <f>HLOOKUP("*"&amp;'Output annual'!$AC$2&amp;'Output annual'!$AD$2&amp;"*Zone People Number Of Occupants [](Hourly)",'Eplus results'!$1:$1048576,ROW(),FALSE)</f>
        <v>0</v>
      </c>
      <c r="AC1885" s="580">
        <f>HLOOKUP("*"&amp;'Output annual'!$AC$2&amp;'Output annual'!$AD$2&amp;"*FangerPMV(Hourly)",'Eplus results'!$1:$1048576,ROW(),FALSE)</f>
        <v>0</v>
      </c>
      <c r="AD1885" s="580">
        <f t="shared" si="181"/>
        <v>5</v>
      </c>
      <c r="AE1885" s="580">
        <f t="shared" si="182"/>
        <v>2.5</v>
      </c>
      <c r="AF1885" s="580">
        <f t="shared" si="183"/>
        <v>2.5</v>
      </c>
      <c r="AG1885" s="580">
        <f t="shared" si="184"/>
        <v>0</v>
      </c>
      <c r="AH1885" s="580">
        <f t="shared" si="185"/>
        <v>0</v>
      </c>
    </row>
    <row r="1886" spans="28:34">
      <c r="AB1886" s="580">
        <f>HLOOKUP("*"&amp;'Output annual'!$AC$2&amp;'Output annual'!$AD$2&amp;"*Zone People Number Of Occupants [](Hourly)",'Eplus results'!$1:$1048576,ROW(),FALSE)</f>
        <v>0</v>
      </c>
      <c r="AC1886" s="580">
        <f>HLOOKUP("*"&amp;'Output annual'!$AC$2&amp;'Output annual'!$AD$2&amp;"*FangerPMV(Hourly)",'Eplus results'!$1:$1048576,ROW(),FALSE)</f>
        <v>0</v>
      </c>
      <c r="AD1886" s="580">
        <f t="shared" si="181"/>
        <v>5</v>
      </c>
      <c r="AE1886" s="580">
        <f t="shared" si="182"/>
        <v>2.5</v>
      </c>
      <c r="AF1886" s="580">
        <f t="shared" si="183"/>
        <v>2.5</v>
      </c>
      <c r="AG1886" s="580">
        <f t="shared" si="184"/>
        <v>0</v>
      </c>
      <c r="AH1886" s="580">
        <f t="shared" si="185"/>
        <v>0</v>
      </c>
    </row>
    <row r="1887" spans="28:34">
      <c r="AB1887" s="580">
        <f>HLOOKUP("*"&amp;'Output annual'!$AC$2&amp;'Output annual'!$AD$2&amp;"*Zone People Number Of Occupants [](Hourly)",'Eplus results'!$1:$1048576,ROW(),FALSE)</f>
        <v>0</v>
      </c>
      <c r="AC1887" s="580">
        <f>HLOOKUP("*"&amp;'Output annual'!$AC$2&amp;'Output annual'!$AD$2&amp;"*FangerPMV(Hourly)",'Eplus results'!$1:$1048576,ROW(),FALSE)</f>
        <v>0</v>
      </c>
      <c r="AD1887" s="580">
        <f t="shared" si="181"/>
        <v>5</v>
      </c>
      <c r="AE1887" s="580">
        <f t="shared" si="182"/>
        <v>2.5</v>
      </c>
      <c r="AF1887" s="580">
        <f t="shared" si="183"/>
        <v>2.5</v>
      </c>
      <c r="AG1887" s="580">
        <f t="shared" si="184"/>
        <v>0</v>
      </c>
      <c r="AH1887" s="580">
        <f t="shared" si="185"/>
        <v>0</v>
      </c>
    </row>
    <row r="1888" spans="28:34">
      <c r="AB1888" s="580">
        <f>HLOOKUP("*"&amp;'Output annual'!$AC$2&amp;'Output annual'!$AD$2&amp;"*Zone People Number Of Occupants [](Hourly)",'Eplus results'!$1:$1048576,ROW(),FALSE)</f>
        <v>0</v>
      </c>
      <c r="AC1888" s="580">
        <f>HLOOKUP("*"&amp;'Output annual'!$AC$2&amp;'Output annual'!$AD$2&amp;"*FangerPMV(Hourly)",'Eplus results'!$1:$1048576,ROW(),FALSE)</f>
        <v>0</v>
      </c>
      <c r="AD1888" s="580">
        <f t="shared" si="181"/>
        <v>5</v>
      </c>
      <c r="AE1888" s="580">
        <f t="shared" si="182"/>
        <v>2.5</v>
      </c>
      <c r="AF1888" s="580">
        <f t="shared" si="183"/>
        <v>2.5</v>
      </c>
      <c r="AG1888" s="580">
        <f t="shared" si="184"/>
        <v>0</v>
      </c>
      <c r="AH1888" s="580">
        <f t="shared" si="185"/>
        <v>0</v>
      </c>
    </row>
    <row r="1889" spans="28:34">
      <c r="AB1889" s="580">
        <f>HLOOKUP("*"&amp;'Output annual'!$AC$2&amp;'Output annual'!$AD$2&amp;"*Zone People Number Of Occupants [](Hourly)",'Eplus results'!$1:$1048576,ROW(),FALSE)</f>
        <v>0</v>
      </c>
      <c r="AC1889" s="580">
        <f>HLOOKUP("*"&amp;'Output annual'!$AC$2&amp;'Output annual'!$AD$2&amp;"*FangerPMV(Hourly)",'Eplus results'!$1:$1048576,ROW(),FALSE)</f>
        <v>0</v>
      </c>
      <c r="AD1889" s="580">
        <f t="shared" si="181"/>
        <v>5</v>
      </c>
      <c r="AE1889" s="580">
        <f t="shared" si="182"/>
        <v>2.5</v>
      </c>
      <c r="AF1889" s="580">
        <f t="shared" si="183"/>
        <v>2.5</v>
      </c>
      <c r="AG1889" s="580">
        <f t="shared" si="184"/>
        <v>0</v>
      </c>
      <c r="AH1889" s="580">
        <f t="shared" si="185"/>
        <v>0</v>
      </c>
    </row>
    <row r="1890" spans="28:34">
      <c r="AB1890" s="580">
        <f>HLOOKUP("*"&amp;'Output annual'!$AC$2&amp;'Output annual'!$AD$2&amp;"*Zone People Number Of Occupants [](Hourly)",'Eplus results'!$1:$1048576,ROW(),FALSE)</f>
        <v>0</v>
      </c>
      <c r="AC1890" s="580">
        <f>HLOOKUP("*"&amp;'Output annual'!$AC$2&amp;'Output annual'!$AD$2&amp;"*FangerPMV(Hourly)",'Eplus results'!$1:$1048576,ROW(),FALSE)</f>
        <v>0</v>
      </c>
      <c r="AD1890" s="580">
        <f t="shared" si="181"/>
        <v>5</v>
      </c>
      <c r="AE1890" s="580">
        <f t="shared" si="182"/>
        <v>2.5</v>
      </c>
      <c r="AF1890" s="580">
        <f t="shared" si="183"/>
        <v>2.5</v>
      </c>
      <c r="AG1890" s="580">
        <f t="shared" si="184"/>
        <v>0</v>
      </c>
      <c r="AH1890" s="580">
        <f t="shared" si="185"/>
        <v>0</v>
      </c>
    </row>
    <row r="1891" spans="28:34">
      <c r="AB1891" s="580">
        <f>HLOOKUP("*"&amp;'Output annual'!$AC$2&amp;'Output annual'!$AD$2&amp;"*Zone People Number Of Occupants [](Hourly)",'Eplus results'!$1:$1048576,ROW(),FALSE)</f>
        <v>0</v>
      </c>
      <c r="AC1891" s="580">
        <f>HLOOKUP("*"&amp;'Output annual'!$AC$2&amp;'Output annual'!$AD$2&amp;"*FangerPMV(Hourly)",'Eplus results'!$1:$1048576,ROW(),FALSE)</f>
        <v>0</v>
      </c>
      <c r="AD1891" s="580">
        <f t="shared" si="181"/>
        <v>5</v>
      </c>
      <c r="AE1891" s="580">
        <f t="shared" si="182"/>
        <v>2.5</v>
      </c>
      <c r="AF1891" s="580">
        <f t="shared" si="183"/>
        <v>2.5</v>
      </c>
      <c r="AG1891" s="580">
        <f t="shared" si="184"/>
        <v>0</v>
      </c>
      <c r="AH1891" s="580">
        <f t="shared" si="185"/>
        <v>0</v>
      </c>
    </row>
    <row r="1892" spans="28:34">
      <c r="AB1892" s="580">
        <f>HLOOKUP("*"&amp;'Output annual'!$AC$2&amp;'Output annual'!$AD$2&amp;"*Zone People Number Of Occupants [](Hourly)",'Eplus results'!$1:$1048576,ROW(),FALSE)</f>
        <v>0</v>
      </c>
      <c r="AC1892" s="580">
        <f>HLOOKUP("*"&amp;'Output annual'!$AC$2&amp;'Output annual'!$AD$2&amp;"*FangerPMV(Hourly)",'Eplus results'!$1:$1048576,ROW(),FALSE)</f>
        <v>0</v>
      </c>
      <c r="AD1892" s="580">
        <f t="shared" si="181"/>
        <v>5</v>
      </c>
      <c r="AE1892" s="580">
        <f t="shared" si="182"/>
        <v>2.5</v>
      </c>
      <c r="AF1892" s="580">
        <f t="shared" si="183"/>
        <v>2.5</v>
      </c>
      <c r="AG1892" s="580">
        <f t="shared" si="184"/>
        <v>0</v>
      </c>
      <c r="AH1892" s="580">
        <f t="shared" si="185"/>
        <v>0</v>
      </c>
    </row>
    <row r="1893" spans="28:34">
      <c r="AB1893" s="580">
        <f>HLOOKUP("*"&amp;'Output annual'!$AC$2&amp;'Output annual'!$AD$2&amp;"*Zone People Number Of Occupants [](Hourly)",'Eplus results'!$1:$1048576,ROW(),FALSE)</f>
        <v>0</v>
      </c>
      <c r="AC1893" s="580">
        <f>HLOOKUP("*"&amp;'Output annual'!$AC$2&amp;'Output annual'!$AD$2&amp;"*FangerPMV(Hourly)",'Eplus results'!$1:$1048576,ROW(),FALSE)</f>
        <v>0</v>
      </c>
      <c r="AD1893" s="580">
        <f t="shared" si="181"/>
        <v>5</v>
      </c>
      <c r="AE1893" s="580">
        <f t="shared" si="182"/>
        <v>2.5</v>
      </c>
      <c r="AF1893" s="580">
        <f t="shared" si="183"/>
        <v>2.5</v>
      </c>
      <c r="AG1893" s="580">
        <f t="shared" si="184"/>
        <v>0</v>
      </c>
      <c r="AH1893" s="580">
        <f t="shared" si="185"/>
        <v>0</v>
      </c>
    </row>
    <row r="1894" spans="28:34">
      <c r="AB1894" s="580">
        <f>HLOOKUP("*"&amp;'Output annual'!$AC$2&amp;'Output annual'!$AD$2&amp;"*Zone People Number Of Occupants [](Hourly)",'Eplus results'!$1:$1048576,ROW(),FALSE)</f>
        <v>0</v>
      </c>
      <c r="AC1894" s="580">
        <f>HLOOKUP("*"&amp;'Output annual'!$AC$2&amp;'Output annual'!$AD$2&amp;"*FangerPMV(Hourly)",'Eplus results'!$1:$1048576,ROW(),FALSE)</f>
        <v>0</v>
      </c>
      <c r="AD1894" s="580">
        <f t="shared" si="181"/>
        <v>5</v>
      </c>
      <c r="AE1894" s="580">
        <f t="shared" si="182"/>
        <v>2.5</v>
      </c>
      <c r="AF1894" s="580">
        <f t="shared" si="183"/>
        <v>2.5</v>
      </c>
      <c r="AG1894" s="580">
        <f t="shared" si="184"/>
        <v>0</v>
      </c>
      <c r="AH1894" s="580">
        <f t="shared" si="185"/>
        <v>0</v>
      </c>
    </row>
    <row r="1895" spans="28:34">
      <c r="AB1895" s="580">
        <f>HLOOKUP("*"&amp;'Output annual'!$AC$2&amp;'Output annual'!$AD$2&amp;"*Zone People Number Of Occupants [](Hourly)",'Eplus results'!$1:$1048576,ROW(),FALSE)</f>
        <v>0</v>
      </c>
      <c r="AC1895" s="580">
        <f>HLOOKUP("*"&amp;'Output annual'!$AC$2&amp;'Output annual'!$AD$2&amp;"*FangerPMV(Hourly)",'Eplus results'!$1:$1048576,ROW(),FALSE)</f>
        <v>0</v>
      </c>
      <c r="AD1895" s="580">
        <f t="shared" si="181"/>
        <v>5</v>
      </c>
      <c r="AE1895" s="580">
        <f t="shared" si="182"/>
        <v>2.5</v>
      </c>
      <c r="AF1895" s="580">
        <f t="shared" si="183"/>
        <v>2.5</v>
      </c>
      <c r="AG1895" s="580">
        <f t="shared" si="184"/>
        <v>0</v>
      </c>
      <c r="AH1895" s="580">
        <f t="shared" si="185"/>
        <v>0</v>
      </c>
    </row>
    <row r="1896" spans="28:34">
      <c r="AB1896" s="580">
        <f>HLOOKUP("*"&amp;'Output annual'!$AC$2&amp;'Output annual'!$AD$2&amp;"*Zone People Number Of Occupants [](Hourly)",'Eplus results'!$1:$1048576,ROW(),FALSE)</f>
        <v>0</v>
      </c>
      <c r="AC1896" s="580">
        <f>HLOOKUP("*"&amp;'Output annual'!$AC$2&amp;'Output annual'!$AD$2&amp;"*FangerPMV(Hourly)",'Eplus results'!$1:$1048576,ROW(),FALSE)</f>
        <v>0</v>
      </c>
      <c r="AD1896" s="580">
        <f t="shared" si="181"/>
        <v>5</v>
      </c>
      <c r="AE1896" s="580">
        <f t="shared" si="182"/>
        <v>2.5</v>
      </c>
      <c r="AF1896" s="580">
        <f t="shared" si="183"/>
        <v>2.5</v>
      </c>
      <c r="AG1896" s="580">
        <f t="shared" si="184"/>
        <v>0</v>
      </c>
      <c r="AH1896" s="580">
        <f t="shared" si="185"/>
        <v>0</v>
      </c>
    </row>
    <row r="1897" spans="28:34">
      <c r="AB1897" s="580">
        <f>HLOOKUP("*"&amp;'Output annual'!$AC$2&amp;'Output annual'!$AD$2&amp;"*Zone People Number Of Occupants [](Hourly)",'Eplus results'!$1:$1048576,ROW(),FALSE)</f>
        <v>0</v>
      </c>
      <c r="AC1897" s="580">
        <f>HLOOKUP("*"&amp;'Output annual'!$AC$2&amp;'Output annual'!$AD$2&amp;"*FangerPMV(Hourly)",'Eplus results'!$1:$1048576,ROW(),FALSE)</f>
        <v>0</v>
      </c>
      <c r="AD1897" s="580">
        <f t="shared" si="181"/>
        <v>5</v>
      </c>
      <c r="AE1897" s="580">
        <f t="shared" si="182"/>
        <v>2.5</v>
      </c>
      <c r="AF1897" s="580">
        <f t="shared" si="183"/>
        <v>2.5</v>
      </c>
      <c r="AG1897" s="580">
        <f t="shared" si="184"/>
        <v>0</v>
      </c>
      <c r="AH1897" s="580">
        <f t="shared" si="185"/>
        <v>0</v>
      </c>
    </row>
    <row r="1898" spans="28:34">
      <c r="AB1898" s="580">
        <f>HLOOKUP("*"&amp;'Output annual'!$AC$2&amp;'Output annual'!$AD$2&amp;"*Zone People Number Of Occupants [](Hourly)",'Eplus results'!$1:$1048576,ROW(),FALSE)</f>
        <v>0</v>
      </c>
      <c r="AC1898" s="580">
        <f>HLOOKUP("*"&amp;'Output annual'!$AC$2&amp;'Output annual'!$AD$2&amp;"*FangerPMV(Hourly)",'Eplus results'!$1:$1048576,ROW(),FALSE)</f>
        <v>0</v>
      </c>
      <c r="AD1898" s="580">
        <f t="shared" si="181"/>
        <v>5</v>
      </c>
      <c r="AE1898" s="580">
        <f t="shared" si="182"/>
        <v>2.5</v>
      </c>
      <c r="AF1898" s="580">
        <f t="shared" si="183"/>
        <v>2.5</v>
      </c>
      <c r="AG1898" s="580">
        <f t="shared" si="184"/>
        <v>0</v>
      </c>
      <c r="AH1898" s="580">
        <f t="shared" si="185"/>
        <v>0</v>
      </c>
    </row>
    <row r="1899" spans="28:34">
      <c r="AB1899" s="580">
        <f>HLOOKUP("*"&amp;'Output annual'!$AC$2&amp;'Output annual'!$AD$2&amp;"*Zone People Number Of Occupants [](Hourly)",'Eplus results'!$1:$1048576,ROW(),FALSE)</f>
        <v>0</v>
      </c>
      <c r="AC1899" s="580">
        <f>HLOOKUP("*"&amp;'Output annual'!$AC$2&amp;'Output annual'!$AD$2&amp;"*FangerPMV(Hourly)",'Eplus results'!$1:$1048576,ROW(),FALSE)</f>
        <v>0</v>
      </c>
      <c r="AD1899" s="580">
        <f t="shared" si="181"/>
        <v>5</v>
      </c>
      <c r="AE1899" s="580">
        <f t="shared" si="182"/>
        <v>2.5</v>
      </c>
      <c r="AF1899" s="580">
        <f t="shared" si="183"/>
        <v>2.5</v>
      </c>
      <c r="AG1899" s="580">
        <f t="shared" si="184"/>
        <v>0</v>
      </c>
      <c r="AH1899" s="580">
        <f t="shared" si="185"/>
        <v>0</v>
      </c>
    </row>
    <row r="1900" spans="28:34">
      <c r="AB1900" s="580">
        <f>HLOOKUP("*"&amp;'Output annual'!$AC$2&amp;'Output annual'!$AD$2&amp;"*Zone People Number Of Occupants [](Hourly)",'Eplus results'!$1:$1048576,ROW(),FALSE)</f>
        <v>0</v>
      </c>
      <c r="AC1900" s="580">
        <f>HLOOKUP("*"&amp;'Output annual'!$AC$2&amp;'Output annual'!$AD$2&amp;"*FangerPMV(Hourly)",'Eplus results'!$1:$1048576,ROW(),FALSE)</f>
        <v>0</v>
      </c>
      <c r="AD1900" s="580">
        <f t="shared" si="181"/>
        <v>5</v>
      </c>
      <c r="AE1900" s="580">
        <f t="shared" si="182"/>
        <v>2.5</v>
      </c>
      <c r="AF1900" s="580">
        <f t="shared" si="183"/>
        <v>2.5</v>
      </c>
      <c r="AG1900" s="580">
        <f t="shared" si="184"/>
        <v>0</v>
      </c>
      <c r="AH1900" s="580">
        <f t="shared" si="185"/>
        <v>0</v>
      </c>
    </row>
    <row r="1901" spans="28:34">
      <c r="AB1901" s="580">
        <f>HLOOKUP("*"&amp;'Output annual'!$AC$2&amp;'Output annual'!$AD$2&amp;"*Zone People Number Of Occupants [](Hourly)",'Eplus results'!$1:$1048576,ROW(),FALSE)</f>
        <v>0</v>
      </c>
      <c r="AC1901" s="580">
        <f>HLOOKUP("*"&amp;'Output annual'!$AC$2&amp;'Output annual'!$AD$2&amp;"*FangerPMV(Hourly)",'Eplus results'!$1:$1048576,ROW(),FALSE)</f>
        <v>0</v>
      </c>
      <c r="AD1901" s="580">
        <f t="shared" si="181"/>
        <v>5</v>
      </c>
      <c r="AE1901" s="580">
        <f t="shared" si="182"/>
        <v>2.5</v>
      </c>
      <c r="AF1901" s="580">
        <f t="shared" si="183"/>
        <v>2.5</v>
      </c>
      <c r="AG1901" s="580">
        <f t="shared" si="184"/>
        <v>0</v>
      </c>
      <c r="AH1901" s="580">
        <f t="shared" si="185"/>
        <v>0</v>
      </c>
    </row>
    <row r="1902" spans="28:34">
      <c r="AB1902" s="580">
        <f>HLOOKUP("*"&amp;'Output annual'!$AC$2&amp;'Output annual'!$AD$2&amp;"*Zone People Number Of Occupants [](Hourly)",'Eplus results'!$1:$1048576,ROW(),FALSE)</f>
        <v>0</v>
      </c>
      <c r="AC1902" s="580">
        <f>HLOOKUP("*"&amp;'Output annual'!$AC$2&amp;'Output annual'!$AD$2&amp;"*FangerPMV(Hourly)",'Eplus results'!$1:$1048576,ROW(),FALSE)</f>
        <v>0</v>
      </c>
      <c r="AD1902" s="580">
        <f t="shared" si="181"/>
        <v>5</v>
      </c>
      <c r="AE1902" s="580">
        <f t="shared" si="182"/>
        <v>2.5</v>
      </c>
      <c r="AF1902" s="580">
        <f t="shared" si="183"/>
        <v>2.5</v>
      </c>
      <c r="AG1902" s="580">
        <f t="shared" si="184"/>
        <v>0</v>
      </c>
      <c r="AH1902" s="580">
        <f t="shared" si="185"/>
        <v>0</v>
      </c>
    </row>
    <row r="1903" spans="28:34">
      <c r="AB1903" s="580">
        <f>HLOOKUP("*"&amp;'Output annual'!$AC$2&amp;'Output annual'!$AD$2&amp;"*Zone People Number Of Occupants [](Hourly)",'Eplus results'!$1:$1048576,ROW(),FALSE)</f>
        <v>0</v>
      </c>
      <c r="AC1903" s="580">
        <f>HLOOKUP("*"&amp;'Output annual'!$AC$2&amp;'Output annual'!$AD$2&amp;"*FangerPMV(Hourly)",'Eplus results'!$1:$1048576,ROW(),FALSE)</f>
        <v>0</v>
      </c>
      <c r="AD1903" s="580">
        <f t="shared" si="181"/>
        <v>5</v>
      </c>
      <c r="AE1903" s="580">
        <f t="shared" si="182"/>
        <v>2.5</v>
      </c>
      <c r="AF1903" s="580">
        <f t="shared" si="183"/>
        <v>2.5</v>
      </c>
      <c r="AG1903" s="580">
        <f t="shared" si="184"/>
        <v>0</v>
      </c>
      <c r="AH1903" s="580">
        <f t="shared" si="185"/>
        <v>0</v>
      </c>
    </row>
    <row r="1904" spans="28:34">
      <c r="AB1904" s="580">
        <f>HLOOKUP("*"&amp;'Output annual'!$AC$2&amp;'Output annual'!$AD$2&amp;"*Zone People Number Of Occupants [](Hourly)",'Eplus results'!$1:$1048576,ROW(),FALSE)</f>
        <v>0</v>
      </c>
      <c r="AC1904" s="580">
        <f>HLOOKUP("*"&amp;'Output annual'!$AC$2&amp;'Output annual'!$AD$2&amp;"*FangerPMV(Hourly)",'Eplus results'!$1:$1048576,ROW(),FALSE)</f>
        <v>0</v>
      </c>
      <c r="AD1904" s="580">
        <f t="shared" si="181"/>
        <v>5</v>
      </c>
      <c r="AE1904" s="580">
        <f t="shared" si="182"/>
        <v>2.5</v>
      </c>
      <c r="AF1904" s="580">
        <f t="shared" si="183"/>
        <v>2.5</v>
      </c>
      <c r="AG1904" s="580">
        <f t="shared" si="184"/>
        <v>0</v>
      </c>
      <c r="AH1904" s="580">
        <f t="shared" si="185"/>
        <v>0</v>
      </c>
    </row>
    <row r="1905" spans="28:34">
      <c r="AB1905" s="580">
        <f>HLOOKUP("*"&amp;'Output annual'!$AC$2&amp;'Output annual'!$AD$2&amp;"*Zone People Number Of Occupants [](Hourly)",'Eplus results'!$1:$1048576,ROW(),FALSE)</f>
        <v>0</v>
      </c>
      <c r="AC1905" s="580">
        <f>HLOOKUP("*"&amp;'Output annual'!$AC$2&amp;'Output annual'!$AD$2&amp;"*FangerPMV(Hourly)",'Eplus results'!$1:$1048576,ROW(),FALSE)</f>
        <v>0</v>
      </c>
      <c r="AD1905" s="580">
        <f t="shared" si="181"/>
        <v>5</v>
      </c>
      <c r="AE1905" s="580">
        <f t="shared" si="182"/>
        <v>2.5</v>
      </c>
      <c r="AF1905" s="580">
        <f t="shared" si="183"/>
        <v>2.5</v>
      </c>
      <c r="AG1905" s="580">
        <f t="shared" si="184"/>
        <v>0</v>
      </c>
      <c r="AH1905" s="580">
        <f t="shared" si="185"/>
        <v>0</v>
      </c>
    </row>
    <row r="1906" spans="28:34">
      <c r="AB1906" s="580">
        <f>HLOOKUP("*"&amp;'Output annual'!$AC$2&amp;'Output annual'!$AD$2&amp;"*Zone People Number Of Occupants [](Hourly)",'Eplus results'!$1:$1048576,ROW(),FALSE)</f>
        <v>0</v>
      </c>
      <c r="AC1906" s="580">
        <f>HLOOKUP("*"&amp;'Output annual'!$AC$2&amp;'Output annual'!$AD$2&amp;"*FangerPMV(Hourly)",'Eplus results'!$1:$1048576,ROW(),FALSE)</f>
        <v>0</v>
      </c>
      <c r="AD1906" s="580">
        <f t="shared" si="181"/>
        <v>5</v>
      </c>
      <c r="AE1906" s="580">
        <f t="shared" si="182"/>
        <v>2.5</v>
      </c>
      <c r="AF1906" s="580">
        <f t="shared" si="183"/>
        <v>2.5</v>
      </c>
      <c r="AG1906" s="580">
        <f t="shared" si="184"/>
        <v>0</v>
      </c>
      <c r="AH1906" s="580">
        <f t="shared" si="185"/>
        <v>0</v>
      </c>
    </row>
    <row r="1907" spans="28:34">
      <c r="AB1907" s="580">
        <f>HLOOKUP("*"&amp;'Output annual'!$AC$2&amp;'Output annual'!$AD$2&amp;"*Zone People Number Of Occupants [](Hourly)",'Eplus results'!$1:$1048576,ROW(),FALSE)</f>
        <v>0</v>
      </c>
      <c r="AC1907" s="580">
        <f>HLOOKUP("*"&amp;'Output annual'!$AC$2&amp;'Output annual'!$AD$2&amp;"*FangerPMV(Hourly)",'Eplus results'!$1:$1048576,ROW(),FALSE)</f>
        <v>0</v>
      </c>
      <c r="AD1907" s="580">
        <f t="shared" si="181"/>
        <v>5</v>
      </c>
      <c r="AE1907" s="580">
        <f t="shared" si="182"/>
        <v>2.5</v>
      </c>
      <c r="AF1907" s="580">
        <f t="shared" si="183"/>
        <v>2.5</v>
      </c>
      <c r="AG1907" s="580">
        <f t="shared" si="184"/>
        <v>0</v>
      </c>
      <c r="AH1907" s="580">
        <f t="shared" si="185"/>
        <v>0</v>
      </c>
    </row>
    <row r="1908" spans="28:34">
      <c r="AB1908" s="580">
        <f>HLOOKUP("*"&amp;'Output annual'!$AC$2&amp;'Output annual'!$AD$2&amp;"*Zone People Number Of Occupants [](Hourly)",'Eplus results'!$1:$1048576,ROW(),FALSE)</f>
        <v>0</v>
      </c>
      <c r="AC1908" s="580">
        <f>HLOOKUP("*"&amp;'Output annual'!$AC$2&amp;'Output annual'!$AD$2&amp;"*FangerPMV(Hourly)",'Eplus results'!$1:$1048576,ROW(),FALSE)</f>
        <v>0</v>
      </c>
      <c r="AD1908" s="580">
        <f t="shared" si="181"/>
        <v>5</v>
      </c>
      <c r="AE1908" s="580">
        <f t="shared" si="182"/>
        <v>2.5</v>
      </c>
      <c r="AF1908" s="580">
        <f t="shared" si="183"/>
        <v>2.5</v>
      </c>
      <c r="AG1908" s="580">
        <f t="shared" si="184"/>
        <v>0</v>
      </c>
      <c r="AH1908" s="580">
        <f t="shared" si="185"/>
        <v>0</v>
      </c>
    </row>
    <row r="1909" spans="28:34">
      <c r="AB1909" s="580">
        <f>HLOOKUP("*"&amp;'Output annual'!$AC$2&amp;'Output annual'!$AD$2&amp;"*Zone People Number Of Occupants [](Hourly)",'Eplus results'!$1:$1048576,ROW(),FALSE)</f>
        <v>0</v>
      </c>
      <c r="AC1909" s="580">
        <f>HLOOKUP("*"&amp;'Output annual'!$AC$2&amp;'Output annual'!$AD$2&amp;"*FangerPMV(Hourly)",'Eplus results'!$1:$1048576,ROW(),FALSE)</f>
        <v>0</v>
      </c>
      <c r="AD1909" s="580">
        <f t="shared" si="181"/>
        <v>5</v>
      </c>
      <c r="AE1909" s="580">
        <f t="shared" si="182"/>
        <v>2.5</v>
      </c>
      <c r="AF1909" s="580">
        <f t="shared" si="183"/>
        <v>2.5</v>
      </c>
      <c r="AG1909" s="580">
        <f t="shared" si="184"/>
        <v>0</v>
      </c>
      <c r="AH1909" s="580">
        <f t="shared" si="185"/>
        <v>0</v>
      </c>
    </row>
    <row r="1910" spans="28:34">
      <c r="AB1910" s="580">
        <f>HLOOKUP("*"&amp;'Output annual'!$AC$2&amp;'Output annual'!$AD$2&amp;"*Zone People Number Of Occupants [](Hourly)",'Eplus results'!$1:$1048576,ROW(),FALSE)</f>
        <v>0</v>
      </c>
      <c r="AC1910" s="580">
        <f>HLOOKUP("*"&amp;'Output annual'!$AC$2&amp;'Output annual'!$AD$2&amp;"*FangerPMV(Hourly)",'Eplus results'!$1:$1048576,ROW(),FALSE)</f>
        <v>0</v>
      </c>
      <c r="AD1910" s="580">
        <f t="shared" si="181"/>
        <v>5</v>
      </c>
      <c r="AE1910" s="580">
        <f t="shared" si="182"/>
        <v>2.5</v>
      </c>
      <c r="AF1910" s="580">
        <f t="shared" si="183"/>
        <v>2.5</v>
      </c>
      <c r="AG1910" s="580">
        <f t="shared" si="184"/>
        <v>0</v>
      </c>
      <c r="AH1910" s="580">
        <f t="shared" si="185"/>
        <v>0</v>
      </c>
    </row>
    <row r="1911" spans="28:34">
      <c r="AB1911" s="580">
        <f>HLOOKUP("*"&amp;'Output annual'!$AC$2&amp;'Output annual'!$AD$2&amp;"*Zone People Number Of Occupants [](Hourly)",'Eplus results'!$1:$1048576,ROW(),FALSE)</f>
        <v>0</v>
      </c>
      <c r="AC1911" s="580">
        <f>HLOOKUP("*"&amp;'Output annual'!$AC$2&amp;'Output annual'!$AD$2&amp;"*FangerPMV(Hourly)",'Eplus results'!$1:$1048576,ROW(),FALSE)</f>
        <v>0</v>
      </c>
      <c r="AD1911" s="580">
        <f t="shared" si="181"/>
        <v>5</v>
      </c>
      <c r="AE1911" s="580">
        <f t="shared" si="182"/>
        <v>2.5</v>
      </c>
      <c r="AF1911" s="580">
        <f t="shared" si="183"/>
        <v>2.5</v>
      </c>
      <c r="AG1911" s="580">
        <f t="shared" si="184"/>
        <v>0</v>
      </c>
      <c r="AH1911" s="580">
        <f t="shared" si="185"/>
        <v>0</v>
      </c>
    </row>
    <row r="1912" spans="28:34">
      <c r="AB1912" s="580">
        <f>HLOOKUP("*"&amp;'Output annual'!$AC$2&amp;'Output annual'!$AD$2&amp;"*Zone People Number Of Occupants [](Hourly)",'Eplus results'!$1:$1048576,ROW(),FALSE)</f>
        <v>0</v>
      </c>
      <c r="AC1912" s="580">
        <f>HLOOKUP("*"&amp;'Output annual'!$AC$2&amp;'Output annual'!$AD$2&amp;"*FangerPMV(Hourly)",'Eplus results'!$1:$1048576,ROW(),FALSE)</f>
        <v>0</v>
      </c>
      <c r="AD1912" s="580">
        <f t="shared" si="181"/>
        <v>5</v>
      </c>
      <c r="AE1912" s="580">
        <f t="shared" si="182"/>
        <v>2.5</v>
      </c>
      <c r="AF1912" s="580">
        <f t="shared" si="183"/>
        <v>2.5</v>
      </c>
      <c r="AG1912" s="580">
        <f t="shared" si="184"/>
        <v>0</v>
      </c>
      <c r="AH1912" s="580">
        <f t="shared" si="185"/>
        <v>0</v>
      </c>
    </row>
    <row r="1913" spans="28:34">
      <c r="AB1913" s="580">
        <f>HLOOKUP("*"&amp;'Output annual'!$AC$2&amp;'Output annual'!$AD$2&amp;"*Zone People Number Of Occupants [](Hourly)",'Eplus results'!$1:$1048576,ROW(),FALSE)</f>
        <v>0</v>
      </c>
      <c r="AC1913" s="580">
        <f>HLOOKUP("*"&amp;'Output annual'!$AC$2&amp;'Output annual'!$AD$2&amp;"*FangerPMV(Hourly)",'Eplus results'!$1:$1048576,ROW(),FALSE)</f>
        <v>0</v>
      </c>
      <c r="AD1913" s="580">
        <f t="shared" si="181"/>
        <v>5</v>
      </c>
      <c r="AE1913" s="580">
        <f t="shared" si="182"/>
        <v>2.5</v>
      </c>
      <c r="AF1913" s="580">
        <f t="shared" si="183"/>
        <v>2.5</v>
      </c>
      <c r="AG1913" s="580">
        <f t="shared" si="184"/>
        <v>0</v>
      </c>
      <c r="AH1913" s="580">
        <f t="shared" si="185"/>
        <v>0</v>
      </c>
    </row>
    <row r="1914" spans="28:34">
      <c r="AB1914" s="580">
        <f>HLOOKUP("*"&amp;'Output annual'!$AC$2&amp;'Output annual'!$AD$2&amp;"*Zone People Number Of Occupants [](Hourly)",'Eplus results'!$1:$1048576,ROW(),FALSE)</f>
        <v>0</v>
      </c>
      <c r="AC1914" s="580">
        <f>HLOOKUP("*"&amp;'Output annual'!$AC$2&amp;'Output annual'!$AD$2&amp;"*FangerPMV(Hourly)",'Eplus results'!$1:$1048576,ROW(),FALSE)</f>
        <v>0</v>
      </c>
      <c r="AD1914" s="580">
        <f t="shared" si="181"/>
        <v>5</v>
      </c>
      <c r="AE1914" s="580">
        <f t="shared" si="182"/>
        <v>2.5</v>
      </c>
      <c r="AF1914" s="580">
        <f t="shared" si="183"/>
        <v>2.5</v>
      </c>
      <c r="AG1914" s="580">
        <f t="shared" si="184"/>
        <v>0</v>
      </c>
      <c r="AH1914" s="580">
        <f t="shared" si="185"/>
        <v>0</v>
      </c>
    </row>
    <row r="1915" spans="28:34">
      <c r="AB1915" s="580">
        <f>HLOOKUP("*"&amp;'Output annual'!$AC$2&amp;'Output annual'!$AD$2&amp;"*Zone People Number Of Occupants [](Hourly)",'Eplus results'!$1:$1048576,ROW(),FALSE)</f>
        <v>0</v>
      </c>
      <c r="AC1915" s="580">
        <f>HLOOKUP("*"&amp;'Output annual'!$AC$2&amp;'Output annual'!$AD$2&amp;"*FangerPMV(Hourly)",'Eplus results'!$1:$1048576,ROW(),FALSE)</f>
        <v>0</v>
      </c>
      <c r="AD1915" s="580">
        <f t="shared" si="181"/>
        <v>5</v>
      </c>
      <c r="AE1915" s="580">
        <f t="shared" si="182"/>
        <v>2.5</v>
      </c>
      <c r="AF1915" s="580">
        <f t="shared" si="183"/>
        <v>2.5</v>
      </c>
      <c r="AG1915" s="580">
        <f t="shared" si="184"/>
        <v>0</v>
      </c>
      <c r="AH1915" s="580">
        <f t="shared" si="185"/>
        <v>0</v>
      </c>
    </row>
    <row r="1916" spans="28:34">
      <c r="AB1916" s="580">
        <f>HLOOKUP("*"&amp;'Output annual'!$AC$2&amp;'Output annual'!$AD$2&amp;"*Zone People Number Of Occupants [](Hourly)",'Eplus results'!$1:$1048576,ROW(),FALSE)</f>
        <v>0</v>
      </c>
      <c r="AC1916" s="580">
        <f>HLOOKUP("*"&amp;'Output annual'!$AC$2&amp;'Output annual'!$AD$2&amp;"*FangerPMV(Hourly)",'Eplus results'!$1:$1048576,ROW(),FALSE)</f>
        <v>0</v>
      </c>
      <c r="AD1916" s="580">
        <f t="shared" si="181"/>
        <v>5</v>
      </c>
      <c r="AE1916" s="580">
        <f t="shared" si="182"/>
        <v>2.5</v>
      </c>
      <c r="AF1916" s="580">
        <f t="shared" si="183"/>
        <v>2.5</v>
      </c>
      <c r="AG1916" s="580">
        <f t="shared" si="184"/>
        <v>0</v>
      </c>
      <c r="AH1916" s="580">
        <f t="shared" si="185"/>
        <v>0</v>
      </c>
    </row>
    <row r="1917" spans="28:34">
      <c r="AB1917" s="580">
        <f>HLOOKUP("*"&amp;'Output annual'!$AC$2&amp;'Output annual'!$AD$2&amp;"*Zone People Number Of Occupants [](Hourly)",'Eplus results'!$1:$1048576,ROW(),FALSE)</f>
        <v>0</v>
      </c>
      <c r="AC1917" s="580">
        <f>HLOOKUP("*"&amp;'Output annual'!$AC$2&amp;'Output annual'!$AD$2&amp;"*FangerPMV(Hourly)",'Eplus results'!$1:$1048576,ROW(),FALSE)</f>
        <v>0</v>
      </c>
      <c r="AD1917" s="580">
        <f t="shared" si="181"/>
        <v>5</v>
      </c>
      <c r="AE1917" s="580">
        <f t="shared" si="182"/>
        <v>2.5</v>
      </c>
      <c r="AF1917" s="580">
        <f t="shared" si="183"/>
        <v>2.5</v>
      </c>
      <c r="AG1917" s="580">
        <f t="shared" si="184"/>
        <v>0</v>
      </c>
      <c r="AH1917" s="580">
        <f t="shared" si="185"/>
        <v>0</v>
      </c>
    </row>
    <row r="1918" spans="28:34">
      <c r="AB1918" s="580">
        <f>HLOOKUP("*"&amp;'Output annual'!$AC$2&amp;'Output annual'!$AD$2&amp;"*Zone People Number Of Occupants [](Hourly)",'Eplus results'!$1:$1048576,ROW(),FALSE)</f>
        <v>0</v>
      </c>
      <c r="AC1918" s="580">
        <f>HLOOKUP("*"&amp;'Output annual'!$AC$2&amp;'Output annual'!$AD$2&amp;"*FangerPMV(Hourly)",'Eplus results'!$1:$1048576,ROW(),FALSE)</f>
        <v>0</v>
      </c>
      <c r="AD1918" s="580">
        <f t="shared" si="181"/>
        <v>5</v>
      </c>
      <c r="AE1918" s="580">
        <f t="shared" si="182"/>
        <v>2.5</v>
      </c>
      <c r="AF1918" s="580">
        <f t="shared" si="183"/>
        <v>2.5</v>
      </c>
      <c r="AG1918" s="580">
        <f t="shared" si="184"/>
        <v>0</v>
      </c>
      <c r="AH1918" s="580">
        <f t="shared" si="185"/>
        <v>0</v>
      </c>
    </row>
    <row r="1919" spans="28:34">
      <c r="AB1919" s="580">
        <f>HLOOKUP("*"&amp;'Output annual'!$AC$2&amp;'Output annual'!$AD$2&amp;"*Zone People Number Of Occupants [](Hourly)",'Eplus results'!$1:$1048576,ROW(),FALSE)</f>
        <v>0</v>
      </c>
      <c r="AC1919" s="580">
        <f>HLOOKUP("*"&amp;'Output annual'!$AC$2&amp;'Output annual'!$AD$2&amp;"*FangerPMV(Hourly)",'Eplus results'!$1:$1048576,ROW(),FALSE)</f>
        <v>0</v>
      </c>
      <c r="AD1919" s="580">
        <f t="shared" si="181"/>
        <v>5</v>
      </c>
      <c r="AE1919" s="580">
        <f t="shared" si="182"/>
        <v>2.5</v>
      </c>
      <c r="AF1919" s="580">
        <f t="shared" si="183"/>
        <v>2.5</v>
      </c>
      <c r="AG1919" s="580">
        <f t="shared" si="184"/>
        <v>0</v>
      </c>
      <c r="AH1919" s="580">
        <f t="shared" si="185"/>
        <v>0</v>
      </c>
    </row>
    <row r="1920" spans="28:34">
      <c r="AB1920" s="580">
        <f>HLOOKUP("*"&amp;'Output annual'!$AC$2&amp;'Output annual'!$AD$2&amp;"*Zone People Number Of Occupants [](Hourly)",'Eplus results'!$1:$1048576,ROW(),FALSE)</f>
        <v>0</v>
      </c>
      <c r="AC1920" s="580">
        <f>HLOOKUP("*"&amp;'Output annual'!$AC$2&amp;'Output annual'!$AD$2&amp;"*FangerPMV(Hourly)",'Eplus results'!$1:$1048576,ROW(),FALSE)</f>
        <v>0</v>
      </c>
      <c r="AD1920" s="580">
        <f t="shared" si="181"/>
        <v>5</v>
      </c>
      <c r="AE1920" s="580">
        <f t="shared" si="182"/>
        <v>2.5</v>
      </c>
      <c r="AF1920" s="580">
        <f t="shared" si="183"/>
        <v>2.5</v>
      </c>
      <c r="AG1920" s="580">
        <f t="shared" si="184"/>
        <v>0</v>
      </c>
      <c r="AH1920" s="580">
        <f t="shared" si="185"/>
        <v>0</v>
      </c>
    </row>
    <row r="1921" spans="28:34">
      <c r="AB1921" s="580">
        <f>HLOOKUP("*"&amp;'Output annual'!$AC$2&amp;'Output annual'!$AD$2&amp;"*Zone People Number Of Occupants [](Hourly)",'Eplus results'!$1:$1048576,ROW(),FALSE)</f>
        <v>0</v>
      </c>
      <c r="AC1921" s="580">
        <f>HLOOKUP("*"&amp;'Output annual'!$AC$2&amp;'Output annual'!$AD$2&amp;"*FangerPMV(Hourly)",'Eplus results'!$1:$1048576,ROW(),FALSE)</f>
        <v>0</v>
      </c>
      <c r="AD1921" s="580">
        <f t="shared" si="181"/>
        <v>5</v>
      </c>
      <c r="AE1921" s="580">
        <f t="shared" si="182"/>
        <v>2.5</v>
      </c>
      <c r="AF1921" s="580">
        <f t="shared" si="183"/>
        <v>2.5</v>
      </c>
      <c r="AG1921" s="580">
        <f t="shared" si="184"/>
        <v>0</v>
      </c>
      <c r="AH1921" s="580">
        <f t="shared" si="185"/>
        <v>0</v>
      </c>
    </row>
    <row r="1922" spans="28:34">
      <c r="AB1922" s="580">
        <f>HLOOKUP("*"&amp;'Output annual'!$AC$2&amp;'Output annual'!$AD$2&amp;"*Zone People Number Of Occupants [](Hourly)",'Eplus results'!$1:$1048576,ROW(),FALSE)</f>
        <v>0</v>
      </c>
      <c r="AC1922" s="580">
        <f>HLOOKUP("*"&amp;'Output annual'!$AC$2&amp;'Output annual'!$AD$2&amp;"*FangerPMV(Hourly)",'Eplus results'!$1:$1048576,ROW(),FALSE)</f>
        <v>0</v>
      </c>
      <c r="AD1922" s="580">
        <f t="shared" si="181"/>
        <v>5</v>
      </c>
      <c r="AE1922" s="580">
        <f t="shared" si="182"/>
        <v>2.5</v>
      </c>
      <c r="AF1922" s="580">
        <f t="shared" si="183"/>
        <v>2.5</v>
      </c>
      <c r="AG1922" s="580">
        <f t="shared" si="184"/>
        <v>0</v>
      </c>
      <c r="AH1922" s="580">
        <f t="shared" si="185"/>
        <v>0</v>
      </c>
    </row>
    <row r="1923" spans="28:34">
      <c r="AB1923" s="580">
        <f>HLOOKUP("*"&amp;'Output annual'!$AC$2&amp;'Output annual'!$AD$2&amp;"*Zone People Number Of Occupants [](Hourly)",'Eplus results'!$1:$1048576,ROW(),FALSE)</f>
        <v>0</v>
      </c>
      <c r="AC1923" s="580">
        <f>HLOOKUP("*"&amp;'Output annual'!$AC$2&amp;'Output annual'!$AD$2&amp;"*FangerPMV(Hourly)",'Eplus results'!$1:$1048576,ROW(),FALSE)</f>
        <v>0</v>
      </c>
      <c r="AD1923" s="580">
        <f t="shared" ref="AD1923:AD1986" si="186">100-95*EXP(-0.03353*AC1923^4-0.2179*AC1923^2)</f>
        <v>5</v>
      </c>
      <c r="AE1923" s="580">
        <f t="shared" ref="AE1923:AE1986" si="187">AD1923*(1/(1+EXP(-6.3*$AC1923)))</f>
        <v>2.5</v>
      </c>
      <c r="AF1923" s="580">
        <f t="shared" ref="AF1923:AF1986" si="188">(AD1923-AE1923)</f>
        <v>2.5</v>
      </c>
      <c r="AG1923" s="580">
        <f t="shared" ref="AG1923:AG1986" si="189">AE1923*AB1923</f>
        <v>0</v>
      </c>
      <c r="AH1923" s="580">
        <f t="shared" ref="AH1923:AH1986" si="190">AF1923*AB1923</f>
        <v>0</v>
      </c>
    </row>
    <row r="1924" spans="28:34">
      <c r="AB1924" s="580">
        <f>HLOOKUP("*"&amp;'Output annual'!$AC$2&amp;'Output annual'!$AD$2&amp;"*Zone People Number Of Occupants [](Hourly)",'Eplus results'!$1:$1048576,ROW(),FALSE)</f>
        <v>0</v>
      </c>
      <c r="AC1924" s="580">
        <f>HLOOKUP("*"&amp;'Output annual'!$AC$2&amp;'Output annual'!$AD$2&amp;"*FangerPMV(Hourly)",'Eplus results'!$1:$1048576,ROW(),FALSE)</f>
        <v>0</v>
      </c>
      <c r="AD1924" s="580">
        <f t="shared" si="186"/>
        <v>5</v>
      </c>
      <c r="AE1924" s="580">
        <f t="shared" si="187"/>
        <v>2.5</v>
      </c>
      <c r="AF1924" s="580">
        <f t="shared" si="188"/>
        <v>2.5</v>
      </c>
      <c r="AG1924" s="580">
        <f t="shared" si="189"/>
        <v>0</v>
      </c>
      <c r="AH1924" s="580">
        <f t="shared" si="190"/>
        <v>0</v>
      </c>
    </row>
    <row r="1925" spans="28:34">
      <c r="AB1925" s="580">
        <f>HLOOKUP("*"&amp;'Output annual'!$AC$2&amp;'Output annual'!$AD$2&amp;"*Zone People Number Of Occupants [](Hourly)",'Eplus results'!$1:$1048576,ROW(),FALSE)</f>
        <v>0</v>
      </c>
      <c r="AC1925" s="580">
        <f>HLOOKUP("*"&amp;'Output annual'!$AC$2&amp;'Output annual'!$AD$2&amp;"*FangerPMV(Hourly)",'Eplus results'!$1:$1048576,ROW(),FALSE)</f>
        <v>0</v>
      </c>
      <c r="AD1925" s="580">
        <f t="shared" si="186"/>
        <v>5</v>
      </c>
      <c r="AE1925" s="580">
        <f t="shared" si="187"/>
        <v>2.5</v>
      </c>
      <c r="AF1925" s="580">
        <f t="shared" si="188"/>
        <v>2.5</v>
      </c>
      <c r="AG1925" s="580">
        <f t="shared" si="189"/>
        <v>0</v>
      </c>
      <c r="AH1925" s="580">
        <f t="shared" si="190"/>
        <v>0</v>
      </c>
    </row>
    <row r="1926" spans="28:34">
      <c r="AB1926" s="580">
        <f>HLOOKUP("*"&amp;'Output annual'!$AC$2&amp;'Output annual'!$AD$2&amp;"*Zone People Number Of Occupants [](Hourly)",'Eplus results'!$1:$1048576,ROW(),FALSE)</f>
        <v>0</v>
      </c>
      <c r="AC1926" s="580">
        <f>HLOOKUP("*"&amp;'Output annual'!$AC$2&amp;'Output annual'!$AD$2&amp;"*FangerPMV(Hourly)",'Eplus results'!$1:$1048576,ROW(),FALSE)</f>
        <v>0</v>
      </c>
      <c r="AD1926" s="580">
        <f t="shared" si="186"/>
        <v>5</v>
      </c>
      <c r="AE1926" s="580">
        <f t="shared" si="187"/>
        <v>2.5</v>
      </c>
      <c r="AF1926" s="580">
        <f t="shared" si="188"/>
        <v>2.5</v>
      </c>
      <c r="AG1926" s="580">
        <f t="shared" si="189"/>
        <v>0</v>
      </c>
      <c r="AH1926" s="580">
        <f t="shared" si="190"/>
        <v>0</v>
      </c>
    </row>
    <row r="1927" spans="28:34">
      <c r="AB1927" s="580">
        <f>HLOOKUP("*"&amp;'Output annual'!$AC$2&amp;'Output annual'!$AD$2&amp;"*Zone People Number Of Occupants [](Hourly)",'Eplus results'!$1:$1048576,ROW(),FALSE)</f>
        <v>0</v>
      </c>
      <c r="AC1927" s="580">
        <f>HLOOKUP("*"&amp;'Output annual'!$AC$2&amp;'Output annual'!$AD$2&amp;"*FangerPMV(Hourly)",'Eplus results'!$1:$1048576,ROW(),FALSE)</f>
        <v>0</v>
      </c>
      <c r="AD1927" s="580">
        <f t="shared" si="186"/>
        <v>5</v>
      </c>
      <c r="AE1927" s="580">
        <f t="shared" si="187"/>
        <v>2.5</v>
      </c>
      <c r="AF1927" s="580">
        <f t="shared" si="188"/>
        <v>2.5</v>
      </c>
      <c r="AG1927" s="580">
        <f t="shared" si="189"/>
        <v>0</v>
      </c>
      <c r="AH1927" s="580">
        <f t="shared" si="190"/>
        <v>0</v>
      </c>
    </row>
    <row r="1928" spans="28:34">
      <c r="AB1928" s="580">
        <f>HLOOKUP("*"&amp;'Output annual'!$AC$2&amp;'Output annual'!$AD$2&amp;"*Zone People Number Of Occupants [](Hourly)",'Eplus results'!$1:$1048576,ROW(),FALSE)</f>
        <v>0</v>
      </c>
      <c r="AC1928" s="580">
        <f>HLOOKUP("*"&amp;'Output annual'!$AC$2&amp;'Output annual'!$AD$2&amp;"*FangerPMV(Hourly)",'Eplus results'!$1:$1048576,ROW(),FALSE)</f>
        <v>0</v>
      </c>
      <c r="AD1928" s="580">
        <f t="shared" si="186"/>
        <v>5</v>
      </c>
      <c r="AE1928" s="580">
        <f t="shared" si="187"/>
        <v>2.5</v>
      </c>
      <c r="AF1928" s="580">
        <f t="shared" si="188"/>
        <v>2.5</v>
      </c>
      <c r="AG1928" s="580">
        <f t="shared" si="189"/>
        <v>0</v>
      </c>
      <c r="AH1928" s="580">
        <f t="shared" si="190"/>
        <v>0</v>
      </c>
    </row>
    <row r="1929" spans="28:34">
      <c r="AB1929" s="580">
        <f>HLOOKUP("*"&amp;'Output annual'!$AC$2&amp;'Output annual'!$AD$2&amp;"*Zone People Number Of Occupants [](Hourly)",'Eplus results'!$1:$1048576,ROW(),FALSE)</f>
        <v>0</v>
      </c>
      <c r="AC1929" s="580">
        <f>HLOOKUP("*"&amp;'Output annual'!$AC$2&amp;'Output annual'!$AD$2&amp;"*FangerPMV(Hourly)",'Eplus results'!$1:$1048576,ROW(),FALSE)</f>
        <v>0</v>
      </c>
      <c r="AD1929" s="580">
        <f t="shared" si="186"/>
        <v>5</v>
      </c>
      <c r="AE1929" s="580">
        <f t="shared" si="187"/>
        <v>2.5</v>
      </c>
      <c r="AF1929" s="580">
        <f t="shared" si="188"/>
        <v>2.5</v>
      </c>
      <c r="AG1929" s="580">
        <f t="shared" si="189"/>
        <v>0</v>
      </c>
      <c r="AH1929" s="580">
        <f t="shared" si="190"/>
        <v>0</v>
      </c>
    </row>
    <row r="1930" spans="28:34">
      <c r="AB1930" s="580">
        <f>HLOOKUP("*"&amp;'Output annual'!$AC$2&amp;'Output annual'!$AD$2&amp;"*Zone People Number Of Occupants [](Hourly)",'Eplus results'!$1:$1048576,ROW(),FALSE)</f>
        <v>0</v>
      </c>
      <c r="AC1930" s="580">
        <f>HLOOKUP("*"&amp;'Output annual'!$AC$2&amp;'Output annual'!$AD$2&amp;"*FangerPMV(Hourly)",'Eplus results'!$1:$1048576,ROW(),FALSE)</f>
        <v>0</v>
      </c>
      <c r="AD1930" s="580">
        <f t="shared" si="186"/>
        <v>5</v>
      </c>
      <c r="AE1930" s="580">
        <f t="shared" si="187"/>
        <v>2.5</v>
      </c>
      <c r="AF1930" s="580">
        <f t="shared" si="188"/>
        <v>2.5</v>
      </c>
      <c r="AG1930" s="580">
        <f t="shared" si="189"/>
        <v>0</v>
      </c>
      <c r="AH1930" s="580">
        <f t="shared" si="190"/>
        <v>0</v>
      </c>
    </row>
    <row r="1931" spans="28:34">
      <c r="AB1931" s="580">
        <f>HLOOKUP("*"&amp;'Output annual'!$AC$2&amp;'Output annual'!$AD$2&amp;"*Zone People Number Of Occupants [](Hourly)",'Eplus results'!$1:$1048576,ROW(),FALSE)</f>
        <v>0</v>
      </c>
      <c r="AC1931" s="580">
        <f>HLOOKUP("*"&amp;'Output annual'!$AC$2&amp;'Output annual'!$AD$2&amp;"*FangerPMV(Hourly)",'Eplus results'!$1:$1048576,ROW(),FALSE)</f>
        <v>0</v>
      </c>
      <c r="AD1931" s="580">
        <f t="shared" si="186"/>
        <v>5</v>
      </c>
      <c r="AE1931" s="580">
        <f t="shared" si="187"/>
        <v>2.5</v>
      </c>
      <c r="AF1931" s="580">
        <f t="shared" si="188"/>
        <v>2.5</v>
      </c>
      <c r="AG1931" s="580">
        <f t="shared" si="189"/>
        <v>0</v>
      </c>
      <c r="AH1931" s="580">
        <f t="shared" si="190"/>
        <v>0</v>
      </c>
    </row>
    <row r="1932" spans="28:34">
      <c r="AB1932" s="580">
        <f>HLOOKUP("*"&amp;'Output annual'!$AC$2&amp;'Output annual'!$AD$2&amp;"*Zone People Number Of Occupants [](Hourly)",'Eplus results'!$1:$1048576,ROW(),FALSE)</f>
        <v>0</v>
      </c>
      <c r="AC1932" s="580">
        <f>HLOOKUP("*"&amp;'Output annual'!$AC$2&amp;'Output annual'!$AD$2&amp;"*FangerPMV(Hourly)",'Eplus results'!$1:$1048576,ROW(),FALSE)</f>
        <v>0</v>
      </c>
      <c r="AD1932" s="580">
        <f t="shared" si="186"/>
        <v>5</v>
      </c>
      <c r="AE1932" s="580">
        <f t="shared" si="187"/>
        <v>2.5</v>
      </c>
      <c r="AF1932" s="580">
        <f t="shared" si="188"/>
        <v>2.5</v>
      </c>
      <c r="AG1932" s="580">
        <f t="shared" si="189"/>
        <v>0</v>
      </c>
      <c r="AH1932" s="580">
        <f t="shared" si="190"/>
        <v>0</v>
      </c>
    </row>
    <row r="1933" spans="28:34">
      <c r="AB1933" s="580">
        <f>HLOOKUP("*"&amp;'Output annual'!$AC$2&amp;'Output annual'!$AD$2&amp;"*Zone People Number Of Occupants [](Hourly)",'Eplus results'!$1:$1048576,ROW(),FALSE)</f>
        <v>0</v>
      </c>
      <c r="AC1933" s="580">
        <f>HLOOKUP("*"&amp;'Output annual'!$AC$2&amp;'Output annual'!$AD$2&amp;"*FangerPMV(Hourly)",'Eplus results'!$1:$1048576,ROW(),FALSE)</f>
        <v>0</v>
      </c>
      <c r="AD1933" s="580">
        <f t="shared" si="186"/>
        <v>5</v>
      </c>
      <c r="AE1933" s="580">
        <f t="shared" si="187"/>
        <v>2.5</v>
      </c>
      <c r="AF1933" s="580">
        <f t="shared" si="188"/>
        <v>2.5</v>
      </c>
      <c r="AG1933" s="580">
        <f t="shared" si="189"/>
        <v>0</v>
      </c>
      <c r="AH1933" s="580">
        <f t="shared" si="190"/>
        <v>0</v>
      </c>
    </row>
    <row r="1934" spans="28:34">
      <c r="AB1934" s="580">
        <f>HLOOKUP("*"&amp;'Output annual'!$AC$2&amp;'Output annual'!$AD$2&amp;"*Zone People Number Of Occupants [](Hourly)",'Eplus results'!$1:$1048576,ROW(),FALSE)</f>
        <v>0</v>
      </c>
      <c r="AC1934" s="580">
        <f>HLOOKUP("*"&amp;'Output annual'!$AC$2&amp;'Output annual'!$AD$2&amp;"*FangerPMV(Hourly)",'Eplus results'!$1:$1048576,ROW(),FALSE)</f>
        <v>0</v>
      </c>
      <c r="AD1934" s="580">
        <f t="shared" si="186"/>
        <v>5</v>
      </c>
      <c r="AE1934" s="580">
        <f t="shared" si="187"/>
        <v>2.5</v>
      </c>
      <c r="AF1934" s="580">
        <f t="shared" si="188"/>
        <v>2.5</v>
      </c>
      <c r="AG1934" s="580">
        <f t="shared" si="189"/>
        <v>0</v>
      </c>
      <c r="AH1934" s="580">
        <f t="shared" si="190"/>
        <v>0</v>
      </c>
    </row>
    <row r="1935" spans="28:34">
      <c r="AB1935" s="580">
        <f>HLOOKUP("*"&amp;'Output annual'!$AC$2&amp;'Output annual'!$AD$2&amp;"*Zone People Number Of Occupants [](Hourly)",'Eplus results'!$1:$1048576,ROW(),FALSE)</f>
        <v>0</v>
      </c>
      <c r="AC1935" s="580">
        <f>HLOOKUP("*"&amp;'Output annual'!$AC$2&amp;'Output annual'!$AD$2&amp;"*FangerPMV(Hourly)",'Eplus results'!$1:$1048576,ROW(),FALSE)</f>
        <v>0</v>
      </c>
      <c r="AD1935" s="580">
        <f t="shared" si="186"/>
        <v>5</v>
      </c>
      <c r="AE1935" s="580">
        <f t="shared" si="187"/>
        <v>2.5</v>
      </c>
      <c r="AF1935" s="580">
        <f t="shared" si="188"/>
        <v>2.5</v>
      </c>
      <c r="AG1935" s="580">
        <f t="shared" si="189"/>
        <v>0</v>
      </c>
      <c r="AH1935" s="580">
        <f t="shared" si="190"/>
        <v>0</v>
      </c>
    </row>
    <row r="1936" spans="28:34">
      <c r="AB1936" s="580">
        <f>HLOOKUP("*"&amp;'Output annual'!$AC$2&amp;'Output annual'!$AD$2&amp;"*Zone People Number Of Occupants [](Hourly)",'Eplus results'!$1:$1048576,ROW(),FALSE)</f>
        <v>0</v>
      </c>
      <c r="AC1936" s="580">
        <f>HLOOKUP("*"&amp;'Output annual'!$AC$2&amp;'Output annual'!$AD$2&amp;"*FangerPMV(Hourly)",'Eplus results'!$1:$1048576,ROW(),FALSE)</f>
        <v>0</v>
      </c>
      <c r="AD1936" s="580">
        <f t="shared" si="186"/>
        <v>5</v>
      </c>
      <c r="AE1936" s="580">
        <f t="shared" si="187"/>
        <v>2.5</v>
      </c>
      <c r="AF1936" s="580">
        <f t="shared" si="188"/>
        <v>2.5</v>
      </c>
      <c r="AG1936" s="580">
        <f t="shared" si="189"/>
        <v>0</v>
      </c>
      <c r="AH1936" s="580">
        <f t="shared" si="190"/>
        <v>0</v>
      </c>
    </row>
    <row r="1937" spans="28:34">
      <c r="AB1937" s="580">
        <f>HLOOKUP("*"&amp;'Output annual'!$AC$2&amp;'Output annual'!$AD$2&amp;"*Zone People Number Of Occupants [](Hourly)",'Eplus results'!$1:$1048576,ROW(),FALSE)</f>
        <v>0</v>
      </c>
      <c r="AC1937" s="580">
        <f>HLOOKUP("*"&amp;'Output annual'!$AC$2&amp;'Output annual'!$AD$2&amp;"*FangerPMV(Hourly)",'Eplus results'!$1:$1048576,ROW(),FALSE)</f>
        <v>0</v>
      </c>
      <c r="AD1937" s="580">
        <f t="shared" si="186"/>
        <v>5</v>
      </c>
      <c r="AE1937" s="580">
        <f t="shared" si="187"/>
        <v>2.5</v>
      </c>
      <c r="AF1937" s="580">
        <f t="shared" si="188"/>
        <v>2.5</v>
      </c>
      <c r="AG1937" s="580">
        <f t="shared" si="189"/>
        <v>0</v>
      </c>
      <c r="AH1937" s="580">
        <f t="shared" si="190"/>
        <v>0</v>
      </c>
    </row>
    <row r="1938" spans="28:34">
      <c r="AB1938" s="580">
        <f>HLOOKUP("*"&amp;'Output annual'!$AC$2&amp;'Output annual'!$AD$2&amp;"*Zone People Number Of Occupants [](Hourly)",'Eplus results'!$1:$1048576,ROW(),FALSE)</f>
        <v>0</v>
      </c>
      <c r="AC1938" s="580">
        <f>HLOOKUP("*"&amp;'Output annual'!$AC$2&amp;'Output annual'!$AD$2&amp;"*FangerPMV(Hourly)",'Eplus results'!$1:$1048576,ROW(),FALSE)</f>
        <v>0</v>
      </c>
      <c r="AD1938" s="580">
        <f t="shared" si="186"/>
        <v>5</v>
      </c>
      <c r="AE1938" s="580">
        <f t="shared" si="187"/>
        <v>2.5</v>
      </c>
      <c r="AF1938" s="580">
        <f t="shared" si="188"/>
        <v>2.5</v>
      </c>
      <c r="AG1938" s="580">
        <f t="shared" si="189"/>
        <v>0</v>
      </c>
      <c r="AH1938" s="580">
        <f t="shared" si="190"/>
        <v>0</v>
      </c>
    </row>
    <row r="1939" spans="28:34">
      <c r="AB1939" s="580">
        <f>HLOOKUP("*"&amp;'Output annual'!$AC$2&amp;'Output annual'!$AD$2&amp;"*Zone People Number Of Occupants [](Hourly)",'Eplus results'!$1:$1048576,ROW(),FALSE)</f>
        <v>0</v>
      </c>
      <c r="AC1939" s="580">
        <f>HLOOKUP("*"&amp;'Output annual'!$AC$2&amp;'Output annual'!$AD$2&amp;"*FangerPMV(Hourly)",'Eplus results'!$1:$1048576,ROW(),FALSE)</f>
        <v>0</v>
      </c>
      <c r="AD1939" s="580">
        <f t="shared" si="186"/>
        <v>5</v>
      </c>
      <c r="AE1939" s="580">
        <f t="shared" si="187"/>
        <v>2.5</v>
      </c>
      <c r="AF1939" s="580">
        <f t="shared" si="188"/>
        <v>2.5</v>
      </c>
      <c r="AG1939" s="580">
        <f t="shared" si="189"/>
        <v>0</v>
      </c>
      <c r="AH1939" s="580">
        <f t="shared" si="190"/>
        <v>0</v>
      </c>
    </row>
    <row r="1940" spans="28:34">
      <c r="AB1940" s="580">
        <f>HLOOKUP("*"&amp;'Output annual'!$AC$2&amp;'Output annual'!$AD$2&amp;"*Zone People Number Of Occupants [](Hourly)",'Eplus results'!$1:$1048576,ROW(),FALSE)</f>
        <v>0</v>
      </c>
      <c r="AC1940" s="580">
        <f>HLOOKUP("*"&amp;'Output annual'!$AC$2&amp;'Output annual'!$AD$2&amp;"*FangerPMV(Hourly)",'Eplus results'!$1:$1048576,ROW(),FALSE)</f>
        <v>0</v>
      </c>
      <c r="AD1940" s="580">
        <f t="shared" si="186"/>
        <v>5</v>
      </c>
      <c r="AE1940" s="580">
        <f t="shared" si="187"/>
        <v>2.5</v>
      </c>
      <c r="AF1940" s="580">
        <f t="shared" si="188"/>
        <v>2.5</v>
      </c>
      <c r="AG1940" s="580">
        <f t="shared" si="189"/>
        <v>0</v>
      </c>
      <c r="AH1940" s="580">
        <f t="shared" si="190"/>
        <v>0</v>
      </c>
    </row>
    <row r="1941" spans="28:34">
      <c r="AB1941" s="580">
        <f>HLOOKUP("*"&amp;'Output annual'!$AC$2&amp;'Output annual'!$AD$2&amp;"*Zone People Number Of Occupants [](Hourly)",'Eplus results'!$1:$1048576,ROW(),FALSE)</f>
        <v>0</v>
      </c>
      <c r="AC1941" s="580">
        <f>HLOOKUP("*"&amp;'Output annual'!$AC$2&amp;'Output annual'!$AD$2&amp;"*FangerPMV(Hourly)",'Eplus results'!$1:$1048576,ROW(),FALSE)</f>
        <v>0</v>
      </c>
      <c r="AD1941" s="580">
        <f t="shared" si="186"/>
        <v>5</v>
      </c>
      <c r="AE1941" s="580">
        <f t="shared" si="187"/>
        <v>2.5</v>
      </c>
      <c r="AF1941" s="580">
        <f t="shared" si="188"/>
        <v>2.5</v>
      </c>
      <c r="AG1941" s="580">
        <f t="shared" si="189"/>
        <v>0</v>
      </c>
      <c r="AH1941" s="580">
        <f t="shared" si="190"/>
        <v>0</v>
      </c>
    </row>
    <row r="1942" spans="28:34">
      <c r="AB1942" s="580">
        <f>HLOOKUP("*"&amp;'Output annual'!$AC$2&amp;'Output annual'!$AD$2&amp;"*Zone People Number Of Occupants [](Hourly)",'Eplus results'!$1:$1048576,ROW(),FALSE)</f>
        <v>0</v>
      </c>
      <c r="AC1942" s="580">
        <f>HLOOKUP("*"&amp;'Output annual'!$AC$2&amp;'Output annual'!$AD$2&amp;"*FangerPMV(Hourly)",'Eplus results'!$1:$1048576,ROW(),FALSE)</f>
        <v>0</v>
      </c>
      <c r="AD1942" s="580">
        <f t="shared" si="186"/>
        <v>5</v>
      </c>
      <c r="AE1942" s="580">
        <f t="shared" si="187"/>
        <v>2.5</v>
      </c>
      <c r="AF1942" s="580">
        <f t="shared" si="188"/>
        <v>2.5</v>
      </c>
      <c r="AG1942" s="580">
        <f t="shared" si="189"/>
        <v>0</v>
      </c>
      <c r="AH1942" s="580">
        <f t="shared" si="190"/>
        <v>0</v>
      </c>
    </row>
    <row r="1943" spans="28:34">
      <c r="AB1943" s="580">
        <f>HLOOKUP("*"&amp;'Output annual'!$AC$2&amp;'Output annual'!$AD$2&amp;"*Zone People Number Of Occupants [](Hourly)",'Eplus results'!$1:$1048576,ROW(),FALSE)</f>
        <v>0</v>
      </c>
      <c r="AC1943" s="580">
        <f>HLOOKUP("*"&amp;'Output annual'!$AC$2&amp;'Output annual'!$AD$2&amp;"*FangerPMV(Hourly)",'Eplus results'!$1:$1048576,ROW(),FALSE)</f>
        <v>0</v>
      </c>
      <c r="AD1943" s="580">
        <f t="shared" si="186"/>
        <v>5</v>
      </c>
      <c r="AE1943" s="580">
        <f t="shared" si="187"/>
        <v>2.5</v>
      </c>
      <c r="AF1943" s="580">
        <f t="shared" si="188"/>
        <v>2.5</v>
      </c>
      <c r="AG1943" s="580">
        <f t="shared" si="189"/>
        <v>0</v>
      </c>
      <c r="AH1943" s="580">
        <f t="shared" si="190"/>
        <v>0</v>
      </c>
    </row>
    <row r="1944" spans="28:34">
      <c r="AB1944" s="580">
        <f>HLOOKUP("*"&amp;'Output annual'!$AC$2&amp;'Output annual'!$AD$2&amp;"*Zone People Number Of Occupants [](Hourly)",'Eplus results'!$1:$1048576,ROW(),FALSE)</f>
        <v>0</v>
      </c>
      <c r="AC1944" s="580">
        <f>HLOOKUP("*"&amp;'Output annual'!$AC$2&amp;'Output annual'!$AD$2&amp;"*FangerPMV(Hourly)",'Eplus results'!$1:$1048576,ROW(),FALSE)</f>
        <v>0</v>
      </c>
      <c r="AD1944" s="580">
        <f t="shared" si="186"/>
        <v>5</v>
      </c>
      <c r="AE1944" s="580">
        <f t="shared" si="187"/>
        <v>2.5</v>
      </c>
      <c r="AF1944" s="580">
        <f t="shared" si="188"/>
        <v>2.5</v>
      </c>
      <c r="AG1944" s="580">
        <f t="shared" si="189"/>
        <v>0</v>
      </c>
      <c r="AH1944" s="580">
        <f t="shared" si="190"/>
        <v>0</v>
      </c>
    </row>
    <row r="1945" spans="28:34">
      <c r="AB1945" s="580">
        <f>HLOOKUP("*"&amp;'Output annual'!$AC$2&amp;'Output annual'!$AD$2&amp;"*Zone People Number Of Occupants [](Hourly)",'Eplus results'!$1:$1048576,ROW(),FALSE)</f>
        <v>0</v>
      </c>
      <c r="AC1945" s="580">
        <f>HLOOKUP("*"&amp;'Output annual'!$AC$2&amp;'Output annual'!$AD$2&amp;"*FangerPMV(Hourly)",'Eplus results'!$1:$1048576,ROW(),FALSE)</f>
        <v>0</v>
      </c>
      <c r="AD1945" s="580">
        <f t="shared" si="186"/>
        <v>5</v>
      </c>
      <c r="AE1945" s="580">
        <f t="shared" si="187"/>
        <v>2.5</v>
      </c>
      <c r="AF1945" s="580">
        <f t="shared" si="188"/>
        <v>2.5</v>
      </c>
      <c r="AG1945" s="580">
        <f t="shared" si="189"/>
        <v>0</v>
      </c>
      <c r="AH1945" s="580">
        <f t="shared" si="190"/>
        <v>0</v>
      </c>
    </row>
    <row r="1946" spans="28:34">
      <c r="AB1946" s="580">
        <f>HLOOKUP("*"&amp;'Output annual'!$AC$2&amp;'Output annual'!$AD$2&amp;"*Zone People Number Of Occupants [](Hourly)",'Eplus results'!$1:$1048576,ROW(),FALSE)</f>
        <v>0</v>
      </c>
      <c r="AC1946" s="580">
        <f>HLOOKUP("*"&amp;'Output annual'!$AC$2&amp;'Output annual'!$AD$2&amp;"*FangerPMV(Hourly)",'Eplus results'!$1:$1048576,ROW(),FALSE)</f>
        <v>0</v>
      </c>
      <c r="AD1946" s="580">
        <f t="shared" si="186"/>
        <v>5</v>
      </c>
      <c r="AE1946" s="580">
        <f t="shared" si="187"/>
        <v>2.5</v>
      </c>
      <c r="AF1946" s="580">
        <f t="shared" si="188"/>
        <v>2.5</v>
      </c>
      <c r="AG1946" s="580">
        <f t="shared" si="189"/>
        <v>0</v>
      </c>
      <c r="AH1946" s="580">
        <f t="shared" si="190"/>
        <v>0</v>
      </c>
    </row>
    <row r="1947" spans="28:34">
      <c r="AB1947" s="580">
        <f>HLOOKUP("*"&amp;'Output annual'!$AC$2&amp;'Output annual'!$AD$2&amp;"*Zone People Number Of Occupants [](Hourly)",'Eplus results'!$1:$1048576,ROW(),FALSE)</f>
        <v>0</v>
      </c>
      <c r="AC1947" s="580">
        <f>HLOOKUP("*"&amp;'Output annual'!$AC$2&amp;'Output annual'!$AD$2&amp;"*FangerPMV(Hourly)",'Eplus results'!$1:$1048576,ROW(),FALSE)</f>
        <v>0</v>
      </c>
      <c r="AD1947" s="580">
        <f t="shared" si="186"/>
        <v>5</v>
      </c>
      <c r="AE1947" s="580">
        <f t="shared" si="187"/>
        <v>2.5</v>
      </c>
      <c r="AF1947" s="580">
        <f t="shared" si="188"/>
        <v>2.5</v>
      </c>
      <c r="AG1947" s="580">
        <f t="shared" si="189"/>
        <v>0</v>
      </c>
      <c r="AH1947" s="580">
        <f t="shared" si="190"/>
        <v>0</v>
      </c>
    </row>
    <row r="1948" spans="28:34">
      <c r="AB1948" s="580">
        <f>HLOOKUP("*"&amp;'Output annual'!$AC$2&amp;'Output annual'!$AD$2&amp;"*Zone People Number Of Occupants [](Hourly)",'Eplus results'!$1:$1048576,ROW(),FALSE)</f>
        <v>0</v>
      </c>
      <c r="AC1948" s="580">
        <f>HLOOKUP("*"&amp;'Output annual'!$AC$2&amp;'Output annual'!$AD$2&amp;"*FangerPMV(Hourly)",'Eplus results'!$1:$1048576,ROW(),FALSE)</f>
        <v>0</v>
      </c>
      <c r="AD1948" s="580">
        <f t="shared" si="186"/>
        <v>5</v>
      </c>
      <c r="AE1948" s="580">
        <f t="shared" si="187"/>
        <v>2.5</v>
      </c>
      <c r="AF1948" s="580">
        <f t="shared" si="188"/>
        <v>2.5</v>
      </c>
      <c r="AG1948" s="580">
        <f t="shared" si="189"/>
        <v>0</v>
      </c>
      <c r="AH1948" s="580">
        <f t="shared" si="190"/>
        <v>0</v>
      </c>
    </row>
    <row r="1949" spans="28:34">
      <c r="AB1949" s="580">
        <f>HLOOKUP("*"&amp;'Output annual'!$AC$2&amp;'Output annual'!$AD$2&amp;"*Zone People Number Of Occupants [](Hourly)",'Eplus results'!$1:$1048576,ROW(),FALSE)</f>
        <v>0</v>
      </c>
      <c r="AC1949" s="580">
        <f>HLOOKUP("*"&amp;'Output annual'!$AC$2&amp;'Output annual'!$AD$2&amp;"*FangerPMV(Hourly)",'Eplus results'!$1:$1048576,ROW(),FALSE)</f>
        <v>0</v>
      </c>
      <c r="AD1949" s="580">
        <f t="shared" si="186"/>
        <v>5</v>
      </c>
      <c r="AE1949" s="580">
        <f t="shared" si="187"/>
        <v>2.5</v>
      </c>
      <c r="AF1949" s="580">
        <f t="shared" si="188"/>
        <v>2.5</v>
      </c>
      <c r="AG1949" s="580">
        <f t="shared" si="189"/>
        <v>0</v>
      </c>
      <c r="AH1949" s="580">
        <f t="shared" si="190"/>
        <v>0</v>
      </c>
    </row>
    <row r="1950" spans="28:34">
      <c r="AB1950" s="580">
        <f>HLOOKUP("*"&amp;'Output annual'!$AC$2&amp;'Output annual'!$AD$2&amp;"*Zone People Number Of Occupants [](Hourly)",'Eplus results'!$1:$1048576,ROW(),FALSE)</f>
        <v>0</v>
      </c>
      <c r="AC1950" s="580">
        <f>HLOOKUP("*"&amp;'Output annual'!$AC$2&amp;'Output annual'!$AD$2&amp;"*FangerPMV(Hourly)",'Eplus results'!$1:$1048576,ROW(),FALSE)</f>
        <v>0</v>
      </c>
      <c r="AD1950" s="580">
        <f t="shared" si="186"/>
        <v>5</v>
      </c>
      <c r="AE1950" s="580">
        <f t="shared" si="187"/>
        <v>2.5</v>
      </c>
      <c r="AF1950" s="580">
        <f t="shared" si="188"/>
        <v>2.5</v>
      </c>
      <c r="AG1950" s="580">
        <f t="shared" si="189"/>
        <v>0</v>
      </c>
      <c r="AH1950" s="580">
        <f t="shared" si="190"/>
        <v>0</v>
      </c>
    </row>
    <row r="1951" spans="28:34">
      <c r="AB1951" s="580">
        <f>HLOOKUP("*"&amp;'Output annual'!$AC$2&amp;'Output annual'!$AD$2&amp;"*Zone People Number Of Occupants [](Hourly)",'Eplus results'!$1:$1048576,ROW(),FALSE)</f>
        <v>0</v>
      </c>
      <c r="AC1951" s="580">
        <f>HLOOKUP("*"&amp;'Output annual'!$AC$2&amp;'Output annual'!$AD$2&amp;"*FangerPMV(Hourly)",'Eplus results'!$1:$1048576,ROW(),FALSE)</f>
        <v>0</v>
      </c>
      <c r="AD1951" s="580">
        <f t="shared" si="186"/>
        <v>5</v>
      </c>
      <c r="AE1951" s="580">
        <f t="shared" si="187"/>
        <v>2.5</v>
      </c>
      <c r="AF1951" s="580">
        <f t="shared" si="188"/>
        <v>2.5</v>
      </c>
      <c r="AG1951" s="580">
        <f t="shared" si="189"/>
        <v>0</v>
      </c>
      <c r="AH1951" s="580">
        <f t="shared" si="190"/>
        <v>0</v>
      </c>
    </row>
    <row r="1952" spans="28:34">
      <c r="AB1952" s="580">
        <f>HLOOKUP("*"&amp;'Output annual'!$AC$2&amp;'Output annual'!$AD$2&amp;"*Zone People Number Of Occupants [](Hourly)",'Eplus results'!$1:$1048576,ROW(),FALSE)</f>
        <v>0</v>
      </c>
      <c r="AC1952" s="580">
        <f>HLOOKUP("*"&amp;'Output annual'!$AC$2&amp;'Output annual'!$AD$2&amp;"*FangerPMV(Hourly)",'Eplus results'!$1:$1048576,ROW(),FALSE)</f>
        <v>0</v>
      </c>
      <c r="AD1952" s="580">
        <f t="shared" si="186"/>
        <v>5</v>
      </c>
      <c r="AE1952" s="580">
        <f t="shared" si="187"/>
        <v>2.5</v>
      </c>
      <c r="AF1952" s="580">
        <f t="shared" si="188"/>
        <v>2.5</v>
      </c>
      <c r="AG1952" s="580">
        <f t="shared" si="189"/>
        <v>0</v>
      </c>
      <c r="AH1952" s="580">
        <f t="shared" si="190"/>
        <v>0</v>
      </c>
    </row>
    <row r="1953" spans="28:34">
      <c r="AB1953" s="580">
        <f>HLOOKUP("*"&amp;'Output annual'!$AC$2&amp;'Output annual'!$AD$2&amp;"*Zone People Number Of Occupants [](Hourly)",'Eplus results'!$1:$1048576,ROW(),FALSE)</f>
        <v>0</v>
      </c>
      <c r="AC1953" s="580">
        <f>HLOOKUP("*"&amp;'Output annual'!$AC$2&amp;'Output annual'!$AD$2&amp;"*FangerPMV(Hourly)",'Eplus results'!$1:$1048576,ROW(),FALSE)</f>
        <v>0</v>
      </c>
      <c r="AD1953" s="580">
        <f t="shared" si="186"/>
        <v>5</v>
      </c>
      <c r="AE1953" s="580">
        <f t="shared" si="187"/>
        <v>2.5</v>
      </c>
      <c r="AF1953" s="580">
        <f t="shared" si="188"/>
        <v>2.5</v>
      </c>
      <c r="AG1953" s="580">
        <f t="shared" si="189"/>
        <v>0</v>
      </c>
      <c r="AH1953" s="580">
        <f t="shared" si="190"/>
        <v>0</v>
      </c>
    </row>
    <row r="1954" spans="28:34">
      <c r="AB1954" s="580">
        <f>HLOOKUP("*"&amp;'Output annual'!$AC$2&amp;'Output annual'!$AD$2&amp;"*Zone People Number Of Occupants [](Hourly)",'Eplus results'!$1:$1048576,ROW(),FALSE)</f>
        <v>0</v>
      </c>
      <c r="AC1954" s="580">
        <f>HLOOKUP("*"&amp;'Output annual'!$AC$2&amp;'Output annual'!$AD$2&amp;"*FangerPMV(Hourly)",'Eplus results'!$1:$1048576,ROW(),FALSE)</f>
        <v>0</v>
      </c>
      <c r="AD1954" s="580">
        <f t="shared" si="186"/>
        <v>5</v>
      </c>
      <c r="AE1954" s="580">
        <f t="shared" si="187"/>
        <v>2.5</v>
      </c>
      <c r="AF1954" s="580">
        <f t="shared" si="188"/>
        <v>2.5</v>
      </c>
      <c r="AG1954" s="580">
        <f t="shared" si="189"/>
        <v>0</v>
      </c>
      <c r="AH1954" s="580">
        <f t="shared" si="190"/>
        <v>0</v>
      </c>
    </row>
    <row r="1955" spans="28:34">
      <c r="AB1955" s="580">
        <f>HLOOKUP("*"&amp;'Output annual'!$AC$2&amp;'Output annual'!$AD$2&amp;"*Zone People Number Of Occupants [](Hourly)",'Eplus results'!$1:$1048576,ROW(),FALSE)</f>
        <v>0</v>
      </c>
      <c r="AC1955" s="580">
        <f>HLOOKUP("*"&amp;'Output annual'!$AC$2&amp;'Output annual'!$AD$2&amp;"*FangerPMV(Hourly)",'Eplus results'!$1:$1048576,ROW(),FALSE)</f>
        <v>0</v>
      </c>
      <c r="AD1955" s="580">
        <f t="shared" si="186"/>
        <v>5</v>
      </c>
      <c r="AE1955" s="580">
        <f t="shared" si="187"/>
        <v>2.5</v>
      </c>
      <c r="AF1955" s="580">
        <f t="shared" si="188"/>
        <v>2.5</v>
      </c>
      <c r="AG1955" s="580">
        <f t="shared" si="189"/>
        <v>0</v>
      </c>
      <c r="AH1955" s="580">
        <f t="shared" si="190"/>
        <v>0</v>
      </c>
    </row>
    <row r="1956" spans="28:34">
      <c r="AB1956" s="580">
        <f>HLOOKUP("*"&amp;'Output annual'!$AC$2&amp;'Output annual'!$AD$2&amp;"*Zone People Number Of Occupants [](Hourly)",'Eplus results'!$1:$1048576,ROW(),FALSE)</f>
        <v>0</v>
      </c>
      <c r="AC1956" s="580">
        <f>HLOOKUP("*"&amp;'Output annual'!$AC$2&amp;'Output annual'!$AD$2&amp;"*FangerPMV(Hourly)",'Eplus results'!$1:$1048576,ROW(),FALSE)</f>
        <v>0</v>
      </c>
      <c r="AD1956" s="580">
        <f t="shared" si="186"/>
        <v>5</v>
      </c>
      <c r="AE1956" s="580">
        <f t="shared" si="187"/>
        <v>2.5</v>
      </c>
      <c r="AF1956" s="580">
        <f t="shared" si="188"/>
        <v>2.5</v>
      </c>
      <c r="AG1956" s="580">
        <f t="shared" si="189"/>
        <v>0</v>
      </c>
      <c r="AH1956" s="580">
        <f t="shared" si="190"/>
        <v>0</v>
      </c>
    </row>
    <row r="1957" spans="28:34">
      <c r="AB1957" s="580">
        <f>HLOOKUP("*"&amp;'Output annual'!$AC$2&amp;'Output annual'!$AD$2&amp;"*Zone People Number Of Occupants [](Hourly)",'Eplus results'!$1:$1048576,ROW(),FALSE)</f>
        <v>0</v>
      </c>
      <c r="AC1957" s="580">
        <f>HLOOKUP("*"&amp;'Output annual'!$AC$2&amp;'Output annual'!$AD$2&amp;"*FangerPMV(Hourly)",'Eplus results'!$1:$1048576,ROW(),FALSE)</f>
        <v>0</v>
      </c>
      <c r="AD1957" s="580">
        <f t="shared" si="186"/>
        <v>5</v>
      </c>
      <c r="AE1957" s="580">
        <f t="shared" si="187"/>
        <v>2.5</v>
      </c>
      <c r="AF1957" s="580">
        <f t="shared" si="188"/>
        <v>2.5</v>
      </c>
      <c r="AG1957" s="580">
        <f t="shared" si="189"/>
        <v>0</v>
      </c>
      <c r="AH1957" s="580">
        <f t="shared" si="190"/>
        <v>0</v>
      </c>
    </row>
    <row r="1958" spans="28:34">
      <c r="AB1958" s="580">
        <f>HLOOKUP("*"&amp;'Output annual'!$AC$2&amp;'Output annual'!$AD$2&amp;"*Zone People Number Of Occupants [](Hourly)",'Eplus results'!$1:$1048576,ROW(),FALSE)</f>
        <v>0</v>
      </c>
      <c r="AC1958" s="580">
        <f>HLOOKUP("*"&amp;'Output annual'!$AC$2&amp;'Output annual'!$AD$2&amp;"*FangerPMV(Hourly)",'Eplus results'!$1:$1048576,ROW(),FALSE)</f>
        <v>0</v>
      </c>
      <c r="AD1958" s="580">
        <f t="shared" si="186"/>
        <v>5</v>
      </c>
      <c r="AE1958" s="580">
        <f t="shared" si="187"/>
        <v>2.5</v>
      </c>
      <c r="AF1958" s="580">
        <f t="shared" si="188"/>
        <v>2.5</v>
      </c>
      <c r="AG1958" s="580">
        <f t="shared" si="189"/>
        <v>0</v>
      </c>
      <c r="AH1958" s="580">
        <f t="shared" si="190"/>
        <v>0</v>
      </c>
    </row>
    <row r="1959" spans="28:34">
      <c r="AB1959" s="580">
        <f>HLOOKUP("*"&amp;'Output annual'!$AC$2&amp;'Output annual'!$AD$2&amp;"*Zone People Number Of Occupants [](Hourly)",'Eplus results'!$1:$1048576,ROW(),FALSE)</f>
        <v>0</v>
      </c>
      <c r="AC1959" s="580">
        <f>HLOOKUP("*"&amp;'Output annual'!$AC$2&amp;'Output annual'!$AD$2&amp;"*FangerPMV(Hourly)",'Eplus results'!$1:$1048576,ROW(),FALSE)</f>
        <v>0</v>
      </c>
      <c r="AD1959" s="580">
        <f t="shared" si="186"/>
        <v>5</v>
      </c>
      <c r="AE1959" s="580">
        <f t="shared" si="187"/>
        <v>2.5</v>
      </c>
      <c r="AF1959" s="580">
        <f t="shared" si="188"/>
        <v>2.5</v>
      </c>
      <c r="AG1959" s="580">
        <f t="shared" si="189"/>
        <v>0</v>
      </c>
      <c r="AH1959" s="580">
        <f t="shared" si="190"/>
        <v>0</v>
      </c>
    </row>
    <row r="1960" spans="28:34">
      <c r="AB1960" s="580">
        <f>HLOOKUP("*"&amp;'Output annual'!$AC$2&amp;'Output annual'!$AD$2&amp;"*Zone People Number Of Occupants [](Hourly)",'Eplus results'!$1:$1048576,ROW(),FALSE)</f>
        <v>0</v>
      </c>
      <c r="AC1960" s="580">
        <f>HLOOKUP("*"&amp;'Output annual'!$AC$2&amp;'Output annual'!$AD$2&amp;"*FangerPMV(Hourly)",'Eplus results'!$1:$1048576,ROW(),FALSE)</f>
        <v>0</v>
      </c>
      <c r="AD1960" s="580">
        <f t="shared" si="186"/>
        <v>5</v>
      </c>
      <c r="AE1960" s="580">
        <f t="shared" si="187"/>
        <v>2.5</v>
      </c>
      <c r="AF1960" s="580">
        <f t="shared" si="188"/>
        <v>2.5</v>
      </c>
      <c r="AG1960" s="580">
        <f t="shared" si="189"/>
        <v>0</v>
      </c>
      <c r="AH1960" s="580">
        <f t="shared" si="190"/>
        <v>0</v>
      </c>
    </row>
    <row r="1961" spans="28:34">
      <c r="AB1961" s="580">
        <f>HLOOKUP("*"&amp;'Output annual'!$AC$2&amp;'Output annual'!$AD$2&amp;"*Zone People Number Of Occupants [](Hourly)",'Eplus results'!$1:$1048576,ROW(),FALSE)</f>
        <v>0</v>
      </c>
      <c r="AC1961" s="580">
        <f>HLOOKUP("*"&amp;'Output annual'!$AC$2&amp;'Output annual'!$AD$2&amp;"*FangerPMV(Hourly)",'Eplus results'!$1:$1048576,ROW(),FALSE)</f>
        <v>0</v>
      </c>
      <c r="AD1961" s="580">
        <f t="shared" si="186"/>
        <v>5</v>
      </c>
      <c r="AE1961" s="580">
        <f t="shared" si="187"/>
        <v>2.5</v>
      </c>
      <c r="AF1961" s="580">
        <f t="shared" si="188"/>
        <v>2.5</v>
      </c>
      <c r="AG1961" s="580">
        <f t="shared" si="189"/>
        <v>0</v>
      </c>
      <c r="AH1961" s="580">
        <f t="shared" si="190"/>
        <v>0</v>
      </c>
    </row>
    <row r="1962" spans="28:34">
      <c r="AB1962" s="580">
        <f>HLOOKUP("*"&amp;'Output annual'!$AC$2&amp;'Output annual'!$AD$2&amp;"*Zone People Number Of Occupants [](Hourly)",'Eplus results'!$1:$1048576,ROW(),FALSE)</f>
        <v>0</v>
      </c>
      <c r="AC1962" s="580">
        <f>HLOOKUP("*"&amp;'Output annual'!$AC$2&amp;'Output annual'!$AD$2&amp;"*FangerPMV(Hourly)",'Eplus results'!$1:$1048576,ROW(),FALSE)</f>
        <v>0</v>
      </c>
      <c r="AD1962" s="580">
        <f t="shared" si="186"/>
        <v>5</v>
      </c>
      <c r="AE1962" s="580">
        <f t="shared" si="187"/>
        <v>2.5</v>
      </c>
      <c r="AF1962" s="580">
        <f t="shared" si="188"/>
        <v>2.5</v>
      </c>
      <c r="AG1962" s="580">
        <f t="shared" si="189"/>
        <v>0</v>
      </c>
      <c r="AH1962" s="580">
        <f t="shared" si="190"/>
        <v>0</v>
      </c>
    </row>
    <row r="1963" spans="28:34">
      <c r="AB1963" s="580">
        <f>HLOOKUP("*"&amp;'Output annual'!$AC$2&amp;'Output annual'!$AD$2&amp;"*Zone People Number Of Occupants [](Hourly)",'Eplus results'!$1:$1048576,ROW(),FALSE)</f>
        <v>0</v>
      </c>
      <c r="AC1963" s="580">
        <f>HLOOKUP("*"&amp;'Output annual'!$AC$2&amp;'Output annual'!$AD$2&amp;"*FangerPMV(Hourly)",'Eplus results'!$1:$1048576,ROW(),FALSE)</f>
        <v>0</v>
      </c>
      <c r="AD1963" s="580">
        <f t="shared" si="186"/>
        <v>5</v>
      </c>
      <c r="AE1963" s="580">
        <f t="shared" si="187"/>
        <v>2.5</v>
      </c>
      <c r="AF1963" s="580">
        <f t="shared" si="188"/>
        <v>2.5</v>
      </c>
      <c r="AG1963" s="580">
        <f t="shared" si="189"/>
        <v>0</v>
      </c>
      <c r="AH1963" s="580">
        <f t="shared" si="190"/>
        <v>0</v>
      </c>
    </row>
    <row r="1964" spans="28:34">
      <c r="AB1964" s="580">
        <f>HLOOKUP("*"&amp;'Output annual'!$AC$2&amp;'Output annual'!$AD$2&amp;"*Zone People Number Of Occupants [](Hourly)",'Eplus results'!$1:$1048576,ROW(),FALSE)</f>
        <v>0</v>
      </c>
      <c r="AC1964" s="580">
        <f>HLOOKUP("*"&amp;'Output annual'!$AC$2&amp;'Output annual'!$AD$2&amp;"*FangerPMV(Hourly)",'Eplus results'!$1:$1048576,ROW(),FALSE)</f>
        <v>0</v>
      </c>
      <c r="AD1964" s="580">
        <f t="shared" si="186"/>
        <v>5</v>
      </c>
      <c r="AE1964" s="580">
        <f t="shared" si="187"/>
        <v>2.5</v>
      </c>
      <c r="AF1964" s="580">
        <f t="shared" si="188"/>
        <v>2.5</v>
      </c>
      <c r="AG1964" s="580">
        <f t="shared" si="189"/>
        <v>0</v>
      </c>
      <c r="AH1964" s="580">
        <f t="shared" si="190"/>
        <v>0</v>
      </c>
    </row>
    <row r="1965" spans="28:34">
      <c r="AB1965" s="580">
        <f>HLOOKUP("*"&amp;'Output annual'!$AC$2&amp;'Output annual'!$AD$2&amp;"*Zone People Number Of Occupants [](Hourly)",'Eplus results'!$1:$1048576,ROW(),FALSE)</f>
        <v>0</v>
      </c>
      <c r="AC1965" s="580">
        <f>HLOOKUP("*"&amp;'Output annual'!$AC$2&amp;'Output annual'!$AD$2&amp;"*FangerPMV(Hourly)",'Eplus results'!$1:$1048576,ROW(),FALSE)</f>
        <v>0</v>
      </c>
      <c r="AD1965" s="580">
        <f t="shared" si="186"/>
        <v>5</v>
      </c>
      <c r="AE1965" s="580">
        <f t="shared" si="187"/>
        <v>2.5</v>
      </c>
      <c r="AF1965" s="580">
        <f t="shared" si="188"/>
        <v>2.5</v>
      </c>
      <c r="AG1965" s="580">
        <f t="shared" si="189"/>
        <v>0</v>
      </c>
      <c r="AH1965" s="580">
        <f t="shared" si="190"/>
        <v>0</v>
      </c>
    </row>
    <row r="1966" spans="28:34">
      <c r="AB1966" s="580">
        <f>HLOOKUP("*"&amp;'Output annual'!$AC$2&amp;'Output annual'!$AD$2&amp;"*Zone People Number Of Occupants [](Hourly)",'Eplus results'!$1:$1048576,ROW(),FALSE)</f>
        <v>0</v>
      </c>
      <c r="AC1966" s="580">
        <f>HLOOKUP("*"&amp;'Output annual'!$AC$2&amp;'Output annual'!$AD$2&amp;"*FangerPMV(Hourly)",'Eplus results'!$1:$1048576,ROW(),FALSE)</f>
        <v>0</v>
      </c>
      <c r="AD1966" s="580">
        <f t="shared" si="186"/>
        <v>5</v>
      </c>
      <c r="AE1966" s="580">
        <f t="shared" si="187"/>
        <v>2.5</v>
      </c>
      <c r="AF1966" s="580">
        <f t="shared" si="188"/>
        <v>2.5</v>
      </c>
      <c r="AG1966" s="580">
        <f t="shared" si="189"/>
        <v>0</v>
      </c>
      <c r="AH1966" s="580">
        <f t="shared" si="190"/>
        <v>0</v>
      </c>
    </row>
    <row r="1967" spans="28:34">
      <c r="AB1967" s="580">
        <f>HLOOKUP("*"&amp;'Output annual'!$AC$2&amp;'Output annual'!$AD$2&amp;"*Zone People Number Of Occupants [](Hourly)",'Eplus results'!$1:$1048576,ROW(),FALSE)</f>
        <v>0</v>
      </c>
      <c r="AC1967" s="580">
        <f>HLOOKUP("*"&amp;'Output annual'!$AC$2&amp;'Output annual'!$AD$2&amp;"*FangerPMV(Hourly)",'Eplus results'!$1:$1048576,ROW(),FALSE)</f>
        <v>0</v>
      </c>
      <c r="AD1967" s="580">
        <f t="shared" si="186"/>
        <v>5</v>
      </c>
      <c r="AE1967" s="580">
        <f t="shared" si="187"/>
        <v>2.5</v>
      </c>
      <c r="AF1967" s="580">
        <f t="shared" si="188"/>
        <v>2.5</v>
      </c>
      <c r="AG1967" s="580">
        <f t="shared" si="189"/>
        <v>0</v>
      </c>
      <c r="AH1967" s="580">
        <f t="shared" si="190"/>
        <v>0</v>
      </c>
    </row>
    <row r="1968" spans="28:34">
      <c r="AB1968" s="580">
        <f>HLOOKUP("*"&amp;'Output annual'!$AC$2&amp;'Output annual'!$AD$2&amp;"*Zone People Number Of Occupants [](Hourly)",'Eplus results'!$1:$1048576,ROW(),FALSE)</f>
        <v>0</v>
      </c>
      <c r="AC1968" s="580">
        <f>HLOOKUP("*"&amp;'Output annual'!$AC$2&amp;'Output annual'!$AD$2&amp;"*FangerPMV(Hourly)",'Eplus results'!$1:$1048576,ROW(),FALSE)</f>
        <v>0</v>
      </c>
      <c r="AD1968" s="580">
        <f t="shared" si="186"/>
        <v>5</v>
      </c>
      <c r="AE1968" s="580">
        <f t="shared" si="187"/>
        <v>2.5</v>
      </c>
      <c r="AF1968" s="580">
        <f t="shared" si="188"/>
        <v>2.5</v>
      </c>
      <c r="AG1968" s="580">
        <f t="shared" si="189"/>
        <v>0</v>
      </c>
      <c r="AH1968" s="580">
        <f t="shared" si="190"/>
        <v>0</v>
      </c>
    </row>
    <row r="1969" spans="28:34">
      <c r="AB1969" s="580">
        <f>HLOOKUP("*"&amp;'Output annual'!$AC$2&amp;'Output annual'!$AD$2&amp;"*Zone People Number Of Occupants [](Hourly)",'Eplus results'!$1:$1048576,ROW(),FALSE)</f>
        <v>0</v>
      </c>
      <c r="AC1969" s="580">
        <f>HLOOKUP("*"&amp;'Output annual'!$AC$2&amp;'Output annual'!$AD$2&amp;"*FangerPMV(Hourly)",'Eplus results'!$1:$1048576,ROW(),FALSE)</f>
        <v>0</v>
      </c>
      <c r="AD1969" s="580">
        <f t="shared" si="186"/>
        <v>5</v>
      </c>
      <c r="AE1969" s="580">
        <f t="shared" si="187"/>
        <v>2.5</v>
      </c>
      <c r="AF1969" s="580">
        <f t="shared" si="188"/>
        <v>2.5</v>
      </c>
      <c r="AG1969" s="580">
        <f t="shared" si="189"/>
        <v>0</v>
      </c>
      <c r="AH1969" s="580">
        <f t="shared" si="190"/>
        <v>0</v>
      </c>
    </row>
    <row r="1970" spans="28:34">
      <c r="AB1970" s="580">
        <f>HLOOKUP("*"&amp;'Output annual'!$AC$2&amp;'Output annual'!$AD$2&amp;"*Zone People Number Of Occupants [](Hourly)",'Eplus results'!$1:$1048576,ROW(),FALSE)</f>
        <v>0</v>
      </c>
      <c r="AC1970" s="580">
        <f>HLOOKUP("*"&amp;'Output annual'!$AC$2&amp;'Output annual'!$AD$2&amp;"*FangerPMV(Hourly)",'Eplus results'!$1:$1048576,ROW(),FALSE)</f>
        <v>0</v>
      </c>
      <c r="AD1970" s="580">
        <f t="shared" si="186"/>
        <v>5</v>
      </c>
      <c r="AE1970" s="580">
        <f t="shared" si="187"/>
        <v>2.5</v>
      </c>
      <c r="AF1970" s="580">
        <f t="shared" si="188"/>
        <v>2.5</v>
      </c>
      <c r="AG1970" s="580">
        <f t="shared" si="189"/>
        <v>0</v>
      </c>
      <c r="AH1970" s="580">
        <f t="shared" si="190"/>
        <v>0</v>
      </c>
    </row>
    <row r="1971" spans="28:34">
      <c r="AB1971" s="580">
        <f>HLOOKUP("*"&amp;'Output annual'!$AC$2&amp;'Output annual'!$AD$2&amp;"*Zone People Number Of Occupants [](Hourly)",'Eplus results'!$1:$1048576,ROW(),FALSE)</f>
        <v>0</v>
      </c>
      <c r="AC1971" s="580">
        <f>HLOOKUP("*"&amp;'Output annual'!$AC$2&amp;'Output annual'!$AD$2&amp;"*FangerPMV(Hourly)",'Eplus results'!$1:$1048576,ROW(),FALSE)</f>
        <v>0</v>
      </c>
      <c r="AD1971" s="580">
        <f t="shared" si="186"/>
        <v>5</v>
      </c>
      <c r="AE1971" s="580">
        <f t="shared" si="187"/>
        <v>2.5</v>
      </c>
      <c r="AF1971" s="580">
        <f t="shared" si="188"/>
        <v>2.5</v>
      </c>
      <c r="AG1971" s="580">
        <f t="shared" si="189"/>
        <v>0</v>
      </c>
      <c r="AH1971" s="580">
        <f t="shared" si="190"/>
        <v>0</v>
      </c>
    </row>
    <row r="1972" spans="28:34">
      <c r="AB1972" s="580">
        <f>HLOOKUP("*"&amp;'Output annual'!$AC$2&amp;'Output annual'!$AD$2&amp;"*Zone People Number Of Occupants [](Hourly)",'Eplus results'!$1:$1048576,ROW(),FALSE)</f>
        <v>0</v>
      </c>
      <c r="AC1972" s="580">
        <f>HLOOKUP("*"&amp;'Output annual'!$AC$2&amp;'Output annual'!$AD$2&amp;"*FangerPMV(Hourly)",'Eplus results'!$1:$1048576,ROW(),FALSE)</f>
        <v>0</v>
      </c>
      <c r="AD1972" s="580">
        <f t="shared" si="186"/>
        <v>5</v>
      </c>
      <c r="AE1972" s="580">
        <f t="shared" si="187"/>
        <v>2.5</v>
      </c>
      <c r="AF1972" s="580">
        <f t="shared" si="188"/>
        <v>2.5</v>
      </c>
      <c r="AG1972" s="580">
        <f t="shared" si="189"/>
        <v>0</v>
      </c>
      <c r="AH1972" s="580">
        <f t="shared" si="190"/>
        <v>0</v>
      </c>
    </row>
    <row r="1973" spans="28:34">
      <c r="AB1973" s="580">
        <f>HLOOKUP("*"&amp;'Output annual'!$AC$2&amp;'Output annual'!$AD$2&amp;"*Zone People Number Of Occupants [](Hourly)",'Eplus results'!$1:$1048576,ROW(),FALSE)</f>
        <v>0</v>
      </c>
      <c r="AC1973" s="580">
        <f>HLOOKUP("*"&amp;'Output annual'!$AC$2&amp;'Output annual'!$AD$2&amp;"*FangerPMV(Hourly)",'Eplus results'!$1:$1048576,ROW(),FALSE)</f>
        <v>0</v>
      </c>
      <c r="AD1973" s="580">
        <f t="shared" si="186"/>
        <v>5</v>
      </c>
      <c r="AE1973" s="580">
        <f t="shared" si="187"/>
        <v>2.5</v>
      </c>
      <c r="AF1973" s="580">
        <f t="shared" si="188"/>
        <v>2.5</v>
      </c>
      <c r="AG1973" s="580">
        <f t="shared" si="189"/>
        <v>0</v>
      </c>
      <c r="AH1973" s="580">
        <f t="shared" si="190"/>
        <v>0</v>
      </c>
    </row>
    <row r="1974" spans="28:34">
      <c r="AB1974" s="580">
        <f>HLOOKUP("*"&amp;'Output annual'!$AC$2&amp;'Output annual'!$AD$2&amp;"*Zone People Number Of Occupants [](Hourly)",'Eplus results'!$1:$1048576,ROW(),FALSE)</f>
        <v>0</v>
      </c>
      <c r="AC1974" s="580">
        <f>HLOOKUP("*"&amp;'Output annual'!$AC$2&amp;'Output annual'!$AD$2&amp;"*FangerPMV(Hourly)",'Eplus results'!$1:$1048576,ROW(),FALSE)</f>
        <v>0</v>
      </c>
      <c r="AD1974" s="580">
        <f t="shared" si="186"/>
        <v>5</v>
      </c>
      <c r="AE1974" s="580">
        <f t="shared" si="187"/>
        <v>2.5</v>
      </c>
      <c r="AF1974" s="580">
        <f t="shared" si="188"/>
        <v>2.5</v>
      </c>
      <c r="AG1974" s="580">
        <f t="shared" si="189"/>
        <v>0</v>
      </c>
      <c r="AH1974" s="580">
        <f t="shared" si="190"/>
        <v>0</v>
      </c>
    </row>
    <row r="1975" spans="28:34">
      <c r="AB1975" s="580">
        <f>HLOOKUP("*"&amp;'Output annual'!$AC$2&amp;'Output annual'!$AD$2&amp;"*Zone People Number Of Occupants [](Hourly)",'Eplus results'!$1:$1048576,ROW(),FALSE)</f>
        <v>0</v>
      </c>
      <c r="AC1975" s="580">
        <f>HLOOKUP("*"&amp;'Output annual'!$AC$2&amp;'Output annual'!$AD$2&amp;"*FangerPMV(Hourly)",'Eplus results'!$1:$1048576,ROW(),FALSE)</f>
        <v>0</v>
      </c>
      <c r="AD1975" s="580">
        <f t="shared" si="186"/>
        <v>5</v>
      </c>
      <c r="AE1975" s="580">
        <f t="shared" si="187"/>
        <v>2.5</v>
      </c>
      <c r="AF1975" s="580">
        <f t="shared" si="188"/>
        <v>2.5</v>
      </c>
      <c r="AG1975" s="580">
        <f t="shared" si="189"/>
        <v>0</v>
      </c>
      <c r="AH1975" s="580">
        <f t="shared" si="190"/>
        <v>0</v>
      </c>
    </row>
    <row r="1976" spans="28:34">
      <c r="AB1976" s="580">
        <f>HLOOKUP("*"&amp;'Output annual'!$AC$2&amp;'Output annual'!$AD$2&amp;"*Zone People Number Of Occupants [](Hourly)",'Eplus results'!$1:$1048576,ROW(),FALSE)</f>
        <v>0</v>
      </c>
      <c r="AC1976" s="580">
        <f>HLOOKUP("*"&amp;'Output annual'!$AC$2&amp;'Output annual'!$AD$2&amp;"*FangerPMV(Hourly)",'Eplus results'!$1:$1048576,ROW(),FALSE)</f>
        <v>0</v>
      </c>
      <c r="AD1976" s="580">
        <f t="shared" si="186"/>
        <v>5</v>
      </c>
      <c r="AE1976" s="580">
        <f t="shared" si="187"/>
        <v>2.5</v>
      </c>
      <c r="AF1976" s="580">
        <f t="shared" si="188"/>
        <v>2.5</v>
      </c>
      <c r="AG1976" s="580">
        <f t="shared" si="189"/>
        <v>0</v>
      </c>
      <c r="AH1976" s="580">
        <f t="shared" si="190"/>
        <v>0</v>
      </c>
    </row>
    <row r="1977" spans="28:34">
      <c r="AB1977" s="580">
        <f>HLOOKUP("*"&amp;'Output annual'!$AC$2&amp;'Output annual'!$AD$2&amp;"*Zone People Number Of Occupants [](Hourly)",'Eplus results'!$1:$1048576,ROW(),FALSE)</f>
        <v>0</v>
      </c>
      <c r="AC1977" s="580">
        <f>HLOOKUP("*"&amp;'Output annual'!$AC$2&amp;'Output annual'!$AD$2&amp;"*FangerPMV(Hourly)",'Eplus results'!$1:$1048576,ROW(),FALSE)</f>
        <v>0</v>
      </c>
      <c r="AD1977" s="580">
        <f t="shared" si="186"/>
        <v>5</v>
      </c>
      <c r="AE1977" s="580">
        <f t="shared" si="187"/>
        <v>2.5</v>
      </c>
      <c r="AF1977" s="580">
        <f t="shared" si="188"/>
        <v>2.5</v>
      </c>
      <c r="AG1977" s="580">
        <f t="shared" si="189"/>
        <v>0</v>
      </c>
      <c r="AH1977" s="580">
        <f t="shared" si="190"/>
        <v>0</v>
      </c>
    </row>
    <row r="1978" spans="28:34">
      <c r="AB1978" s="580">
        <f>HLOOKUP("*"&amp;'Output annual'!$AC$2&amp;'Output annual'!$AD$2&amp;"*Zone People Number Of Occupants [](Hourly)",'Eplus results'!$1:$1048576,ROW(),FALSE)</f>
        <v>0</v>
      </c>
      <c r="AC1978" s="580">
        <f>HLOOKUP("*"&amp;'Output annual'!$AC$2&amp;'Output annual'!$AD$2&amp;"*FangerPMV(Hourly)",'Eplus results'!$1:$1048576,ROW(),FALSE)</f>
        <v>0</v>
      </c>
      <c r="AD1978" s="580">
        <f t="shared" si="186"/>
        <v>5</v>
      </c>
      <c r="AE1978" s="580">
        <f t="shared" si="187"/>
        <v>2.5</v>
      </c>
      <c r="AF1978" s="580">
        <f t="shared" si="188"/>
        <v>2.5</v>
      </c>
      <c r="AG1978" s="580">
        <f t="shared" si="189"/>
        <v>0</v>
      </c>
      <c r="AH1978" s="580">
        <f t="shared" si="190"/>
        <v>0</v>
      </c>
    </row>
    <row r="1979" spans="28:34">
      <c r="AB1979" s="580">
        <f>HLOOKUP("*"&amp;'Output annual'!$AC$2&amp;'Output annual'!$AD$2&amp;"*Zone People Number Of Occupants [](Hourly)",'Eplus results'!$1:$1048576,ROW(),FALSE)</f>
        <v>0</v>
      </c>
      <c r="AC1979" s="580">
        <f>HLOOKUP("*"&amp;'Output annual'!$AC$2&amp;'Output annual'!$AD$2&amp;"*FangerPMV(Hourly)",'Eplus results'!$1:$1048576,ROW(),FALSE)</f>
        <v>0</v>
      </c>
      <c r="AD1979" s="580">
        <f t="shared" si="186"/>
        <v>5</v>
      </c>
      <c r="AE1979" s="580">
        <f t="shared" si="187"/>
        <v>2.5</v>
      </c>
      <c r="AF1979" s="580">
        <f t="shared" si="188"/>
        <v>2.5</v>
      </c>
      <c r="AG1979" s="580">
        <f t="shared" si="189"/>
        <v>0</v>
      </c>
      <c r="AH1979" s="580">
        <f t="shared" si="190"/>
        <v>0</v>
      </c>
    </row>
    <row r="1980" spans="28:34">
      <c r="AB1980" s="580">
        <f>HLOOKUP("*"&amp;'Output annual'!$AC$2&amp;'Output annual'!$AD$2&amp;"*Zone People Number Of Occupants [](Hourly)",'Eplus results'!$1:$1048576,ROW(),FALSE)</f>
        <v>0</v>
      </c>
      <c r="AC1980" s="580">
        <f>HLOOKUP("*"&amp;'Output annual'!$AC$2&amp;'Output annual'!$AD$2&amp;"*FangerPMV(Hourly)",'Eplus results'!$1:$1048576,ROW(),FALSE)</f>
        <v>0</v>
      </c>
      <c r="AD1980" s="580">
        <f t="shared" si="186"/>
        <v>5</v>
      </c>
      <c r="AE1980" s="580">
        <f t="shared" si="187"/>
        <v>2.5</v>
      </c>
      <c r="AF1980" s="580">
        <f t="shared" si="188"/>
        <v>2.5</v>
      </c>
      <c r="AG1980" s="580">
        <f t="shared" si="189"/>
        <v>0</v>
      </c>
      <c r="AH1980" s="580">
        <f t="shared" si="190"/>
        <v>0</v>
      </c>
    </row>
    <row r="1981" spans="28:34">
      <c r="AB1981" s="580">
        <f>HLOOKUP("*"&amp;'Output annual'!$AC$2&amp;'Output annual'!$AD$2&amp;"*Zone People Number Of Occupants [](Hourly)",'Eplus results'!$1:$1048576,ROW(),FALSE)</f>
        <v>0</v>
      </c>
      <c r="AC1981" s="580">
        <f>HLOOKUP("*"&amp;'Output annual'!$AC$2&amp;'Output annual'!$AD$2&amp;"*FangerPMV(Hourly)",'Eplus results'!$1:$1048576,ROW(),FALSE)</f>
        <v>0</v>
      </c>
      <c r="AD1981" s="580">
        <f t="shared" si="186"/>
        <v>5</v>
      </c>
      <c r="AE1981" s="580">
        <f t="shared" si="187"/>
        <v>2.5</v>
      </c>
      <c r="AF1981" s="580">
        <f t="shared" si="188"/>
        <v>2.5</v>
      </c>
      <c r="AG1981" s="580">
        <f t="shared" si="189"/>
        <v>0</v>
      </c>
      <c r="AH1981" s="580">
        <f t="shared" si="190"/>
        <v>0</v>
      </c>
    </row>
    <row r="1982" spans="28:34">
      <c r="AB1982" s="580">
        <f>HLOOKUP("*"&amp;'Output annual'!$AC$2&amp;'Output annual'!$AD$2&amp;"*Zone People Number Of Occupants [](Hourly)",'Eplus results'!$1:$1048576,ROW(),FALSE)</f>
        <v>0</v>
      </c>
      <c r="AC1982" s="580">
        <f>HLOOKUP("*"&amp;'Output annual'!$AC$2&amp;'Output annual'!$AD$2&amp;"*FangerPMV(Hourly)",'Eplus results'!$1:$1048576,ROW(),FALSE)</f>
        <v>0</v>
      </c>
      <c r="AD1982" s="580">
        <f t="shared" si="186"/>
        <v>5</v>
      </c>
      <c r="AE1982" s="580">
        <f t="shared" si="187"/>
        <v>2.5</v>
      </c>
      <c r="AF1982" s="580">
        <f t="shared" si="188"/>
        <v>2.5</v>
      </c>
      <c r="AG1982" s="580">
        <f t="shared" si="189"/>
        <v>0</v>
      </c>
      <c r="AH1982" s="580">
        <f t="shared" si="190"/>
        <v>0</v>
      </c>
    </row>
    <row r="1983" spans="28:34">
      <c r="AB1983" s="580">
        <f>HLOOKUP("*"&amp;'Output annual'!$AC$2&amp;'Output annual'!$AD$2&amp;"*Zone People Number Of Occupants [](Hourly)",'Eplus results'!$1:$1048576,ROW(),FALSE)</f>
        <v>0</v>
      </c>
      <c r="AC1983" s="580">
        <f>HLOOKUP("*"&amp;'Output annual'!$AC$2&amp;'Output annual'!$AD$2&amp;"*FangerPMV(Hourly)",'Eplus results'!$1:$1048576,ROW(),FALSE)</f>
        <v>0</v>
      </c>
      <c r="AD1983" s="580">
        <f t="shared" si="186"/>
        <v>5</v>
      </c>
      <c r="AE1983" s="580">
        <f t="shared" si="187"/>
        <v>2.5</v>
      </c>
      <c r="AF1983" s="580">
        <f t="shared" si="188"/>
        <v>2.5</v>
      </c>
      <c r="AG1983" s="580">
        <f t="shared" si="189"/>
        <v>0</v>
      </c>
      <c r="AH1983" s="580">
        <f t="shared" si="190"/>
        <v>0</v>
      </c>
    </row>
    <row r="1984" spans="28:34">
      <c r="AB1984" s="580">
        <f>HLOOKUP("*"&amp;'Output annual'!$AC$2&amp;'Output annual'!$AD$2&amp;"*Zone People Number Of Occupants [](Hourly)",'Eplus results'!$1:$1048576,ROW(),FALSE)</f>
        <v>0</v>
      </c>
      <c r="AC1984" s="580">
        <f>HLOOKUP("*"&amp;'Output annual'!$AC$2&amp;'Output annual'!$AD$2&amp;"*FangerPMV(Hourly)",'Eplus results'!$1:$1048576,ROW(),FALSE)</f>
        <v>0</v>
      </c>
      <c r="AD1984" s="580">
        <f t="shared" si="186"/>
        <v>5</v>
      </c>
      <c r="AE1984" s="580">
        <f t="shared" si="187"/>
        <v>2.5</v>
      </c>
      <c r="AF1984" s="580">
        <f t="shared" si="188"/>
        <v>2.5</v>
      </c>
      <c r="AG1984" s="580">
        <f t="shared" si="189"/>
        <v>0</v>
      </c>
      <c r="AH1984" s="580">
        <f t="shared" si="190"/>
        <v>0</v>
      </c>
    </row>
    <row r="1985" spans="28:34">
      <c r="AB1985" s="580">
        <f>HLOOKUP("*"&amp;'Output annual'!$AC$2&amp;'Output annual'!$AD$2&amp;"*Zone People Number Of Occupants [](Hourly)",'Eplus results'!$1:$1048576,ROW(),FALSE)</f>
        <v>0</v>
      </c>
      <c r="AC1985" s="580">
        <f>HLOOKUP("*"&amp;'Output annual'!$AC$2&amp;'Output annual'!$AD$2&amp;"*FangerPMV(Hourly)",'Eplus results'!$1:$1048576,ROW(),FALSE)</f>
        <v>0</v>
      </c>
      <c r="AD1985" s="580">
        <f t="shared" si="186"/>
        <v>5</v>
      </c>
      <c r="AE1985" s="580">
        <f t="shared" si="187"/>
        <v>2.5</v>
      </c>
      <c r="AF1985" s="580">
        <f t="shared" si="188"/>
        <v>2.5</v>
      </c>
      <c r="AG1985" s="580">
        <f t="shared" si="189"/>
        <v>0</v>
      </c>
      <c r="AH1985" s="580">
        <f t="shared" si="190"/>
        <v>0</v>
      </c>
    </row>
    <row r="1986" spans="28:34">
      <c r="AB1986" s="580">
        <f>HLOOKUP("*"&amp;'Output annual'!$AC$2&amp;'Output annual'!$AD$2&amp;"*Zone People Number Of Occupants [](Hourly)",'Eplus results'!$1:$1048576,ROW(),FALSE)</f>
        <v>0</v>
      </c>
      <c r="AC1986" s="580">
        <f>HLOOKUP("*"&amp;'Output annual'!$AC$2&amp;'Output annual'!$AD$2&amp;"*FangerPMV(Hourly)",'Eplus results'!$1:$1048576,ROW(),FALSE)</f>
        <v>0</v>
      </c>
      <c r="AD1986" s="580">
        <f t="shared" si="186"/>
        <v>5</v>
      </c>
      <c r="AE1986" s="580">
        <f t="shared" si="187"/>
        <v>2.5</v>
      </c>
      <c r="AF1986" s="580">
        <f t="shared" si="188"/>
        <v>2.5</v>
      </c>
      <c r="AG1986" s="580">
        <f t="shared" si="189"/>
        <v>0</v>
      </c>
      <c r="AH1986" s="580">
        <f t="shared" si="190"/>
        <v>0</v>
      </c>
    </row>
    <row r="1987" spans="28:34">
      <c r="AB1987" s="580">
        <f>HLOOKUP("*"&amp;'Output annual'!$AC$2&amp;'Output annual'!$AD$2&amp;"*Zone People Number Of Occupants [](Hourly)",'Eplus results'!$1:$1048576,ROW(),FALSE)</f>
        <v>0</v>
      </c>
      <c r="AC1987" s="580">
        <f>HLOOKUP("*"&amp;'Output annual'!$AC$2&amp;'Output annual'!$AD$2&amp;"*FangerPMV(Hourly)",'Eplus results'!$1:$1048576,ROW(),FALSE)</f>
        <v>0</v>
      </c>
      <c r="AD1987" s="580">
        <f t="shared" ref="AD1987:AD2050" si="191">100-95*EXP(-0.03353*AC1987^4-0.2179*AC1987^2)</f>
        <v>5</v>
      </c>
      <c r="AE1987" s="580">
        <f t="shared" ref="AE1987:AE2050" si="192">AD1987*(1/(1+EXP(-6.3*$AC1987)))</f>
        <v>2.5</v>
      </c>
      <c r="AF1987" s="580">
        <f t="shared" ref="AF1987:AF2050" si="193">(AD1987-AE1987)</f>
        <v>2.5</v>
      </c>
      <c r="AG1987" s="580">
        <f t="shared" ref="AG1987:AG2050" si="194">AE1987*AB1987</f>
        <v>0</v>
      </c>
      <c r="AH1987" s="580">
        <f t="shared" ref="AH1987:AH2050" si="195">AF1987*AB1987</f>
        <v>0</v>
      </c>
    </row>
    <row r="1988" spans="28:34">
      <c r="AB1988" s="580">
        <f>HLOOKUP("*"&amp;'Output annual'!$AC$2&amp;'Output annual'!$AD$2&amp;"*Zone People Number Of Occupants [](Hourly)",'Eplus results'!$1:$1048576,ROW(),FALSE)</f>
        <v>0</v>
      </c>
      <c r="AC1988" s="580">
        <f>HLOOKUP("*"&amp;'Output annual'!$AC$2&amp;'Output annual'!$AD$2&amp;"*FangerPMV(Hourly)",'Eplus results'!$1:$1048576,ROW(),FALSE)</f>
        <v>0</v>
      </c>
      <c r="AD1988" s="580">
        <f t="shared" si="191"/>
        <v>5</v>
      </c>
      <c r="AE1988" s="580">
        <f t="shared" si="192"/>
        <v>2.5</v>
      </c>
      <c r="AF1988" s="580">
        <f t="shared" si="193"/>
        <v>2.5</v>
      </c>
      <c r="AG1988" s="580">
        <f t="shared" si="194"/>
        <v>0</v>
      </c>
      <c r="AH1988" s="580">
        <f t="shared" si="195"/>
        <v>0</v>
      </c>
    </row>
    <row r="1989" spans="28:34">
      <c r="AB1989" s="580">
        <f>HLOOKUP("*"&amp;'Output annual'!$AC$2&amp;'Output annual'!$AD$2&amp;"*Zone People Number Of Occupants [](Hourly)",'Eplus results'!$1:$1048576,ROW(),FALSE)</f>
        <v>0</v>
      </c>
      <c r="AC1989" s="580">
        <f>HLOOKUP("*"&amp;'Output annual'!$AC$2&amp;'Output annual'!$AD$2&amp;"*FangerPMV(Hourly)",'Eplus results'!$1:$1048576,ROW(),FALSE)</f>
        <v>0</v>
      </c>
      <c r="AD1989" s="580">
        <f t="shared" si="191"/>
        <v>5</v>
      </c>
      <c r="AE1989" s="580">
        <f t="shared" si="192"/>
        <v>2.5</v>
      </c>
      <c r="AF1989" s="580">
        <f t="shared" si="193"/>
        <v>2.5</v>
      </c>
      <c r="AG1989" s="580">
        <f t="shared" si="194"/>
        <v>0</v>
      </c>
      <c r="AH1989" s="580">
        <f t="shared" si="195"/>
        <v>0</v>
      </c>
    </row>
    <row r="1990" spans="28:34">
      <c r="AB1990" s="580">
        <f>HLOOKUP("*"&amp;'Output annual'!$AC$2&amp;'Output annual'!$AD$2&amp;"*Zone People Number Of Occupants [](Hourly)",'Eplus results'!$1:$1048576,ROW(),FALSE)</f>
        <v>0</v>
      </c>
      <c r="AC1990" s="580">
        <f>HLOOKUP("*"&amp;'Output annual'!$AC$2&amp;'Output annual'!$AD$2&amp;"*FangerPMV(Hourly)",'Eplus results'!$1:$1048576,ROW(),FALSE)</f>
        <v>0</v>
      </c>
      <c r="AD1990" s="580">
        <f t="shared" si="191"/>
        <v>5</v>
      </c>
      <c r="AE1990" s="580">
        <f t="shared" si="192"/>
        <v>2.5</v>
      </c>
      <c r="AF1990" s="580">
        <f t="shared" si="193"/>
        <v>2.5</v>
      </c>
      <c r="AG1990" s="580">
        <f t="shared" si="194"/>
        <v>0</v>
      </c>
      <c r="AH1990" s="580">
        <f t="shared" si="195"/>
        <v>0</v>
      </c>
    </row>
    <row r="1991" spans="28:34">
      <c r="AB1991" s="580">
        <f>HLOOKUP("*"&amp;'Output annual'!$AC$2&amp;'Output annual'!$AD$2&amp;"*Zone People Number Of Occupants [](Hourly)",'Eplus results'!$1:$1048576,ROW(),FALSE)</f>
        <v>0</v>
      </c>
      <c r="AC1991" s="580">
        <f>HLOOKUP("*"&amp;'Output annual'!$AC$2&amp;'Output annual'!$AD$2&amp;"*FangerPMV(Hourly)",'Eplus results'!$1:$1048576,ROW(),FALSE)</f>
        <v>0</v>
      </c>
      <c r="AD1991" s="580">
        <f t="shared" si="191"/>
        <v>5</v>
      </c>
      <c r="AE1991" s="580">
        <f t="shared" si="192"/>
        <v>2.5</v>
      </c>
      <c r="AF1991" s="580">
        <f t="shared" si="193"/>
        <v>2.5</v>
      </c>
      <c r="AG1991" s="580">
        <f t="shared" si="194"/>
        <v>0</v>
      </c>
      <c r="AH1991" s="580">
        <f t="shared" si="195"/>
        <v>0</v>
      </c>
    </row>
    <row r="1992" spans="28:34">
      <c r="AB1992" s="580">
        <f>HLOOKUP("*"&amp;'Output annual'!$AC$2&amp;'Output annual'!$AD$2&amp;"*Zone People Number Of Occupants [](Hourly)",'Eplus results'!$1:$1048576,ROW(),FALSE)</f>
        <v>0</v>
      </c>
      <c r="AC1992" s="580">
        <f>HLOOKUP("*"&amp;'Output annual'!$AC$2&amp;'Output annual'!$AD$2&amp;"*FangerPMV(Hourly)",'Eplus results'!$1:$1048576,ROW(),FALSE)</f>
        <v>0</v>
      </c>
      <c r="AD1992" s="580">
        <f t="shared" si="191"/>
        <v>5</v>
      </c>
      <c r="AE1992" s="580">
        <f t="shared" si="192"/>
        <v>2.5</v>
      </c>
      <c r="AF1992" s="580">
        <f t="shared" si="193"/>
        <v>2.5</v>
      </c>
      <c r="AG1992" s="580">
        <f t="shared" si="194"/>
        <v>0</v>
      </c>
      <c r="AH1992" s="580">
        <f t="shared" si="195"/>
        <v>0</v>
      </c>
    </row>
    <row r="1993" spans="28:34">
      <c r="AB1993" s="580">
        <f>HLOOKUP("*"&amp;'Output annual'!$AC$2&amp;'Output annual'!$AD$2&amp;"*Zone People Number Of Occupants [](Hourly)",'Eplus results'!$1:$1048576,ROW(),FALSE)</f>
        <v>0</v>
      </c>
      <c r="AC1993" s="580">
        <f>HLOOKUP("*"&amp;'Output annual'!$AC$2&amp;'Output annual'!$AD$2&amp;"*FangerPMV(Hourly)",'Eplus results'!$1:$1048576,ROW(),FALSE)</f>
        <v>0</v>
      </c>
      <c r="AD1993" s="580">
        <f t="shared" si="191"/>
        <v>5</v>
      </c>
      <c r="AE1993" s="580">
        <f t="shared" si="192"/>
        <v>2.5</v>
      </c>
      <c r="AF1993" s="580">
        <f t="shared" si="193"/>
        <v>2.5</v>
      </c>
      <c r="AG1993" s="580">
        <f t="shared" si="194"/>
        <v>0</v>
      </c>
      <c r="AH1993" s="580">
        <f t="shared" si="195"/>
        <v>0</v>
      </c>
    </row>
    <row r="1994" spans="28:34">
      <c r="AB1994" s="580">
        <f>HLOOKUP("*"&amp;'Output annual'!$AC$2&amp;'Output annual'!$AD$2&amp;"*Zone People Number Of Occupants [](Hourly)",'Eplus results'!$1:$1048576,ROW(),FALSE)</f>
        <v>0</v>
      </c>
      <c r="AC1994" s="580">
        <f>HLOOKUP("*"&amp;'Output annual'!$AC$2&amp;'Output annual'!$AD$2&amp;"*FangerPMV(Hourly)",'Eplus results'!$1:$1048576,ROW(),FALSE)</f>
        <v>0</v>
      </c>
      <c r="AD1994" s="580">
        <f t="shared" si="191"/>
        <v>5</v>
      </c>
      <c r="AE1994" s="580">
        <f t="shared" si="192"/>
        <v>2.5</v>
      </c>
      <c r="AF1994" s="580">
        <f t="shared" si="193"/>
        <v>2.5</v>
      </c>
      <c r="AG1994" s="580">
        <f t="shared" si="194"/>
        <v>0</v>
      </c>
      <c r="AH1994" s="580">
        <f t="shared" si="195"/>
        <v>0</v>
      </c>
    </row>
    <row r="1995" spans="28:34">
      <c r="AB1995" s="580">
        <f>HLOOKUP("*"&amp;'Output annual'!$AC$2&amp;'Output annual'!$AD$2&amp;"*Zone People Number Of Occupants [](Hourly)",'Eplus results'!$1:$1048576,ROW(),FALSE)</f>
        <v>0</v>
      </c>
      <c r="AC1995" s="580">
        <f>HLOOKUP("*"&amp;'Output annual'!$AC$2&amp;'Output annual'!$AD$2&amp;"*FangerPMV(Hourly)",'Eplus results'!$1:$1048576,ROW(),FALSE)</f>
        <v>0</v>
      </c>
      <c r="AD1995" s="580">
        <f t="shared" si="191"/>
        <v>5</v>
      </c>
      <c r="AE1995" s="580">
        <f t="shared" si="192"/>
        <v>2.5</v>
      </c>
      <c r="AF1995" s="580">
        <f t="shared" si="193"/>
        <v>2.5</v>
      </c>
      <c r="AG1995" s="580">
        <f t="shared" si="194"/>
        <v>0</v>
      </c>
      <c r="AH1995" s="580">
        <f t="shared" si="195"/>
        <v>0</v>
      </c>
    </row>
    <row r="1996" spans="28:34">
      <c r="AB1996" s="580">
        <f>HLOOKUP("*"&amp;'Output annual'!$AC$2&amp;'Output annual'!$AD$2&amp;"*Zone People Number Of Occupants [](Hourly)",'Eplus results'!$1:$1048576,ROW(),FALSE)</f>
        <v>0</v>
      </c>
      <c r="AC1996" s="580">
        <f>HLOOKUP("*"&amp;'Output annual'!$AC$2&amp;'Output annual'!$AD$2&amp;"*FangerPMV(Hourly)",'Eplus results'!$1:$1048576,ROW(),FALSE)</f>
        <v>0</v>
      </c>
      <c r="AD1996" s="580">
        <f t="shared" si="191"/>
        <v>5</v>
      </c>
      <c r="AE1996" s="580">
        <f t="shared" si="192"/>
        <v>2.5</v>
      </c>
      <c r="AF1996" s="580">
        <f t="shared" si="193"/>
        <v>2.5</v>
      </c>
      <c r="AG1996" s="580">
        <f t="shared" si="194"/>
        <v>0</v>
      </c>
      <c r="AH1996" s="580">
        <f t="shared" si="195"/>
        <v>0</v>
      </c>
    </row>
    <row r="1997" spans="28:34">
      <c r="AB1997" s="580">
        <f>HLOOKUP("*"&amp;'Output annual'!$AC$2&amp;'Output annual'!$AD$2&amp;"*Zone People Number Of Occupants [](Hourly)",'Eplus results'!$1:$1048576,ROW(),FALSE)</f>
        <v>0</v>
      </c>
      <c r="AC1997" s="580">
        <f>HLOOKUP("*"&amp;'Output annual'!$AC$2&amp;'Output annual'!$AD$2&amp;"*FangerPMV(Hourly)",'Eplus results'!$1:$1048576,ROW(),FALSE)</f>
        <v>0</v>
      </c>
      <c r="AD1997" s="580">
        <f t="shared" si="191"/>
        <v>5</v>
      </c>
      <c r="AE1997" s="580">
        <f t="shared" si="192"/>
        <v>2.5</v>
      </c>
      <c r="AF1997" s="580">
        <f t="shared" si="193"/>
        <v>2.5</v>
      </c>
      <c r="AG1997" s="580">
        <f t="shared" si="194"/>
        <v>0</v>
      </c>
      <c r="AH1997" s="580">
        <f t="shared" si="195"/>
        <v>0</v>
      </c>
    </row>
    <row r="1998" spans="28:34">
      <c r="AB1998" s="580">
        <f>HLOOKUP("*"&amp;'Output annual'!$AC$2&amp;'Output annual'!$AD$2&amp;"*Zone People Number Of Occupants [](Hourly)",'Eplus results'!$1:$1048576,ROW(),FALSE)</f>
        <v>0</v>
      </c>
      <c r="AC1998" s="580">
        <f>HLOOKUP("*"&amp;'Output annual'!$AC$2&amp;'Output annual'!$AD$2&amp;"*FangerPMV(Hourly)",'Eplus results'!$1:$1048576,ROW(),FALSE)</f>
        <v>0</v>
      </c>
      <c r="AD1998" s="580">
        <f t="shared" si="191"/>
        <v>5</v>
      </c>
      <c r="AE1998" s="580">
        <f t="shared" si="192"/>
        <v>2.5</v>
      </c>
      <c r="AF1998" s="580">
        <f t="shared" si="193"/>
        <v>2.5</v>
      </c>
      <c r="AG1998" s="580">
        <f t="shared" si="194"/>
        <v>0</v>
      </c>
      <c r="AH1998" s="580">
        <f t="shared" si="195"/>
        <v>0</v>
      </c>
    </row>
    <row r="1999" spans="28:34">
      <c r="AB1999" s="580">
        <f>HLOOKUP("*"&amp;'Output annual'!$AC$2&amp;'Output annual'!$AD$2&amp;"*Zone People Number Of Occupants [](Hourly)",'Eplus results'!$1:$1048576,ROW(),FALSE)</f>
        <v>0</v>
      </c>
      <c r="AC1999" s="580">
        <f>HLOOKUP("*"&amp;'Output annual'!$AC$2&amp;'Output annual'!$AD$2&amp;"*FangerPMV(Hourly)",'Eplus results'!$1:$1048576,ROW(),FALSE)</f>
        <v>0</v>
      </c>
      <c r="AD1999" s="580">
        <f t="shared" si="191"/>
        <v>5</v>
      </c>
      <c r="AE1999" s="580">
        <f t="shared" si="192"/>
        <v>2.5</v>
      </c>
      <c r="AF1999" s="580">
        <f t="shared" si="193"/>
        <v>2.5</v>
      </c>
      <c r="AG1999" s="580">
        <f t="shared" si="194"/>
        <v>0</v>
      </c>
      <c r="AH1999" s="580">
        <f t="shared" si="195"/>
        <v>0</v>
      </c>
    </row>
    <row r="2000" spans="28:34">
      <c r="AB2000" s="580">
        <f>HLOOKUP("*"&amp;'Output annual'!$AC$2&amp;'Output annual'!$AD$2&amp;"*Zone People Number Of Occupants [](Hourly)",'Eplus results'!$1:$1048576,ROW(),FALSE)</f>
        <v>0</v>
      </c>
      <c r="AC2000" s="580">
        <f>HLOOKUP("*"&amp;'Output annual'!$AC$2&amp;'Output annual'!$AD$2&amp;"*FangerPMV(Hourly)",'Eplus results'!$1:$1048576,ROW(),FALSE)</f>
        <v>0</v>
      </c>
      <c r="AD2000" s="580">
        <f t="shared" si="191"/>
        <v>5</v>
      </c>
      <c r="AE2000" s="580">
        <f t="shared" si="192"/>
        <v>2.5</v>
      </c>
      <c r="AF2000" s="580">
        <f t="shared" si="193"/>
        <v>2.5</v>
      </c>
      <c r="AG2000" s="580">
        <f t="shared" si="194"/>
        <v>0</v>
      </c>
      <c r="AH2000" s="580">
        <f t="shared" si="195"/>
        <v>0</v>
      </c>
    </row>
    <row r="2001" spans="28:34">
      <c r="AB2001" s="580">
        <f>HLOOKUP("*"&amp;'Output annual'!$AC$2&amp;'Output annual'!$AD$2&amp;"*Zone People Number Of Occupants [](Hourly)",'Eplus results'!$1:$1048576,ROW(),FALSE)</f>
        <v>0</v>
      </c>
      <c r="AC2001" s="580">
        <f>HLOOKUP("*"&amp;'Output annual'!$AC$2&amp;'Output annual'!$AD$2&amp;"*FangerPMV(Hourly)",'Eplus results'!$1:$1048576,ROW(),FALSE)</f>
        <v>0</v>
      </c>
      <c r="AD2001" s="580">
        <f t="shared" si="191"/>
        <v>5</v>
      </c>
      <c r="AE2001" s="580">
        <f t="shared" si="192"/>
        <v>2.5</v>
      </c>
      <c r="AF2001" s="580">
        <f t="shared" si="193"/>
        <v>2.5</v>
      </c>
      <c r="AG2001" s="580">
        <f t="shared" si="194"/>
        <v>0</v>
      </c>
      <c r="AH2001" s="580">
        <f t="shared" si="195"/>
        <v>0</v>
      </c>
    </row>
    <row r="2002" spans="28:34">
      <c r="AB2002" s="580">
        <f>HLOOKUP("*"&amp;'Output annual'!$AC$2&amp;'Output annual'!$AD$2&amp;"*Zone People Number Of Occupants [](Hourly)",'Eplus results'!$1:$1048576,ROW(),FALSE)</f>
        <v>0</v>
      </c>
      <c r="AC2002" s="580">
        <f>HLOOKUP("*"&amp;'Output annual'!$AC$2&amp;'Output annual'!$AD$2&amp;"*FangerPMV(Hourly)",'Eplus results'!$1:$1048576,ROW(),FALSE)</f>
        <v>0</v>
      </c>
      <c r="AD2002" s="580">
        <f t="shared" si="191"/>
        <v>5</v>
      </c>
      <c r="AE2002" s="580">
        <f t="shared" si="192"/>
        <v>2.5</v>
      </c>
      <c r="AF2002" s="580">
        <f t="shared" si="193"/>
        <v>2.5</v>
      </c>
      <c r="AG2002" s="580">
        <f t="shared" si="194"/>
        <v>0</v>
      </c>
      <c r="AH2002" s="580">
        <f t="shared" si="195"/>
        <v>0</v>
      </c>
    </row>
    <row r="2003" spans="28:34">
      <c r="AB2003" s="580">
        <f>HLOOKUP("*"&amp;'Output annual'!$AC$2&amp;'Output annual'!$AD$2&amp;"*Zone People Number Of Occupants [](Hourly)",'Eplus results'!$1:$1048576,ROW(),FALSE)</f>
        <v>0</v>
      </c>
      <c r="AC2003" s="580">
        <f>HLOOKUP("*"&amp;'Output annual'!$AC$2&amp;'Output annual'!$AD$2&amp;"*FangerPMV(Hourly)",'Eplus results'!$1:$1048576,ROW(),FALSE)</f>
        <v>0</v>
      </c>
      <c r="AD2003" s="580">
        <f t="shared" si="191"/>
        <v>5</v>
      </c>
      <c r="AE2003" s="580">
        <f t="shared" si="192"/>
        <v>2.5</v>
      </c>
      <c r="AF2003" s="580">
        <f t="shared" si="193"/>
        <v>2.5</v>
      </c>
      <c r="AG2003" s="580">
        <f t="shared" si="194"/>
        <v>0</v>
      </c>
      <c r="AH2003" s="580">
        <f t="shared" si="195"/>
        <v>0</v>
      </c>
    </row>
    <row r="2004" spans="28:34">
      <c r="AB2004" s="580">
        <f>HLOOKUP("*"&amp;'Output annual'!$AC$2&amp;'Output annual'!$AD$2&amp;"*Zone People Number Of Occupants [](Hourly)",'Eplus results'!$1:$1048576,ROW(),FALSE)</f>
        <v>0</v>
      </c>
      <c r="AC2004" s="580">
        <f>HLOOKUP("*"&amp;'Output annual'!$AC$2&amp;'Output annual'!$AD$2&amp;"*FangerPMV(Hourly)",'Eplus results'!$1:$1048576,ROW(),FALSE)</f>
        <v>0</v>
      </c>
      <c r="AD2004" s="580">
        <f t="shared" si="191"/>
        <v>5</v>
      </c>
      <c r="AE2004" s="580">
        <f t="shared" si="192"/>
        <v>2.5</v>
      </c>
      <c r="AF2004" s="580">
        <f t="shared" si="193"/>
        <v>2.5</v>
      </c>
      <c r="AG2004" s="580">
        <f t="shared" si="194"/>
        <v>0</v>
      </c>
      <c r="AH2004" s="580">
        <f t="shared" si="195"/>
        <v>0</v>
      </c>
    </row>
    <row r="2005" spans="28:34">
      <c r="AB2005" s="580">
        <f>HLOOKUP("*"&amp;'Output annual'!$AC$2&amp;'Output annual'!$AD$2&amp;"*Zone People Number Of Occupants [](Hourly)",'Eplus results'!$1:$1048576,ROW(),FALSE)</f>
        <v>0</v>
      </c>
      <c r="AC2005" s="580">
        <f>HLOOKUP("*"&amp;'Output annual'!$AC$2&amp;'Output annual'!$AD$2&amp;"*FangerPMV(Hourly)",'Eplus results'!$1:$1048576,ROW(),FALSE)</f>
        <v>0</v>
      </c>
      <c r="AD2005" s="580">
        <f t="shared" si="191"/>
        <v>5</v>
      </c>
      <c r="AE2005" s="580">
        <f t="shared" si="192"/>
        <v>2.5</v>
      </c>
      <c r="AF2005" s="580">
        <f t="shared" si="193"/>
        <v>2.5</v>
      </c>
      <c r="AG2005" s="580">
        <f t="shared" si="194"/>
        <v>0</v>
      </c>
      <c r="AH2005" s="580">
        <f t="shared" si="195"/>
        <v>0</v>
      </c>
    </row>
    <row r="2006" spans="28:34">
      <c r="AB2006" s="580">
        <f>HLOOKUP("*"&amp;'Output annual'!$AC$2&amp;'Output annual'!$AD$2&amp;"*Zone People Number Of Occupants [](Hourly)",'Eplus results'!$1:$1048576,ROW(),FALSE)</f>
        <v>0</v>
      </c>
      <c r="AC2006" s="580">
        <f>HLOOKUP("*"&amp;'Output annual'!$AC$2&amp;'Output annual'!$AD$2&amp;"*FangerPMV(Hourly)",'Eplus results'!$1:$1048576,ROW(),FALSE)</f>
        <v>0</v>
      </c>
      <c r="AD2006" s="580">
        <f t="shared" si="191"/>
        <v>5</v>
      </c>
      <c r="AE2006" s="580">
        <f t="shared" si="192"/>
        <v>2.5</v>
      </c>
      <c r="AF2006" s="580">
        <f t="shared" si="193"/>
        <v>2.5</v>
      </c>
      <c r="AG2006" s="580">
        <f t="shared" si="194"/>
        <v>0</v>
      </c>
      <c r="AH2006" s="580">
        <f t="shared" si="195"/>
        <v>0</v>
      </c>
    </row>
    <row r="2007" spans="28:34">
      <c r="AB2007" s="580">
        <f>HLOOKUP("*"&amp;'Output annual'!$AC$2&amp;'Output annual'!$AD$2&amp;"*Zone People Number Of Occupants [](Hourly)",'Eplus results'!$1:$1048576,ROW(),FALSE)</f>
        <v>0</v>
      </c>
      <c r="AC2007" s="580">
        <f>HLOOKUP("*"&amp;'Output annual'!$AC$2&amp;'Output annual'!$AD$2&amp;"*FangerPMV(Hourly)",'Eplus results'!$1:$1048576,ROW(),FALSE)</f>
        <v>0</v>
      </c>
      <c r="AD2007" s="580">
        <f t="shared" si="191"/>
        <v>5</v>
      </c>
      <c r="AE2007" s="580">
        <f t="shared" si="192"/>
        <v>2.5</v>
      </c>
      <c r="AF2007" s="580">
        <f t="shared" si="193"/>
        <v>2.5</v>
      </c>
      <c r="AG2007" s="580">
        <f t="shared" si="194"/>
        <v>0</v>
      </c>
      <c r="AH2007" s="580">
        <f t="shared" si="195"/>
        <v>0</v>
      </c>
    </row>
    <row r="2008" spans="28:34">
      <c r="AB2008" s="580">
        <f>HLOOKUP("*"&amp;'Output annual'!$AC$2&amp;'Output annual'!$AD$2&amp;"*Zone People Number Of Occupants [](Hourly)",'Eplus results'!$1:$1048576,ROW(),FALSE)</f>
        <v>0</v>
      </c>
      <c r="AC2008" s="580">
        <f>HLOOKUP("*"&amp;'Output annual'!$AC$2&amp;'Output annual'!$AD$2&amp;"*FangerPMV(Hourly)",'Eplus results'!$1:$1048576,ROW(),FALSE)</f>
        <v>0</v>
      </c>
      <c r="AD2008" s="580">
        <f t="shared" si="191"/>
        <v>5</v>
      </c>
      <c r="AE2008" s="580">
        <f t="shared" si="192"/>
        <v>2.5</v>
      </c>
      <c r="AF2008" s="580">
        <f t="shared" si="193"/>
        <v>2.5</v>
      </c>
      <c r="AG2008" s="580">
        <f t="shared" si="194"/>
        <v>0</v>
      </c>
      <c r="AH2008" s="580">
        <f t="shared" si="195"/>
        <v>0</v>
      </c>
    </row>
    <row r="2009" spans="28:34">
      <c r="AB2009" s="580">
        <f>HLOOKUP("*"&amp;'Output annual'!$AC$2&amp;'Output annual'!$AD$2&amp;"*Zone People Number Of Occupants [](Hourly)",'Eplus results'!$1:$1048576,ROW(),FALSE)</f>
        <v>0</v>
      </c>
      <c r="AC2009" s="580">
        <f>HLOOKUP("*"&amp;'Output annual'!$AC$2&amp;'Output annual'!$AD$2&amp;"*FangerPMV(Hourly)",'Eplus results'!$1:$1048576,ROW(),FALSE)</f>
        <v>0</v>
      </c>
      <c r="AD2009" s="580">
        <f t="shared" si="191"/>
        <v>5</v>
      </c>
      <c r="AE2009" s="580">
        <f t="shared" si="192"/>
        <v>2.5</v>
      </c>
      <c r="AF2009" s="580">
        <f t="shared" si="193"/>
        <v>2.5</v>
      </c>
      <c r="AG2009" s="580">
        <f t="shared" si="194"/>
        <v>0</v>
      </c>
      <c r="AH2009" s="580">
        <f t="shared" si="195"/>
        <v>0</v>
      </c>
    </row>
    <row r="2010" spans="28:34">
      <c r="AB2010" s="580">
        <f>HLOOKUP("*"&amp;'Output annual'!$AC$2&amp;'Output annual'!$AD$2&amp;"*Zone People Number Of Occupants [](Hourly)",'Eplus results'!$1:$1048576,ROW(),FALSE)</f>
        <v>0</v>
      </c>
      <c r="AC2010" s="580">
        <f>HLOOKUP("*"&amp;'Output annual'!$AC$2&amp;'Output annual'!$AD$2&amp;"*FangerPMV(Hourly)",'Eplus results'!$1:$1048576,ROW(),FALSE)</f>
        <v>0</v>
      </c>
      <c r="AD2010" s="580">
        <f t="shared" si="191"/>
        <v>5</v>
      </c>
      <c r="AE2010" s="580">
        <f t="shared" si="192"/>
        <v>2.5</v>
      </c>
      <c r="AF2010" s="580">
        <f t="shared" si="193"/>
        <v>2.5</v>
      </c>
      <c r="AG2010" s="580">
        <f t="shared" si="194"/>
        <v>0</v>
      </c>
      <c r="AH2010" s="580">
        <f t="shared" si="195"/>
        <v>0</v>
      </c>
    </row>
    <row r="2011" spans="28:34">
      <c r="AB2011" s="580">
        <f>HLOOKUP("*"&amp;'Output annual'!$AC$2&amp;'Output annual'!$AD$2&amp;"*Zone People Number Of Occupants [](Hourly)",'Eplus results'!$1:$1048576,ROW(),FALSE)</f>
        <v>0</v>
      </c>
      <c r="AC2011" s="580">
        <f>HLOOKUP("*"&amp;'Output annual'!$AC$2&amp;'Output annual'!$AD$2&amp;"*FangerPMV(Hourly)",'Eplus results'!$1:$1048576,ROW(),FALSE)</f>
        <v>0</v>
      </c>
      <c r="AD2011" s="580">
        <f t="shared" si="191"/>
        <v>5</v>
      </c>
      <c r="AE2011" s="580">
        <f t="shared" si="192"/>
        <v>2.5</v>
      </c>
      <c r="AF2011" s="580">
        <f t="shared" si="193"/>
        <v>2.5</v>
      </c>
      <c r="AG2011" s="580">
        <f t="shared" si="194"/>
        <v>0</v>
      </c>
      <c r="AH2011" s="580">
        <f t="shared" si="195"/>
        <v>0</v>
      </c>
    </row>
    <row r="2012" spans="28:34">
      <c r="AB2012" s="580">
        <f>HLOOKUP("*"&amp;'Output annual'!$AC$2&amp;'Output annual'!$AD$2&amp;"*Zone People Number Of Occupants [](Hourly)",'Eplus results'!$1:$1048576,ROW(),FALSE)</f>
        <v>0</v>
      </c>
      <c r="AC2012" s="580">
        <f>HLOOKUP("*"&amp;'Output annual'!$AC$2&amp;'Output annual'!$AD$2&amp;"*FangerPMV(Hourly)",'Eplus results'!$1:$1048576,ROW(),FALSE)</f>
        <v>0</v>
      </c>
      <c r="AD2012" s="580">
        <f t="shared" si="191"/>
        <v>5</v>
      </c>
      <c r="AE2012" s="580">
        <f t="shared" si="192"/>
        <v>2.5</v>
      </c>
      <c r="AF2012" s="580">
        <f t="shared" si="193"/>
        <v>2.5</v>
      </c>
      <c r="AG2012" s="580">
        <f t="shared" si="194"/>
        <v>0</v>
      </c>
      <c r="AH2012" s="580">
        <f t="shared" si="195"/>
        <v>0</v>
      </c>
    </row>
    <row r="2013" spans="28:34">
      <c r="AB2013" s="580">
        <f>HLOOKUP("*"&amp;'Output annual'!$AC$2&amp;'Output annual'!$AD$2&amp;"*Zone People Number Of Occupants [](Hourly)",'Eplus results'!$1:$1048576,ROW(),FALSE)</f>
        <v>0</v>
      </c>
      <c r="AC2013" s="580">
        <f>HLOOKUP("*"&amp;'Output annual'!$AC$2&amp;'Output annual'!$AD$2&amp;"*FangerPMV(Hourly)",'Eplus results'!$1:$1048576,ROW(),FALSE)</f>
        <v>0</v>
      </c>
      <c r="AD2013" s="580">
        <f t="shared" si="191"/>
        <v>5</v>
      </c>
      <c r="AE2013" s="580">
        <f t="shared" si="192"/>
        <v>2.5</v>
      </c>
      <c r="AF2013" s="580">
        <f t="shared" si="193"/>
        <v>2.5</v>
      </c>
      <c r="AG2013" s="580">
        <f t="shared" si="194"/>
        <v>0</v>
      </c>
      <c r="AH2013" s="580">
        <f t="shared" si="195"/>
        <v>0</v>
      </c>
    </row>
    <row r="2014" spans="28:34">
      <c r="AB2014" s="580">
        <f>HLOOKUP("*"&amp;'Output annual'!$AC$2&amp;'Output annual'!$AD$2&amp;"*Zone People Number Of Occupants [](Hourly)",'Eplus results'!$1:$1048576,ROW(),FALSE)</f>
        <v>0</v>
      </c>
      <c r="AC2014" s="580">
        <f>HLOOKUP("*"&amp;'Output annual'!$AC$2&amp;'Output annual'!$AD$2&amp;"*FangerPMV(Hourly)",'Eplus results'!$1:$1048576,ROW(),FALSE)</f>
        <v>0</v>
      </c>
      <c r="AD2014" s="580">
        <f t="shared" si="191"/>
        <v>5</v>
      </c>
      <c r="AE2014" s="580">
        <f t="shared" si="192"/>
        <v>2.5</v>
      </c>
      <c r="AF2014" s="580">
        <f t="shared" si="193"/>
        <v>2.5</v>
      </c>
      <c r="AG2014" s="580">
        <f t="shared" si="194"/>
        <v>0</v>
      </c>
      <c r="AH2014" s="580">
        <f t="shared" si="195"/>
        <v>0</v>
      </c>
    </row>
    <row r="2015" spans="28:34">
      <c r="AB2015" s="580">
        <f>HLOOKUP("*"&amp;'Output annual'!$AC$2&amp;'Output annual'!$AD$2&amp;"*Zone People Number Of Occupants [](Hourly)",'Eplus results'!$1:$1048576,ROW(),FALSE)</f>
        <v>0</v>
      </c>
      <c r="AC2015" s="580">
        <f>HLOOKUP("*"&amp;'Output annual'!$AC$2&amp;'Output annual'!$AD$2&amp;"*FangerPMV(Hourly)",'Eplus results'!$1:$1048576,ROW(),FALSE)</f>
        <v>0</v>
      </c>
      <c r="AD2015" s="580">
        <f t="shared" si="191"/>
        <v>5</v>
      </c>
      <c r="AE2015" s="580">
        <f t="shared" si="192"/>
        <v>2.5</v>
      </c>
      <c r="AF2015" s="580">
        <f t="shared" si="193"/>
        <v>2.5</v>
      </c>
      <c r="AG2015" s="580">
        <f t="shared" si="194"/>
        <v>0</v>
      </c>
      <c r="AH2015" s="580">
        <f t="shared" si="195"/>
        <v>0</v>
      </c>
    </row>
    <row r="2016" spans="28:34">
      <c r="AB2016" s="580">
        <f>HLOOKUP("*"&amp;'Output annual'!$AC$2&amp;'Output annual'!$AD$2&amp;"*Zone People Number Of Occupants [](Hourly)",'Eplus results'!$1:$1048576,ROW(),FALSE)</f>
        <v>0</v>
      </c>
      <c r="AC2016" s="580">
        <f>HLOOKUP("*"&amp;'Output annual'!$AC$2&amp;'Output annual'!$AD$2&amp;"*FangerPMV(Hourly)",'Eplus results'!$1:$1048576,ROW(),FALSE)</f>
        <v>0</v>
      </c>
      <c r="AD2016" s="580">
        <f t="shared" si="191"/>
        <v>5</v>
      </c>
      <c r="AE2016" s="580">
        <f t="shared" si="192"/>
        <v>2.5</v>
      </c>
      <c r="AF2016" s="580">
        <f t="shared" si="193"/>
        <v>2.5</v>
      </c>
      <c r="AG2016" s="580">
        <f t="shared" si="194"/>
        <v>0</v>
      </c>
      <c r="AH2016" s="580">
        <f t="shared" si="195"/>
        <v>0</v>
      </c>
    </row>
    <row r="2017" spans="28:34">
      <c r="AB2017" s="580">
        <f>HLOOKUP("*"&amp;'Output annual'!$AC$2&amp;'Output annual'!$AD$2&amp;"*Zone People Number Of Occupants [](Hourly)",'Eplus results'!$1:$1048576,ROW(),FALSE)</f>
        <v>0</v>
      </c>
      <c r="AC2017" s="580">
        <f>HLOOKUP("*"&amp;'Output annual'!$AC$2&amp;'Output annual'!$AD$2&amp;"*FangerPMV(Hourly)",'Eplus results'!$1:$1048576,ROW(),FALSE)</f>
        <v>0</v>
      </c>
      <c r="AD2017" s="580">
        <f t="shared" si="191"/>
        <v>5</v>
      </c>
      <c r="AE2017" s="580">
        <f t="shared" si="192"/>
        <v>2.5</v>
      </c>
      <c r="AF2017" s="580">
        <f t="shared" si="193"/>
        <v>2.5</v>
      </c>
      <c r="AG2017" s="580">
        <f t="shared" si="194"/>
        <v>0</v>
      </c>
      <c r="AH2017" s="580">
        <f t="shared" si="195"/>
        <v>0</v>
      </c>
    </row>
    <row r="2018" spans="28:34">
      <c r="AB2018" s="580">
        <f>HLOOKUP("*"&amp;'Output annual'!$AC$2&amp;'Output annual'!$AD$2&amp;"*Zone People Number Of Occupants [](Hourly)",'Eplus results'!$1:$1048576,ROW(),FALSE)</f>
        <v>0</v>
      </c>
      <c r="AC2018" s="580">
        <f>HLOOKUP("*"&amp;'Output annual'!$AC$2&amp;'Output annual'!$AD$2&amp;"*FangerPMV(Hourly)",'Eplus results'!$1:$1048576,ROW(),FALSE)</f>
        <v>0</v>
      </c>
      <c r="AD2018" s="580">
        <f t="shared" si="191"/>
        <v>5</v>
      </c>
      <c r="AE2018" s="580">
        <f t="shared" si="192"/>
        <v>2.5</v>
      </c>
      <c r="AF2018" s="580">
        <f t="shared" si="193"/>
        <v>2.5</v>
      </c>
      <c r="AG2018" s="580">
        <f t="shared" si="194"/>
        <v>0</v>
      </c>
      <c r="AH2018" s="580">
        <f t="shared" si="195"/>
        <v>0</v>
      </c>
    </row>
    <row r="2019" spans="28:34">
      <c r="AB2019" s="580">
        <f>HLOOKUP("*"&amp;'Output annual'!$AC$2&amp;'Output annual'!$AD$2&amp;"*Zone People Number Of Occupants [](Hourly)",'Eplus results'!$1:$1048576,ROW(),FALSE)</f>
        <v>0</v>
      </c>
      <c r="AC2019" s="580">
        <f>HLOOKUP("*"&amp;'Output annual'!$AC$2&amp;'Output annual'!$AD$2&amp;"*FangerPMV(Hourly)",'Eplus results'!$1:$1048576,ROW(),FALSE)</f>
        <v>0</v>
      </c>
      <c r="AD2019" s="580">
        <f t="shared" si="191"/>
        <v>5</v>
      </c>
      <c r="AE2019" s="580">
        <f t="shared" si="192"/>
        <v>2.5</v>
      </c>
      <c r="AF2019" s="580">
        <f t="shared" si="193"/>
        <v>2.5</v>
      </c>
      <c r="AG2019" s="580">
        <f t="shared" si="194"/>
        <v>0</v>
      </c>
      <c r="AH2019" s="580">
        <f t="shared" si="195"/>
        <v>0</v>
      </c>
    </row>
    <row r="2020" spans="28:34">
      <c r="AB2020" s="580">
        <f>HLOOKUP("*"&amp;'Output annual'!$AC$2&amp;'Output annual'!$AD$2&amp;"*Zone People Number Of Occupants [](Hourly)",'Eplus results'!$1:$1048576,ROW(),FALSE)</f>
        <v>0</v>
      </c>
      <c r="AC2020" s="580">
        <f>HLOOKUP("*"&amp;'Output annual'!$AC$2&amp;'Output annual'!$AD$2&amp;"*FangerPMV(Hourly)",'Eplus results'!$1:$1048576,ROW(),FALSE)</f>
        <v>0</v>
      </c>
      <c r="AD2020" s="580">
        <f t="shared" si="191"/>
        <v>5</v>
      </c>
      <c r="AE2020" s="580">
        <f t="shared" si="192"/>
        <v>2.5</v>
      </c>
      <c r="AF2020" s="580">
        <f t="shared" si="193"/>
        <v>2.5</v>
      </c>
      <c r="AG2020" s="580">
        <f t="shared" si="194"/>
        <v>0</v>
      </c>
      <c r="AH2020" s="580">
        <f t="shared" si="195"/>
        <v>0</v>
      </c>
    </row>
    <row r="2021" spans="28:34">
      <c r="AB2021" s="580">
        <f>HLOOKUP("*"&amp;'Output annual'!$AC$2&amp;'Output annual'!$AD$2&amp;"*Zone People Number Of Occupants [](Hourly)",'Eplus results'!$1:$1048576,ROW(),FALSE)</f>
        <v>0</v>
      </c>
      <c r="AC2021" s="580">
        <f>HLOOKUP("*"&amp;'Output annual'!$AC$2&amp;'Output annual'!$AD$2&amp;"*FangerPMV(Hourly)",'Eplus results'!$1:$1048576,ROW(),FALSE)</f>
        <v>0</v>
      </c>
      <c r="AD2021" s="580">
        <f t="shared" si="191"/>
        <v>5</v>
      </c>
      <c r="AE2021" s="580">
        <f t="shared" si="192"/>
        <v>2.5</v>
      </c>
      <c r="AF2021" s="580">
        <f t="shared" si="193"/>
        <v>2.5</v>
      </c>
      <c r="AG2021" s="580">
        <f t="shared" si="194"/>
        <v>0</v>
      </c>
      <c r="AH2021" s="580">
        <f t="shared" si="195"/>
        <v>0</v>
      </c>
    </row>
    <row r="2022" spans="28:34">
      <c r="AB2022" s="580">
        <f>HLOOKUP("*"&amp;'Output annual'!$AC$2&amp;'Output annual'!$AD$2&amp;"*Zone People Number Of Occupants [](Hourly)",'Eplus results'!$1:$1048576,ROW(),FALSE)</f>
        <v>0</v>
      </c>
      <c r="AC2022" s="580">
        <f>HLOOKUP("*"&amp;'Output annual'!$AC$2&amp;'Output annual'!$AD$2&amp;"*FangerPMV(Hourly)",'Eplus results'!$1:$1048576,ROW(),FALSE)</f>
        <v>0</v>
      </c>
      <c r="AD2022" s="580">
        <f t="shared" si="191"/>
        <v>5</v>
      </c>
      <c r="AE2022" s="580">
        <f t="shared" si="192"/>
        <v>2.5</v>
      </c>
      <c r="AF2022" s="580">
        <f t="shared" si="193"/>
        <v>2.5</v>
      </c>
      <c r="AG2022" s="580">
        <f t="shared" si="194"/>
        <v>0</v>
      </c>
      <c r="AH2022" s="580">
        <f t="shared" si="195"/>
        <v>0</v>
      </c>
    </row>
    <row r="2023" spans="28:34">
      <c r="AB2023" s="580">
        <f>HLOOKUP("*"&amp;'Output annual'!$AC$2&amp;'Output annual'!$AD$2&amp;"*Zone People Number Of Occupants [](Hourly)",'Eplus results'!$1:$1048576,ROW(),FALSE)</f>
        <v>0</v>
      </c>
      <c r="AC2023" s="580">
        <f>HLOOKUP("*"&amp;'Output annual'!$AC$2&amp;'Output annual'!$AD$2&amp;"*FangerPMV(Hourly)",'Eplus results'!$1:$1048576,ROW(),FALSE)</f>
        <v>0</v>
      </c>
      <c r="AD2023" s="580">
        <f t="shared" si="191"/>
        <v>5</v>
      </c>
      <c r="AE2023" s="580">
        <f t="shared" si="192"/>
        <v>2.5</v>
      </c>
      <c r="AF2023" s="580">
        <f t="shared" si="193"/>
        <v>2.5</v>
      </c>
      <c r="AG2023" s="580">
        <f t="shared" si="194"/>
        <v>0</v>
      </c>
      <c r="AH2023" s="580">
        <f t="shared" si="195"/>
        <v>0</v>
      </c>
    </row>
    <row r="2024" spans="28:34">
      <c r="AB2024" s="580">
        <f>HLOOKUP("*"&amp;'Output annual'!$AC$2&amp;'Output annual'!$AD$2&amp;"*Zone People Number Of Occupants [](Hourly)",'Eplus results'!$1:$1048576,ROW(),FALSE)</f>
        <v>0</v>
      </c>
      <c r="AC2024" s="580">
        <f>HLOOKUP("*"&amp;'Output annual'!$AC$2&amp;'Output annual'!$AD$2&amp;"*FangerPMV(Hourly)",'Eplus results'!$1:$1048576,ROW(),FALSE)</f>
        <v>0</v>
      </c>
      <c r="AD2024" s="580">
        <f t="shared" si="191"/>
        <v>5</v>
      </c>
      <c r="AE2024" s="580">
        <f t="shared" si="192"/>
        <v>2.5</v>
      </c>
      <c r="AF2024" s="580">
        <f t="shared" si="193"/>
        <v>2.5</v>
      </c>
      <c r="AG2024" s="580">
        <f t="shared" si="194"/>
        <v>0</v>
      </c>
      <c r="AH2024" s="580">
        <f t="shared" si="195"/>
        <v>0</v>
      </c>
    </row>
    <row r="2025" spans="28:34">
      <c r="AB2025" s="580">
        <f>HLOOKUP("*"&amp;'Output annual'!$AC$2&amp;'Output annual'!$AD$2&amp;"*Zone People Number Of Occupants [](Hourly)",'Eplus results'!$1:$1048576,ROW(),FALSE)</f>
        <v>0</v>
      </c>
      <c r="AC2025" s="580">
        <f>HLOOKUP("*"&amp;'Output annual'!$AC$2&amp;'Output annual'!$AD$2&amp;"*FangerPMV(Hourly)",'Eplus results'!$1:$1048576,ROW(),FALSE)</f>
        <v>0</v>
      </c>
      <c r="AD2025" s="580">
        <f t="shared" si="191"/>
        <v>5</v>
      </c>
      <c r="AE2025" s="580">
        <f t="shared" si="192"/>
        <v>2.5</v>
      </c>
      <c r="AF2025" s="580">
        <f t="shared" si="193"/>
        <v>2.5</v>
      </c>
      <c r="AG2025" s="580">
        <f t="shared" si="194"/>
        <v>0</v>
      </c>
      <c r="AH2025" s="580">
        <f t="shared" si="195"/>
        <v>0</v>
      </c>
    </row>
    <row r="2026" spans="28:34">
      <c r="AB2026" s="580">
        <f>HLOOKUP("*"&amp;'Output annual'!$AC$2&amp;'Output annual'!$AD$2&amp;"*Zone People Number Of Occupants [](Hourly)",'Eplus results'!$1:$1048576,ROW(),FALSE)</f>
        <v>0</v>
      </c>
      <c r="AC2026" s="580">
        <f>HLOOKUP("*"&amp;'Output annual'!$AC$2&amp;'Output annual'!$AD$2&amp;"*FangerPMV(Hourly)",'Eplus results'!$1:$1048576,ROW(),FALSE)</f>
        <v>0</v>
      </c>
      <c r="AD2026" s="580">
        <f t="shared" si="191"/>
        <v>5</v>
      </c>
      <c r="AE2026" s="580">
        <f t="shared" si="192"/>
        <v>2.5</v>
      </c>
      <c r="AF2026" s="580">
        <f t="shared" si="193"/>
        <v>2.5</v>
      </c>
      <c r="AG2026" s="580">
        <f t="shared" si="194"/>
        <v>0</v>
      </c>
      <c r="AH2026" s="580">
        <f t="shared" si="195"/>
        <v>0</v>
      </c>
    </row>
    <row r="2027" spans="28:34">
      <c r="AB2027" s="580">
        <f>HLOOKUP("*"&amp;'Output annual'!$AC$2&amp;'Output annual'!$AD$2&amp;"*Zone People Number Of Occupants [](Hourly)",'Eplus results'!$1:$1048576,ROW(),FALSE)</f>
        <v>0</v>
      </c>
      <c r="AC2027" s="580">
        <f>HLOOKUP("*"&amp;'Output annual'!$AC$2&amp;'Output annual'!$AD$2&amp;"*FangerPMV(Hourly)",'Eplus results'!$1:$1048576,ROW(),FALSE)</f>
        <v>0</v>
      </c>
      <c r="AD2027" s="580">
        <f t="shared" si="191"/>
        <v>5</v>
      </c>
      <c r="AE2027" s="580">
        <f t="shared" si="192"/>
        <v>2.5</v>
      </c>
      <c r="AF2027" s="580">
        <f t="shared" si="193"/>
        <v>2.5</v>
      </c>
      <c r="AG2027" s="580">
        <f t="shared" si="194"/>
        <v>0</v>
      </c>
      <c r="AH2027" s="580">
        <f t="shared" si="195"/>
        <v>0</v>
      </c>
    </row>
    <row r="2028" spans="28:34">
      <c r="AB2028" s="580">
        <f>HLOOKUP("*"&amp;'Output annual'!$AC$2&amp;'Output annual'!$AD$2&amp;"*Zone People Number Of Occupants [](Hourly)",'Eplus results'!$1:$1048576,ROW(),FALSE)</f>
        <v>0</v>
      </c>
      <c r="AC2028" s="580">
        <f>HLOOKUP("*"&amp;'Output annual'!$AC$2&amp;'Output annual'!$AD$2&amp;"*FangerPMV(Hourly)",'Eplus results'!$1:$1048576,ROW(),FALSE)</f>
        <v>0</v>
      </c>
      <c r="AD2028" s="580">
        <f t="shared" si="191"/>
        <v>5</v>
      </c>
      <c r="AE2028" s="580">
        <f t="shared" si="192"/>
        <v>2.5</v>
      </c>
      <c r="AF2028" s="580">
        <f t="shared" si="193"/>
        <v>2.5</v>
      </c>
      <c r="AG2028" s="580">
        <f t="shared" si="194"/>
        <v>0</v>
      </c>
      <c r="AH2028" s="580">
        <f t="shared" si="195"/>
        <v>0</v>
      </c>
    </row>
    <row r="2029" spans="28:34">
      <c r="AB2029" s="580">
        <f>HLOOKUP("*"&amp;'Output annual'!$AC$2&amp;'Output annual'!$AD$2&amp;"*Zone People Number Of Occupants [](Hourly)",'Eplus results'!$1:$1048576,ROW(),FALSE)</f>
        <v>0</v>
      </c>
      <c r="AC2029" s="580">
        <f>HLOOKUP("*"&amp;'Output annual'!$AC$2&amp;'Output annual'!$AD$2&amp;"*FangerPMV(Hourly)",'Eplus results'!$1:$1048576,ROW(),FALSE)</f>
        <v>0</v>
      </c>
      <c r="AD2029" s="580">
        <f t="shared" si="191"/>
        <v>5</v>
      </c>
      <c r="AE2029" s="580">
        <f t="shared" si="192"/>
        <v>2.5</v>
      </c>
      <c r="AF2029" s="580">
        <f t="shared" si="193"/>
        <v>2.5</v>
      </c>
      <c r="AG2029" s="580">
        <f t="shared" si="194"/>
        <v>0</v>
      </c>
      <c r="AH2029" s="580">
        <f t="shared" si="195"/>
        <v>0</v>
      </c>
    </row>
    <row r="2030" spans="28:34">
      <c r="AB2030" s="580">
        <f>HLOOKUP("*"&amp;'Output annual'!$AC$2&amp;'Output annual'!$AD$2&amp;"*Zone People Number Of Occupants [](Hourly)",'Eplus results'!$1:$1048576,ROW(),FALSE)</f>
        <v>0</v>
      </c>
      <c r="AC2030" s="580">
        <f>HLOOKUP("*"&amp;'Output annual'!$AC$2&amp;'Output annual'!$AD$2&amp;"*FangerPMV(Hourly)",'Eplus results'!$1:$1048576,ROW(),FALSE)</f>
        <v>0</v>
      </c>
      <c r="AD2030" s="580">
        <f t="shared" si="191"/>
        <v>5</v>
      </c>
      <c r="AE2030" s="580">
        <f t="shared" si="192"/>
        <v>2.5</v>
      </c>
      <c r="AF2030" s="580">
        <f t="shared" si="193"/>
        <v>2.5</v>
      </c>
      <c r="AG2030" s="580">
        <f t="shared" si="194"/>
        <v>0</v>
      </c>
      <c r="AH2030" s="580">
        <f t="shared" si="195"/>
        <v>0</v>
      </c>
    </row>
    <row r="2031" spans="28:34">
      <c r="AB2031" s="580">
        <f>HLOOKUP("*"&amp;'Output annual'!$AC$2&amp;'Output annual'!$AD$2&amp;"*Zone People Number Of Occupants [](Hourly)",'Eplus results'!$1:$1048576,ROW(),FALSE)</f>
        <v>0</v>
      </c>
      <c r="AC2031" s="580">
        <f>HLOOKUP("*"&amp;'Output annual'!$AC$2&amp;'Output annual'!$AD$2&amp;"*FangerPMV(Hourly)",'Eplus results'!$1:$1048576,ROW(),FALSE)</f>
        <v>0</v>
      </c>
      <c r="AD2031" s="580">
        <f t="shared" si="191"/>
        <v>5</v>
      </c>
      <c r="AE2031" s="580">
        <f t="shared" si="192"/>
        <v>2.5</v>
      </c>
      <c r="AF2031" s="580">
        <f t="shared" si="193"/>
        <v>2.5</v>
      </c>
      <c r="AG2031" s="580">
        <f t="shared" si="194"/>
        <v>0</v>
      </c>
      <c r="AH2031" s="580">
        <f t="shared" si="195"/>
        <v>0</v>
      </c>
    </row>
    <row r="2032" spans="28:34">
      <c r="AB2032" s="580">
        <f>HLOOKUP("*"&amp;'Output annual'!$AC$2&amp;'Output annual'!$AD$2&amp;"*Zone People Number Of Occupants [](Hourly)",'Eplus results'!$1:$1048576,ROW(),FALSE)</f>
        <v>0</v>
      </c>
      <c r="AC2032" s="580">
        <f>HLOOKUP("*"&amp;'Output annual'!$AC$2&amp;'Output annual'!$AD$2&amp;"*FangerPMV(Hourly)",'Eplus results'!$1:$1048576,ROW(),FALSE)</f>
        <v>0</v>
      </c>
      <c r="AD2032" s="580">
        <f t="shared" si="191"/>
        <v>5</v>
      </c>
      <c r="AE2032" s="580">
        <f t="shared" si="192"/>
        <v>2.5</v>
      </c>
      <c r="AF2032" s="580">
        <f t="shared" si="193"/>
        <v>2.5</v>
      </c>
      <c r="AG2032" s="580">
        <f t="shared" si="194"/>
        <v>0</v>
      </c>
      <c r="AH2032" s="580">
        <f t="shared" si="195"/>
        <v>0</v>
      </c>
    </row>
    <row r="2033" spans="28:34">
      <c r="AB2033" s="580">
        <f>HLOOKUP("*"&amp;'Output annual'!$AC$2&amp;'Output annual'!$AD$2&amp;"*Zone People Number Of Occupants [](Hourly)",'Eplus results'!$1:$1048576,ROW(),FALSE)</f>
        <v>0</v>
      </c>
      <c r="AC2033" s="580">
        <f>HLOOKUP("*"&amp;'Output annual'!$AC$2&amp;'Output annual'!$AD$2&amp;"*FangerPMV(Hourly)",'Eplus results'!$1:$1048576,ROW(),FALSE)</f>
        <v>0</v>
      </c>
      <c r="AD2033" s="580">
        <f t="shared" si="191"/>
        <v>5</v>
      </c>
      <c r="AE2033" s="580">
        <f t="shared" si="192"/>
        <v>2.5</v>
      </c>
      <c r="AF2033" s="580">
        <f t="shared" si="193"/>
        <v>2.5</v>
      </c>
      <c r="AG2033" s="580">
        <f t="shared" si="194"/>
        <v>0</v>
      </c>
      <c r="AH2033" s="580">
        <f t="shared" si="195"/>
        <v>0</v>
      </c>
    </row>
    <row r="2034" spans="28:34">
      <c r="AB2034" s="580">
        <f>HLOOKUP("*"&amp;'Output annual'!$AC$2&amp;'Output annual'!$AD$2&amp;"*Zone People Number Of Occupants [](Hourly)",'Eplus results'!$1:$1048576,ROW(),FALSE)</f>
        <v>0</v>
      </c>
      <c r="AC2034" s="580">
        <f>HLOOKUP("*"&amp;'Output annual'!$AC$2&amp;'Output annual'!$AD$2&amp;"*FangerPMV(Hourly)",'Eplus results'!$1:$1048576,ROW(),FALSE)</f>
        <v>0</v>
      </c>
      <c r="AD2034" s="580">
        <f t="shared" si="191"/>
        <v>5</v>
      </c>
      <c r="AE2034" s="580">
        <f t="shared" si="192"/>
        <v>2.5</v>
      </c>
      <c r="AF2034" s="580">
        <f t="shared" si="193"/>
        <v>2.5</v>
      </c>
      <c r="AG2034" s="580">
        <f t="shared" si="194"/>
        <v>0</v>
      </c>
      <c r="AH2034" s="580">
        <f t="shared" si="195"/>
        <v>0</v>
      </c>
    </row>
    <row r="2035" spans="28:34">
      <c r="AB2035" s="580">
        <f>HLOOKUP("*"&amp;'Output annual'!$AC$2&amp;'Output annual'!$AD$2&amp;"*Zone People Number Of Occupants [](Hourly)",'Eplus results'!$1:$1048576,ROW(),FALSE)</f>
        <v>0</v>
      </c>
      <c r="AC2035" s="580">
        <f>HLOOKUP("*"&amp;'Output annual'!$AC$2&amp;'Output annual'!$AD$2&amp;"*FangerPMV(Hourly)",'Eplus results'!$1:$1048576,ROW(),FALSE)</f>
        <v>0</v>
      </c>
      <c r="AD2035" s="580">
        <f t="shared" si="191"/>
        <v>5</v>
      </c>
      <c r="AE2035" s="580">
        <f t="shared" si="192"/>
        <v>2.5</v>
      </c>
      <c r="AF2035" s="580">
        <f t="shared" si="193"/>
        <v>2.5</v>
      </c>
      <c r="AG2035" s="580">
        <f t="shared" si="194"/>
        <v>0</v>
      </c>
      <c r="AH2035" s="580">
        <f t="shared" si="195"/>
        <v>0</v>
      </c>
    </row>
    <row r="2036" spans="28:34">
      <c r="AB2036" s="580">
        <f>HLOOKUP("*"&amp;'Output annual'!$AC$2&amp;'Output annual'!$AD$2&amp;"*Zone People Number Of Occupants [](Hourly)",'Eplus results'!$1:$1048576,ROW(),FALSE)</f>
        <v>0</v>
      </c>
      <c r="AC2036" s="580">
        <f>HLOOKUP("*"&amp;'Output annual'!$AC$2&amp;'Output annual'!$AD$2&amp;"*FangerPMV(Hourly)",'Eplus results'!$1:$1048576,ROW(),FALSE)</f>
        <v>0</v>
      </c>
      <c r="AD2036" s="580">
        <f t="shared" si="191"/>
        <v>5</v>
      </c>
      <c r="AE2036" s="580">
        <f t="shared" si="192"/>
        <v>2.5</v>
      </c>
      <c r="AF2036" s="580">
        <f t="shared" si="193"/>
        <v>2.5</v>
      </c>
      <c r="AG2036" s="580">
        <f t="shared" si="194"/>
        <v>0</v>
      </c>
      <c r="AH2036" s="580">
        <f t="shared" si="195"/>
        <v>0</v>
      </c>
    </row>
    <row r="2037" spans="28:34">
      <c r="AB2037" s="580">
        <f>HLOOKUP("*"&amp;'Output annual'!$AC$2&amp;'Output annual'!$AD$2&amp;"*Zone People Number Of Occupants [](Hourly)",'Eplus results'!$1:$1048576,ROW(),FALSE)</f>
        <v>0</v>
      </c>
      <c r="AC2037" s="580">
        <f>HLOOKUP("*"&amp;'Output annual'!$AC$2&amp;'Output annual'!$AD$2&amp;"*FangerPMV(Hourly)",'Eplus results'!$1:$1048576,ROW(),FALSE)</f>
        <v>0</v>
      </c>
      <c r="AD2037" s="580">
        <f t="shared" si="191"/>
        <v>5</v>
      </c>
      <c r="AE2037" s="580">
        <f t="shared" si="192"/>
        <v>2.5</v>
      </c>
      <c r="AF2037" s="580">
        <f t="shared" si="193"/>
        <v>2.5</v>
      </c>
      <c r="AG2037" s="580">
        <f t="shared" si="194"/>
        <v>0</v>
      </c>
      <c r="AH2037" s="580">
        <f t="shared" si="195"/>
        <v>0</v>
      </c>
    </row>
    <row r="2038" spans="28:34">
      <c r="AB2038" s="580">
        <f>HLOOKUP("*"&amp;'Output annual'!$AC$2&amp;'Output annual'!$AD$2&amp;"*Zone People Number Of Occupants [](Hourly)",'Eplus results'!$1:$1048576,ROW(),FALSE)</f>
        <v>0</v>
      </c>
      <c r="AC2038" s="580">
        <f>HLOOKUP("*"&amp;'Output annual'!$AC$2&amp;'Output annual'!$AD$2&amp;"*FangerPMV(Hourly)",'Eplus results'!$1:$1048576,ROW(),FALSE)</f>
        <v>0</v>
      </c>
      <c r="AD2038" s="580">
        <f t="shared" si="191"/>
        <v>5</v>
      </c>
      <c r="AE2038" s="580">
        <f t="shared" si="192"/>
        <v>2.5</v>
      </c>
      <c r="AF2038" s="580">
        <f t="shared" si="193"/>
        <v>2.5</v>
      </c>
      <c r="AG2038" s="580">
        <f t="shared" si="194"/>
        <v>0</v>
      </c>
      <c r="AH2038" s="580">
        <f t="shared" si="195"/>
        <v>0</v>
      </c>
    </row>
    <row r="2039" spans="28:34">
      <c r="AB2039" s="580">
        <f>HLOOKUP("*"&amp;'Output annual'!$AC$2&amp;'Output annual'!$AD$2&amp;"*Zone People Number Of Occupants [](Hourly)",'Eplus results'!$1:$1048576,ROW(),FALSE)</f>
        <v>0</v>
      </c>
      <c r="AC2039" s="580">
        <f>HLOOKUP("*"&amp;'Output annual'!$AC$2&amp;'Output annual'!$AD$2&amp;"*FangerPMV(Hourly)",'Eplus results'!$1:$1048576,ROW(),FALSE)</f>
        <v>0</v>
      </c>
      <c r="AD2039" s="580">
        <f t="shared" si="191"/>
        <v>5</v>
      </c>
      <c r="AE2039" s="580">
        <f t="shared" si="192"/>
        <v>2.5</v>
      </c>
      <c r="AF2039" s="580">
        <f t="shared" si="193"/>
        <v>2.5</v>
      </c>
      <c r="AG2039" s="580">
        <f t="shared" si="194"/>
        <v>0</v>
      </c>
      <c r="AH2039" s="580">
        <f t="shared" si="195"/>
        <v>0</v>
      </c>
    </row>
    <row r="2040" spans="28:34">
      <c r="AB2040" s="580">
        <f>HLOOKUP("*"&amp;'Output annual'!$AC$2&amp;'Output annual'!$AD$2&amp;"*Zone People Number Of Occupants [](Hourly)",'Eplus results'!$1:$1048576,ROW(),FALSE)</f>
        <v>0</v>
      </c>
      <c r="AC2040" s="580">
        <f>HLOOKUP("*"&amp;'Output annual'!$AC$2&amp;'Output annual'!$AD$2&amp;"*FangerPMV(Hourly)",'Eplus results'!$1:$1048576,ROW(),FALSE)</f>
        <v>0</v>
      </c>
      <c r="AD2040" s="580">
        <f t="shared" si="191"/>
        <v>5</v>
      </c>
      <c r="AE2040" s="580">
        <f t="shared" si="192"/>
        <v>2.5</v>
      </c>
      <c r="AF2040" s="580">
        <f t="shared" si="193"/>
        <v>2.5</v>
      </c>
      <c r="AG2040" s="580">
        <f t="shared" si="194"/>
        <v>0</v>
      </c>
      <c r="AH2040" s="580">
        <f t="shared" si="195"/>
        <v>0</v>
      </c>
    </row>
    <row r="2041" spans="28:34">
      <c r="AB2041" s="580">
        <f>HLOOKUP("*"&amp;'Output annual'!$AC$2&amp;'Output annual'!$AD$2&amp;"*Zone People Number Of Occupants [](Hourly)",'Eplus results'!$1:$1048576,ROW(),FALSE)</f>
        <v>0</v>
      </c>
      <c r="AC2041" s="580">
        <f>HLOOKUP("*"&amp;'Output annual'!$AC$2&amp;'Output annual'!$AD$2&amp;"*FangerPMV(Hourly)",'Eplus results'!$1:$1048576,ROW(),FALSE)</f>
        <v>0</v>
      </c>
      <c r="AD2041" s="580">
        <f t="shared" si="191"/>
        <v>5</v>
      </c>
      <c r="AE2041" s="580">
        <f t="shared" si="192"/>
        <v>2.5</v>
      </c>
      <c r="AF2041" s="580">
        <f t="shared" si="193"/>
        <v>2.5</v>
      </c>
      <c r="AG2041" s="580">
        <f t="shared" si="194"/>
        <v>0</v>
      </c>
      <c r="AH2041" s="580">
        <f t="shared" si="195"/>
        <v>0</v>
      </c>
    </row>
    <row r="2042" spans="28:34">
      <c r="AB2042" s="580">
        <f>HLOOKUP("*"&amp;'Output annual'!$AC$2&amp;'Output annual'!$AD$2&amp;"*Zone People Number Of Occupants [](Hourly)",'Eplus results'!$1:$1048576,ROW(),FALSE)</f>
        <v>0</v>
      </c>
      <c r="AC2042" s="580">
        <f>HLOOKUP("*"&amp;'Output annual'!$AC$2&amp;'Output annual'!$AD$2&amp;"*FangerPMV(Hourly)",'Eplus results'!$1:$1048576,ROW(),FALSE)</f>
        <v>0</v>
      </c>
      <c r="AD2042" s="580">
        <f t="shared" si="191"/>
        <v>5</v>
      </c>
      <c r="AE2042" s="580">
        <f t="shared" si="192"/>
        <v>2.5</v>
      </c>
      <c r="AF2042" s="580">
        <f t="shared" si="193"/>
        <v>2.5</v>
      </c>
      <c r="AG2042" s="580">
        <f t="shared" si="194"/>
        <v>0</v>
      </c>
      <c r="AH2042" s="580">
        <f t="shared" si="195"/>
        <v>0</v>
      </c>
    </row>
    <row r="2043" spans="28:34">
      <c r="AB2043" s="580">
        <f>HLOOKUP("*"&amp;'Output annual'!$AC$2&amp;'Output annual'!$AD$2&amp;"*Zone People Number Of Occupants [](Hourly)",'Eplus results'!$1:$1048576,ROW(),FALSE)</f>
        <v>0</v>
      </c>
      <c r="AC2043" s="580">
        <f>HLOOKUP("*"&amp;'Output annual'!$AC$2&amp;'Output annual'!$AD$2&amp;"*FangerPMV(Hourly)",'Eplus results'!$1:$1048576,ROW(),FALSE)</f>
        <v>0</v>
      </c>
      <c r="AD2043" s="580">
        <f t="shared" si="191"/>
        <v>5</v>
      </c>
      <c r="AE2043" s="580">
        <f t="shared" si="192"/>
        <v>2.5</v>
      </c>
      <c r="AF2043" s="580">
        <f t="shared" si="193"/>
        <v>2.5</v>
      </c>
      <c r="AG2043" s="580">
        <f t="shared" si="194"/>
        <v>0</v>
      </c>
      <c r="AH2043" s="580">
        <f t="shared" si="195"/>
        <v>0</v>
      </c>
    </row>
    <row r="2044" spans="28:34">
      <c r="AB2044" s="580">
        <f>HLOOKUP("*"&amp;'Output annual'!$AC$2&amp;'Output annual'!$AD$2&amp;"*Zone People Number Of Occupants [](Hourly)",'Eplus results'!$1:$1048576,ROW(),FALSE)</f>
        <v>0</v>
      </c>
      <c r="AC2044" s="580">
        <f>HLOOKUP("*"&amp;'Output annual'!$AC$2&amp;'Output annual'!$AD$2&amp;"*FangerPMV(Hourly)",'Eplus results'!$1:$1048576,ROW(),FALSE)</f>
        <v>0</v>
      </c>
      <c r="AD2044" s="580">
        <f t="shared" si="191"/>
        <v>5</v>
      </c>
      <c r="AE2044" s="580">
        <f t="shared" si="192"/>
        <v>2.5</v>
      </c>
      <c r="AF2044" s="580">
        <f t="shared" si="193"/>
        <v>2.5</v>
      </c>
      <c r="AG2044" s="580">
        <f t="shared" si="194"/>
        <v>0</v>
      </c>
      <c r="AH2044" s="580">
        <f t="shared" si="195"/>
        <v>0</v>
      </c>
    </row>
    <row r="2045" spans="28:34">
      <c r="AB2045" s="580">
        <f>HLOOKUP("*"&amp;'Output annual'!$AC$2&amp;'Output annual'!$AD$2&amp;"*Zone People Number Of Occupants [](Hourly)",'Eplus results'!$1:$1048576,ROW(),FALSE)</f>
        <v>0</v>
      </c>
      <c r="AC2045" s="580">
        <f>HLOOKUP("*"&amp;'Output annual'!$AC$2&amp;'Output annual'!$AD$2&amp;"*FangerPMV(Hourly)",'Eplus results'!$1:$1048576,ROW(),FALSE)</f>
        <v>0</v>
      </c>
      <c r="AD2045" s="580">
        <f t="shared" si="191"/>
        <v>5</v>
      </c>
      <c r="AE2045" s="580">
        <f t="shared" si="192"/>
        <v>2.5</v>
      </c>
      <c r="AF2045" s="580">
        <f t="shared" si="193"/>
        <v>2.5</v>
      </c>
      <c r="AG2045" s="580">
        <f t="shared" si="194"/>
        <v>0</v>
      </c>
      <c r="AH2045" s="580">
        <f t="shared" si="195"/>
        <v>0</v>
      </c>
    </row>
    <row r="2046" spans="28:34">
      <c r="AB2046" s="580">
        <f>HLOOKUP("*"&amp;'Output annual'!$AC$2&amp;'Output annual'!$AD$2&amp;"*Zone People Number Of Occupants [](Hourly)",'Eplus results'!$1:$1048576,ROW(),FALSE)</f>
        <v>0</v>
      </c>
      <c r="AC2046" s="580">
        <f>HLOOKUP("*"&amp;'Output annual'!$AC$2&amp;'Output annual'!$AD$2&amp;"*FangerPMV(Hourly)",'Eplus results'!$1:$1048576,ROW(),FALSE)</f>
        <v>0</v>
      </c>
      <c r="AD2046" s="580">
        <f t="shared" si="191"/>
        <v>5</v>
      </c>
      <c r="AE2046" s="580">
        <f t="shared" si="192"/>
        <v>2.5</v>
      </c>
      <c r="AF2046" s="580">
        <f t="shared" si="193"/>
        <v>2.5</v>
      </c>
      <c r="AG2046" s="580">
        <f t="shared" si="194"/>
        <v>0</v>
      </c>
      <c r="AH2046" s="580">
        <f t="shared" si="195"/>
        <v>0</v>
      </c>
    </row>
    <row r="2047" spans="28:34">
      <c r="AB2047" s="580">
        <f>HLOOKUP("*"&amp;'Output annual'!$AC$2&amp;'Output annual'!$AD$2&amp;"*Zone People Number Of Occupants [](Hourly)",'Eplus results'!$1:$1048576,ROW(),FALSE)</f>
        <v>0</v>
      </c>
      <c r="AC2047" s="580">
        <f>HLOOKUP("*"&amp;'Output annual'!$AC$2&amp;'Output annual'!$AD$2&amp;"*FangerPMV(Hourly)",'Eplus results'!$1:$1048576,ROW(),FALSE)</f>
        <v>0</v>
      </c>
      <c r="AD2047" s="580">
        <f t="shared" si="191"/>
        <v>5</v>
      </c>
      <c r="AE2047" s="580">
        <f t="shared" si="192"/>
        <v>2.5</v>
      </c>
      <c r="AF2047" s="580">
        <f t="shared" si="193"/>
        <v>2.5</v>
      </c>
      <c r="AG2047" s="580">
        <f t="shared" si="194"/>
        <v>0</v>
      </c>
      <c r="AH2047" s="580">
        <f t="shared" si="195"/>
        <v>0</v>
      </c>
    </row>
    <row r="2048" spans="28:34">
      <c r="AB2048" s="580">
        <f>HLOOKUP("*"&amp;'Output annual'!$AC$2&amp;'Output annual'!$AD$2&amp;"*Zone People Number Of Occupants [](Hourly)",'Eplus results'!$1:$1048576,ROW(),FALSE)</f>
        <v>0</v>
      </c>
      <c r="AC2048" s="580">
        <f>HLOOKUP("*"&amp;'Output annual'!$AC$2&amp;'Output annual'!$AD$2&amp;"*FangerPMV(Hourly)",'Eplus results'!$1:$1048576,ROW(),FALSE)</f>
        <v>0</v>
      </c>
      <c r="AD2048" s="580">
        <f t="shared" si="191"/>
        <v>5</v>
      </c>
      <c r="AE2048" s="580">
        <f t="shared" si="192"/>
        <v>2.5</v>
      </c>
      <c r="AF2048" s="580">
        <f t="shared" si="193"/>
        <v>2.5</v>
      </c>
      <c r="AG2048" s="580">
        <f t="shared" si="194"/>
        <v>0</v>
      </c>
      <c r="AH2048" s="580">
        <f t="shared" si="195"/>
        <v>0</v>
      </c>
    </row>
    <row r="2049" spans="28:34">
      <c r="AB2049" s="580">
        <f>HLOOKUP("*"&amp;'Output annual'!$AC$2&amp;'Output annual'!$AD$2&amp;"*Zone People Number Of Occupants [](Hourly)",'Eplus results'!$1:$1048576,ROW(),FALSE)</f>
        <v>0</v>
      </c>
      <c r="AC2049" s="580">
        <f>HLOOKUP("*"&amp;'Output annual'!$AC$2&amp;'Output annual'!$AD$2&amp;"*FangerPMV(Hourly)",'Eplus results'!$1:$1048576,ROW(),FALSE)</f>
        <v>0</v>
      </c>
      <c r="AD2049" s="580">
        <f t="shared" si="191"/>
        <v>5</v>
      </c>
      <c r="AE2049" s="580">
        <f t="shared" si="192"/>
        <v>2.5</v>
      </c>
      <c r="AF2049" s="580">
        <f t="shared" si="193"/>
        <v>2.5</v>
      </c>
      <c r="AG2049" s="580">
        <f t="shared" si="194"/>
        <v>0</v>
      </c>
      <c r="AH2049" s="580">
        <f t="shared" si="195"/>
        <v>0</v>
      </c>
    </row>
    <row r="2050" spans="28:34">
      <c r="AB2050" s="580">
        <f>HLOOKUP("*"&amp;'Output annual'!$AC$2&amp;'Output annual'!$AD$2&amp;"*Zone People Number Of Occupants [](Hourly)",'Eplus results'!$1:$1048576,ROW(),FALSE)</f>
        <v>0</v>
      </c>
      <c r="AC2050" s="580">
        <f>HLOOKUP("*"&amp;'Output annual'!$AC$2&amp;'Output annual'!$AD$2&amp;"*FangerPMV(Hourly)",'Eplus results'!$1:$1048576,ROW(),FALSE)</f>
        <v>0</v>
      </c>
      <c r="AD2050" s="580">
        <f t="shared" si="191"/>
        <v>5</v>
      </c>
      <c r="AE2050" s="580">
        <f t="shared" si="192"/>
        <v>2.5</v>
      </c>
      <c r="AF2050" s="580">
        <f t="shared" si="193"/>
        <v>2.5</v>
      </c>
      <c r="AG2050" s="580">
        <f t="shared" si="194"/>
        <v>0</v>
      </c>
      <c r="AH2050" s="580">
        <f t="shared" si="195"/>
        <v>0</v>
      </c>
    </row>
    <row r="2051" spans="28:34">
      <c r="AB2051" s="580">
        <f>HLOOKUP("*"&amp;'Output annual'!$AC$2&amp;'Output annual'!$AD$2&amp;"*Zone People Number Of Occupants [](Hourly)",'Eplus results'!$1:$1048576,ROW(),FALSE)</f>
        <v>0</v>
      </c>
      <c r="AC2051" s="580">
        <f>HLOOKUP("*"&amp;'Output annual'!$AC$2&amp;'Output annual'!$AD$2&amp;"*FangerPMV(Hourly)",'Eplus results'!$1:$1048576,ROW(),FALSE)</f>
        <v>0</v>
      </c>
      <c r="AD2051" s="580">
        <f t="shared" ref="AD2051:AD2114" si="196">100-95*EXP(-0.03353*AC2051^4-0.2179*AC2051^2)</f>
        <v>5</v>
      </c>
      <c r="AE2051" s="580">
        <f t="shared" ref="AE2051:AE2114" si="197">AD2051*(1/(1+EXP(-6.3*$AC2051)))</f>
        <v>2.5</v>
      </c>
      <c r="AF2051" s="580">
        <f t="shared" ref="AF2051:AF2114" si="198">(AD2051-AE2051)</f>
        <v>2.5</v>
      </c>
      <c r="AG2051" s="580">
        <f t="shared" ref="AG2051:AG2114" si="199">AE2051*AB2051</f>
        <v>0</v>
      </c>
      <c r="AH2051" s="580">
        <f t="shared" ref="AH2051:AH2114" si="200">AF2051*AB2051</f>
        <v>0</v>
      </c>
    </row>
    <row r="2052" spans="28:34">
      <c r="AB2052" s="580">
        <f>HLOOKUP("*"&amp;'Output annual'!$AC$2&amp;'Output annual'!$AD$2&amp;"*Zone People Number Of Occupants [](Hourly)",'Eplus results'!$1:$1048576,ROW(),FALSE)</f>
        <v>0</v>
      </c>
      <c r="AC2052" s="580">
        <f>HLOOKUP("*"&amp;'Output annual'!$AC$2&amp;'Output annual'!$AD$2&amp;"*FangerPMV(Hourly)",'Eplus results'!$1:$1048576,ROW(),FALSE)</f>
        <v>0</v>
      </c>
      <c r="AD2052" s="580">
        <f t="shared" si="196"/>
        <v>5</v>
      </c>
      <c r="AE2052" s="580">
        <f t="shared" si="197"/>
        <v>2.5</v>
      </c>
      <c r="AF2052" s="580">
        <f t="shared" si="198"/>
        <v>2.5</v>
      </c>
      <c r="AG2052" s="580">
        <f t="shared" si="199"/>
        <v>0</v>
      </c>
      <c r="AH2052" s="580">
        <f t="shared" si="200"/>
        <v>0</v>
      </c>
    </row>
    <row r="2053" spans="28:34">
      <c r="AB2053" s="580">
        <f>HLOOKUP("*"&amp;'Output annual'!$AC$2&amp;'Output annual'!$AD$2&amp;"*Zone People Number Of Occupants [](Hourly)",'Eplus results'!$1:$1048576,ROW(),FALSE)</f>
        <v>0</v>
      </c>
      <c r="AC2053" s="580">
        <f>HLOOKUP("*"&amp;'Output annual'!$AC$2&amp;'Output annual'!$AD$2&amp;"*FangerPMV(Hourly)",'Eplus results'!$1:$1048576,ROW(),FALSE)</f>
        <v>0</v>
      </c>
      <c r="AD2053" s="580">
        <f t="shared" si="196"/>
        <v>5</v>
      </c>
      <c r="AE2053" s="580">
        <f t="shared" si="197"/>
        <v>2.5</v>
      </c>
      <c r="AF2053" s="580">
        <f t="shared" si="198"/>
        <v>2.5</v>
      </c>
      <c r="AG2053" s="580">
        <f t="shared" si="199"/>
        <v>0</v>
      </c>
      <c r="AH2053" s="580">
        <f t="shared" si="200"/>
        <v>0</v>
      </c>
    </row>
    <row r="2054" spans="28:34">
      <c r="AB2054" s="580">
        <f>HLOOKUP("*"&amp;'Output annual'!$AC$2&amp;'Output annual'!$AD$2&amp;"*Zone People Number Of Occupants [](Hourly)",'Eplus results'!$1:$1048576,ROW(),FALSE)</f>
        <v>0</v>
      </c>
      <c r="AC2054" s="580">
        <f>HLOOKUP("*"&amp;'Output annual'!$AC$2&amp;'Output annual'!$AD$2&amp;"*FangerPMV(Hourly)",'Eplus results'!$1:$1048576,ROW(),FALSE)</f>
        <v>0</v>
      </c>
      <c r="AD2054" s="580">
        <f t="shared" si="196"/>
        <v>5</v>
      </c>
      <c r="AE2054" s="580">
        <f t="shared" si="197"/>
        <v>2.5</v>
      </c>
      <c r="AF2054" s="580">
        <f t="shared" si="198"/>
        <v>2.5</v>
      </c>
      <c r="AG2054" s="580">
        <f t="shared" si="199"/>
        <v>0</v>
      </c>
      <c r="AH2054" s="580">
        <f t="shared" si="200"/>
        <v>0</v>
      </c>
    </row>
    <row r="2055" spans="28:34">
      <c r="AB2055" s="580">
        <f>HLOOKUP("*"&amp;'Output annual'!$AC$2&amp;'Output annual'!$AD$2&amp;"*Zone People Number Of Occupants [](Hourly)",'Eplus results'!$1:$1048576,ROW(),FALSE)</f>
        <v>0</v>
      </c>
      <c r="AC2055" s="580">
        <f>HLOOKUP("*"&amp;'Output annual'!$AC$2&amp;'Output annual'!$AD$2&amp;"*FangerPMV(Hourly)",'Eplus results'!$1:$1048576,ROW(),FALSE)</f>
        <v>0</v>
      </c>
      <c r="AD2055" s="580">
        <f t="shared" si="196"/>
        <v>5</v>
      </c>
      <c r="AE2055" s="580">
        <f t="shared" si="197"/>
        <v>2.5</v>
      </c>
      <c r="AF2055" s="580">
        <f t="shared" si="198"/>
        <v>2.5</v>
      </c>
      <c r="AG2055" s="580">
        <f t="shared" si="199"/>
        <v>0</v>
      </c>
      <c r="AH2055" s="580">
        <f t="shared" si="200"/>
        <v>0</v>
      </c>
    </row>
    <row r="2056" spans="28:34">
      <c r="AB2056" s="580">
        <f>HLOOKUP("*"&amp;'Output annual'!$AC$2&amp;'Output annual'!$AD$2&amp;"*Zone People Number Of Occupants [](Hourly)",'Eplus results'!$1:$1048576,ROW(),FALSE)</f>
        <v>0</v>
      </c>
      <c r="AC2056" s="580">
        <f>HLOOKUP("*"&amp;'Output annual'!$AC$2&amp;'Output annual'!$AD$2&amp;"*FangerPMV(Hourly)",'Eplus results'!$1:$1048576,ROW(),FALSE)</f>
        <v>0</v>
      </c>
      <c r="AD2056" s="580">
        <f t="shared" si="196"/>
        <v>5</v>
      </c>
      <c r="AE2056" s="580">
        <f t="shared" si="197"/>
        <v>2.5</v>
      </c>
      <c r="AF2056" s="580">
        <f t="shared" si="198"/>
        <v>2.5</v>
      </c>
      <c r="AG2056" s="580">
        <f t="shared" si="199"/>
        <v>0</v>
      </c>
      <c r="AH2056" s="580">
        <f t="shared" si="200"/>
        <v>0</v>
      </c>
    </row>
    <row r="2057" spans="28:34">
      <c r="AB2057" s="580">
        <f>HLOOKUP("*"&amp;'Output annual'!$AC$2&amp;'Output annual'!$AD$2&amp;"*Zone People Number Of Occupants [](Hourly)",'Eplus results'!$1:$1048576,ROW(),FALSE)</f>
        <v>0</v>
      </c>
      <c r="AC2057" s="580">
        <f>HLOOKUP("*"&amp;'Output annual'!$AC$2&amp;'Output annual'!$AD$2&amp;"*FangerPMV(Hourly)",'Eplus results'!$1:$1048576,ROW(),FALSE)</f>
        <v>0</v>
      </c>
      <c r="AD2057" s="580">
        <f t="shared" si="196"/>
        <v>5</v>
      </c>
      <c r="AE2057" s="580">
        <f t="shared" si="197"/>
        <v>2.5</v>
      </c>
      <c r="AF2057" s="580">
        <f t="shared" si="198"/>
        <v>2.5</v>
      </c>
      <c r="AG2057" s="580">
        <f t="shared" si="199"/>
        <v>0</v>
      </c>
      <c r="AH2057" s="580">
        <f t="shared" si="200"/>
        <v>0</v>
      </c>
    </row>
    <row r="2058" spans="28:34">
      <c r="AB2058" s="580">
        <f>HLOOKUP("*"&amp;'Output annual'!$AC$2&amp;'Output annual'!$AD$2&amp;"*Zone People Number Of Occupants [](Hourly)",'Eplus results'!$1:$1048576,ROW(),FALSE)</f>
        <v>0</v>
      </c>
      <c r="AC2058" s="580">
        <f>HLOOKUP("*"&amp;'Output annual'!$AC$2&amp;'Output annual'!$AD$2&amp;"*FangerPMV(Hourly)",'Eplus results'!$1:$1048576,ROW(),FALSE)</f>
        <v>0</v>
      </c>
      <c r="AD2058" s="580">
        <f t="shared" si="196"/>
        <v>5</v>
      </c>
      <c r="AE2058" s="580">
        <f t="shared" si="197"/>
        <v>2.5</v>
      </c>
      <c r="AF2058" s="580">
        <f t="shared" si="198"/>
        <v>2.5</v>
      </c>
      <c r="AG2058" s="580">
        <f t="shared" si="199"/>
        <v>0</v>
      </c>
      <c r="AH2058" s="580">
        <f t="shared" si="200"/>
        <v>0</v>
      </c>
    </row>
    <row r="2059" spans="28:34">
      <c r="AB2059" s="580">
        <f>HLOOKUP("*"&amp;'Output annual'!$AC$2&amp;'Output annual'!$AD$2&amp;"*Zone People Number Of Occupants [](Hourly)",'Eplus results'!$1:$1048576,ROW(),FALSE)</f>
        <v>0</v>
      </c>
      <c r="AC2059" s="580">
        <f>HLOOKUP("*"&amp;'Output annual'!$AC$2&amp;'Output annual'!$AD$2&amp;"*FangerPMV(Hourly)",'Eplus results'!$1:$1048576,ROW(),FALSE)</f>
        <v>0</v>
      </c>
      <c r="AD2059" s="580">
        <f t="shared" si="196"/>
        <v>5</v>
      </c>
      <c r="AE2059" s="580">
        <f t="shared" si="197"/>
        <v>2.5</v>
      </c>
      <c r="AF2059" s="580">
        <f t="shared" si="198"/>
        <v>2.5</v>
      </c>
      <c r="AG2059" s="580">
        <f t="shared" si="199"/>
        <v>0</v>
      </c>
      <c r="AH2059" s="580">
        <f t="shared" si="200"/>
        <v>0</v>
      </c>
    </row>
    <row r="2060" spans="28:34">
      <c r="AB2060" s="580">
        <f>HLOOKUP("*"&amp;'Output annual'!$AC$2&amp;'Output annual'!$AD$2&amp;"*Zone People Number Of Occupants [](Hourly)",'Eplus results'!$1:$1048576,ROW(),FALSE)</f>
        <v>0</v>
      </c>
      <c r="AC2060" s="580">
        <f>HLOOKUP("*"&amp;'Output annual'!$AC$2&amp;'Output annual'!$AD$2&amp;"*FangerPMV(Hourly)",'Eplus results'!$1:$1048576,ROW(),FALSE)</f>
        <v>0</v>
      </c>
      <c r="AD2060" s="580">
        <f t="shared" si="196"/>
        <v>5</v>
      </c>
      <c r="AE2060" s="580">
        <f t="shared" si="197"/>
        <v>2.5</v>
      </c>
      <c r="AF2060" s="580">
        <f t="shared" si="198"/>
        <v>2.5</v>
      </c>
      <c r="AG2060" s="580">
        <f t="shared" si="199"/>
        <v>0</v>
      </c>
      <c r="AH2060" s="580">
        <f t="shared" si="200"/>
        <v>0</v>
      </c>
    </row>
    <row r="2061" spans="28:34">
      <c r="AB2061" s="580">
        <f>HLOOKUP("*"&amp;'Output annual'!$AC$2&amp;'Output annual'!$AD$2&amp;"*Zone People Number Of Occupants [](Hourly)",'Eplus results'!$1:$1048576,ROW(),FALSE)</f>
        <v>0</v>
      </c>
      <c r="AC2061" s="580">
        <f>HLOOKUP("*"&amp;'Output annual'!$AC$2&amp;'Output annual'!$AD$2&amp;"*FangerPMV(Hourly)",'Eplus results'!$1:$1048576,ROW(),FALSE)</f>
        <v>0</v>
      </c>
      <c r="AD2061" s="580">
        <f t="shared" si="196"/>
        <v>5</v>
      </c>
      <c r="AE2061" s="580">
        <f t="shared" si="197"/>
        <v>2.5</v>
      </c>
      <c r="AF2061" s="580">
        <f t="shared" si="198"/>
        <v>2.5</v>
      </c>
      <c r="AG2061" s="580">
        <f t="shared" si="199"/>
        <v>0</v>
      </c>
      <c r="AH2061" s="580">
        <f t="shared" si="200"/>
        <v>0</v>
      </c>
    </row>
    <row r="2062" spans="28:34">
      <c r="AB2062" s="580">
        <f>HLOOKUP("*"&amp;'Output annual'!$AC$2&amp;'Output annual'!$AD$2&amp;"*Zone People Number Of Occupants [](Hourly)",'Eplus results'!$1:$1048576,ROW(),FALSE)</f>
        <v>0</v>
      </c>
      <c r="AC2062" s="580">
        <f>HLOOKUP("*"&amp;'Output annual'!$AC$2&amp;'Output annual'!$AD$2&amp;"*FangerPMV(Hourly)",'Eplus results'!$1:$1048576,ROW(),FALSE)</f>
        <v>0</v>
      </c>
      <c r="AD2062" s="580">
        <f t="shared" si="196"/>
        <v>5</v>
      </c>
      <c r="AE2062" s="580">
        <f t="shared" si="197"/>
        <v>2.5</v>
      </c>
      <c r="AF2062" s="580">
        <f t="shared" si="198"/>
        <v>2.5</v>
      </c>
      <c r="AG2062" s="580">
        <f t="shared" si="199"/>
        <v>0</v>
      </c>
      <c r="AH2062" s="580">
        <f t="shared" si="200"/>
        <v>0</v>
      </c>
    </row>
    <row r="2063" spans="28:34">
      <c r="AB2063" s="580">
        <f>HLOOKUP("*"&amp;'Output annual'!$AC$2&amp;'Output annual'!$AD$2&amp;"*Zone People Number Of Occupants [](Hourly)",'Eplus results'!$1:$1048576,ROW(),FALSE)</f>
        <v>0</v>
      </c>
      <c r="AC2063" s="580">
        <f>HLOOKUP("*"&amp;'Output annual'!$AC$2&amp;'Output annual'!$AD$2&amp;"*FangerPMV(Hourly)",'Eplus results'!$1:$1048576,ROW(),FALSE)</f>
        <v>0</v>
      </c>
      <c r="AD2063" s="580">
        <f t="shared" si="196"/>
        <v>5</v>
      </c>
      <c r="AE2063" s="580">
        <f t="shared" si="197"/>
        <v>2.5</v>
      </c>
      <c r="AF2063" s="580">
        <f t="shared" si="198"/>
        <v>2.5</v>
      </c>
      <c r="AG2063" s="580">
        <f t="shared" si="199"/>
        <v>0</v>
      </c>
      <c r="AH2063" s="580">
        <f t="shared" si="200"/>
        <v>0</v>
      </c>
    </row>
    <row r="2064" spans="28:34">
      <c r="AB2064" s="580">
        <f>HLOOKUP("*"&amp;'Output annual'!$AC$2&amp;'Output annual'!$AD$2&amp;"*Zone People Number Of Occupants [](Hourly)",'Eplus results'!$1:$1048576,ROW(),FALSE)</f>
        <v>0</v>
      </c>
      <c r="AC2064" s="580">
        <f>HLOOKUP("*"&amp;'Output annual'!$AC$2&amp;'Output annual'!$AD$2&amp;"*FangerPMV(Hourly)",'Eplus results'!$1:$1048576,ROW(),FALSE)</f>
        <v>0</v>
      </c>
      <c r="AD2064" s="580">
        <f t="shared" si="196"/>
        <v>5</v>
      </c>
      <c r="AE2064" s="580">
        <f t="shared" si="197"/>
        <v>2.5</v>
      </c>
      <c r="AF2064" s="580">
        <f t="shared" si="198"/>
        <v>2.5</v>
      </c>
      <c r="AG2064" s="580">
        <f t="shared" si="199"/>
        <v>0</v>
      </c>
      <c r="AH2064" s="580">
        <f t="shared" si="200"/>
        <v>0</v>
      </c>
    </row>
    <row r="2065" spans="28:34">
      <c r="AB2065" s="580">
        <f>HLOOKUP("*"&amp;'Output annual'!$AC$2&amp;'Output annual'!$AD$2&amp;"*Zone People Number Of Occupants [](Hourly)",'Eplus results'!$1:$1048576,ROW(),FALSE)</f>
        <v>0</v>
      </c>
      <c r="AC2065" s="580">
        <f>HLOOKUP("*"&amp;'Output annual'!$AC$2&amp;'Output annual'!$AD$2&amp;"*FangerPMV(Hourly)",'Eplus results'!$1:$1048576,ROW(),FALSE)</f>
        <v>0</v>
      </c>
      <c r="AD2065" s="580">
        <f t="shared" si="196"/>
        <v>5</v>
      </c>
      <c r="AE2065" s="580">
        <f t="shared" si="197"/>
        <v>2.5</v>
      </c>
      <c r="AF2065" s="580">
        <f t="shared" si="198"/>
        <v>2.5</v>
      </c>
      <c r="AG2065" s="580">
        <f t="shared" si="199"/>
        <v>0</v>
      </c>
      <c r="AH2065" s="580">
        <f t="shared" si="200"/>
        <v>0</v>
      </c>
    </row>
    <row r="2066" spans="28:34">
      <c r="AB2066" s="580">
        <f>HLOOKUP("*"&amp;'Output annual'!$AC$2&amp;'Output annual'!$AD$2&amp;"*Zone People Number Of Occupants [](Hourly)",'Eplus results'!$1:$1048576,ROW(),FALSE)</f>
        <v>0</v>
      </c>
      <c r="AC2066" s="580">
        <f>HLOOKUP("*"&amp;'Output annual'!$AC$2&amp;'Output annual'!$AD$2&amp;"*FangerPMV(Hourly)",'Eplus results'!$1:$1048576,ROW(),FALSE)</f>
        <v>0</v>
      </c>
      <c r="AD2066" s="580">
        <f t="shared" si="196"/>
        <v>5</v>
      </c>
      <c r="AE2066" s="580">
        <f t="shared" si="197"/>
        <v>2.5</v>
      </c>
      <c r="AF2066" s="580">
        <f t="shared" si="198"/>
        <v>2.5</v>
      </c>
      <c r="AG2066" s="580">
        <f t="shared" si="199"/>
        <v>0</v>
      </c>
      <c r="AH2066" s="580">
        <f t="shared" si="200"/>
        <v>0</v>
      </c>
    </row>
    <row r="2067" spans="28:34">
      <c r="AB2067" s="580">
        <f>HLOOKUP("*"&amp;'Output annual'!$AC$2&amp;'Output annual'!$AD$2&amp;"*Zone People Number Of Occupants [](Hourly)",'Eplus results'!$1:$1048576,ROW(),FALSE)</f>
        <v>0</v>
      </c>
      <c r="AC2067" s="580">
        <f>HLOOKUP("*"&amp;'Output annual'!$AC$2&amp;'Output annual'!$AD$2&amp;"*FangerPMV(Hourly)",'Eplus results'!$1:$1048576,ROW(),FALSE)</f>
        <v>0</v>
      </c>
      <c r="AD2067" s="580">
        <f t="shared" si="196"/>
        <v>5</v>
      </c>
      <c r="AE2067" s="580">
        <f t="shared" si="197"/>
        <v>2.5</v>
      </c>
      <c r="AF2067" s="580">
        <f t="shared" si="198"/>
        <v>2.5</v>
      </c>
      <c r="AG2067" s="580">
        <f t="shared" si="199"/>
        <v>0</v>
      </c>
      <c r="AH2067" s="580">
        <f t="shared" si="200"/>
        <v>0</v>
      </c>
    </row>
    <row r="2068" spans="28:34">
      <c r="AB2068" s="580">
        <f>HLOOKUP("*"&amp;'Output annual'!$AC$2&amp;'Output annual'!$AD$2&amp;"*Zone People Number Of Occupants [](Hourly)",'Eplus results'!$1:$1048576,ROW(),FALSE)</f>
        <v>0</v>
      </c>
      <c r="AC2068" s="580">
        <f>HLOOKUP("*"&amp;'Output annual'!$AC$2&amp;'Output annual'!$AD$2&amp;"*FangerPMV(Hourly)",'Eplus results'!$1:$1048576,ROW(),FALSE)</f>
        <v>0</v>
      </c>
      <c r="AD2068" s="580">
        <f t="shared" si="196"/>
        <v>5</v>
      </c>
      <c r="AE2068" s="580">
        <f t="shared" si="197"/>
        <v>2.5</v>
      </c>
      <c r="AF2068" s="580">
        <f t="shared" si="198"/>
        <v>2.5</v>
      </c>
      <c r="AG2068" s="580">
        <f t="shared" si="199"/>
        <v>0</v>
      </c>
      <c r="AH2068" s="580">
        <f t="shared" si="200"/>
        <v>0</v>
      </c>
    </row>
    <row r="2069" spans="28:34">
      <c r="AB2069" s="580">
        <f>HLOOKUP("*"&amp;'Output annual'!$AC$2&amp;'Output annual'!$AD$2&amp;"*Zone People Number Of Occupants [](Hourly)",'Eplus results'!$1:$1048576,ROW(),FALSE)</f>
        <v>0</v>
      </c>
      <c r="AC2069" s="580">
        <f>HLOOKUP("*"&amp;'Output annual'!$AC$2&amp;'Output annual'!$AD$2&amp;"*FangerPMV(Hourly)",'Eplus results'!$1:$1048576,ROW(),FALSE)</f>
        <v>0</v>
      </c>
      <c r="AD2069" s="580">
        <f t="shared" si="196"/>
        <v>5</v>
      </c>
      <c r="AE2069" s="580">
        <f t="shared" si="197"/>
        <v>2.5</v>
      </c>
      <c r="AF2069" s="580">
        <f t="shared" si="198"/>
        <v>2.5</v>
      </c>
      <c r="AG2069" s="580">
        <f t="shared" si="199"/>
        <v>0</v>
      </c>
      <c r="AH2069" s="580">
        <f t="shared" si="200"/>
        <v>0</v>
      </c>
    </row>
    <row r="2070" spans="28:34">
      <c r="AB2070" s="580">
        <f>HLOOKUP("*"&amp;'Output annual'!$AC$2&amp;'Output annual'!$AD$2&amp;"*Zone People Number Of Occupants [](Hourly)",'Eplus results'!$1:$1048576,ROW(),FALSE)</f>
        <v>0</v>
      </c>
      <c r="AC2070" s="580">
        <f>HLOOKUP("*"&amp;'Output annual'!$AC$2&amp;'Output annual'!$AD$2&amp;"*FangerPMV(Hourly)",'Eplus results'!$1:$1048576,ROW(),FALSE)</f>
        <v>0</v>
      </c>
      <c r="AD2070" s="580">
        <f t="shared" si="196"/>
        <v>5</v>
      </c>
      <c r="AE2070" s="580">
        <f t="shared" si="197"/>
        <v>2.5</v>
      </c>
      <c r="AF2070" s="580">
        <f t="shared" si="198"/>
        <v>2.5</v>
      </c>
      <c r="AG2070" s="580">
        <f t="shared" si="199"/>
        <v>0</v>
      </c>
      <c r="AH2070" s="580">
        <f t="shared" si="200"/>
        <v>0</v>
      </c>
    </row>
    <row r="2071" spans="28:34">
      <c r="AB2071" s="580">
        <f>HLOOKUP("*"&amp;'Output annual'!$AC$2&amp;'Output annual'!$AD$2&amp;"*Zone People Number Of Occupants [](Hourly)",'Eplus results'!$1:$1048576,ROW(),FALSE)</f>
        <v>0</v>
      </c>
      <c r="AC2071" s="580">
        <f>HLOOKUP("*"&amp;'Output annual'!$AC$2&amp;'Output annual'!$AD$2&amp;"*FangerPMV(Hourly)",'Eplus results'!$1:$1048576,ROW(),FALSE)</f>
        <v>0</v>
      </c>
      <c r="AD2071" s="580">
        <f t="shared" si="196"/>
        <v>5</v>
      </c>
      <c r="AE2071" s="580">
        <f t="shared" si="197"/>
        <v>2.5</v>
      </c>
      <c r="AF2071" s="580">
        <f t="shared" si="198"/>
        <v>2.5</v>
      </c>
      <c r="AG2071" s="580">
        <f t="shared" si="199"/>
        <v>0</v>
      </c>
      <c r="AH2071" s="580">
        <f t="shared" si="200"/>
        <v>0</v>
      </c>
    </row>
    <row r="2072" spans="28:34">
      <c r="AB2072" s="580">
        <f>HLOOKUP("*"&amp;'Output annual'!$AC$2&amp;'Output annual'!$AD$2&amp;"*Zone People Number Of Occupants [](Hourly)",'Eplus results'!$1:$1048576,ROW(),FALSE)</f>
        <v>0</v>
      </c>
      <c r="AC2072" s="580">
        <f>HLOOKUP("*"&amp;'Output annual'!$AC$2&amp;'Output annual'!$AD$2&amp;"*FangerPMV(Hourly)",'Eplus results'!$1:$1048576,ROW(),FALSE)</f>
        <v>0</v>
      </c>
      <c r="AD2072" s="580">
        <f t="shared" si="196"/>
        <v>5</v>
      </c>
      <c r="AE2072" s="580">
        <f t="shared" si="197"/>
        <v>2.5</v>
      </c>
      <c r="AF2072" s="580">
        <f t="shared" si="198"/>
        <v>2.5</v>
      </c>
      <c r="AG2072" s="580">
        <f t="shared" si="199"/>
        <v>0</v>
      </c>
      <c r="AH2072" s="580">
        <f t="shared" si="200"/>
        <v>0</v>
      </c>
    </row>
    <row r="2073" spans="28:34">
      <c r="AB2073" s="580">
        <f>HLOOKUP("*"&amp;'Output annual'!$AC$2&amp;'Output annual'!$AD$2&amp;"*Zone People Number Of Occupants [](Hourly)",'Eplus results'!$1:$1048576,ROW(),FALSE)</f>
        <v>0</v>
      </c>
      <c r="AC2073" s="580">
        <f>HLOOKUP("*"&amp;'Output annual'!$AC$2&amp;'Output annual'!$AD$2&amp;"*FangerPMV(Hourly)",'Eplus results'!$1:$1048576,ROW(),FALSE)</f>
        <v>0</v>
      </c>
      <c r="AD2073" s="580">
        <f t="shared" si="196"/>
        <v>5</v>
      </c>
      <c r="AE2073" s="580">
        <f t="shared" si="197"/>
        <v>2.5</v>
      </c>
      <c r="AF2073" s="580">
        <f t="shared" si="198"/>
        <v>2.5</v>
      </c>
      <c r="AG2073" s="580">
        <f t="shared" si="199"/>
        <v>0</v>
      </c>
      <c r="AH2073" s="580">
        <f t="shared" si="200"/>
        <v>0</v>
      </c>
    </row>
    <row r="2074" spans="28:34">
      <c r="AB2074" s="580">
        <f>HLOOKUP("*"&amp;'Output annual'!$AC$2&amp;'Output annual'!$AD$2&amp;"*Zone People Number Of Occupants [](Hourly)",'Eplus results'!$1:$1048576,ROW(),FALSE)</f>
        <v>0</v>
      </c>
      <c r="AC2074" s="580">
        <f>HLOOKUP("*"&amp;'Output annual'!$AC$2&amp;'Output annual'!$AD$2&amp;"*FangerPMV(Hourly)",'Eplus results'!$1:$1048576,ROW(),FALSE)</f>
        <v>0</v>
      </c>
      <c r="AD2074" s="580">
        <f t="shared" si="196"/>
        <v>5</v>
      </c>
      <c r="AE2074" s="580">
        <f t="shared" si="197"/>
        <v>2.5</v>
      </c>
      <c r="AF2074" s="580">
        <f t="shared" si="198"/>
        <v>2.5</v>
      </c>
      <c r="AG2074" s="580">
        <f t="shared" si="199"/>
        <v>0</v>
      </c>
      <c r="AH2074" s="580">
        <f t="shared" si="200"/>
        <v>0</v>
      </c>
    </row>
    <row r="2075" spans="28:34">
      <c r="AB2075" s="580">
        <f>HLOOKUP("*"&amp;'Output annual'!$AC$2&amp;'Output annual'!$AD$2&amp;"*Zone People Number Of Occupants [](Hourly)",'Eplus results'!$1:$1048576,ROW(),FALSE)</f>
        <v>0</v>
      </c>
      <c r="AC2075" s="580">
        <f>HLOOKUP("*"&amp;'Output annual'!$AC$2&amp;'Output annual'!$AD$2&amp;"*FangerPMV(Hourly)",'Eplus results'!$1:$1048576,ROW(),FALSE)</f>
        <v>0</v>
      </c>
      <c r="AD2075" s="580">
        <f t="shared" si="196"/>
        <v>5</v>
      </c>
      <c r="AE2075" s="580">
        <f t="shared" si="197"/>
        <v>2.5</v>
      </c>
      <c r="AF2075" s="580">
        <f t="shared" si="198"/>
        <v>2.5</v>
      </c>
      <c r="AG2075" s="580">
        <f t="shared" si="199"/>
        <v>0</v>
      </c>
      <c r="AH2075" s="580">
        <f t="shared" si="200"/>
        <v>0</v>
      </c>
    </row>
    <row r="2076" spans="28:34">
      <c r="AB2076" s="580">
        <f>HLOOKUP("*"&amp;'Output annual'!$AC$2&amp;'Output annual'!$AD$2&amp;"*Zone People Number Of Occupants [](Hourly)",'Eplus results'!$1:$1048576,ROW(),FALSE)</f>
        <v>0</v>
      </c>
      <c r="AC2076" s="580">
        <f>HLOOKUP("*"&amp;'Output annual'!$AC$2&amp;'Output annual'!$AD$2&amp;"*FangerPMV(Hourly)",'Eplus results'!$1:$1048576,ROW(),FALSE)</f>
        <v>0</v>
      </c>
      <c r="AD2076" s="580">
        <f t="shared" si="196"/>
        <v>5</v>
      </c>
      <c r="AE2076" s="580">
        <f t="shared" si="197"/>
        <v>2.5</v>
      </c>
      <c r="AF2076" s="580">
        <f t="shared" si="198"/>
        <v>2.5</v>
      </c>
      <c r="AG2076" s="580">
        <f t="shared" si="199"/>
        <v>0</v>
      </c>
      <c r="AH2076" s="580">
        <f t="shared" si="200"/>
        <v>0</v>
      </c>
    </row>
    <row r="2077" spans="28:34">
      <c r="AB2077" s="580">
        <f>HLOOKUP("*"&amp;'Output annual'!$AC$2&amp;'Output annual'!$AD$2&amp;"*Zone People Number Of Occupants [](Hourly)",'Eplus results'!$1:$1048576,ROW(),FALSE)</f>
        <v>0</v>
      </c>
      <c r="AC2077" s="580">
        <f>HLOOKUP("*"&amp;'Output annual'!$AC$2&amp;'Output annual'!$AD$2&amp;"*FangerPMV(Hourly)",'Eplus results'!$1:$1048576,ROW(),FALSE)</f>
        <v>0</v>
      </c>
      <c r="AD2077" s="580">
        <f t="shared" si="196"/>
        <v>5</v>
      </c>
      <c r="AE2077" s="580">
        <f t="shared" si="197"/>
        <v>2.5</v>
      </c>
      <c r="AF2077" s="580">
        <f t="shared" si="198"/>
        <v>2.5</v>
      </c>
      <c r="AG2077" s="580">
        <f t="shared" si="199"/>
        <v>0</v>
      </c>
      <c r="AH2077" s="580">
        <f t="shared" si="200"/>
        <v>0</v>
      </c>
    </row>
    <row r="2078" spans="28:34">
      <c r="AB2078" s="580">
        <f>HLOOKUP("*"&amp;'Output annual'!$AC$2&amp;'Output annual'!$AD$2&amp;"*Zone People Number Of Occupants [](Hourly)",'Eplus results'!$1:$1048576,ROW(),FALSE)</f>
        <v>0</v>
      </c>
      <c r="AC2078" s="580">
        <f>HLOOKUP("*"&amp;'Output annual'!$AC$2&amp;'Output annual'!$AD$2&amp;"*FangerPMV(Hourly)",'Eplus results'!$1:$1048576,ROW(),FALSE)</f>
        <v>0</v>
      </c>
      <c r="AD2078" s="580">
        <f t="shared" si="196"/>
        <v>5</v>
      </c>
      <c r="AE2078" s="580">
        <f t="shared" si="197"/>
        <v>2.5</v>
      </c>
      <c r="AF2078" s="580">
        <f t="shared" si="198"/>
        <v>2.5</v>
      </c>
      <c r="AG2078" s="580">
        <f t="shared" si="199"/>
        <v>0</v>
      </c>
      <c r="AH2078" s="580">
        <f t="shared" si="200"/>
        <v>0</v>
      </c>
    </row>
    <row r="2079" spans="28:34">
      <c r="AB2079" s="580">
        <f>HLOOKUP("*"&amp;'Output annual'!$AC$2&amp;'Output annual'!$AD$2&amp;"*Zone People Number Of Occupants [](Hourly)",'Eplus results'!$1:$1048576,ROW(),FALSE)</f>
        <v>0</v>
      </c>
      <c r="AC2079" s="580">
        <f>HLOOKUP("*"&amp;'Output annual'!$AC$2&amp;'Output annual'!$AD$2&amp;"*FangerPMV(Hourly)",'Eplus results'!$1:$1048576,ROW(),FALSE)</f>
        <v>0</v>
      </c>
      <c r="AD2079" s="580">
        <f t="shared" si="196"/>
        <v>5</v>
      </c>
      <c r="AE2079" s="580">
        <f t="shared" si="197"/>
        <v>2.5</v>
      </c>
      <c r="AF2079" s="580">
        <f t="shared" si="198"/>
        <v>2.5</v>
      </c>
      <c r="AG2079" s="580">
        <f t="shared" si="199"/>
        <v>0</v>
      </c>
      <c r="AH2079" s="580">
        <f t="shared" si="200"/>
        <v>0</v>
      </c>
    </row>
    <row r="2080" spans="28:34">
      <c r="AB2080" s="580">
        <f>HLOOKUP("*"&amp;'Output annual'!$AC$2&amp;'Output annual'!$AD$2&amp;"*Zone People Number Of Occupants [](Hourly)",'Eplus results'!$1:$1048576,ROW(),FALSE)</f>
        <v>0</v>
      </c>
      <c r="AC2080" s="580">
        <f>HLOOKUP("*"&amp;'Output annual'!$AC$2&amp;'Output annual'!$AD$2&amp;"*FangerPMV(Hourly)",'Eplus results'!$1:$1048576,ROW(),FALSE)</f>
        <v>0</v>
      </c>
      <c r="AD2080" s="580">
        <f t="shared" si="196"/>
        <v>5</v>
      </c>
      <c r="AE2080" s="580">
        <f t="shared" si="197"/>
        <v>2.5</v>
      </c>
      <c r="AF2080" s="580">
        <f t="shared" si="198"/>
        <v>2.5</v>
      </c>
      <c r="AG2080" s="580">
        <f t="shared" si="199"/>
        <v>0</v>
      </c>
      <c r="AH2080" s="580">
        <f t="shared" si="200"/>
        <v>0</v>
      </c>
    </row>
    <row r="2081" spans="28:34">
      <c r="AB2081" s="580">
        <f>HLOOKUP("*"&amp;'Output annual'!$AC$2&amp;'Output annual'!$AD$2&amp;"*Zone People Number Of Occupants [](Hourly)",'Eplus results'!$1:$1048576,ROW(),FALSE)</f>
        <v>0</v>
      </c>
      <c r="AC2081" s="580">
        <f>HLOOKUP("*"&amp;'Output annual'!$AC$2&amp;'Output annual'!$AD$2&amp;"*FangerPMV(Hourly)",'Eplus results'!$1:$1048576,ROW(),FALSE)</f>
        <v>0</v>
      </c>
      <c r="AD2081" s="580">
        <f t="shared" si="196"/>
        <v>5</v>
      </c>
      <c r="AE2081" s="580">
        <f t="shared" si="197"/>
        <v>2.5</v>
      </c>
      <c r="AF2081" s="580">
        <f t="shared" si="198"/>
        <v>2.5</v>
      </c>
      <c r="AG2081" s="580">
        <f t="shared" si="199"/>
        <v>0</v>
      </c>
      <c r="AH2081" s="580">
        <f t="shared" si="200"/>
        <v>0</v>
      </c>
    </row>
    <row r="2082" spans="28:34">
      <c r="AB2082" s="580">
        <f>HLOOKUP("*"&amp;'Output annual'!$AC$2&amp;'Output annual'!$AD$2&amp;"*Zone People Number Of Occupants [](Hourly)",'Eplus results'!$1:$1048576,ROW(),FALSE)</f>
        <v>0</v>
      </c>
      <c r="AC2082" s="580">
        <f>HLOOKUP("*"&amp;'Output annual'!$AC$2&amp;'Output annual'!$AD$2&amp;"*FangerPMV(Hourly)",'Eplus results'!$1:$1048576,ROW(),FALSE)</f>
        <v>0</v>
      </c>
      <c r="AD2082" s="580">
        <f t="shared" si="196"/>
        <v>5</v>
      </c>
      <c r="AE2082" s="580">
        <f t="shared" si="197"/>
        <v>2.5</v>
      </c>
      <c r="AF2082" s="580">
        <f t="shared" si="198"/>
        <v>2.5</v>
      </c>
      <c r="AG2082" s="580">
        <f t="shared" si="199"/>
        <v>0</v>
      </c>
      <c r="AH2082" s="580">
        <f t="shared" si="200"/>
        <v>0</v>
      </c>
    </row>
    <row r="2083" spans="28:34">
      <c r="AB2083" s="580">
        <f>HLOOKUP("*"&amp;'Output annual'!$AC$2&amp;'Output annual'!$AD$2&amp;"*Zone People Number Of Occupants [](Hourly)",'Eplus results'!$1:$1048576,ROW(),FALSE)</f>
        <v>0</v>
      </c>
      <c r="AC2083" s="580">
        <f>HLOOKUP("*"&amp;'Output annual'!$AC$2&amp;'Output annual'!$AD$2&amp;"*FangerPMV(Hourly)",'Eplus results'!$1:$1048576,ROW(),FALSE)</f>
        <v>0</v>
      </c>
      <c r="AD2083" s="580">
        <f t="shared" si="196"/>
        <v>5</v>
      </c>
      <c r="AE2083" s="580">
        <f t="shared" si="197"/>
        <v>2.5</v>
      </c>
      <c r="AF2083" s="580">
        <f t="shared" si="198"/>
        <v>2.5</v>
      </c>
      <c r="AG2083" s="580">
        <f t="shared" si="199"/>
        <v>0</v>
      </c>
      <c r="AH2083" s="580">
        <f t="shared" si="200"/>
        <v>0</v>
      </c>
    </row>
    <row r="2084" spans="28:34">
      <c r="AB2084" s="580">
        <f>HLOOKUP("*"&amp;'Output annual'!$AC$2&amp;'Output annual'!$AD$2&amp;"*Zone People Number Of Occupants [](Hourly)",'Eplus results'!$1:$1048576,ROW(),FALSE)</f>
        <v>0</v>
      </c>
      <c r="AC2084" s="580">
        <f>HLOOKUP("*"&amp;'Output annual'!$AC$2&amp;'Output annual'!$AD$2&amp;"*FangerPMV(Hourly)",'Eplus results'!$1:$1048576,ROW(),FALSE)</f>
        <v>0</v>
      </c>
      <c r="AD2084" s="580">
        <f t="shared" si="196"/>
        <v>5</v>
      </c>
      <c r="AE2084" s="580">
        <f t="shared" si="197"/>
        <v>2.5</v>
      </c>
      <c r="AF2084" s="580">
        <f t="shared" si="198"/>
        <v>2.5</v>
      </c>
      <c r="AG2084" s="580">
        <f t="shared" si="199"/>
        <v>0</v>
      </c>
      <c r="AH2084" s="580">
        <f t="shared" si="200"/>
        <v>0</v>
      </c>
    </row>
    <row r="2085" spans="28:34">
      <c r="AB2085" s="580">
        <f>HLOOKUP("*"&amp;'Output annual'!$AC$2&amp;'Output annual'!$AD$2&amp;"*Zone People Number Of Occupants [](Hourly)",'Eplus results'!$1:$1048576,ROW(),FALSE)</f>
        <v>0</v>
      </c>
      <c r="AC2085" s="580">
        <f>HLOOKUP("*"&amp;'Output annual'!$AC$2&amp;'Output annual'!$AD$2&amp;"*FangerPMV(Hourly)",'Eplus results'!$1:$1048576,ROW(),FALSE)</f>
        <v>0</v>
      </c>
      <c r="AD2085" s="580">
        <f t="shared" si="196"/>
        <v>5</v>
      </c>
      <c r="AE2085" s="580">
        <f t="shared" si="197"/>
        <v>2.5</v>
      </c>
      <c r="AF2085" s="580">
        <f t="shared" si="198"/>
        <v>2.5</v>
      </c>
      <c r="AG2085" s="580">
        <f t="shared" si="199"/>
        <v>0</v>
      </c>
      <c r="AH2085" s="580">
        <f t="shared" si="200"/>
        <v>0</v>
      </c>
    </row>
    <row r="2086" spans="28:34">
      <c r="AB2086" s="580">
        <f>HLOOKUP("*"&amp;'Output annual'!$AC$2&amp;'Output annual'!$AD$2&amp;"*Zone People Number Of Occupants [](Hourly)",'Eplus results'!$1:$1048576,ROW(),FALSE)</f>
        <v>0</v>
      </c>
      <c r="AC2086" s="580">
        <f>HLOOKUP("*"&amp;'Output annual'!$AC$2&amp;'Output annual'!$AD$2&amp;"*FangerPMV(Hourly)",'Eplus results'!$1:$1048576,ROW(),FALSE)</f>
        <v>0</v>
      </c>
      <c r="AD2086" s="580">
        <f t="shared" si="196"/>
        <v>5</v>
      </c>
      <c r="AE2086" s="580">
        <f t="shared" si="197"/>
        <v>2.5</v>
      </c>
      <c r="AF2086" s="580">
        <f t="shared" si="198"/>
        <v>2.5</v>
      </c>
      <c r="AG2086" s="580">
        <f t="shared" si="199"/>
        <v>0</v>
      </c>
      <c r="AH2086" s="580">
        <f t="shared" si="200"/>
        <v>0</v>
      </c>
    </row>
    <row r="2087" spans="28:34">
      <c r="AB2087" s="580">
        <f>HLOOKUP("*"&amp;'Output annual'!$AC$2&amp;'Output annual'!$AD$2&amp;"*Zone People Number Of Occupants [](Hourly)",'Eplus results'!$1:$1048576,ROW(),FALSE)</f>
        <v>0</v>
      </c>
      <c r="AC2087" s="580">
        <f>HLOOKUP("*"&amp;'Output annual'!$AC$2&amp;'Output annual'!$AD$2&amp;"*FangerPMV(Hourly)",'Eplus results'!$1:$1048576,ROW(),FALSE)</f>
        <v>0</v>
      </c>
      <c r="AD2087" s="580">
        <f t="shared" si="196"/>
        <v>5</v>
      </c>
      <c r="AE2087" s="580">
        <f t="shared" si="197"/>
        <v>2.5</v>
      </c>
      <c r="AF2087" s="580">
        <f t="shared" si="198"/>
        <v>2.5</v>
      </c>
      <c r="AG2087" s="580">
        <f t="shared" si="199"/>
        <v>0</v>
      </c>
      <c r="AH2087" s="580">
        <f t="shared" si="200"/>
        <v>0</v>
      </c>
    </row>
    <row r="2088" spans="28:34">
      <c r="AB2088" s="580">
        <f>HLOOKUP("*"&amp;'Output annual'!$AC$2&amp;'Output annual'!$AD$2&amp;"*Zone People Number Of Occupants [](Hourly)",'Eplus results'!$1:$1048576,ROW(),FALSE)</f>
        <v>0</v>
      </c>
      <c r="AC2088" s="580">
        <f>HLOOKUP("*"&amp;'Output annual'!$AC$2&amp;'Output annual'!$AD$2&amp;"*FangerPMV(Hourly)",'Eplus results'!$1:$1048576,ROW(),FALSE)</f>
        <v>0</v>
      </c>
      <c r="AD2088" s="580">
        <f t="shared" si="196"/>
        <v>5</v>
      </c>
      <c r="AE2088" s="580">
        <f t="shared" si="197"/>
        <v>2.5</v>
      </c>
      <c r="AF2088" s="580">
        <f t="shared" si="198"/>
        <v>2.5</v>
      </c>
      <c r="AG2088" s="580">
        <f t="shared" si="199"/>
        <v>0</v>
      </c>
      <c r="AH2088" s="580">
        <f t="shared" si="200"/>
        <v>0</v>
      </c>
    </row>
    <row r="2089" spans="28:34">
      <c r="AB2089" s="580">
        <f>HLOOKUP("*"&amp;'Output annual'!$AC$2&amp;'Output annual'!$AD$2&amp;"*Zone People Number Of Occupants [](Hourly)",'Eplus results'!$1:$1048576,ROW(),FALSE)</f>
        <v>0</v>
      </c>
      <c r="AC2089" s="580">
        <f>HLOOKUP("*"&amp;'Output annual'!$AC$2&amp;'Output annual'!$AD$2&amp;"*FangerPMV(Hourly)",'Eplus results'!$1:$1048576,ROW(),FALSE)</f>
        <v>0</v>
      </c>
      <c r="AD2089" s="580">
        <f t="shared" si="196"/>
        <v>5</v>
      </c>
      <c r="AE2089" s="580">
        <f t="shared" si="197"/>
        <v>2.5</v>
      </c>
      <c r="AF2089" s="580">
        <f t="shared" si="198"/>
        <v>2.5</v>
      </c>
      <c r="AG2089" s="580">
        <f t="shared" si="199"/>
        <v>0</v>
      </c>
      <c r="AH2089" s="580">
        <f t="shared" si="200"/>
        <v>0</v>
      </c>
    </row>
    <row r="2090" spans="28:34">
      <c r="AB2090" s="580">
        <f>HLOOKUP("*"&amp;'Output annual'!$AC$2&amp;'Output annual'!$AD$2&amp;"*Zone People Number Of Occupants [](Hourly)",'Eplus results'!$1:$1048576,ROW(),FALSE)</f>
        <v>0</v>
      </c>
      <c r="AC2090" s="580">
        <f>HLOOKUP("*"&amp;'Output annual'!$AC$2&amp;'Output annual'!$AD$2&amp;"*FangerPMV(Hourly)",'Eplus results'!$1:$1048576,ROW(),FALSE)</f>
        <v>0</v>
      </c>
      <c r="AD2090" s="580">
        <f t="shared" si="196"/>
        <v>5</v>
      </c>
      <c r="AE2090" s="580">
        <f t="shared" si="197"/>
        <v>2.5</v>
      </c>
      <c r="AF2090" s="580">
        <f t="shared" si="198"/>
        <v>2.5</v>
      </c>
      <c r="AG2090" s="580">
        <f t="shared" si="199"/>
        <v>0</v>
      </c>
      <c r="AH2090" s="580">
        <f t="shared" si="200"/>
        <v>0</v>
      </c>
    </row>
    <row r="2091" spans="28:34">
      <c r="AB2091" s="580">
        <f>HLOOKUP("*"&amp;'Output annual'!$AC$2&amp;'Output annual'!$AD$2&amp;"*Zone People Number Of Occupants [](Hourly)",'Eplus results'!$1:$1048576,ROW(),FALSE)</f>
        <v>0</v>
      </c>
      <c r="AC2091" s="580">
        <f>HLOOKUP("*"&amp;'Output annual'!$AC$2&amp;'Output annual'!$AD$2&amp;"*FangerPMV(Hourly)",'Eplus results'!$1:$1048576,ROW(),FALSE)</f>
        <v>0</v>
      </c>
      <c r="AD2091" s="580">
        <f t="shared" si="196"/>
        <v>5</v>
      </c>
      <c r="AE2091" s="580">
        <f t="shared" si="197"/>
        <v>2.5</v>
      </c>
      <c r="AF2091" s="580">
        <f t="shared" si="198"/>
        <v>2.5</v>
      </c>
      <c r="AG2091" s="580">
        <f t="shared" si="199"/>
        <v>0</v>
      </c>
      <c r="AH2091" s="580">
        <f t="shared" si="200"/>
        <v>0</v>
      </c>
    </row>
    <row r="2092" spans="28:34">
      <c r="AB2092" s="580">
        <f>HLOOKUP("*"&amp;'Output annual'!$AC$2&amp;'Output annual'!$AD$2&amp;"*Zone People Number Of Occupants [](Hourly)",'Eplus results'!$1:$1048576,ROW(),FALSE)</f>
        <v>0</v>
      </c>
      <c r="AC2092" s="580">
        <f>HLOOKUP("*"&amp;'Output annual'!$AC$2&amp;'Output annual'!$AD$2&amp;"*FangerPMV(Hourly)",'Eplus results'!$1:$1048576,ROW(),FALSE)</f>
        <v>0</v>
      </c>
      <c r="AD2092" s="580">
        <f t="shared" si="196"/>
        <v>5</v>
      </c>
      <c r="AE2092" s="580">
        <f t="shared" si="197"/>
        <v>2.5</v>
      </c>
      <c r="AF2092" s="580">
        <f t="shared" si="198"/>
        <v>2.5</v>
      </c>
      <c r="AG2092" s="580">
        <f t="shared" si="199"/>
        <v>0</v>
      </c>
      <c r="AH2092" s="580">
        <f t="shared" si="200"/>
        <v>0</v>
      </c>
    </row>
    <row r="2093" spans="28:34">
      <c r="AB2093" s="580">
        <f>HLOOKUP("*"&amp;'Output annual'!$AC$2&amp;'Output annual'!$AD$2&amp;"*Zone People Number Of Occupants [](Hourly)",'Eplus results'!$1:$1048576,ROW(),FALSE)</f>
        <v>0</v>
      </c>
      <c r="AC2093" s="580">
        <f>HLOOKUP("*"&amp;'Output annual'!$AC$2&amp;'Output annual'!$AD$2&amp;"*FangerPMV(Hourly)",'Eplus results'!$1:$1048576,ROW(),FALSE)</f>
        <v>0</v>
      </c>
      <c r="AD2093" s="580">
        <f t="shared" si="196"/>
        <v>5</v>
      </c>
      <c r="AE2093" s="580">
        <f t="shared" si="197"/>
        <v>2.5</v>
      </c>
      <c r="AF2093" s="580">
        <f t="shared" si="198"/>
        <v>2.5</v>
      </c>
      <c r="AG2093" s="580">
        <f t="shared" si="199"/>
        <v>0</v>
      </c>
      <c r="AH2093" s="580">
        <f t="shared" si="200"/>
        <v>0</v>
      </c>
    </row>
    <row r="2094" spans="28:34">
      <c r="AB2094" s="580">
        <f>HLOOKUP("*"&amp;'Output annual'!$AC$2&amp;'Output annual'!$AD$2&amp;"*Zone People Number Of Occupants [](Hourly)",'Eplus results'!$1:$1048576,ROW(),FALSE)</f>
        <v>0</v>
      </c>
      <c r="AC2094" s="580">
        <f>HLOOKUP("*"&amp;'Output annual'!$AC$2&amp;'Output annual'!$AD$2&amp;"*FangerPMV(Hourly)",'Eplus results'!$1:$1048576,ROW(),FALSE)</f>
        <v>0</v>
      </c>
      <c r="AD2094" s="580">
        <f t="shared" si="196"/>
        <v>5</v>
      </c>
      <c r="AE2094" s="580">
        <f t="shared" si="197"/>
        <v>2.5</v>
      </c>
      <c r="AF2094" s="580">
        <f t="shared" si="198"/>
        <v>2.5</v>
      </c>
      <c r="AG2094" s="580">
        <f t="shared" si="199"/>
        <v>0</v>
      </c>
      <c r="AH2094" s="580">
        <f t="shared" si="200"/>
        <v>0</v>
      </c>
    </row>
    <row r="2095" spans="28:34">
      <c r="AB2095" s="580">
        <f>HLOOKUP("*"&amp;'Output annual'!$AC$2&amp;'Output annual'!$AD$2&amp;"*Zone People Number Of Occupants [](Hourly)",'Eplus results'!$1:$1048576,ROW(),FALSE)</f>
        <v>0</v>
      </c>
      <c r="AC2095" s="580">
        <f>HLOOKUP("*"&amp;'Output annual'!$AC$2&amp;'Output annual'!$AD$2&amp;"*FangerPMV(Hourly)",'Eplus results'!$1:$1048576,ROW(),FALSE)</f>
        <v>0</v>
      </c>
      <c r="AD2095" s="580">
        <f t="shared" si="196"/>
        <v>5</v>
      </c>
      <c r="AE2095" s="580">
        <f t="shared" si="197"/>
        <v>2.5</v>
      </c>
      <c r="AF2095" s="580">
        <f t="shared" si="198"/>
        <v>2.5</v>
      </c>
      <c r="AG2095" s="580">
        <f t="shared" si="199"/>
        <v>0</v>
      </c>
      <c r="AH2095" s="580">
        <f t="shared" si="200"/>
        <v>0</v>
      </c>
    </row>
    <row r="2096" spans="28:34">
      <c r="AB2096" s="580">
        <f>HLOOKUP("*"&amp;'Output annual'!$AC$2&amp;'Output annual'!$AD$2&amp;"*Zone People Number Of Occupants [](Hourly)",'Eplus results'!$1:$1048576,ROW(),FALSE)</f>
        <v>0</v>
      </c>
      <c r="AC2096" s="580">
        <f>HLOOKUP("*"&amp;'Output annual'!$AC$2&amp;'Output annual'!$AD$2&amp;"*FangerPMV(Hourly)",'Eplus results'!$1:$1048576,ROW(),FALSE)</f>
        <v>0</v>
      </c>
      <c r="AD2096" s="580">
        <f t="shared" si="196"/>
        <v>5</v>
      </c>
      <c r="AE2096" s="580">
        <f t="shared" si="197"/>
        <v>2.5</v>
      </c>
      <c r="AF2096" s="580">
        <f t="shared" si="198"/>
        <v>2.5</v>
      </c>
      <c r="AG2096" s="580">
        <f t="shared" si="199"/>
        <v>0</v>
      </c>
      <c r="AH2096" s="580">
        <f t="shared" si="200"/>
        <v>0</v>
      </c>
    </row>
    <row r="2097" spans="28:34">
      <c r="AB2097" s="580">
        <f>HLOOKUP("*"&amp;'Output annual'!$AC$2&amp;'Output annual'!$AD$2&amp;"*Zone People Number Of Occupants [](Hourly)",'Eplus results'!$1:$1048576,ROW(),FALSE)</f>
        <v>0</v>
      </c>
      <c r="AC2097" s="580">
        <f>HLOOKUP("*"&amp;'Output annual'!$AC$2&amp;'Output annual'!$AD$2&amp;"*FangerPMV(Hourly)",'Eplus results'!$1:$1048576,ROW(),FALSE)</f>
        <v>0</v>
      </c>
      <c r="AD2097" s="580">
        <f t="shared" si="196"/>
        <v>5</v>
      </c>
      <c r="AE2097" s="580">
        <f t="shared" si="197"/>
        <v>2.5</v>
      </c>
      <c r="AF2097" s="580">
        <f t="shared" si="198"/>
        <v>2.5</v>
      </c>
      <c r="AG2097" s="580">
        <f t="shared" si="199"/>
        <v>0</v>
      </c>
      <c r="AH2097" s="580">
        <f t="shared" si="200"/>
        <v>0</v>
      </c>
    </row>
    <row r="2098" spans="28:34">
      <c r="AB2098" s="580">
        <f>HLOOKUP("*"&amp;'Output annual'!$AC$2&amp;'Output annual'!$AD$2&amp;"*Zone People Number Of Occupants [](Hourly)",'Eplus results'!$1:$1048576,ROW(),FALSE)</f>
        <v>0</v>
      </c>
      <c r="AC2098" s="580">
        <f>HLOOKUP("*"&amp;'Output annual'!$AC$2&amp;'Output annual'!$AD$2&amp;"*FangerPMV(Hourly)",'Eplus results'!$1:$1048576,ROW(),FALSE)</f>
        <v>0</v>
      </c>
      <c r="AD2098" s="580">
        <f t="shared" si="196"/>
        <v>5</v>
      </c>
      <c r="AE2098" s="580">
        <f t="shared" si="197"/>
        <v>2.5</v>
      </c>
      <c r="AF2098" s="580">
        <f t="shared" si="198"/>
        <v>2.5</v>
      </c>
      <c r="AG2098" s="580">
        <f t="shared" si="199"/>
        <v>0</v>
      </c>
      <c r="AH2098" s="580">
        <f t="shared" si="200"/>
        <v>0</v>
      </c>
    </row>
    <row r="2099" spans="28:34">
      <c r="AB2099" s="580">
        <f>HLOOKUP("*"&amp;'Output annual'!$AC$2&amp;'Output annual'!$AD$2&amp;"*Zone People Number Of Occupants [](Hourly)",'Eplus results'!$1:$1048576,ROW(),FALSE)</f>
        <v>0</v>
      </c>
      <c r="AC2099" s="580">
        <f>HLOOKUP("*"&amp;'Output annual'!$AC$2&amp;'Output annual'!$AD$2&amp;"*FangerPMV(Hourly)",'Eplus results'!$1:$1048576,ROW(),FALSE)</f>
        <v>0</v>
      </c>
      <c r="AD2099" s="580">
        <f t="shared" si="196"/>
        <v>5</v>
      </c>
      <c r="AE2099" s="580">
        <f t="shared" si="197"/>
        <v>2.5</v>
      </c>
      <c r="AF2099" s="580">
        <f t="shared" si="198"/>
        <v>2.5</v>
      </c>
      <c r="AG2099" s="580">
        <f t="shared" si="199"/>
        <v>0</v>
      </c>
      <c r="AH2099" s="580">
        <f t="shared" si="200"/>
        <v>0</v>
      </c>
    </row>
    <row r="2100" spans="28:34">
      <c r="AB2100" s="580">
        <f>HLOOKUP("*"&amp;'Output annual'!$AC$2&amp;'Output annual'!$AD$2&amp;"*Zone People Number Of Occupants [](Hourly)",'Eplus results'!$1:$1048576,ROW(),FALSE)</f>
        <v>0</v>
      </c>
      <c r="AC2100" s="580">
        <f>HLOOKUP("*"&amp;'Output annual'!$AC$2&amp;'Output annual'!$AD$2&amp;"*FangerPMV(Hourly)",'Eplus results'!$1:$1048576,ROW(),FALSE)</f>
        <v>0</v>
      </c>
      <c r="AD2100" s="580">
        <f t="shared" si="196"/>
        <v>5</v>
      </c>
      <c r="AE2100" s="580">
        <f t="shared" si="197"/>
        <v>2.5</v>
      </c>
      <c r="AF2100" s="580">
        <f t="shared" si="198"/>
        <v>2.5</v>
      </c>
      <c r="AG2100" s="580">
        <f t="shared" si="199"/>
        <v>0</v>
      </c>
      <c r="AH2100" s="580">
        <f t="shared" si="200"/>
        <v>0</v>
      </c>
    </row>
    <row r="2101" spans="28:34">
      <c r="AB2101" s="580">
        <f>HLOOKUP("*"&amp;'Output annual'!$AC$2&amp;'Output annual'!$AD$2&amp;"*Zone People Number Of Occupants [](Hourly)",'Eplus results'!$1:$1048576,ROW(),FALSE)</f>
        <v>0</v>
      </c>
      <c r="AC2101" s="580">
        <f>HLOOKUP("*"&amp;'Output annual'!$AC$2&amp;'Output annual'!$AD$2&amp;"*FangerPMV(Hourly)",'Eplus results'!$1:$1048576,ROW(),FALSE)</f>
        <v>0</v>
      </c>
      <c r="AD2101" s="580">
        <f t="shared" si="196"/>
        <v>5</v>
      </c>
      <c r="AE2101" s="580">
        <f t="shared" si="197"/>
        <v>2.5</v>
      </c>
      <c r="AF2101" s="580">
        <f t="shared" si="198"/>
        <v>2.5</v>
      </c>
      <c r="AG2101" s="580">
        <f t="shared" si="199"/>
        <v>0</v>
      </c>
      <c r="AH2101" s="580">
        <f t="shared" si="200"/>
        <v>0</v>
      </c>
    </row>
    <row r="2102" spans="28:34">
      <c r="AB2102" s="580">
        <f>HLOOKUP("*"&amp;'Output annual'!$AC$2&amp;'Output annual'!$AD$2&amp;"*Zone People Number Of Occupants [](Hourly)",'Eplus results'!$1:$1048576,ROW(),FALSE)</f>
        <v>0</v>
      </c>
      <c r="AC2102" s="580">
        <f>HLOOKUP("*"&amp;'Output annual'!$AC$2&amp;'Output annual'!$AD$2&amp;"*FangerPMV(Hourly)",'Eplus results'!$1:$1048576,ROW(),FALSE)</f>
        <v>0</v>
      </c>
      <c r="AD2102" s="580">
        <f t="shared" si="196"/>
        <v>5</v>
      </c>
      <c r="AE2102" s="580">
        <f t="shared" si="197"/>
        <v>2.5</v>
      </c>
      <c r="AF2102" s="580">
        <f t="shared" si="198"/>
        <v>2.5</v>
      </c>
      <c r="AG2102" s="580">
        <f t="shared" si="199"/>
        <v>0</v>
      </c>
      <c r="AH2102" s="580">
        <f t="shared" si="200"/>
        <v>0</v>
      </c>
    </row>
    <row r="2103" spans="28:34">
      <c r="AB2103" s="580">
        <f>HLOOKUP("*"&amp;'Output annual'!$AC$2&amp;'Output annual'!$AD$2&amp;"*Zone People Number Of Occupants [](Hourly)",'Eplus results'!$1:$1048576,ROW(),FALSE)</f>
        <v>0</v>
      </c>
      <c r="AC2103" s="580">
        <f>HLOOKUP("*"&amp;'Output annual'!$AC$2&amp;'Output annual'!$AD$2&amp;"*FangerPMV(Hourly)",'Eplus results'!$1:$1048576,ROW(),FALSE)</f>
        <v>0</v>
      </c>
      <c r="AD2103" s="580">
        <f t="shared" si="196"/>
        <v>5</v>
      </c>
      <c r="AE2103" s="580">
        <f t="shared" si="197"/>
        <v>2.5</v>
      </c>
      <c r="AF2103" s="580">
        <f t="shared" si="198"/>
        <v>2.5</v>
      </c>
      <c r="AG2103" s="580">
        <f t="shared" si="199"/>
        <v>0</v>
      </c>
      <c r="AH2103" s="580">
        <f t="shared" si="200"/>
        <v>0</v>
      </c>
    </row>
    <row r="2104" spans="28:34">
      <c r="AB2104" s="580">
        <f>HLOOKUP("*"&amp;'Output annual'!$AC$2&amp;'Output annual'!$AD$2&amp;"*Zone People Number Of Occupants [](Hourly)",'Eplus results'!$1:$1048576,ROW(),FALSE)</f>
        <v>0</v>
      </c>
      <c r="AC2104" s="580">
        <f>HLOOKUP("*"&amp;'Output annual'!$AC$2&amp;'Output annual'!$AD$2&amp;"*FangerPMV(Hourly)",'Eplus results'!$1:$1048576,ROW(),FALSE)</f>
        <v>0</v>
      </c>
      <c r="AD2104" s="580">
        <f t="shared" si="196"/>
        <v>5</v>
      </c>
      <c r="AE2104" s="580">
        <f t="shared" si="197"/>
        <v>2.5</v>
      </c>
      <c r="AF2104" s="580">
        <f t="shared" si="198"/>
        <v>2.5</v>
      </c>
      <c r="AG2104" s="580">
        <f t="shared" si="199"/>
        <v>0</v>
      </c>
      <c r="AH2104" s="580">
        <f t="shared" si="200"/>
        <v>0</v>
      </c>
    </row>
    <row r="2105" spans="28:34">
      <c r="AB2105" s="580">
        <f>HLOOKUP("*"&amp;'Output annual'!$AC$2&amp;'Output annual'!$AD$2&amp;"*Zone People Number Of Occupants [](Hourly)",'Eplus results'!$1:$1048576,ROW(),FALSE)</f>
        <v>0</v>
      </c>
      <c r="AC2105" s="580">
        <f>HLOOKUP("*"&amp;'Output annual'!$AC$2&amp;'Output annual'!$AD$2&amp;"*FangerPMV(Hourly)",'Eplus results'!$1:$1048576,ROW(),FALSE)</f>
        <v>0</v>
      </c>
      <c r="AD2105" s="580">
        <f t="shared" si="196"/>
        <v>5</v>
      </c>
      <c r="AE2105" s="580">
        <f t="shared" si="197"/>
        <v>2.5</v>
      </c>
      <c r="AF2105" s="580">
        <f t="shared" si="198"/>
        <v>2.5</v>
      </c>
      <c r="AG2105" s="580">
        <f t="shared" si="199"/>
        <v>0</v>
      </c>
      <c r="AH2105" s="580">
        <f t="shared" si="200"/>
        <v>0</v>
      </c>
    </row>
    <row r="2106" spans="28:34">
      <c r="AB2106" s="580">
        <f>HLOOKUP("*"&amp;'Output annual'!$AC$2&amp;'Output annual'!$AD$2&amp;"*Zone People Number Of Occupants [](Hourly)",'Eplus results'!$1:$1048576,ROW(),FALSE)</f>
        <v>0</v>
      </c>
      <c r="AC2106" s="580">
        <f>HLOOKUP("*"&amp;'Output annual'!$AC$2&amp;'Output annual'!$AD$2&amp;"*FangerPMV(Hourly)",'Eplus results'!$1:$1048576,ROW(),FALSE)</f>
        <v>0</v>
      </c>
      <c r="AD2106" s="580">
        <f t="shared" si="196"/>
        <v>5</v>
      </c>
      <c r="AE2106" s="580">
        <f t="shared" si="197"/>
        <v>2.5</v>
      </c>
      <c r="AF2106" s="580">
        <f t="shared" si="198"/>
        <v>2.5</v>
      </c>
      <c r="AG2106" s="580">
        <f t="shared" si="199"/>
        <v>0</v>
      </c>
      <c r="AH2106" s="580">
        <f t="shared" si="200"/>
        <v>0</v>
      </c>
    </row>
    <row r="2107" spans="28:34">
      <c r="AB2107" s="580">
        <f>HLOOKUP("*"&amp;'Output annual'!$AC$2&amp;'Output annual'!$AD$2&amp;"*Zone People Number Of Occupants [](Hourly)",'Eplus results'!$1:$1048576,ROW(),FALSE)</f>
        <v>0</v>
      </c>
      <c r="AC2107" s="580">
        <f>HLOOKUP("*"&amp;'Output annual'!$AC$2&amp;'Output annual'!$AD$2&amp;"*FangerPMV(Hourly)",'Eplus results'!$1:$1048576,ROW(),FALSE)</f>
        <v>0</v>
      </c>
      <c r="AD2107" s="580">
        <f t="shared" si="196"/>
        <v>5</v>
      </c>
      <c r="AE2107" s="580">
        <f t="shared" si="197"/>
        <v>2.5</v>
      </c>
      <c r="AF2107" s="580">
        <f t="shared" si="198"/>
        <v>2.5</v>
      </c>
      <c r="AG2107" s="580">
        <f t="shared" si="199"/>
        <v>0</v>
      </c>
      <c r="AH2107" s="580">
        <f t="shared" si="200"/>
        <v>0</v>
      </c>
    </row>
    <row r="2108" spans="28:34">
      <c r="AB2108" s="580">
        <f>HLOOKUP("*"&amp;'Output annual'!$AC$2&amp;'Output annual'!$AD$2&amp;"*Zone People Number Of Occupants [](Hourly)",'Eplus results'!$1:$1048576,ROW(),FALSE)</f>
        <v>0</v>
      </c>
      <c r="AC2108" s="580">
        <f>HLOOKUP("*"&amp;'Output annual'!$AC$2&amp;'Output annual'!$AD$2&amp;"*FangerPMV(Hourly)",'Eplus results'!$1:$1048576,ROW(),FALSE)</f>
        <v>0</v>
      </c>
      <c r="AD2108" s="580">
        <f t="shared" si="196"/>
        <v>5</v>
      </c>
      <c r="AE2108" s="580">
        <f t="shared" si="197"/>
        <v>2.5</v>
      </c>
      <c r="AF2108" s="580">
        <f t="shared" si="198"/>
        <v>2.5</v>
      </c>
      <c r="AG2108" s="580">
        <f t="shared" si="199"/>
        <v>0</v>
      </c>
      <c r="AH2108" s="580">
        <f t="shared" si="200"/>
        <v>0</v>
      </c>
    </row>
    <row r="2109" spans="28:34">
      <c r="AB2109" s="580">
        <f>HLOOKUP("*"&amp;'Output annual'!$AC$2&amp;'Output annual'!$AD$2&amp;"*Zone People Number Of Occupants [](Hourly)",'Eplus results'!$1:$1048576,ROW(),FALSE)</f>
        <v>0</v>
      </c>
      <c r="AC2109" s="580">
        <f>HLOOKUP("*"&amp;'Output annual'!$AC$2&amp;'Output annual'!$AD$2&amp;"*FangerPMV(Hourly)",'Eplus results'!$1:$1048576,ROW(),FALSE)</f>
        <v>0</v>
      </c>
      <c r="AD2109" s="580">
        <f t="shared" si="196"/>
        <v>5</v>
      </c>
      <c r="AE2109" s="580">
        <f t="shared" si="197"/>
        <v>2.5</v>
      </c>
      <c r="AF2109" s="580">
        <f t="shared" si="198"/>
        <v>2.5</v>
      </c>
      <c r="AG2109" s="580">
        <f t="shared" si="199"/>
        <v>0</v>
      </c>
      <c r="AH2109" s="580">
        <f t="shared" si="200"/>
        <v>0</v>
      </c>
    </row>
    <row r="2110" spans="28:34">
      <c r="AB2110" s="580">
        <f>HLOOKUP("*"&amp;'Output annual'!$AC$2&amp;'Output annual'!$AD$2&amp;"*Zone People Number Of Occupants [](Hourly)",'Eplus results'!$1:$1048576,ROW(),FALSE)</f>
        <v>0</v>
      </c>
      <c r="AC2110" s="580">
        <f>HLOOKUP("*"&amp;'Output annual'!$AC$2&amp;'Output annual'!$AD$2&amp;"*FangerPMV(Hourly)",'Eplus results'!$1:$1048576,ROW(),FALSE)</f>
        <v>0</v>
      </c>
      <c r="AD2110" s="580">
        <f t="shared" si="196"/>
        <v>5</v>
      </c>
      <c r="AE2110" s="580">
        <f t="shared" si="197"/>
        <v>2.5</v>
      </c>
      <c r="AF2110" s="580">
        <f t="shared" si="198"/>
        <v>2.5</v>
      </c>
      <c r="AG2110" s="580">
        <f t="shared" si="199"/>
        <v>0</v>
      </c>
      <c r="AH2110" s="580">
        <f t="shared" si="200"/>
        <v>0</v>
      </c>
    </row>
    <row r="2111" spans="28:34">
      <c r="AB2111" s="580">
        <f>HLOOKUP("*"&amp;'Output annual'!$AC$2&amp;'Output annual'!$AD$2&amp;"*Zone People Number Of Occupants [](Hourly)",'Eplus results'!$1:$1048576,ROW(),FALSE)</f>
        <v>0</v>
      </c>
      <c r="AC2111" s="580">
        <f>HLOOKUP("*"&amp;'Output annual'!$AC$2&amp;'Output annual'!$AD$2&amp;"*FangerPMV(Hourly)",'Eplus results'!$1:$1048576,ROW(),FALSE)</f>
        <v>0</v>
      </c>
      <c r="AD2111" s="580">
        <f t="shared" si="196"/>
        <v>5</v>
      </c>
      <c r="AE2111" s="580">
        <f t="shared" si="197"/>
        <v>2.5</v>
      </c>
      <c r="AF2111" s="580">
        <f t="shared" si="198"/>
        <v>2.5</v>
      </c>
      <c r="AG2111" s="580">
        <f t="shared" si="199"/>
        <v>0</v>
      </c>
      <c r="AH2111" s="580">
        <f t="shared" si="200"/>
        <v>0</v>
      </c>
    </row>
    <row r="2112" spans="28:34">
      <c r="AB2112" s="580">
        <f>HLOOKUP("*"&amp;'Output annual'!$AC$2&amp;'Output annual'!$AD$2&amp;"*Zone People Number Of Occupants [](Hourly)",'Eplus results'!$1:$1048576,ROW(),FALSE)</f>
        <v>0</v>
      </c>
      <c r="AC2112" s="580">
        <f>HLOOKUP("*"&amp;'Output annual'!$AC$2&amp;'Output annual'!$AD$2&amp;"*FangerPMV(Hourly)",'Eplus results'!$1:$1048576,ROW(),FALSE)</f>
        <v>0</v>
      </c>
      <c r="AD2112" s="580">
        <f t="shared" si="196"/>
        <v>5</v>
      </c>
      <c r="AE2112" s="580">
        <f t="shared" si="197"/>
        <v>2.5</v>
      </c>
      <c r="AF2112" s="580">
        <f t="shared" si="198"/>
        <v>2.5</v>
      </c>
      <c r="AG2112" s="580">
        <f t="shared" si="199"/>
        <v>0</v>
      </c>
      <c r="AH2112" s="580">
        <f t="shared" si="200"/>
        <v>0</v>
      </c>
    </row>
    <row r="2113" spans="28:34">
      <c r="AB2113" s="580">
        <f>HLOOKUP("*"&amp;'Output annual'!$AC$2&amp;'Output annual'!$AD$2&amp;"*Zone People Number Of Occupants [](Hourly)",'Eplus results'!$1:$1048576,ROW(),FALSE)</f>
        <v>0</v>
      </c>
      <c r="AC2113" s="580">
        <f>HLOOKUP("*"&amp;'Output annual'!$AC$2&amp;'Output annual'!$AD$2&amp;"*FangerPMV(Hourly)",'Eplus results'!$1:$1048576,ROW(),FALSE)</f>
        <v>0</v>
      </c>
      <c r="AD2113" s="580">
        <f t="shared" si="196"/>
        <v>5</v>
      </c>
      <c r="AE2113" s="580">
        <f t="shared" si="197"/>
        <v>2.5</v>
      </c>
      <c r="AF2113" s="580">
        <f t="shared" si="198"/>
        <v>2.5</v>
      </c>
      <c r="AG2113" s="580">
        <f t="shared" si="199"/>
        <v>0</v>
      </c>
      <c r="AH2113" s="580">
        <f t="shared" si="200"/>
        <v>0</v>
      </c>
    </row>
    <row r="2114" spans="28:34">
      <c r="AB2114" s="580">
        <f>HLOOKUP("*"&amp;'Output annual'!$AC$2&amp;'Output annual'!$AD$2&amp;"*Zone People Number Of Occupants [](Hourly)",'Eplus results'!$1:$1048576,ROW(),FALSE)</f>
        <v>0</v>
      </c>
      <c r="AC2114" s="580">
        <f>HLOOKUP("*"&amp;'Output annual'!$AC$2&amp;'Output annual'!$AD$2&amp;"*FangerPMV(Hourly)",'Eplus results'!$1:$1048576,ROW(),FALSE)</f>
        <v>0</v>
      </c>
      <c r="AD2114" s="580">
        <f t="shared" si="196"/>
        <v>5</v>
      </c>
      <c r="AE2114" s="580">
        <f t="shared" si="197"/>
        <v>2.5</v>
      </c>
      <c r="AF2114" s="580">
        <f t="shared" si="198"/>
        <v>2.5</v>
      </c>
      <c r="AG2114" s="580">
        <f t="shared" si="199"/>
        <v>0</v>
      </c>
      <c r="AH2114" s="580">
        <f t="shared" si="200"/>
        <v>0</v>
      </c>
    </row>
    <row r="2115" spans="28:34">
      <c r="AB2115" s="580">
        <f>HLOOKUP("*"&amp;'Output annual'!$AC$2&amp;'Output annual'!$AD$2&amp;"*Zone People Number Of Occupants [](Hourly)",'Eplus results'!$1:$1048576,ROW(),FALSE)</f>
        <v>0</v>
      </c>
      <c r="AC2115" s="580">
        <f>HLOOKUP("*"&amp;'Output annual'!$AC$2&amp;'Output annual'!$AD$2&amp;"*FangerPMV(Hourly)",'Eplus results'!$1:$1048576,ROW(),FALSE)</f>
        <v>0</v>
      </c>
      <c r="AD2115" s="580">
        <f t="shared" ref="AD2115:AD2178" si="201">100-95*EXP(-0.03353*AC2115^4-0.2179*AC2115^2)</f>
        <v>5</v>
      </c>
      <c r="AE2115" s="580">
        <f t="shared" ref="AE2115:AE2178" si="202">AD2115*(1/(1+EXP(-6.3*$AC2115)))</f>
        <v>2.5</v>
      </c>
      <c r="AF2115" s="580">
        <f t="shared" ref="AF2115:AF2178" si="203">(AD2115-AE2115)</f>
        <v>2.5</v>
      </c>
      <c r="AG2115" s="580">
        <f t="shared" ref="AG2115:AG2178" si="204">AE2115*AB2115</f>
        <v>0</v>
      </c>
      <c r="AH2115" s="580">
        <f t="shared" ref="AH2115:AH2178" si="205">AF2115*AB2115</f>
        <v>0</v>
      </c>
    </row>
    <row r="2116" spans="28:34">
      <c r="AB2116" s="580">
        <f>HLOOKUP("*"&amp;'Output annual'!$AC$2&amp;'Output annual'!$AD$2&amp;"*Zone People Number Of Occupants [](Hourly)",'Eplus results'!$1:$1048576,ROW(),FALSE)</f>
        <v>0</v>
      </c>
      <c r="AC2116" s="580">
        <f>HLOOKUP("*"&amp;'Output annual'!$AC$2&amp;'Output annual'!$AD$2&amp;"*FangerPMV(Hourly)",'Eplus results'!$1:$1048576,ROW(),FALSE)</f>
        <v>0</v>
      </c>
      <c r="AD2116" s="580">
        <f t="shared" si="201"/>
        <v>5</v>
      </c>
      <c r="AE2116" s="580">
        <f t="shared" si="202"/>
        <v>2.5</v>
      </c>
      <c r="AF2116" s="580">
        <f t="shared" si="203"/>
        <v>2.5</v>
      </c>
      <c r="AG2116" s="580">
        <f t="shared" si="204"/>
        <v>0</v>
      </c>
      <c r="AH2116" s="580">
        <f t="shared" si="205"/>
        <v>0</v>
      </c>
    </row>
    <row r="2117" spans="28:34">
      <c r="AB2117" s="580">
        <f>HLOOKUP("*"&amp;'Output annual'!$AC$2&amp;'Output annual'!$AD$2&amp;"*Zone People Number Of Occupants [](Hourly)",'Eplus results'!$1:$1048576,ROW(),FALSE)</f>
        <v>0</v>
      </c>
      <c r="AC2117" s="580">
        <f>HLOOKUP("*"&amp;'Output annual'!$AC$2&amp;'Output annual'!$AD$2&amp;"*FangerPMV(Hourly)",'Eplus results'!$1:$1048576,ROW(),FALSE)</f>
        <v>0</v>
      </c>
      <c r="AD2117" s="580">
        <f t="shared" si="201"/>
        <v>5</v>
      </c>
      <c r="AE2117" s="580">
        <f t="shared" si="202"/>
        <v>2.5</v>
      </c>
      <c r="AF2117" s="580">
        <f t="shared" si="203"/>
        <v>2.5</v>
      </c>
      <c r="AG2117" s="580">
        <f t="shared" si="204"/>
        <v>0</v>
      </c>
      <c r="AH2117" s="580">
        <f t="shared" si="205"/>
        <v>0</v>
      </c>
    </row>
    <row r="2118" spans="28:34">
      <c r="AB2118" s="580">
        <f>HLOOKUP("*"&amp;'Output annual'!$AC$2&amp;'Output annual'!$AD$2&amp;"*Zone People Number Of Occupants [](Hourly)",'Eplus results'!$1:$1048576,ROW(),FALSE)</f>
        <v>0</v>
      </c>
      <c r="AC2118" s="580">
        <f>HLOOKUP("*"&amp;'Output annual'!$AC$2&amp;'Output annual'!$AD$2&amp;"*FangerPMV(Hourly)",'Eplus results'!$1:$1048576,ROW(),FALSE)</f>
        <v>0</v>
      </c>
      <c r="AD2118" s="580">
        <f t="shared" si="201"/>
        <v>5</v>
      </c>
      <c r="AE2118" s="580">
        <f t="shared" si="202"/>
        <v>2.5</v>
      </c>
      <c r="AF2118" s="580">
        <f t="shared" si="203"/>
        <v>2.5</v>
      </c>
      <c r="AG2118" s="580">
        <f t="shared" si="204"/>
        <v>0</v>
      </c>
      <c r="AH2118" s="580">
        <f t="shared" si="205"/>
        <v>0</v>
      </c>
    </row>
    <row r="2119" spans="28:34">
      <c r="AB2119" s="580">
        <f>HLOOKUP("*"&amp;'Output annual'!$AC$2&amp;'Output annual'!$AD$2&amp;"*Zone People Number Of Occupants [](Hourly)",'Eplus results'!$1:$1048576,ROW(),FALSE)</f>
        <v>0</v>
      </c>
      <c r="AC2119" s="580">
        <f>HLOOKUP("*"&amp;'Output annual'!$AC$2&amp;'Output annual'!$AD$2&amp;"*FangerPMV(Hourly)",'Eplus results'!$1:$1048576,ROW(),FALSE)</f>
        <v>0</v>
      </c>
      <c r="AD2119" s="580">
        <f t="shared" si="201"/>
        <v>5</v>
      </c>
      <c r="AE2119" s="580">
        <f t="shared" si="202"/>
        <v>2.5</v>
      </c>
      <c r="AF2119" s="580">
        <f t="shared" si="203"/>
        <v>2.5</v>
      </c>
      <c r="AG2119" s="580">
        <f t="shared" si="204"/>
        <v>0</v>
      </c>
      <c r="AH2119" s="580">
        <f t="shared" si="205"/>
        <v>0</v>
      </c>
    </row>
    <row r="2120" spans="28:34">
      <c r="AB2120" s="580">
        <f>HLOOKUP("*"&amp;'Output annual'!$AC$2&amp;'Output annual'!$AD$2&amp;"*Zone People Number Of Occupants [](Hourly)",'Eplus results'!$1:$1048576,ROW(),FALSE)</f>
        <v>0</v>
      </c>
      <c r="AC2120" s="580">
        <f>HLOOKUP("*"&amp;'Output annual'!$AC$2&amp;'Output annual'!$AD$2&amp;"*FangerPMV(Hourly)",'Eplus results'!$1:$1048576,ROW(),FALSE)</f>
        <v>0</v>
      </c>
      <c r="AD2120" s="580">
        <f t="shared" si="201"/>
        <v>5</v>
      </c>
      <c r="AE2120" s="580">
        <f t="shared" si="202"/>
        <v>2.5</v>
      </c>
      <c r="AF2120" s="580">
        <f t="shared" si="203"/>
        <v>2.5</v>
      </c>
      <c r="AG2120" s="580">
        <f t="shared" si="204"/>
        <v>0</v>
      </c>
      <c r="AH2120" s="580">
        <f t="shared" si="205"/>
        <v>0</v>
      </c>
    </row>
    <row r="2121" spans="28:34">
      <c r="AB2121" s="580">
        <f>HLOOKUP("*"&amp;'Output annual'!$AC$2&amp;'Output annual'!$AD$2&amp;"*Zone People Number Of Occupants [](Hourly)",'Eplus results'!$1:$1048576,ROW(),FALSE)</f>
        <v>0</v>
      </c>
      <c r="AC2121" s="580">
        <f>HLOOKUP("*"&amp;'Output annual'!$AC$2&amp;'Output annual'!$AD$2&amp;"*FangerPMV(Hourly)",'Eplus results'!$1:$1048576,ROW(),FALSE)</f>
        <v>0</v>
      </c>
      <c r="AD2121" s="580">
        <f t="shared" si="201"/>
        <v>5</v>
      </c>
      <c r="AE2121" s="580">
        <f t="shared" si="202"/>
        <v>2.5</v>
      </c>
      <c r="AF2121" s="580">
        <f t="shared" si="203"/>
        <v>2.5</v>
      </c>
      <c r="AG2121" s="580">
        <f t="shared" si="204"/>
        <v>0</v>
      </c>
      <c r="AH2121" s="580">
        <f t="shared" si="205"/>
        <v>0</v>
      </c>
    </row>
    <row r="2122" spans="28:34">
      <c r="AB2122" s="580">
        <f>HLOOKUP("*"&amp;'Output annual'!$AC$2&amp;'Output annual'!$AD$2&amp;"*Zone People Number Of Occupants [](Hourly)",'Eplus results'!$1:$1048576,ROW(),FALSE)</f>
        <v>0</v>
      </c>
      <c r="AC2122" s="580">
        <f>HLOOKUP("*"&amp;'Output annual'!$AC$2&amp;'Output annual'!$AD$2&amp;"*FangerPMV(Hourly)",'Eplus results'!$1:$1048576,ROW(),FALSE)</f>
        <v>0</v>
      </c>
      <c r="AD2122" s="580">
        <f t="shared" si="201"/>
        <v>5</v>
      </c>
      <c r="AE2122" s="580">
        <f t="shared" si="202"/>
        <v>2.5</v>
      </c>
      <c r="AF2122" s="580">
        <f t="shared" si="203"/>
        <v>2.5</v>
      </c>
      <c r="AG2122" s="580">
        <f t="shared" si="204"/>
        <v>0</v>
      </c>
      <c r="AH2122" s="580">
        <f t="shared" si="205"/>
        <v>0</v>
      </c>
    </row>
    <row r="2123" spans="28:34">
      <c r="AB2123" s="580">
        <f>HLOOKUP("*"&amp;'Output annual'!$AC$2&amp;'Output annual'!$AD$2&amp;"*Zone People Number Of Occupants [](Hourly)",'Eplus results'!$1:$1048576,ROW(),FALSE)</f>
        <v>0</v>
      </c>
      <c r="AC2123" s="580">
        <f>HLOOKUP("*"&amp;'Output annual'!$AC$2&amp;'Output annual'!$AD$2&amp;"*FangerPMV(Hourly)",'Eplus results'!$1:$1048576,ROW(),FALSE)</f>
        <v>0</v>
      </c>
      <c r="AD2123" s="580">
        <f t="shared" si="201"/>
        <v>5</v>
      </c>
      <c r="AE2123" s="580">
        <f t="shared" si="202"/>
        <v>2.5</v>
      </c>
      <c r="AF2123" s="580">
        <f t="shared" si="203"/>
        <v>2.5</v>
      </c>
      <c r="AG2123" s="580">
        <f t="shared" si="204"/>
        <v>0</v>
      </c>
      <c r="AH2123" s="580">
        <f t="shared" si="205"/>
        <v>0</v>
      </c>
    </row>
    <row r="2124" spans="28:34">
      <c r="AB2124" s="580">
        <f>HLOOKUP("*"&amp;'Output annual'!$AC$2&amp;'Output annual'!$AD$2&amp;"*Zone People Number Of Occupants [](Hourly)",'Eplus results'!$1:$1048576,ROW(),FALSE)</f>
        <v>0</v>
      </c>
      <c r="AC2124" s="580">
        <f>HLOOKUP("*"&amp;'Output annual'!$AC$2&amp;'Output annual'!$AD$2&amp;"*FangerPMV(Hourly)",'Eplus results'!$1:$1048576,ROW(),FALSE)</f>
        <v>0</v>
      </c>
      <c r="AD2124" s="580">
        <f t="shared" si="201"/>
        <v>5</v>
      </c>
      <c r="AE2124" s="580">
        <f t="shared" si="202"/>
        <v>2.5</v>
      </c>
      <c r="AF2124" s="580">
        <f t="shared" si="203"/>
        <v>2.5</v>
      </c>
      <c r="AG2124" s="580">
        <f t="shared" si="204"/>
        <v>0</v>
      </c>
      <c r="AH2124" s="580">
        <f t="shared" si="205"/>
        <v>0</v>
      </c>
    </row>
    <row r="2125" spans="28:34">
      <c r="AB2125" s="580">
        <f>HLOOKUP("*"&amp;'Output annual'!$AC$2&amp;'Output annual'!$AD$2&amp;"*Zone People Number Of Occupants [](Hourly)",'Eplus results'!$1:$1048576,ROW(),FALSE)</f>
        <v>0</v>
      </c>
      <c r="AC2125" s="580">
        <f>HLOOKUP("*"&amp;'Output annual'!$AC$2&amp;'Output annual'!$AD$2&amp;"*FangerPMV(Hourly)",'Eplus results'!$1:$1048576,ROW(),FALSE)</f>
        <v>0</v>
      </c>
      <c r="AD2125" s="580">
        <f t="shared" si="201"/>
        <v>5</v>
      </c>
      <c r="AE2125" s="580">
        <f t="shared" si="202"/>
        <v>2.5</v>
      </c>
      <c r="AF2125" s="580">
        <f t="shared" si="203"/>
        <v>2.5</v>
      </c>
      <c r="AG2125" s="580">
        <f t="shared" si="204"/>
        <v>0</v>
      </c>
      <c r="AH2125" s="580">
        <f t="shared" si="205"/>
        <v>0</v>
      </c>
    </row>
    <row r="2126" spans="28:34">
      <c r="AB2126" s="580">
        <f>HLOOKUP("*"&amp;'Output annual'!$AC$2&amp;'Output annual'!$AD$2&amp;"*Zone People Number Of Occupants [](Hourly)",'Eplus results'!$1:$1048576,ROW(),FALSE)</f>
        <v>0</v>
      </c>
      <c r="AC2126" s="580">
        <f>HLOOKUP("*"&amp;'Output annual'!$AC$2&amp;'Output annual'!$AD$2&amp;"*FangerPMV(Hourly)",'Eplus results'!$1:$1048576,ROW(),FALSE)</f>
        <v>0</v>
      </c>
      <c r="AD2126" s="580">
        <f t="shared" si="201"/>
        <v>5</v>
      </c>
      <c r="AE2126" s="580">
        <f t="shared" si="202"/>
        <v>2.5</v>
      </c>
      <c r="AF2126" s="580">
        <f t="shared" si="203"/>
        <v>2.5</v>
      </c>
      <c r="AG2126" s="580">
        <f t="shared" si="204"/>
        <v>0</v>
      </c>
      <c r="AH2126" s="580">
        <f t="shared" si="205"/>
        <v>0</v>
      </c>
    </row>
    <row r="2127" spans="28:34">
      <c r="AB2127" s="580">
        <f>HLOOKUP("*"&amp;'Output annual'!$AC$2&amp;'Output annual'!$AD$2&amp;"*Zone People Number Of Occupants [](Hourly)",'Eplus results'!$1:$1048576,ROW(),FALSE)</f>
        <v>0</v>
      </c>
      <c r="AC2127" s="580">
        <f>HLOOKUP("*"&amp;'Output annual'!$AC$2&amp;'Output annual'!$AD$2&amp;"*FangerPMV(Hourly)",'Eplus results'!$1:$1048576,ROW(),FALSE)</f>
        <v>0</v>
      </c>
      <c r="AD2127" s="580">
        <f t="shared" si="201"/>
        <v>5</v>
      </c>
      <c r="AE2127" s="580">
        <f t="shared" si="202"/>
        <v>2.5</v>
      </c>
      <c r="AF2127" s="580">
        <f t="shared" si="203"/>
        <v>2.5</v>
      </c>
      <c r="AG2127" s="580">
        <f t="shared" si="204"/>
        <v>0</v>
      </c>
      <c r="AH2127" s="580">
        <f t="shared" si="205"/>
        <v>0</v>
      </c>
    </row>
    <row r="2128" spans="28:34">
      <c r="AB2128" s="580">
        <f>HLOOKUP("*"&amp;'Output annual'!$AC$2&amp;'Output annual'!$AD$2&amp;"*Zone People Number Of Occupants [](Hourly)",'Eplus results'!$1:$1048576,ROW(),FALSE)</f>
        <v>0</v>
      </c>
      <c r="AC2128" s="580">
        <f>HLOOKUP("*"&amp;'Output annual'!$AC$2&amp;'Output annual'!$AD$2&amp;"*FangerPMV(Hourly)",'Eplus results'!$1:$1048576,ROW(),FALSE)</f>
        <v>0</v>
      </c>
      <c r="AD2128" s="580">
        <f t="shared" si="201"/>
        <v>5</v>
      </c>
      <c r="AE2128" s="580">
        <f t="shared" si="202"/>
        <v>2.5</v>
      </c>
      <c r="AF2128" s="580">
        <f t="shared" si="203"/>
        <v>2.5</v>
      </c>
      <c r="AG2128" s="580">
        <f t="shared" si="204"/>
        <v>0</v>
      </c>
      <c r="AH2128" s="580">
        <f t="shared" si="205"/>
        <v>0</v>
      </c>
    </row>
    <row r="2129" spans="28:34">
      <c r="AB2129" s="580">
        <f>HLOOKUP("*"&amp;'Output annual'!$AC$2&amp;'Output annual'!$AD$2&amp;"*Zone People Number Of Occupants [](Hourly)",'Eplus results'!$1:$1048576,ROW(),FALSE)</f>
        <v>0</v>
      </c>
      <c r="AC2129" s="580">
        <f>HLOOKUP("*"&amp;'Output annual'!$AC$2&amp;'Output annual'!$AD$2&amp;"*FangerPMV(Hourly)",'Eplus results'!$1:$1048576,ROW(),FALSE)</f>
        <v>0</v>
      </c>
      <c r="AD2129" s="580">
        <f t="shared" si="201"/>
        <v>5</v>
      </c>
      <c r="AE2129" s="580">
        <f t="shared" si="202"/>
        <v>2.5</v>
      </c>
      <c r="AF2129" s="580">
        <f t="shared" si="203"/>
        <v>2.5</v>
      </c>
      <c r="AG2129" s="580">
        <f t="shared" si="204"/>
        <v>0</v>
      </c>
      <c r="AH2129" s="580">
        <f t="shared" si="205"/>
        <v>0</v>
      </c>
    </row>
    <row r="2130" spans="28:34">
      <c r="AB2130" s="580">
        <f>HLOOKUP("*"&amp;'Output annual'!$AC$2&amp;'Output annual'!$AD$2&amp;"*Zone People Number Of Occupants [](Hourly)",'Eplus results'!$1:$1048576,ROW(),FALSE)</f>
        <v>0</v>
      </c>
      <c r="AC2130" s="580">
        <f>HLOOKUP("*"&amp;'Output annual'!$AC$2&amp;'Output annual'!$AD$2&amp;"*FangerPMV(Hourly)",'Eplus results'!$1:$1048576,ROW(),FALSE)</f>
        <v>0</v>
      </c>
      <c r="AD2130" s="580">
        <f t="shared" si="201"/>
        <v>5</v>
      </c>
      <c r="AE2130" s="580">
        <f t="shared" si="202"/>
        <v>2.5</v>
      </c>
      <c r="AF2130" s="580">
        <f t="shared" si="203"/>
        <v>2.5</v>
      </c>
      <c r="AG2130" s="580">
        <f t="shared" si="204"/>
        <v>0</v>
      </c>
      <c r="AH2130" s="580">
        <f t="shared" si="205"/>
        <v>0</v>
      </c>
    </row>
    <row r="2131" spans="28:34">
      <c r="AB2131" s="580">
        <f>HLOOKUP("*"&amp;'Output annual'!$AC$2&amp;'Output annual'!$AD$2&amp;"*Zone People Number Of Occupants [](Hourly)",'Eplus results'!$1:$1048576,ROW(),FALSE)</f>
        <v>0</v>
      </c>
      <c r="AC2131" s="580">
        <f>HLOOKUP("*"&amp;'Output annual'!$AC$2&amp;'Output annual'!$AD$2&amp;"*FangerPMV(Hourly)",'Eplus results'!$1:$1048576,ROW(),FALSE)</f>
        <v>0</v>
      </c>
      <c r="AD2131" s="580">
        <f t="shared" si="201"/>
        <v>5</v>
      </c>
      <c r="AE2131" s="580">
        <f t="shared" si="202"/>
        <v>2.5</v>
      </c>
      <c r="AF2131" s="580">
        <f t="shared" si="203"/>
        <v>2.5</v>
      </c>
      <c r="AG2131" s="580">
        <f t="shared" si="204"/>
        <v>0</v>
      </c>
      <c r="AH2131" s="580">
        <f t="shared" si="205"/>
        <v>0</v>
      </c>
    </row>
    <row r="2132" spans="28:34">
      <c r="AB2132" s="580">
        <f>HLOOKUP("*"&amp;'Output annual'!$AC$2&amp;'Output annual'!$AD$2&amp;"*Zone People Number Of Occupants [](Hourly)",'Eplus results'!$1:$1048576,ROW(),FALSE)</f>
        <v>0</v>
      </c>
      <c r="AC2132" s="580">
        <f>HLOOKUP("*"&amp;'Output annual'!$AC$2&amp;'Output annual'!$AD$2&amp;"*FangerPMV(Hourly)",'Eplus results'!$1:$1048576,ROW(),FALSE)</f>
        <v>0</v>
      </c>
      <c r="AD2132" s="580">
        <f t="shared" si="201"/>
        <v>5</v>
      </c>
      <c r="AE2132" s="580">
        <f t="shared" si="202"/>
        <v>2.5</v>
      </c>
      <c r="AF2132" s="580">
        <f t="shared" si="203"/>
        <v>2.5</v>
      </c>
      <c r="AG2132" s="580">
        <f t="shared" si="204"/>
        <v>0</v>
      </c>
      <c r="AH2132" s="580">
        <f t="shared" si="205"/>
        <v>0</v>
      </c>
    </row>
    <row r="2133" spans="28:34">
      <c r="AB2133" s="580">
        <f>HLOOKUP("*"&amp;'Output annual'!$AC$2&amp;'Output annual'!$AD$2&amp;"*Zone People Number Of Occupants [](Hourly)",'Eplus results'!$1:$1048576,ROW(),FALSE)</f>
        <v>0</v>
      </c>
      <c r="AC2133" s="580">
        <f>HLOOKUP("*"&amp;'Output annual'!$AC$2&amp;'Output annual'!$AD$2&amp;"*FangerPMV(Hourly)",'Eplus results'!$1:$1048576,ROW(),FALSE)</f>
        <v>0</v>
      </c>
      <c r="AD2133" s="580">
        <f t="shared" si="201"/>
        <v>5</v>
      </c>
      <c r="AE2133" s="580">
        <f t="shared" si="202"/>
        <v>2.5</v>
      </c>
      <c r="AF2133" s="580">
        <f t="shared" si="203"/>
        <v>2.5</v>
      </c>
      <c r="AG2133" s="580">
        <f t="shared" si="204"/>
        <v>0</v>
      </c>
      <c r="AH2133" s="580">
        <f t="shared" si="205"/>
        <v>0</v>
      </c>
    </row>
    <row r="2134" spans="28:34">
      <c r="AB2134" s="580">
        <f>HLOOKUP("*"&amp;'Output annual'!$AC$2&amp;'Output annual'!$AD$2&amp;"*Zone People Number Of Occupants [](Hourly)",'Eplus results'!$1:$1048576,ROW(),FALSE)</f>
        <v>0</v>
      </c>
      <c r="AC2134" s="580">
        <f>HLOOKUP("*"&amp;'Output annual'!$AC$2&amp;'Output annual'!$AD$2&amp;"*FangerPMV(Hourly)",'Eplus results'!$1:$1048576,ROW(),FALSE)</f>
        <v>0</v>
      </c>
      <c r="AD2134" s="580">
        <f t="shared" si="201"/>
        <v>5</v>
      </c>
      <c r="AE2134" s="580">
        <f t="shared" si="202"/>
        <v>2.5</v>
      </c>
      <c r="AF2134" s="580">
        <f t="shared" si="203"/>
        <v>2.5</v>
      </c>
      <c r="AG2134" s="580">
        <f t="shared" si="204"/>
        <v>0</v>
      </c>
      <c r="AH2134" s="580">
        <f t="shared" si="205"/>
        <v>0</v>
      </c>
    </row>
    <row r="2135" spans="28:34">
      <c r="AB2135" s="580">
        <f>HLOOKUP("*"&amp;'Output annual'!$AC$2&amp;'Output annual'!$AD$2&amp;"*Zone People Number Of Occupants [](Hourly)",'Eplus results'!$1:$1048576,ROW(),FALSE)</f>
        <v>0</v>
      </c>
      <c r="AC2135" s="580">
        <f>HLOOKUP("*"&amp;'Output annual'!$AC$2&amp;'Output annual'!$AD$2&amp;"*FangerPMV(Hourly)",'Eplus results'!$1:$1048576,ROW(),FALSE)</f>
        <v>0</v>
      </c>
      <c r="AD2135" s="580">
        <f t="shared" si="201"/>
        <v>5</v>
      </c>
      <c r="AE2135" s="580">
        <f t="shared" si="202"/>
        <v>2.5</v>
      </c>
      <c r="AF2135" s="580">
        <f t="shared" si="203"/>
        <v>2.5</v>
      </c>
      <c r="AG2135" s="580">
        <f t="shared" si="204"/>
        <v>0</v>
      </c>
      <c r="AH2135" s="580">
        <f t="shared" si="205"/>
        <v>0</v>
      </c>
    </row>
    <row r="2136" spans="28:34">
      <c r="AB2136" s="580">
        <f>HLOOKUP("*"&amp;'Output annual'!$AC$2&amp;'Output annual'!$AD$2&amp;"*Zone People Number Of Occupants [](Hourly)",'Eplus results'!$1:$1048576,ROW(),FALSE)</f>
        <v>0</v>
      </c>
      <c r="AC2136" s="580">
        <f>HLOOKUP("*"&amp;'Output annual'!$AC$2&amp;'Output annual'!$AD$2&amp;"*FangerPMV(Hourly)",'Eplus results'!$1:$1048576,ROW(),FALSE)</f>
        <v>0</v>
      </c>
      <c r="AD2136" s="580">
        <f t="shared" si="201"/>
        <v>5</v>
      </c>
      <c r="AE2136" s="580">
        <f t="shared" si="202"/>
        <v>2.5</v>
      </c>
      <c r="AF2136" s="580">
        <f t="shared" si="203"/>
        <v>2.5</v>
      </c>
      <c r="AG2136" s="580">
        <f t="shared" si="204"/>
        <v>0</v>
      </c>
      <c r="AH2136" s="580">
        <f t="shared" si="205"/>
        <v>0</v>
      </c>
    </row>
    <row r="2137" spans="28:34">
      <c r="AB2137" s="580">
        <f>HLOOKUP("*"&amp;'Output annual'!$AC$2&amp;'Output annual'!$AD$2&amp;"*Zone People Number Of Occupants [](Hourly)",'Eplus results'!$1:$1048576,ROW(),FALSE)</f>
        <v>0</v>
      </c>
      <c r="AC2137" s="580">
        <f>HLOOKUP("*"&amp;'Output annual'!$AC$2&amp;'Output annual'!$AD$2&amp;"*FangerPMV(Hourly)",'Eplus results'!$1:$1048576,ROW(),FALSE)</f>
        <v>0</v>
      </c>
      <c r="AD2137" s="580">
        <f t="shared" si="201"/>
        <v>5</v>
      </c>
      <c r="AE2137" s="580">
        <f t="shared" si="202"/>
        <v>2.5</v>
      </c>
      <c r="AF2137" s="580">
        <f t="shared" si="203"/>
        <v>2.5</v>
      </c>
      <c r="AG2137" s="580">
        <f t="shared" si="204"/>
        <v>0</v>
      </c>
      <c r="AH2137" s="580">
        <f t="shared" si="205"/>
        <v>0</v>
      </c>
    </row>
    <row r="2138" spans="28:34">
      <c r="AB2138" s="580">
        <f>HLOOKUP("*"&amp;'Output annual'!$AC$2&amp;'Output annual'!$AD$2&amp;"*Zone People Number Of Occupants [](Hourly)",'Eplus results'!$1:$1048576,ROW(),FALSE)</f>
        <v>0</v>
      </c>
      <c r="AC2138" s="580">
        <f>HLOOKUP("*"&amp;'Output annual'!$AC$2&amp;'Output annual'!$AD$2&amp;"*FangerPMV(Hourly)",'Eplus results'!$1:$1048576,ROW(),FALSE)</f>
        <v>0</v>
      </c>
      <c r="AD2138" s="580">
        <f t="shared" si="201"/>
        <v>5</v>
      </c>
      <c r="AE2138" s="580">
        <f t="shared" si="202"/>
        <v>2.5</v>
      </c>
      <c r="AF2138" s="580">
        <f t="shared" si="203"/>
        <v>2.5</v>
      </c>
      <c r="AG2138" s="580">
        <f t="shared" si="204"/>
        <v>0</v>
      </c>
      <c r="AH2138" s="580">
        <f t="shared" si="205"/>
        <v>0</v>
      </c>
    </row>
    <row r="2139" spans="28:34">
      <c r="AB2139" s="580">
        <f>HLOOKUP("*"&amp;'Output annual'!$AC$2&amp;'Output annual'!$AD$2&amp;"*Zone People Number Of Occupants [](Hourly)",'Eplus results'!$1:$1048576,ROW(),FALSE)</f>
        <v>0</v>
      </c>
      <c r="AC2139" s="580">
        <f>HLOOKUP("*"&amp;'Output annual'!$AC$2&amp;'Output annual'!$AD$2&amp;"*FangerPMV(Hourly)",'Eplus results'!$1:$1048576,ROW(),FALSE)</f>
        <v>0</v>
      </c>
      <c r="AD2139" s="580">
        <f t="shared" si="201"/>
        <v>5</v>
      </c>
      <c r="AE2139" s="580">
        <f t="shared" si="202"/>
        <v>2.5</v>
      </c>
      <c r="AF2139" s="580">
        <f t="shared" si="203"/>
        <v>2.5</v>
      </c>
      <c r="AG2139" s="580">
        <f t="shared" si="204"/>
        <v>0</v>
      </c>
      <c r="AH2139" s="580">
        <f t="shared" si="205"/>
        <v>0</v>
      </c>
    </row>
    <row r="2140" spans="28:34">
      <c r="AB2140" s="580">
        <f>HLOOKUP("*"&amp;'Output annual'!$AC$2&amp;'Output annual'!$AD$2&amp;"*Zone People Number Of Occupants [](Hourly)",'Eplus results'!$1:$1048576,ROW(),FALSE)</f>
        <v>0</v>
      </c>
      <c r="AC2140" s="580">
        <f>HLOOKUP("*"&amp;'Output annual'!$AC$2&amp;'Output annual'!$AD$2&amp;"*FangerPMV(Hourly)",'Eplus results'!$1:$1048576,ROW(),FALSE)</f>
        <v>0</v>
      </c>
      <c r="AD2140" s="580">
        <f t="shared" si="201"/>
        <v>5</v>
      </c>
      <c r="AE2140" s="580">
        <f t="shared" si="202"/>
        <v>2.5</v>
      </c>
      <c r="AF2140" s="580">
        <f t="shared" si="203"/>
        <v>2.5</v>
      </c>
      <c r="AG2140" s="580">
        <f t="shared" si="204"/>
        <v>0</v>
      </c>
      <c r="AH2140" s="580">
        <f t="shared" si="205"/>
        <v>0</v>
      </c>
    </row>
    <row r="2141" spans="28:34">
      <c r="AB2141" s="580">
        <f>HLOOKUP("*"&amp;'Output annual'!$AC$2&amp;'Output annual'!$AD$2&amp;"*Zone People Number Of Occupants [](Hourly)",'Eplus results'!$1:$1048576,ROW(),FALSE)</f>
        <v>0</v>
      </c>
      <c r="AC2141" s="580">
        <f>HLOOKUP("*"&amp;'Output annual'!$AC$2&amp;'Output annual'!$AD$2&amp;"*FangerPMV(Hourly)",'Eplus results'!$1:$1048576,ROW(),FALSE)</f>
        <v>0</v>
      </c>
      <c r="AD2141" s="580">
        <f t="shared" si="201"/>
        <v>5</v>
      </c>
      <c r="AE2141" s="580">
        <f t="shared" si="202"/>
        <v>2.5</v>
      </c>
      <c r="AF2141" s="580">
        <f t="shared" si="203"/>
        <v>2.5</v>
      </c>
      <c r="AG2141" s="580">
        <f t="shared" si="204"/>
        <v>0</v>
      </c>
      <c r="AH2141" s="580">
        <f t="shared" si="205"/>
        <v>0</v>
      </c>
    </row>
    <row r="2142" spans="28:34">
      <c r="AB2142" s="580">
        <f>HLOOKUP("*"&amp;'Output annual'!$AC$2&amp;'Output annual'!$AD$2&amp;"*Zone People Number Of Occupants [](Hourly)",'Eplus results'!$1:$1048576,ROW(),FALSE)</f>
        <v>0</v>
      </c>
      <c r="AC2142" s="580">
        <f>HLOOKUP("*"&amp;'Output annual'!$AC$2&amp;'Output annual'!$AD$2&amp;"*FangerPMV(Hourly)",'Eplus results'!$1:$1048576,ROW(),FALSE)</f>
        <v>0</v>
      </c>
      <c r="AD2142" s="580">
        <f t="shared" si="201"/>
        <v>5</v>
      </c>
      <c r="AE2142" s="580">
        <f t="shared" si="202"/>
        <v>2.5</v>
      </c>
      <c r="AF2142" s="580">
        <f t="shared" si="203"/>
        <v>2.5</v>
      </c>
      <c r="AG2142" s="580">
        <f t="shared" si="204"/>
        <v>0</v>
      </c>
      <c r="AH2142" s="580">
        <f t="shared" si="205"/>
        <v>0</v>
      </c>
    </row>
    <row r="2143" spans="28:34">
      <c r="AB2143" s="580">
        <f>HLOOKUP("*"&amp;'Output annual'!$AC$2&amp;'Output annual'!$AD$2&amp;"*Zone People Number Of Occupants [](Hourly)",'Eplus results'!$1:$1048576,ROW(),FALSE)</f>
        <v>0</v>
      </c>
      <c r="AC2143" s="580">
        <f>HLOOKUP("*"&amp;'Output annual'!$AC$2&amp;'Output annual'!$AD$2&amp;"*FangerPMV(Hourly)",'Eplus results'!$1:$1048576,ROW(),FALSE)</f>
        <v>0</v>
      </c>
      <c r="AD2143" s="580">
        <f t="shared" si="201"/>
        <v>5</v>
      </c>
      <c r="AE2143" s="580">
        <f t="shared" si="202"/>
        <v>2.5</v>
      </c>
      <c r="AF2143" s="580">
        <f t="shared" si="203"/>
        <v>2.5</v>
      </c>
      <c r="AG2143" s="580">
        <f t="shared" si="204"/>
        <v>0</v>
      </c>
      <c r="AH2143" s="580">
        <f t="shared" si="205"/>
        <v>0</v>
      </c>
    </row>
    <row r="2144" spans="28:34">
      <c r="AB2144" s="580">
        <f>HLOOKUP("*"&amp;'Output annual'!$AC$2&amp;'Output annual'!$AD$2&amp;"*Zone People Number Of Occupants [](Hourly)",'Eplus results'!$1:$1048576,ROW(),FALSE)</f>
        <v>0</v>
      </c>
      <c r="AC2144" s="580">
        <f>HLOOKUP("*"&amp;'Output annual'!$AC$2&amp;'Output annual'!$AD$2&amp;"*FangerPMV(Hourly)",'Eplus results'!$1:$1048576,ROW(),FALSE)</f>
        <v>0</v>
      </c>
      <c r="AD2144" s="580">
        <f t="shared" si="201"/>
        <v>5</v>
      </c>
      <c r="AE2144" s="580">
        <f t="shared" si="202"/>
        <v>2.5</v>
      </c>
      <c r="AF2144" s="580">
        <f t="shared" si="203"/>
        <v>2.5</v>
      </c>
      <c r="AG2144" s="580">
        <f t="shared" si="204"/>
        <v>0</v>
      </c>
      <c r="AH2144" s="580">
        <f t="shared" si="205"/>
        <v>0</v>
      </c>
    </row>
    <row r="2145" spans="28:34">
      <c r="AB2145" s="580">
        <f>HLOOKUP("*"&amp;'Output annual'!$AC$2&amp;'Output annual'!$AD$2&amp;"*Zone People Number Of Occupants [](Hourly)",'Eplus results'!$1:$1048576,ROW(),FALSE)</f>
        <v>0</v>
      </c>
      <c r="AC2145" s="580">
        <f>HLOOKUP("*"&amp;'Output annual'!$AC$2&amp;'Output annual'!$AD$2&amp;"*FangerPMV(Hourly)",'Eplus results'!$1:$1048576,ROW(),FALSE)</f>
        <v>0</v>
      </c>
      <c r="AD2145" s="580">
        <f t="shared" si="201"/>
        <v>5</v>
      </c>
      <c r="AE2145" s="580">
        <f t="shared" si="202"/>
        <v>2.5</v>
      </c>
      <c r="AF2145" s="580">
        <f t="shared" si="203"/>
        <v>2.5</v>
      </c>
      <c r="AG2145" s="580">
        <f t="shared" si="204"/>
        <v>0</v>
      </c>
      <c r="AH2145" s="580">
        <f t="shared" si="205"/>
        <v>0</v>
      </c>
    </row>
    <row r="2146" spans="28:34">
      <c r="AB2146" s="580">
        <f>HLOOKUP("*"&amp;'Output annual'!$AC$2&amp;'Output annual'!$AD$2&amp;"*Zone People Number Of Occupants [](Hourly)",'Eplus results'!$1:$1048576,ROW(),FALSE)</f>
        <v>0</v>
      </c>
      <c r="AC2146" s="580">
        <f>HLOOKUP("*"&amp;'Output annual'!$AC$2&amp;'Output annual'!$AD$2&amp;"*FangerPMV(Hourly)",'Eplus results'!$1:$1048576,ROW(),FALSE)</f>
        <v>0</v>
      </c>
      <c r="AD2146" s="580">
        <f t="shared" si="201"/>
        <v>5</v>
      </c>
      <c r="AE2146" s="580">
        <f t="shared" si="202"/>
        <v>2.5</v>
      </c>
      <c r="AF2146" s="580">
        <f t="shared" si="203"/>
        <v>2.5</v>
      </c>
      <c r="AG2146" s="580">
        <f t="shared" si="204"/>
        <v>0</v>
      </c>
      <c r="AH2146" s="580">
        <f t="shared" si="205"/>
        <v>0</v>
      </c>
    </row>
    <row r="2147" spans="28:34">
      <c r="AB2147" s="580">
        <f>HLOOKUP("*"&amp;'Output annual'!$AC$2&amp;'Output annual'!$AD$2&amp;"*Zone People Number Of Occupants [](Hourly)",'Eplus results'!$1:$1048576,ROW(),FALSE)</f>
        <v>0</v>
      </c>
      <c r="AC2147" s="580">
        <f>HLOOKUP("*"&amp;'Output annual'!$AC$2&amp;'Output annual'!$AD$2&amp;"*FangerPMV(Hourly)",'Eplus results'!$1:$1048576,ROW(),FALSE)</f>
        <v>0</v>
      </c>
      <c r="AD2147" s="580">
        <f t="shared" si="201"/>
        <v>5</v>
      </c>
      <c r="AE2147" s="580">
        <f t="shared" si="202"/>
        <v>2.5</v>
      </c>
      <c r="AF2147" s="580">
        <f t="shared" si="203"/>
        <v>2.5</v>
      </c>
      <c r="AG2147" s="580">
        <f t="shared" si="204"/>
        <v>0</v>
      </c>
      <c r="AH2147" s="580">
        <f t="shared" si="205"/>
        <v>0</v>
      </c>
    </row>
    <row r="2148" spans="28:34">
      <c r="AB2148" s="580">
        <f>HLOOKUP("*"&amp;'Output annual'!$AC$2&amp;'Output annual'!$AD$2&amp;"*Zone People Number Of Occupants [](Hourly)",'Eplus results'!$1:$1048576,ROW(),FALSE)</f>
        <v>0</v>
      </c>
      <c r="AC2148" s="580">
        <f>HLOOKUP("*"&amp;'Output annual'!$AC$2&amp;'Output annual'!$AD$2&amp;"*FangerPMV(Hourly)",'Eplus results'!$1:$1048576,ROW(),FALSE)</f>
        <v>0</v>
      </c>
      <c r="AD2148" s="580">
        <f t="shared" si="201"/>
        <v>5</v>
      </c>
      <c r="AE2148" s="580">
        <f t="shared" si="202"/>
        <v>2.5</v>
      </c>
      <c r="AF2148" s="580">
        <f t="shared" si="203"/>
        <v>2.5</v>
      </c>
      <c r="AG2148" s="580">
        <f t="shared" si="204"/>
        <v>0</v>
      </c>
      <c r="AH2148" s="580">
        <f t="shared" si="205"/>
        <v>0</v>
      </c>
    </row>
    <row r="2149" spans="28:34">
      <c r="AB2149" s="580">
        <f>HLOOKUP("*"&amp;'Output annual'!$AC$2&amp;'Output annual'!$AD$2&amp;"*Zone People Number Of Occupants [](Hourly)",'Eplus results'!$1:$1048576,ROW(),FALSE)</f>
        <v>0</v>
      </c>
      <c r="AC2149" s="580">
        <f>HLOOKUP("*"&amp;'Output annual'!$AC$2&amp;'Output annual'!$AD$2&amp;"*FangerPMV(Hourly)",'Eplus results'!$1:$1048576,ROW(),FALSE)</f>
        <v>0</v>
      </c>
      <c r="AD2149" s="580">
        <f t="shared" si="201"/>
        <v>5</v>
      </c>
      <c r="AE2149" s="580">
        <f t="shared" si="202"/>
        <v>2.5</v>
      </c>
      <c r="AF2149" s="580">
        <f t="shared" si="203"/>
        <v>2.5</v>
      </c>
      <c r="AG2149" s="580">
        <f t="shared" si="204"/>
        <v>0</v>
      </c>
      <c r="AH2149" s="580">
        <f t="shared" si="205"/>
        <v>0</v>
      </c>
    </row>
    <row r="2150" spans="28:34">
      <c r="AB2150" s="580">
        <f>HLOOKUP("*"&amp;'Output annual'!$AC$2&amp;'Output annual'!$AD$2&amp;"*Zone People Number Of Occupants [](Hourly)",'Eplus results'!$1:$1048576,ROW(),FALSE)</f>
        <v>0</v>
      </c>
      <c r="AC2150" s="580">
        <f>HLOOKUP("*"&amp;'Output annual'!$AC$2&amp;'Output annual'!$AD$2&amp;"*FangerPMV(Hourly)",'Eplus results'!$1:$1048576,ROW(),FALSE)</f>
        <v>0</v>
      </c>
      <c r="AD2150" s="580">
        <f t="shared" si="201"/>
        <v>5</v>
      </c>
      <c r="AE2150" s="580">
        <f t="shared" si="202"/>
        <v>2.5</v>
      </c>
      <c r="AF2150" s="580">
        <f t="shared" si="203"/>
        <v>2.5</v>
      </c>
      <c r="AG2150" s="580">
        <f t="shared" si="204"/>
        <v>0</v>
      </c>
      <c r="AH2150" s="580">
        <f t="shared" si="205"/>
        <v>0</v>
      </c>
    </row>
    <row r="2151" spans="28:34">
      <c r="AB2151" s="580">
        <f>HLOOKUP("*"&amp;'Output annual'!$AC$2&amp;'Output annual'!$AD$2&amp;"*Zone People Number Of Occupants [](Hourly)",'Eplus results'!$1:$1048576,ROW(),FALSE)</f>
        <v>0</v>
      </c>
      <c r="AC2151" s="580">
        <f>HLOOKUP("*"&amp;'Output annual'!$AC$2&amp;'Output annual'!$AD$2&amp;"*FangerPMV(Hourly)",'Eplus results'!$1:$1048576,ROW(),FALSE)</f>
        <v>0</v>
      </c>
      <c r="AD2151" s="580">
        <f t="shared" si="201"/>
        <v>5</v>
      </c>
      <c r="AE2151" s="580">
        <f t="shared" si="202"/>
        <v>2.5</v>
      </c>
      <c r="AF2151" s="580">
        <f t="shared" si="203"/>
        <v>2.5</v>
      </c>
      <c r="AG2151" s="580">
        <f t="shared" si="204"/>
        <v>0</v>
      </c>
      <c r="AH2151" s="580">
        <f t="shared" si="205"/>
        <v>0</v>
      </c>
    </row>
    <row r="2152" spans="28:34">
      <c r="AB2152" s="580">
        <f>HLOOKUP("*"&amp;'Output annual'!$AC$2&amp;'Output annual'!$AD$2&amp;"*Zone People Number Of Occupants [](Hourly)",'Eplus results'!$1:$1048576,ROW(),FALSE)</f>
        <v>0</v>
      </c>
      <c r="AC2152" s="580">
        <f>HLOOKUP("*"&amp;'Output annual'!$AC$2&amp;'Output annual'!$AD$2&amp;"*FangerPMV(Hourly)",'Eplus results'!$1:$1048576,ROW(),FALSE)</f>
        <v>0</v>
      </c>
      <c r="AD2152" s="580">
        <f t="shared" si="201"/>
        <v>5</v>
      </c>
      <c r="AE2152" s="580">
        <f t="shared" si="202"/>
        <v>2.5</v>
      </c>
      <c r="AF2152" s="580">
        <f t="shared" si="203"/>
        <v>2.5</v>
      </c>
      <c r="AG2152" s="580">
        <f t="shared" si="204"/>
        <v>0</v>
      </c>
      <c r="AH2152" s="580">
        <f t="shared" si="205"/>
        <v>0</v>
      </c>
    </row>
    <row r="2153" spans="28:34">
      <c r="AB2153" s="580">
        <f>HLOOKUP("*"&amp;'Output annual'!$AC$2&amp;'Output annual'!$AD$2&amp;"*Zone People Number Of Occupants [](Hourly)",'Eplus results'!$1:$1048576,ROW(),FALSE)</f>
        <v>0</v>
      </c>
      <c r="AC2153" s="580">
        <f>HLOOKUP("*"&amp;'Output annual'!$AC$2&amp;'Output annual'!$AD$2&amp;"*FangerPMV(Hourly)",'Eplus results'!$1:$1048576,ROW(),FALSE)</f>
        <v>0</v>
      </c>
      <c r="AD2153" s="580">
        <f t="shared" si="201"/>
        <v>5</v>
      </c>
      <c r="AE2153" s="580">
        <f t="shared" si="202"/>
        <v>2.5</v>
      </c>
      <c r="AF2153" s="580">
        <f t="shared" si="203"/>
        <v>2.5</v>
      </c>
      <c r="AG2153" s="580">
        <f t="shared" si="204"/>
        <v>0</v>
      </c>
      <c r="AH2153" s="580">
        <f t="shared" si="205"/>
        <v>0</v>
      </c>
    </row>
    <row r="2154" spans="28:34">
      <c r="AB2154" s="580">
        <f>HLOOKUP("*"&amp;'Output annual'!$AC$2&amp;'Output annual'!$AD$2&amp;"*Zone People Number Of Occupants [](Hourly)",'Eplus results'!$1:$1048576,ROW(),FALSE)</f>
        <v>0</v>
      </c>
      <c r="AC2154" s="580">
        <f>HLOOKUP("*"&amp;'Output annual'!$AC$2&amp;'Output annual'!$AD$2&amp;"*FangerPMV(Hourly)",'Eplus results'!$1:$1048576,ROW(),FALSE)</f>
        <v>0</v>
      </c>
      <c r="AD2154" s="580">
        <f t="shared" si="201"/>
        <v>5</v>
      </c>
      <c r="AE2154" s="580">
        <f t="shared" si="202"/>
        <v>2.5</v>
      </c>
      <c r="AF2154" s="580">
        <f t="shared" si="203"/>
        <v>2.5</v>
      </c>
      <c r="AG2154" s="580">
        <f t="shared" si="204"/>
        <v>0</v>
      </c>
      <c r="AH2154" s="580">
        <f t="shared" si="205"/>
        <v>0</v>
      </c>
    </row>
    <row r="2155" spans="28:34">
      <c r="AB2155" s="580">
        <f>HLOOKUP("*"&amp;'Output annual'!$AC$2&amp;'Output annual'!$AD$2&amp;"*Zone People Number Of Occupants [](Hourly)",'Eplus results'!$1:$1048576,ROW(),FALSE)</f>
        <v>0</v>
      </c>
      <c r="AC2155" s="580">
        <f>HLOOKUP("*"&amp;'Output annual'!$AC$2&amp;'Output annual'!$AD$2&amp;"*FangerPMV(Hourly)",'Eplus results'!$1:$1048576,ROW(),FALSE)</f>
        <v>0</v>
      </c>
      <c r="AD2155" s="580">
        <f t="shared" si="201"/>
        <v>5</v>
      </c>
      <c r="AE2155" s="580">
        <f t="shared" si="202"/>
        <v>2.5</v>
      </c>
      <c r="AF2155" s="580">
        <f t="shared" si="203"/>
        <v>2.5</v>
      </c>
      <c r="AG2155" s="580">
        <f t="shared" si="204"/>
        <v>0</v>
      </c>
      <c r="AH2155" s="580">
        <f t="shared" si="205"/>
        <v>0</v>
      </c>
    </row>
    <row r="2156" spans="28:34">
      <c r="AB2156" s="580">
        <f>HLOOKUP("*"&amp;'Output annual'!$AC$2&amp;'Output annual'!$AD$2&amp;"*Zone People Number Of Occupants [](Hourly)",'Eplus results'!$1:$1048576,ROW(),FALSE)</f>
        <v>0</v>
      </c>
      <c r="AC2156" s="580">
        <f>HLOOKUP("*"&amp;'Output annual'!$AC$2&amp;'Output annual'!$AD$2&amp;"*FangerPMV(Hourly)",'Eplus results'!$1:$1048576,ROW(),FALSE)</f>
        <v>0</v>
      </c>
      <c r="AD2156" s="580">
        <f t="shared" si="201"/>
        <v>5</v>
      </c>
      <c r="AE2156" s="580">
        <f t="shared" si="202"/>
        <v>2.5</v>
      </c>
      <c r="AF2156" s="580">
        <f t="shared" si="203"/>
        <v>2.5</v>
      </c>
      <c r="AG2156" s="580">
        <f t="shared" si="204"/>
        <v>0</v>
      </c>
      <c r="AH2156" s="580">
        <f t="shared" si="205"/>
        <v>0</v>
      </c>
    </row>
    <row r="2157" spans="28:34">
      <c r="AB2157" s="580">
        <f>HLOOKUP("*"&amp;'Output annual'!$AC$2&amp;'Output annual'!$AD$2&amp;"*Zone People Number Of Occupants [](Hourly)",'Eplus results'!$1:$1048576,ROW(),FALSE)</f>
        <v>0</v>
      </c>
      <c r="AC2157" s="580">
        <f>HLOOKUP("*"&amp;'Output annual'!$AC$2&amp;'Output annual'!$AD$2&amp;"*FangerPMV(Hourly)",'Eplus results'!$1:$1048576,ROW(),FALSE)</f>
        <v>0</v>
      </c>
      <c r="AD2157" s="580">
        <f t="shared" si="201"/>
        <v>5</v>
      </c>
      <c r="AE2157" s="580">
        <f t="shared" si="202"/>
        <v>2.5</v>
      </c>
      <c r="AF2157" s="580">
        <f t="shared" si="203"/>
        <v>2.5</v>
      </c>
      <c r="AG2157" s="580">
        <f t="shared" si="204"/>
        <v>0</v>
      </c>
      <c r="AH2157" s="580">
        <f t="shared" si="205"/>
        <v>0</v>
      </c>
    </row>
    <row r="2158" spans="28:34">
      <c r="AB2158" s="580">
        <f>HLOOKUP("*"&amp;'Output annual'!$AC$2&amp;'Output annual'!$AD$2&amp;"*Zone People Number Of Occupants [](Hourly)",'Eplus results'!$1:$1048576,ROW(),FALSE)</f>
        <v>0</v>
      </c>
      <c r="AC2158" s="580">
        <f>HLOOKUP("*"&amp;'Output annual'!$AC$2&amp;'Output annual'!$AD$2&amp;"*FangerPMV(Hourly)",'Eplus results'!$1:$1048576,ROW(),FALSE)</f>
        <v>0</v>
      </c>
      <c r="AD2158" s="580">
        <f t="shared" si="201"/>
        <v>5</v>
      </c>
      <c r="AE2158" s="580">
        <f t="shared" si="202"/>
        <v>2.5</v>
      </c>
      <c r="AF2158" s="580">
        <f t="shared" si="203"/>
        <v>2.5</v>
      </c>
      <c r="AG2158" s="580">
        <f t="shared" si="204"/>
        <v>0</v>
      </c>
      <c r="AH2158" s="580">
        <f t="shared" si="205"/>
        <v>0</v>
      </c>
    </row>
    <row r="2159" spans="28:34">
      <c r="AB2159" s="580">
        <f>HLOOKUP("*"&amp;'Output annual'!$AC$2&amp;'Output annual'!$AD$2&amp;"*Zone People Number Of Occupants [](Hourly)",'Eplus results'!$1:$1048576,ROW(),FALSE)</f>
        <v>0</v>
      </c>
      <c r="AC2159" s="580">
        <f>HLOOKUP("*"&amp;'Output annual'!$AC$2&amp;'Output annual'!$AD$2&amp;"*FangerPMV(Hourly)",'Eplus results'!$1:$1048576,ROW(),FALSE)</f>
        <v>0</v>
      </c>
      <c r="AD2159" s="580">
        <f t="shared" si="201"/>
        <v>5</v>
      </c>
      <c r="AE2159" s="580">
        <f t="shared" si="202"/>
        <v>2.5</v>
      </c>
      <c r="AF2159" s="580">
        <f t="shared" si="203"/>
        <v>2.5</v>
      </c>
      <c r="AG2159" s="580">
        <f t="shared" si="204"/>
        <v>0</v>
      </c>
      <c r="AH2159" s="580">
        <f t="shared" si="205"/>
        <v>0</v>
      </c>
    </row>
    <row r="2160" spans="28:34">
      <c r="AB2160" s="580">
        <f>HLOOKUP("*"&amp;'Output annual'!$AC$2&amp;'Output annual'!$AD$2&amp;"*Zone People Number Of Occupants [](Hourly)",'Eplus results'!$1:$1048576,ROW(),FALSE)</f>
        <v>0</v>
      </c>
      <c r="AC2160" s="580">
        <f>HLOOKUP("*"&amp;'Output annual'!$AC$2&amp;'Output annual'!$AD$2&amp;"*FangerPMV(Hourly)",'Eplus results'!$1:$1048576,ROW(),FALSE)</f>
        <v>0</v>
      </c>
      <c r="AD2160" s="580">
        <f t="shared" si="201"/>
        <v>5</v>
      </c>
      <c r="AE2160" s="580">
        <f t="shared" si="202"/>
        <v>2.5</v>
      </c>
      <c r="AF2160" s="580">
        <f t="shared" si="203"/>
        <v>2.5</v>
      </c>
      <c r="AG2160" s="580">
        <f t="shared" si="204"/>
        <v>0</v>
      </c>
      <c r="AH2160" s="580">
        <f t="shared" si="205"/>
        <v>0</v>
      </c>
    </row>
    <row r="2161" spans="28:34">
      <c r="AB2161" s="580">
        <f>HLOOKUP("*"&amp;'Output annual'!$AC$2&amp;'Output annual'!$AD$2&amp;"*Zone People Number Of Occupants [](Hourly)",'Eplus results'!$1:$1048576,ROW(),FALSE)</f>
        <v>0</v>
      </c>
      <c r="AC2161" s="580">
        <f>HLOOKUP("*"&amp;'Output annual'!$AC$2&amp;'Output annual'!$AD$2&amp;"*FangerPMV(Hourly)",'Eplus results'!$1:$1048576,ROW(),FALSE)</f>
        <v>0</v>
      </c>
      <c r="AD2161" s="580">
        <f t="shared" si="201"/>
        <v>5</v>
      </c>
      <c r="AE2161" s="580">
        <f t="shared" si="202"/>
        <v>2.5</v>
      </c>
      <c r="AF2161" s="580">
        <f t="shared" si="203"/>
        <v>2.5</v>
      </c>
      <c r="AG2161" s="580">
        <f t="shared" si="204"/>
        <v>0</v>
      </c>
      <c r="AH2161" s="580">
        <f t="shared" si="205"/>
        <v>0</v>
      </c>
    </row>
    <row r="2162" spans="28:34">
      <c r="AB2162" s="580">
        <f>HLOOKUP("*"&amp;'Output annual'!$AC$2&amp;'Output annual'!$AD$2&amp;"*Zone People Number Of Occupants [](Hourly)",'Eplus results'!$1:$1048576,ROW(),FALSE)</f>
        <v>0</v>
      </c>
      <c r="AC2162" s="580">
        <f>HLOOKUP("*"&amp;'Output annual'!$AC$2&amp;'Output annual'!$AD$2&amp;"*FangerPMV(Hourly)",'Eplus results'!$1:$1048576,ROW(),FALSE)</f>
        <v>0</v>
      </c>
      <c r="AD2162" s="580">
        <f t="shared" si="201"/>
        <v>5</v>
      </c>
      <c r="AE2162" s="580">
        <f t="shared" si="202"/>
        <v>2.5</v>
      </c>
      <c r="AF2162" s="580">
        <f t="shared" si="203"/>
        <v>2.5</v>
      </c>
      <c r="AG2162" s="580">
        <f t="shared" si="204"/>
        <v>0</v>
      </c>
      <c r="AH2162" s="580">
        <f t="shared" si="205"/>
        <v>0</v>
      </c>
    </row>
    <row r="2163" spans="28:34">
      <c r="AB2163" s="580">
        <f>HLOOKUP("*"&amp;'Output annual'!$AC$2&amp;'Output annual'!$AD$2&amp;"*Zone People Number Of Occupants [](Hourly)",'Eplus results'!$1:$1048576,ROW(),FALSE)</f>
        <v>0</v>
      </c>
      <c r="AC2163" s="580">
        <f>HLOOKUP("*"&amp;'Output annual'!$AC$2&amp;'Output annual'!$AD$2&amp;"*FangerPMV(Hourly)",'Eplus results'!$1:$1048576,ROW(),FALSE)</f>
        <v>0</v>
      </c>
      <c r="AD2163" s="580">
        <f t="shared" si="201"/>
        <v>5</v>
      </c>
      <c r="AE2163" s="580">
        <f t="shared" si="202"/>
        <v>2.5</v>
      </c>
      <c r="AF2163" s="580">
        <f t="shared" si="203"/>
        <v>2.5</v>
      </c>
      <c r="AG2163" s="580">
        <f t="shared" si="204"/>
        <v>0</v>
      </c>
      <c r="AH2163" s="580">
        <f t="shared" si="205"/>
        <v>0</v>
      </c>
    </row>
    <row r="2164" spans="28:34">
      <c r="AB2164" s="580">
        <f>HLOOKUP("*"&amp;'Output annual'!$AC$2&amp;'Output annual'!$AD$2&amp;"*Zone People Number Of Occupants [](Hourly)",'Eplus results'!$1:$1048576,ROW(),FALSE)</f>
        <v>0</v>
      </c>
      <c r="AC2164" s="580">
        <f>HLOOKUP("*"&amp;'Output annual'!$AC$2&amp;'Output annual'!$AD$2&amp;"*FangerPMV(Hourly)",'Eplus results'!$1:$1048576,ROW(),FALSE)</f>
        <v>0</v>
      </c>
      <c r="AD2164" s="580">
        <f t="shared" si="201"/>
        <v>5</v>
      </c>
      <c r="AE2164" s="580">
        <f t="shared" si="202"/>
        <v>2.5</v>
      </c>
      <c r="AF2164" s="580">
        <f t="shared" si="203"/>
        <v>2.5</v>
      </c>
      <c r="AG2164" s="580">
        <f t="shared" si="204"/>
        <v>0</v>
      </c>
      <c r="AH2164" s="580">
        <f t="shared" si="205"/>
        <v>0</v>
      </c>
    </row>
    <row r="2165" spans="28:34">
      <c r="AB2165" s="580">
        <f>HLOOKUP("*"&amp;'Output annual'!$AC$2&amp;'Output annual'!$AD$2&amp;"*Zone People Number Of Occupants [](Hourly)",'Eplus results'!$1:$1048576,ROW(),FALSE)</f>
        <v>0</v>
      </c>
      <c r="AC2165" s="580">
        <f>HLOOKUP("*"&amp;'Output annual'!$AC$2&amp;'Output annual'!$AD$2&amp;"*FangerPMV(Hourly)",'Eplus results'!$1:$1048576,ROW(),FALSE)</f>
        <v>0</v>
      </c>
      <c r="AD2165" s="580">
        <f t="shared" si="201"/>
        <v>5</v>
      </c>
      <c r="AE2165" s="580">
        <f t="shared" si="202"/>
        <v>2.5</v>
      </c>
      <c r="AF2165" s="580">
        <f t="shared" si="203"/>
        <v>2.5</v>
      </c>
      <c r="AG2165" s="580">
        <f t="shared" si="204"/>
        <v>0</v>
      </c>
      <c r="AH2165" s="580">
        <f t="shared" si="205"/>
        <v>0</v>
      </c>
    </row>
    <row r="2166" spans="28:34">
      <c r="AB2166" s="580">
        <f>HLOOKUP("*"&amp;'Output annual'!$AC$2&amp;'Output annual'!$AD$2&amp;"*Zone People Number Of Occupants [](Hourly)",'Eplus results'!$1:$1048576,ROW(),FALSE)</f>
        <v>0</v>
      </c>
      <c r="AC2166" s="580">
        <f>HLOOKUP("*"&amp;'Output annual'!$AC$2&amp;'Output annual'!$AD$2&amp;"*FangerPMV(Hourly)",'Eplus results'!$1:$1048576,ROW(),FALSE)</f>
        <v>0</v>
      </c>
      <c r="AD2166" s="580">
        <f t="shared" si="201"/>
        <v>5</v>
      </c>
      <c r="AE2166" s="580">
        <f t="shared" si="202"/>
        <v>2.5</v>
      </c>
      <c r="AF2166" s="580">
        <f t="shared" si="203"/>
        <v>2.5</v>
      </c>
      <c r="AG2166" s="580">
        <f t="shared" si="204"/>
        <v>0</v>
      </c>
      <c r="AH2166" s="580">
        <f t="shared" si="205"/>
        <v>0</v>
      </c>
    </row>
    <row r="2167" spans="28:34">
      <c r="AB2167" s="580">
        <f>HLOOKUP("*"&amp;'Output annual'!$AC$2&amp;'Output annual'!$AD$2&amp;"*Zone People Number Of Occupants [](Hourly)",'Eplus results'!$1:$1048576,ROW(),FALSE)</f>
        <v>0</v>
      </c>
      <c r="AC2167" s="580">
        <f>HLOOKUP("*"&amp;'Output annual'!$AC$2&amp;'Output annual'!$AD$2&amp;"*FangerPMV(Hourly)",'Eplus results'!$1:$1048576,ROW(),FALSE)</f>
        <v>0</v>
      </c>
      <c r="AD2167" s="580">
        <f t="shared" si="201"/>
        <v>5</v>
      </c>
      <c r="AE2167" s="580">
        <f t="shared" si="202"/>
        <v>2.5</v>
      </c>
      <c r="AF2167" s="580">
        <f t="shared" si="203"/>
        <v>2.5</v>
      </c>
      <c r="AG2167" s="580">
        <f t="shared" si="204"/>
        <v>0</v>
      </c>
      <c r="AH2167" s="580">
        <f t="shared" si="205"/>
        <v>0</v>
      </c>
    </row>
    <row r="2168" spans="28:34">
      <c r="AB2168" s="580">
        <f>HLOOKUP("*"&amp;'Output annual'!$AC$2&amp;'Output annual'!$AD$2&amp;"*Zone People Number Of Occupants [](Hourly)",'Eplus results'!$1:$1048576,ROW(),FALSE)</f>
        <v>0</v>
      </c>
      <c r="AC2168" s="580">
        <f>HLOOKUP("*"&amp;'Output annual'!$AC$2&amp;'Output annual'!$AD$2&amp;"*FangerPMV(Hourly)",'Eplus results'!$1:$1048576,ROW(),FALSE)</f>
        <v>0</v>
      </c>
      <c r="AD2168" s="580">
        <f t="shared" si="201"/>
        <v>5</v>
      </c>
      <c r="AE2168" s="580">
        <f t="shared" si="202"/>
        <v>2.5</v>
      </c>
      <c r="AF2168" s="580">
        <f t="shared" si="203"/>
        <v>2.5</v>
      </c>
      <c r="AG2168" s="580">
        <f t="shared" si="204"/>
        <v>0</v>
      </c>
      <c r="AH2168" s="580">
        <f t="shared" si="205"/>
        <v>0</v>
      </c>
    </row>
    <row r="2169" spans="28:34">
      <c r="AB2169" s="580">
        <f>HLOOKUP("*"&amp;'Output annual'!$AC$2&amp;'Output annual'!$AD$2&amp;"*Zone People Number Of Occupants [](Hourly)",'Eplus results'!$1:$1048576,ROW(),FALSE)</f>
        <v>0</v>
      </c>
      <c r="AC2169" s="580">
        <f>HLOOKUP("*"&amp;'Output annual'!$AC$2&amp;'Output annual'!$AD$2&amp;"*FangerPMV(Hourly)",'Eplus results'!$1:$1048576,ROW(),FALSE)</f>
        <v>0</v>
      </c>
      <c r="AD2169" s="580">
        <f t="shared" si="201"/>
        <v>5</v>
      </c>
      <c r="AE2169" s="580">
        <f t="shared" si="202"/>
        <v>2.5</v>
      </c>
      <c r="AF2169" s="580">
        <f t="shared" si="203"/>
        <v>2.5</v>
      </c>
      <c r="AG2169" s="580">
        <f t="shared" si="204"/>
        <v>0</v>
      </c>
      <c r="AH2169" s="580">
        <f t="shared" si="205"/>
        <v>0</v>
      </c>
    </row>
    <row r="2170" spans="28:34">
      <c r="AB2170" s="580">
        <f>HLOOKUP("*"&amp;'Output annual'!$AC$2&amp;'Output annual'!$AD$2&amp;"*Zone People Number Of Occupants [](Hourly)",'Eplus results'!$1:$1048576,ROW(),FALSE)</f>
        <v>0</v>
      </c>
      <c r="AC2170" s="580">
        <f>HLOOKUP("*"&amp;'Output annual'!$AC$2&amp;'Output annual'!$AD$2&amp;"*FangerPMV(Hourly)",'Eplus results'!$1:$1048576,ROW(),FALSE)</f>
        <v>0</v>
      </c>
      <c r="AD2170" s="580">
        <f t="shared" si="201"/>
        <v>5</v>
      </c>
      <c r="AE2170" s="580">
        <f t="shared" si="202"/>
        <v>2.5</v>
      </c>
      <c r="AF2170" s="580">
        <f t="shared" si="203"/>
        <v>2.5</v>
      </c>
      <c r="AG2170" s="580">
        <f t="shared" si="204"/>
        <v>0</v>
      </c>
      <c r="AH2170" s="580">
        <f t="shared" si="205"/>
        <v>0</v>
      </c>
    </row>
    <row r="2171" spans="28:34">
      <c r="AB2171" s="580">
        <f>HLOOKUP("*"&amp;'Output annual'!$AC$2&amp;'Output annual'!$AD$2&amp;"*Zone People Number Of Occupants [](Hourly)",'Eplus results'!$1:$1048576,ROW(),FALSE)</f>
        <v>0</v>
      </c>
      <c r="AC2171" s="580">
        <f>HLOOKUP("*"&amp;'Output annual'!$AC$2&amp;'Output annual'!$AD$2&amp;"*FangerPMV(Hourly)",'Eplus results'!$1:$1048576,ROW(),FALSE)</f>
        <v>0</v>
      </c>
      <c r="AD2171" s="580">
        <f t="shared" si="201"/>
        <v>5</v>
      </c>
      <c r="AE2171" s="580">
        <f t="shared" si="202"/>
        <v>2.5</v>
      </c>
      <c r="AF2171" s="580">
        <f t="shared" si="203"/>
        <v>2.5</v>
      </c>
      <c r="AG2171" s="580">
        <f t="shared" si="204"/>
        <v>0</v>
      </c>
      <c r="AH2171" s="580">
        <f t="shared" si="205"/>
        <v>0</v>
      </c>
    </row>
    <row r="2172" spans="28:34">
      <c r="AB2172" s="580">
        <f>HLOOKUP("*"&amp;'Output annual'!$AC$2&amp;'Output annual'!$AD$2&amp;"*Zone People Number Of Occupants [](Hourly)",'Eplus results'!$1:$1048576,ROW(),FALSE)</f>
        <v>0</v>
      </c>
      <c r="AC2172" s="580">
        <f>HLOOKUP("*"&amp;'Output annual'!$AC$2&amp;'Output annual'!$AD$2&amp;"*FangerPMV(Hourly)",'Eplus results'!$1:$1048576,ROW(),FALSE)</f>
        <v>0</v>
      </c>
      <c r="AD2172" s="580">
        <f t="shared" si="201"/>
        <v>5</v>
      </c>
      <c r="AE2172" s="580">
        <f t="shared" si="202"/>
        <v>2.5</v>
      </c>
      <c r="AF2172" s="580">
        <f t="shared" si="203"/>
        <v>2.5</v>
      </c>
      <c r="AG2172" s="580">
        <f t="shared" si="204"/>
        <v>0</v>
      </c>
      <c r="AH2172" s="580">
        <f t="shared" si="205"/>
        <v>0</v>
      </c>
    </row>
    <row r="2173" spans="28:34">
      <c r="AB2173" s="580">
        <f>HLOOKUP("*"&amp;'Output annual'!$AC$2&amp;'Output annual'!$AD$2&amp;"*Zone People Number Of Occupants [](Hourly)",'Eplus results'!$1:$1048576,ROW(),FALSE)</f>
        <v>0</v>
      </c>
      <c r="AC2173" s="580">
        <f>HLOOKUP("*"&amp;'Output annual'!$AC$2&amp;'Output annual'!$AD$2&amp;"*FangerPMV(Hourly)",'Eplus results'!$1:$1048576,ROW(),FALSE)</f>
        <v>0</v>
      </c>
      <c r="AD2173" s="580">
        <f t="shared" si="201"/>
        <v>5</v>
      </c>
      <c r="AE2173" s="580">
        <f t="shared" si="202"/>
        <v>2.5</v>
      </c>
      <c r="AF2173" s="580">
        <f t="shared" si="203"/>
        <v>2.5</v>
      </c>
      <c r="AG2173" s="580">
        <f t="shared" si="204"/>
        <v>0</v>
      </c>
      <c r="AH2173" s="580">
        <f t="shared" si="205"/>
        <v>0</v>
      </c>
    </row>
    <row r="2174" spans="28:34">
      <c r="AB2174" s="580">
        <f>HLOOKUP("*"&amp;'Output annual'!$AC$2&amp;'Output annual'!$AD$2&amp;"*Zone People Number Of Occupants [](Hourly)",'Eplus results'!$1:$1048576,ROW(),FALSE)</f>
        <v>0</v>
      </c>
      <c r="AC2174" s="580">
        <f>HLOOKUP("*"&amp;'Output annual'!$AC$2&amp;'Output annual'!$AD$2&amp;"*FangerPMV(Hourly)",'Eplus results'!$1:$1048576,ROW(),FALSE)</f>
        <v>0</v>
      </c>
      <c r="AD2174" s="580">
        <f t="shared" si="201"/>
        <v>5</v>
      </c>
      <c r="AE2174" s="580">
        <f t="shared" si="202"/>
        <v>2.5</v>
      </c>
      <c r="AF2174" s="580">
        <f t="shared" si="203"/>
        <v>2.5</v>
      </c>
      <c r="AG2174" s="580">
        <f t="shared" si="204"/>
        <v>0</v>
      </c>
      <c r="AH2174" s="580">
        <f t="shared" si="205"/>
        <v>0</v>
      </c>
    </row>
    <row r="2175" spans="28:34">
      <c r="AB2175" s="580">
        <f>HLOOKUP("*"&amp;'Output annual'!$AC$2&amp;'Output annual'!$AD$2&amp;"*Zone People Number Of Occupants [](Hourly)",'Eplus results'!$1:$1048576,ROW(),FALSE)</f>
        <v>0</v>
      </c>
      <c r="AC2175" s="580">
        <f>HLOOKUP("*"&amp;'Output annual'!$AC$2&amp;'Output annual'!$AD$2&amp;"*FangerPMV(Hourly)",'Eplus results'!$1:$1048576,ROW(),FALSE)</f>
        <v>0</v>
      </c>
      <c r="AD2175" s="580">
        <f t="shared" si="201"/>
        <v>5</v>
      </c>
      <c r="AE2175" s="580">
        <f t="shared" si="202"/>
        <v>2.5</v>
      </c>
      <c r="AF2175" s="580">
        <f t="shared" si="203"/>
        <v>2.5</v>
      </c>
      <c r="AG2175" s="580">
        <f t="shared" si="204"/>
        <v>0</v>
      </c>
      <c r="AH2175" s="580">
        <f t="shared" si="205"/>
        <v>0</v>
      </c>
    </row>
    <row r="2176" spans="28:34">
      <c r="AB2176" s="580">
        <f>HLOOKUP("*"&amp;'Output annual'!$AC$2&amp;'Output annual'!$AD$2&amp;"*Zone People Number Of Occupants [](Hourly)",'Eplus results'!$1:$1048576,ROW(),FALSE)</f>
        <v>0</v>
      </c>
      <c r="AC2176" s="580">
        <f>HLOOKUP("*"&amp;'Output annual'!$AC$2&amp;'Output annual'!$AD$2&amp;"*FangerPMV(Hourly)",'Eplus results'!$1:$1048576,ROW(),FALSE)</f>
        <v>0</v>
      </c>
      <c r="AD2176" s="580">
        <f t="shared" si="201"/>
        <v>5</v>
      </c>
      <c r="AE2176" s="580">
        <f t="shared" si="202"/>
        <v>2.5</v>
      </c>
      <c r="AF2176" s="580">
        <f t="shared" si="203"/>
        <v>2.5</v>
      </c>
      <c r="AG2176" s="580">
        <f t="shared" si="204"/>
        <v>0</v>
      </c>
      <c r="AH2176" s="580">
        <f t="shared" si="205"/>
        <v>0</v>
      </c>
    </row>
    <row r="2177" spans="28:34">
      <c r="AB2177" s="580">
        <f>HLOOKUP("*"&amp;'Output annual'!$AC$2&amp;'Output annual'!$AD$2&amp;"*Zone People Number Of Occupants [](Hourly)",'Eplus results'!$1:$1048576,ROW(),FALSE)</f>
        <v>0</v>
      </c>
      <c r="AC2177" s="580">
        <f>HLOOKUP("*"&amp;'Output annual'!$AC$2&amp;'Output annual'!$AD$2&amp;"*FangerPMV(Hourly)",'Eplus results'!$1:$1048576,ROW(),FALSE)</f>
        <v>0</v>
      </c>
      <c r="AD2177" s="580">
        <f t="shared" si="201"/>
        <v>5</v>
      </c>
      <c r="AE2177" s="580">
        <f t="shared" si="202"/>
        <v>2.5</v>
      </c>
      <c r="AF2177" s="580">
        <f t="shared" si="203"/>
        <v>2.5</v>
      </c>
      <c r="AG2177" s="580">
        <f t="shared" si="204"/>
        <v>0</v>
      </c>
      <c r="AH2177" s="580">
        <f t="shared" si="205"/>
        <v>0</v>
      </c>
    </row>
    <row r="2178" spans="28:34">
      <c r="AB2178" s="580">
        <f>HLOOKUP("*"&amp;'Output annual'!$AC$2&amp;'Output annual'!$AD$2&amp;"*Zone People Number Of Occupants [](Hourly)",'Eplus results'!$1:$1048576,ROW(),FALSE)</f>
        <v>0</v>
      </c>
      <c r="AC2178" s="580">
        <f>HLOOKUP("*"&amp;'Output annual'!$AC$2&amp;'Output annual'!$AD$2&amp;"*FangerPMV(Hourly)",'Eplus results'!$1:$1048576,ROW(),FALSE)</f>
        <v>0</v>
      </c>
      <c r="AD2178" s="580">
        <f t="shared" si="201"/>
        <v>5</v>
      </c>
      <c r="AE2178" s="580">
        <f t="shared" si="202"/>
        <v>2.5</v>
      </c>
      <c r="AF2178" s="580">
        <f t="shared" si="203"/>
        <v>2.5</v>
      </c>
      <c r="AG2178" s="580">
        <f t="shared" si="204"/>
        <v>0</v>
      </c>
      <c r="AH2178" s="580">
        <f t="shared" si="205"/>
        <v>0</v>
      </c>
    </row>
    <row r="2179" spans="28:34">
      <c r="AB2179" s="580">
        <f>HLOOKUP("*"&amp;'Output annual'!$AC$2&amp;'Output annual'!$AD$2&amp;"*Zone People Number Of Occupants [](Hourly)",'Eplus results'!$1:$1048576,ROW(),FALSE)</f>
        <v>0</v>
      </c>
      <c r="AC2179" s="580">
        <f>HLOOKUP("*"&amp;'Output annual'!$AC$2&amp;'Output annual'!$AD$2&amp;"*FangerPMV(Hourly)",'Eplus results'!$1:$1048576,ROW(),FALSE)</f>
        <v>0</v>
      </c>
      <c r="AD2179" s="580">
        <f t="shared" ref="AD2179:AD2242" si="206">100-95*EXP(-0.03353*AC2179^4-0.2179*AC2179^2)</f>
        <v>5</v>
      </c>
      <c r="AE2179" s="580">
        <f t="shared" ref="AE2179:AE2242" si="207">AD2179*(1/(1+EXP(-6.3*$AC2179)))</f>
        <v>2.5</v>
      </c>
      <c r="AF2179" s="580">
        <f t="shared" ref="AF2179:AF2242" si="208">(AD2179-AE2179)</f>
        <v>2.5</v>
      </c>
      <c r="AG2179" s="580">
        <f t="shared" ref="AG2179:AG2242" si="209">AE2179*AB2179</f>
        <v>0</v>
      </c>
      <c r="AH2179" s="580">
        <f t="shared" ref="AH2179:AH2242" si="210">AF2179*AB2179</f>
        <v>0</v>
      </c>
    </row>
    <row r="2180" spans="28:34">
      <c r="AB2180" s="580">
        <f>HLOOKUP("*"&amp;'Output annual'!$AC$2&amp;'Output annual'!$AD$2&amp;"*Zone People Number Of Occupants [](Hourly)",'Eplus results'!$1:$1048576,ROW(),FALSE)</f>
        <v>0</v>
      </c>
      <c r="AC2180" s="580">
        <f>HLOOKUP("*"&amp;'Output annual'!$AC$2&amp;'Output annual'!$AD$2&amp;"*FangerPMV(Hourly)",'Eplus results'!$1:$1048576,ROW(),FALSE)</f>
        <v>0</v>
      </c>
      <c r="AD2180" s="580">
        <f t="shared" si="206"/>
        <v>5</v>
      </c>
      <c r="AE2180" s="580">
        <f t="shared" si="207"/>
        <v>2.5</v>
      </c>
      <c r="AF2180" s="580">
        <f t="shared" si="208"/>
        <v>2.5</v>
      </c>
      <c r="AG2180" s="580">
        <f t="shared" si="209"/>
        <v>0</v>
      </c>
      <c r="AH2180" s="580">
        <f t="shared" si="210"/>
        <v>0</v>
      </c>
    </row>
    <row r="2181" spans="28:34">
      <c r="AB2181" s="580">
        <f>HLOOKUP("*"&amp;'Output annual'!$AC$2&amp;'Output annual'!$AD$2&amp;"*Zone People Number Of Occupants [](Hourly)",'Eplus results'!$1:$1048576,ROW(),FALSE)</f>
        <v>0</v>
      </c>
      <c r="AC2181" s="580">
        <f>HLOOKUP("*"&amp;'Output annual'!$AC$2&amp;'Output annual'!$AD$2&amp;"*FangerPMV(Hourly)",'Eplus results'!$1:$1048576,ROW(),FALSE)</f>
        <v>0</v>
      </c>
      <c r="AD2181" s="580">
        <f t="shared" si="206"/>
        <v>5</v>
      </c>
      <c r="AE2181" s="580">
        <f t="shared" si="207"/>
        <v>2.5</v>
      </c>
      <c r="AF2181" s="580">
        <f t="shared" si="208"/>
        <v>2.5</v>
      </c>
      <c r="AG2181" s="580">
        <f t="shared" si="209"/>
        <v>0</v>
      </c>
      <c r="AH2181" s="580">
        <f t="shared" si="210"/>
        <v>0</v>
      </c>
    </row>
    <row r="2182" spans="28:34">
      <c r="AB2182" s="580">
        <f>HLOOKUP("*"&amp;'Output annual'!$AC$2&amp;'Output annual'!$AD$2&amp;"*Zone People Number Of Occupants [](Hourly)",'Eplus results'!$1:$1048576,ROW(),FALSE)</f>
        <v>0</v>
      </c>
      <c r="AC2182" s="580">
        <f>HLOOKUP("*"&amp;'Output annual'!$AC$2&amp;'Output annual'!$AD$2&amp;"*FangerPMV(Hourly)",'Eplus results'!$1:$1048576,ROW(),FALSE)</f>
        <v>0</v>
      </c>
      <c r="AD2182" s="580">
        <f t="shared" si="206"/>
        <v>5</v>
      </c>
      <c r="AE2182" s="580">
        <f t="shared" si="207"/>
        <v>2.5</v>
      </c>
      <c r="AF2182" s="580">
        <f t="shared" si="208"/>
        <v>2.5</v>
      </c>
      <c r="AG2182" s="580">
        <f t="shared" si="209"/>
        <v>0</v>
      </c>
      <c r="AH2182" s="580">
        <f t="shared" si="210"/>
        <v>0</v>
      </c>
    </row>
    <row r="2183" spans="28:34">
      <c r="AB2183" s="580">
        <f>HLOOKUP("*"&amp;'Output annual'!$AC$2&amp;'Output annual'!$AD$2&amp;"*Zone People Number Of Occupants [](Hourly)",'Eplus results'!$1:$1048576,ROW(),FALSE)</f>
        <v>0</v>
      </c>
      <c r="AC2183" s="580">
        <f>HLOOKUP("*"&amp;'Output annual'!$AC$2&amp;'Output annual'!$AD$2&amp;"*FangerPMV(Hourly)",'Eplus results'!$1:$1048576,ROW(),FALSE)</f>
        <v>0</v>
      </c>
      <c r="AD2183" s="580">
        <f t="shared" si="206"/>
        <v>5</v>
      </c>
      <c r="AE2183" s="580">
        <f t="shared" si="207"/>
        <v>2.5</v>
      </c>
      <c r="AF2183" s="580">
        <f t="shared" si="208"/>
        <v>2.5</v>
      </c>
      <c r="AG2183" s="580">
        <f t="shared" si="209"/>
        <v>0</v>
      </c>
      <c r="AH2183" s="580">
        <f t="shared" si="210"/>
        <v>0</v>
      </c>
    </row>
    <row r="2184" spans="28:34">
      <c r="AB2184" s="580">
        <f>HLOOKUP("*"&amp;'Output annual'!$AC$2&amp;'Output annual'!$AD$2&amp;"*Zone People Number Of Occupants [](Hourly)",'Eplus results'!$1:$1048576,ROW(),FALSE)</f>
        <v>0</v>
      </c>
      <c r="AC2184" s="580">
        <f>HLOOKUP("*"&amp;'Output annual'!$AC$2&amp;'Output annual'!$AD$2&amp;"*FangerPMV(Hourly)",'Eplus results'!$1:$1048576,ROW(),FALSE)</f>
        <v>0</v>
      </c>
      <c r="AD2184" s="580">
        <f t="shared" si="206"/>
        <v>5</v>
      </c>
      <c r="AE2184" s="580">
        <f t="shared" si="207"/>
        <v>2.5</v>
      </c>
      <c r="AF2184" s="580">
        <f t="shared" si="208"/>
        <v>2.5</v>
      </c>
      <c r="AG2184" s="580">
        <f t="shared" si="209"/>
        <v>0</v>
      </c>
      <c r="AH2184" s="580">
        <f t="shared" si="210"/>
        <v>0</v>
      </c>
    </row>
    <row r="2185" spans="28:34">
      <c r="AB2185" s="580">
        <f>HLOOKUP("*"&amp;'Output annual'!$AC$2&amp;'Output annual'!$AD$2&amp;"*Zone People Number Of Occupants [](Hourly)",'Eplus results'!$1:$1048576,ROW(),FALSE)</f>
        <v>0</v>
      </c>
      <c r="AC2185" s="580">
        <f>HLOOKUP("*"&amp;'Output annual'!$AC$2&amp;'Output annual'!$AD$2&amp;"*FangerPMV(Hourly)",'Eplus results'!$1:$1048576,ROW(),FALSE)</f>
        <v>0</v>
      </c>
      <c r="AD2185" s="580">
        <f t="shared" si="206"/>
        <v>5</v>
      </c>
      <c r="AE2185" s="580">
        <f t="shared" si="207"/>
        <v>2.5</v>
      </c>
      <c r="AF2185" s="580">
        <f t="shared" si="208"/>
        <v>2.5</v>
      </c>
      <c r="AG2185" s="580">
        <f t="shared" si="209"/>
        <v>0</v>
      </c>
      <c r="AH2185" s="580">
        <f t="shared" si="210"/>
        <v>0</v>
      </c>
    </row>
    <row r="2186" spans="28:34">
      <c r="AB2186" s="580">
        <f>HLOOKUP("*"&amp;'Output annual'!$AC$2&amp;'Output annual'!$AD$2&amp;"*Zone People Number Of Occupants [](Hourly)",'Eplus results'!$1:$1048576,ROW(),FALSE)</f>
        <v>0</v>
      </c>
      <c r="AC2186" s="580">
        <f>HLOOKUP("*"&amp;'Output annual'!$AC$2&amp;'Output annual'!$AD$2&amp;"*FangerPMV(Hourly)",'Eplus results'!$1:$1048576,ROW(),FALSE)</f>
        <v>0</v>
      </c>
      <c r="AD2186" s="580">
        <f t="shared" si="206"/>
        <v>5</v>
      </c>
      <c r="AE2186" s="580">
        <f t="shared" si="207"/>
        <v>2.5</v>
      </c>
      <c r="AF2186" s="580">
        <f t="shared" si="208"/>
        <v>2.5</v>
      </c>
      <c r="AG2186" s="580">
        <f t="shared" si="209"/>
        <v>0</v>
      </c>
      <c r="AH2186" s="580">
        <f t="shared" si="210"/>
        <v>0</v>
      </c>
    </row>
    <row r="2187" spans="28:34">
      <c r="AB2187" s="580">
        <f>HLOOKUP("*"&amp;'Output annual'!$AC$2&amp;'Output annual'!$AD$2&amp;"*Zone People Number Of Occupants [](Hourly)",'Eplus results'!$1:$1048576,ROW(),FALSE)</f>
        <v>0</v>
      </c>
      <c r="AC2187" s="580">
        <f>HLOOKUP("*"&amp;'Output annual'!$AC$2&amp;'Output annual'!$AD$2&amp;"*FangerPMV(Hourly)",'Eplus results'!$1:$1048576,ROW(),FALSE)</f>
        <v>0</v>
      </c>
      <c r="AD2187" s="580">
        <f t="shared" si="206"/>
        <v>5</v>
      </c>
      <c r="AE2187" s="580">
        <f t="shared" si="207"/>
        <v>2.5</v>
      </c>
      <c r="AF2187" s="580">
        <f t="shared" si="208"/>
        <v>2.5</v>
      </c>
      <c r="AG2187" s="580">
        <f t="shared" si="209"/>
        <v>0</v>
      </c>
      <c r="AH2187" s="580">
        <f t="shared" si="210"/>
        <v>0</v>
      </c>
    </row>
    <row r="2188" spans="28:34">
      <c r="AB2188" s="580">
        <f>HLOOKUP("*"&amp;'Output annual'!$AC$2&amp;'Output annual'!$AD$2&amp;"*Zone People Number Of Occupants [](Hourly)",'Eplus results'!$1:$1048576,ROW(),FALSE)</f>
        <v>0</v>
      </c>
      <c r="AC2188" s="580">
        <f>HLOOKUP("*"&amp;'Output annual'!$AC$2&amp;'Output annual'!$AD$2&amp;"*FangerPMV(Hourly)",'Eplus results'!$1:$1048576,ROW(),FALSE)</f>
        <v>0</v>
      </c>
      <c r="AD2188" s="580">
        <f t="shared" si="206"/>
        <v>5</v>
      </c>
      <c r="AE2188" s="580">
        <f t="shared" si="207"/>
        <v>2.5</v>
      </c>
      <c r="AF2188" s="580">
        <f t="shared" si="208"/>
        <v>2.5</v>
      </c>
      <c r="AG2188" s="580">
        <f t="shared" si="209"/>
        <v>0</v>
      </c>
      <c r="AH2188" s="580">
        <f t="shared" si="210"/>
        <v>0</v>
      </c>
    </row>
    <row r="2189" spans="28:34">
      <c r="AB2189" s="580">
        <f>HLOOKUP("*"&amp;'Output annual'!$AC$2&amp;'Output annual'!$AD$2&amp;"*Zone People Number Of Occupants [](Hourly)",'Eplus results'!$1:$1048576,ROW(),FALSE)</f>
        <v>0</v>
      </c>
      <c r="AC2189" s="580">
        <f>HLOOKUP("*"&amp;'Output annual'!$AC$2&amp;'Output annual'!$AD$2&amp;"*FangerPMV(Hourly)",'Eplus results'!$1:$1048576,ROW(),FALSE)</f>
        <v>0</v>
      </c>
      <c r="AD2189" s="580">
        <f t="shared" si="206"/>
        <v>5</v>
      </c>
      <c r="AE2189" s="580">
        <f t="shared" si="207"/>
        <v>2.5</v>
      </c>
      <c r="AF2189" s="580">
        <f t="shared" si="208"/>
        <v>2.5</v>
      </c>
      <c r="AG2189" s="580">
        <f t="shared" si="209"/>
        <v>0</v>
      </c>
      <c r="AH2189" s="580">
        <f t="shared" si="210"/>
        <v>0</v>
      </c>
    </row>
    <row r="2190" spans="28:34">
      <c r="AB2190" s="580">
        <f>HLOOKUP("*"&amp;'Output annual'!$AC$2&amp;'Output annual'!$AD$2&amp;"*Zone People Number Of Occupants [](Hourly)",'Eplus results'!$1:$1048576,ROW(),FALSE)</f>
        <v>0</v>
      </c>
      <c r="AC2190" s="580">
        <f>HLOOKUP("*"&amp;'Output annual'!$AC$2&amp;'Output annual'!$AD$2&amp;"*FangerPMV(Hourly)",'Eplus results'!$1:$1048576,ROW(),FALSE)</f>
        <v>0</v>
      </c>
      <c r="AD2190" s="580">
        <f t="shared" si="206"/>
        <v>5</v>
      </c>
      <c r="AE2190" s="580">
        <f t="shared" si="207"/>
        <v>2.5</v>
      </c>
      <c r="AF2190" s="580">
        <f t="shared" si="208"/>
        <v>2.5</v>
      </c>
      <c r="AG2190" s="580">
        <f t="shared" si="209"/>
        <v>0</v>
      </c>
      <c r="AH2190" s="580">
        <f t="shared" si="210"/>
        <v>0</v>
      </c>
    </row>
    <row r="2191" spans="28:34">
      <c r="AB2191" s="580">
        <f>HLOOKUP("*"&amp;'Output annual'!$AC$2&amp;'Output annual'!$AD$2&amp;"*Zone People Number Of Occupants [](Hourly)",'Eplus results'!$1:$1048576,ROW(),FALSE)</f>
        <v>0</v>
      </c>
      <c r="AC2191" s="580">
        <f>HLOOKUP("*"&amp;'Output annual'!$AC$2&amp;'Output annual'!$AD$2&amp;"*FangerPMV(Hourly)",'Eplus results'!$1:$1048576,ROW(),FALSE)</f>
        <v>0</v>
      </c>
      <c r="AD2191" s="580">
        <f t="shared" si="206"/>
        <v>5</v>
      </c>
      <c r="AE2191" s="580">
        <f t="shared" si="207"/>
        <v>2.5</v>
      </c>
      <c r="AF2191" s="580">
        <f t="shared" si="208"/>
        <v>2.5</v>
      </c>
      <c r="AG2191" s="580">
        <f t="shared" si="209"/>
        <v>0</v>
      </c>
      <c r="AH2191" s="580">
        <f t="shared" si="210"/>
        <v>0</v>
      </c>
    </row>
    <row r="2192" spans="28:34">
      <c r="AB2192" s="580">
        <f>HLOOKUP("*"&amp;'Output annual'!$AC$2&amp;'Output annual'!$AD$2&amp;"*Zone People Number Of Occupants [](Hourly)",'Eplus results'!$1:$1048576,ROW(),FALSE)</f>
        <v>0</v>
      </c>
      <c r="AC2192" s="580">
        <f>HLOOKUP("*"&amp;'Output annual'!$AC$2&amp;'Output annual'!$AD$2&amp;"*FangerPMV(Hourly)",'Eplus results'!$1:$1048576,ROW(),FALSE)</f>
        <v>0</v>
      </c>
      <c r="AD2192" s="580">
        <f t="shared" si="206"/>
        <v>5</v>
      </c>
      <c r="AE2192" s="580">
        <f t="shared" si="207"/>
        <v>2.5</v>
      </c>
      <c r="AF2192" s="580">
        <f t="shared" si="208"/>
        <v>2.5</v>
      </c>
      <c r="AG2192" s="580">
        <f t="shared" si="209"/>
        <v>0</v>
      </c>
      <c r="AH2192" s="580">
        <f t="shared" si="210"/>
        <v>0</v>
      </c>
    </row>
    <row r="2193" spans="28:34">
      <c r="AB2193" s="580">
        <f>HLOOKUP("*"&amp;'Output annual'!$AC$2&amp;'Output annual'!$AD$2&amp;"*Zone People Number Of Occupants [](Hourly)",'Eplus results'!$1:$1048576,ROW(),FALSE)</f>
        <v>0</v>
      </c>
      <c r="AC2193" s="580">
        <f>HLOOKUP("*"&amp;'Output annual'!$AC$2&amp;'Output annual'!$AD$2&amp;"*FangerPMV(Hourly)",'Eplus results'!$1:$1048576,ROW(),FALSE)</f>
        <v>0</v>
      </c>
      <c r="AD2193" s="580">
        <f t="shared" si="206"/>
        <v>5</v>
      </c>
      <c r="AE2193" s="580">
        <f t="shared" si="207"/>
        <v>2.5</v>
      </c>
      <c r="AF2193" s="580">
        <f t="shared" si="208"/>
        <v>2.5</v>
      </c>
      <c r="AG2193" s="580">
        <f t="shared" si="209"/>
        <v>0</v>
      </c>
      <c r="AH2193" s="580">
        <f t="shared" si="210"/>
        <v>0</v>
      </c>
    </row>
    <row r="2194" spans="28:34">
      <c r="AB2194" s="580">
        <f>HLOOKUP("*"&amp;'Output annual'!$AC$2&amp;'Output annual'!$AD$2&amp;"*Zone People Number Of Occupants [](Hourly)",'Eplus results'!$1:$1048576,ROW(),FALSE)</f>
        <v>0</v>
      </c>
      <c r="AC2194" s="580">
        <f>HLOOKUP("*"&amp;'Output annual'!$AC$2&amp;'Output annual'!$AD$2&amp;"*FangerPMV(Hourly)",'Eplus results'!$1:$1048576,ROW(),FALSE)</f>
        <v>0</v>
      </c>
      <c r="AD2194" s="580">
        <f t="shared" si="206"/>
        <v>5</v>
      </c>
      <c r="AE2194" s="580">
        <f t="shared" si="207"/>
        <v>2.5</v>
      </c>
      <c r="AF2194" s="580">
        <f t="shared" si="208"/>
        <v>2.5</v>
      </c>
      <c r="AG2194" s="580">
        <f t="shared" si="209"/>
        <v>0</v>
      </c>
      <c r="AH2194" s="580">
        <f t="shared" si="210"/>
        <v>0</v>
      </c>
    </row>
    <row r="2195" spans="28:34">
      <c r="AB2195" s="580">
        <f>HLOOKUP("*"&amp;'Output annual'!$AC$2&amp;'Output annual'!$AD$2&amp;"*Zone People Number Of Occupants [](Hourly)",'Eplus results'!$1:$1048576,ROW(),FALSE)</f>
        <v>0</v>
      </c>
      <c r="AC2195" s="580">
        <f>HLOOKUP("*"&amp;'Output annual'!$AC$2&amp;'Output annual'!$AD$2&amp;"*FangerPMV(Hourly)",'Eplus results'!$1:$1048576,ROW(),FALSE)</f>
        <v>0</v>
      </c>
      <c r="AD2195" s="580">
        <f t="shared" si="206"/>
        <v>5</v>
      </c>
      <c r="AE2195" s="580">
        <f t="shared" si="207"/>
        <v>2.5</v>
      </c>
      <c r="AF2195" s="580">
        <f t="shared" si="208"/>
        <v>2.5</v>
      </c>
      <c r="AG2195" s="580">
        <f t="shared" si="209"/>
        <v>0</v>
      </c>
      <c r="AH2195" s="580">
        <f t="shared" si="210"/>
        <v>0</v>
      </c>
    </row>
    <row r="2196" spans="28:34">
      <c r="AB2196" s="580">
        <f>HLOOKUP("*"&amp;'Output annual'!$AC$2&amp;'Output annual'!$AD$2&amp;"*Zone People Number Of Occupants [](Hourly)",'Eplus results'!$1:$1048576,ROW(),FALSE)</f>
        <v>0</v>
      </c>
      <c r="AC2196" s="580">
        <f>HLOOKUP("*"&amp;'Output annual'!$AC$2&amp;'Output annual'!$AD$2&amp;"*FangerPMV(Hourly)",'Eplus results'!$1:$1048576,ROW(),FALSE)</f>
        <v>0</v>
      </c>
      <c r="AD2196" s="580">
        <f t="shared" si="206"/>
        <v>5</v>
      </c>
      <c r="AE2196" s="580">
        <f t="shared" si="207"/>
        <v>2.5</v>
      </c>
      <c r="AF2196" s="580">
        <f t="shared" si="208"/>
        <v>2.5</v>
      </c>
      <c r="AG2196" s="580">
        <f t="shared" si="209"/>
        <v>0</v>
      </c>
      <c r="AH2196" s="580">
        <f t="shared" si="210"/>
        <v>0</v>
      </c>
    </row>
    <row r="2197" spans="28:34">
      <c r="AB2197" s="580">
        <f>HLOOKUP("*"&amp;'Output annual'!$AC$2&amp;'Output annual'!$AD$2&amp;"*Zone People Number Of Occupants [](Hourly)",'Eplus results'!$1:$1048576,ROW(),FALSE)</f>
        <v>0</v>
      </c>
      <c r="AC2197" s="580">
        <f>HLOOKUP("*"&amp;'Output annual'!$AC$2&amp;'Output annual'!$AD$2&amp;"*FangerPMV(Hourly)",'Eplus results'!$1:$1048576,ROW(),FALSE)</f>
        <v>0</v>
      </c>
      <c r="AD2197" s="580">
        <f t="shared" si="206"/>
        <v>5</v>
      </c>
      <c r="AE2197" s="580">
        <f t="shared" si="207"/>
        <v>2.5</v>
      </c>
      <c r="AF2197" s="580">
        <f t="shared" si="208"/>
        <v>2.5</v>
      </c>
      <c r="AG2197" s="580">
        <f t="shared" si="209"/>
        <v>0</v>
      </c>
      <c r="AH2197" s="580">
        <f t="shared" si="210"/>
        <v>0</v>
      </c>
    </row>
    <row r="2198" spans="28:34">
      <c r="AB2198" s="580">
        <f>HLOOKUP("*"&amp;'Output annual'!$AC$2&amp;'Output annual'!$AD$2&amp;"*Zone People Number Of Occupants [](Hourly)",'Eplus results'!$1:$1048576,ROW(),FALSE)</f>
        <v>0</v>
      </c>
      <c r="AC2198" s="580">
        <f>HLOOKUP("*"&amp;'Output annual'!$AC$2&amp;'Output annual'!$AD$2&amp;"*FangerPMV(Hourly)",'Eplus results'!$1:$1048576,ROW(),FALSE)</f>
        <v>0</v>
      </c>
      <c r="AD2198" s="580">
        <f t="shared" si="206"/>
        <v>5</v>
      </c>
      <c r="AE2198" s="580">
        <f t="shared" si="207"/>
        <v>2.5</v>
      </c>
      <c r="AF2198" s="580">
        <f t="shared" si="208"/>
        <v>2.5</v>
      </c>
      <c r="AG2198" s="580">
        <f t="shared" si="209"/>
        <v>0</v>
      </c>
      <c r="AH2198" s="580">
        <f t="shared" si="210"/>
        <v>0</v>
      </c>
    </row>
    <row r="2199" spans="28:34">
      <c r="AB2199" s="580">
        <f>HLOOKUP("*"&amp;'Output annual'!$AC$2&amp;'Output annual'!$AD$2&amp;"*Zone People Number Of Occupants [](Hourly)",'Eplus results'!$1:$1048576,ROW(),FALSE)</f>
        <v>0</v>
      </c>
      <c r="AC2199" s="580">
        <f>HLOOKUP("*"&amp;'Output annual'!$AC$2&amp;'Output annual'!$AD$2&amp;"*FangerPMV(Hourly)",'Eplus results'!$1:$1048576,ROW(),FALSE)</f>
        <v>0</v>
      </c>
      <c r="AD2199" s="580">
        <f t="shared" si="206"/>
        <v>5</v>
      </c>
      <c r="AE2199" s="580">
        <f t="shared" si="207"/>
        <v>2.5</v>
      </c>
      <c r="AF2199" s="580">
        <f t="shared" si="208"/>
        <v>2.5</v>
      </c>
      <c r="AG2199" s="580">
        <f t="shared" si="209"/>
        <v>0</v>
      </c>
      <c r="AH2199" s="580">
        <f t="shared" si="210"/>
        <v>0</v>
      </c>
    </row>
    <row r="2200" spans="28:34">
      <c r="AB2200" s="580">
        <f>HLOOKUP("*"&amp;'Output annual'!$AC$2&amp;'Output annual'!$AD$2&amp;"*Zone People Number Of Occupants [](Hourly)",'Eplus results'!$1:$1048576,ROW(),FALSE)</f>
        <v>0</v>
      </c>
      <c r="AC2200" s="580">
        <f>HLOOKUP("*"&amp;'Output annual'!$AC$2&amp;'Output annual'!$AD$2&amp;"*FangerPMV(Hourly)",'Eplus results'!$1:$1048576,ROW(),FALSE)</f>
        <v>0</v>
      </c>
      <c r="AD2200" s="580">
        <f t="shared" si="206"/>
        <v>5</v>
      </c>
      <c r="AE2200" s="580">
        <f t="shared" si="207"/>
        <v>2.5</v>
      </c>
      <c r="AF2200" s="580">
        <f t="shared" si="208"/>
        <v>2.5</v>
      </c>
      <c r="AG2200" s="580">
        <f t="shared" si="209"/>
        <v>0</v>
      </c>
      <c r="AH2200" s="580">
        <f t="shared" si="210"/>
        <v>0</v>
      </c>
    </row>
    <row r="2201" spans="28:34">
      <c r="AB2201" s="580">
        <f>HLOOKUP("*"&amp;'Output annual'!$AC$2&amp;'Output annual'!$AD$2&amp;"*Zone People Number Of Occupants [](Hourly)",'Eplus results'!$1:$1048576,ROW(),FALSE)</f>
        <v>0</v>
      </c>
      <c r="AC2201" s="580">
        <f>HLOOKUP("*"&amp;'Output annual'!$AC$2&amp;'Output annual'!$AD$2&amp;"*FangerPMV(Hourly)",'Eplus results'!$1:$1048576,ROW(),FALSE)</f>
        <v>0</v>
      </c>
      <c r="AD2201" s="580">
        <f t="shared" si="206"/>
        <v>5</v>
      </c>
      <c r="AE2201" s="580">
        <f t="shared" si="207"/>
        <v>2.5</v>
      </c>
      <c r="AF2201" s="580">
        <f t="shared" si="208"/>
        <v>2.5</v>
      </c>
      <c r="AG2201" s="580">
        <f t="shared" si="209"/>
        <v>0</v>
      </c>
      <c r="AH2201" s="580">
        <f t="shared" si="210"/>
        <v>0</v>
      </c>
    </row>
    <row r="2202" spans="28:34">
      <c r="AB2202" s="580">
        <f>HLOOKUP("*"&amp;'Output annual'!$AC$2&amp;'Output annual'!$AD$2&amp;"*Zone People Number Of Occupants [](Hourly)",'Eplus results'!$1:$1048576,ROW(),FALSE)</f>
        <v>0</v>
      </c>
      <c r="AC2202" s="580">
        <f>HLOOKUP("*"&amp;'Output annual'!$AC$2&amp;'Output annual'!$AD$2&amp;"*FangerPMV(Hourly)",'Eplus results'!$1:$1048576,ROW(),FALSE)</f>
        <v>0</v>
      </c>
      <c r="AD2202" s="580">
        <f t="shared" si="206"/>
        <v>5</v>
      </c>
      <c r="AE2202" s="580">
        <f t="shared" si="207"/>
        <v>2.5</v>
      </c>
      <c r="AF2202" s="580">
        <f t="shared" si="208"/>
        <v>2.5</v>
      </c>
      <c r="AG2202" s="580">
        <f t="shared" si="209"/>
        <v>0</v>
      </c>
      <c r="AH2202" s="580">
        <f t="shared" si="210"/>
        <v>0</v>
      </c>
    </row>
    <row r="2203" spans="28:34">
      <c r="AB2203" s="580">
        <f>HLOOKUP("*"&amp;'Output annual'!$AC$2&amp;'Output annual'!$AD$2&amp;"*Zone People Number Of Occupants [](Hourly)",'Eplus results'!$1:$1048576,ROW(),FALSE)</f>
        <v>0</v>
      </c>
      <c r="AC2203" s="580">
        <f>HLOOKUP("*"&amp;'Output annual'!$AC$2&amp;'Output annual'!$AD$2&amp;"*FangerPMV(Hourly)",'Eplus results'!$1:$1048576,ROW(),FALSE)</f>
        <v>0</v>
      </c>
      <c r="AD2203" s="580">
        <f t="shared" si="206"/>
        <v>5</v>
      </c>
      <c r="AE2203" s="580">
        <f t="shared" si="207"/>
        <v>2.5</v>
      </c>
      <c r="AF2203" s="580">
        <f t="shared" si="208"/>
        <v>2.5</v>
      </c>
      <c r="AG2203" s="580">
        <f t="shared" si="209"/>
        <v>0</v>
      </c>
      <c r="AH2203" s="580">
        <f t="shared" si="210"/>
        <v>0</v>
      </c>
    </row>
    <row r="2204" spans="28:34">
      <c r="AB2204" s="580">
        <f>HLOOKUP("*"&amp;'Output annual'!$AC$2&amp;'Output annual'!$AD$2&amp;"*Zone People Number Of Occupants [](Hourly)",'Eplus results'!$1:$1048576,ROW(),FALSE)</f>
        <v>0</v>
      </c>
      <c r="AC2204" s="580">
        <f>HLOOKUP("*"&amp;'Output annual'!$AC$2&amp;'Output annual'!$AD$2&amp;"*FangerPMV(Hourly)",'Eplus results'!$1:$1048576,ROW(),FALSE)</f>
        <v>0</v>
      </c>
      <c r="AD2204" s="580">
        <f t="shared" si="206"/>
        <v>5</v>
      </c>
      <c r="AE2204" s="580">
        <f t="shared" si="207"/>
        <v>2.5</v>
      </c>
      <c r="AF2204" s="580">
        <f t="shared" si="208"/>
        <v>2.5</v>
      </c>
      <c r="AG2204" s="580">
        <f t="shared" si="209"/>
        <v>0</v>
      </c>
      <c r="AH2204" s="580">
        <f t="shared" si="210"/>
        <v>0</v>
      </c>
    </row>
    <row r="2205" spans="28:34">
      <c r="AB2205" s="580">
        <f>HLOOKUP("*"&amp;'Output annual'!$AC$2&amp;'Output annual'!$AD$2&amp;"*Zone People Number Of Occupants [](Hourly)",'Eplus results'!$1:$1048576,ROW(),FALSE)</f>
        <v>0</v>
      </c>
      <c r="AC2205" s="580">
        <f>HLOOKUP("*"&amp;'Output annual'!$AC$2&amp;'Output annual'!$AD$2&amp;"*FangerPMV(Hourly)",'Eplus results'!$1:$1048576,ROW(),FALSE)</f>
        <v>0</v>
      </c>
      <c r="AD2205" s="580">
        <f t="shared" si="206"/>
        <v>5</v>
      </c>
      <c r="AE2205" s="580">
        <f t="shared" si="207"/>
        <v>2.5</v>
      </c>
      <c r="AF2205" s="580">
        <f t="shared" si="208"/>
        <v>2.5</v>
      </c>
      <c r="AG2205" s="580">
        <f t="shared" si="209"/>
        <v>0</v>
      </c>
      <c r="AH2205" s="580">
        <f t="shared" si="210"/>
        <v>0</v>
      </c>
    </row>
    <row r="2206" spans="28:34">
      <c r="AB2206" s="580">
        <f>HLOOKUP("*"&amp;'Output annual'!$AC$2&amp;'Output annual'!$AD$2&amp;"*Zone People Number Of Occupants [](Hourly)",'Eplus results'!$1:$1048576,ROW(),FALSE)</f>
        <v>0</v>
      </c>
      <c r="AC2206" s="580">
        <f>HLOOKUP("*"&amp;'Output annual'!$AC$2&amp;'Output annual'!$AD$2&amp;"*FangerPMV(Hourly)",'Eplus results'!$1:$1048576,ROW(),FALSE)</f>
        <v>0</v>
      </c>
      <c r="AD2206" s="580">
        <f t="shared" si="206"/>
        <v>5</v>
      </c>
      <c r="AE2206" s="580">
        <f t="shared" si="207"/>
        <v>2.5</v>
      </c>
      <c r="AF2206" s="580">
        <f t="shared" si="208"/>
        <v>2.5</v>
      </c>
      <c r="AG2206" s="580">
        <f t="shared" si="209"/>
        <v>0</v>
      </c>
      <c r="AH2206" s="580">
        <f t="shared" si="210"/>
        <v>0</v>
      </c>
    </row>
    <row r="2207" spans="28:34">
      <c r="AB2207" s="580">
        <f>HLOOKUP("*"&amp;'Output annual'!$AC$2&amp;'Output annual'!$AD$2&amp;"*Zone People Number Of Occupants [](Hourly)",'Eplus results'!$1:$1048576,ROW(),FALSE)</f>
        <v>0</v>
      </c>
      <c r="AC2207" s="580">
        <f>HLOOKUP("*"&amp;'Output annual'!$AC$2&amp;'Output annual'!$AD$2&amp;"*FangerPMV(Hourly)",'Eplus results'!$1:$1048576,ROW(),FALSE)</f>
        <v>0</v>
      </c>
      <c r="AD2207" s="580">
        <f t="shared" si="206"/>
        <v>5</v>
      </c>
      <c r="AE2207" s="580">
        <f t="shared" si="207"/>
        <v>2.5</v>
      </c>
      <c r="AF2207" s="580">
        <f t="shared" si="208"/>
        <v>2.5</v>
      </c>
      <c r="AG2207" s="580">
        <f t="shared" si="209"/>
        <v>0</v>
      </c>
      <c r="AH2207" s="580">
        <f t="shared" si="210"/>
        <v>0</v>
      </c>
    </row>
    <row r="2208" spans="28:34">
      <c r="AB2208" s="580">
        <f>HLOOKUP("*"&amp;'Output annual'!$AC$2&amp;'Output annual'!$AD$2&amp;"*Zone People Number Of Occupants [](Hourly)",'Eplus results'!$1:$1048576,ROW(),FALSE)</f>
        <v>0</v>
      </c>
      <c r="AC2208" s="580">
        <f>HLOOKUP("*"&amp;'Output annual'!$AC$2&amp;'Output annual'!$AD$2&amp;"*FangerPMV(Hourly)",'Eplus results'!$1:$1048576,ROW(),FALSE)</f>
        <v>0</v>
      </c>
      <c r="AD2208" s="580">
        <f t="shared" si="206"/>
        <v>5</v>
      </c>
      <c r="AE2208" s="580">
        <f t="shared" si="207"/>
        <v>2.5</v>
      </c>
      <c r="AF2208" s="580">
        <f t="shared" si="208"/>
        <v>2.5</v>
      </c>
      <c r="AG2208" s="580">
        <f t="shared" si="209"/>
        <v>0</v>
      </c>
      <c r="AH2208" s="580">
        <f t="shared" si="210"/>
        <v>0</v>
      </c>
    </row>
    <row r="2209" spans="28:34">
      <c r="AB2209" s="580">
        <f>HLOOKUP("*"&amp;'Output annual'!$AC$2&amp;'Output annual'!$AD$2&amp;"*Zone People Number Of Occupants [](Hourly)",'Eplus results'!$1:$1048576,ROW(),FALSE)</f>
        <v>0</v>
      </c>
      <c r="AC2209" s="580">
        <f>HLOOKUP("*"&amp;'Output annual'!$AC$2&amp;'Output annual'!$AD$2&amp;"*FangerPMV(Hourly)",'Eplus results'!$1:$1048576,ROW(),FALSE)</f>
        <v>0</v>
      </c>
      <c r="AD2209" s="580">
        <f t="shared" si="206"/>
        <v>5</v>
      </c>
      <c r="AE2209" s="580">
        <f t="shared" si="207"/>
        <v>2.5</v>
      </c>
      <c r="AF2209" s="580">
        <f t="shared" si="208"/>
        <v>2.5</v>
      </c>
      <c r="AG2209" s="580">
        <f t="shared" si="209"/>
        <v>0</v>
      </c>
      <c r="AH2209" s="580">
        <f t="shared" si="210"/>
        <v>0</v>
      </c>
    </row>
    <row r="2210" spans="28:34">
      <c r="AB2210" s="580">
        <f>HLOOKUP("*"&amp;'Output annual'!$AC$2&amp;'Output annual'!$AD$2&amp;"*Zone People Number Of Occupants [](Hourly)",'Eplus results'!$1:$1048576,ROW(),FALSE)</f>
        <v>0</v>
      </c>
      <c r="AC2210" s="580">
        <f>HLOOKUP("*"&amp;'Output annual'!$AC$2&amp;'Output annual'!$AD$2&amp;"*FangerPMV(Hourly)",'Eplus results'!$1:$1048576,ROW(),FALSE)</f>
        <v>0</v>
      </c>
      <c r="AD2210" s="580">
        <f t="shared" si="206"/>
        <v>5</v>
      </c>
      <c r="AE2210" s="580">
        <f t="shared" si="207"/>
        <v>2.5</v>
      </c>
      <c r="AF2210" s="580">
        <f t="shared" si="208"/>
        <v>2.5</v>
      </c>
      <c r="AG2210" s="580">
        <f t="shared" si="209"/>
        <v>0</v>
      </c>
      <c r="AH2210" s="580">
        <f t="shared" si="210"/>
        <v>0</v>
      </c>
    </row>
    <row r="2211" spans="28:34">
      <c r="AB2211" s="580">
        <f>HLOOKUP("*"&amp;'Output annual'!$AC$2&amp;'Output annual'!$AD$2&amp;"*Zone People Number Of Occupants [](Hourly)",'Eplus results'!$1:$1048576,ROW(),FALSE)</f>
        <v>0</v>
      </c>
      <c r="AC2211" s="580">
        <f>HLOOKUP("*"&amp;'Output annual'!$AC$2&amp;'Output annual'!$AD$2&amp;"*FangerPMV(Hourly)",'Eplus results'!$1:$1048576,ROW(),FALSE)</f>
        <v>0</v>
      </c>
      <c r="AD2211" s="580">
        <f t="shared" si="206"/>
        <v>5</v>
      </c>
      <c r="AE2211" s="580">
        <f t="shared" si="207"/>
        <v>2.5</v>
      </c>
      <c r="AF2211" s="580">
        <f t="shared" si="208"/>
        <v>2.5</v>
      </c>
      <c r="AG2211" s="580">
        <f t="shared" si="209"/>
        <v>0</v>
      </c>
      <c r="AH2211" s="580">
        <f t="shared" si="210"/>
        <v>0</v>
      </c>
    </row>
    <row r="2212" spans="28:34">
      <c r="AB2212" s="580">
        <f>HLOOKUP("*"&amp;'Output annual'!$AC$2&amp;'Output annual'!$AD$2&amp;"*Zone People Number Of Occupants [](Hourly)",'Eplus results'!$1:$1048576,ROW(),FALSE)</f>
        <v>0</v>
      </c>
      <c r="AC2212" s="580">
        <f>HLOOKUP("*"&amp;'Output annual'!$AC$2&amp;'Output annual'!$AD$2&amp;"*FangerPMV(Hourly)",'Eplus results'!$1:$1048576,ROW(),FALSE)</f>
        <v>0</v>
      </c>
      <c r="AD2212" s="580">
        <f t="shared" si="206"/>
        <v>5</v>
      </c>
      <c r="AE2212" s="580">
        <f t="shared" si="207"/>
        <v>2.5</v>
      </c>
      <c r="AF2212" s="580">
        <f t="shared" si="208"/>
        <v>2.5</v>
      </c>
      <c r="AG2212" s="580">
        <f t="shared" si="209"/>
        <v>0</v>
      </c>
      <c r="AH2212" s="580">
        <f t="shared" si="210"/>
        <v>0</v>
      </c>
    </row>
    <row r="2213" spans="28:34">
      <c r="AB2213" s="580">
        <f>HLOOKUP("*"&amp;'Output annual'!$AC$2&amp;'Output annual'!$AD$2&amp;"*Zone People Number Of Occupants [](Hourly)",'Eplus results'!$1:$1048576,ROW(),FALSE)</f>
        <v>0</v>
      </c>
      <c r="AC2213" s="580">
        <f>HLOOKUP("*"&amp;'Output annual'!$AC$2&amp;'Output annual'!$AD$2&amp;"*FangerPMV(Hourly)",'Eplus results'!$1:$1048576,ROW(),FALSE)</f>
        <v>0</v>
      </c>
      <c r="AD2213" s="580">
        <f t="shared" si="206"/>
        <v>5</v>
      </c>
      <c r="AE2213" s="580">
        <f t="shared" si="207"/>
        <v>2.5</v>
      </c>
      <c r="AF2213" s="580">
        <f t="shared" si="208"/>
        <v>2.5</v>
      </c>
      <c r="AG2213" s="580">
        <f t="shared" si="209"/>
        <v>0</v>
      </c>
      <c r="AH2213" s="580">
        <f t="shared" si="210"/>
        <v>0</v>
      </c>
    </row>
    <row r="2214" spans="28:34">
      <c r="AB2214" s="580">
        <f>HLOOKUP("*"&amp;'Output annual'!$AC$2&amp;'Output annual'!$AD$2&amp;"*Zone People Number Of Occupants [](Hourly)",'Eplus results'!$1:$1048576,ROW(),FALSE)</f>
        <v>0</v>
      </c>
      <c r="AC2214" s="580">
        <f>HLOOKUP("*"&amp;'Output annual'!$AC$2&amp;'Output annual'!$AD$2&amp;"*FangerPMV(Hourly)",'Eplus results'!$1:$1048576,ROW(),FALSE)</f>
        <v>0</v>
      </c>
      <c r="AD2214" s="580">
        <f t="shared" si="206"/>
        <v>5</v>
      </c>
      <c r="AE2214" s="580">
        <f t="shared" si="207"/>
        <v>2.5</v>
      </c>
      <c r="AF2214" s="580">
        <f t="shared" si="208"/>
        <v>2.5</v>
      </c>
      <c r="AG2214" s="580">
        <f t="shared" si="209"/>
        <v>0</v>
      </c>
      <c r="AH2214" s="580">
        <f t="shared" si="210"/>
        <v>0</v>
      </c>
    </row>
    <row r="2215" spans="28:34">
      <c r="AB2215" s="580">
        <f>HLOOKUP("*"&amp;'Output annual'!$AC$2&amp;'Output annual'!$AD$2&amp;"*Zone People Number Of Occupants [](Hourly)",'Eplus results'!$1:$1048576,ROW(),FALSE)</f>
        <v>0</v>
      </c>
      <c r="AC2215" s="580">
        <f>HLOOKUP("*"&amp;'Output annual'!$AC$2&amp;'Output annual'!$AD$2&amp;"*FangerPMV(Hourly)",'Eplus results'!$1:$1048576,ROW(),FALSE)</f>
        <v>0</v>
      </c>
      <c r="AD2215" s="580">
        <f t="shared" si="206"/>
        <v>5</v>
      </c>
      <c r="AE2215" s="580">
        <f t="shared" si="207"/>
        <v>2.5</v>
      </c>
      <c r="AF2215" s="580">
        <f t="shared" si="208"/>
        <v>2.5</v>
      </c>
      <c r="AG2215" s="580">
        <f t="shared" si="209"/>
        <v>0</v>
      </c>
      <c r="AH2215" s="580">
        <f t="shared" si="210"/>
        <v>0</v>
      </c>
    </row>
    <row r="2216" spans="28:34">
      <c r="AB2216" s="580">
        <f>HLOOKUP("*"&amp;'Output annual'!$AC$2&amp;'Output annual'!$AD$2&amp;"*Zone People Number Of Occupants [](Hourly)",'Eplus results'!$1:$1048576,ROW(),FALSE)</f>
        <v>0</v>
      </c>
      <c r="AC2216" s="580">
        <f>HLOOKUP("*"&amp;'Output annual'!$AC$2&amp;'Output annual'!$AD$2&amp;"*FangerPMV(Hourly)",'Eplus results'!$1:$1048576,ROW(),FALSE)</f>
        <v>0</v>
      </c>
      <c r="AD2216" s="580">
        <f t="shared" si="206"/>
        <v>5</v>
      </c>
      <c r="AE2216" s="580">
        <f t="shared" si="207"/>
        <v>2.5</v>
      </c>
      <c r="AF2216" s="580">
        <f t="shared" si="208"/>
        <v>2.5</v>
      </c>
      <c r="AG2216" s="580">
        <f t="shared" si="209"/>
        <v>0</v>
      </c>
      <c r="AH2216" s="580">
        <f t="shared" si="210"/>
        <v>0</v>
      </c>
    </row>
    <row r="2217" spans="28:34">
      <c r="AB2217" s="580">
        <f>HLOOKUP("*"&amp;'Output annual'!$AC$2&amp;'Output annual'!$AD$2&amp;"*Zone People Number Of Occupants [](Hourly)",'Eplus results'!$1:$1048576,ROW(),FALSE)</f>
        <v>0</v>
      </c>
      <c r="AC2217" s="580">
        <f>HLOOKUP("*"&amp;'Output annual'!$AC$2&amp;'Output annual'!$AD$2&amp;"*FangerPMV(Hourly)",'Eplus results'!$1:$1048576,ROW(),FALSE)</f>
        <v>0</v>
      </c>
      <c r="AD2217" s="580">
        <f t="shared" si="206"/>
        <v>5</v>
      </c>
      <c r="AE2217" s="580">
        <f t="shared" si="207"/>
        <v>2.5</v>
      </c>
      <c r="AF2217" s="580">
        <f t="shared" si="208"/>
        <v>2.5</v>
      </c>
      <c r="AG2217" s="580">
        <f t="shared" si="209"/>
        <v>0</v>
      </c>
      <c r="AH2217" s="580">
        <f t="shared" si="210"/>
        <v>0</v>
      </c>
    </row>
    <row r="2218" spans="28:34">
      <c r="AB2218" s="580">
        <f>HLOOKUP("*"&amp;'Output annual'!$AC$2&amp;'Output annual'!$AD$2&amp;"*Zone People Number Of Occupants [](Hourly)",'Eplus results'!$1:$1048576,ROW(),FALSE)</f>
        <v>0</v>
      </c>
      <c r="AC2218" s="580">
        <f>HLOOKUP("*"&amp;'Output annual'!$AC$2&amp;'Output annual'!$AD$2&amp;"*FangerPMV(Hourly)",'Eplus results'!$1:$1048576,ROW(),FALSE)</f>
        <v>0</v>
      </c>
      <c r="AD2218" s="580">
        <f t="shared" si="206"/>
        <v>5</v>
      </c>
      <c r="AE2218" s="580">
        <f t="shared" si="207"/>
        <v>2.5</v>
      </c>
      <c r="AF2218" s="580">
        <f t="shared" si="208"/>
        <v>2.5</v>
      </c>
      <c r="AG2218" s="580">
        <f t="shared" si="209"/>
        <v>0</v>
      </c>
      <c r="AH2218" s="580">
        <f t="shared" si="210"/>
        <v>0</v>
      </c>
    </row>
    <row r="2219" spans="28:34">
      <c r="AB2219" s="580">
        <f>HLOOKUP("*"&amp;'Output annual'!$AC$2&amp;'Output annual'!$AD$2&amp;"*Zone People Number Of Occupants [](Hourly)",'Eplus results'!$1:$1048576,ROW(),FALSE)</f>
        <v>0</v>
      </c>
      <c r="AC2219" s="580">
        <f>HLOOKUP("*"&amp;'Output annual'!$AC$2&amp;'Output annual'!$AD$2&amp;"*FangerPMV(Hourly)",'Eplus results'!$1:$1048576,ROW(),FALSE)</f>
        <v>0</v>
      </c>
      <c r="AD2219" s="580">
        <f t="shared" si="206"/>
        <v>5</v>
      </c>
      <c r="AE2219" s="580">
        <f t="shared" si="207"/>
        <v>2.5</v>
      </c>
      <c r="AF2219" s="580">
        <f t="shared" si="208"/>
        <v>2.5</v>
      </c>
      <c r="AG2219" s="580">
        <f t="shared" si="209"/>
        <v>0</v>
      </c>
      <c r="AH2219" s="580">
        <f t="shared" si="210"/>
        <v>0</v>
      </c>
    </row>
    <row r="2220" spans="28:34">
      <c r="AB2220" s="580">
        <f>HLOOKUP("*"&amp;'Output annual'!$AC$2&amp;'Output annual'!$AD$2&amp;"*Zone People Number Of Occupants [](Hourly)",'Eplus results'!$1:$1048576,ROW(),FALSE)</f>
        <v>0</v>
      </c>
      <c r="AC2220" s="580">
        <f>HLOOKUP("*"&amp;'Output annual'!$AC$2&amp;'Output annual'!$AD$2&amp;"*FangerPMV(Hourly)",'Eplus results'!$1:$1048576,ROW(),FALSE)</f>
        <v>0</v>
      </c>
      <c r="AD2220" s="580">
        <f t="shared" si="206"/>
        <v>5</v>
      </c>
      <c r="AE2220" s="580">
        <f t="shared" si="207"/>
        <v>2.5</v>
      </c>
      <c r="AF2220" s="580">
        <f t="shared" si="208"/>
        <v>2.5</v>
      </c>
      <c r="AG2220" s="580">
        <f t="shared" si="209"/>
        <v>0</v>
      </c>
      <c r="AH2220" s="580">
        <f t="shared" si="210"/>
        <v>0</v>
      </c>
    </row>
    <row r="2221" spans="28:34">
      <c r="AB2221" s="580">
        <f>HLOOKUP("*"&amp;'Output annual'!$AC$2&amp;'Output annual'!$AD$2&amp;"*Zone People Number Of Occupants [](Hourly)",'Eplus results'!$1:$1048576,ROW(),FALSE)</f>
        <v>0</v>
      </c>
      <c r="AC2221" s="580">
        <f>HLOOKUP("*"&amp;'Output annual'!$AC$2&amp;'Output annual'!$AD$2&amp;"*FangerPMV(Hourly)",'Eplus results'!$1:$1048576,ROW(),FALSE)</f>
        <v>0</v>
      </c>
      <c r="AD2221" s="580">
        <f t="shared" si="206"/>
        <v>5</v>
      </c>
      <c r="AE2221" s="580">
        <f t="shared" si="207"/>
        <v>2.5</v>
      </c>
      <c r="AF2221" s="580">
        <f t="shared" si="208"/>
        <v>2.5</v>
      </c>
      <c r="AG2221" s="580">
        <f t="shared" si="209"/>
        <v>0</v>
      </c>
      <c r="AH2221" s="580">
        <f t="shared" si="210"/>
        <v>0</v>
      </c>
    </row>
    <row r="2222" spans="28:34">
      <c r="AB2222" s="580">
        <f>HLOOKUP("*"&amp;'Output annual'!$AC$2&amp;'Output annual'!$AD$2&amp;"*Zone People Number Of Occupants [](Hourly)",'Eplus results'!$1:$1048576,ROW(),FALSE)</f>
        <v>0</v>
      </c>
      <c r="AC2222" s="580">
        <f>HLOOKUP("*"&amp;'Output annual'!$AC$2&amp;'Output annual'!$AD$2&amp;"*FangerPMV(Hourly)",'Eplus results'!$1:$1048576,ROW(),FALSE)</f>
        <v>0</v>
      </c>
      <c r="AD2222" s="580">
        <f t="shared" si="206"/>
        <v>5</v>
      </c>
      <c r="AE2222" s="580">
        <f t="shared" si="207"/>
        <v>2.5</v>
      </c>
      <c r="AF2222" s="580">
        <f t="shared" si="208"/>
        <v>2.5</v>
      </c>
      <c r="AG2222" s="580">
        <f t="shared" si="209"/>
        <v>0</v>
      </c>
      <c r="AH2222" s="580">
        <f t="shared" si="210"/>
        <v>0</v>
      </c>
    </row>
    <row r="2223" spans="28:34">
      <c r="AB2223" s="580">
        <f>HLOOKUP("*"&amp;'Output annual'!$AC$2&amp;'Output annual'!$AD$2&amp;"*Zone People Number Of Occupants [](Hourly)",'Eplus results'!$1:$1048576,ROW(),FALSE)</f>
        <v>0</v>
      </c>
      <c r="AC2223" s="580">
        <f>HLOOKUP("*"&amp;'Output annual'!$AC$2&amp;'Output annual'!$AD$2&amp;"*FangerPMV(Hourly)",'Eplus results'!$1:$1048576,ROW(),FALSE)</f>
        <v>0</v>
      </c>
      <c r="AD2223" s="580">
        <f t="shared" si="206"/>
        <v>5</v>
      </c>
      <c r="AE2223" s="580">
        <f t="shared" si="207"/>
        <v>2.5</v>
      </c>
      <c r="AF2223" s="580">
        <f t="shared" si="208"/>
        <v>2.5</v>
      </c>
      <c r="AG2223" s="580">
        <f t="shared" si="209"/>
        <v>0</v>
      </c>
      <c r="AH2223" s="580">
        <f t="shared" si="210"/>
        <v>0</v>
      </c>
    </row>
    <row r="2224" spans="28:34">
      <c r="AB2224" s="580">
        <f>HLOOKUP("*"&amp;'Output annual'!$AC$2&amp;'Output annual'!$AD$2&amp;"*Zone People Number Of Occupants [](Hourly)",'Eplus results'!$1:$1048576,ROW(),FALSE)</f>
        <v>0</v>
      </c>
      <c r="AC2224" s="580">
        <f>HLOOKUP("*"&amp;'Output annual'!$AC$2&amp;'Output annual'!$AD$2&amp;"*FangerPMV(Hourly)",'Eplus results'!$1:$1048576,ROW(),FALSE)</f>
        <v>0</v>
      </c>
      <c r="AD2224" s="580">
        <f t="shared" si="206"/>
        <v>5</v>
      </c>
      <c r="AE2224" s="580">
        <f t="shared" si="207"/>
        <v>2.5</v>
      </c>
      <c r="AF2224" s="580">
        <f t="shared" si="208"/>
        <v>2.5</v>
      </c>
      <c r="AG2224" s="580">
        <f t="shared" si="209"/>
        <v>0</v>
      </c>
      <c r="AH2224" s="580">
        <f t="shared" si="210"/>
        <v>0</v>
      </c>
    </row>
    <row r="2225" spans="28:34">
      <c r="AB2225" s="580">
        <f>HLOOKUP("*"&amp;'Output annual'!$AC$2&amp;'Output annual'!$AD$2&amp;"*Zone People Number Of Occupants [](Hourly)",'Eplus results'!$1:$1048576,ROW(),FALSE)</f>
        <v>0</v>
      </c>
      <c r="AC2225" s="580">
        <f>HLOOKUP("*"&amp;'Output annual'!$AC$2&amp;'Output annual'!$AD$2&amp;"*FangerPMV(Hourly)",'Eplus results'!$1:$1048576,ROW(),FALSE)</f>
        <v>0</v>
      </c>
      <c r="AD2225" s="580">
        <f t="shared" si="206"/>
        <v>5</v>
      </c>
      <c r="AE2225" s="580">
        <f t="shared" si="207"/>
        <v>2.5</v>
      </c>
      <c r="AF2225" s="580">
        <f t="shared" si="208"/>
        <v>2.5</v>
      </c>
      <c r="AG2225" s="580">
        <f t="shared" si="209"/>
        <v>0</v>
      </c>
      <c r="AH2225" s="580">
        <f t="shared" si="210"/>
        <v>0</v>
      </c>
    </row>
    <row r="2226" spans="28:34">
      <c r="AB2226" s="580">
        <f>HLOOKUP("*"&amp;'Output annual'!$AC$2&amp;'Output annual'!$AD$2&amp;"*Zone People Number Of Occupants [](Hourly)",'Eplus results'!$1:$1048576,ROW(),FALSE)</f>
        <v>0</v>
      </c>
      <c r="AC2226" s="580">
        <f>HLOOKUP("*"&amp;'Output annual'!$AC$2&amp;'Output annual'!$AD$2&amp;"*FangerPMV(Hourly)",'Eplus results'!$1:$1048576,ROW(),FALSE)</f>
        <v>0</v>
      </c>
      <c r="AD2226" s="580">
        <f t="shared" si="206"/>
        <v>5</v>
      </c>
      <c r="AE2226" s="580">
        <f t="shared" si="207"/>
        <v>2.5</v>
      </c>
      <c r="AF2226" s="580">
        <f t="shared" si="208"/>
        <v>2.5</v>
      </c>
      <c r="AG2226" s="580">
        <f t="shared" si="209"/>
        <v>0</v>
      </c>
      <c r="AH2226" s="580">
        <f t="shared" si="210"/>
        <v>0</v>
      </c>
    </row>
    <row r="2227" spans="28:34">
      <c r="AB2227" s="580">
        <f>HLOOKUP("*"&amp;'Output annual'!$AC$2&amp;'Output annual'!$AD$2&amp;"*Zone People Number Of Occupants [](Hourly)",'Eplus results'!$1:$1048576,ROW(),FALSE)</f>
        <v>0</v>
      </c>
      <c r="AC2227" s="580">
        <f>HLOOKUP("*"&amp;'Output annual'!$AC$2&amp;'Output annual'!$AD$2&amp;"*FangerPMV(Hourly)",'Eplus results'!$1:$1048576,ROW(),FALSE)</f>
        <v>0</v>
      </c>
      <c r="AD2227" s="580">
        <f t="shared" si="206"/>
        <v>5</v>
      </c>
      <c r="AE2227" s="580">
        <f t="shared" si="207"/>
        <v>2.5</v>
      </c>
      <c r="AF2227" s="580">
        <f t="shared" si="208"/>
        <v>2.5</v>
      </c>
      <c r="AG2227" s="580">
        <f t="shared" si="209"/>
        <v>0</v>
      </c>
      <c r="AH2227" s="580">
        <f t="shared" si="210"/>
        <v>0</v>
      </c>
    </row>
    <row r="2228" spans="28:34">
      <c r="AB2228" s="580">
        <f>HLOOKUP("*"&amp;'Output annual'!$AC$2&amp;'Output annual'!$AD$2&amp;"*Zone People Number Of Occupants [](Hourly)",'Eplus results'!$1:$1048576,ROW(),FALSE)</f>
        <v>0</v>
      </c>
      <c r="AC2228" s="580">
        <f>HLOOKUP("*"&amp;'Output annual'!$AC$2&amp;'Output annual'!$AD$2&amp;"*FangerPMV(Hourly)",'Eplus results'!$1:$1048576,ROW(),FALSE)</f>
        <v>0</v>
      </c>
      <c r="AD2228" s="580">
        <f t="shared" si="206"/>
        <v>5</v>
      </c>
      <c r="AE2228" s="580">
        <f t="shared" si="207"/>
        <v>2.5</v>
      </c>
      <c r="AF2228" s="580">
        <f t="shared" si="208"/>
        <v>2.5</v>
      </c>
      <c r="AG2228" s="580">
        <f t="shared" si="209"/>
        <v>0</v>
      </c>
      <c r="AH2228" s="580">
        <f t="shared" si="210"/>
        <v>0</v>
      </c>
    </row>
    <row r="2229" spans="28:34">
      <c r="AB2229" s="580">
        <f>HLOOKUP("*"&amp;'Output annual'!$AC$2&amp;'Output annual'!$AD$2&amp;"*Zone People Number Of Occupants [](Hourly)",'Eplus results'!$1:$1048576,ROW(),FALSE)</f>
        <v>0</v>
      </c>
      <c r="AC2229" s="580">
        <f>HLOOKUP("*"&amp;'Output annual'!$AC$2&amp;'Output annual'!$AD$2&amp;"*FangerPMV(Hourly)",'Eplus results'!$1:$1048576,ROW(),FALSE)</f>
        <v>0</v>
      </c>
      <c r="AD2229" s="580">
        <f t="shared" si="206"/>
        <v>5</v>
      </c>
      <c r="AE2229" s="580">
        <f t="shared" si="207"/>
        <v>2.5</v>
      </c>
      <c r="AF2229" s="580">
        <f t="shared" si="208"/>
        <v>2.5</v>
      </c>
      <c r="AG2229" s="580">
        <f t="shared" si="209"/>
        <v>0</v>
      </c>
      <c r="AH2229" s="580">
        <f t="shared" si="210"/>
        <v>0</v>
      </c>
    </row>
    <row r="2230" spans="28:34">
      <c r="AB2230" s="580">
        <f>HLOOKUP("*"&amp;'Output annual'!$AC$2&amp;'Output annual'!$AD$2&amp;"*Zone People Number Of Occupants [](Hourly)",'Eplus results'!$1:$1048576,ROW(),FALSE)</f>
        <v>0</v>
      </c>
      <c r="AC2230" s="580">
        <f>HLOOKUP("*"&amp;'Output annual'!$AC$2&amp;'Output annual'!$AD$2&amp;"*FangerPMV(Hourly)",'Eplus results'!$1:$1048576,ROW(),FALSE)</f>
        <v>0</v>
      </c>
      <c r="AD2230" s="580">
        <f t="shared" si="206"/>
        <v>5</v>
      </c>
      <c r="AE2230" s="580">
        <f t="shared" si="207"/>
        <v>2.5</v>
      </c>
      <c r="AF2230" s="580">
        <f t="shared" si="208"/>
        <v>2.5</v>
      </c>
      <c r="AG2230" s="580">
        <f t="shared" si="209"/>
        <v>0</v>
      </c>
      <c r="AH2230" s="580">
        <f t="shared" si="210"/>
        <v>0</v>
      </c>
    </row>
    <row r="2231" spans="28:34">
      <c r="AB2231" s="580">
        <f>HLOOKUP("*"&amp;'Output annual'!$AC$2&amp;'Output annual'!$AD$2&amp;"*Zone People Number Of Occupants [](Hourly)",'Eplus results'!$1:$1048576,ROW(),FALSE)</f>
        <v>0</v>
      </c>
      <c r="AC2231" s="580">
        <f>HLOOKUP("*"&amp;'Output annual'!$AC$2&amp;'Output annual'!$AD$2&amp;"*FangerPMV(Hourly)",'Eplus results'!$1:$1048576,ROW(),FALSE)</f>
        <v>0</v>
      </c>
      <c r="AD2231" s="580">
        <f t="shared" si="206"/>
        <v>5</v>
      </c>
      <c r="AE2231" s="580">
        <f t="shared" si="207"/>
        <v>2.5</v>
      </c>
      <c r="AF2231" s="580">
        <f t="shared" si="208"/>
        <v>2.5</v>
      </c>
      <c r="AG2231" s="580">
        <f t="shared" si="209"/>
        <v>0</v>
      </c>
      <c r="AH2231" s="580">
        <f t="shared" si="210"/>
        <v>0</v>
      </c>
    </row>
    <row r="2232" spans="28:34">
      <c r="AB2232" s="580">
        <f>HLOOKUP("*"&amp;'Output annual'!$AC$2&amp;'Output annual'!$AD$2&amp;"*Zone People Number Of Occupants [](Hourly)",'Eplus results'!$1:$1048576,ROW(),FALSE)</f>
        <v>0</v>
      </c>
      <c r="AC2232" s="580">
        <f>HLOOKUP("*"&amp;'Output annual'!$AC$2&amp;'Output annual'!$AD$2&amp;"*FangerPMV(Hourly)",'Eplus results'!$1:$1048576,ROW(),FALSE)</f>
        <v>0</v>
      </c>
      <c r="AD2232" s="580">
        <f t="shared" si="206"/>
        <v>5</v>
      </c>
      <c r="AE2232" s="580">
        <f t="shared" si="207"/>
        <v>2.5</v>
      </c>
      <c r="AF2232" s="580">
        <f t="shared" si="208"/>
        <v>2.5</v>
      </c>
      <c r="AG2232" s="580">
        <f t="shared" si="209"/>
        <v>0</v>
      </c>
      <c r="AH2232" s="580">
        <f t="shared" si="210"/>
        <v>0</v>
      </c>
    </row>
    <row r="2233" spans="28:34">
      <c r="AB2233" s="580">
        <f>HLOOKUP("*"&amp;'Output annual'!$AC$2&amp;'Output annual'!$AD$2&amp;"*Zone People Number Of Occupants [](Hourly)",'Eplus results'!$1:$1048576,ROW(),FALSE)</f>
        <v>0</v>
      </c>
      <c r="AC2233" s="580">
        <f>HLOOKUP("*"&amp;'Output annual'!$AC$2&amp;'Output annual'!$AD$2&amp;"*FangerPMV(Hourly)",'Eplus results'!$1:$1048576,ROW(),FALSE)</f>
        <v>0</v>
      </c>
      <c r="AD2233" s="580">
        <f t="shared" si="206"/>
        <v>5</v>
      </c>
      <c r="AE2233" s="580">
        <f t="shared" si="207"/>
        <v>2.5</v>
      </c>
      <c r="AF2233" s="580">
        <f t="shared" si="208"/>
        <v>2.5</v>
      </c>
      <c r="AG2233" s="580">
        <f t="shared" si="209"/>
        <v>0</v>
      </c>
      <c r="AH2233" s="580">
        <f t="shared" si="210"/>
        <v>0</v>
      </c>
    </row>
    <row r="2234" spans="28:34">
      <c r="AB2234" s="580">
        <f>HLOOKUP("*"&amp;'Output annual'!$AC$2&amp;'Output annual'!$AD$2&amp;"*Zone People Number Of Occupants [](Hourly)",'Eplus results'!$1:$1048576,ROW(),FALSE)</f>
        <v>0</v>
      </c>
      <c r="AC2234" s="580">
        <f>HLOOKUP("*"&amp;'Output annual'!$AC$2&amp;'Output annual'!$AD$2&amp;"*FangerPMV(Hourly)",'Eplus results'!$1:$1048576,ROW(),FALSE)</f>
        <v>0</v>
      </c>
      <c r="AD2234" s="580">
        <f t="shared" si="206"/>
        <v>5</v>
      </c>
      <c r="AE2234" s="580">
        <f t="shared" si="207"/>
        <v>2.5</v>
      </c>
      <c r="AF2234" s="580">
        <f t="shared" si="208"/>
        <v>2.5</v>
      </c>
      <c r="AG2234" s="580">
        <f t="shared" si="209"/>
        <v>0</v>
      </c>
      <c r="AH2234" s="580">
        <f t="shared" si="210"/>
        <v>0</v>
      </c>
    </row>
    <row r="2235" spans="28:34">
      <c r="AB2235" s="580">
        <f>HLOOKUP("*"&amp;'Output annual'!$AC$2&amp;'Output annual'!$AD$2&amp;"*Zone People Number Of Occupants [](Hourly)",'Eplus results'!$1:$1048576,ROW(),FALSE)</f>
        <v>0</v>
      </c>
      <c r="AC2235" s="580">
        <f>HLOOKUP("*"&amp;'Output annual'!$AC$2&amp;'Output annual'!$AD$2&amp;"*FangerPMV(Hourly)",'Eplus results'!$1:$1048576,ROW(),FALSE)</f>
        <v>0</v>
      </c>
      <c r="AD2235" s="580">
        <f t="shared" si="206"/>
        <v>5</v>
      </c>
      <c r="AE2235" s="580">
        <f t="shared" si="207"/>
        <v>2.5</v>
      </c>
      <c r="AF2235" s="580">
        <f t="shared" si="208"/>
        <v>2.5</v>
      </c>
      <c r="AG2235" s="580">
        <f t="shared" si="209"/>
        <v>0</v>
      </c>
      <c r="AH2235" s="580">
        <f t="shared" si="210"/>
        <v>0</v>
      </c>
    </row>
    <row r="2236" spans="28:34">
      <c r="AB2236" s="580">
        <f>HLOOKUP("*"&amp;'Output annual'!$AC$2&amp;'Output annual'!$AD$2&amp;"*Zone People Number Of Occupants [](Hourly)",'Eplus results'!$1:$1048576,ROW(),FALSE)</f>
        <v>0</v>
      </c>
      <c r="AC2236" s="580">
        <f>HLOOKUP("*"&amp;'Output annual'!$AC$2&amp;'Output annual'!$AD$2&amp;"*FangerPMV(Hourly)",'Eplus results'!$1:$1048576,ROW(),FALSE)</f>
        <v>0</v>
      </c>
      <c r="AD2236" s="580">
        <f t="shared" si="206"/>
        <v>5</v>
      </c>
      <c r="AE2236" s="580">
        <f t="shared" si="207"/>
        <v>2.5</v>
      </c>
      <c r="AF2236" s="580">
        <f t="shared" si="208"/>
        <v>2.5</v>
      </c>
      <c r="AG2236" s="580">
        <f t="shared" si="209"/>
        <v>0</v>
      </c>
      <c r="AH2236" s="580">
        <f t="shared" si="210"/>
        <v>0</v>
      </c>
    </row>
    <row r="2237" spans="28:34">
      <c r="AB2237" s="580">
        <f>HLOOKUP("*"&amp;'Output annual'!$AC$2&amp;'Output annual'!$AD$2&amp;"*Zone People Number Of Occupants [](Hourly)",'Eplus results'!$1:$1048576,ROW(),FALSE)</f>
        <v>0</v>
      </c>
      <c r="AC2237" s="580">
        <f>HLOOKUP("*"&amp;'Output annual'!$AC$2&amp;'Output annual'!$AD$2&amp;"*FangerPMV(Hourly)",'Eplus results'!$1:$1048576,ROW(),FALSE)</f>
        <v>0</v>
      </c>
      <c r="AD2237" s="580">
        <f t="shared" si="206"/>
        <v>5</v>
      </c>
      <c r="AE2237" s="580">
        <f t="shared" si="207"/>
        <v>2.5</v>
      </c>
      <c r="AF2237" s="580">
        <f t="shared" si="208"/>
        <v>2.5</v>
      </c>
      <c r="AG2237" s="580">
        <f t="shared" si="209"/>
        <v>0</v>
      </c>
      <c r="AH2237" s="580">
        <f t="shared" si="210"/>
        <v>0</v>
      </c>
    </row>
    <row r="2238" spans="28:34">
      <c r="AB2238" s="580">
        <f>HLOOKUP("*"&amp;'Output annual'!$AC$2&amp;'Output annual'!$AD$2&amp;"*Zone People Number Of Occupants [](Hourly)",'Eplus results'!$1:$1048576,ROW(),FALSE)</f>
        <v>0</v>
      </c>
      <c r="AC2238" s="580">
        <f>HLOOKUP("*"&amp;'Output annual'!$AC$2&amp;'Output annual'!$AD$2&amp;"*FangerPMV(Hourly)",'Eplus results'!$1:$1048576,ROW(),FALSE)</f>
        <v>0</v>
      </c>
      <c r="AD2238" s="580">
        <f t="shared" si="206"/>
        <v>5</v>
      </c>
      <c r="AE2238" s="580">
        <f t="shared" si="207"/>
        <v>2.5</v>
      </c>
      <c r="AF2238" s="580">
        <f t="shared" si="208"/>
        <v>2.5</v>
      </c>
      <c r="AG2238" s="580">
        <f t="shared" si="209"/>
        <v>0</v>
      </c>
      <c r="AH2238" s="580">
        <f t="shared" si="210"/>
        <v>0</v>
      </c>
    </row>
    <row r="2239" spans="28:34">
      <c r="AB2239" s="580">
        <f>HLOOKUP("*"&amp;'Output annual'!$AC$2&amp;'Output annual'!$AD$2&amp;"*Zone People Number Of Occupants [](Hourly)",'Eplus results'!$1:$1048576,ROW(),FALSE)</f>
        <v>0</v>
      </c>
      <c r="AC2239" s="580">
        <f>HLOOKUP("*"&amp;'Output annual'!$AC$2&amp;'Output annual'!$AD$2&amp;"*FangerPMV(Hourly)",'Eplus results'!$1:$1048576,ROW(),FALSE)</f>
        <v>0</v>
      </c>
      <c r="AD2239" s="580">
        <f t="shared" si="206"/>
        <v>5</v>
      </c>
      <c r="AE2239" s="580">
        <f t="shared" si="207"/>
        <v>2.5</v>
      </c>
      <c r="AF2239" s="580">
        <f t="shared" si="208"/>
        <v>2.5</v>
      </c>
      <c r="AG2239" s="580">
        <f t="shared" si="209"/>
        <v>0</v>
      </c>
      <c r="AH2239" s="580">
        <f t="shared" si="210"/>
        <v>0</v>
      </c>
    </row>
    <row r="2240" spans="28:34">
      <c r="AB2240" s="580">
        <f>HLOOKUP("*"&amp;'Output annual'!$AC$2&amp;'Output annual'!$AD$2&amp;"*Zone People Number Of Occupants [](Hourly)",'Eplus results'!$1:$1048576,ROW(),FALSE)</f>
        <v>0</v>
      </c>
      <c r="AC2240" s="580">
        <f>HLOOKUP("*"&amp;'Output annual'!$AC$2&amp;'Output annual'!$AD$2&amp;"*FangerPMV(Hourly)",'Eplus results'!$1:$1048576,ROW(),FALSE)</f>
        <v>0</v>
      </c>
      <c r="AD2240" s="580">
        <f t="shared" si="206"/>
        <v>5</v>
      </c>
      <c r="AE2240" s="580">
        <f t="shared" si="207"/>
        <v>2.5</v>
      </c>
      <c r="AF2240" s="580">
        <f t="shared" si="208"/>
        <v>2.5</v>
      </c>
      <c r="AG2240" s="580">
        <f t="shared" si="209"/>
        <v>0</v>
      </c>
      <c r="AH2240" s="580">
        <f t="shared" si="210"/>
        <v>0</v>
      </c>
    </row>
    <row r="2241" spans="28:34">
      <c r="AB2241" s="580">
        <f>HLOOKUP("*"&amp;'Output annual'!$AC$2&amp;'Output annual'!$AD$2&amp;"*Zone People Number Of Occupants [](Hourly)",'Eplus results'!$1:$1048576,ROW(),FALSE)</f>
        <v>0</v>
      </c>
      <c r="AC2241" s="580">
        <f>HLOOKUP("*"&amp;'Output annual'!$AC$2&amp;'Output annual'!$AD$2&amp;"*FangerPMV(Hourly)",'Eplus results'!$1:$1048576,ROW(),FALSE)</f>
        <v>0</v>
      </c>
      <c r="AD2241" s="580">
        <f t="shared" si="206"/>
        <v>5</v>
      </c>
      <c r="AE2241" s="580">
        <f t="shared" si="207"/>
        <v>2.5</v>
      </c>
      <c r="AF2241" s="580">
        <f t="shared" si="208"/>
        <v>2.5</v>
      </c>
      <c r="AG2241" s="580">
        <f t="shared" si="209"/>
        <v>0</v>
      </c>
      <c r="AH2241" s="580">
        <f t="shared" si="210"/>
        <v>0</v>
      </c>
    </row>
    <row r="2242" spans="28:34">
      <c r="AB2242" s="580">
        <f>HLOOKUP("*"&amp;'Output annual'!$AC$2&amp;'Output annual'!$AD$2&amp;"*Zone People Number Of Occupants [](Hourly)",'Eplus results'!$1:$1048576,ROW(),FALSE)</f>
        <v>0</v>
      </c>
      <c r="AC2242" s="580">
        <f>HLOOKUP("*"&amp;'Output annual'!$AC$2&amp;'Output annual'!$AD$2&amp;"*FangerPMV(Hourly)",'Eplus results'!$1:$1048576,ROW(),FALSE)</f>
        <v>0</v>
      </c>
      <c r="AD2242" s="580">
        <f t="shared" si="206"/>
        <v>5</v>
      </c>
      <c r="AE2242" s="580">
        <f t="shared" si="207"/>
        <v>2.5</v>
      </c>
      <c r="AF2242" s="580">
        <f t="shared" si="208"/>
        <v>2.5</v>
      </c>
      <c r="AG2242" s="580">
        <f t="shared" si="209"/>
        <v>0</v>
      </c>
      <c r="AH2242" s="580">
        <f t="shared" si="210"/>
        <v>0</v>
      </c>
    </row>
    <row r="2243" spans="28:34">
      <c r="AB2243" s="580">
        <f>HLOOKUP("*"&amp;'Output annual'!$AC$2&amp;'Output annual'!$AD$2&amp;"*Zone People Number Of Occupants [](Hourly)",'Eplus results'!$1:$1048576,ROW(),FALSE)</f>
        <v>0</v>
      </c>
      <c r="AC2243" s="580">
        <f>HLOOKUP("*"&amp;'Output annual'!$AC$2&amp;'Output annual'!$AD$2&amp;"*FangerPMV(Hourly)",'Eplus results'!$1:$1048576,ROW(),FALSE)</f>
        <v>0</v>
      </c>
      <c r="AD2243" s="580">
        <f t="shared" ref="AD2243:AD2306" si="211">100-95*EXP(-0.03353*AC2243^4-0.2179*AC2243^2)</f>
        <v>5</v>
      </c>
      <c r="AE2243" s="580">
        <f t="shared" ref="AE2243:AE2306" si="212">AD2243*(1/(1+EXP(-6.3*$AC2243)))</f>
        <v>2.5</v>
      </c>
      <c r="AF2243" s="580">
        <f t="shared" ref="AF2243:AF2306" si="213">(AD2243-AE2243)</f>
        <v>2.5</v>
      </c>
      <c r="AG2243" s="580">
        <f t="shared" ref="AG2243:AG2306" si="214">AE2243*AB2243</f>
        <v>0</v>
      </c>
      <c r="AH2243" s="580">
        <f t="shared" ref="AH2243:AH2306" si="215">AF2243*AB2243</f>
        <v>0</v>
      </c>
    </row>
    <row r="2244" spans="28:34">
      <c r="AB2244" s="580">
        <f>HLOOKUP("*"&amp;'Output annual'!$AC$2&amp;'Output annual'!$AD$2&amp;"*Zone People Number Of Occupants [](Hourly)",'Eplus results'!$1:$1048576,ROW(),FALSE)</f>
        <v>0</v>
      </c>
      <c r="AC2244" s="580">
        <f>HLOOKUP("*"&amp;'Output annual'!$AC$2&amp;'Output annual'!$AD$2&amp;"*FangerPMV(Hourly)",'Eplus results'!$1:$1048576,ROW(),FALSE)</f>
        <v>0</v>
      </c>
      <c r="AD2244" s="580">
        <f t="shared" si="211"/>
        <v>5</v>
      </c>
      <c r="AE2244" s="580">
        <f t="shared" si="212"/>
        <v>2.5</v>
      </c>
      <c r="AF2244" s="580">
        <f t="shared" si="213"/>
        <v>2.5</v>
      </c>
      <c r="AG2244" s="580">
        <f t="shared" si="214"/>
        <v>0</v>
      </c>
      <c r="AH2244" s="580">
        <f t="shared" si="215"/>
        <v>0</v>
      </c>
    </row>
    <row r="2245" spans="28:34">
      <c r="AB2245" s="580">
        <f>HLOOKUP("*"&amp;'Output annual'!$AC$2&amp;'Output annual'!$AD$2&amp;"*Zone People Number Of Occupants [](Hourly)",'Eplus results'!$1:$1048576,ROW(),FALSE)</f>
        <v>0</v>
      </c>
      <c r="AC2245" s="580">
        <f>HLOOKUP("*"&amp;'Output annual'!$AC$2&amp;'Output annual'!$AD$2&amp;"*FangerPMV(Hourly)",'Eplus results'!$1:$1048576,ROW(),FALSE)</f>
        <v>0</v>
      </c>
      <c r="AD2245" s="580">
        <f t="shared" si="211"/>
        <v>5</v>
      </c>
      <c r="AE2245" s="580">
        <f t="shared" si="212"/>
        <v>2.5</v>
      </c>
      <c r="AF2245" s="580">
        <f t="shared" si="213"/>
        <v>2.5</v>
      </c>
      <c r="AG2245" s="580">
        <f t="shared" si="214"/>
        <v>0</v>
      </c>
      <c r="AH2245" s="580">
        <f t="shared" si="215"/>
        <v>0</v>
      </c>
    </row>
    <row r="2246" spans="28:34">
      <c r="AB2246" s="580">
        <f>HLOOKUP("*"&amp;'Output annual'!$AC$2&amp;'Output annual'!$AD$2&amp;"*Zone People Number Of Occupants [](Hourly)",'Eplus results'!$1:$1048576,ROW(),FALSE)</f>
        <v>0</v>
      </c>
      <c r="AC2246" s="580">
        <f>HLOOKUP("*"&amp;'Output annual'!$AC$2&amp;'Output annual'!$AD$2&amp;"*FangerPMV(Hourly)",'Eplus results'!$1:$1048576,ROW(),FALSE)</f>
        <v>0</v>
      </c>
      <c r="AD2246" s="580">
        <f t="shared" si="211"/>
        <v>5</v>
      </c>
      <c r="AE2246" s="580">
        <f t="shared" si="212"/>
        <v>2.5</v>
      </c>
      <c r="AF2246" s="580">
        <f t="shared" si="213"/>
        <v>2.5</v>
      </c>
      <c r="AG2246" s="580">
        <f t="shared" si="214"/>
        <v>0</v>
      </c>
      <c r="AH2246" s="580">
        <f t="shared" si="215"/>
        <v>0</v>
      </c>
    </row>
    <row r="2247" spans="28:34">
      <c r="AB2247" s="580">
        <f>HLOOKUP("*"&amp;'Output annual'!$AC$2&amp;'Output annual'!$AD$2&amp;"*Zone People Number Of Occupants [](Hourly)",'Eplus results'!$1:$1048576,ROW(),FALSE)</f>
        <v>0</v>
      </c>
      <c r="AC2247" s="580">
        <f>HLOOKUP("*"&amp;'Output annual'!$AC$2&amp;'Output annual'!$AD$2&amp;"*FangerPMV(Hourly)",'Eplus results'!$1:$1048576,ROW(),FALSE)</f>
        <v>0</v>
      </c>
      <c r="AD2247" s="580">
        <f t="shared" si="211"/>
        <v>5</v>
      </c>
      <c r="AE2247" s="580">
        <f t="shared" si="212"/>
        <v>2.5</v>
      </c>
      <c r="AF2247" s="580">
        <f t="shared" si="213"/>
        <v>2.5</v>
      </c>
      <c r="AG2247" s="580">
        <f t="shared" si="214"/>
        <v>0</v>
      </c>
      <c r="AH2247" s="580">
        <f t="shared" si="215"/>
        <v>0</v>
      </c>
    </row>
    <row r="2248" spans="28:34">
      <c r="AB2248" s="580">
        <f>HLOOKUP("*"&amp;'Output annual'!$AC$2&amp;'Output annual'!$AD$2&amp;"*Zone People Number Of Occupants [](Hourly)",'Eplus results'!$1:$1048576,ROW(),FALSE)</f>
        <v>0</v>
      </c>
      <c r="AC2248" s="580">
        <f>HLOOKUP("*"&amp;'Output annual'!$AC$2&amp;'Output annual'!$AD$2&amp;"*FangerPMV(Hourly)",'Eplus results'!$1:$1048576,ROW(),FALSE)</f>
        <v>0</v>
      </c>
      <c r="AD2248" s="580">
        <f t="shared" si="211"/>
        <v>5</v>
      </c>
      <c r="AE2248" s="580">
        <f t="shared" si="212"/>
        <v>2.5</v>
      </c>
      <c r="AF2248" s="580">
        <f t="shared" si="213"/>
        <v>2.5</v>
      </c>
      <c r="AG2248" s="580">
        <f t="shared" si="214"/>
        <v>0</v>
      </c>
      <c r="AH2248" s="580">
        <f t="shared" si="215"/>
        <v>0</v>
      </c>
    </row>
    <row r="2249" spans="28:34">
      <c r="AB2249" s="580">
        <f>HLOOKUP("*"&amp;'Output annual'!$AC$2&amp;'Output annual'!$AD$2&amp;"*Zone People Number Of Occupants [](Hourly)",'Eplus results'!$1:$1048576,ROW(),FALSE)</f>
        <v>0</v>
      </c>
      <c r="AC2249" s="580">
        <f>HLOOKUP("*"&amp;'Output annual'!$AC$2&amp;'Output annual'!$AD$2&amp;"*FangerPMV(Hourly)",'Eplus results'!$1:$1048576,ROW(),FALSE)</f>
        <v>0</v>
      </c>
      <c r="AD2249" s="580">
        <f t="shared" si="211"/>
        <v>5</v>
      </c>
      <c r="AE2249" s="580">
        <f t="shared" si="212"/>
        <v>2.5</v>
      </c>
      <c r="AF2249" s="580">
        <f t="shared" si="213"/>
        <v>2.5</v>
      </c>
      <c r="AG2249" s="580">
        <f t="shared" si="214"/>
        <v>0</v>
      </c>
      <c r="AH2249" s="580">
        <f t="shared" si="215"/>
        <v>0</v>
      </c>
    </row>
    <row r="2250" spans="28:34">
      <c r="AB2250" s="580">
        <f>HLOOKUP("*"&amp;'Output annual'!$AC$2&amp;'Output annual'!$AD$2&amp;"*Zone People Number Of Occupants [](Hourly)",'Eplus results'!$1:$1048576,ROW(),FALSE)</f>
        <v>0</v>
      </c>
      <c r="AC2250" s="580">
        <f>HLOOKUP("*"&amp;'Output annual'!$AC$2&amp;'Output annual'!$AD$2&amp;"*FangerPMV(Hourly)",'Eplus results'!$1:$1048576,ROW(),FALSE)</f>
        <v>0</v>
      </c>
      <c r="AD2250" s="580">
        <f t="shared" si="211"/>
        <v>5</v>
      </c>
      <c r="AE2250" s="580">
        <f t="shared" si="212"/>
        <v>2.5</v>
      </c>
      <c r="AF2250" s="580">
        <f t="shared" si="213"/>
        <v>2.5</v>
      </c>
      <c r="AG2250" s="580">
        <f t="shared" si="214"/>
        <v>0</v>
      </c>
      <c r="AH2250" s="580">
        <f t="shared" si="215"/>
        <v>0</v>
      </c>
    </row>
    <row r="2251" spans="28:34">
      <c r="AB2251" s="580">
        <f>HLOOKUP("*"&amp;'Output annual'!$AC$2&amp;'Output annual'!$AD$2&amp;"*Zone People Number Of Occupants [](Hourly)",'Eplus results'!$1:$1048576,ROW(),FALSE)</f>
        <v>0</v>
      </c>
      <c r="AC2251" s="580">
        <f>HLOOKUP("*"&amp;'Output annual'!$AC$2&amp;'Output annual'!$AD$2&amp;"*FangerPMV(Hourly)",'Eplus results'!$1:$1048576,ROW(),FALSE)</f>
        <v>0</v>
      </c>
      <c r="AD2251" s="580">
        <f t="shared" si="211"/>
        <v>5</v>
      </c>
      <c r="AE2251" s="580">
        <f t="shared" si="212"/>
        <v>2.5</v>
      </c>
      <c r="AF2251" s="580">
        <f t="shared" si="213"/>
        <v>2.5</v>
      </c>
      <c r="AG2251" s="580">
        <f t="shared" si="214"/>
        <v>0</v>
      </c>
      <c r="AH2251" s="580">
        <f t="shared" si="215"/>
        <v>0</v>
      </c>
    </row>
    <row r="2252" spans="28:34">
      <c r="AB2252" s="580">
        <f>HLOOKUP("*"&amp;'Output annual'!$AC$2&amp;'Output annual'!$AD$2&amp;"*Zone People Number Of Occupants [](Hourly)",'Eplus results'!$1:$1048576,ROW(),FALSE)</f>
        <v>0</v>
      </c>
      <c r="AC2252" s="580">
        <f>HLOOKUP("*"&amp;'Output annual'!$AC$2&amp;'Output annual'!$AD$2&amp;"*FangerPMV(Hourly)",'Eplus results'!$1:$1048576,ROW(),FALSE)</f>
        <v>0</v>
      </c>
      <c r="AD2252" s="580">
        <f t="shared" si="211"/>
        <v>5</v>
      </c>
      <c r="AE2252" s="580">
        <f t="shared" si="212"/>
        <v>2.5</v>
      </c>
      <c r="AF2252" s="580">
        <f t="shared" si="213"/>
        <v>2.5</v>
      </c>
      <c r="AG2252" s="580">
        <f t="shared" si="214"/>
        <v>0</v>
      </c>
      <c r="AH2252" s="580">
        <f t="shared" si="215"/>
        <v>0</v>
      </c>
    </row>
    <row r="2253" spans="28:34">
      <c r="AB2253" s="580">
        <f>HLOOKUP("*"&amp;'Output annual'!$AC$2&amp;'Output annual'!$AD$2&amp;"*Zone People Number Of Occupants [](Hourly)",'Eplus results'!$1:$1048576,ROW(),FALSE)</f>
        <v>0</v>
      </c>
      <c r="AC2253" s="580">
        <f>HLOOKUP("*"&amp;'Output annual'!$AC$2&amp;'Output annual'!$AD$2&amp;"*FangerPMV(Hourly)",'Eplus results'!$1:$1048576,ROW(),FALSE)</f>
        <v>0</v>
      </c>
      <c r="AD2253" s="580">
        <f t="shared" si="211"/>
        <v>5</v>
      </c>
      <c r="AE2253" s="580">
        <f t="shared" si="212"/>
        <v>2.5</v>
      </c>
      <c r="AF2253" s="580">
        <f t="shared" si="213"/>
        <v>2.5</v>
      </c>
      <c r="AG2253" s="580">
        <f t="shared" si="214"/>
        <v>0</v>
      </c>
      <c r="AH2253" s="580">
        <f t="shared" si="215"/>
        <v>0</v>
      </c>
    </row>
    <row r="2254" spans="28:34">
      <c r="AB2254" s="580">
        <f>HLOOKUP("*"&amp;'Output annual'!$AC$2&amp;'Output annual'!$AD$2&amp;"*Zone People Number Of Occupants [](Hourly)",'Eplus results'!$1:$1048576,ROW(),FALSE)</f>
        <v>0</v>
      </c>
      <c r="AC2254" s="580">
        <f>HLOOKUP("*"&amp;'Output annual'!$AC$2&amp;'Output annual'!$AD$2&amp;"*FangerPMV(Hourly)",'Eplus results'!$1:$1048576,ROW(),FALSE)</f>
        <v>0</v>
      </c>
      <c r="AD2254" s="580">
        <f t="shared" si="211"/>
        <v>5</v>
      </c>
      <c r="AE2254" s="580">
        <f t="shared" si="212"/>
        <v>2.5</v>
      </c>
      <c r="AF2254" s="580">
        <f t="shared" si="213"/>
        <v>2.5</v>
      </c>
      <c r="AG2254" s="580">
        <f t="shared" si="214"/>
        <v>0</v>
      </c>
      <c r="AH2254" s="580">
        <f t="shared" si="215"/>
        <v>0</v>
      </c>
    </row>
    <row r="2255" spans="28:34">
      <c r="AB2255" s="580">
        <f>HLOOKUP("*"&amp;'Output annual'!$AC$2&amp;'Output annual'!$AD$2&amp;"*Zone People Number Of Occupants [](Hourly)",'Eplus results'!$1:$1048576,ROW(),FALSE)</f>
        <v>0</v>
      </c>
      <c r="AC2255" s="580">
        <f>HLOOKUP("*"&amp;'Output annual'!$AC$2&amp;'Output annual'!$AD$2&amp;"*FangerPMV(Hourly)",'Eplus results'!$1:$1048576,ROW(),FALSE)</f>
        <v>0</v>
      </c>
      <c r="AD2255" s="580">
        <f t="shared" si="211"/>
        <v>5</v>
      </c>
      <c r="AE2255" s="580">
        <f t="shared" si="212"/>
        <v>2.5</v>
      </c>
      <c r="AF2255" s="580">
        <f t="shared" si="213"/>
        <v>2.5</v>
      </c>
      <c r="AG2255" s="580">
        <f t="shared" si="214"/>
        <v>0</v>
      </c>
      <c r="AH2255" s="580">
        <f t="shared" si="215"/>
        <v>0</v>
      </c>
    </row>
    <row r="2256" spans="28:34">
      <c r="AB2256" s="580">
        <f>HLOOKUP("*"&amp;'Output annual'!$AC$2&amp;'Output annual'!$AD$2&amp;"*Zone People Number Of Occupants [](Hourly)",'Eplus results'!$1:$1048576,ROW(),FALSE)</f>
        <v>0</v>
      </c>
      <c r="AC2256" s="580">
        <f>HLOOKUP("*"&amp;'Output annual'!$AC$2&amp;'Output annual'!$AD$2&amp;"*FangerPMV(Hourly)",'Eplus results'!$1:$1048576,ROW(),FALSE)</f>
        <v>0</v>
      </c>
      <c r="AD2256" s="580">
        <f t="shared" si="211"/>
        <v>5</v>
      </c>
      <c r="AE2256" s="580">
        <f t="shared" si="212"/>
        <v>2.5</v>
      </c>
      <c r="AF2256" s="580">
        <f t="shared" si="213"/>
        <v>2.5</v>
      </c>
      <c r="AG2256" s="580">
        <f t="shared" si="214"/>
        <v>0</v>
      </c>
      <c r="AH2256" s="580">
        <f t="shared" si="215"/>
        <v>0</v>
      </c>
    </row>
    <row r="2257" spans="28:34">
      <c r="AB2257" s="580">
        <f>HLOOKUP("*"&amp;'Output annual'!$AC$2&amp;'Output annual'!$AD$2&amp;"*Zone People Number Of Occupants [](Hourly)",'Eplus results'!$1:$1048576,ROW(),FALSE)</f>
        <v>0</v>
      </c>
      <c r="AC2257" s="580">
        <f>HLOOKUP("*"&amp;'Output annual'!$AC$2&amp;'Output annual'!$AD$2&amp;"*FangerPMV(Hourly)",'Eplus results'!$1:$1048576,ROW(),FALSE)</f>
        <v>0</v>
      </c>
      <c r="AD2257" s="580">
        <f t="shared" si="211"/>
        <v>5</v>
      </c>
      <c r="AE2257" s="580">
        <f t="shared" si="212"/>
        <v>2.5</v>
      </c>
      <c r="AF2257" s="580">
        <f t="shared" si="213"/>
        <v>2.5</v>
      </c>
      <c r="AG2257" s="580">
        <f t="shared" si="214"/>
        <v>0</v>
      </c>
      <c r="AH2257" s="580">
        <f t="shared" si="215"/>
        <v>0</v>
      </c>
    </row>
    <row r="2258" spans="28:34">
      <c r="AB2258" s="580">
        <f>HLOOKUP("*"&amp;'Output annual'!$AC$2&amp;'Output annual'!$AD$2&amp;"*Zone People Number Of Occupants [](Hourly)",'Eplus results'!$1:$1048576,ROW(),FALSE)</f>
        <v>0</v>
      </c>
      <c r="AC2258" s="580">
        <f>HLOOKUP("*"&amp;'Output annual'!$AC$2&amp;'Output annual'!$AD$2&amp;"*FangerPMV(Hourly)",'Eplus results'!$1:$1048576,ROW(),FALSE)</f>
        <v>0</v>
      </c>
      <c r="AD2258" s="580">
        <f t="shared" si="211"/>
        <v>5</v>
      </c>
      <c r="AE2258" s="580">
        <f t="shared" si="212"/>
        <v>2.5</v>
      </c>
      <c r="AF2258" s="580">
        <f t="shared" si="213"/>
        <v>2.5</v>
      </c>
      <c r="AG2258" s="580">
        <f t="shared" si="214"/>
        <v>0</v>
      </c>
      <c r="AH2258" s="580">
        <f t="shared" si="215"/>
        <v>0</v>
      </c>
    </row>
    <row r="2259" spans="28:34">
      <c r="AB2259" s="580">
        <f>HLOOKUP("*"&amp;'Output annual'!$AC$2&amp;'Output annual'!$AD$2&amp;"*Zone People Number Of Occupants [](Hourly)",'Eplus results'!$1:$1048576,ROW(),FALSE)</f>
        <v>0</v>
      </c>
      <c r="AC2259" s="580">
        <f>HLOOKUP("*"&amp;'Output annual'!$AC$2&amp;'Output annual'!$AD$2&amp;"*FangerPMV(Hourly)",'Eplus results'!$1:$1048576,ROW(),FALSE)</f>
        <v>0</v>
      </c>
      <c r="AD2259" s="580">
        <f t="shared" si="211"/>
        <v>5</v>
      </c>
      <c r="AE2259" s="580">
        <f t="shared" si="212"/>
        <v>2.5</v>
      </c>
      <c r="AF2259" s="580">
        <f t="shared" si="213"/>
        <v>2.5</v>
      </c>
      <c r="AG2259" s="580">
        <f t="shared" si="214"/>
        <v>0</v>
      </c>
      <c r="AH2259" s="580">
        <f t="shared" si="215"/>
        <v>0</v>
      </c>
    </row>
    <row r="2260" spans="28:34">
      <c r="AB2260" s="580">
        <f>HLOOKUP("*"&amp;'Output annual'!$AC$2&amp;'Output annual'!$AD$2&amp;"*Zone People Number Of Occupants [](Hourly)",'Eplus results'!$1:$1048576,ROW(),FALSE)</f>
        <v>0</v>
      </c>
      <c r="AC2260" s="580">
        <f>HLOOKUP("*"&amp;'Output annual'!$AC$2&amp;'Output annual'!$AD$2&amp;"*FangerPMV(Hourly)",'Eplus results'!$1:$1048576,ROW(),FALSE)</f>
        <v>0</v>
      </c>
      <c r="AD2260" s="580">
        <f t="shared" si="211"/>
        <v>5</v>
      </c>
      <c r="AE2260" s="580">
        <f t="shared" si="212"/>
        <v>2.5</v>
      </c>
      <c r="AF2260" s="580">
        <f t="shared" si="213"/>
        <v>2.5</v>
      </c>
      <c r="AG2260" s="580">
        <f t="shared" si="214"/>
        <v>0</v>
      </c>
      <c r="AH2260" s="580">
        <f t="shared" si="215"/>
        <v>0</v>
      </c>
    </row>
    <row r="2261" spans="28:34">
      <c r="AB2261" s="580">
        <f>HLOOKUP("*"&amp;'Output annual'!$AC$2&amp;'Output annual'!$AD$2&amp;"*Zone People Number Of Occupants [](Hourly)",'Eplus results'!$1:$1048576,ROW(),FALSE)</f>
        <v>0</v>
      </c>
      <c r="AC2261" s="580">
        <f>HLOOKUP("*"&amp;'Output annual'!$AC$2&amp;'Output annual'!$AD$2&amp;"*FangerPMV(Hourly)",'Eplus results'!$1:$1048576,ROW(),FALSE)</f>
        <v>0</v>
      </c>
      <c r="AD2261" s="580">
        <f t="shared" si="211"/>
        <v>5</v>
      </c>
      <c r="AE2261" s="580">
        <f t="shared" si="212"/>
        <v>2.5</v>
      </c>
      <c r="AF2261" s="580">
        <f t="shared" si="213"/>
        <v>2.5</v>
      </c>
      <c r="AG2261" s="580">
        <f t="shared" si="214"/>
        <v>0</v>
      </c>
      <c r="AH2261" s="580">
        <f t="shared" si="215"/>
        <v>0</v>
      </c>
    </row>
    <row r="2262" spans="28:34">
      <c r="AB2262" s="580">
        <f>HLOOKUP("*"&amp;'Output annual'!$AC$2&amp;'Output annual'!$AD$2&amp;"*Zone People Number Of Occupants [](Hourly)",'Eplus results'!$1:$1048576,ROW(),FALSE)</f>
        <v>0</v>
      </c>
      <c r="AC2262" s="580">
        <f>HLOOKUP("*"&amp;'Output annual'!$AC$2&amp;'Output annual'!$AD$2&amp;"*FangerPMV(Hourly)",'Eplus results'!$1:$1048576,ROW(),FALSE)</f>
        <v>0</v>
      </c>
      <c r="AD2262" s="580">
        <f t="shared" si="211"/>
        <v>5</v>
      </c>
      <c r="AE2262" s="580">
        <f t="shared" si="212"/>
        <v>2.5</v>
      </c>
      <c r="AF2262" s="580">
        <f t="shared" si="213"/>
        <v>2.5</v>
      </c>
      <c r="AG2262" s="580">
        <f t="shared" si="214"/>
        <v>0</v>
      </c>
      <c r="AH2262" s="580">
        <f t="shared" si="215"/>
        <v>0</v>
      </c>
    </row>
    <row r="2263" spans="28:34">
      <c r="AB2263" s="580">
        <f>HLOOKUP("*"&amp;'Output annual'!$AC$2&amp;'Output annual'!$AD$2&amp;"*Zone People Number Of Occupants [](Hourly)",'Eplus results'!$1:$1048576,ROW(),FALSE)</f>
        <v>0</v>
      </c>
      <c r="AC2263" s="580">
        <f>HLOOKUP("*"&amp;'Output annual'!$AC$2&amp;'Output annual'!$AD$2&amp;"*FangerPMV(Hourly)",'Eplus results'!$1:$1048576,ROW(),FALSE)</f>
        <v>0</v>
      </c>
      <c r="AD2263" s="580">
        <f t="shared" si="211"/>
        <v>5</v>
      </c>
      <c r="AE2263" s="580">
        <f t="shared" si="212"/>
        <v>2.5</v>
      </c>
      <c r="AF2263" s="580">
        <f t="shared" si="213"/>
        <v>2.5</v>
      </c>
      <c r="AG2263" s="580">
        <f t="shared" si="214"/>
        <v>0</v>
      </c>
      <c r="AH2263" s="580">
        <f t="shared" si="215"/>
        <v>0</v>
      </c>
    </row>
    <row r="2264" spans="28:34">
      <c r="AB2264" s="580">
        <f>HLOOKUP("*"&amp;'Output annual'!$AC$2&amp;'Output annual'!$AD$2&amp;"*Zone People Number Of Occupants [](Hourly)",'Eplus results'!$1:$1048576,ROW(),FALSE)</f>
        <v>0</v>
      </c>
      <c r="AC2264" s="580">
        <f>HLOOKUP("*"&amp;'Output annual'!$AC$2&amp;'Output annual'!$AD$2&amp;"*FangerPMV(Hourly)",'Eplus results'!$1:$1048576,ROW(),FALSE)</f>
        <v>0</v>
      </c>
      <c r="AD2264" s="580">
        <f t="shared" si="211"/>
        <v>5</v>
      </c>
      <c r="AE2264" s="580">
        <f t="shared" si="212"/>
        <v>2.5</v>
      </c>
      <c r="AF2264" s="580">
        <f t="shared" si="213"/>
        <v>2.5</v>
      </c>
      <c r="AG2264" s="580">
        <f t="shared" si="214"/>
        <v>0</v>
      </c>
      <c r="AH2264" s="580">
        <f t="shared" si="215"/>
        <v>0</v>
      </c>
    </row>
    <row r="2265" spans="28:34">
      <c r="AB2265" s="580">
        <f>HLOOKUP("*"&amp;'Output annual'!$AC$2&amp;'Output annual'!$AD$2&amp;"*Zone People Number Of Occupants [](Hourly)",'Eplus results'!$1:$1048576,ROW(),FALSE)</f>
        <v>0</v>
      </c>
      <c r="AC2265" s="580">
        <f>HLOOKUP("*"&amp;'Output annual'!$AC$2&amp;'Output annual'!$AD$2&amp;"*FangerPMV(Hourly)",'Eplus results'!$1:$1048576,ROW(),FALSE)</f>
        <v>0</v>
      </c>
      <c r="AD2265" s="580">
        <f t="shared" si="211"/>
        <v>5</v>
      </c>
      <c r="AE2265" s="580">
        <f t="shared" si="212"/>
        <v>2.5</v>
      </c>
      <c r="AF2265" s="580">
        <f t="shared" si="213"/>
        <v>2.5</v>
      </c>
      <c r="AG2265" s="580">
        <f t="shared" si="214"/>
        <v>0</v>
      </c>
      <c r="AH2265" s="580">
        <f t="shared" si="215"/>
        <v>0</v>
      </c>
    </row>
    <row r="2266" spans="28:34">
      <c r="AB2266" s="580">
        <f>HLOOKUP("*"&amp;'Output annual'!$AC$2&amp;'Output annual'!$AD$2&amp;"*Zone People Number Of Occupants [](Hourly)",'Eplus results'!$1:$1048576,ROW(),FALSE)</f>
        <v>0</v>
      </c>
      <c r="AC2266" s="580">
        <f>HLOOKUP("*"&amp;'Output annual'!$AC$2&amp;'Output annual'!$AD$2&amp;"*FangerPMV(Hourly)",'Eplus results'!$1:$1048576,ROW(),FALSE)</f>
        <v>0</v>
      </c>
      <c r="AD2266" s="580">
        <f t="shared" si="211"/>
        <v>5</v>
      </c>
      <c r="AE2266" s="580">
        <f t="shared" si="212"/>
        <v>2.5</v>
      </c>
      <c r="AF2266" s="580">
        <f t="shared" si="213"/>
        <v>2.5</v>
      </c>
      <c r="AG2266" s="580">
        <f t="shared" si="214"/>
        <v>0</v>
      </c>
      <c r="AH2266" s="580">
        <f t="shared" si="215"/>
        <v>0</v>
      </c>
    </row>
    <row r="2267" spans="28:34">
      <c r="AB2267" s="580">
        <f>HLOOKUP("*"&amp;'Output annual'!$AC$2&amp;'Output annual'!$AD$2&amp;"*Zone People Number Of Occupants [](Hourly)",'Eplus results'!$1:$1048576,ROW(),FALSE)</f>
        <v>0</v>
      </c>
      <c r="AC2267" s="580">
        <f>HLOOKUP("*"&amp;'Output annual'!$AC$2&amp;'Output annual'!$AD$2&amp;"*FangerPMV(Hourly)",'Eplus results'!$1:$1048576,ROW(),FALSE)</f>
        <v>0</v>
      </c>
      <c r="AD2267" s="580">
        <f t="shared" si="211"/>
        <v>5</v>
      </c>
      <c r="AE2267" s="580">
        <f t="shared" si="212"/>
        <v>2.5</v>
      </c>
      <c r="AF2267" s="580">
        <f t="shared" si="213"/>
        <v>2.5</v>
      </c>
      <c r="AG2267" s="580">
        <f t="shared" si="214"/>
        <v>0</v>
      </c>
      <c r="AH2267" s="580">
        <f t="shared" si="215"/>
        <v>0</v>
      </c>
    </row>
    <row r="2268" spans="28:34">
      <c r="AB2268" s="580">
        <f>HLOOKUP("*"&amp;'Output annual'!$AC$2&amp;'Output annual'!$AD$2&amp;"*Zone People Number Of Occupants [](Hourly)",'Eplus results'!$1:$1048576,ROW(),FALSE)</f>
        <v>0</v>
      </c>
      <c r="AC2268" s="580">
        <f>HLOOKUP("*"&amp;'Output annual'!$AC$2&amp;'Output annual'!$AD$2&amp;"*FangerPMV(Hourly)",'Eplus results'!$1:$1048576,ROW(),FALSE)</f>
        <v>0</v>
      </c>
      <c r="AD2268" s="580">
        <f t="shared" si="211"/>
        <v>5</v>
      </c>
      <c r="AE2268" s="580">
        <f t="shared" si="212"/>
        <v>2.5</v>
      </c>
      <c r="AF2268" s="580">
        <f t="shared" si="213"/>
        <v>2.5</v>
      </c>
      <c r="AG2268" s="580">
        <f t="shared" si="214"/>
        <v>0</v>
      </c>
      <c r="AH2268" s="580">
        <f t="shared" si="215"/>
        <v>0</v>
      </c>
    </row>
    <row r="2269" spans="28:34">
      <c r="AB2269" s="580">
        <f>HLOOKUP("*"&amp;'Output annual'!$AC$2&amp;'Output annual'!$AD$2&amp;"*Zone People Number Of Occupants [](Hourly)",'Eplus results'!$1:$1048576,ROW(),FALSE)</f>
        <v>0</v>
      </c>
      <c r="AC2269" s="580">
        <f>HLOOKUP("*"&amp;'Output annual'!$AC$2&amp;'Output annual'!$AD$2&amp;"*FangerPMV(Hourly)",'Eplus results'!$1:$1048576,ROW(),FALSE)</f>
        <v>0</v>
      </c>
      <c r="AD2269" s="580">
        <f t="shared" si="211"/>
        <v>5</v>
      </c>
      <c r="AE2269" s="580">
        <f t="shared" si="212"/>
        <v>2.5</v>
      </c>
      <c r="AF2269" s="580">
        <f t="shared" si="213"/>
        <v>2.5</v>
      </c>
      <c r="AG2269" s="580">
        <f t="shared" si="214"/>
        <v>0</v>
      </c>
      <c r="AH2269" s="580">
        <f t="shared" si="215"/>
        <v>0</v>
      </c>
    </row>
    <row r="2270" spans="28:34">
      <c r="AB2270" s="580">
        <f>HLOOKUP("*"&amp;'Output annual'!$AC$2&amp;'Output annual'!$AD$2&amp;"*Zone People Number Of Occupants [](Hourly)",'Eplus results'!$1:$1048576,ROW(),FALSE)</f>
        <v>0</v>
      </c>
      <c r="AC2270" s="580">
        <f>HLOOKUP("*"&amp;'Output annual'!$AC$2&amp;'Output annual'!$AD$2&amp;"*FangerPMV(Hourly)",'Eplus results'!$1:$1048576,ROW(),FALSE)</f>
        <v>0</v>
      </c>
      <c r="AD2270" s="580">
        <f t="shared" si="211"/>
        <v>5</v>
      </c>
      <c r="AE2270" s="580">
        <f t="shared" si="212"/>
        <v>2.5</v>
      </c>
      <c r="AF2270" s="580">
        <f t="shared" si="213"/>
        <v>2.5</v>
      </c>
      <c r="AG2270" s="580">
        <f t="shared" si="214"/>
        <v>0</v>
      </c>
      <c r="AH2270" s="580">
        <f t="shared" si="215"/>
        <v>0</v>
      </c>
    </row>
    <row r="2271" spans="28:34">
      <c r="AB2271" s="580">
        <f>HLOOKUP("*"&amp;'Output annual'!$AC$2&amp;'Output annual'!$AD$2&amp;"*Zone People Number Of Occupants [](Hourly)",'Eplus results'!$1:$1048576,ROW(),FALSE)</f>
        <v>0</v>
      </c>
      <c r="AC2271" s="580">
        <f>HLOOKUP("*"&amp;'Output annual'!$AC$2&amp;'Output annual'!$AD$2&amp;"*FangerPMV(Hourly)",'Eplus results'!$1:$1048576,ROW(),FALSE)</f>
        <v>0</v>
      </c>
      <c r="AD2271" s="580">
        <f t="shared" si="211"/>
        <v>5</v>
      </c>
      <c r="AE2271" s="580">
        <f t="shared" si="212"/>
        <v>2.5</v>
      </c>
      <c r="AF2271" s="580">
        <f t="shared" si="213"/>
        <v>2.5</v>
      </c>
      <c r="AG2271" s="580">
        <f t="shared" si="214"/>
        <v>0</v>
      </c>
      <c r="AH2271" s="580">
        <f t="shared" si="215"/>
        <v>0</v>
      </c>
    </row>
    <row r="2272" spans="28:34">
      <c r="AB2272" s="580">
        <f>HLOOKUP("*"&amp;'Output annual'!$AC$2&amp;'Output annual'!$AD$2&amp;"*Zone People Number Of Occupants [](Hourly)",'Eplus results'!$1:$1048576,ROW(),FALSE)</f>
        <v>0</v>
      </c>
      <c r="AC2272" s="580">
        <f>HLOOKUP("*"&amp;'Output annual'!$AC$2&amp;'Output annual'!$AD$2&amp;"*FangerPMV(Hourly)",'Eplus results'!$1:$1048576,ROW(),FALSE)</f>
        <v>0</v>
      </c>
      <c r="AD2272" s="580">
        <f t="shared" si="211"/>
        <v>5</v>
      </c>
      <c r="AE2272" s="580">
        <f t="shared" si="212"/>
        <v>2.5</v>
      </c>
      <c r="AF2272" s="580">
        <f t="shared" si="213"/>
        <v>2.5</v>
      </c>
      <c r="AG2272" s="580">
        <f t="shared" si="214"/>
        <v>0</v>
      </c>
      <c r="AH2272" s="580">
        <f t="shared" si="215"/>
        <v>0</v>
      </c>
    </row>
    <row r="2273" spans="28:34">
      <c r="AB2273" s="580">
        <f>HLOOKUP("*"&amp;'Output annual'!$AC$2&amp;'Output annual'!$AD$2&amp;"*Zone People Number Of Occupants [](Hourly)",'Eplus results'!$1:$1048576,ROW(),FALSE)</f>
        <v>0</v>
      </c>
      <c r="AC2273" s="580">
        <f>HLOOKUP("*"&amp;'Output annual'!$AC$2&amp;'Output annual'!$AD$2&amp;"*FangerPMV(Hourly)",'Eplus results'!$1:$1048576,ROW(),FALSE)</f>
        <v>0</v>
      </c>
      <c r="AD2273" s="580">
        <f t="shared" si="211"/>
        <v>5</v>
      </c>
      <c r="AE2273" s="580">
        <f t="shared" si="212"/>
        <v>2.5</v>
      </c>
      <c r="AF2273" s="580">
        <f t="shared" si="213"/>
        <v>2.5</v>
      </c>
      <c r="AG2273" s="580">
        <f t="shared" si="214"/>
        <v>0</v>
      </c>
      <c r="AH2273" s="580">
        <f t="shared" si="215"/>
        <v>0</v>
      </c>
    </row>
    <row r="2274" spans="28:34">
      <c r="AB2274" s="580">
        <f>HLOOKUP("*"&amp;'Output annual'!$AC$2&amp;'Output annual'!$AD$2&amp;"*Zone People Number Of Occupants [](Hourly)",'Eplus results'!$1:$1048576,ROW(),FALSE)</f>
        <v>0</v>
      </c>
      <c r="AC2274" s="580">
        <f>HLOOKUP("*"&amp;'Output annual'!$AC$2&amp;'Output annual'!$AD$2&amp;"*FangerPMV(Hourly)",'Eplus results'!$1:$1048576,ROW(),FALSE)</f>
        <v>0</v>
      </c>
      <c r="AD2274" s="580">
        <f t="shared" si="211"/>
        <v>5</v>
      </c>
      <c r="AE2274" s="580">
        <f t="shared" si="212"/>
        <v>2.5</v>
      </c>
      <c r="AF2274" s="580">
        <f t="shared" si="213"/>
        <v>2.5</v>
      </c>
      <c r="AG2274" s="580">
        <f t="shared" si="214"/>
        <v>0</v>
      </c>
      <c r="AH2274" s="580">
        <f t="shared" si="215"/>
        <v>0</v>
      </c>
    </row>
    <row r="2275" spans="28:34">
      <c r="AB2275" s="580">
        <f>HLOOKUP("*"&amp;'Output annual'!$AC$2&amp;'Output annual'!$AD$2&amp;"*Zone People Number Of Occupants [](Hourly)",'Eplus results'!$1:$1048576,ROW(),FALSE)</f>
        <v>0</v>
      </c>
      <c r="AC2275" s="580">
        <f>HLOOKUP("*"&amp;'Output annual'!$AC$2&amp;'Output annual'!$AD$2&amp;"*FangerPMV(Hourly)",'Eplus results'!$1:$1048576,ROW(),FALSE)</f>
        <v>0</v>
      </c>
      <c r="AD2275" s="580">
        <f t="shared" si="211"/>
        <v>5</v>
      </c>
      <c r="AE2275" s="580">
        <f t="shared" si="212"/>
        <v>2.5</v>
      </c>
      <c r="AF2275" s="580">
        <f t="shared" si="213"/>
        <v>2.5</v>
      </c>
      <c r="AG2275" s="580">
        <f t="shared" si="214"/>
        <v>0</v>
      </c>
      <c r="AH2275" s="580">
        <f t="shared" si="215"/>
        <v>0</v>
      </c>
    </row>
    <row r="2276" spans="28:34">
      <c r="AB2276" s="580">
        <f>HLOOKUP("*"&amp;'Output annual'!$AC$2&amp;'Output annual'!$AD$2&amp;"*Zone People Number Of Occupants [](Hourly)",'Eplus results'!$1:$1048576,ROW(),FALSE)</f>
        <v>0</v>
      </c>
      <c r="AC2276" s="580">
        <f>HLOOKUP("*"&amp;'Output annual'!$AC$2&amp;'Output annual'!$AD$2&amp;"*FangerPMV(Hourly)",'Eplus results'!$1:$1048576,ROW(),FALSE)</f>
        <v>0</v>
      </c>
      <c r="AD2276" s="580">
        <f t="shared" si="211"/>
        <v>5</v>
      </c>
      <c r="AE2276" s="580">
        <f t="shared" si="212"/>
        <v>2.5</v>
      </c>
      <c r="AF2276" s="580">
        <f t="shared" si="213"/>
        <v>2.5</v>
      </c>
      <c r="AG2276" s="580">
        <f t="shared" si="214"/>
        <v>0</v>
      </c>
      <c r="AH2276" s="580">
        <f t="shared" si="215"/>
        <v>0</v>
      </c>
    </row>
    <row r="2277" spans="28:34">
      <c r="AB2277" s="580">
        <f>HLOOKUP("*"&amp;'Output annual'!$AC$2&amp;'Output annual'!$AD$2&amp;"*Zone People Number Of Occupants [](Hourly)",'Eplus results'!$1:$1048576,ROW(),FALSE)</f>
        <v>0</v>
      </c>
      <c r="AC2277" s="580">
        <f>HLOOKUP("*"&amp;'Output annual'!$AC$2&amp;'Output annual'!$AD$2&amp;"*FangerPMV(Hourly)",'Eplus results'!$1:$1048576,ROW(),FALSE)</f>
        <v>0</v>
      </c>
      <c r="AD2277" s="580">
        <f t="shared" si="211"/>
        <v>5</v>
      </c>
      <c r="AE2277" s="580">
        <f t="shared" si="212"/>
        <v>2.5</v>
      </c>
      <c r="AF2277" s="580">
        <f t="shared" si="213"/>
        <v>2.5</v>
      </c>
      <c r="AG2277" s="580">
        <f t="shared" si="214"/>
        <v>0</v>
      </c>
      <c r="AH2277" s="580">
        <f t="shared" si="215"/>
        <v>0</v>
      </c>
    </row>
    <row r="2278" spans="28:34">
      <c r="AB2278" s="580">
        <f>HLOOKUP("*"&amp;'Output annual'!$AC$2&amp;'Output annual'!$AD$2&amp;"*Zone People Number Of Occupants [](Hourly)",'Eplus results'!$1:$1048576,ROW(),FALSE)</f>
        <v>0</v>
      </c>
      <c r="AC2278" s="580">
        <f>HLOOKUP("*"&amp;'Output annual'!$AC$2&amp;'Output annual'!$AD$2&amp;"*FangerPMV(Hourly)",'Eplus results'!$1:$1048576,ROW(),FALSE)</f>
        <v>0</v>
      </c>
      <c r="AD2278" s="580">
        <f t="shared" si="211"/>
        <v>5</v>
      </c>
      <c r="AE2278" s="580">
        <f t="shared" si="212"/>
        <v>2.5</v>
      </c>
      <c r="AF2278" s="580">
        <f t="shared" si="213"/>
        <v>2.5</v>
      </c>
      <c r="AG2278" s="580">
        <f t="shared" si="214"/>
        <v>0</v>
      </c>
      <c r="AH2278" s="580">
        <f t="shared" si="215"/>
        <v>0</v>
      </c>
    </row>
    <row r="2279" spans="28:34">
      <c r="AB2279" s="580">
        <f>HLOOKUP("*"&amp;'Output annual'!$AC$2&amp;'Output annual'!$AD$2&amp;"*Zone People Number Of Occupants [](Hourly)",'Eplus results'!$1:$1048576,ROW(),FALSE)</f>
        <v>0</v>
      </c>
      <c r="AC2279" s="580">
        <f>HLOOKUP("*"&amp;'Output annual'!$AC$2&amp;'Output annual'!$AD$2&amp;"*FangerPMV(Hourly)",'Eplus results'!$1:$1048576,ROW(),FALSE)</f>
        <v>0</v>
      </c>
      <c r="AD2279" s="580">
        <f t="shared" si="211"/>
        <v>5</v>
      </c>
      <c r="AE2279" s="580">
        <f t="shared" si="212"/>
        <v>2.5</v>
      </c>
      <c r="AF2279" s="580">
        <f t="shared" si="213"/>
        <v>2.5</v>
      </c>
      <c r="AG2279" s="580">
        <f t="shared" si="214"/>
        <v>0</v>
      </c>
      <c r="AH2279" s="580">
        <f t="shared" si="215"/>
        <v>0</v>
      </c>
    </row>
    <row r="2280" spans="28:34">
      <c r="AB2280" s="580">
        <f>HLOOKUP("*"&amp;'Output annual'!$AC$2&amp;'Output annual'!$AD$2&amp;"*Zone People Number Of Occupants [](Hourly)",'Eplus results'!$1:$1048576,ROW(),FALSE)</f>
        <v>0</v>
      </c>
      <c r="AC2280" s="580">
        <f>HLOOKUP("*"&amp;'Output annual'!$AC$2&amp;'Output annual'!$AD$2&amp;"*FangerPMV(Hourly)",'Eplus results'!$1:$1048576,ROW(),FALSE)</f>
        <v>0</v>
      </c>
      <c r="AD2280" s="580">
        <f t="shared" si="211"/>
        <v>5</v>
      </c>
      <c r="AE2280" s="580">
        <f t="shared" si="212"/>
        <v>2.5</v>
      </c>
      <c r="AF2280" s="580">
        <f t="shared" si="213"/>
        <v>2.5</v>
      </c>
      <c r="AG2280" s="580">
        <f t="shared" si="214"/>
        <v>0</v>
      </c>
      <c r="AH2280" s="580">
        <f t="shared" si="215"/>
        <v>0</v>
      </c>
    </row>
    <row r="2281" spans="28:34">
      <c r="AB2281" s="580">
        <f>HLOOKUP("*"&amp;'Output annual'!$AC$2&amp;'Output annual'!$AD$2&amp;"*Zone People Number Of Occupants [](Hourly)",'Eplus results'!$1:$1048576,ROW(),FALSE)</f>
        <v>0</v>
      </c>
      <c r="AC2281" s="580">
        <f>HLOOKUP("*"&amp;'Output annual'!$AC$2&amp;'Output annual'!$AD$2&amp;"*FangerPMV(Hourly)",'Eplus results'!$1:$1048576,ROW(),FALSE)</f>
        <v>0</v>
      </c>
      <c r="AD2281" s="580">
        <f t="shared" si="211"/>
        <v>5</v>
      </c>
      <c r="AE2281" s="580">
        <f t="shared" si="212"/>
        <v>2.5</v>
      </c>
      <c r="AF2281" s="580">
        <f t="shared" si="213"/>
        <v>2.5</v>
      </c>
      <c r="AG2281" s="580">
        <f t="shared" si="214"/>
        <v>0</v>
      </c>
      <c r="AH2281" s="580">
        <f t="shared" si="215"/>
        <v>0</v>
      </c>
    </row>
    <row r="2282" spans="28:34">
      <c r="AB2282" s="580">
        <f>HLOOKUP("*"&amp;'Output annual'!$AC$2&amp;'Output annual'!$AD$2&amp;"*Zone People Number Of Occupants [](Hourly)",'Eplus results'!$1:$1048576,ROW(),FALSE)</f>
        <v>0</v>
      </c>
      <c r="AC2282" s="580">
        <f>HLOOKUP("*"&amp;'Output annual'!$AC$2&amp;'Output annual'!$AD$2&amp;"*FangerPMV(Hourly)",'Eplus results'!$1:$1048576,ROW(),FALSE)</f>
        <v>0</v>
      </c>
      <c r="AD2282" s="580">
        <f t="shared" si="211"/>
        <v>5</v>
      </c>
      <c r="AE2282" s="580">
        <f t="shared" si="212"/>
        <v>2.5</v>
      </c>
      <c r="AF2282" s="580">
        <f t="shared" si="213"/>
        <v>2.5</v>
      </c>
      <c r="AG2282" s="580">
        <f t="shared" si="214"/>
        <v>0</v>
      </c>
      <c r="AH2282" s="580">
        <f t="shared" si="215"/>
        <v>0</v>
      </c>
    </row>
    <row r="2283" spans="28:34">
      <c r="AB2283" s="580">
        <f>HLOOKUP("*"&amp;'Output annual'!$AC$2&amp;'Output annual'!$AD$2&amp;"*Zone People Number Of Occupants [](Hourly)",'Eplus results'!$1:$1048576,ROW(),FALSE)</f>
        <v>0</v>
      </c>
      <c r="AC2283" s="580">
        <f>HLOOKUP("*"&amp;'Output annual'!$AC$2&amp;'Output annual'!$AD$2&amp;"*FangerPMV(Hourly)",'Eplus results'!$1:$1048576,ROW(),FALSE)</f>
        <v>0</v>
      </c>
      <c r="AD2283" s="580">
        <f t="shared" si="211"/>
        <v>5</v>
      </c>
      <c r="AE2283" s="580">
        <f t="shared" si="212"/>
        <v>2.5</v>
      </c>
      <c r="AF2283" s="580">
        <f t="shared" si="213"/>
        <v>2.5</v>
      </c>
      <c r="AG2283" s="580">
        <f t="shared" si="214"/>
        <v>0</v>
      </c>
      <c r="AH2283" s="580">
        <f t="shared" si="215"/>
        <v>0</v>
      </c>
    </row>
    <row r="2284" spans="28:34">
      <c r="AB2284" s="580">
        <f>HLOOKUP("*"&amp;'Output annual'!$AC$2&amp;'Output annual'!$AD$2&amp;"*Zone People Number Of Occupants [](Hourly)",'Eplus results'!$1:$1048576,ROW(),FALSE)</f>
        <v>0</v>
      </c>
      <c r="AC2284" s="580">
        <f>HLOOKUP("*"&amp;'Output annual'!$AC$2&amp;'Output annual'!$AD$2&amp;"*FangerPMV(Hourly)",'Eplus results'!$1:$1048576,ROW(),FALSE)</f>
        <v>0</v>
      </c>
      <c r="AD2284" s="580">
        <f t="shared" si="211"/>
        <v>5</v>
      </c>
      <c r="AE2284" s="580">
        <f t="shared" si="212"/>
        <v>2.5</v>
      </c>
      <c r="AF2284" s="580">
        <f t="shared" si="213"/>
        <v>2.5</v>
      </c>
      <c r="AG2284" s="580">
        <f t="shared" si="214"/>
        <v>0</v>
      </c>
      <c r="AH2284" s="580">
        <f t="shared" si="215"/>
        <v>0</v>
      </c>
    </row>
    <row r="2285" spans="28:34">
      <c r="AB2285" s="580">
        <f>HLOOKUP("*"&amp;'Output annual'!$AC$2&amp;'Output annual'!$AD$2&amp;"*Zone People Number Of Occupants [](Hourly)",'Eplus results'!$1:$1048576,ROW(),FALSE)</f>
        <v>0</v>
      </c>
      <c r="AC2285" s="580">
        <f>HLOOKUP("*"&amp;'Output annual'!$AC$2&amp;'Output annual'!$AD$2&amp;"*FangerPMV(Hourly)",'Eplus results'!$1:$1048576,ROW(),FALSE)</f>
        <v>0</v>
      </c>
      <c r="AD2285" s="580">
        <f t="shared" si="211"/>
        <v>5</v>
      </c>
      <c r="AE2285" s="580">
        <f t="shared" si="212"/>
        <v>2.5</v>
      </c>
      <c r="AF2285" s="580">
        <f t="shared" si="213"/>
        <v>2.5</v>
      </c>
      <c r="AG2285" s="580">
        <f t="shared" si="214"/>
        <v>0</v>
      </c>
      <c r="AH2285" s="580">
        <f t="shared" si="215"/>
        <v>0</v>
      </c>
    </row>
    <row r="2286" spans="28:34">
      <c r="AB2286" s="580">
        <f>HLOOKUP("*"&amp;'Output annual'!$AC$2&amp;'Output annual'!$AD$2&amp;"*Zone People Number Of Occupants [](Hourly)",'Eplus results'!$1:$1048576,ROW(),FALSE)</f>
        <v>0</v>
      </c>
      <c r="AC2286" s="580">
        <f>HLOOKUP("*"&amp;'Output annual'!$AC$2&amp;'Output annual'!$AD$2&amp;"*FangerPMV(Hourly)",'Eplus results'!$1:$1048576,ROW(),FALSE)</f>
        <v>0</v>
      </c>
      <c r="AD2286" s="580">
        <f t="shared" si="211"/>
        <v>5</v>
      </c>
      <c r="AE2286" s="580">
        <f t="shared" si="212"/>
        <v>2.5</v>
      </c>
      <c r="AF2286" s="580">
        <f t="shared" si="213"/>
        <v>2.5</v>
      </c>
      <c r="AG2286" s="580">
        <f t="shared" si="214"/>
        <v>0</v>
      </c>
      <c r="AH2286" s="580">
        <f t="shared" si="215"/>
        <v>0</v>
      </c>
    </row>
    <row r="2287" spans="28:34">
      <c r="AB2287" s="580">
        <f>HLOOKUP("*"&amp;'Output annual'!$AC$2&amp;'Output annual'!$AD$2&amp;"*Zone People Number Of Occupants [](Hourly)",'Eplus results'!$1:$1048576,ROW(),FALSE)</f>
        <v>0</v>
      </c>
      <c r="AC2287" s="580">
        <f>HLOOKUP("*"&amp;'Output annual'!$AC$2&amp;'Output annual'!$AD$2&amp;"*FangerPMV(Hourly)",'Eplus results'!$1:$1048576,ROW(),FALSE)</f>
        <v>0</v>
      </c>
      <c r="AD2287" s="580">
        <f t="shared" si="211"/>
        <v>5</v>
      </c>
      <c r="AE2287" s="580">
        <f t="shared" si="212"/>
        <v>2.5</v>
      </c>
      <c r="AF2287" s="580">
        <f t="shared" si="213"/>
        <v>2.5</v>
      </c>
      <c r="AG2287" s="580">
        <f t="shared" si="214"/>
        <v>0</v>
      </c>
      <c r="AH2287" s="580">
        <f t="shared" si="215"/>
        <v>0</v>
      </c>
    </row>
    <row r="2288" spans="28:34">
      <c r="AB2288" s="580">
        <f>HLOOKUP("*"&amp;'Output annual'!$AC$2&amp;'Output annual'!$AD$2&amp;"*Zone People Number Of Occupants [](Hourly)",'Eplus results'!$1:$1048576,ROW(),FALSE)</f>
        <v>0</v>
      </c>
      <c r="AC2288" s="580">
        <f>HLOOKUP("*"&amp;'Output annual'!$AC$2&amp;'Output annual'!$AD$2&amp;"*FangerPMV(Hourly)",'Eplus results'!$1:$1048576,ROW(),FALSE)</f>
        <v>0</v>
      </c>
      <c r="AD2288" s="580">
        <f t="shared" si="211"/>
        <v>5</v>
      </c>
      <c r="AE2288" s="580">
        <f t="shared" si="212"/>
        <v>2.5</v>
      </c>
      <c r="AF2288" s="580">
        <f t="shared" si="213"/>
        <v>2.5</v>
      </c>
      <c r="AG2288" s="580">
        <f t="shared" si="214"/>
        <v>0</v>
      </c>
      <c r="AH2288" s="580">
        <f t="shared" si="215"/>
        <v>0</v>
      </c>
    </row>
    <row r="2289" spans="28:34">
      <c r="AB2289" s="580">
        <f>HLOOKUP("*"&amp;'Output annual'!$AC$2&amp;'Output annual'!$AD$2&amp;"*Zone People Number Of Occupants [](Hourly)",'Eplus results'!$1:$1048576,ROW(),FALSE)</f>
        <v>0</v>
      </c>
      <c r="AC2289" s="580">
        <f>HLOOKUP("*"&amp;'Output annual'!$AC$2&amp;'Output annual'!$AD$2&amp;"*FangerPMV(Hourly)",'Eplus results'!$1:$1048576,ROW(),FALSE)</f>
        <v>0</v>
      </c>
      <c r="AD2289" s="580">
        <f t="shared" si="211"/>
        <v>5</v>
      </c>
      <c r="AE2289" s="580">
        <f t="shared" si="212"/>
        <v>2.5</v>
      </c>
      <c r="AF2289" s="580">
        <f t="shared" si="213"/>
        <v>2.5</v>
      </c>
      <c r="AG2289" s="580">
        <f t="shared" si="214"/>
        <v>0</v>
      </c>
      <c r="AH2289" s="580">
        <f t="shared" si="215"/>
        <v>0</v>
      </c>
    </row>
    <row r="2290" spans="28:34">
      <c r="AB2290" s="580">
        <f>HLOOKUP("*"&amp;'Output annual'!$AC$2&amp;'Output annual'!$AD$2&amp;"*Zone People Number Of Occupants [](Hourly)",'Eplus results'!$1:$1048576,ROW(),FALSE)</f>
        <v>0</v>
      </c>
      <c r="AC2290" s="580">
        <f>HLOOKUP("*"&amp;'Output annual'!$AC$2&amp;'Output annual'!$AD$2&amp;"*FangerPMV(Hourly)",'Eplus results'!$1:$1048576,ROW(),FALSE)</f>
        <v>0</v>
      </c>
      <c r="AD2290" s="580">
        <f t="shared" si="211"/>
        <v>5</v>
      </c>
      <c r="AE2290" s="580">
        <f t="shared" si="212"/>
        <v>2.5</v>
      </c>
      <c r="AF2290" s="580">
        <f t="shared" si="213"/>
        <v>2.5</v>
      </c>
      <c r="AG2290" s="580">
        <f t="shared" si="214"/>
        <v>0</v>
      </c>
      <c r="AH2290" s="580">
        <f t="shared" si="215"/>
        <v>0</v>
      </c>
    </row>
    <row r="2291" spans="28:34">
      <c r="AB2291" s="580">
        <f>HLOOKUP("*"&amp;'Output annual'!$AC$2&amp;'Output annual'!$AD$2&amp;"*Zone People Number Of Occupants [](Hourly)",'Eplus results'!$1:$1048576,ROW(),FALSE)</f>
        <v>0</v>
      </c>
      <c r="AC2291" s="580">
        <f>HLOOKUP("*"&amp;'Output annual'!$AC$2&amp;'Output annual'!$AD$2&amp;"*FangerPMV(Hourly)",'Eplus results'!$1:$1048576,ROW(),FALSE)</f>
        <v>0</v>
      </c>
      <c r="AD2291" s="580">
        <f t="shared" si="211"/>
        <v>5</v>
      </c>
      <c r="AE2291" s="580">
        <f t="shared" si="212"/>
        <v>2.5</v>
      </c>
      <c r="AF2291" s="580">
        <f t="shared" si="213"/>
        <v>2.5</v>
      </c>
      <c r="AG2291" s="580">
        <f t="shared" si="214"/>
        <v>0</v>
      </c>
      <c r="AH2291" s="580">
        <f t="shared" si="215"/>
        <v>0</v>
      </c>
    </row>
    <row r="2292" spans="28:34">
      <c r="AB2292" s="580">
        <f>HLOOKUP("*"&amp;'Output annual'!$AC$2&amp;'Output annual'!$AD$2&amp;"*Zone People Number Of Occupants [](Hourly)",'Eplus results'!$1:$1048576,ROW(),FALSE)</f>
        <v>0</v>
      </c>
      <c r="AC2292" s="580">
        <f>HLOOKUP("*"&amp;'Output annual'!$AC$2&amp;'Output annual'!$AD$2&amp;"*FangerPMV(Hourly)",'Eplus results'!$1:$1048576,ROW(),FALSE)</f>
        <v>0</v>
      </c>
      <c r="AD2292" s="580">
        <f t="shared" si="211"/>
        <v>5</v>
      </c>
      <c r="AE2292" s="580">
        <f t="shared" si="212"/>
        <v>2.5</v>
      </c>
      <c r="AF2292" s="580">
        <f t="shared" si="213"/>
        <v>2.5</v>
      </c>
      <c r="AG2292" s="580">
        <f t="shared" si="214"/>
        <v>0</v>
      </c>
      <c r="AH2292" s="580">
        <f t="shared" si="215"/>
        <v>0</v>
      </c>
    </row>
    <row r="2293" spans="28:34">
      <c r="AB2293" s="580">
        <f>HLOOKUP("*"&amp;'Output annual'!$AC$2&amp;'Output annual'!$AD$2&amp;"*Zone People Number Of Occupants [](Hourly)",'Eplus results'!$1:$1048576,ROW(),FALSE)</f>
        <v>0</v>
      </c>
      <c r="AC2293" s="580">
        <f>HLOOKUP("*"&amp;'Output annual'!$AC$2&amp;'Output annual'!$AD$2&amp;"*FangerPMV(Hourly)",'Eplus results'!$1:$1048576,ROW(),FALSE)</f>
        <v>0</v>
      </c>
      <c r="AD2293" s="580">
        <f t="shared" si="211"/>
        <v>5</v>
      </c>
      <c r="AE2293" s="580">
        <f t="shared" si="212"/>
        <v>2.5</v>
      </c>
      <c r="AF2293" s="580">
        <f t="shared" si="213"/>
        <v>2.5</v>
      </c>
      <c r="AG2293" s="580">
        <f t="shared" si="214"/>
        <v>0</v>
      </c>
      <c r="AH2293" s="580">
        <f t="shared" si="215"/>
        <v>0</v>
      </c>
    </row>
    <row r="2294" spans="28:34">
      <c r="AB2294" s="580">
        <f>HLOOKUP("*"&amp;'Output annual'!$AC$2&amp;'Output annual'!$AD$2&amp;"*Zone People Number Of Occupants [](Hourly)",'Eplus results'!$1:$1048576,ROW(),FALSE)</f>
        <v>0</v>
      </c>
      <c r="AC2294" s="580">
        <f>HLOOKUP("*"&amp;'Output annual'!$AC$2&amp;'Output annual'!$AD$2&amp;"*FangerPMV(Hourly)",'Eplus results'!$1:$1048576,ROW(),FALSE)</f>
        <v>0</v>
      </c>
      <c r="AD2294" s="580">
        <f t="shared" si="211"/>
        <v>5</v>
      </c>
      <c r="AE2294" s="580">
        <f t="shared" si="212"/>
        <v>2.5</v>
      </c>
      <c r="AF2294" s="580">
        <f t="shared" si="213"/>
        <v>2.5</v>
      </c>
      <c r="AG2294" s="580">
        <f t="shared" si="214"/>
        <v>0</v>
      </c>
      <c r="AH2294" s="580">
        <f t="shared" si="215"/>
        <v>0</v>
      </c>
    </row>
    <row r="2295" spans="28:34">
      <c r="AB2295" s="580">
        <f>HLOOKUP("*"&amp;'Output annual'!$AC$2&amp;'Output annual'!$AD$2&amp;"*Zone People Number Of Occupants [](Hourly)",'Eplus results'!$1:$1048576,ROW(),FALSE)</f>
        <v>0</v>
      </c>
      <c r="AC2295" s="580">
        <f>HLOOKUP("*"&amp;'Output annual'!$AC$2&amp;'Output annual'!$AD$2&amp;"*FangerPMV(Hourly)",'Eplus results'!$1:$1048576,ROW(),FALSE)</f>
        <v>0</v>
      </c>
      <c r="AD2295" s="580">
        <f t="shared" si="211"/>
        <v>5</v>
      </c>
      <c r="AE2295" s="580">
        <f t="shared" si="212"/>
        <v>2.5</v>
      </c>
      <c r="AF2295" s="580">
        <f t="shared" si="213"/>
        <v>2.5</v>
      </c>
      <c r="AG2295" s="580">
        <f t="shared" si="214"/>
        <v>0</v>
      </c>
      <c r="AH2295" s="580">
        <f t="shared" si="215"/>
        <v>0</v>
      </c>
    </row>
    <row r="2296" spans="28:34">
      <c r="AB2296" s="580">
        <f>HLOOKUP("*"&amp;'Output annual'!$AC$2&amp;'Output annual'!$AD$2&amp;"*Zone People Number Of Occupants [](Hourly)",'Eplus results'!$1:$1048576,ROW(),FALSE)</f>
        <v>0</v>
      </c>
      <c r="AC2296" s="580">
        <f>HLOOKUP("*"&amp;'Output annual'!$AC$2&amp;'Output annual'!$AD$2&amp;"*FangerPMV(Hourly)",'Eplus results'!$1:$1048576,ROW(),FALSE)</f>
        <v>0</v>
      </c>
      <c r="AD2296" s="580">
        <f t="shared" si="211"/>
        <v>5</v>
      </c>
      <c r="AE2296" s="580">
        <f t="shared" si="212"/>
        <v>2.5</v>
      </c>
      <c r="AF2296" s="580">
        <f t="shared" si="213"/>
        <v>2.5</v>
      </c>
      <c r="AG2296" s="580">
        <f t="shared" si="214"/>
        <v>0</v>
      </c>
      <c r="AH2296" s="580">
        <f t="shared" si="215"/>
        <v>0</v>
      </c>
    </row>
    <row r="2297" spans="28:34">
      <c r="AB2297" s="580">
        <f>HLOOKUP("*"&amp;'Output annual'!$AC$2&amp;'Output annual'!$AD$2&amp;"*Zone People Number Of Occupants [](Hourly)",'Eplus results'!$1:$1048576,ROW(),FALSE)</f>
        <v>0</v>
      </c>
      <c r="AC2297" s="580">
        <f>HLOOKUP("*"&amp;'Output annual'!$AC$2&amp;'Output annual'!$AD$2&amp;"*FangerPMV(Hourly)",'Eplus results'!$1:$1048576,ROW(),FALSE)</f>
        <v>0</v>
      </c>
      <c r="AD2297" s="580">
        <f t="shared" si="211"/>
        <v>5</v>
      </c>
      <c r="AE2297" s="580">
        <f t="shared" si="212"/>
        <v>2.5</v>
      </c>
      <c r="AF2297" s="580">
        <f t="shared" si="213"/>
        <v>2.5</v>
      </c>
      <c r="AG2297" s="580">
        <f t="shared" si="214"/>
        <v>0</v>
      </c>
      <c r="AH2297" s="580">
        <f t="shared" si="215"/>
        <v>0</v>
      </c>
    </row>
    <row r="2298" spans="28:34">
      <c r="AB2298" s="580">
        <f>HLOOKUP("*"&amp;'Output annual'!$AC$2&amp;'Output annual'!$AD$2&amp;"*Zone People Number Of Occupants [](Hourly)",'Eplus results'!$1:$1048576,ROW(),FALSE)</f>
        <v>0</v>
      </c>
      <c r="AC2298" s="580">
        <f>HLOOKUP("*"&amp;'Output annual'!$AC$2&amp;'Output annual'!$AD$2&amp;"*FangerPMV(Hourly)",'Eplus results'!$1:$1048576,ROW(),FALSE)</f>
        <v>0</v>
      </c>
      <c r="AD2298" s="580">
        <f t="shared" si="211"/>
        <v>5</v>
      </c>
      <c r="AE2298" s="580">
        <f t="shared" si="212"/>
        <v>2.5</v>
      </c>
      <c r="AF2298" s="580">
        <f t="shared" si="213"/>
        <v>2.5</v>
      </c>
      <c r="AG2298" s="580">
        <f t="shared" si="214"/>
        <v>0</v>
      </c>
      <c r="AH2298" s="580">
        <f t="shared" si="215"/>
        <v>0</v>
      </c>
    </row>
    <row r="2299" spans="28:34">
      <c r="AB2299" s="580">
        <f>HLOOKUP("*"&amp;'Output annual'!$AC$2&amp;'Output annual'!$AD$2&amp;"*Zone People Number Of Occupants [](Hourly)",'Eplus results'!$1:$1048576,ROW(),FALSE)</f>
        <v>0</v>
      </c>
      <c r="AC2299" s="580">
        <f>HLOOKUP("*"&amp;'Output annual'!$AC$2&amp;'Output annual'!$AD$2&amp;"*FangerPMV(Hourly)",'Eplus results'!$1:$1048576,ROW(),FALSE)</f>
        <v>0</v>
      </c>
      <c r="AD2299" s="580">
        <f t="shared" si="211"/>
        <v>5</v>
      </c>
      <c r="AE2299" s="580">
        <f t="shared" si="212"/>
        <v>2.5</v>
      </c>
      <c r="AF2299" s="580">
        <f t="shared" si="213"/>
        <v>2.5</v>
      </c>
      <c r="AG2299" s="580">
        <f t="shared" si="214"/>
        <v>0</v>
      </c>
      <c r="AH2299" s="580">
        <f t="shared" si="215"/>
        <v>0</v>
      </c>
    </row>
    <row r="2300" spans="28:34">
      <c r="AB2300" s="580">
        <f>HLOOKUP("*"&amp;'Output annual'!$AC$2&amp;'Output annual'!$AD$2&amp;"*Zone People Number Of Occupants [](Hourly)",'Eplus results'!$1:$1048576,ROW(),FALSE)</f>
        <v>0</v>
      </c>
      <c r="AC2300" s="580">
        <f>HLOOKUP("*"&amp;'Output annual'!$AC$2&amp;'Output annual'!$AD$2&amp;"*FangerPMV(Hourly)",'Eplus results'!$1:$1048576,ROW(),FALSE)</f>
        <v>0</v>
      </c>
      <c r="AD2300" s="580">
        <f t="shared" si="211"/>
        <v>5</v>
      </c>
      <c r="AE2300" s="580">
        <f t="shared" si="212"/>
        <v>2.5</v>
      </c>
      <c r="AF2300" s="580">
        <f t="shared" si="213"/>
        <v>2.5</v>
      </c>
      <c r="AG2300" s="580">
        <f t="shared" si="214"/>
        <v>0</v>
      </c>
      <c r="AH2300" s="580">
        <f t="shared" si="215"/>
        <v>0</v>
      </c>
    </row>
    <row r="2301" spans="28:34">
      <c r="AB2301" s="580">
        <f>HLOOKUP("*"&amp;'Output annual'!$AC$2&amp;'Output annual'!$AD$2&amp;"*Zone People Number Of Occupants [](Hourly)",'Eplus results'!$1:$1048576,ROW(),FALSE)</f>
        <v>0</v>
      </c>
      <c r="AC2301" s="580">
        <f>HLOOKUP("*"&amp;'Output annual'!$AC$2&amp;'Output annual'!$AD$2&amp;"*FangerPMV(Hourly)",'Eplus results'!$1:$1048576,ROW(),FALSE)</f>
        <v>0</v>
      </c>
      <c r="AD2301" s="580">
        <f t="shared" si="211"/>
        <v>5</v>
      </c>
      <c r="AE2301" s="580">
        <f t="shared" si="212"/>
        <v>2.5</v>
      </c>
      <c r="AF2301" s="580">
        <f t="shared" si="213"/>
        <v>2.5</v>
      </c>
      <c r="AG2301" s="580">
        <f t="shared" si="214"/>
        <v>0</v>
      </c>
      <c r="AH2301" s="580">
        <f t="shared" si="215"/>
        <v>0</v>
      </c>
    </row>
    <row r="2302" spans="28:34">
      <c r="AB2302" s="580">
        <f>HLOOKUP("*"&amp;'Output annual'!$AC$2&amp;'Output annual'!$AD$2&amp;"*Zone People Number Of Occupants [](Hourly)",'Eplus results'!$1:$1048576,ROW(),FALSE)</f>
        <v>0</v>
      </c>
      <c r="AC2302" s="580">
        <f>HLOOKUP("*"&amp;'Output annual'!$AC$2&amp;'Output annual'!$AD$2&amp;"*FangerPMV(Hourly)",'Eplus results'!$1:$1048576,ROW(),FALSE)</f>
        <v>0</v>
      </c>
      <c r="AD2302" s="580">
        <f t="shared" si="211"/>
        <v>5</v>
      </c>
      <c r="AE2302" s="580">
        <f t="shared" si="212"/>
        <v>2.5</v>
      </c>
      <c r="AF2302" s="580">
        <f t="shared" si="213"/>
        <v>2.5</v>
      </c>
      <c r="AG2302" s="580">
        <f t="shared" si="214"/>
        <v>0</v>
      </c>
      <c r="AH2302" s="580">
        <f t="shared" si="215"/>
        <v>0</v>
      </c>
    </row>
    <row r="2303" spans="28:34">
      <c r="AB2303" s="580">
        <f>HLOOKUP("*"&amp;'Output annual'!$AC$2&amp;'Output annual'!$AD$2&amp;"*Zone People Number Of Occupants [](Hourly)",'Eplus results'!$1:$1048576,ROW(),FALSE)</f>
        <v>0</v>
      </c>
      <c r="AC2303" s="580">
        <f>HLOOKUP("*"&amp;'Output annual'!$AC$2&amp;'Output annual'!$AD$2&amp;"*FangerPMV(Hourly)",'Eplus results'!$1:$1048576,ROW(),FALSE)</f>
        <v>0</v>
      </c>
      <c r="AD2303" s="580">
        <f t="shared" si="211"/>
        <v>5</v>
      </c>
      <c r="AE2303" s="580">
        <f t="shared" si="212"/>
        <v>2.5</v>
      </c>
      <c r="AF2303" s="580">
        <f t="shared" si="213"/>
        <v>2.5</v>
      </c>
      <c r="AG2303" s="580">
        <f t="shared" si="214"/>
        <v>0</v>
      </c>
      <c r="AH2303" s="580">
        <f t="shared" si="215"/>
        <v>0</v>
      </c>
    </row>
    <row r="2304" spans="28:34">
      <c r="AB2304" s="580">
        <f>HLOOKUP("*"&amp;'Output annual'!$AC$2&amp;'Output annual'!$AD$2&amp;"*Zone People Number Of Occupants [](Hourly)",'Eplus results'!$1:$1048576,ROW(),FALSE)</f>
        <v>0</v>
      </c>
      <c r="AC2304" s="580">
        <f>HLOOKUP("*"&amp;'Output annual'!$AC$2&amp;'Output annual'!$AD$2&amp;"*FangerPMV(Hourly)",'Eplus results'!$1:$1048576,ROW(),FALSE)</f>
        <v>0</v>
      </c>
      <c r="AD2304" s="580">
        <f t="shared" si="211"/>
        <v>5</v>
      </c>
      <c r="AE2304" s="580">
        <f t="shared" si="212"/>
        <v>2.5</v>
      </c>
      <c r="AF2304" s="580">
        <f t="shared" si="213"/>
        <v>2.5</v>
      </c>
      <c r="AG2304" s="580">
        <f t="shared" si="214"/>
        <v>0</v>
      </c>
      <c r="AH2304" s="580">
        <f t="shared" si="215"/>
        <v>0</v>
      </c>
    </row>
    <row r="2305" spans="28:34">
      <c r="AB2305" s="580">
        <f>HLOOKUP("*"&amp;'Output annual'!$AC$2&amp;'Output annual'!$AD$2&amp;"*Zone People Number Of Occupants [](Hourly)",'Eplus results'!$1:$1048576,ROW(),FALSE)</f>
        <v>0</v>
      </c>
      <c r="AC2305" s="580">
        <f>HLOOKUP("*"&amp;'Output annual'!$AC$2&amp;'Output annual'!$AD$2&amp;"*FangerPMV(Hourly)",'Eplus results'!$1:$1048576,ROW(),FALSE)</f>
        <v>0</v>
      </c>
      <c r="AD2305" s="580">
        <f t="shared" si="211"/>
        <v>5</v>
      </c>
      <c r="AE2305" s="580">
        <f t="shared" si="212"/>
        <v>2.5</v>
      </c>
      <c r="AF2305" s="580">
        <f t="shared" si="213"/>
        <v>2.5</v>
      </c>
      <c r="AG2305" s="580">
        <f t="shared" si="214"/>
        <v>0</v>
      </c>
      <c r="AH2305" s="580">
        <f t="shared" si="215"/>
        <v>0</v>
      </c>
    </row>
    <row r="2306" spans="28:34">
      <c r="AB2306" s="580">
        <f>HLOOKUP("*"&amp;'Output annual'!$AC$2&amp;'Output annual'!$AD$2&amp;"*Zone People Number Of Occupants [](Hourly)",'Eplus results'!$1:$1048576,ROW(),FALSE)</f>
        <v>0</v>
      </c>
      <c r="AC2306" s="580">
        <f>HLOOKUP("*"&amp;'Output annual'!$AC$2&amp;'Output annual'!$AD$2&amp;"*FangerPMV(Hourly)",'Eplus results'!$1:$1048576,ROW(),FALSE)</f>
        <v>0</v>
      </c>
      <c r="AD2306" s="580">
        <f t="shared" si="211"/>
        <v>5</v>
      </c>
      <c r="AE2306" s="580">
        <f t="shared" si="212"/>
        <v>2.5</v>
      </c>
      <c r="AF2306" s="580">
        <f t="shared" si="213"/>
        <v>2.5</v>
      </c>
      <c r="AG2306" s="580">
        <f t="shared" si="214"/>
        <v>0</v>
      </c>
      <c r="AH2306" s="580">
        <f t="shared" si="215"/>
        <v>0</v>
      </c>
    </row>
    <row r="2307" spans="28:34">
      <c r="AB2307" s="580">
        <f>HLOOKUP("*"&amp;'Output annual'!$AC$2&amp;'Output annual'!$AD$2&amp;"*Zone People Number Of Occupants [](Hourly)",'Eplus results'!$1:$1048576,ROW(),FALSE)</f>
        <v>0</v>
      </c>
      <c r="AC2307" s="580">
        <f>HLOOKUP("*"&amp;'Output annual'!$AC$2&amp;'Output annual'!$AD$2&amp;"*FangerPMV(Hourly)",'Eplus results'!$1:$1048576,ROW(),FALSE)</f>
        <v>0</v>
      </c>
      <c r="AD2307" s="580">
        <f t="shared" ref="AD2307:AD2370" si="216">100-95*EXP(-0.03353*AC2307^4-0.2179*AC2307^2)</f>
        <v>5</v>
      </c>
      <c r="AE2307" s="580">
        <f t="shared" ref="AE2307:AE2370" si="217">AD2307*(1/(1+EXP(-6.3*$AC2307)))</f>
        <v>2.5</v>
      </c>
      <c r="AF2307" s="580">
        <f t="shared" ref="AF2307:AF2370" si="218">(AD2307-AE2307)</f>
        <v>2.5</v>
      </c>
      <c r="AG2307" s="580">
        <f t="shared" ref="AG2307:AG2370" si="219">AE2307*AB2307</f>
        <v>0</v>
      </c>
      <c r="AH2307" s="580">
        <f t="shared" ref="AH2307:AH2370" si="220">AF2307*AB2307</f>
        <v>0</v>
      </c>
    </row>
    <row r="2308" spans="28:34">
      <c r="AB2308" s="580">
        <f>HLOOKUP("*"&amp;'Output annual'!$AC$2&amp;'Output annual'!$AD$2&amp;"*Zone People Number Of Occupants [](Hourly)",'Eplus results'!$1:$1048576,ROW(),FALSE)</f>
        <v>0</v>
      </c>
      <c r="AC2308" s="580">
        <f>HLOOKUP("*"&amp;'Output annual'!$AC$2&amp;'Output annual'!$AD$2&amp;"*FangerPMV(Hourly)",'Eplus results'!$1:$1048576,ROW(),FALSE)</f>
        <v>0</v>
      </c>
      <c r="AD2308" s="580">
        <f t="shared" si="216"/>
        <v>5</v>
      </c>
      <c r="AE2308" s="580">
        <f t="shared" si="217"/>
        <v>2.5</v>
      </c>
      <c r="AF2308" s="580">
        <f t="shared" si="218"/>
        <v>2.5</v>
      </c>
      <c r="AG2308" s="580">
        <f t="shared" si="219"/>
        <v>0</v>
      </c>
      <c r="AH2308" s="580">
        <f t="shared" si="220"/>
        <v>0</v>
      </c>
    </row>
    <row r="2309" spans="28:34">
      <c r="AB2309" s="580">
        <f>HLOOKUP("*"&amp;'Output annual'!$AC$2&amp;'Output annual'!$AD$2&amp;"*Zone People Number Of Occupants [](Hourly)",'Eplus results'!$1:$1048576,ROW(),FALSE)</f>
        <v>0</v>
      </c>
      <c r="AC2309" s="580">
        <f>HLOOKUP("*"&amp;'Output annual'!$AC$2&amp;'Output annual'!$AD$2&amp;"*FangerPMV(Hourly)",'Eplus results'!$1:$1048576,ROW(),FALSE)</f>
        <v>0</v>
      </c>
      <c r="AD2309" s="580">
        <f t="shared" si="216"/>
        <v>5</v>
      </c>
      <c r="AE2309" s="580">
        <f t="shared" si="217"/>
        <v>2.5</v>
      </c>
      <c r="AF2309" s="580">
        <f t="shared" si="218"/>
        <v>2.5</v>
      </c>
      <c r="AG2309" s="580">
        <f t="shared" si="219"/>
        <v>0</v>
      </c>
      <c r="AH2309" s="580">
        <f t="shared" si="220"/>
        <v>0</v>
      </c>
    </row>
    <row r="2310" spans="28:34">
      <c r="AB2310" s="580">
        <f>HLOOKUP("*"&amp;'Output annual'!$AC$2&amp;'Output annual'!$AD$2&amp;"*Zone People Number Of Occupants [](Hourly)",'Eplus results'!$1:$1048576,ROW(),FALSE)</f>
        <v>0</v>
      </c>
      <c r="AC2310" s="580">
        <f>HLOOKUP("*"&amp;'Output annual'!$AC$2&amp;'Output annual'!$AD$2&amp;"*FangerPMV(Hourly)",'Eplus results'!$1:$1048576,ROW(),FALSE)</f>
        <v>0</v>
      </c>
      <c r="AD2310" s="580">
        <f t="shared" si="216"/>
        <v>5</v>
      </c>
      <c r="AE2310" s="580">
        <f t="shared" si="217"/>
        <v>2.5</v>
      </c>
      <c r="AF2310" s="580">
        <f t="shared" si="218"/>
        <v>2.5</v>
      </c>
      <c r="AG2310" s="580">
        <f t="shared" si="219"/>
        <v>0</v>
      </c>
      <c r="AH2310" s="580">
        <f t="shared" si="220"/>
        <v>0</v>
      </c>
    </row>
    <row r="2311" spans="28:34">
      <c r="AB2311" s="580">
        <f>HLOOKUP("*"&amp;'Output annual'!$AC$2&amp;'Output annual'!$AD$2&amp;"*Zone People Number Of Occupants [](Hourly)",'Eplus results'!$1:$1048576,ROW(),FALSE)</f>
        <v>0</v>
      </c>
      <c r="AC2311" s="580">
        <f>HLOOKUP("*"&amp;'Output annual'!$AC$2&amp;'Output annual'!$AD$2&amp;"*FangerPMV(Hourly)",'Eplus results'!$1:$1048576,ROW(),FALSE)</f>
        <v>0</v>
      </c>
      <c r="AD2311" s="580">
        <f t="shared" si="216"/>
        <v>5</v>
      </c>
      <c r="AE2311" s="580">
        <f t="shared" si="217"/>
        <v>2.5</v>
      </c>
      <c r="AF2311" s="580">
        <f t="shared" si="218"/>
        <v>2.5</v>
      </c>
      <c r="AG2311" s="580">
        <f t="shared" si="219"/>
        <v>0</v>
      </c>
      <c r="AH2311" s="580">
        <f t="shared" si="220"/>
        <v>0</v>
      </c>
    </row>
    <row r="2312" spans="28:34">
      <c r="AB2312" s="580">
        <f>HLOOKUP("*"&amp;'Output annual'!$AC$2&amp;'Output annual'!$AD$2&amp;"*Zone People Number Of Occupants [](Hourly)",'Eplus results'!$1:$1048576,ROW(),FALSE)</f>
        <v>0</v>
      </c>
      <c r="AC2312" s="580">
        <f>HLOOKUP("*"&amp;'Output annual'!$AC$2&amp;'Output annual'!$AD$2&amp;"*FangerPMV(Hourly)",'Eplus results'!$1:$1048576,ROW(),FALSE)</f>
        <v>0</v>
      </c>
      <c r="AD2312" s="580">
        <f t="shared" si="216"/>
        <v>5</v>
      </c>
      <c r="AE2312" s="580">
        <f t="shared" si="217"/>
        <v>2.5</v>
      </c>
      <c r="AF2312" s="580">
        <f t="shared" si="218"/>
        <v>2.5</v>
      </c>
      <c r="AG2312" s="580">
        <f t="shared" si="219"/>
        <v>0</v>
      </c>
      <c r="AH2312" s="580">
        <f t="shared" si="220"/>
        <v>0</v>
      </c>
    </row>
    <row r="2313" spans="28:34">
      <c r="AB2313" s="580">
        <f>HLOOKUP("*"&amp;'Output annual'!$AC$2&amp;'Output annual'!$AD$2&amp;"*Zone People Number Of Occupants [](Hourly)",'Eplus results'!$1:$1048576,ROW(),FALSE)</f>
        <v>0</v>
      </c>
      <c r="AC2313" s="580">
        <f>HLOOKUP("*"&amp;'Output annual'!$AC$2&amp;'Output annual'!$AD$2&amp;"*FangerPMV(Hourly)",'Eplus results'!$1:$1048576,ROW(),FALSE)</f>
        <v>0</v>
      </c>
      <c r="AD2313" s="580">
        <f t="shared" si="216"/>
        <v>5</v>
      </c>
      <c r="AE2313" s="580">
        <f t="shared" si="217"/>
        <v>2.5</v>
      </c>
      <c r="AF2313" s="580">
        <f t="shared" si="218"/>
        <v>2.5</v>
      </c>
      <c r="AG2313" s="580">
        <f t="shared" si="219"/>
        <v>0</v>
      </c>
      <c r="AH2313" s="580">
        <f t="shared" si="220"/>
        <v>0</v>
      </c>
    </row>
    <row r="2314" spans="28:34">
      <c r="AB2314" s="580">
        <f>HLOOKUP("*"&amp;'Output annual'!$AC$2&amp;'Output annual'!$AD$2&amp;"*Zone People Number Of Occupants [](Hourly)",'Eplus results'!$1:$1048576,ROW(),FALSE)</f>
        <v>0</v>
      </c>
      <c r="AC2314" s="580">
        <f>HLOOKUP("*"&amp;'Output annual'!$AC$2&amp;'Output annual'!$AD$2&amp;"*FangerPMV(Hourly)",'Eplus results'!$1:$1048576,ROW(),FALSE)</f>
        <v>0</v>
      </c>
      <c r="AD2314" s="580">
        <f t="shared" si="216"/>
        <v>5</v>
      </c>
      <c r="AE2314" s="580">
        <f t="shared" si="217"/>
        <v>2.5</v>
      </c>
      <c r="AF2314" s="580">
        <f t="shared" si="218"/>
        <v>2.5</v>
      </c>
      <c r="AG2314" s="580">
        <f t="shared" si="219"/>
        <v>0</v>
      </c>
      <c r="AH2314" s="580">
        <f t="shared" si="220"/>
        <v>0</v>
      </c>
    </row>
    <row r="2315" spans="28:34">
      <c r="AB2315" s="580">
        <f>HLOOKUP("*"&amp;'Output annual'!$AC$2&amp;'Output annual'!$AD$2&amp;"*Zone People Number Of Occupants [](Hourly)",'Eplus results'!$1:$1048576,ROW(),FALSE)</f>
        <v>0</v>
      </c>
      <c r="AC2315" s="580">
        <f>HLOOKUP("*"&amp;'Output annual'!$AC$2&amp;'Output annual'!$AD$2&amp;"*FangerPMV(Hourly)",'Eplus results'!$1:$1048576,ROW(),FALSE)</f>
        <v>0</v>
      </c>
      <c r="AD2315" s="580">
        <f t="shared" si="216"/>
        <v>5</v>
      </c>
      <c r="AE2315" s="580">
        <f t="shared" si="217"/>
        <v>2.5</v>
      </c>
      <c r="AF2315" s="580">
        <f t="shared" si="218"/>
        <v>2.5</v>
      </c>
      <c r="AG2315" s="580">
        <f t="shared" si="219"/>
        <v>0</v>
      </c>
      <c r="AH2315" s="580">
        <f t="shared" si="220"/>
        <v>0</v>
      </c>
    </row>
    <row r="2316" spans="28:34">
      <c r="AB2316" s="580">
        <f>HLOOKUP("*"&amp;'Output annual'!$AC$2&amp;'Output annual'!$AD$2&amp;"*Zone People Number Of Occupants [](Hourly)",'Eplus results'!$1:$1048576,ROW(),FALSE)</f>
        <v>0</v>
      </c>
      <c r="AC2316" s="580">
        <f>HLOOKUP("*"&amp;'Output annual'!$AC$2&amp;'Output annual'!$AD$2&amp;"*FangerPMV(Hourly)",'Eplus results'!$1:$1048576,ROW(),FALSE)</f>
        <v>0</v>
      </c>
      <c r="AD2316" s="580">
        <f t="shared" si="216"/>
        <v>5</v>
      </c>
      <c r="AE2316" s="580">
        <f t="shared" si="217"/>
        <v>2.5</v>
      </c>
      <c r="AF2316" s="580">
        <f t="shared" si="218"/>
        <v>2.5</v>
      </c>
      <c r="AG2316" s="580">
        <f t="shared" si="219"/>
        <v>0</v>
      </c>
      <c r="AH2316" s="580">
        <f t="shared" si="220"/>
        <v>0</v>
      </c>
    </row>
    <row r="2317" spans="28:34">
      <c r="AB2317" s="580">
        <f>HLOOKUP("*"&amp;'Output annual'!$AC$2&amp;'Output annual'!$AD$2&amp;"*Zone People Number Of Occupants [](Hourly)",'Eplus results'!$1:$1048576,ROW(),FALSE)</f>
        <v>0</v>
      </c>
      <c r="AC2317" s="580">
        <f>HLOOKUP("*"&amp;'Output annual'!$AC$2&amp;'Output annual'!$AD$2&amp;"*FangerPMV(Hourly)",'Eplus results'!$1:$1048576,ROW(),FALSE)</f>
        <v>0</v>
      </c>
      <c r="AD2317" s="580">
        <f t="shared" si="216"/>
        <v>5</v>
      </c>
      <c r="AE2317" s="580">
        <f t="shared" si="217"/>
        <v>2.5</v>
      </c>
      <c r="AF2317" s="580">
        <f t="shared" si="218"/>
        <v>2.5</v>
      </c>
      <c r="AG2317" s="580">
        <f t="shared" si="219"/>
        <v>0</v>
      </c>
      <c r="AH2317" s="580">
        <f t="shared" si="220"/>
        <v>0</v>
      </c>
    </row>
    <row r="2318" spans="28:34">
      <c r="AB2318" s="580">
        <f>HLOOKUP("*"&amp;'Output annual'!$AC$2&amp;'Output annual'!$AD$2&amp;"*Zone People Number Of Occupants [](Hourly)",'Eplus results'!$1:$1048576,ROW(),FALSE)</f>
        <v>0</v>
      </c>
      <c r="AC2318" s="580">
        <f>HLOOKUP("*"&amp;'Output annual'!$AC$2&amp;'Output annual'!$AD$2&amp;"*FangerPMV(Hourly)",'Eplus results'!$1:$1048576,ROW(),FALSE)</f>
        <v>0</v>
      </c>
      <c r="AD2318" s="580">
        <f t="shared" si="216"/>
        <v>5</v>
      </c>
      <c r="AE2318" s="580">
        <f t="shared" si="217"/>
        <v>2.5</v>
      </c>
      <c r="AF2318" s="580">
        <f t="shared" si="218"/>
        <v>2.5</v>
      </c>
      <c r="AG2318" s="580">
        <f t="shared" si="219"/>
        <v>0</v>
      </c>
      <c r="AH2318" s="580">
        <f t="shared" si="220"/>
        <v>0</v>
      </c>
    </row>
    <row r="2319" spans="28:34">
      <c r="AB2319" s="580">
        <f>HLOOKUP("*"&amp;'Output annual'!$AC$2&amp;'Output annual'!$AD$2&amp;"*Zone People Number Of Occupants [](Hourly)",'Eplus results'!$1:$1048576,ROW(),FALSE)</f>
        <v>0</v>
      </c>
      <c r="AC2319" s="580">
        <f>HLOOKUP("*"&amp;'Output annual'!$AC$2&amp;'Output annual'!$AD$2&amp;"*FangerPMV(Hourly)",'Eplus results'!$1:$1048576,ROW(),FALSE)</f>
        <v>0</v>
      </c>
      <c r="AD2319" s="580">
        <f t="shared" si="216"/>
        <v>5</v>
      </c>
      <c r="AE2319" s="580">
        <f t="shared" si="217"/>
        <v>2.5</v>
      </c>
      <c r="AF2319" s="580">
        <f t="shared" si="218"/>
        <v>2.5</v>
      </c>
      <c r="AG2319" s="580">
        <f t="shared" si="219"/>
        <v>0</v>
      </c>
      <c r="AH2319" s="580">
        <f t="shared" si="220"/>
        <v>0</v>
      </c>
    </row>
    <row r="2320" spans="28:34">
      <c r="AB2320" s="580">
        <f>HLOOKUP("*"&amp;'Output annual'!$AC$2&amp;'Output annual'!$AD$2&amp;"*Zone People Number Of Occupants [](Hourly)",'Eplus results'!$1:$1048576,ROW(),FALSE)</f>
        <v>0</v>
      </c>
      <c r="AC2320" s="580">
        <f>HLOOKUP("*"&amp;'Output annual'!$AC$2&amp;'Output annual'!$AD$2&amp;"*FangerPMV(Hourly)",'Eplus results'!$1:$1048576,ROW(),FALSE)</f>
        <v>0</v>
      </c>
      <c r="AD2320" s="580">
        <f t="shared" si="216"/>
        <v>5</v>
      </c>
      <c r="AE2320" s="580">
        <f t="shared" si="217"/>
        <v>2.5</v>
      </c>
      <c r="AF2320" s="580">
        <f t="shared" si="218"/>
        <v>2.5</v>
      </c>
      <c r="AG2320" s="580">
        <f t="shared" si="219"/>
        <v>0</v>
      </c>
      <c r="AH2320" s="580">
        <f t="shared" si="220"/>
        <v>0</v>
      </c>
    </row>
    <row r="2321" spans="28:34">
      <c r="AB2321" s="580">
        <f>HLOOKUP("*"&amp;'Output annual'!$AC$2&amp;'Output annual'!$AD$2&amp;"*Zone People Number Of Occupants [](Hourly)",'Eplus results'!$1:$1048576,ROW(),FALSE)</f>
        <v>0</v>
      </c>
      <c r="AC2321" s="580">
        <f>HLOOKUP("*"&amp;'Output annual'!$AC$2&amp;'Output annual'!$AD$2&amp;"*FangerPMV(Hourly)",'Eplus results'!$1:$1048576,ROW(),FALSE)</f>
        <v>0</v>
      </c>
      <c r="AD2321" s="580">
        <f t="shared" si="216"/>
        <v>5</v>
      </c>
      <c r="AE2321" s="580">
        <f t="shared" si="217"/>
        <v>2.5</v>
      </c>
      <c r="AF2321" s="580">
        <f t="shared" si="218"/>
        <v>2.5</v>
      </c>
      <c r="AG2321" s="580">
        <f t="shared" si="219"/>
        <v>0</v>
      </c>
      <c r="AH2321" s="580">
        <f t="shared" si="220"/>
        <v>0</v>
      </c>
    </row>
    <row r="2322" spans="28:34">
      <c r="AB2322" s="580">
        <f>HLOOKUP("*"&amp;'Output annual'!$AC$2&amp;'Output annual'!$AD$2&amp;"*Zone People Number Of Occupants [](Hourly)",'Eplus results'!$1:$1048576,ROW(),FALSE)</f>
        <v>0</v>
      </c>
      <c r="AC2322" s="580">
        <f>HLOOKUP("*"&amp;'Output annual'!$AC$2&amp;'Output annual'!$AD$2&amp;"*FangerPMV(Hourly)",'Eplus results'!$1:$1048576,ROW(),FALSE)</f>
        <v>0</v>
      </c>
      <c r="AD2322" s="580">
        <f t="shared" si="216"/>
        <v>5</v>
      </c>
      <c r="AE2322" s="580">
        <f t="shared" si="217"/>
        <v>2.5</v>
      </c>
      <c r="AF2322" s="580">
        <f t="shared" si="218"/>
        <v>2.5</v>
      </c>
      <c r="AG2322" s="580">
        <f t="shared" si="219"/>
        <v>0</v>
      </c>
      <c r="AH2322" s="580">
        <f t="shared" si="220"/>
        <v>0</v>
      </c>
    </row>
    <row r="2323" spans="28:34">
      <c r="AB2323" s="580">
        <f>HLOOKUP("*"&amp;'Output annual'!$AC$2&amp;'Output annual'!$AD$2&amp;"*Zone People Number Of Occupants [](Hourly)",'Eplus results'!$1:$1048576,ROW(),FALSE)</f>
        <v>0</v>
      </c>
      <c r="AC2323" s="580">
        <f>HLOOKUP("*"&amp;'Output annual'!$AC$2&amp;'Output annual'!$AD$2&amp;"*FangerPMV(Hourly)",'Eplus results'!$1:$1048576,ROW(),FALSE)</f>
        <v>0</v>
      </c>
      <c r="AD2323" s="580">
        <f t="shared" si="216"/>
        <v>5</v>
      </c>
      <c r="AE2323" s="580">
        <f t="shared" si="217"/>
        <v>2.5</v>
      </c>
      <c r="AF2323" s="580">
        <f t="shared" si="218"/>
        <v>2.5</v>
      </c>
      <c r="AG2323" s="580">
        <f t="shared" si="219"/>
        <v>0</v>
      </c>
      <c r="AH2323" s="580">
        <f t="shared" si="220"/>
        <v>0</v>
      </c>
    </row>
    <row r="2324" spans="28:34">
      <c r="AB2324" s="580">
        <f>HLOOKUP("*"&amp;'Output annual'!$AC$2&amp;'Output annual'!$AD$2&amp;"*Zone People Number Of Occupants [](Hourly)",'Eplus results'!$1:$1048576,ROW(),FALSE)</f>
        <v>0</v>
      </c>
      <c r="AC2324" s="580">
        <f>HLOOKUP("*"&amp;'Output annual'!$AC$2&amp;'Output annual'!$AD$2&amp;"*FangerPMV(Hourly)",'Eplus results'!$1:$1048576,ROW(),FALSE)</f>
        <v>0</v>
      </c>
      <c r="AD2324" s="580">
        <f t="shared" si="216"/>
        <v>5</v>
      </c>
      <c r="AE2324" s="580">
        <f t="shared" si="217"/>
        <v>2.5</v>
      </c>
      <c r="AF2324" s="580">
        <f t="shared" si="218"/>
        <v>2.5</v>
      </c>
      <c r="AG2324" s="580">
        <f t="shared" si="219"/>
        <v>0</v>
      </c>
      <c r="AH2324" s="580">
        <f t="shared" si="220"/>
        <v>0</v>
      </c>
    </row>
    <row r="2325" spans="28:34">
      <c r="AB2325" s="580">
        <f>HLOOKUP("*"&amp;'Output annual'!$AC$2&amp;'Output annual'!$AD$2&amp;"*Zone People Number Of Occupants [](Hourly)",'Eplus results'!$1:$1048576,ROW(),FALSE)</f>
        <v>0</v>
      </c>
      <c r="AC2325" s="580">
        <f>HLOOKUP("*"&amp;'Output annual'!$AC$2&amp;'Output annual'!$AD$2&amp;"*FangerPMV(Hourly)",'Eplus results'!$1:$1048576,ROW(),FALSE)</f>
        <v>0</v>
      </c>
      <c r="AD2325" s="580">
        <f t="shared" si="216"/>
        <v>5</v>
      </c>
      <c r="AE2325" s="580">
        <f t="shared" si="217"/>
        <v>2.5</v>
      </c>
      <c r="AF2325" s="580">
        <f t="shared" si="218"/>
        <v>2.5</v>
      </c>
      <c r="AG2325" s="580">
        <f t="shared" si="219"/>
        <v>0</v>
      </c>
      <c r="AH2325" s="580">
        <f t="shared" si="220"/>
        <v>0</v>
      </c>
    </row>
    <row r="2326" spans="28:34">
      <c r="AB2326" s="580">
        <f>HLOOKUP("*"&amp;'Output annual'!$AC$2&amp;'Output annual'!$AD$2&amp;"*Zone People Number Of Occupants [](Hourly)",'Eplus results'!$1:$1048576,ROW(),FALSE)</f>
        <v>0</v>
      </c>
      <c r="AC2326" s="580">
        <f>HLOOKUP("*"&amp;'Output annual'!$AC$2&amp;'Output annual'!$AD$2&amp;"*FangerPMV(Hourly)",'Eplus results'!$1:$1048576,ROW(),FALSE)</f>
        <v>0</v>
      </c>
      <c r="AD2326" s="580">
        <f t="shared" si="216"/>
        <v>5</v>
      </c>
      <c r="AE2326" s="580">
        <f t="shared" si="217"/>
        <v>2.5</v>
      </c>
      <c r="AF2326" s="580">
        <f t="shared" si="218"/>
        <v>2.5</v>
      </c>
      <c r="AG2326" s="580">
        <f t="shared" si="219"/>
        <v>0</v>
      </c>
      <c r="AH2326" s="580">
        <f t="shared" si="220"/>
        <v>0</v>
      </c>
    </row>
    <row r="2327" spans="28:34">
      <c r="AB2327" s="580">
        <f>HLOOKUP("*"&amp;'Output annual'!$AC$2&amp;'Output annual'!$AD$2&amp;"*Zone People Number Of Occupants [](Hourly)",'Eplus results'!$1:$1048576,ROW(),FALSE)</f>
        <v>0</v>
      </c>
      <c r="AC2327" s="580">
        <f>HLOOKUP("*"&amp;'Output annual'!$AC$2&amp;'Output annual'!$AD$2&amp;"*FangerPMV(Hourly)",'Eplus results'!$1:$1048576,ROW(),FALSE)</f>
        <v>0</v>
      </c>
      <c r="AD2327" s="580">
        <f t="shared" si="216"/>
        <v>5</v>
      </c>
      <c r="AE2327" s="580">
        <f t="shared" si="217"/>
        <v>2.5</v>
      </c>
      <c r="AF2327" s="580">
        <f t="shared" si="218"/>
        <v>2.5</v>
      </c>
      <c r="AG2327" s="580">
        <f t="shared" si="219"/>
        <v>0</v>
      </c>
      <c r="AH2327" s="580">
        <f t="shared" si="220"/>
        <v>0</v>
      </c>
    </row>
    <row r="2328" spans="28:34">
      <c r="AB2328" s="580">
        <f>HLOOKUP("*"&amp;'Output annual'!$AC$2&amp;'Output annual'!$AD$2&amp;"*Zone People Number Of Occupants [](Hourly)",'Eplus results'!$1:$1048576,ROW(),FALSE)</f>
        <v>0</v>
      </c>
      <c r="AC2328" s="580">
        <f>HLOOKUP("*"&amp;'Output annual'!$AC$2&amp;'Output annual'!$AD$2&amp;"*FangerPMV(Hourly)",'Eplus results'!$1:$1048576,ROW(),FALSE)</f>
        <v>0</v>
      </c>
      <c r="AD2328" s="580">
        <f t="shared" si="216"/>
        <v>5</v>
      </c>
      <c r="AE2328" s="580">
        <f t="shared" si="217"/>
        <v>2.5</v>
      </c>
      <c r="AF2328" s="580">
        <f t="shared" si="218"/>
        <v>2.5</v>
      </c>
      <c r="AG2328" s="580">
        <f t="shared" si="219"/>
        <v>0</v>
      </c>
      <c r="AH2328" s="580">
        <f t="shared" si="220"/>
        <v>0</v>
      </c>
    </row>
    <row r="2329" spans="28:34">
      <c r="AB2329" s="580">
        <f>HLOOKUP("*"&amp;'Output annual'!$AC$2&amp;'Output annual'!$AD$2&amp;"*Zone People Number Of Occupants [](Hourly)",'Eplus results'!$1:$1048576,ROW(),FALSE)</f>
        <v>0</v>
      </c>
      <c r="AC2329" s="580">
        <f>HLOOKUP("*"&amp;'Output annual'!$AC$2&amp;'Output annual'!$AD$2&amp;"*FangerPMV(Hourly)",'Eplus results'!$1:$1048576,ROW(),FALSE)</f>
        <v>0</v>
      </c>
      <c r="AD2329" s="580">
        <f t="shared" si="216"/>
        <v>5</v>
      </c>
      <c r="AE2329" s="580">
        <f t="shared" si="217"/>
        <v>2.5</v>
      </c>
      <c r="AF2329" s="580">
        <f t="shared" si="218"/>
        <v>2.5</v>
      </c>
      <c r="AG2329" s="580">
        <f t="shared" si="219"/>
        <v>0</v>
      </c>
      <c r="AH2329" s="580">
        <f t="shared" si="220"/>
        <v>0</v>
      </c>
    </row>
    <row r="2330" spans="28:34">
      <c r="AB2330" s="580">
        <f>HLOOKUP("*"&amp;'Output annual'!$AC$2&amp;'Output annual'!$AD$2&amp;"*Zone People Number Of Occupants [](Hourly)",'Eplus results'!$1:$1048576,ROW(),FALSE)</f>
        <v>0</v>
      </c>
      <c r="AC2330" s="580">
        <f>HLOOKUP("*"&amp;'Output annual'!$AC$2&amp;'Output annual'!$AD$2&amp;"*FangerPMV(Hourly)",'Eplus results'!$1:$1048576,ROW(),FALSE)</f>
        <v>0</v>
      </c>
      <c r="AD2330" s="580">
        <f t="shared" si="216"/>
        <v>5</v>
      </c>
      <c r="AE2330" s="580">
        <f t="shared" si="217"/>
        <v>2.5</v>
      </c>
      <c r="AF2330" s="580">
        <f t="shared" si="218"/>
        <v>2.5</v>
      </c>
      <c r="AG2330" s="580">
        <f t="shared" si="219"/>
        <v>0</v>
      </c>
      <c r="AH2330" s="580">
        <f t="shared" si="220"/>
        <v>0</v>
      </c>
    </row>
    <row r="2331" spans="28:34">
      <c r="AB2331" s="580">
        <f>HLOOKUP("*"&amp;'Output annual'!$AC$2&amp;'Output annual'!$AD$2&amp;"*Zone People Number Of Occupants [](Hourly)",'Eplus results'!$1:$1048576,ROW(),FALSE)</f>
        <v>0</v>
      </c>
      <c r="AC2331" s="580">
        <f>HLOOKUP("*"&amp;'Output annual'!$AC$2&amp;'Output annual'!$AD$2&amp;"*FangerPMV(Hourly)",'Eplus results'!$1:$1048576,ROW(),FALSE)</f>
        <v>0</v>
      </c>
      <c r="AD2331" s="580">
        <f t="shared" si="216"/>
        <v>5</v>
      </c>
      <c r="AE2331" s="580">
        <f t="shared" si="217"/>
        <v>2.5</v>
      </c>
      <c r="AF2331" s="580">
        <f t="shared" si="218"/>
        <v>2.5</v>
      </c>
      <c r="AG2331" s="580">
        <f t="shared" si="219"/>
        <v>0</v>
      </c>
      <c r="AH2331" s="580">
        <f t="shared" si="220"/>
        <v>0</v>
      </c>
    </row>
    <row r="2332" spans="28:34">
      <c r="AB2332" s="580">
        <f>HLOOKUP("*"&amp;'Output annual'!$AC$2&amp;'Output annual'!$AD$2&amp;"*Zone People Number Of Occupants [](Hourly)",'Eplus results'!$1:$1048576,ROW(),FALSE)</f>
        <v>0</v>
      </c>
      <c r="AC2332" s="580">
        <f>HLOOKUP("*"&amp;'Output annual'!$AC$2&amp;'Output annual'!$AD$2&amp;"*FangerPMV(Hourly)",'Eplus results'!$1:$1048576,ROW(),FALSE)</f>
        <v>0</v>
      </c>
      <c r="AD2332" s="580">
        <f t="shared" si="216"/>
        <v>5</v>
      </c>
      <c r="AE2332" s="580">
        <f t="shared" si="217"/>
        <v>2.5</v>
      </c>
      <c r="AF2332" s="580">
        <f t="shared" si="218"/>
        <v>2.5</v>
      </c>
      <c r="AG2332" s="580">
        <f t="shared" si="219"/>
        <v>0</v>
      </c>
      <c r="AH2332" s="580">
        <f t="shared" si="220"/>
        <v>0</v>
      </c>
    </row>
    <row r="2333" spans="28:34">
      <c r="AB2333" s="580">
        <f>HLOOKUP("*"&amp;'Output annual'!$AC$2&amp;'Output annual'!$AD$2&amp;"*Zone People Number Of Occupants [](Hourly)",'Eplus results'!$1:$1048576,ROW(),FALSE)</f>
        <v>0</v>
      </c>
      <c r="AC2333" s="580">
        <f>HLOOKUP("*"&amp;'Output annual'!$AC$2&amp;'Output annual'!$AD$2&amp;"*FangerPMV(Hourly)",'Eplus results'!$1:$1048576,ROW(),FALSE)</f>
        <v>0</v>
      </c>
      <c r="AD2333" s="580">
        <f t="shared" si="216"/>
        <v>5</v>
      </c>
      <c r="AE2333" s="580">
        <f t="shared" si="217"/>
        <v>2.5</v>
      </c>
      <c r="AF2333" s="580">
        <f t="shared" si="218"/>
        <v>2.5</v>
      </c>
      <c r="AG2333" s="580">
        <f t="shared" si="219"/>
        <v>0</v>
      </c>
      <c r="AH2333" s="580">
        <f t="shared" si="220"/>
        <v>0</v>
      </c>
    </row>
    <row r="2334" spans="28:34">
      <c r="AB2334" s="580">
        <f>HLOOKUP("*"&amp;'Output annual'!$AC$2&amp;'Output annual'!$AD$2&amp;"*Zone People Number Of Occupants [](Hourly)",'Eplus results'!$1:$1048576,ROW(),FALSE)</f>
        <v>0</v>
      </c>
      <c r="AC2334" s="580">
        <f>HLOOKUP("*"&amp;'Output annual'!$AC$2&amp;'Output annual'!$AD$2&amp;"*FangerPMV(Hourly)",'Eplus results'!$1:$1048576,ROW(),FALSE)</f>
        <v>0</v>
      </c>
      <c r="AD2334" s="580">
        <f t="shared" si="216"/>
        <v>5</v>
      </c>
      <c r="AE2334" s="580">
        <f t="shared" si="217"/>
        <v>2.5</v>
      </c>
      <c r="AF2334" s="580">
        <f t="shared" si="218"/>
        <v>2.5</v>
      </c>
      <c r="AG2334" s="580">
        <f t="shared" si="219"/>
        <v>0</v>
      </c>
      <c r="AH2334" s="580">
        <f t="shared" si="220"/>
        <v>0</v>
      </c>
    </row>
    <row r="2335" spans="28:34">
      <c r="AB2335" s="580">
        <f>HLOOKUP("*"&amp;'Output annual'!$AC$2&amp;'Output annual'!$AD$2&amp;"*Zone People Number Of Occupants [](Hourly)",'Eplus results'!$1:$1048576,ROW(),FALSE)</f>
        <v>0</v>
      </c>
      <c r="AC2335" s="580">
        <f>HLOOKUP("*"&amp;'Output annual'!$AC$2&amp;'Output annual'!$AD$2&amp;"*FangerPMV(Hourly)",'Eplus results'!$1:$1048576,ROW(),FALSE)</f>
        <v>0</v>
      </c>
      <c r="AD2335" s="580">
        <f t="shared" si="216"/>
        <v>5</v>
      </c>
      <c r="AE2335" s="580">
        <f t="shared" si="217"/>
        <v>2.5</v>
      </c>
      <c r="AF2335" s="580">
        <f t="shared" si="218"/>
        <v>2.5</v>
      </c>
      <c r="AG2335" s="580">
        <f t="shared" si="219"/>
        <v>0</v>
      </c>
      <c r="AH2335" s="580">
        <f t="shared" si="220"/>
        <v>0</v>
      </c>
    </row>
    <row r="2336" spans="28:34">
      <c r="AB2336" s="580">
        <f>HLOOKUP("*"&amp;'Output annual'!$AC$2&amp;'Output annual'!$AD$2&amp;"*Zone People Number Of Occupants [](Hourly)",'Eplus results'!$1:$1048576,ROW(),FALSE)</f>
        <v>0</v>
      </c>
      <c r="AC2336" s="580">
        <f>HLOOKUP("*"&amp;'Output annual'!$AC$2&amp;'Output annual'!$AD$2&amp;"*FangerPMV(Hourly)",'Eplus results'!$1:$1048576,ROW(),FALSE)</f>
        <v>0</v>
      </c>
      <c r="AD2336" s="580">
        <f t="shared" si="216"/>
        <v>5</v>
      </c>
      <c r="AE2336" s="580">
        <f t="shared" si="217"/>
        <v>2.5</v>
      </c>
      <c r="AF2336" s="580">
        <f t="shared" si="218"/>
        <v>2.5</v>
      </c>
      <c r="AG2336" s="580">
        <f t="shared" si="219"/>
        <v>0</v>
      </c>
      <c r="AH2336" s="580">
        <f t="shared" si="220"/>
        <v>0</v>
      </c>
    </row>
    <row r="2337" spans="28:34">
      <c r="AB2337" s="580">
        <f>HLOOKUP("*"&amp;'Output annual'!$AC$2&amp;'Output annual'!$AD$2&amp;"*Zone People Number Of Occupants [](Hourly)",'Eplus results'!$1:$1048576,ROW(),FALSE)</f>
        <v>0</v>
      </c>
      <c r="AC2337" s="580">
        <f>HLOOKUP("*"&amp;'Output annual'!$AC$2&amp;'Output annual'!$AD$2&amp;"*FangerPMV(Hourly)",'Eplus results'!$1:$1048576,ROW(),FALSE)</f>
        <v>0</v>
      </c>
      <c r="AD2337" s="580">
        <f t="shared" si="216"/>
        <v>5</v>
      </c>
      <c r="AE2337" s="580">
        <f t="shared" si="217"/>
        <v>2.5</v>
      </c>
      <c r="AF2337" s="580">
        <f t="shared" si="218"/>
        <v>2.5</v>
      </c>
      <c r="AG2337" s="580">
        <f t="shared" si="219"/>
        <v>0</v>
      </c>
      <c r="AH2337" s="580">
        <f t="shared" si="220"/>
        <v>0</v>
      </c>
    </row>
    <row r="2338" spans="28:34">
      <c r="AB2338" s="580">
        <f>HLOOKUP("*"&amp;'Output annual'!$AC$2&amp;'Output annual'!$AD$2&amp;"*Zone People Number Of Occupants [](Hourly)",'Eplus results'!$1:$1048576,ROW(),FALSE)</f>
        <v>0</v>
      </c>
      <c r="AC2338" s="580">
        <f>HLOOKUP("*"&amp;'Output annual'!$AC$2&amp;'Output annual'!$AD$2&amp;"*FangerPMV(Hourly)",'Eplus results'!$1:$1048576,ROW(),FALSE)</f>
        <v>0</v>
      </c>
      <c r="AD2338" s="580">
        <f t="shared" si="216"/>
        <v>5</v>
      </c>
      <c r="AE2338" s="580">
        <f t="shared" si="217"/>
        <v>2.5</v>
      </c>
      <c r="AF2338" s="580">
        <f t="shared" si="218"/>
        <v>2.5</v>
      </c>
      <c r="AG2338" s="580">
        <f t="shared" si="219"/>
        <v>0</v>
      </c>
      <c r="AH2338" s="580">
        <f t="shared" si="220"/>
        <v>0</v>
      </c>
    </row>
    <row r="2339" spans="28:34">
      <c r="AB2339" s="580">
        <f>HLOOKUP("*"&amp;'Output annual'!$AC$2&amp;'Output annual'!$AD$2&amp;"*Zone People Number Of Occupants [](Hourly)",'Eplus results'!$1:$1048576,ROW(),FALSE)</f>
        <v>0</v>
      </c>
      <c r="AC2339" s="580">
        <f>HLOOKUP("*"&amp;'Output annual'!$AC$2&amp;'Output annual'!$AD$2&amp;"*FangerPMV(Hourly)",'Eplus results'!$1:$1048576,ROW(),FALSE)</f>
        <v>0</v>
      </c>
      <c r="AD2339" s="580">
        <f t="shared" si="216"/>
        <v>5</v>
      </c>
      <c r="AE2339" s="580">
        <f t="shared" si="217"/>
        <v>2.5</v>
      </c>
      <c r="AF2339" s="580">
        <f t="shared" si="218"/>
        <v>2.5</v>
      </c>
      <c r="AG2339" s="580">
        <f t="shared" si="219"/>
        <v>0</v>
      </c>
      <c r="AH2339" s="580">
        <f t="shared" si="220"/>
        <v>0</v>
      </c>
    </row>
    <row r="2340" spans="28:34">
      <c r="AB2340" s="580">
        <f>HLOOKUP("*"&amp;'Output annual'!$AC$2&amp;'Output annual'!$AD$2&amp;"*Zone People Number Of Occupants [](Hourly)",'Eplus results'!$1:$1048576,ROW(),FALSE)</f>
        <v>0</v>
      </c>
      <c r="AC2340" s="580">
        <f>HLOOKUP("*"&amp;'Output annual'!$AC$2&amp;'Output annual'!$AD$2&amp;"*FangerPMV(Hourly)",'Eplus results'!$1:$1048576,ROW(),FALSE)</f>
        <v>0</v>
      </c>
      <c r="AD2340" s="580">
        <f t="shared" si="216"/>
        <v>5</v>
      </c>
      <c r="AE2340" s="580">
        <f t="shared" si="217"/>
        <v>2.5</v>
      </c>
      <c r="AF2340" s="580">
        <f t="shared" si="218"/>
        <v>2.5</v>
      </c>
      <c r="AG2340" s="580">
        <f t="shared" si="219"/>
        <v>0</v>
      </c>
      <c r="AH2340" s="580">
        <f t="shared" si="220"/>
        <v>0</v>
      </c>
    </row>
    <row r="2341" spans="28:34">
      <c r="AB2341" s="580">
        <f>HLOOKUP("*"&amp;'Output annual'!$AC$2&amp;'Output annual'!$AD$2&amp;"*Zone People Number Of Occupants [](Hourly)",'Eplus results'!$1:$1048576,ROW(),FALSE)</f>
        <v>0</v>
      </c>
      <c r="AC2341" s="580">
        <f>HLOOKUP("*"&amp;'Output annual'!$AC$2&amp;'Output annual'!$AD$2&amp;"*FangerPMV(Hourly)",'Eplus results'!$1:$1048576,ROW(),FALSE)</f>
        <v>0</v>
      </c>
      <c r="AD2341" s="580">
        <f t="shared" si="216"/>
        <v>5</v>
      </c>
      <c r="AE2341" s="580">
        <f t="shared" si="217"/>
        <v>2.5</v>
      </c>
      <c r="AF2341" s="580">
        <f t="shared" si="218"/>
        <v>2.5</v>
      </c>
      <c r="AG2341" s="580">
        <f t="shared" si="219"/>
        <v>0</v>
      </c>
      <c r="AH2341" s="580">
        <f t="shared" si="220"/>
        <v>0</v>
      </c>
    </row>
    <row r="2342" spans="28:34">
      <c r="AB2342" s="580">
        <f>HLOOKUP("*"&amp;'Output annual'!$AC$2&amp;'Output annual'!$AD$2&amp;"*Zone People Number Of Occupants [](Hourly)",'Eplus results'!$1:$1048576,ROW(),FALSE)</f>
        <v>0</v>
      </c>
      <c r="AC2342" s="580">
        <f>HLOOKUP("*"&amp;'Output annual'!$AC$2&amp;'Output annual'!$AD$2&amp;"*FangerPMV(Hourly)",'Eplus results'!$1:$1048576,ROW(),FALSE)</f>
        <v>0</v>
      </c>
      <c r="AD2342" s="580">
        <f t="shared" si="216"/>
        <v>5</v>
      </c>
      <c r="AE2342" s="580">
        <f t="shared" si="217"/>
        <v>2.5</v>
      </c>
      <c r="AF2342" s="580">
        <f t="shared" si="218"/>
        <v>2.5</v>
      </c>
      <c r="AG2342" s="580">
        <f t="shared" si="219"/>
        <v>0</v>
      </c>
      <c r="AH2342" s="580">
        <f t="shared" si="220"/>
        <v>0</v>
      </c>
    </row>
    <row r="2343" spans="28:34">
      <c r="AB2343" s="580">
        <f>HLOOKUP("*"&amp;'Output annual'!$AC$2&amp;'Output annual'!$AD$2&amp;"*Zone People Number Of Occupants [](Hourly)",'Eplus results'!$1:$1048576,ROW(),FALSE)</f>
        <v>0</v>
      </c>
      <c r="AC2343" s="580">
        <f>HLOOKUP("*"&amp;'Output annual'!$AC$2&amp;'Output annual'!$AD$2&amp;"*FangerPMV(Hourly)",'Eplus results'!$1:$1048576,ROW(),FALSE)</f>
        <v>0</v>
      </c>
      <c r="AD2343" s="580">
        <f t="shared" si="216"/>
        <v>5</v>
      </c>
      <c r="AE2343" s="580">
        <f t="shared" si="217"/>
        <v>2.5</v>
      </c>
      <c r="AF2343" s="580">
        <f t="shared" si="218"/>
        <v>2.5</v>
      </c>
      <c r="AG2343" s="580">
        <f t="shared" si="219"/>
        <v>0</v>
      </c>
      <c r="AH2343" s="580">
        <f t="shared" si="220"/>
        <v>0</v>
      </c>
    </row>
    <row r="2344" spans="28:34">
      <c r="AB2344" s="580">
        <f>HLOOKUP("*"&amp;'Output annual'!$AC$2&amp;'Output annual'!$AD$2&amp;"*Zone People Number Of Occupants [](Hourly)",'Eplus results'!$1:$1048576,ROW(),FALSE)</f>
        <v>0</v>
      </c>
      <c r="AC2344" s="580">
        <f>HLOOKUP("*"&amp;'Output annual'!$AC$2&amp;'Output annual'!$AD$2&amp;"*FangerPMV(Hourly)",'Eplus results'!$1:$1048576,ROW(),FALSE)</f>
        <v>0</v>
      </c>
      <c r="AD2344" s="580">
        <f t="shared" si="216"/>
        <v>5</v>
      </c>
      <c r="AE2344" s="580">
        <f t="shared" si="217"/>
        <v>2.5</v>
      </c>
      <c r="AF2344" s="580">
        <f t="shared" si="218"/>
        <v>2.5</v>
      </c>
      <c r="AG2344" s="580">
        <f t="shared" si="219"/>
        <v>0</v>
      </c>
      <c r="AH2344" s="580">
        <f t="shared" si="220"/>
        <v>0</v>
      </c>
    </row>
    <row r="2345" spans="28:34">
      <c r="AB2345" s="580">
        <f>HLOOKUP("*"&amp;'Output annual'!$AC$2&amp;'Output annual'!$AD$2&amp;"*Zone People Number Of Occupants [](Hourly)",'Eplus results'!$1:$1048576,ROW(),FALSE)</f>
        <v>0</v>
      </c>
      <c r="AC2345" s="580">
        <f>HLOOKUP("*"&amp;'Output annual'!$AC$2&amp;'Output annual'!$AD$2&amp;"*FangerPMV(Hourly)",'Eplus results'!$1:$1048576,ROW(),FALSE)</f>
        <v>0</v>
      </c>
      <c r="AD2345" s="580">
        <f t="shared" si="216"/>
        <v>5</v>
      </c>
      <c r="AE2345" s="580">
        <f t="shared" si="217"/>
        <v>2.5</v>
      </c>
      <c r="AF2345" s="580">
        <f t="shared" si="218"/>
        <v>2.5</v>
      </c>
      <c r="AG2345" s="580">
        <f t="shared" si="219"/>
        <v>0</v>
      </c>
      <c r="AH2345" s="580">
        <f t="shared" si="220"/>
        <v>0</v>
      </c>
    </row>
    <row r="2346" spans="28:34">
      <c r="AB2346" s="580">
        <f>HLOOKUP("*"&amp;'Output annual'!$AC$2&amp;'Output annual'!$AD$2&amp;"*Zone People Number Of Occupants [](Hourly)",'Eplus results'!$1:$1048576,ROW(),FALSE)</f>
        <v>0</v>
      </c>
      <c r="AC2346" s="580">
        <f>HLOOKUP("*"&amp;'Output annual'!$AC$2&amp;'Output annual'!$AD$2&amp;"*FangerPMV(Hourly)",'Eplus results'!$1:$1048576,ROW(),FALSE)</f>
        <v>0</v>
      </c>
      <c r="AD2346" s="580">
        <f t="shared" si="216"/>
        <v>5</v>
      </c>
      <c r="AE2346" s="580">
        <f t="shared" si="217"/>
        <v>2.5</v>
      </c>
      <c r="AF2346" s="580">
        <f t="shared" si="218"/>
        <v>2.5</v>
      </c>
      <c r="AG2346" s="580">
        <f t="shared" si="219"/>
        <v>0</v>
      </c>
      <c r="AH2346" s="580">
        <f t="shared" si="220"/>
        <v>0</v>
      </c>
    </row>
    <row r="2347" spans="28:34">
      <c r="AB2347" s="580">
        <f>HLOOKUP("*"&amp;'Output annual'!$AC$2&amp;'Output annual'!$AD$2&amp;"*Zone People Number Of Occupants [](Hourly)",'Eplus results'!$1:$1048576,ROW(),FALSE)</f>
        <v>0</v>
      </c>
      <c r="AC2347" s="580">
        <f>HLOOKUP("*"&amp;'Output annual'!$AC$2&amp;'Output annual'!$AD$2&amp;"*FangerPMV(Hourly)",'Eplus results'!$1:$1048576,ROW(),FALSE)</f>
        <v>0</v>
      </c>
      <c r="AD2347" s="580">
        <f t="shared" si="216"/>
        <v>5</v>
      </c>
      <c r="AE2347" s="580">
        <f t="shared" si="217"/>
        <v>2.5</v>
      </c>
      <c r="AF2347" s="580">
        <f t="shared" si="218"/>
        <v>2.5</v>
      </c>
      <c r="AG2347" s="580">
        <f t="shared" si="219"/>
        <v>0</v>
      </c>
      <c r="AH2347" s="580">
        <f t="shared" si="220"/>
        <v>0</v>
      </c>
    </row>
    <row r="2348" spans="28:34">
      <c r="AB2348" s="580">
        <f>HLOOKUP("*"&amp;'Output annual'!$AC$2&amp;'Output annual'!$AD$2&amp;"*Zone People Number Of Occupants [](Hourly)",'Eplus results'!$1:$1048576,ROW(),FALSE)</f>
        <v>0</v>
      </c>
      <c r="AC2348" s="580">
        <f>HLOOKUP("*"&amp;'Output annual'!$AC$2&amp;'Output annual'!$AD$2&amp;"*FangerPMV(Hourly)",'Eplus results'!$1:$1048576,ROW(),FALSE)</f>
        <v>0</v>
      </c>
      <c r="AD2348" s="580">
        <f t="shared" si="216"/>
        <v>5</v>
      </c>
      <c r="AE2348" s="580">
        <f t="shared" si="217"/>
        <v>2.5</v>
      </c>
      <c r="AF2348" s="580">
        <f t="shared" si="218"/>
        <v>2.5</v>
      </c>
      <c r="AG2348" s="580">
        <f t="shared" si="219"/>
        <v>0</v>
      </c>
      <c r="AH2348" s="580">
        <f t="shared" si="220"/>
        <v>0</v>
      </c>
    </row>
    <row r="2349" spans="28:34">
      <c r="AB2349" s="580">
        <f>HLOOKUP("*"&amp;'Output annual'!$AC$2&amp;'Output annual'!$AD$2&amp;"*Zone People Number Of Occupants [](Hourly)",'Eplus results'!$1:$1048576,ROW(),FALSE)</f>
        <v>0</v>
      </c>
      <c r="AC2349" s="580">
        <f>HLOOKUP("*"&amp;'Output annual'!$AC$2&amp;'Output annual'!$AD$2&amp;"*FangerPMV(Hourly)",'Eplus results'!$1:$1048576,ROW(),FALSE)</f>
        <v>0</v>
      </c>
      <c r="AD2349" s="580">
        <f t="shared" si="216"/>
        <v>5</v>
      </c>
      <c r="AE2349" s="580">
        <f t="shared" si="217"/>
        <v>2.5</v>
      </c>
      <c r="AF2349" s="580">
        <f t="shared" si="218"/>
        <v>2.5</v>
      </c>
      <c r="AG2349" s="580">
        <f t="shared" si="219"/>
        <v>0</v>
      </c>
      <c r="AH2349" s="580">
        <f t="shared" si="220"/>
        <v>0</v>
      </c>
    </row>
    <row r="2350" spans="28:34">
      <c r="AB2350" s="580">
        <f>HLOOKUP("*"&amp;'Output annual'!$AC$2&amp;'Output annual'!$AD$2&amp;"*Zone People Number Of Occupants [](Hourly)",'Eplus results'!$1:$1048576,ROW(),FALSE)</f>
        <v>0</v>
      </c>
      <c r="AC2350" s="580">
        <f>HLOOKUP("*"&amp;'Output annual'!$AC$2&amp;'Output annual'!$AD$2&amp;"*FangerPMV(Hourly)",'Eplus results'!$1:$1048576,ROW(),FALSE)</f>
        <v>0</v>
      </c>
      <c r="AD2350" s="580">
        <f t="shared" si="216"/>
        <v>5</v>
      </c>
      <c r="AE2350" s="580">
        <f t="shared" si="217"/>
        <v>2.5</v>
      </c>
      <c r="AF2350" s="580">
        <f t="shared" si="218"/>
        <v>2.5</v>
      </c>
      <c r="AG2350" s="580">
        <f t="shared" si="219"/>
        <v>0</v>
      </c>
      <c r="AH2350" s="580">
        <f t="shared" si="220"/>
        <v>0</v>
      </c>
    </row>
    <row r="2351" spans="28:34">
      <c r="AB2351" s="580">
        <f>HLOOKUP("*"&amp;'Output annual'!$AC$2&amp;'Output annual'!$AD$2&amp;"*Zone People Number Of Occupants [](Hourly)",'Eplus results'!$1:$1048576,ROW(),FALSE)</f>
        <v>0</v>
      </c>
      <c r="AC2351" s="580">
        <f>HLOOKUP("*"&amp;'Output annual'!$AC$2&amp;'Output annual'!$AD$2&amp;"*FangerPMV(Hourly)",'Eplus results'!$1:$1048576,ROW(),FALSE)</f>
        <v>0</v>
      </c>
      <c r="AD2351" s="580">
        <f t="shared" si="216"/>
        <v>5</v>
      </c>
      <c r="AE2351" s="580">
        <f t="shared" si="217"/>
        <v>2.5</v>
      </c>
      <c r="AF2351" s="580">
        <f t="shared" si="218"/>
        <v>2.5</v>
      </c>
      <c r="AG2351" s="580">
        <f t="shared" si="219"/>
        <v>0</v>
      </c>
      <c r="AH2351" s="580">
        <f t="shared" si="220"/>
        <v>0</v>
      </c>
    </row>
    <row r="2352" spans="28:34">
      <c r="AB2352" s="580">
        <f>HLOOKUP("*"&amp;'Output annual'!$AC$2&amp;'Output annual'!$AD$2&amp;"*Zone People Number Of Occupants [](Hourly)",'Eplus results'!$1:$1048576,ROW(),FALSE)</f>
        <v>0</v>
      </c>
      <c r="AC2352" s="580">
        <f>HLOOKUP("*"&amp;'Output annual'!$AC$2&amp;'Output annual'!$AD$2&amp;"*FangerPMV(Hourly)",'Eplus results'!$1:$1048576,ROW(),FALSE)</f>
        <v>0</v>
      </c>
      <c r="AD2352" s="580">
        <f t="shared" si="216"/>
        <v>5</v>
      </c>
      <c r="AE2352" s="580">
        <f t="shared" si="217"/>
        <v>2.5</v>
      </c>
      <c r="AF2352" s="580">
        <f t="shared" si="218"/>
        <v>2.5</v>
      </c>
      <c r="AG2352" s="580">
        <f t="shared" si="219"/>
        <v>0</v>
      </c>
      <c r="AH2352" s="580">
        <f t="shared" si="220"/>
        <v>0</v>
      </c>
    </row>
    <row r="2353" spans="28:34">
      <c r="AB2353" s="580">
        <f>HLOOKUP("*"&amp;'Output annual'!$AC$2&amp;'Output annual'!$AD$2&amp;"*Zone People Number Of Occupants [](Hourly)",'Eplus results'!$1:$1048576,ROW(),FALSE)</f>
        <v>0</v>
      </c>
      <c r="AC2353" s="580">
        <f>HLOOKUP("*"&amp;'Output annual'!$AC$2&amp;'Output annual'!$AD$2&amp;"*FangerPMV(Hourly)",'Eplus results'!$1:$1048576,ROW(),FALSE)</f>
        <v>0</v>
      </c>
      <c r="AD2353" s="580">
        <f t="shared" si="216"/>
        <v>5</v>
      </c>
      <c r="AE2353" s="580">
        <f t="shared" si="217"/>
        <v>2.5</v>
      </c>
      <c r="AF2353" s="580">
        <f t="shared" si="218"/>
        <v>2.5</v>
      </c>
      <c r="AG2353" s="580">
        <f t="shared" si="219"/>
        <v>0</v>
      </c>
      <c r="AH2353" s="580">
        <f t="shared" si="220"/>
        <v>0</v>
      </c>
    </row>
    <row r="2354" spans="28:34">
      <c r="AB2354" s="580">
        <f>HLOOKUP("*"&amp;'Output annual'!$AC$2&amp;'Output annual'!$AD$2&amp;"*Zone People Number Of Occupants [](Hourly)",'Eplus results'!$1:$1048576,ROW(),FALSE)</f>
        <v>0</v>
      </c>
      <c r="AC2354" s="580">
        <f>HLOOKUP("*"&amp;'Output annual'!$AC$2&amp;'Output annual'!$AD$2&amp;"*FangerPMV(Hourly)",'Eplus results'!$1:$1048576,ROW(),FALSE)</f>
        <v>0</v>
      </c>
      <c r="AD2354" s="580">
        <f t="shared" si="216"/>
        <v>5</v>
      </c>
      <c r="AE2354" s="580">
        <f t="shared" si="217"/>
        <v>2.5</v>
      </c>
      <c r="AF2354" s="580">
        <f t="shared" si="218"/>
        <v>2.5</v>
      </c>
      <c r="AG2354" s="580">
        <f t="shared" si="219"/>
        <v>0</v>
      </c>
      <c r="AH2354" s="580">
        <f t="shared" si="220"/>
        <v>0</v>
      </c>
    </row>
    <row r="2355" spans="28:34">
      <c r="AB2355" s="580">
        <f>HLOOKUP("*"&amp;'Output annual'!$AC$2&amp;'Output annual'!$AD$2&amp;"*Zone People Number Of Occupants [](Hourly)",'Eplus results'!$1:$1048576,ROW(),FALSE)</f>
        <v>0</v>
      </c>
      <c r="AC2355" s="580">
        <f>HLOOKUP("*"&amp;'Output annual'!$AC$2&amp;'Output annual'!$AD$2&amp;"*FangerPMV(Hourly)",'Eplus results'!$1:$1048576,ROW(),FALSE)</f>
        <v>0</v>
      </c>
      <c r="AD2355" s="580">
        <f t="shared" si="216"/>
        <v>5</v>
      </c>
      <c r="AE2355" s="580">
        <f t="shared" si="217"/>
        <v>2.5</v>
      </c>
      <c r="AF2355" s="580">
        <f t="shared" si="218"/>
        <v>2.5</v>
      </c>
      <c r="AG2355" s="580">
        <f t="shared" si="219"/>
        <v>0</v>
      </c>
      <c r="AH2355" s="580">
        <f t="shared" si="220"/>
        <v>0</v>
      </c>
    </row>
    <row r="2356" spans="28:34">
      <c r="AB2356" s="580">
        <f>HLOOKUP("*"&amp;'Output annual'!$AC$2&amp;'Output annual'!$AD$2&amp;"*Zone People Number Of Occupants [](Hourly)",'Eplus results'!$1:$1048576,ROW(),FALSE)</f>
        <v>0</v>
      </c>
      <c r="AC2356" s="580">
        <f>HLOOKUP("*"&amp;'Output annual'!$AC$2&amp;'Output annual'!$AD$2&amp;"*FangerPMV(Hourly)",'Eplus results'!$1:$1048576,ROW(),FALSE)</f>
        <v>0</v>
      </c>
      <c r="AD2356" s="580">
        <f t="shared" si="216"/>
        <v>5</v>
      </c>
      <c r="AE2356" s="580">
        <f t="shared" si="217"/>
        <v>2.5</v>
      </c>
      <c r="AF2356" s="580">
        <f t="shared" si="218"/>
        <v>2.5</v>
      </c>
      <c r="AG2356" s="580">
        <f t="shared" si="219"/>
        <v>0</v>
      </c>
      <c r="AH2356" s="580">
        <f t="shared" si="220"/>
        <v>0</v>
      </c>
    </row>
    <row r="2357" spans="28:34">
      <c r="AB2357" s="580">
        <f>HLOOKUP("*"&amp;'Output annual'!$AC$2&amp;'Output annual'!$AD$2&amp;"*Zone People Number Of Occupants [](Hourly)",'Eplus results'!$1:$1048576,ROW(),FALSE)</f>
        <v>0</v>
      </c>
      <c r="AC2357" s="580">
        <f>HLOOKUP("*"&amp;'Output annual'!$AC$2&amp;'Output annual'!$AD$2&amp;"*FangerPMV(Hourly)",'Eplus results'!$1:$1048576,ROW(),FALSE)</f>
        <v>0</v>
      </c>
      <c r="AD2357" s="580">
        <f t="shared" si="216"/>
        <v>5</v>
      </c>
      <c r="AE2357" s="580">
        <f t="shared" si="217"/>
        <v>2.5</v>
      </c>
      <c r="AF2357" s="580">
        <f t="shared" si="218"/>
        <v>2.5</v>
      </c>
      <c r="AG2357" s="580">
        <f t="shared" si="219"/>
        <v>0</v>
      </c>
      <c r="AH2357" s="580">
        <f t="shared" si="220"/>
        <v>0</v>
      </c>
    </row>
    <row r="2358" spans="28:34">
      <c r="AB2358" s="580">
        <f>HLOOKUP("*"&amp;'Output annual'!$AC$2&amp;'Output annual'!$AD$2&amp;"*Zone People Number Of Occupants [](Hourly)",'Eplus results'!$1:$1048576,ROW(),FALSE)</f>
        <v>0</v>
      </c>
      <c r="AC2358" s="580">
        <f>HLOOKUP("*"&amp;'Output annual'!$AC$2&amp;'Output annual'!$AD$2&amp;"*FangerPMV(Hourly)",'Eplus results'!$1:$1048576,ROW(),FALSE)</f>
        <v>0</v>
      </c>
      <c r="AD2358" s="580">
        <f t="shared" si="216"/>
        <v>5</v>
      </c>
      <c r="AE2358" s="580">
        <f t="shared" si="217"/>
        <v>2.5</v>
      </c>
      <c r="AF2358" s="580">
        <f t="shared" si="218"/>
        <v>2.5</v>
      </c>
      <c r="AG2358" s="580">
        <f t="shared" si="219"/>
        <v>0</v>
      </c>
      <c r="AH2358" s="580">
        <f t="shared" si="220"/>
        <v>0</v>
      </c>
    </row>
    <row r="2359" spans="28:34">
      <c r="AB2359" s="580">
        <f>HLOOKUP("*"&amp;'Output annual'!$AC$2&amp;'Output annual'!$AD$2&amp;"*Zone People Number Of Occupants [](Hourly)",'Eplus results'!$1:$1048576,ROW(),FALSE)</f>
        <v>0</v>
      </c>
      <c r="AC2359" s="580">
        <f>HLOOKUP("*"&amp;'Output annual'!$AC$2&amp;'Output annual'!$AD$2&amp;"*FangerPMV(Hourly)",'Eplus results'!$1:$1048576,ROW(),FALSE)</f>
        <v>0</v>
      </c>
      <c r="AD2359" s="580">
        <f t="shared" si="216"/>
        <v>5</v>
      </c>
      <c r="AE2359" s="580">
        <f t="shared" si="217"/>
        <v>2.5</v>
      </c>
      <c r="AF2359" s="580">
        <f t="shared" si="218"/>
        <v>2.5</v>
      </c>
      <c r="AG2359" s="580">
        <f t="shared" si="219"/>
        <v>0</v>
      </c>
      <c r="AH2359" s="580">
        <f t="shared" si="220"/>
        <v>0</v>
      </c>
    </row>
    <row r="2360" spans="28:34">
      <c r="AB2360" s="580">
        <f>HLOOKUP("*"&amp;'Output annual'!$AC$2&amp;'Output annual'!$AD$2&amp;"*Zone People Number Of Occupants [](Hourly)",'Eplus results'!$1:$1048576,ROW(),FALSE)</f>
        <v>0</v>
      </c>
      <c r="AC2360" s="580">
        <f>HLOOKUP("*"&amp;'Output annual'!$AC$2&amp;'Output annual'!$AD$2&amp;"*FangerPMV(Hourly)",'Eplus results'!$1:$1048576,ROW(),FALSE)</f>
        <v>0</v>
      </c>
      <c r="AD2360" s="580">
        <f t="shared" si="216"/>
        <v>5</v>
      </c>
      <c r="AE2360" s="580">
        <f t="shared" si="217"/>
        <v>2.5</v>
      </c>
      <c r="AF2360" s="580">
        <f t="shared" si="218"/>
        <v>2.5</v>
      </c>
      <c r="AG2360" s="580">
        <f t="shared" si="219"/>
        <v>0</v>
      </c>
      <c r="AH2360" s="580">
        <f t="shared" si="220"/>
        <v>0</v>
      </c>
    </row>
    <row r="2361" spans="28:34">
      <c r="AB2361" s="580">
        <f>HLOOKUP("*"&amp;'Output annual'!$AC$2&amp;'Output annual'!$AD$2&amp;"*Zone People Number Of Occupants [](Hourly)",'Eplus results'!$1:$1048576,ROW(),FALSE)</f>
        <v>0</v>
      </c>
      <c r="AC2361" s="580">
        <f>HLOOKUP("*"&amp;'Output annual'!$AC$2&amp;'Output annual'!$AD$2&amp;"*FangerPMV(Hourly)",'Eplus results'!$1:$1048576,ROW(),FALSE)</f>
        <v>0</v>
      </c>
      <c r="AD2361" s="580">
        <f t="shared" si="216"/>
        <v>5</v>
      </c>
      <c r="AE2361" s="580">
        <f t="shared" si="217"/>
        <v>2.5</v>
      </c>
      <c r="AF2361" s="580">
        <f t="shared" si="218"/>
        <v>2.5</v>
      </c>
      <c r="AG2361" s="580">
        <f t="shared" si="219"/>
        <v>0</v>
      </c>
      <c r="AH2361" s="580">
        <f t="shared" si="220"/>
        <v>0</v>
      </c>
    </row>
    <row r="2362" spans="28:34">
      <c r="AB2362" s="580">
        <f>HLOOKUP("*"&amp;'Output annual'!$AC$2&amp;'Output annual'!$AD$2&amp;"*Zone People Number Of Occupants [](Hourly)",'Eplus results'!$1:$1048576,ROW(),FALSE)</f>
        <v>0</v>
      </c>
      <c r="AC2362" s="580">
        <f>HLOOKUP("*"&amp;'Output annual'!$AC$2&amp;'Output annual'!$AD$2&amp;"*FangerPMV(Hourly)",'Eplus results'!$1:$1048576,ROW(),FALSE)</f>
        <v>0</v>
      </c>
      <c r="AD2362" s="580">
        <f t="shared" si="216"/>
        <v>5</v>
      </c>
      <c r="AE2362" s="580">
        <f t="shared" si="217"/>
        <v>2.5</v>
      </c>
      <c r="AF2362" s="580">
        <f t="shared" si="218"/>
        <v>2.5</v>
      </c>
      <c r="AG2362" s="580">
        <f t="shared" si="219"/>
        <v>0</v>
      </c>
      <c r="AH2362" s="580">
        <f t="shared" si="220"/>
        <v>0</v>
      </c>
    </row>
    <row r="2363" spans="28:34">
      <c r="AB2363" s="580">
        <f>HLOOKUP("*"&amp;'Output annual'!$AC$2&amp;'Output annual'!$AD$2&amp;"*Zone People Number Of Occupants [](Hourly)",'Eplus results'!$1:$1048576,ROW(),FALSE)</f>
        <v>0</v>
      </c>
      <c r="AC2363" s="580">
        <f>HLOOKUP("*"&amp;'Output annual'!$AC$2&amp;'Output annual'!$AD$2&amp;"*FangerPMV(Hourly)",'Eplus results'!$1:$1048576,ROW(),FALSE)</f>
        <v>0</v>
      </c>
      <c r="AD2363" s="580">
        <f t="shared" si="216"/>
        <v>5</v>
      </c>
      <c r="AE2363" s="580">
        <f t="shared" si="217"/>
        <v>2.5</v>
      </c>
      <c r="AF2363" s="580">
        <f t="shared" si="218"/>
        <v>2.5</v>
      </c>
      <c r="AG2363" s="580">
        <f t="shared" si="219"/>
        <v>0</v>
      </c>
      <c r="AH2363" s="580">
        <f t="shared" si="220"/>
        <v>0</v>
      </c>
    </row>
    <row r="2364" spans="28:34">
      <c r="AB2364" s="580">
        <f>HLOOKUP("*"&amp;'Output annual'!$AC$2&amp;'Output annual'!$AD$2&amp;"*Zone People Number Of Occupants [](Hourly)",'Eplus results'!$1:$1048576,ROW(),FALSE)</f>
        <v>0</v>
      </c>
      <c r="AC2364" s="580">
        <f>HLOOKUP("*"&amp;'Output annual'!$AC$2&amp;'Output annual'!$AD$2&amp;"*FangerPMV(Hourly)",'Eplus results'!$1:$1048576,ROW(),FALSE)</f>
        <v>0</v>
      </c>
      <c r="AD2364" s="580">
        <f t="shared" si="216"/>
        <v>5</v>
      </c>
      <c r="AE2364" s="580">
        <f t="shared" si="217"/>
        <v>2.5</v>
      </c>
      <c r="AF2364" s="580">
        <f t="shared" si="218"/>
        <v>2.5</v>
      </c>
      <c r="AG2364" s="580">
        <f t="shared" si="219"/>
        <v>0</v>
      </c>
      <c r="AH2364" s="580">
        <f t="shared" si="220"/>
        <v>0</v>
      </c>
    </row>
    <row r="2365" spans="28:34">
      <c r="AB2365" s="580">
        <f>HLOOKUP("*"&amp;'Output annual'!$AC$2&amp;'Output annual'!$AD$2&amp;"*Zone People Number Of Occupants [](Hourly)",'Eplus results'!$1:$1048576,ROW(),FALSE)</f>
        <v>0</v>
      </c>
      <c r="AC2365" s="580">
        <f>HLOOKUP("*"&amp;'Output annual'!$AC$2&amp;'Output annual'!$AD$2&amp;"*FangerPMV(Hourly)",'Eplus results'!$1:$1048576,ROW(),FALSE)</f>
        <v>0</v>
      </c>
      <c r="AD2365" s="580">
        <f t="shared" si="216"/>
        <v>5</v>
      </c>
      <c r="AE2365" s="580">
        <f t="shared" si="217"/>
        <v>2.5</v>
      </c>
      <c r="AF2365" s="580">
        <f t="shared" si="218"/>
        <v>2.5</v>
      </c>
      <c r="AG2365" s="580">
        <f t="shared" si="219"/>
        <v>0</v>
      </c>
      <c r="AH2365" s="580">
        <f t="shared" si="220"/>
        <v>0</v>
      </c>
    </row>
    <row r="2366" spans="28:34">
      <c r="AB2366" s="580">
        <f>HLOOKUP("*"&amp;'Output annual'!$AC$2&amp;'Output annual'!$AD$2&amp;"*Zone People Number Of Occupants [](Hourly)",'Eplus results'!$1:$1048576,ROW(),FALSE)</f>
        <v>0</v>
      </c>
      <c r="AC2366" s="580">
        <f>HLOOKUP("*"&amp;'Output annual'!$AC$2&amp;'Output annual'!$AD$2&amp;"*FangerPMV(Hourly)",'Eplus results'!$1:$1048576,ROW(),FALSE)</f>
        <v>0</v>
      </c>
      <c r="AD2366" s="580">
        <f t="shared" si="216"/>
        <v>5</v>
      </c>
      <c r="AE2366" s="580">
        <f t="shared" si="217"/>
        <v>2.5</v>
      </c>
      <c r="AF2366" s="580">
        <f t="shared" si="218"/>
        <v>2.5</v>
      </c>
      <c r="AG2366" s="580">
        <f t="shared" si="219"/>
        <v>0</v>
      </c>
      <c r="AH2366" s="580">
        <f t="shared" si="220"/>
        <v>0</v>
      </c>
    </row>
    <row r="2367" spans="28:34">
      <c r="AB2367" s="580">
        <f>HLOOKUP("*"&amp;'Output annual'!$AC$2&amp;'Output annual'!$AD$2&amp;"*Zone People Number Of Occupants [](Hourly)",'Eplus results'!$1:$1048576,ROW(),FALSE)</f>
        <v>0</v>
      </c>
      <c r="AC2367" s="580">
        <f>HLOOKUP("*"&amp;'Output annual'!$AC$2&amp;'Output annual'!$AD$2&amp;"*FangerPMV(Hourly)",'Eplus results'!$1:$1048576,ROW(),FALSE)</f>
        <v>0</v>
      </c>
      <c r="AD2367" s="580">
        <f t="shared" si="216"/>
        <v>5</v>
      </c>
      <c r="AE2367" s="580">
        <f t="shared" si="217"/>
        <v>2.5</v>
      </c>
      <c r="AF2367" s="580">
        <f t="shared" si="218"/>
        <v>2.5</v>
      </c>
      <c r="AG2367" s="580">
        <f t="shared" si="219"/>
        <v>0</v>
      </c>
      <c r="AH2367" s="580">
        <f t="shared" si="220"/>
        <v>0</v>
      </c>
    </row>
    <row r="2368" spans="28:34">
      <c r="AB2368" s="580">
        <f>HLOOKUP("*"&amp;'Output annual'!$AC$2&amp;'Output annual'!$AD$2&amp;"*Zone People Number Of Occupants [](Hourly)",'Eplus results'!$1:$1048576,ROW(),FALSE)</f>
        <v>0</v>
      </c>
      <c r="AC2368" s="580">
        <f>HLOOKUP("*"&amp;'Output annual'!$AC$2&amp;'Output annual'!$AD$2&amp;"*FangerPMV(Hourly)",'Eplus results'!$1:$1048576,ROW(),FALSE)</f>
        <v>0</v>
      </c>
      <c r="AD2368" s="580">
        <f t="shared" si="216"/>
        <v>5</v>
      </c>
      <c r="AE2368" s="580">
        <f t="shared" si="217"/>
        <v>2.5</v>
      </c>
      <c r="AF2368" s="580">
        <f t="shared" si="218"/>
        <v>2.5</v>
      </c>
      <c r="AG2368" s="580">
        <f t="shared" si="219"/>
        <v>0</v>
      </c>
      <c r="AH2368" s="580">
        <f t="shared" si="220"/>
        <v>0</v>
      </c>
    </row>
    <row r="2369" spans="28:34">
      <c r="AB2369" s="580">
        <f>HLOOKUP("*"&amp;'Output annual'!$AC$2&amp;'Output annual'!$AD$2&amp;"*Zone People Number Of Occupants [](Hourly)",'Eplus results'!$1:$1048576,ROW(),FALSE)</f>
        <v>0</v>
      </c>
      <c r="AC2369" s="580">
        <f>HLOOKUP("*"&amp;'Output annual'!$AC$2&amp;'Output annual'!$AD$2&amp;"*FangerPMV(Hourly)",'Eplus results'!$1:$1048576,ROW(),FALSE)</f>
        <v>0</v>
      </c>
      <c r="AD2369" s="580">
        <f t="shared" si="216"/>
        <v>5</v>
      </c>
      <c r="AE2369" s="580">
        <f t="shared" si="217"/>
        <v>2.5</v>
      </c>
      <c r="AF2369" s="580">
        <f t="shared" si="218"/>
        <v>2.5</v>
      </c>
      <c r="AG2369" s="580">
        <f t="shared" si="219"/>
        <v>0</v>
      </c>
      <c r="AH2369" s="580">
        <f t="shared" si="220"/>
        <v>0</v>
      </c>
    </row>
    <row r="2370" spans="28:34">
      <c r="AB2370" s="580">
        <f>HLOOKUP("*"&amp;'Output annual'!$AC$2&amp;'Output annual'!$AD$2&amp;"*Zone People Number Of Occupants [](Hourly)",'Eplus results'!$1:$1048576,ROW(),FALSE)</f>
        <v>0</v>
      </c>
      <c r="AC2370" s="580">
        <f>HLOOKUP("*"&amp;'Output annual'!$AC$2&amp;'Output annual'!$AD$2&amp;"*FangerPMV(Hourly)",'Eplus results'!$1:$1048576,ROW(),FALSE)</f>
        <v>0</v>
      </c>
      <c r="AD2370" s="580">
        <f t="shared" si="216"/>
        <v>5</v>
      </c>
      <c r="AE2370" s="580">
        <f t="shared" si="217"/>
        <v>2.5</v>
      </c>
      <c r="AF2370" s="580">
        <f t="shared" si="218"/>
        <v>2.5</v>
      </c>
      <c r="AG2370" s="580">
        <f t="shared" si="219"/>
        <v>0</v>
      </c>
      <c r="AH2370" s="580">
        <f t="shared" si="220"/>
        <v>0</v>
      </c>
    </row>
    <row r="2371" spans="28:34">
      <c r="AB2371" s="580">
        <f>HLOOKUP("*"&amp;'Output annual'!$AC$2&amp;'Output annual'!$AD$2&amp;"*Zone People Number Of Occupants [](Hourly)",'Eplus results'!$1:$1048576,ROW(),FALSE)</f>
        <v>0</v>
      </c>
      <c r="AC2371" s="580">
        <f>HLOOKUP("*"&amp;'Output annual'!$AC$2&amp;'Output annual'!$AD$2&amp;"*FangerPMV(Hourly)",'Eplus results'!$1:$1048576,ROW(),FALSE)</f>
        <v>0</v>
      </c>
      <c r="AD2371" s="580">
        <f t="shared" ref="AD2371:AD2434" si="221">100-95*EXP(-0.03353*AC2371^4-0.2179*AC2371^2)</f>
        <v>5</v>
      </c>
      <c r="AE2371" s="580">
        <f t="shared" ref="AE2371:AE2434" si="222">AD2371*(1/(1+EXP(-6.3*$AC2371)))</f>
        <v>2.5</v>
      </c>
      <c r="AF2371" s="580">
        <f t="shared" ref="AF2371:AF2434" si="223">(AD2371-AE2371)</f>
        <v>2.5</v>
      </c>
      <c r="AG2371" s="580">
        <f t="shared" ref="AG2371:AG2434" si="224">AE2371*AB2371</f>
        <v>0</v>
      </c>
      <c r="AH2371" s="580">
        <f t="shared" ref="AH2371:AH2434" si="225">AF2371*AB2371</f>
        <v>0</v>
      </c>
    </row>
    <row r="2372" spans="28:34">
      <c r="AB2372" s="580">
        <f>HLOOKUP("*"&amp;'Output annual'!$AC$2&amp;'Output annual'!$AD$2&amp;"*Zone People Number Of Occupants [](Hourly)",'Eplus results'!$1:$1048576,ROW(),FALSE)</f>
        <v>0</v>
      </c>
      <c r="AC2372" s="580">
        <f>HLOOKUP("*"&amp;'Output annual'!$AC$2&amp;'Output annual'!$AD$2&amp;"*FangerPMV(Hourly)",'Eplus results'!$1:$1048576,ROW(),FALSE)</f>
        <v>0</v>
      </c>
      <c r="AD2372" s="580">
        <f t="shared" si="221"/>
        <v>5</v>
      </c>
      <c r="AE2372" s="580">
        <f t="shared" si="222"/>
        <v>2.5</v>
      </c>
      <c r="AF2372" s="580">
        <f t="shared" si="223"/>
        <v>2.5</v>
      </c>
      <c r="AG2372" s="580">
        <f t="shared" si="224"/>
        <v>0</v>
      </c>
      <c r="AH2372" s="580">
        <f t="shared" si="225"/>
        <v>0</v>
      </c>
    </row>
    <row r="2373" spans="28:34">
      <c r="AB2373" s="580">
        <f>HLOOKUP("*"&amp;'Output annual'!$AC$2&amp;'Output annual'!$AD$2&amp;"*Zone People Number Of Occupants [](Hourly)",'Eplus results'!$1:$1048576,ROW(),FALSE)</f>
        <v>0</v>
      </c>
      <c r="AC2373" s="580">
        <f>HLOOKUP("*"&amp;'Output annual'!$AC$2&amp;'Output annual'!$AD$2&amp;"*FangerPMV(Hourly)",'Eplus results'!$1:$1048576,ROW(),FALSE)</f>
        <v>0</v>
      </c>
      <c r="AD2373" s="580">
        <f t="shared" si="221"/>
        <v>5</v>
      </c>
      <c r="AE2373" s="580">
        <f t="shared" si="222"/>
        <v>2.5</v>
      </c>
      <c r="AF2373" s="580">
        <f t="shared" si="223"/>
        <v>2.5</v>
      </c>
      <c r="AG2373" s="580">
        <f t="shared" si="224"/>
        <v>0</v>
      </c>
      <c r="AH2373" s="580">
        <f t="shared" si="225"/>
        <v>0</v>
      </c>
    </row>
    <row r="2374" spans="28:34">
      <c r="AB2374" s="580">
        <f>HLOOKUP("*"&amp;'Output annual'!$AC$2&amp;'Output annual'!$AD$2&amp;"*Zone People Number Of Occupants [](Hourly)",'Eplus results'!$1:$1048576,ROW(),FALSE)</f>
        <v>0</v>
      </c>
      <c r="AC2374" s="580">
        <f>HLOOKUP("*"&amp;'Output annual'!$AC$2&amp;'Output annual'!$AD$2&amp;"*FangerPMV(Hourly)",'Eplus results'!$1:$1048576,ROW(),FALSE)</f>
        <v>0</v>
      </c>
      <c r="AD2374" s="580">
        <f t="shared" si="221"/>
        <v>5</v>
      </c>
      <c r="AE2374" s="580">
        <f t="shared" si="222"/>
        <v>2.5</v>
      </c>
      <c r="AF2374" s="580">
        <f t="shared" si="223"/>
        <v>2.5</v>
      </c>
      <c r="AG2374" s="580">
        <f t="shared" si="224"/>
        <v>0</v>
      </c>
      <c r="AH2374" s="580">
        <f t="shared" si="225"/>
        <v>0</v>
      </c>
    </row>
    <row r="2375" spans="28:34">
      <c r="AB2375" s="580">
        <f>HLOOKUP("*"&amp;'Output annual'!$AC$2&amp;'Output annual'!$AD$2&amp;"*Zone People Number Of Occupants [](Hourly)",'Eplus results'!$1:$1048576,ROW(),FALSE)</f>
        <v>0</v>
      </c>
      <c r="AC2375" s="580">
        <f>HLOOKUP("*"&amp;'Output annual'!$AC$2&amp;'Output annual'!$AD$2&amp;"*FangerPMV(Hourly)",'Eplus results'!$1:$1048576,ROW(),FALSE)</f>
        <v>0</v>
      </c>
      <c r="AD2375" s="580">
        <f t="shared" si="221"/>
        <v>5</v>
      </c>
      <c r="AE2375" s="580">
        <f t="shared" si="222"/>
        <v>2.5</v>
      </c>
      <c r="AF2375" s="580">
        <f t="shared" si="223"/>
        <v>2.5</v>
      </c>
      <c r="AG2375" s="580">
        <f t="shared" si="224"/>
        <v>0</v>
      </c>
      <c r="AH2375" s="580">
        <f t="shared" si="225"/>
        <v>0</v>
      </c>
    </row>
    <row r="2376" spans="28:34">
      <c r="AB2376" s="580">
        <f>HLOOKUP("*"&amp;'Output annual'!$AC$2&amp;'Output annual'!$AD$2&amp;"*Zone People Number Of Occupants [](Hourly)",'Eplus results'!$1:$1048576,ROW(),FALSE)</f>
        <v>0</v>
      </c>
      <c r="AC2376" s="580">
        <f>HLOOKUP("*"&amp;'Output annual'!$AC$2&amp;'Output annual'!$AD$2&amp;"*FangerPMV(Hourly)",'Eplus results'!$1:$1048576,ROW(),FALSE)</f>
        <v>0</v>
      </c>
      <c r="AD2376" s="580">
        <f t="shared" si="221"/>
        <v>5</v>
      </c>
      <c r="AE2376" s="580">
        <f t="shared" si="222"/>
        <v>2.5</v>
      </c>
      <c r="AF2376" s="580">
        <f t="shared" si="223"/>
        <v>2.5</v>
      </c>
      <c r="AG2376" s="580">
        <f t="shared" si="224"/>
        <v>0</v>
      </c>
      <c r="AH2376" s="580">
        <f t="shared" si="225"/>
        <v>0</v>
      </c>
    </row>
    <row r="2377" spans="28:34">
      <c r="AB2377" s="580">
        <f>HLOOKUP("*"&amp;'Output annual'!$AC$2&amp;'Output annual'!$AD$2&amp;"*Zone People Number Of Occupants [](Hourly)",'Eplus results'!$1:$1048576,ROW(),FALSE)</f>
        <v>0</v>
      </c>
      <c r="AC2377" s="580">
        <f>HLOOKUP("*"&amp;'Output annual'!$AC$2&amp;'Output annual'!$AD$2&amp;"*FangerPMV(Hourly)",'Eplus results'!$1:$1048576,ROW(),FALSE)</f>
        <v>0</v>
      </c>
      <c r="AD2377" s="580">
        <f t="shared" si="221"/>
        <v>5</v>
      </c>
      <c r="AE2377" s="580">
        <f t="shared" si="222"/>
        <v>2.5</v>
      </c>
      <c r="AF2377" s="580">
        <f t="shared" si="223"/>
        <v>2.5</v>
      </c>
      <c r="AG2377" s="580">
        <f t="shared" si="224"/>
        <v>0</v>
      </c>
      <c r="AH2377" s="580">
        <f t="shared" si="225"/>
        <v>0</v>
      </c>
    </row>
    <row r="2378" spans="28:34">
      <c r="AB2378" s="580">
        <f>HLOOKUP("*"&amp;'Output annual'!$AC$2&amp;'Output annual'!$AD$2&amp;"*Zone People Number Of Occupants [](Hourly)",'Eplus results'!$1:$1048576,ROW(),FALSE)</f>
        <v>0</v>
      </c>
      <c r="AC2378" s="580">
        <f>HLOOKUP("*"&amp;'Output annual'!$AC$2&amp;'Output annual'!$AD$2&amp;"*FangerPMV(Hourly)",'Eplus results'!$1:$1048576,ROW(),FALSE)</f>
        <v>0</v>
      </c>
      <c r="AD2378" s="580">
        <f t="shared" si="221"/>
        <v>5</v>
      </c>
      <c r="AE2378" s="580">
        <f t="shared" si="222"/>
        <v>2.5</v>
      </c>
      <c r="AF2378" s="580">
        <f t="shared" si="223"/>
        <v>2.5</v>
      </c>
      <c r="AG2378" s="580">
        <f t="shared" si="224"/>
        <v>0</v>
      </c>
      <c r="AH2378" s="580">
        <f t="shared" si="225"/>
        <v>0</v>
      </c>
    </row>
    <row r="2379" spans="28:34">
      <c r="AB2379" s="580">
        <f>HLOOKUP("*"&amp;'Output annual'!$AC$2&amp;'Output annual'!$AD$2&amp;"*Zone People Number Of Occupants [](Hourly)",'Eplus results'!$1:$1048576,ROW(),FALSE)</f>
        <v>0</v>
      </c>
      <c r="AC2379" s="580">
        <f>HLOOKUP("*"&amp;'Output annual'!$AC$2&amp;'Output annual'!$AD$2&amp;"*FangerPMV(Hourly)",'Eplus results'!$1:$1048576,ROW(),FALSE)</f>
        <v>0</v>
      </c>
      <c r="AD2379" s="580">
        <f t="shared" si="221"/>
        <v>5</v>
      </c>
      <c r="AE2379" s="580">
        <f t="shared" si="222"/>
        <v>2.5</v>
      </c>
      <c r="AF2379" s="580">
        <f t="shared" si="223"/>
        <v>2.5</v>
      </c>
      <c r="AG2379" s="580">
        <f t="shared" si="224"/>
        <v>0</v>
      </c>
      <c r="AH2379" s="580">
        <f t="shared" si="225"/>
        <v>0</v>
      </c>
    </row>
    <row r="2380" spans="28:34">
      <c r="AB2380" s="580">
        <f>HLOOKUP("*"&amp;'Output annual'!$AC$2&amp;'Output annual'!$AD$2&amp;"*Zone People Number Of Occupants [](Hourly)",'Eplus results'!$1:$1048576,ROW(),FALSE)</f>
        <v>0</v>
      </c>
      <c r="AC2380" s="580">
        <f>HLOOKUP("*"&amp;'Output annual'!$AC$2&amp;'Output annual'!$AD$2&amp;"*FangerPMV(Hourly)",'Eplus results'!$1:$1048576,ROW(),FALSE)</f>
        <v>0</v>
      </c>
      <c r="AD2380" s="580">
        <f t="shared" si="221"/>
        <v>5</v>
      </c>
      <c r="AE2380" s="580">
        <f t="shared" si="222"/>
        <v>2.5</v>
      </c>
      <c r="AF2380" s="580">
        <f t="shared" si="223"/>
        <v>2.5</v>
      </c>
      <c r="AG2380" s="580">
        <f t="shared" si="224"/>
        <v>0</v>
      </c>
      <c r="AH2380" s="580">
        <f t="shared" si="225"/>
        <v>0</v>
      </c>
    </row>
    <row r="2381" spans="28:34">
      <c r="AB2381" s="580">
        <f>HLOOKUP("*"&amp;'Output annual'!$AC$2&amp;'Output annual'!$AD$2&amp;"*Zone People Number Of Occupants [](Hourly)",'Eplus results'!$1:$1048576,ROW(),FALSE)</f>
        <v>0</v>
      </c>
      <c r="AC2381" s="580">
        <f>HLOOKUP("*"&amp;'Output annual'!$AC$2&amp;'Output annual'!$AD$2&amp;"*FangerPMV(Hourly)",'Eplus results'!$1:$1048576,ROW(),FALSE)</f>
        <v>0</v>
      </c>
      <c r="AD2381" s="580">
        <f t="shared" si="221"/>
        <v>5</v>
      </c>
      <c r="AE2381" s="580">
        <f t="shared" si="222"/>
        <v>2.5</v>
      </c>
      <c r="AF2381" s="580">
        <f t="shared" si="223"/>
        <v>2.5</v>
      </c>
      <c r="AG2381" s="580">
        <f t="shared" si="224"/>
        <v>0</v>
      </c>
      <c r="AH2381" s="580">
        <f t="shared" si="225"/>
        <v>0</v>
      </c>
    </row>
    <row r="2382" spans="28:34">
      <c r="AB2382" s="580">
        <f>HLOOKUP("*"&amp;'Output annual'!$AC$2&amp;'Output annual'!$AD$2&amp;"*Zone People Number Of Occupants [](Hourly)",'Eplus results'!$1:$1048576,ROW(),FALSE)</f>
        <v>0</v>
      </c>
      <c r="AC2382" s="580">
        <f>HLOOKUP("*"&amp;'Output annual'!$AC$2&amp;'Output annual'!$AD$2&amp;"*FangerPMV(Hourly)",'Eplus results'!$1:$1048576,ROW(),FALSE)</f>
        <v>0</v>
      </c>
      <c r="AD2382" s="580">
        <f t="shared" si="221"/>
        <v>5</v>
      </c>
      <c r="AE2382" s="580">
        <f t="shared" si="222"/>
        <v>2.5</v>
      </c>
      <c r="AF2382" s="580">
        <f t="shared" si="223"/>
        <v>2.5</v>
      </c>
      <c r="AG2382" s="580">
        <f t="shared" si="224"/>
        <v>0</v>
      </c>
      <c r="AH2382" s="580">
        <f t="shared" si="225"/>
        <v>0</v>
      </c>
    </row>
    <row r="2383" spans="28:34">
      <c r="AB2383" s="580">
        <f>HLOOKUP("*"&amp;'Output annual'!$AC$2&amp;'Output annual'!$AD$2&amp;"*Zone People Number Of Occupants [](Hourly)",'Eplus results'!$1:$1048576,ROW(),FALSE)</f>
        <v>0</v>
      </c>
      <c r="AC2383" s="580">
        <f>HLOOKUP("*"&amp;'Output annual'!$AC$2&amp;'Output annual'!$AD$2&amp;"*FangerPMV(Hourly)",'Eplus results'!$1:$1048576,ROW(),FALSE)</f>
        <v>0</v>
      </c>
      <c r="AD2383" s="580">
        <f t="shared" si="221"/>
        <v>5</v>
      </c>
      <c r="AE2383" s="580">
        <f t="shared" si="222"/>
        <v>2.5</v>
      </c>
      <c r="AF2383" s="580">
        <f t="shared" si="223"/>
        <v>2.5</v>
      </c>
      <c r="AG2383" s="580">
        <f t="shared" si="224"/>
        <v>0</v>
      </c>
      <c r="AH2383" s="580">
        <f t="shared" si="225"/>
        <v>0</v>
      </c>
    </row>
    <row r="2384" spans="28:34">
      <c r="AB2384" s="580">
        <f>HLOOKUP("*"&amp;'Output annual'!$AC$2&amp;'Output annual'!$AD$2&amp;"*Zone People Number Of Occupants [](Hourly)",'Eplus results'!$1:$1048576,ROW(),FALSE)</f>
        <v>0</v>
      </c>
      <c r="AC2384" s="580">
        <f>HLOOKUP("*"&amp;'Output annual'!$AC$2&amp;'Output annual'!$AD$2&amp;"*FangerPMV(Hourly)",'Eplus results'!$1:$1048576,ROW(),FALSE)</f>
        <v>0</v>
      </c>
      <c r="AD2384" s="580">
        <f t="shared" si="221"/>
        <v>5</v>
      </c>
      <c r="AE2384" s="580">
        <f t="shared" si="222"/>
        <v>2.5</v>
      </c>
      <c r="AF2384" s="580">
        <f t="shared" si="223"/>
        <v>2.5</v>
      </c>
      <c r="AG2384" s="580">
        <f t="shared" si="224"/>
        <v>0</v>
      </c>
      <c r="AH2384" s="580">
        <f t="shared" si="225"/>
        <v>0</v>
      </c>
    </row>
    <row r="2385" spans="28:34">
      <c r="AB2385" s="580">
        <f>HLOOKUP("*"&amp;'Output annual'!$AC$2&amp;'Output annual'!$AD$2&amp;"*Zone People Number Of Occupants [](Hourly)",'Eplus results'!$1:$1048576,ROW(),FALSE)</f>
        <v>0</v>
      </c>
      <c r="AC2385" s="580">
        <f>HLOOKUP("*"&amp;'Output annual'!$AC$2&amp;'Output annual'!$AD$2&amp;"*FangerPMV(Hourly)",'Eplus results'!$1:$1048576,ROW(),FALSE)</f>
        <v>0</v>
      </c>
      <c r="AD2385" s="580">
        <f t="shared" si="221"/>
        <v>5</v>
      </c>
      <c r="AE2385" s="580">
        <f t="shared" si="222"/>
        <v>2.5</v>
      </c>
      <c r="AF2385" s="580">
        <f t="shared" si="223"/>
        <v>2.5</v>
      </c>
      <c r="AG2385" s="580">
        <f t="shared" si="224"/>
        <v>0</v>
      </c>
      <c r="AH2385" s="580">
        <f t="shared" si="225"/>
        <v>0</v>
      </c>
    </row>
    <row r="2386" spans="28:34">
      <c r="AB2386" s="580">
        <f>HLOOKUP("*"&amp;'Output annual'!$AC$2&amp;'Output annual'!$AD$2&amp;"*Zone People Number Of Occupants [](Hourly)",'Eplus results'!$1:$1048576,ROW(),FALSE)</f>
        <v>0</v>
      </c>
      <c r="AC2386" s="580">
        <f>HLOOKUP("*"&amp;'Output annual'!$AC$2&amp;'Output annual'!$AD$2&amp;"*FangerPMV(Hourly)",'Eplus results'!$1:$1048576,ROW(),FALSE)</f>
        <v>0</v>
      </c>
      <c r="AD2386" s="580">
        <f t="shared" si="221"/>
        <v>5</v>
      </c>
      <c r="AE2386" s="580">
        <f t="shared" si="222"/>
        <v>2.5</v>
      </c>
      <c r="AF2386" s="580">
        <f t="shared" si="223"/>
        <v>2.5</v>
      </c>
      <c r="AG2386" s="580">
        <f t="shared" si="224"/>
        <v>0</v>
      </c>
      <c r="AH2386" s="580">
        <f t="shared" si="225"/>
        <v>0</v>
      </c>
    </row>
    <row r="2387" spans="28:34">
      <c r="AB2387" s="580">
        <f>HLOOKUP("*"&amp;'Output annual'!$AC$2&amp;'Output annual'!$AD$2&amp;"*Zone People Number Of Occupants [](Hourly)",'Eplus results'!$1:$1048576,ROW(),FALSE)</f>
        <v>0</v>
      </c>
      <c r="AC2387" s="580">
        <f>HLOOKUP("*"&amp;'Output annual'!$AC$2&amp;'Output annual'!$AD$2&amp;"*FangerPMV(Hourly)",'Eplus results'!$1:$1048576,ROW(),FALSE)</f>
        <v>0</v>
      </c>
      <c r="AD2387" s="580">
        <f t="shared" si="221"/>
        <v>5</v>
      </c>
      <c r="AE2387" s="580">
        <f t="shared" si="222"/>
        <v>2.5</v>
      </c>
      <c r="AF2387" s="580">
        <f t="shared" si="223"/>
        <v>2.5</v>
      </c>
      <c r="AG2387" s="580">
        <f t="shared" si="224"/>
        <v>0</v>
      </c>
      <c r="AH2387" s="580">
        <f t="shared" si="225"/>
        <v>0</v>
      </c>
    </row>
    <row r="2388" spans="28:34">
      <c r="AB2388" s="580">
        <f>HLOOKUP("*"&amp;'Output annual'!$AC$2&amp;'Output annual'!$AD$2&amp;"*Zone People Number Of Occupants [](Hourly)",'Eplus results'!$1:$1048576,ROW(),FALSE)</f>
        <v>0</v>
      </c>
      <c r="AC2388" s="580">
        <f>HLOOKUP("*"&amp;'Output annual'!$AC$2&amp;'Output annual'!$AD$2&amp;"*FangerPMV(Hourly)",'Eplus results'!$1:$1048576,ROW(),FALSE)</f>
        <v>0</v>
      </c>
      <c r="AD2388" s="580">
        <f t="shared" si="221"/>
        <v>5</v>
      </c>
      <c r="AE2388" s="580">
        <f t="shared" si="222"/>
        <v>2.5</v>
      </c>
      <c r="AF2388" s="580">
        <f t="shared" si="223"/>
        <v>2.5</v>
      </c>
      <c r="AG2388" s="580">
        <f t="shared" si="224"/>
        <v>0</v>
      </c>
      <c r="AH2388" s="580">
        <f t="shared" si="225"/>
        <v>0</v>
      </c>
    </row>
    <row r="2389" spans="28:34">
      <c r="AB2389" s="580">
        <f>HLOOKUP("*"&amp;'Output annual'!$AC$2&amp;'Output annual'!$AD$2&amp;"*Zone People Number Of Occupants [](Hourly)",'Eplus results'!$1:$1048576,ROW(),FALSE)</f>
        <v>0</v>
      </c>
      <c r="AC2389" s="580">
        <f>HLOOKUP("*"&amp;'Output annual'!$AC$2&amp;'Output annual'!$AD$2&amp;"*FangerPMV(Hourly)",'Eplus results'!$1:$1048576,ROW(),FALSE)</f>
        <v>0</v>
      </c>
      <c r="AD2389" s="580">
        <f t="shared" si="221"/>
        <v>5</v>
      </c>
      <c r="AE2389" s="580">
        <f t="shared" si="222"/>
        <v>2.5</v>
      </c>
      <c r="AF2389" s="580">
        <f t="shared" si="223"/>
        <v>2.5</v>
      </c>
      <c r="AG2389" s="580">
        <f t="shared" si="224"/>
        <v>0</v>
      </c>
      <c r="AH2389" s="580">
        <f t="shared" si="225"/>
        <v>0</v>
      </c>
    </row>
    <row r="2390" spans="28:34">
      <c r="AB2390" s="580">
        <f>HLOOKUP("*"&amp;'Output annual'!$AC$2&amp;'Output annual'!$AD$2&amp;"*Zone People Number Of Occupants [](Hourly)",'Eplus results'!$1:$1048576,ROW(),FALSE)</f>
        <v>0</v>
      </c>
      <c r="AC2390" s="580">
        <f>HLOOKUP("*"&amp;'Output annual'!$AC$2&amp;'Output annual'!$AD$2&amp;"*FangerPMV(Hourly)",'Eplus results'!$1:$1048576,ROW(),FALSE)</f>
        <v>0</v>
      </c>
      <c r="AD2390" s="580">
        <f t="shared" si="221"/>
        <v>5</v>
      </c>
      <c r="AE2390" s="580">
        <f t="shared" si="222"/>
        <v>2.5</v>
      </c>
      <c r="AF2390" s="580">
        <f t="shared" si="223"/>
        <v>2.5</v>
      </c>
      <c r="AG2390" s="580">
        <f t="shared" si="224"/>
        <v>0</v>
      </c>
      <c r="AH2390" s="580">
        <f t="shared" si="225"/>
        <v>0</v>
      </c>
    </row>
    <row r="2391" spans="28:34">
      <c r="AB2391" s="580">
        <f>HLOOKUP("*"&amp;'Output annual'!$AC$2&amp;'Output annual'!$AD$2&amp;"*Zone People Number Of Occupants [](Hourly)",'Eplus results'!$1:$1048576,ROW(),FALSE)</f>
        <v>0</v>
      </c>
      <c r="AC2391" s="580">
        <f>HLOOKUP("*"&amp;'Output annual'!$AC$2&amp;'Output annual'!$AD$2&amp;"*FangerPMV(Hourly)",'Eplus results'!$1:$1048576,ROW(),FALSE)</f>
        <v>0</v>
      </c>
      <c r="AD2391" s="580">
        <f t="shared" si="221"/>
        <v>5</v>
      </c>
      <c r="AE2391" s="580">
        <f t="shared" si="222"/>
        <v>2.5</v>
      </c>
      <c r="AF2391" s="580">
        <f t="shared" si="223"/>
        <v>2.5</v>
      </c>
      <c r="AG2391" s="580">
        <f t="shared" si="224"/>
        <v>0</v>
      </c>
      <c r="AH2391" s="580">
        <f t="shared" si="225"/>
        <v>0</v>
      </c>
    </row>
    <row r="2392" spans="28:34">
      <c r="AB2392" s="580">
        <f>HLOOKUP("*"&amp;'Output annual'!$AC$2&amp;'Output annual'!$AD$2&amp;"*Zone People Number Of Occupants [](Hourly)",'Eplus results'!$1:$1048576,ROW(),FALSE)</f>
        <v>0</v>
      </c>
      <c r="AC2392" s="580">
        <f>HLOOKUP("*"&amp;'Output annual'!$AC$2&amp;'Output annual'!$AD$2&amp;"*FangerPMV(Hourly)",'Eplus results'!$1:$1048576,ROW(),FALSE)</f>
        <v>0</v>
      </c>
      <c r="AD2392" s="580">
        <f t="shared" si="221"/>
        <v>5</v>
      </c>
      <c r="AE2392" s="580">
        <f t="shared" si="222"/>
        <v>2.5</v>
      </c>
      <c r="AF2392" s="580">
        <f t="shared" si="223"/>
        <v>2.5</v>
      </c>
      <c r="AG2392" s="580">
        <f t="shared" si="224"/>
        <v>0</v>
      </c>
      <c r="AH2392" s="580">
        <f t="shared" si="225"/>
        <v>0</v>
      </c>
    </row>
    <row r="2393" spans="28:34">
      <c r="AB2393" s="580">
        <f>HLOOKUP("*"&amp;'Output annual'!$AC$2&amp;'Output annual'!$AD$2&amp;"*Zone People Number Of Occupants [](Hourly)",'Eplus results'!$1:$1048576,ROW(),FALSE)</f>
        <v>0</v>
      </c>
      <c r="AC2393" s="580">
        <f>HLOOKUP("*"&amp;'Output annual'!$AC$2&amp;'Output annual'!$AD$2&amp;"*FangerPMV(Hourly)",'Eplus results'!$1:$1048576,ROW(),FALSE)</f>
        <v>0</v>
      </c>
      <c r="AD2393" s="580">
        <f t="shared" si="221"/>
        <v>5</v>
      </c>
      <c r="AE2393" s="580">
        <f t="shared" si="222"/>
        <v>2.5</v>
      </c>
      <c r="AF2393" s="580">
        <f t="shared" si="223"/>
        <v>2.5</v>
      </c>
      <c r="AG2393" s="580">
        <f t="shared" si="224"/>
        <v>0</v>
      </c>
      <c r="AH2393" s="580">
        <f t="shared" si="225"/>
        <v>0</v>
      </c>
    </row>
    <row r="2394" spans="28:34">
      <c r="AB2394" s="580">
        <f>HLOOKUP("*"&amp;'Output annual'!$AC$2&amp;'Output annual'!$AD$2&amp;"*Zone People Number Of Occupants [](Hourly)",'Eplus results'!$1:$1048576,ROW(),FALSE)</f>
        <v>0</v>
      </c>
      <c r="AC2394" s="580">
        <f>HLOOKUP("*"&amp;'Output annual'!$AC$2&amp;'Output annual'!$AD$2&amp;"*FangerPMV(Hourly)",'Eplus results'!$1:$1048576,ROW(),FALSE)</f>
        <v>0</v>
      </c>
      <c r="AD2394" s="580">
        <f t="shared" si="221"/>
        <v>5</v>
      </c>
      <c r="AE2394" s="580">
        <f t="shared" si="222"/>
        <v>2.5</v>
      </c>
      <c r="AF2394" s="580">
        <f t="shared" si="223"/>
        <v>2.5</v>
      </c>
      <c r="AG2394" s="580">
        <f t="shared" si="224"/>
        <v>0</v>
      </c>
      <c r="AH2394" s="580">
        <f t="shared" si="225"/>
        <v>0</v>
      </c>
    </row>
    <row r="2395" spans="28:34">
      <c r="AB2395" s="580">
        <f>HLOOKUP("*"&amp;'Output annual'!$AC$2&amp;'Output annual'!$AD$2&amp;"*Zone People Number Of Occupants [](Hourly)",'Eplus results'!$1:$1048576,ROW(),FALSE)</f>
        <v>0</v>
      </c>
      <c r="AC2395" s="580">
        <f>HLOOKUP("*"&amp;'Output annual'!$AC$2&amp;'Output annual'!$AD$2&amp;"*FangerPMV(Hourly)",'Eplus results'!$1:$1048576,ROW(),FALSE)</f>
        <v>0</v>
      </c>
      <c r="AD2395" s="580">
        <f t="shared" si="221"/>
        <v>5</v>
      </c>
      <c r="AE2395" s="580">
        <f t="shared" si="222"/>
        <v>2.5</v>
      </c>
      <c r="AF2395" s="580">
        <f t="shared" si="223"/>
        <v>2.5</v>
      </c>
      <c r="AG2395" s="580">
        <f t="shared" si="224"/>
        <v>0</v>
      </c>
      <c r="AH2395" s="580">
        <f t="shared" si="225"/>
        <v>0</v>
      </c>
    </row>
    <row r="2396" spans="28:34">
      <c r="AB2396" s="580">
        <f>HLOOKUP("*"&amp;'Output annual'!$AC$2&amp;'Output annual'!$AD$2&amp;"*Zone People Number Of Occupants [](Hourly)",'Eplus results'!$1:$1048576,ROW(),FALSE)</f>
        <v>0</v>
      </c>
      <c r="AC2396" s="580">
        <f>HLOOKUP("*"&amp;'Output annual'!$AC$2&amp;'Output annual'!$AD$2&amp;"*FangerPMV(Hourly)",'Eplus results'!$1:$1048576,ROW(),FALSE)</f>
        <v>0</v>
      </c>
      <c r="AD2396" s="580">
        <f t="shared" si="221"/>
        <v>5</v>
      </c>
      <c r="AE2396" s="580">
        <f t="shared" si="222"/>
        <v>2.5</v>
      </c>
      <c r="AF2396" s="580">
        <f t="shared" si="223"/>
        <v>2.5</v>
      </c>
      <c r="AG2396" s="580">
        <f t="shared" si="224"/>
        <v>0</v>
      </c>
      <c r="AH2396" s="580">
        <f t="shared" si="225"/>
        <v>0</v>
      </c>
    </row>
    <row r="2397" spans="28:34">
      <c r="AB2397" s="580">
        <f>HLOOKUP("*"&amp;'Output annual'!$AC$2&amp;'Output annual'!$AD$2&amp;"*Zone People Number Of Occupants [](Hourly)",'Eplus results'!$1:$1048576,ROW(),FALSE)</f>
        <v>0</v>
      </c>
      <c r="AC2397" s="580">
        <f>HLOOKUP("*"&amp;'Output annual'!$AC$2&amp;'Output annual'!$AD$2&amp;"*FangerPMV(Hourly)",'Eplus results'!$1:$1048576,ROW(),FALSE)</f>
        <v>0</v>
      </c>
      <c r="AD2397" s="580">
        <f t="shared" si="221"/>
        <v>5</v>
      </c>
      <c r="AE2397" s="580">
        <f t="shared" si="222"/>
        <v>2.5</v>
      </c>
      <c r="AF2397" s="580">
        <f t="shared" si="223"/>
        <v>2.5</v>
      </c>
      <c r="AG2397" s="580">
        <f t="shared" si="224"/>
        <v>0</v>
      </c>
      <c r="AH2397" s="580">
        <f t="shared" si="225"/>
        <v>0</v>
      </c>
    </row>
    <row r="2398" spans="28:34">
      <c r="AB2398" s="580">
        <f>HLOOKUP("*"&amp;'Output annual'!$AC$2&amp;'Output annual'!$AD$2&amp;"*Zone People Number Of Occupants [](Hourly)",'Eplus results'!$1:$1048576,ROW(),FALSE)</f>
        <v>0</v>
      </c>
      <c r="AC2398" s="580">
        <f>HLOOKUP("*"&amp;'Output annual'!$AC$2&amp;'Output annual'!$AD$2&amp;"*FangerPMV(Hourly)",'Eplus results'!$1:$1048576,ROW(),FALSE)</f>
        <v>0</v>
      </c>
      <c r="AD2398" s="580">
        <f t="shared" si="221"/>
        <v>5</v>
      </c>
      <c r="AE2398" s="580">
        <f t="shared" si="222"/>
        <v>2.5</v>
      </c>
      <c r="AF2398" s="580">
        <f t="shared" si="223"/>
        <v>2.5</v>
      </c>
      <c r="AG2398" s="580">
        <f t="shared" si="224"/>
        <v>0</v>
      </c>
      <c r="AH2398" s="580">
        <f t="shared" si="225"/>
        <v>0</v>
      </c>
    </row>
    <row r="2399" spans="28:34">
      <c r="AB2399" s="580">
        <f>HLOOKUP("*"&amp;'Output annual'!$AC$2&amp;'Output annual'!$AD$2&amp;"*Zone People Number Of Occupants [](Hourly)",'Eplus results'!$1:$1048576,ROW(),FALSE)</f>
        <v>0</v>
      </c>
      <c r="AC2399" s="580">
        <f>HLOOKUP("*"&amp;'Output annual'!$AC$2&amp;'Output annual'!$AD$2&amp;"*FangerPMV(Hourly)",'Eplus results'!$1:$1048576,ROW(),FALSE)</f>
        <v>0</v>
      </c>
      <c r="AD2399" s="580">
        <f t="shared" si="221"/>
        <v>5</v>
      </c>
      <c r="AE2399" s="580">
        <f t="shared" si="222"/>
        <v>2.5</v>
      </c>
      <c r="AF2399" s="580">
        <f t="shared" si="223"/>
        <v>2.5</v>
      </c>
      <c r="AG2399" s="580">
        <f t="shared" si="224"/>
        <v>0</v>
      </c>
      <c r="AH2399" s="580">
        <f t="shared" si="225"/>
        <v>0</v>
      </c>
    </row>
    <row r="2400" spans="28:34">
      <c r="AB2400" s="580">
        <f>HLOOKUP("*"&amp;'Output annual'!$AC$2&amp;'Output annual'!$AD$2&amp;"*Zone People Number Of Occupants [](Hourly)",'Eplus results'!$1:$1048576,ROW(),FALSE)</f>
        <v>0</v>
      </c>
      <c r="AC2400" s="580">
        <f>HLOOKUP("*"&amp;'Output annual'!$AC$2&amp;'Output annual'!$AD$2&amp;"*FangerPMV(Hourly)",'Eplus results'!$1:$1048576,ROW(),FALSE)</f>
        <v>0</v>
      </c>
      <c r="AD2400" s="580">
        <f t="shared" si="221"/>
        <v>5</v>
      </c>
      <c r="AE2400" s="580">
        <f t="shared" si="222"/>
        <v>2.5</v>
      </c>
      <c r="AF2400" s="580">
        <f t="shared" si="223"/>
        <v>2.5</v>
      </c>
      <c r="AG2400" s="580">
        <f t="shared" si="224"/>
        <v>0</v>
      </c>
      <c r="AH2400" s="580">
        <f t="shared" si="225"/>
        <v>0</v>
      </c>
    </row>
    <row r="2401" spans="28:34">
      <c r="AB2401" s="580">
        <f>HLOOKUP("*"&amp;'Output annual'!$AC$2&amp;'Output annual'!$AD$2&amp;"*Zone People Number Of Occupants [](Hourly)",'Eplus results'!$1:$1048576,ROW(),FALSE)</f>
        <v>0</v>
      </c>
      <c r="AC2401" s="580">
        <f>HLOOKUP("*"&amp;'Output annual'!$AC$2&amp;'Output annual'!$AD$2&amp;"*FangerPMV(Hourly)",'Eplus results'!$1:$1048576,ROW(),FALSE)</f>
        <v>0</v>
      </c>
      <c r="AD2401" s="580">
        <f t="shared" si="221"/>
        <v>5</v>
      </c>
      <c r="AE2401" s="580">
        <f t="shared" si="222"/>
        <v>2.5</v>
      </c>
      <c r="AF2401" s="580">
        <f t="shared" si="223"/>
        <v>2.5</v>
      </c>
      <c r="AG2401" s="580">
        <f t="shared" si="224"/>
        <v>0</v>
      </c>
      <c r="AH2401" s="580">
        <f t="shared" si="225"/>
        <v>0</v>
      </c>
    </row>
    <row r="2402" spans="28:34">
      <c r="AB2402" s="580">
        <f>HLOOKUP("*"&amp;'Output annual'!$AC$2&amp;'Output annual'!$AD$2&amp;"*Zone People Number Of Occupants [](Hourly)",'Eplus results'!$1:$1048576,ROW(),FALSE)</f>
        <v>0</v>
      </c>
      <c r="AC2402" s="580">
        <f>HLOOKUP("*"&amp;'Output annual'!$AC$2&amp;'Output annual'!$AD$2&amp;"*FangerPMV(Hourly)",'Eplus results'!$1:$1048576,ROW(),FALSE)</f>
        <v>0</v>
      </c>
      <c r="AD2402" s="580">
        <f t="shared" si="221"/>
        <v>5</v>
      </c>
      <c r="AE2402" s="580">
        <f t="shared" si="222"/>
        <v>2.5</v>
      </c>
      <c r="AF2402" s="580">
        <f t="shared" si="223"/>
        <v>2.5</v>
      </c>
      <c r="AG2402" s="580">
        <f t="shared" si="224"/>
        <v>0</v>
      </c>
      <c r="AH2402" s="580">
        <f t="shared" si="225"/>
        <v>0</v>
      </c>
    </row>
    <row r="2403" spans="28:34">
      <c r="AB2403" s="580">
        <f>HLOOKUP("*"&amp;'Output annual'!$AC$2&amp;'Output annual'!$AD$2&amp;"*Zone People Number Of Occupants [](Hourly)",'Eplus results'!$1:$1048576,ROW(),FALSE)</f>
        <v>0</v>
      </c>
      <c r="AC2403" s="580">
        <f>HLOOKUP("*"&amp;'Output annual'!$AC$2&amp;'Output annual'!$AD$2&amp;"*FangerPMV(Hourly)",'Eplus results'!$1:$1048576,ROW(),FALSE)</f>
        <v>0</v>
      </c>
      <c r="AD2403" s="580">
        <f t="shared" si="221"/>
        <v>5</v>
      </c>
      <c r="AE2403" s="580">
        <f t="shared" si="222"/>
        <v>2.5</v>
      </c>
      <c r="AF2403" s="580">
        <f t="shared" si="223"/>
        <v>2.5</v>
      </c>
      <c r="AG2403" s="580">
        <f t="shared" si="224"/>
        <v>0</v>
      </c>
      <c r="AH2403" s="580">
        <f t="shared" si="225"/>
        <v>0</v>
      </c>
    </row>
    <row r="2404" spans="28:34">
      <c r="AB2404" s="580">
        <f>HLOOKUP("*"&amp;'Output annual'!$AC$2&amp;'Output annual'!$AD$2&amp;"*Zone People Number Of Occupants [](Hourly)",'Eplus results'!$1:$1048576,ROW(),FALSE)</f>
        <v>0</v>
      </c>
      <c r="AC2404" s="580">
        <f>HLOOKUP("*"&amp;'Output annual'!$AC$2&amp;'Output annual'!$AD$2&amp;"*FangerPMV(Hourly)",'Eplus results'!$1:$1048576,ROW(),FALSE)</f>
        <v>0</v>
      </c>
      <c r="AD2404" s="580">
        <f t="shared" si="221"/>
        <v>5</v>
      </c>
      <c r="AE2404" s="580">
        <f t="shared" si="222"/>
        <v>2.5</v>
      </c>
      <c r="AF2404" s="580">
        <f t="shared" si="223"/>
        <v>2.5</v>
      </c>
      <c r="AG2404" s="580">
        <f t="shared" si="224"/>
        <v>0</v>
      </c>
      <c r="AH2404" s="580">
        <f t="shared" si="225"/>
        <v>0</v>
      </c>
    </row>
    <row r="2405" spans="28:34">
      <c r="AB2405" s="580">
        <f>HLOOKUP("*"&amp;'Output annual'!$AC$2&amp;'Output annual'!$AD$2&amp;"*Zone People Number Of Occupants [](Hourly)",'Eplus results'!$1:$1048576,ROW(),FALSE)</f>
        <v>0</v>
      </c>
      <c r="AC2405" s="580">
        <f>HLOOKUP("*"&amp;'Output annual'!$AC$2&amp;'Output annual'!$AD$2&amp;"*FangerPMV(Hourly)",'Eplus results'!$1:$1048576,ROW(),FALSE)</f>
        <v>0</v>
      </c>
      <c r="AD2405" s="580">
        <f t="shared" si="221"/>
        <v>5</v>
      </c>
      <c r="AE2405" s="580">
        <f t="shared" si="222"/>
        <v>2.5</v>
      </c>
      <c r="AF2405" s="580">
        <f t="shared" si="223"/>
        <v>2.5</v>
      </c>
      <c r="AG2405" s="580">
        <f t="shared" si="224"/>
        <v>0</v>
      </c>
      <c r="AH2405" s="580">
        <f t="shared" si="225"/>
        <v>0</v>
      </c>
    </row>
    <row r="2406" spans="28:34">
      <c r="AB2406" s="580">
        <f>HLOOKUP("*"&amp;'Output annual'!$AC$2&amp;'Output annual'!$AD$2&amp;"*Zone People Number Of Occupants [](Hourly)",'Eplus results'!$1:$1048576,ROW(),FALSE)</f>
        <v>0</v>
      </c>
      <c r="AC2406" s="580">
        <f>HLOOKUP("*"&amp;'Output annual'!$AC$2&amp;'Output annual'!$AD$2&amp;"*FangerPMV(Hourly)",'Eplus results'!$1:$1048576,ROW(),FALSE)</f>
        <v>0</v>
      </c>
      <c r="AD2406" s="580">
        <f t="shared" si="221"/>
        <v>5</v>
      </c>
      <c r="AE2406" s="580">
        <f t="shared" si="222"/>
        <v>2.5</v>
      </c>
      <c r="AF2406" s="580">
        <f t="shared" si="223"/>
        <v>2.5</v>
      </c>
      <c r="AG2406" s="580">
        <f t="shared" si="224"/>
        <v>0</v>
      </c>
      <c r="AH2406" s="580">
        <f t="shared" si="225"/>
        <v>0</v>
      </c>
    </row>
    <row r="2407" spans="28:34">
      <c r="AB2407" s="580">
        <f>HLOOKUP("*"&amp;'Output annual'!$AC$2&amp;'Output annual'!$AD$2&amp;"*Zone People Number Of Occupants [](Hourly)",'Eplus results'!$1:$1048576,ROW(),FALSE)</f>
        <v>0</v>
      </c>
      <c r="AC2407" s="580">
        <f>HLOOKUP("*"&amp;'Output annual'!$AC$2&amp;'Output annual'!$AD$2&amp;"*FangerPMV(Hourly)",'Eplus results'!$1:$1048576,ROW(),FALSE)</f>
        <v>0</v>
      </c>
      <c r="AD2407" s="580">
        <f t="shared" si="221"/>
        <v>5</v>
      </c>
      <c r="AE2407" s="580">
        <f t="shared" si="222"/>
        <v>2.5</v>
      </c>
      <c r="AF2407" s="580">
        <f t="shared" si="223"/>
        <v>2.5</v>
      </c>
      <c r="AG2407" s="580">
        <f t="shared" si="224"/>
        <v>0</v>
      </c>
      <c r="AH2407" s="580">
        <f t="shared" si="225"/>
        <v>0</v>
      </c>
    </row>
    <row r="2408" spans="28:34">
      <c r="AB2408" s="580">
        <f>HLOOKUP("*"&amp;'Output annual'!$AC$2&amp;'Output annual'!$AD$2&amp;"*Zone People Number Of Occupants [](Hourly)",'Eplus results'!$1:$1048576,ROW(),FALSE)</f>
        <v>0</v>
      </c>
      <c r="AC2408" s="580">
        <f>HLOOKUP("*"&amp;'Output annual'!$AC$2&amp;'Output annual'!$AD$2&amp;"*FangerPMV(Hourly)",'Eplus results'!$1:$1048576,ROW(),FALSE)</f>
        <v>0</v>
      </c>
      <c r="AD2408" s="580">
        <f t="shared" si="221"/>
        <v>5</v>
      </c>
      <c r="AE2408" s="580">
        <f t="shared" si="222"/>
        <v>2.5</v>
      </c>
      <c r="AF2408" s="580">
        <f t="shared" si="223"/>
        <v>2.5</v>
      </c>
      <c r="AG2408" s="580">
        <f t="shared" si="224"/>
        <v>0</v>
      </c>
      <c r="AH2408" s="580">
        <f t="shared" si="225"/>
        <v>0</v>
      </c>
    </row>
    <row r="2409" spans="28:34">
      <c r="AB2409" s="580">
        <f>HLOOKUP("*"&amp;'Output annual'!$AC$2&amp;'Output annual'!$AD$2&amp;"*Zone People Number Of Occupants [](Hourly)",'Eplus results'!$1:$1048576,ROW(),FALSE)</f>
        <v>0</v>
      </c>
      <c r="AC2409" s="580">
        <f>HLOOKUP("*"&amp;'Output annual'!$AC$2&amp;'Output annual'!$AD$2&amp;"*FangerPMV(Hourly)",'Eplus results'!$1:$1048576,ROW(),FALSE)</f>
        <v>0</v>
      </c>
      <c r="AD2409" s="580">
        <f t="shared" si="221"/>
        <v>5</v>
      </c>
      <c r="AE2409" s="580">
        <f t="shared" si="222"/>
        <v>2.5</v>
      </c>
      <c r="AF2409" s="580">
        <f t="shared" si="223"/>
        <v>2.5</v>
      </c>
      <c r="AG2409" s="580">
        <f t="shared" si="224"/>
        <v>0</v>
      </c>
      <c r="AH2409" s="580">
        <f t="shared" si="225"/>
        <v>0</v>
      </c>
    </row>
    <row r="2410" spans="28:34">
      <c r="AB2410" s="580">
        <f>HLOOKUP("*"&amp;'Output annual'!$AC$2&amp;'Output annual'!$AD$2&amp;"*Zone People Number Of Occupants [](Hourly)",'Eplus results'!$1:$1048576,ROW(),FALSE)</f>
        <v>0</v>
      </c>
      <c r="AC2410" s="580">
        <f>HLOOKUP("*"&amp;'Output annual'!$AC$2&amp;'Output annual'!$AD$2&amp;"*FangerPMV(Hourly)",'Eplus results'!$1:$1048576,ROW(),FALSE)</f>
        <v>0</v>
      </c>
      <c r="AD2410" s="580">
        <f t="shared" si="221"/>
        <v>5</v>
      </c>
      <c r="AE2410" s="580">
        <f t="shared" si="222"/>
        <v>2.5</v>
      </c>
      <c r="AF2410" s="580">
        <f t="shared" si="223"/>
        <v>2.5</v>
      </c>
      <c r="AG2410" s="580">
        <f t="shared" si="224"/>
        <v>0</v>
      </c>
      <c r="AH2410" s="580">
        <f t="shared" si="225"/>
        <v>0</v>
      </c>
    </row>
    <row r="2411" spans="28:34">
      <c r="AB2411" s="580">
        <f>HLOOKUP("*"&amp;'Output annual'!$AC$2&amp;'Output annual'!$AD$2&amp;"*Zone People Number Of Occupants [](Hourly)",'Eplus results'!$1:$1048576,ROW(),FALSE)</f>
        <v>0</v>
      </c>
      <c r="AC2411" s="580">
        <f>HLOOKUP("*"&amp;'Output annual'!$AC$2&amp;'Output annual'!$AD$2&amp;"*FangerPMV(Hourly)",'Eplus results'!$1:$1048576,ROW(),FALSE)</f>
        <v>0</v>
      </c>
      <c r="AD2411" s="580">
        <f t="shared" si="221"/>
        <v>5</v>
      </c>
      <c r="AE2411" s="580">
        <f t="shared" si="222"/>
        <v>2.5</v>
      </c>
      <c r="AF2411" s="580">
        <f t="shared" si="223"/>
        <v>2.5</v>
      </c>
      <c r="AG2411" s="580">
        <f t="shared" si="224"/>
        <v>0</v>
      </c>
      <c r="AH2411" s="580">
        <f t="shared" si="225"/>
        <v>0</v>
      </c>
    </row>
    <row r="2412" spans="28:34">
      <c r="AB2412" s="580">
        <f>HLOOKUP("*"&amp;'Output annual'!$AC$2&amp;'Output annual'!$AD$2&amp;"*Zone People Number Of Occupants [](Hourly)",'Eplus results'!$1:$1048576,ROW(),FALSE)</f>
        <v>0</v>
      </c>
      <c r="AC2412" s="580">
        <f>HLOOKUP("*"&amp;'Output annual'!$AC$2&amp;'Output annual'!$AD$2&amp;"*FangerPMV(Hourly)",'Eplus results'!$1:$1048576,ROW(),FALSE)</f>
        <v>0</v>
      </c>
      <c r="AD2412" s="580">
        <f t="shared" si="221"/>
        <v>5</v>
      </c>
      <c r="AE2412" s="580">
        <f t="shared" si="222"/>
        <v>2.5</v>
      </c>
      <c r="AF2412" s="580">
        <f t="shared" si="223"/>
        <v>2.5</v>
      </c>
      <c r="AG2412" s="580">
        <f t="shared" si="224"/>
        <v>0</v>
      </c>
      <c r="AH2412" s="580">
        <f t="shared" si="225"/>
        <v>0</v>
      </c>
    </row>
    <row r="2413" spans="28:34">
      <c r="AB2413" s="580">
        <f>HLOOKUP("*"&amp;'Output annual'!$AC$2&amp;'Output annual'!$AD$2&amp;"*Zone People Number Of Occupants [](Hourly)",'Eplus results'!$1:$1048576,ROW(),FALSE)</f>
        <v>0</v>
      </c>
      <c r="AC2413" s="580">
        <f>HLOOKUP("*"&amp;'Output annual'!$AC$2&amp;'Output annual'!$AD$2&amp;"*FangerPMV(Hourly)",'Eplus results'!$1:$1048576,ROW(),FALSE)</f>
        <v>0</v>
      </c>
      <c r="AD2413" s="580">
        <f t="shared" si="221"/>
        <v>5</v>
      </c>
      <c r="AE2413" s="580">
        <f t="shared" si="222"/>
        <v>2.5</v>
      </c>
      <c r="AF2413" s="580">
        <f t="shared" si="223"/>
        <v>2.5</v>
      </c>
      <c r="AG2413" s="580">
        <f t="shared" si="224"/>
        <v>0</v>
      </c>
      <c r="AH2413" s="580">
        <f t="shared" si="225"/>
        <v>0</v>
      </c>
    </row>
    <row r="2414" spans="28:34">
      <c r="AB2414" s="580">
        <f>HLOOKUP("*"&amp;'Output annual'!$AC$2&amp;'Output annual'!$AD$2&amp;"*Zone People Number Of Occupants [](Hourly)",'Eplus results'!$1:$1048576,ROW(),FALSE)</f>
        <v>0</v>
      </c>
      <c r="AC2414" s="580">
        <f>HLOOKUP("*"&amp;'Output annual'!$AC$2&amp;'Output annual'!$AD$2&amp;"*FangerPMV(Hourly)",'Eplus results'!$1:$1048576,ROW(),FALSE)</f>
        <v>0</v>
      </c>
      <c r="AD2414" s="580">
        <f t="shared" si="221"/>
        <v>5</v>
      </c>
      <c r="AE2414" s="580">
        <f t="shared" si="222"/>
        <v>2.5</v>
      </c>
      <c r="AF2414" s="580">
        <f t="shared" si="223"/>
        <v>2.5</v>
      </c>
      <c r="AG2414" s="580">
        <f t="shared" si="224"/>
        <v>0</v>
      </c>
      <c r="AH2414" s="580">
        <f t="shared" si="225"/>
        <v>0</v>
      </c>
    </row>
    <row r="2415" spans="28:34">
      <c r="AB2415" s="580">
        <f>HLOOKUP("*"&amp;'Output annual'!$AC$2&amp;'Output annual'!$AD$2&amp;"*Zone People Number Of Occupants [](Hourly)",'Eplus results'!$1:$1048576,ROW(),FALSE)</f>
        <v>0</v>
      </c>
      <c r="AC2415" s="580">
        <f>HLOOKUP("*"&amp;'Output annual'!$AC$2&amp;'Output annual'!$AD$2&amp;"*FangerPMV(Hourly)",'Eplus results'!$1:$1048576,ROW(),FALSE)</f>
        <v>0</v>
      </c>
      <c r="AD2415" s="580">
        <f t="shared" si="221"/>
        <v>5</v>
      </c>
      <c r="AE2415" s="580">
        <f t="shared" si="222"/>
        <v>2.5</v>
      </c>
      <c r="AF2415" s="580">
        <f t="shared" si="223"/>
        <v>2.5</v>
      </c>
      <c r="AG2415" s="580">
        <f t="shared" si="224"/>
        <v>0</v>
      </c>
      <c r="AH2415" s="580">
        <f t="shared" si="225"/>
        <v>0</v>
      </c>
    </row>
    <row r="2416" spans="28:34">
      <c r="AB2416" s="580">
        <f>HLOOKUP("*"&amp;'Output annual'!$AC$2&amp;'Output annual'!$AD$2&amp;"*Zone People Number Of Occupants [](Hourly)",'Eplus results'!$1:$1048576,ROW(),FALSE)</f>
        <v>0</v>
      </c>
      <c r="AC2416" s="580">
        <f>HLOOKUP("*"&amp;'Output annual'!$AC$2&amp;'Output annual'!$AD$2&amp;"*FangerPMV(Hourly)",'Eplus results'!$1:$1048576,ROW(),FALSE)</f>
        <v>0</v>
      </c>
      <c r="AD2416" s="580">
        <f t="shared" si="221"/>
        <v>5</v>
      </c>
      <c r="AE2416" s="580">
        <f t="shared" si="222"/>
        <v>2.5</v>
      </c>
      <c r="AF2416" s="580">
        <f t="shared" si="223"/>
        <v>2.5</v>
      </c>
      <c r="AG2416" s="580">
        <f t="shared" si="224"/>
        <v>0</v>
      </c>
      <c r="AH2416" s="580">
        <f t="shared" si="225"/>
        <v>0</v>
      </c>
    </row>
    <row r="2417" spans="28:34">
      <c r="AB2417" s="580">
        <f>HLOOKUP("*"&amp;'Output annual'!$AC$2&amp;'Output annual'!$AD$2&amp;"*Zone People Number Of Occupants [](Hourly)",'Eplus results'!$1:$1048576,ROW(),FALSE)</f>
        <v>0</v>
      </c>
      <c r="AC2417" s="580">
        <f>HLOOKUP("*"&amp;'Output annual'!$AC$2&amp;'Output annual'!$AD$2&amp;"*FangerPMV(Hourly)",'Eplus results'!$1:$1048576,ROW(),FALSE)</f>
        <v>0</v>
      </c>
      <c r="AD2417" s="580">
        <f t="shared" si="221"/>
        <v>5</v>
      </c>
      <c r="AE2417" s="580">
        <f t="shared" si="222"/>
        <v>2.5</v>
      </c>
      <c r="AF2417" s="580">
        <f t="shared" si="223"/>
        <v>2.5</v>
      </c>
      <c r="AG2417" s="580">
        <f t="shared" si="224"/>
        <v>0</v>
      </c>
      <c r="AH2417" s="580">
        <f t="shared" si="225"/>
        <v>0</v>
      </c>
    </row>
    <row r="2418" spans="28:34">
      <c r="AB2418" s="580">
        <f>HLOOKUP("*"&amp;'Output annual'!$AC$2&amp;'Output annual'!$AD$2&amp;"*Zone People Number Of Occupants [](Hourly)",'Eplus results'!$1:$1048576,ROW(),FALSE)</f>
        <v>0</v>
      </c>
      <c r="AC2418" s="580">
        <f>HLOOKUP("*"&amp;'Output annual'!$AC$2&amp;'Output annual'!$AD$2&amp;"*FangerPMV(Hourly)",'Eplus results'!$1:$1048576,ROW(),FALSE)</f>
        <v>0</v>
      </c>
      <c r="AD2418" s="580">
        <f t="shared" si="221"/>
        <v>5</v>
      </c>
      <c r="AE2418" s="580">
        <f t="shared" si="222"/>
        <v>2.5</v>
      </c>
      <c r="AF2418" s="580">
        <f t="shared" si="223"/>
        <v>2.5</v>
      </c>
      <c r="AG2418" s="580">
        <f t="shared" si="224"/>
        <v>0</v>
      </c>
      <c r="AH2418" s="580">
        <f t="shared" si="225"/>
        <v>0</v>
      </c>
    </row>
    <row r="2419" spans="28:34">
      <c r="AB2419" s="580">
        <f>HLOOKUP("*"&amp;'Output annual'!$AC$2&amp;'Output annual'!$AD$2&amp;"*Zone People Number Of Occupants [](Hourly)",'Eplus results'!$1:$1048576,ROW(),FALSE)</f>
        <v>0</v>
      </c>
      <c r="AC2419" s="580">
        <f>HLOOKUP("*"&amp;'Output annual'!$AC$2&amp;'Output annual'!$AD$2&amp;"*FangerPMV(Hourly)",'Eplus results'!$1:$1048576,ROW(),FALSE)</f>
        <v>0</v>
      </c>
      <c r="AD2419" s="580">
        <f t="shared" si="221"/>
        <v>5</v>
      </c>
      <c r="AE2419" s="580">
        <f t="shared" si="222"/>
        <v>2.5</v>
      </c>
      <c r="AF2419" s="580">
        <f t="shared" si="223"/>
        <v>2.5</v>
      </c>
      <c r="AG2419" s="580">
        <f t="shared" si="224"/>
        <v>0</v>
      </c>
      <c r="AH2419" s="580">
        <f t="shared" si="225"/>
        <v>0</v>
      </c>
    </row>
    <row r="2420" spans="28:34">
      <c r="AB2420" s="580">
        <f>HLOOKUP("*"&amp;'Output annual'!$AC$2&amp;'Output annual'!$AD$2&amp;"*Zone People Number Of Occupants [](Hourly)",'Eplus results'!$1:$1048576,ROW(),FALSE)</f>
        <v>0</v>
      </c>
      <c r="AC2420" s="580">
        <f>HLOOKUP("*"&amp;'Output annual'!$AC$2&amp;'Output annual'!$AD$2&amp;"*FangerPMV(Hourly)",'Eplus results'!$1:$1048576,ROW(),FALSE)</f>
        <v>0</v>
      </c>
      <c r="AD2420" s="580">
        <f t="shared" si="221"/>
        <v>5</v>
      </c>
      <c r="AE2420" s="580">
        <f t="shared" si="222"/>
        <v>2.5</v>
      </c>
      <c r="AF2420" s="580">
        <f t="shared" si="223"/>
        <v>2.5</v>
      </c>
      <c r="AG2420" s="580">
        <f t="shared" si="224"/>
        <v>0</v>
      </c>
      <c r="AH2420" s="580">
        <f t="shared" si="225"/>
        <v>0</v>
      </c>
    </row>
    <row r="2421" spans="28:34">
      <c r="AB2421" s="580">
        <f>HLOOKUP("*"&amp;'Output annual'!$AC$2&amp;'Output annual'!$AD$2&amp;"*Zone People Number Of Occupants [](Hourly)",'Eplus results'!$1:$1048576,ROW(),FALSE)</f>
        <v>0</v>
      </c>
      <c r="AC2421" s="580">
        <f>HLOOKUP("*"&amp;'Output annual'!$AC$2&amp;'Output annual'!$AD$2&amp;"*FangerPMV(Hourly)",'Eplus results'!$1:$1048576,ROW(),FALSE)</f>
        <v>0</v>
      </c>
      <c r="AD2421" s="580">
        <f t="shared" si="221"/>
        <v>5</v>
      </c>
      <c r="AE2421" s="580">
        <f t="shared" si="222"/>
        <v>2.5</v>
      </c>
      <c r="AF2421" s="580">
        <f t="shared" si="223"/>
        <v>2.5</v>
      </c>
      <c r="AG2421" s="580">
        <f t="shared" si="224"/>
        <v>0</v>
      </c>
      <c r="AH2421" s="580">
        <f t="shared" si="225"/>
        <v>0</v>
      </c>
    </row>
    <row r="2422" spans="28:34">
      <c r="AB2422" s="580">
        <f>HLOOKUP("*"&amp;'Output annual'!$AC$2&amp;'Output annual'!$AD$2&amp;"*Zone People Number Of Occupants [](Hourly)",'Eplus results'!$1:$1048576,ROW(),FALSE)</f>
        <v>0</v>
      </c>
      <c r="AC2422" s="580">
        <f>HLOOKUP("*"&amp;'Output annual'!$AC$2&amp;'Output annual'!$AD$2&amp;"*FangerPMV(Hourly)",'Eplus results'!$1:$1048576,ROW(),FALSE)</f>
        <v>0</v>
      </c>
      <c r="AD2422" s="580">
        <f t="shared" si="221"/>
        <v>5</v>
      </c>
      <c r="AE2422" s="580">
        <f t="shared" si="222"/>
        <v>2.5</v>
      </c>
      <c r="AF2422" s="580">
        <f t="shared" si="223"/>
        <v>2.5</v>
      </c>
      <c r="AG2422" s="580">
        <f t="shared" si="224"/>
        <v>0</v>
      </c>
      <c r="AH2422" s="580">
        <f t="shared" si="225"/>
        <v>0</v>
      </c>
    </row>
    <row r="2423" spans="28:34">
      <c r="AB2423" s="580">
        <f>HLOOKUP("*"&amp;'Output annual'!$AC$2&amp;'Output annual'!$AD$2&amp;"*Zone People Number Of Occupants [](Hourly)",'Eplus results'!$1:$1048576,ROW(),FALSE)</f>
        <v>0</v>
      </c>
      <c r="AC2423" s="580">
        <f>HLOOKUP("*"&amp;'Output annual'!$AC$2&amp;'Output annual'!$AD$2&amp;"*FangerPMV(Hourly)",'Eplus results'!$1:$1048576,ROW(),FALSE)</f>
        <v>0</v>
      </c>
      <c r="AD2423" s="580">
        <f t="shared" si="221"/>
        <v>5</v>
      </c>
      <c r="AE2423" s="580">
        <f t="shared" si="222"/>
        <v>2.5</v>
      </c>
      <c r="AF2423" s="580">
        <f t="shared" si="223"/>
        <v>2.5</v>
      </c>
      <c r="AG2423" s="580">
        <f t="shared" si="224"/>
        <v>0</v>
      </c>
      <c r="AH2423" s="580">
        <f t="shared" si="225"/>
        <v>0</v>
      </c>
    </row>
    <row r="2424" spans="28:34">
      <c r="AB2424" s="580">
        <f>HLOOKUP("*"&amp;'Output annual'!$AC$2&amp;'Output annual'!$AD$2&amp;"*Zone People Number Of Occupants [](Hourly)",'Eplus results'!$1:$1048576,ROW(),FALSE)</f>
        <v>0</v>
      </c>
      <c r="AC2424" s="580">
        <f>HLOOKUP("*"&amp;'Output annual'!$AC$2&amp;'Output annual'!$AD$2&amp;"*FangerPMV(Hourly)",'Eplus results'!$1:$1048576,ROW(),FALSE)</f>
        <v>0</v>
      </c>
      <c r="AD2424" s="580">
        <f t="shared" si="221"/>
        <v>5</v>
      </c>
      <c r="AE2424" s="580">
        <f t="shared" si="222"/>
        <v>2.5</v>
      </c>
      <c r="AF2424" s="580">
        <f t="shared" si="223"/>
        <v>2.5</v>
      </c>
      <c r="AG2424" s="580">
        <f t="shared" si="224"/>
        <v>0</v>
      </c>
      <c r="AH2424" s="580">
        <f t="shared" si="225"/>
        <v>0</v>
      </c>
    </row>
    <row r="2425" spans="28:34">
      <c r="AB2425" s="580">
        <f>HLOOKUP("*"&amp;'Output annual'!$AC$2&amp;'Output annual'!$AD$2&amp;"*Zone People Number Of Occupants [](Hourly)",'Eplus results'!$1:$1048576,ROW(),FALSE)</f>
        <v>0</v>
      </c>
      <c r="AC2425" s="580">
        <f>HLOOKUP("*"&amp;'Output annual'!$AC$2&amp;'Output annual'!$AD$2&amp;"*FangerPMV(Hourly)",'Eplus results'!$1:$1048576,ROW(),FALSE)</f>
        <v>0</v>
      </c>
      <c r="AD2425" s="580">
        <f t="shared" si="221"/>
        <v>5</v>
      </c>
      <c r="AE2425" s="580">
        <f t="shared" si="222"/>
        <v>2.5</v>
      </c>
      <c r="AF2425" s="580">
        <f t="shared" si="223"/>
        <v>2.5</v>
      </c>
      <c r="AG2425" s="580">
        <f t="shared" si="224"/>
        <v>0</v>
      </c>
      <c r="AH2425" s="580">
        <f t="shared" si="225"/>
        <v>0</v>
      </c>
    </row>
    <row r="2426" spans="28:34">
      <c r="AB2426" s="580">
        <f>HLOOKUP("*"&amp;'Output annual'!$AC$2&amp;'Output annual'!$AD$2&amp;"*Zone People Number Of Occupants [](Hourly)",'Eplus results'!$1:$1048576,ROW(),FALSE)</f>
        <v>0</v>
      </c>
      <c r="AC2426" s="580">
        <f>HLOOKUP("*"&amp;'Output annual'!$AC$2&amp;'Output annual'!$AD$2&amp;"*FangerPMV(Hourly)",'Eplus results'!$1:$1048576,ROW(),FALSE)</f>
        <v>0</v>
      </c>
      <c r="AD2426" s="580">
        <f t="shared" si="221"/>
        <v>5</v>
      </c>
      <c r="AE2426" s="580">
        <f t="shared" si="222"/>
        <v>2.5</v>
      </c>
      <c r="AF2426" s="580">
        <f t="shared" si="223"/>
        <v>2.5</v>
      </c>
      <c r="AG2426" s="580">
        <f t="shared" si="224"/>
        <v>0</v>
      </c>
      <c r="AH2426" s="580">
        <f t="shared" si="225"/>
        <v>0</v>
      </c>
    </row>
    <row r="2427" spans="28:34">
      <c r="AB2427" s="580">
        <f>HLOOKUP("*"&amp;'Output annual'!$AC$2&amp;'Output annual'!$AD$2&amp;"*Zone People Number Of Occupants [](Hourly)",'Eplus results'!$1:$1048576,ROW(),FALSE)</f>
        <v>0</v>
      </c>
      <c r="AC2427" s="580">
        <f>HLOOKUP("*"&amp;'Output annual'!$AC$2&amp;'Output annual'!$AD$2&amp;"*FangerPMV(Hourly)",'Eplus results'!$1:$1048576,ROW(),FALSE)</f>
        <v>0</v>
      </c>
      <c r="AD2427" s="580">
        <f t="shared" si="221"/>
        <v>5</v>
      </c>
      <c r="AE2427" s="580">
        <f t="shared" si="222"/>
        <v>2.5</v>
      </c>
      <c r="AF2427" s="580">
        <f t="shared" si="223"/>
        <v>2.5</v>
      </c>
      <c r="AG2427" s="580">
        <f t="shared" si="224"/>
        <v>0</v>
      </c>
      <c r="AH2427" s="580">
        <f t="shared" si="225"/>
        <v>0</v>
      </c>
    </row>
    <row r="2428" spans="28:34">
      <c r="AB2428" s="580">
        <f>HLOOKUP("*"&amp;'Output annual'!$AC$2&amp;'Output annual'!$AD$2&amp;"*Zone People Number Of Occupants [](Hourly)",'Eplus results'!$1:$1048576,ROW(),FALSE)</f>
        <v>0</v>
      </c>
      <c r="AC2428" s="580">
        <f>HLOOKUP("*"&amp;'Output annual'!$AC$2&amp;'Output annual'!$AD$2&amp;"*FangerPMV(Hourly)",'Eplus results'!$1:$1048576,ROW(),FALSE)</f>
        <v>0</v>
      </c>
      <c r="AD2428" s="580">
        <f t="shared" si="221"/>
        <v>5</v>
      </c>
      <c r="AE2428" s="580">
        <f t="shared" si="222"/>
        <v>2.5</v>
      </c>
      <c r="AF2428" s="580">
        <f t="shared" si="223"/>
        <v>2.5</v>
      </c>
      <c r="AG2428" s="580">
        <f t="shared" si="224"/>
        <v>0</v>
      </c>
      <c r="AH2428" s="580">
        <f t="shared" si="225"/>
        <v>0</v>
      </c>
    </row>
    <row r="2429" spans="28:34">
      <c r="AB2429" s="580">
        <f>HLOOKUP("*"&amp;'Output annual'!$AC$2&amp;'Output annual'!$AD$2&amp;"*Zone People Number Of Occupants [](Hourly)",'Eplus results'!$1:$1048576,ROW(),FALSE)</f>
        <v>0</v>
      </c>
      <c r="AC2429" s="580">
        <f>HLOOKUP("*"&amp;'Output annual'!$AC$2&amp;'Output annual'!$AD$2&amp;"*FangerPMV(Hourly)",'Eplus results'!$1:$1048576,ROW(),FALSE)</f>
        <v>0</v>
      </c>
      <c r="AD2429" s="580">
        <f t="shared" si="221"/>
        <v>5</v>
      </c>
      <c r="AE2429" s="580">
        <f t="shared" si="222"/>
        <v>2.5</v>
      </c>
      <c r="AF2429" s="580">
        <f t="shared" si="223"/>
        <v>2.5</v>
      </c>
      <c r="AG2429" s="580">
        <f t="shared" si="224"/>
        <v>0</v>
      </c>
      <c r="AH2429" s="580">
        <f t="shared" si="225"/>
        <v>0</v>
      </c>
    </row>
    <row r="2430" spans="28:34">
      <c r="AB2430" s="580">
        <f>HLOOKUP("*"&amp;'Output annual'!$AC$2&amp;'Output annual'!$AD$2&amp;"*Zone People Number Of Occupants [](Hourly)",'Eplus results'!$1:$1048576,ROW(),FALSE)</f>
        <v>0</v>
      </c>
      <c r="AC2430" s="580">
        <f>HLOOKUP("*"&amp;'Output annual'!$AC$2&amp;'Output annual'!$AD$2&amp;"*FangerPMV(Hourly)",'Eplus results'!$1:$1048576,ROW(),FALSE)</f>
        <v>0</v>
      </c>
      <c r="AD2430" s="580">
        <f t="shared" si="221"/>
        <v>5</v>
      </c>
      <c r="AE2430" s="580">
        <f t="shared" si="222"/>
        <v>2.5</v>
      </c>
      <c r="AF2430" s="580">
        <f t="shared" si="223"/>
        <v>2.5</v>
      </c>
      <c r="AG2430" s="580">
        <f t="shared" si="224"/>
        <v>0</v>
      </c>
      <c r="AH2430" s="580">
        <f t="shared" si="225"/>
        <v>0</v>
      </c>
    </row>
    <row r="2431" spans="28:34">
      <c r="AB2431" s="580">
        <f>HLOOKUP("*"&amp;'Output annual'!$AC$2&amp;'Output annual'!$AD$2&amp;"*Zone People Number Of Occupants [](Hourly)",'Eplus results'!$1:$1048576,ROW(),FALSE)</f>
        <v>0</v>
      </c>
      <c r="AC2431" s="580">
        <f>HLOOKUP("*"&amp;'Output annual'!$AC$2&amp;'Output annual'!$AD$2&amp;"*FangerPMV(Hourly)",'Eplus results'!$1:$1048576,ROW(),FALSE)</f>
        <v>0</v>
      </c>
      <c r="AD2431" s="580">
        <f t="shared" si="221"/>
        <v>5</v>
      </c>
      <c r="AE2431" s="580">
        <f t="shared" si="222"/>
        <v>2.5</v>
      </c>
      <c r="AF2431" s="580">
        <f t="shared" si="223"/>
        <v>2.5</v>
      </c>
      <c r="AG2431" s="580">
        <f t="shared" si="224"/>
        <v>0</v>
      </c>
      <c r="AH2431" s="580">
        <f t="shared" si="225"/>
        <v>0</v>
      </c>
    </row>
    <row r="2432" spans="28:34">
      <c r="AB2432" s="580">
        <f>HLOOKUP("*"&amp;'Output annual'!$AC$2&amp;'Output annual'!$AD$2&amp;"*Zone People Number Of Occupants [](Hourly)",'Eplus results'!$1:$1048576,ROW(),FALSE)</f>
        <v>0</v>
      </c>
      <c r="AC2432" s="580">
        <f>HLOOKUP("*"&amp;'Output annual'!$AC$2&amp;'Output annual'!$AD$2&amp;"*FangerPMV(Hourly)",'Eplus results'!$1:$1048576,ROW(),FALSE)</f>
        <v>0</v>
      </c>
      <c r="AD2432" s="580">
        <f t="shared" si="221"/>
        <v>5</v>
      </c>
      <c r="AE2432" s="580">
        <f t="shared" si="222"/>
        <v>2.5</v>
      </c>
      <c r="AF2432" s="580">
        <f t="shared" si="223"/>
        <v>2.5</v>
      </c>
      <c r="AG2432" s="580">
        <f t="shared" si="224"/>
        <v>0</v>
      </c>
      <c r="AH2432" s="580">
        <f t="shared" si="225"/>
        <v>0</v>
      </c>
    </row>
    <row r="2433" spans="28:34">
      <c r="AB2433" s="580">
        <f>HLOOKUP("*"&amp;'Output annual'!$AC$2&amp;'Output annual'!$AD$2&amp;"*Zone People Number Of Occupants [](Hourly)",'Eplus results'!$1:$1048576,ROW(),FALSE)</f>
        <v>0</v>
      </c>
      <c r="AC2433" s="580">
        <f>HLOOKUP("*"&amp;'Output annual'!$AC$2&amp;'Output annual'!$AD$2&amp;"*FangerPMV(Hourly)",'Eplus results'!$1:$1048576,ROW(),FALSE)</f>
        <v>0</v>
      </c>
      <c r="AD2433" s="580">
        <f t="shared" si="221"/>
        <v>5</v>
      </c>
      <c r="AE2433" s="580">
        <f t="shared" si="222"/>
        <v>2.5</v>
      </c>
      <c r="AF2433" s="580">
        <f t="shared" si="223"/>
        <v>2.5</v>
      </c>
      <c r="AG2433" s="580">
        <f t="shared" si="224"/>
        <v>0</v>
      </c>
      <c r="AH2433" s="580">
        <f t="shared" si="225"/>
        <v>0</v>
      </c>
    </row>
    <row r="2434" spans="28:34">
      <c r="AB2434" s="580">
        <f>HLOOKUP("*"&amp;'Output annual'!$AC$2&amp;'Output annual'!$AD$2&amp;"*Zone People Number Of Occupants [](Hourly)",'Eplus results'!$1:$1048576,ROW(),FALSE)</f>
        <v>0</v>
      </c>
      <c r="AC2434" s="580">
        <f>HLOOKUP("*"&amp;'Output annual'!$AC$2&amp;'Output annual'!$AD$2&amp;"*FangerPMV(Hourly)",'Eplus results'!$1:$1048576,ROW(),FALSE)</f>
        <v>0</v>
      </c>
      <c r="AD2434" s="580">
        <f t="shared" si="221"/>
        <v>5</v>
      </c>
      <c r="AE2434" s="580">
        <f t="shared" si="222"/>
        <v>2.5</v>
      </c>
      <c r="AF2434" s="580">
        <f t="shared" si="223"/>
        <v>2.5</v>
      </c>
      <c r="AG2434" s="580">
        <f t="shared" si="224"/>
        <v>0</v>
      </c>
      <c r="AH2434" s="580">
        <f t="shared" si="225"/>
        <v>0</v>
      </c>
    </row>
    <row r="2435" spans="28:34">
      <c r="AB2435" s="580">
        <f>HLOOKUP("*"&amp;'Output annual'!$AC$2&amp;'Output annual'!$AD$2&amp;"*Zone People Number Of Occupants [](Hourly)",'Eplus results'!$1:$1048576,ROW(),FALSE)</f>
        <v>0</v>
      </c>
      <c r="AC2435" s="580">
        <f>HLOOKUP("*"&amp;'Output annual'!$AC$2&amp;'Output annual'!$AD$2&amp;"*FangerPMV(Hourly)",'Eplus results'!$1:$1048576,ROW(),FALSE)</f>
        <v>0</v>
      </c>
      <c r="AD2435" s="580">
        <f t="shared" ref="AD2435:AD2498" si="226">100-95*EXP(-0.03353*AC2435^4-0.2179*AC2435^2)</f>
        <v>5</v>
      </c>
      <c r="AE2435" s="580">
        <f t="shared" ref="AE2435:AE2498" si="227">AD2435*(1/(1+EXP(-6.3*$AC2435)))</f>
        <v>2.5</v>
      </c>
      <c r="AF2435" s="580">
        <f t="shared" ref="AF2435:AF2498" si="228">(AD2435-AE2435)</f>
        <v>2.5</v>
      </c>
      <c r="AG2435" s="580">
        <f t="shared" ref="AG2435:AG2498" si="229">AE2435*AB2435</f>
        <v>0</v>
      </c>
      <c r="AH2435" s="580">
        <f t="shared" ref="AH2435:AH2498" si="230">AF2435*AB2435</f>
        <v>0</v>
      </c>
    </row>
    <row r="2436" spans="28:34">
      <c r="AB2436" s="580">
        <f>HLOOKUP("*"&amp;'Output annual'!$AC$2&amp;'Output annual'!$AD$2&amp;"*Zone People Number Of Occupants [](Hourly)",'Eplus results'!$1:$1048576,ROW(),FALSE)</f>
        <v>0</v>
      </c>
      <c r="AC2436" s="580">
        <f>HLOOKUP("*"&amp;'Output annual'!$AC$2&amp;'Output annual'!$AD$2&amp;"*FangerPMV(Hourly)",'Eplus results'!$1:$1048576,ROW(),FALSE)</f>
        <v>0</v>
      </c>
      <c r="AD2436" s="580">
        <f t="shared" si="226"/>
        <v>5</v>
      </c>
      <c r="AE2436" s="580">
        <f t="shared" si="227"/>
        <v>2.5</v>
      </c>
      <c r="AF2436" s="580">
        <f t="shared" si="228"/>
        <v>2.5</v>
      </c>
      <c r="AG2436" s="580">
        <f t="shared" si="229"/>
        <v>0</v>
      </c>
      <c r="AH2436" s="580">
        <f t="shared" si="230"/>
        <v>0</v>
      </c>
    </row>
    <row r="2437" spans="28:34">
      <c r="AB2437" s="580">
        <f>HLOOKUP("*"&amp;'Output annual'!$AC$2&amp;'Output annual'!$AD$2&amp;"*Zone People Number Of Occupants [](Hourly)",'Eplus results'!$1:$1048576,ROW(),FALSE)</f>
        <v>0</v>
      </c>
      <c r="AC2437" s="580">
        <f>HLOOKUP("*"&amp;'Output annual'!$AC$2&amp;'Output annual'!$AD$2&amp;"*FangerPMV(Hourly)",'Eplus results'!$1:$1048576,ROW(),FALSE)</f>
        <v>0</v>
      </c>
      <c r="AD2437" s="580">
        <f t="shared" si="226"/>
        <v>5</v>
      </c>
      <c r="AE2437" s="580">
        <f t="shared" si="227"/>
        <v>2.5</v>
      </c>
      <c r="AF2437" s="580">
        <f t="shared" si="228"/>
        <v>2.5</v>
      </c>
      <c r="AG2437" s="580">
        <f t="shared" si="229"/>
        <v>0</v>
      </c>
      <c r="AH2437" s="580">
        <f t="shared" si="230"/>
        <v>0</v>
      </c>
    </row>
    <row r="2438" spans="28:34">
      <c r="AB2438" s="580">
        <f>HLOOKUP("*"&amp;'Output annual'!$AC$2&amp;'Output annual'!$AD$2&amp;"*Zone People Number Of Occupants [](Hourly)",'Eplus results'!$1:$1048576,ROW(),FALSE)</f>
        <v>0</v>
      </c>
      <c r="AC2438" s="580">
        <f>HLOOKUP("*"&amp;'Output annual'!$AC$2&amp;'Output annual'!$AD$2&amp;"*FangerPMV(Hourly)",'Eplus results'!$1:$1048576,ROW(),FALSE)</f>
        <v>0</v>
      </c>
      <c r="AD2438" s="580">
        <f t="shared" si="226"/>
        <v>5</v>
      </c>
      <c r="AE2438" s="580">
        <f t="shared" si="227"/>
        <v>2.5</v>
      </c>
      <c r="AF2438" s="580">
        <f t="shared" si="228"/>
        <v>2.5</v>
      </c>
      <c r="AG2438" s="580">
        <f t="shared" si="229"/>
        <v>0</v>
      </c>
      <c r="AH2438" s="580">
        <f t="shared" si="230"/>
        <v>0</v>
      </c>
    </row>
    <row r="2439" spans="28:34">
      <c r="AB2439" s="580">
        <f>HLOOKUP("*"&amp;'Output annual'!$AC$2&amp;'Output annual'!$AD$2&amp;"*Zone People Number Of Occupants [](Hourly)",'Eplus results'!$1:$1048576,ROW(),FALSE)</f>
        <v>0</v>
      </c>
      <c r="AC2439" s="580">
        <f>HLOOKUP("*"&amp;'Output annual'!$AC$2&amp;'Output annual'!$AD$2&amp;"*FangerPMV(Hourly)",'Eplus results'!$1:$1048576,ROW(),FALSE)</f>
        <v>0</v>
      </c>
      <c r="AD2439" s="580">
        <f t="shared" si="226"/>
        <v>5</v>
      </c>
      <c r="AE2439" s="580">
        <f t="shared" si="227"/>
        <v>2.5</v>
      </c>
      <c r="AF2439" s="580">
        <f t="shared" si="228"/>
        <v>2.5</v>
      </c>
      <c r="AG2439" s="580">
        <f t="shared" si="229"/>
        <v>0</v>
      </c>
      <c r="AH2439" s="580">
        <f t="shared" si="230"/>
        <v>0</v>
      </c>
    </row>
    <row r="2440" spans="28:34">
      <c r="AB2440" s="580">
        <f>HLOOKUP("*"&amp;'Output annual'!$AC$2&amp;'Output annual'!$AD$2&amp;"*Zone People Number Of Occupants [](Hourly)",'Eplus results'!$1:$1048576,ROW(),FALSE)</f>
        <v>0</v>
      </c>
      <c r="AC2440" s="580">
        <f>HLOOKUP("*"&amp;'Output annual'!$AC$2&amp;'Output annual'!$AD$2&amp;"*FangerPMV(Hourly)",'Eplus results'!$1:$1048576,ROW(),FALSE)</f>
        <v>0</v>
      </c>
      <c r="AD2440" s="580">
        <f t="shared" si="226"/>
        <v>5</v>
      </c>
      <c r="AE2440" s="580">
        <f t="shared" si="227"/>
        <v>2.5</v>
      </c>
      <c r="AF2440" s="580">
        <f t="shared" si="228"/>
        <v>2.5</v>
      </c>
      <c r="AG2440" s="580">
        <f t="shared" si="229"/>
        <v>0</v>
      </c>
      <c r="AH2440" s="580">
        <f t="shared" si="230"/>
        <v>0</v>
      </c>
    </row>
    <row r="2441" spans="28:34">
      <c r="AB2441" s="580">
        <f>HLOOKUP("*"&amp;'Output annual'!$AC$2&amp;'Output annual'!$AD$2&amp;"*Zone People Number Of Occupants [](Hourly)",'Eplus results'!$1:$1048576,ROW(),FALSE)</f>
        <v>0</v>
      </c>
      <c r="AC2441" s="580">
        <f>HLOOKUP("*"&amp;'Output annual'!$AC$2&amp;'Output annual'!$AD$2&amp;"*FangerPMV(Hourly)",'Eplus results'!$1:$1048576,ROW(),FALSE)</f>
        <v>0</v>
      </c>
      <c r="AD2441" s="580">
        <f t="shared" si="226"/>
        <v>5</v>
      </c>
      <c r="AE2441" s="580">
        <f t="shared" si="227"/>
        <v>2.5</v>
      </c>
      <c r="AF2441" s="580">
        <f t="shared" si="228"/>
        <v>2.5</v>
      </c>
      <c r="AG2441" s="580">
        <f t="shared" si="229"/>
        <v>0</v>
      </c>
      <c r="AH2441" s="580">
        <f t="shared" si="230"/>
        <v>0</v>
      </c>
    </row>
    <row r="2442" spans="28:34">
      <c r="AB2442" s="580">
        <f>HLOOKUP("*"&amp;'Output annual'!$AC$2&amp;'Output annual'!$AD$2&amp;"*Zone People Number Of Occupants [](Hourly)",'Eplus results'!$1:$1048576,ROW(),FALSE)</f>
        <v>0</v>
      </c>
      <c r="AC2442" s="580">
        <f>HLOOKUP("*"&amp;'Output annual'!$AC$2&amp;'Output annual'!$AD$2&amp;"*FangerPMV(Hourly)",'Eplus results'!$1:$1048576,ROW(),FALSE)</f>
        <v>0</v>
      </c>
      <c r="AD2442" s="580">
        <f t="shared" si="226"/>
        <v>5</v>
      </c>
      <c r="AE2442" s="580">
        <f t="shared" si="227"/>
        <v>2.5</v>
      </c>
      <c r="AF2442" s="580">
        <f t="shared" si="228"/>
        <v>2.5</v>
      </c>
      <c r="AG2442" s="580">
        <f t="shared" si="229"/>
        <v>0</v>
      </c>
      <c r="AH2442" s="580">
        <f t="shared" si="230"/>
        <v>0</v>
      </c>
    </row>
    <row r="2443" spans="28:34">
      <c r="AB2443" s="580">
        <f>HLOOKUP("*"&amp;'Output annual'!$AC$2&amp;'Output annual'!$AD$2&amp;"*Zone People Number Of Occupants [](Hourly)",'Eplus results'!$1:$1048576,ROW(),FALSE)</f>
        <v>0</v>
      </c>
      <c r="AC2443" s="580">
        <f>HLOOKUP("*"&amp;'Output annual'!$AC$2&amp;'Output annual'!$AD$2&amp;"*FangerPMV(Hourly)",'Eplus results'!$1:$1048576,ROW(),FALSE)</f>
        <v>0</v>
      </c>
      <c r="AD2443" s="580">
        <f t="shared" si="226"/>
        <v>5</v>
      </c>
      <c r="AE2443" s="580">
        <f t="shared" si="227"/>
        <v>2.5</v>
      </c>
      <c r="AF2443" s="580">
        <f t="shared" si="228"/>
        <v>2.5</v>
      </c>
      <c r="AG2443" s="580">
        <f t="shared" si="229"/>
        <v>0</v>
      </c>
      <c r="AH2443" s="580">
        <f t="shared" si="230"/>
        <v>0</v>
      </c>
    </row>
    <row r="2444" spans="28:34">
      <c r="AB2444" s="580">
        <f>HLOOKUP("*"&amp;'Output annual'!$AC$2&amp;'Output annual'!$AD$2&amp;"*Zone People Number Of Occupants [](Hourly)",'Eplus results'!$1:$1048576,ROW(),FALSE)</f>
        <v>0</v>
      </c>
      <c r="AC2444" s="580">
        <f>HLOOKUP("*"&amp;'Output annual'!$AC$2&amp;'Output annual'!$AD$2&amp;"*FangerPMV(Hourly)",'Eplus results'!$1:$1048576,ROW(),FALSE)</f>
        <v>0</v>
      </c>
      <c r="AD2444" s="580">
        <f t="shared" si="226"/>
        <v>5</v>
      </c>
      <c r="AE2444" s="580">
        <f t="shared" si="227"/>
        <v>2.5</v>
      </c>
      <c r="AF2444" s="580">
        <f t="shared" si="228"/>
        <v>2.5</v>
      </c>
      <c r="AG2444" s="580">
        <f t="shared" si="229"/>
        <v>0</v>
      </c>
      <c r="AH2444" s="580">
        <f t="shared" si="230"/>
        <v>0</v>
      </c>
    </row>
    <row r="2445" spans="28:34">
      <c r="AB2445" s="580">
        <f>HLOOKUP("*"&amp;'Output annual'!$AC$2&amp;'Output annual'!$AD$2&amp;"*Zone People Number Of Occupants [](Hourly)",'Eplus results'!$1:$1048576,ROW(),FALSE)</f>
        <v>0</v>
      </c>
      <c r="AC2445" s="580">
        <f>HLOOKUP("*"&amp;'Output annual'!$AC$2&amp;'Output annual'!$AD$2&amp;"*FangerPMV(Hourly)",'Eplus results'!$1:$1048576,ROW(),FALSE)</f>
        <v>0</v>
      </c>
      <c r="AD2445" s="580">
        <f t="shared" si="226"/>
        <v>5</v>
      </c>
      <c r="AE2445" s="580">
        <f t="shared" si="227"/>
        <v>2.5</v>
      </c>
      <c r="AF2445" s="580">
        <f t="shared" si="228"/>
        <v>2.5</v>
      </c>
      <c r="AG2445" s="580">
        <f t="shared" si="229"/>
        <v>0</v>
      </c>
      <c r="AH2445" s="580">
        <f t="shared" si="230"/>
        <v>0</v>
      </c>
    </row>
    <row r="2446" spans="28:34">
      <c r="AB2446" s="580">
        <f>HLOOKUP("*"&amp;'Output annual'!$AC$2&amp;'Output annual'!$AD$2&amp;"*Zone People Number Of Occupants [](Hourly)",'Eplus results'!$1:$1048576,ROW(),FALSE)</f>
        <v>0</v>
      </c>
      <c r="AC2446" s="580">
        <f>HLOOKUP("*"&amp;'Output annual'!$AC$2&amp;'Output annual'!$AD$2&amp;"*FangerPMV(Hourly)",'Eplus results'!$1:$1048576,ROW(),FALSE)</f>
        <v>0</v>
      </c>
      <c r="AD2446" s="580">
        <f t="shared" si="226"/>
        <v>5</v>
      </c>
      <c r="AE2446" s="580">
        <f t="shared" si="227"/>
        <v>2.5</v>
      </c>
      <c r="AF2446" s="580">
        <f t="shared" si="228"/>
        <v>2.5</v>
      </c>
      <c r="AG2446" s="580">
        <f t="shared" si="229"/>
        <v>0</v>
      </c>
      <c r="AH2446" s="580">
        <f t="shared" si="230"/>
        <v>0</v>
      </c>
    </row>
    <row r="2447" spans="28:34">
      <c r="AB2447" s="580">
        <f>HLOOKUP("*"&amp;'Output annual'!$AC$2&amp;'Output annual'!$AD$2&amp;"*Zone People Number Of Occupants [](Hourly)",'Eplus results'!$1:$1048576,ROW(),FALSE)</f>
        <v>0</v>
      </c>
      <c r="AC2447" s="580">
        <f>HLOOKUP("*"&amp;'Output annual'!$AC$2&amp;'Output annual'!$AD$2&amp;"*FangerPMV(Hourly)",'Eplus results'!$1:$1048576,ROW(),FALSE)</f>
        <v>0</v>
      </c>
      <c r="AD2447" s="580">
        <f t="shared" si="226"/>
        <v>5</v>
      </c>
      <c r="AE2447" s="580">
        <f t="shared" si="227"/>
        <v>2.5</v>
      </c>
      <c r="AF2447" s="580">
        <f t="shared" si="228"/>
        <v>2.5</v>
      </c>
      <c r="AG2447" s="580">
        <f t="shared" si="229"/>
        <v>0</v>
      </c>
      <c r="AH2447" s="580">
        <f t="shared" si="230"/>
        <v>0</v>
      </c>
    </row>
    <row r="2448" spans="28:34">
      <c r="AB2448" s="580">
        <f>HLOOKUP("*"&amp;'Output annual'!$AC$2&amp;'Output annual'!$AD$2&amp;"*Zone People Number Of Occupants [](Hourly)",'Eplus results'!$1:$1048576,ROW(),FALSE)</f>
        <v>0</v>
      </c>
      <c r="AC2448" s="580">
        <f>HLOOKUP("*"&amp;'Output annual'!$AC$2&amp;'Output annual'!$AD$2&amp;"*FangerPMV(Hourly)",'Eplus results'!$1:$1048576,ROW(),FALSE)</f>
        <v>0</v>
      </c>
      <c r="AD2448" s="580">
        <f t="shared" si="226"/>
        <v>5</v>
      </c>
      <c r="AE2448" s="580">
        <f t="shared" si="227"/>
        <v>2.5</v>
      </c>
      <c r="AF2448" s="580">
        <f t="shared" si="228"/>
        <v>2.5</v>
      </c>
      <c r="AG2448" s="580">
        <f t="shared" si="229"/>
        <v>0</v>
      </c>
      <c r="AH2448" s="580">
        <f t="shared" si="230"/>
        <v>0</v>
      </c>
    </row>
    <row r="2449" spans="28:34">
      <c r="AB2449" s="580">
        <f>HLOOKUP("*"&amp;'Output annual'!$AC$2&amp;'Output annual'!$AD$2&amp;"*Zone People Number Of Occupants [](Hourly)",'Eplus results'!$1:$1048576,ROW(),FALSE)</f>
        <v>0</v>
      </c>
      <c r="AC2449" s="580">
        <f>HLOOKUP("*"&amp;'Output annual'!$AC$2&amp;'Output annual'!$AD$2&amp;"*FangerPMV(Hourly)",'Eplus results'!$1:$1048576,ROW(),FALSE)</f>
        <v>0</v>
      </c>
      <c r="AD2449" s="580">
        <f t="shared" si="226"/>
        <v>5</v>
      </c>
      <c r="AE2449" s="580">
        <f t="shared" si="227"/>
        <v>2.5</v>
      </c>
      <c r="AF2449" s="580">
        <f t="shared" si="228"/>
        <v>2.5</v>
      </c>
      <c r="AG2449" s="580">
        <f t="shared" si="229"/>
        <v>0</v>
      </c>
      <c r="AH2449" s="580">
        <f t="shared" si="230"/>
        <v>0</v>
      </c>
    </row>
    <row r="2450" spans="28:34">
      <c r="AB2450" s="580">
        <f>HLOOKUP("*"&amp;'Output annual'!$AC$2&amp;'Output annual'!$AD$2&amp;"*Zone People Number Of Occupants [](Hourly)",'Eplus results'!$1:$1048576,ROW(),FALSE)</f>
        <v>0</v>
      </c>
      <c r="AC2450" s="580">
        <f>HLOOKUP("*"&amp;'Output annual'!$AC$2&amp;'Output annual'!$AD$2&amp;"*FangerPMV(Hourly)",'Eplus results'!$1:$1048576,ROW(),FALSE)</f>
        <v>0</v>
      </c>
      <c r="AD2450" s="580">
        <f t="shared" si="226"/>
        <v>5</v>
      </c>
      <c r="AE2450" s="580">
        <f t="shared" si="227"/>
        <v>2.5</v>
      </c>
      <c r="AF2450" s="580">
        <f t="shared" si="228"/>
        <v>2.5</v>
      </c>
      <c r="AG2450" s="580">
        <f t="shared" si="229"/>
        <v>0</v>
      </c>
      <c r="AH2450" s="580">
        <f t="shared" si="230"/>
        <v>0</v>
      </c>
    </row>
    <row r="2451" spans="28:34">
      <c r="AB2451" s="580">
        <f>HLOOKUP("*"&amp;'Output annual'!$AC$2&amp;'Output annual'!$AD$2&amp;"*Zone People Number Of Occupants [](Hourly)",'Eplus results'!$1:$1048576,ROW(),FALSE)</f>
        <v>0</v>
      </c>
      <c r="AC2451" s="580">
        <f>HLOOKUP("*"&amp;'Output annual'!$AC$2&amp;'Output annual'!$AD$2&amp;"*FangerPMV(Hourly)",'Eplus results'!$1:$1048576,ROW(),FALSE)</f>
        <v>0</v>
      </c>
      <c r="AD2451" s="580">
        <f t="shared" si="226"/>
        <v>5</v>
      </c>
      <c r="AE2451" s="580">
        <f t="shared" si="227"/>
        <v>2.5</v>
      </c>
      <c r="AF2451" s="580">
        <f t="shared" si="228"/>
        <v>2.5</v>
      </c>
      <c r="AG2451" s="580">
        <f t="shared" si="229"/>
        <v>0</v>
      </c>
      <c r="AH2451" s="580">
        <f t="shared" si="230"/>
        <v>0</v>
      </c>
    </row>
    <row r="2452" spans="28:34">
      <c r="AB2452" s="580">
        <f>HLOOKUP("*"&amp;'Output annual'!$AC$2&amp;'Output annual'!$AD$2&amp;"*Zone People Number Of Occupants [](Hourly)",'Eplus results'!$1:$1048576,ROW(),FALSE)</f>
        <v>0</v>
      </c>
      <c r="AC2452" s="580">
        <f>HLOOKUP("*"&amp;'Output annual'!$AC$2&amp;'Output annual'!$AD$2&amp;"*FangerPMV(Hourly)",'Eplus results'!$1:$1048576,ROW(),FALSE)</f>
        <v>0</v>
      </c>
      <c r="AD2452" s="580">
        <f t="shared" si="226"/>
        <v>5</v>
      </c>
      <c r="AE2452" s="580">
        <f t="shared" si="227"/>
        <v>2.5</v>
      </c>
      <c r="AF2452" s="580">
        <f t="shared" si="228"/>
        <v>2.5</v>
      </c>
      <c r="AG2452" s="580">
        <f t="shared" si="229"/>
        <v>0</v>
      </c>
      <c r="AH2452" s="580">
        <f t="shared" si="230"/>
        <v>0</v>
      </c>
    </row>
    <row r="2453" spans="28:34">
      <c r="AB2453" s="580">
        <f>HLOOKUP("*"&amp;'Output annual'!$AC$2&amp;'Output annual'!$AD$2&amp;"*Zone People Number Of Occupants [](Hourly)",'Eplus results'!$1:$1048576,ROW(),FALSE)</f>
        <v>0</v>
      </c>
      <c r="AC2453" s="580">
        <f>HLOOKUP("*"&amp;'Output annual'!$AC$2&amp;'Output annual'!$AD$2&amp;"*FangerPMV(Hourly)",'Eplus results'!$1:$1048576,ROW(),FALSE)</f>
        <v>0</v>
      </c>
      <c r="AD2453" s="580">
        <f t="shared" si="226"/>
        <v>5</v>
      </c>
      <c r="AE2453" s="580">
        <f t="shared" si="227"/>
        <v>2.5</v>
      </c>
      <c r="AF2453" s="580">
        <f t="shared" si="228"/>
        <v>2.5</v>
      </c>
      <c r="AG2453" s="580">
        <f t="shared" si="229"/>
        <v>0</v>
      </c>
      <c r="AH2453" s="580">
        <f t="shared" si="230"/>
        <v>0</v>
      </c>
    </row>
    <row r="2454" spans="28:34">
      <c r="AB2454" s="580">
        <f>HLOOKUP("*"&amp;'Output annual'!$AC$2&amp;'Output annual'!$AD$2&amp;"*Zone People Number Of Occupants [](Hourly)",'Eplus results'!$1:$1048576,ROW(),FALSE)</f>
        <v>0</v>
      </c>
      <c r="AC2454" s="580">
        <f>HLOOKUP("*"&amp;'Output annual'!$AC$2&amp;'Output annual'!$AD$2&amp;"*FangerPMV(Hourly)",'Eplus results'!$1:$1048576,ROW(),FALSE)</f>
        <v>0</v>
      </c>
      <c r="AD2454" s="580">
        <f t="shared" si="226"/>
        <v>5</v>
      </c>
      <c r="AE2454" s="580">
        <f t="shared" si="227"/>
        <v>2.5</v>
      </c>
      <c r="AF2454" s="580">
        <f t="shared" si="228"/>
        <v>2.5</v>
      </c>
      <c r="AG2454" s="580">
        <f t="shared" si="229"/>
        <v>0</v>
      </c>
      <c r="AH2454" s="580">
        <f t="shared" si="230"/>
        <v>0</v>
      </c>
    </row>
    <row r="2455" spans="28:34">
      <c r="AB2455" s="580">
        <f>HLOOKUP("*"&amp;'Output annual'!$AC$2&amp;'Output annual'!$AD$2&amp;"*Zone People Number Of Occupants [](Hourly)",'Eplus results'!$1:$1048576,ROW(),FALSE)</f>
        <v>0</v>
      </c>
      <c r="AC2455" s="580">
        <f>HLOOKUP("*"&amp;'Output annual'!$AC$2&amp;'Output annual'!$AD$2&amp;"*FangerPMV(Hourly)",'Eplus results'!$1:$1048576,ROW(),FALSE)</f>
        <v>0</v>
      </c>
      <c r="AD2455" s="580">
        <f t="shared" si="226"/>
        <v>5</v>
      </c>
      <c r="AE2455" s="580">
        <f t="shared" si="227"/>
        <v>2.5</v>
      </c>
      <c r="AF2455" s="580">
        <f t="shared" si="228"/>
        <v>2.5</v>
      </c>
      <c r="AG2455" s="580">
        <f t="shared" si="229"/>
        <v>0</v>
      </c>
      <c r="AH2455" s="580">
        <f t="shared" si="230"/>
        <v>0</v>
      </c>
    </row>
    <row r="2456" spans="28:34">
      <c r="AB2456" s="580">
        <f>HLOOKUP("*"&amp;'Output annual'!$AC$2&amp;'Output annual'!$AD$2&amp;"*Zone People Number Of Occupants [](Hourly)",'Eplus results'!$1:$1048576,ROW(),FALSE)</f>
        <v>0</v>
      </c>
      <c r="AC2456" s="580">
        <f>HLOOKUP("*"&amp;'Output annual'!$AC$2&amp;'Output annual'!$AD$2&amp;"*FangerPMV(Hourly)",'Eplus results'!$1:$1048576,ROW(),FALSE)</f>
        <v>0</v>
      </c>
      <c r="AD2456" s="580">
        <f t="shared" si="226"/>
        <v>5</v>
      </c>
      <c r="AE2456" s="580">
        <f t="shared" si="227"/>
        <v>2.5</v>
      </c>
      <c r="AF2456" s="580">
        <f t="shared" si="228"/>
        <v>2.5</v>
      </c>
      <c r="AG2456" s="580">
        <f t="shared" si="229"/>
        <v>0</v>
      </c>
      <c r="AH2456" s="580">
        <f t="shared" si="230"/>
        <v>0</v>
      </c>
    </row>
    <row r="2457" spans="28:34">
      <c r="AB2457" s="580">
        <f>HLOOKUP("*"&amp;'Output annual'!$AC$2&amp;'Output annual'!$AD$2&amp;"*Zone People Number Of Occupants [](Hourly)",'Eplus results'!$1:$1048576,ROW(),FALSE)</f>
        <v>0</v>
      </c>
      <c r="AC2457" s="580">
        <f>HLOOKUP("*"&amp;'Output annual'!$AC$2&amp;'Output annual'!$AD$2&amp;"*FangerPMV(Hourly)",'Eplus results'!$1:$1048576,ROW(),FALSE)</f>
        <v>0</v>
      </c>
      <c r="AD2457" s="580">
        <f t="shared" si="226"/>
        <v>5</v>
      </c>
      <c r="AE2457" s="580">
        <f t="shared" si="227"/>
        <v>2.5</v>
      </c>
      <c r="AF2457" s="580">
        <f t="shared" si="228"/>
        <v>2.5</v>
      </c>
      <c r="AG2457" s="580">
        <f t="shared" si="229"/>
        <v>0</v>
      </c>
      <c r="AH2457" s="580">
        <f t="shared" si="230"/>
        <v>0</v>
      </c>
    </row>
    <row r="2458" spans="28:34">
      <c r="AB2458" s="580">
        <f>HLOOKUP("*"&amp;'Output annual'!$AC$2&amp;'Output annual'!$AD$2&amp;"*Zone People Number Of Occupants [](Hourly)",'Eplus results'!$1:$1048576,ROW(),FALSE)</f>
        <v>0</v>
      </c>
      <c r="AC2458" s="580">
        <f>HLOOKUP("*"&amp;'Output annual'!$AC$2&amp;'Output annual'!$AD$2&amp;"*FangerPMV(Hourly)",'Eplus results'!$1:$1048576,ROW(),FALSE)</f>
        <v>0</v>
      </c>
      <c r="AD2458" s="580">
        <f t="shared" si="226"/>
        <v>5</v>
      </c>
      <c r="AE2458" s="580">
        <f t="shared" si="227"/>
        <v>2.5</v>
      </c>
      <c r="AF2458" s="580">
        <f t="shared" si="228"/>
        <v>2.5</v>
      </c>
      <c r="AG2458" s="580">
        <f t="shared" si="229"/>
        <v>0</v>
      </c>
      <c r="AH2458" s="580">
        <f t="shared" si="230"/>
        <v>0</v>
      </c>
    </row>
    <row r="2459" spans="28:34">
      <c r="AB2459" s="580">
        <f>HLOOKUP("*"&amp;'Output annual'!$AC$2&amp;'Output annual'!$AD$2&amp;"*Zone People Number Of Occupants [](Hourly)",'Eplus results'!$1:$1048576,ROW(),FALSE)</f>
        <v>0</v>
      </c>
      <c r="AC2459" s="580">
        <f>HLOOKUP("*"&amp;'Output annual'!$AC$2&amp;'Output annual'!$AD$2&amp;"*FangerPMV(Hourly)",'Eplus results'!$1:$1048576,ROW(),FALSE)</f>
        <v>0</v>
      </c>
      <c r="AD2459" s="580">
        <f t="shared" si="226"/>
        <v>5</v>
      </c>
      <c r="AE2459" s="580">
        <f t="shared" si="227"/>
        <v>2.5</v>
      </c>
      <c r="AF2459" s="580">
        <f t="shared" si="228"/>
        <v>2.5</v>
      </c>
      <c r="AG2459" s="580">
        <f t="shared" si="229"/>
        <v>0</v>
      </c>
      <c r="AH2459" s="580">
        <f t="shared" si="230"/>
        <v>0</v>
      </c>
    </row>
    <row r="2460" spans="28:34">
      <c r="AB2460" s="580">
        <f>HLOOKUP("*"&amp;'Output annual'!$AC$2&amp;'Output annual'!$AD$2&amp;"*Zone People Number Of Occupants [](Hourly)",'Eplus results'!$1:$1048576,ROW(),FALSE)</f>
        <v>0</v>
      </c>
      <c r="AC2460" s="580">
        <f>HLOOKUP("*"&amp;'Output annual'!$AC$2&amp;'Output annual'!$AD$2&amp;"*FangerPMV(Hourly)",'Eplus results'!$1:$1048576,ROW(),FALSE)</f>
        <v>0</v>
      </c>
      <c r="AD2460" s="580">
        <f t="shared" si="226"/>
        <v>5</v>
      </c>
      <c r="AE2460" s="580">
        <f t="shared" si="227"/>
        <v>2.5</v>
      </c>
      <c r="AF2460" s="580">
        <f t="shared" si="228"/>
        <v>2.5</v>
      </c>
      <c r="AG2460" s="580">
        <f t="shared" si="229"/>
        <v>0</v>
      </c>
      <c r="AH2460" s="580">
        <f t="shared" si="230"/>
        <v>0</v>
      </c>
    </row>
    <row r="2461" spans="28:34">
      <c r="AB2461" s="580">
        <f>HLOOKUP("*"&amp;'Output annual'!$AC$2&amp;'Output annual'!$AD$2&amp;"*Zone People Number Of Occupants [](Hourly)",'Eplus results'!$1:$1048576,ROW(),FALSE)</f>
        <v>0</v>
      </c>
      <c r="AC2461" s="580">
        <f>HLOOKUP("*"&amp;'Output annual'!$AC$2&amp;'Output annual'!$AD$2&amp;"*FangerPMV(Hourly)",'Eplus results'!$1:$1048576,ROW(),FALSE)</f>
        <v>0</v>
      </c>
      <c r="AD2461" s="580">
        <f t="shared" si="226"/>
        <v>5</v>
      </c>
      <c r="AE2461" s="580">
        <f t="shared" si="227"/>
        <v>2.5</v>
      </c>
      <c r="AF2461" s="580">
        <f t="shared" si="228"/>
        <v>2.5</v>
      </c>
      <c r="AG2461" s="580">
        <f t="shared" si="229"/>
        <v>0</v>
      </c>
      <c r="AH2461" s="580">
        <f t="shared" si="230"/>
        <v>0</v>
      </c>
    </row>
    <row r="2462" spans="28:34">
      <c r="AB2462" s="580">
        <f>HLOOKUP("*"&amp;'Output annual'!$AC$2&amp;'Output annual'!$AD$2&amp;"*Zone People Number Of Occupants [](Hourly)",'Eplus results'!$1:$1048576,ROW(),FALSE)</f>
        <v>0</v>
      </c>
      <c r="AC2462" s="580">
        <f>HLOOKUP("*"&amp;'Output annual'!$AC$2&amp;'Output annual'!$AD$2&amp;"*FangerPMV(Hourly)",'Eplus results'!$1:$1048576,ROW(),FALSE)</f>
        <v>0</v>
      </c>
      <c r="AD2462" s="580">
        <f t="shared" si="226"/>
        <v>5</v>
      </c>
      <c r="AE2462" s="580">
        <f t="shared" si="227"/>
        <v>2.5</v>
      </c>
      <c r="AF2462" s="580">
        <f t="shared" si="228"/>
        <v>2.5</v>
      </c>
      <c r="AG2462" s="580">
        <f t="shared" si="229"/>
        <v>0</v>
      </c>
      <c r="AH2462" s="580">
        <f t="shared" si="230"/>
        <v>0</v>
      </c>
    </row>
    <row r="2463" spans="28:34">
      <c r="AB2463" s="580">
        <f>HLOOKUP("*"&amp;'Output annual'!$AC$2&amp;'Output annual'!$AD$2&amp;"*Zone People Number Of Occupants [](Hourly)",'Eplus results'!$1:$1048576,ROW(),FALSE)</f>
        <v>0</v>
      </c>
      <c r="AC2463" s="580">
        <f>HLOOKUP("*"&amp;'Output annual'!$AC$2&amp;'Output annual'!$AD$2&amp;"*FangerPMV(Hourly)",'Eplus results'!$1:$1048576,ROW(),FALSE)</f>
        <v>0</v>
      </c>
      <c r="AD2463" s="580">
        <f t="shared" si="226"/>
        <v>5</v>
      </c>
      <c r="AE2463" s="580">
        <f t="shared" si="227"/>
        <v>2.5</v>
      </c>
      <c r="AF2463" s="580">
        <f t="shared" si="228"/>
        <v>2.5</v>
      </c>
      <c r="AG2463" s="580">
        <f t="shared" si="229"/>
        <v>0</v>
      </c>
      <c r="AH2463" s="580">
        <f t="shared" si="230"/>
        <v>0</v>
      </c>
    </row>
    <row r="2464" spans="28:34">
      <c r="AB2464" s="580">
        <f>HLOOKUP("*"&amp;'Output annual'!$AC$2&amp;'Output annual'!$AD$2&amp;"*Zone People Number Of Occupants [](Hourly)",'Eplus results'!$1:$1048576,ROW(),FALSE)</f>
        <v>0</v>
      </c>
      <c r="AC2464" s="580">
        <f>HLOOKUP("*"&amp;'Output annual'!$AC$2&amp;'Output annual'!$AD$2&amp;"*FangerPMV(Hourly)",'Eplus results'!$1:$1048576,ROW(),FALSE)</f>
        <v>0</v>
      </c>
      <c r="AD2464" s="580">
        <f t="shared" si="226"/>
        <v>5</v>
      </c>
      <c r="AE2464" s="580">
        <f t="shared" si="227"/>
        <v>2.5</v>
      </c>
      <c r="AF2464" s="580">
        <f t="shared" si="228"/>
        <v>2.5</v>
      </c>
      <c r="AG2464" s="580">
        <f t="shared" si="229"/>
        <v>0</v>
      </c>
      <c r="AH2464" s="580">
        <f t="shared" si="230"/>
        <v>0</v>
      </c>
    </row>
    <row r="2465" spans="28:34">
      <c r="AB2465" s="580">
        <f>HLOOKUP("*"&amp;'Output annual'!$AC$2&amp;'Output annual'!$AD$2&amp;"*Zone People Number Of Occupants [](Hourly)",'Eplus results'!$1:$1048576,ROW(),FALSE)</f>
        <v>0</v>
      </c>
      <c r="AC2465" s="580">
        <f>HLOOKUP("*"&amp;'Output annual'!$AC$2&amp;'Output annual'!$AD$2&amp;"*FangerPMV(Hourly)",'Eplus results'!$1:$1048576,ROW(),FALSE)</f>
        <v>0</v>
      </c>
      <c r="AD2465" s="580">
        <f t="shared" si="226"/>
        <v>5</v>
      </c>
      <c r="AE2465" s="580">
        <f t="shared" si="227"/>
        <v>2.5</v>
      </c>
      <c r="AF2465" s="580">
        <f t="shared" si="228"/>
        <v>2.5</v>
      </c>
      <c r="AG2465" s="580">
        <f t="shared" si="229"/>
        <v>0</v>
      </c>
      <c r="AH2465" s="580">
        <f t="shared" si="230"/>
        <v>0</v>
      </c>
    </row>
    <row r="2466" spans="28:34">
      <c r="AB2466" s="580">
        <f>HLOOKUP("*"&amp;'Output annual'!$AC$2&amp;'Output annual'!$AD$2&amp;"*Zone People Number Of Occupants [](Hourly)",'Eplus results'!$1:$1048576,ROW(),FALSE)</f>
        <v>0</v>
      </c>
      <c r="AC2466" s="580">
        <f>HLOOKUP("*"&amp;'Output annual'!$AC$2&amp;'Output annual'!$AD$2&amp;"*FangerPMV(Hourly)",'Eplus results'!$1:$1048576,ROW(),FALSE)</f>
        <v>0</v>
      </c>
      <c r="AD2466" s="580">
        <f t="shared" si="226"/>
        <v>5</v>
      </c>
      <c r="AE2466" s="580">
        <f t="shared" si="227"/>
        <v>2.5</v>
      </c>
      <c r="AF2466" s="580">
        <f t="shared" si="228"/>
        <v>2.5</v>
      </c>
      <c r="AG2466" s="580">
        <f t="shared" si="229"/>
        <v>0</v>
      </c>
      <c r="AH2466" s="580">
        <f t="shared" si="230"/>
        <v>0</v>
      </c>
    </row>
    <row r="2467" spans="28:34">
      <c r="AB2467" s="580">
        <f>HLOOKUP("*"&amp;'Output annual'!$AC$2&amp;'Output annual'!$AD$2&amp;"*Zone People Number Of Occupants [](Hourly)",'Eplus results'!$1:$1048576,ROW(),FALSE)</f>
        <v>0</v>
      </c>
      <c r="AC2467" s="580">
        <f>HLOOKUP("*"&amp;'Output annual'!$AC$2&amp;'Output annual'!$AD$2&amp;"*FangerPMV(Hourly)",'Eplus results'!$1:$1048576,ROW(),FALSE)</f>
        <v>0</v>
      </c>
      <c r="AD2467" s="580">
        <f t="shared" si="226"/>
        <v>5</v>
      </c>
      <c r="AE2467" s="580">
        <f t="shared" si="227"/>
        <v>2.5</v>
      </c>
      <c r="AF2467" s="580">
        <f t="shared" si="228"/>
        <v>2.5</v>
      </c>
      <c r="AG2467" s="580">
        <f t="shared" si="229"/>
        <v>0</v>
      </c>
      <c r="AH2467" s="580">
        <f t="shared" si="230"/>
        <v>0</v>
      </c>
    </row>
    <row r="2468" spans="28:34">
      <c r="AB2468" s="580">
        <f>HLOOKUP("*"&amp;'Output annual'!$AC$2&amp;'Output annual'!$AD$2&amp;"*Zone People Number Of Occupants [](Hourly)",'Eplus results'!$1:$1048576,ROW(),FALSE)</f>
        <v>0</v>
      </c>
      <c r="AC2468" s="580">
        <f>HLOOKUP("*"&amp;'Output annual'!$AC$2&amp;'Output annual'!$AD$2&amp;"*FangerPMV(Hourly)",'Eplus results'!$1:$1048576,ROW(),FALSE)</f>
        <v>0</v>
      </c>
      <c r="AD2468" s="580">
        <f t="shared" si="226"/>
        <v>5</v>
      </c>
      <c r="AE2468" s="580">
        <f t="shared" si="227"/>
        <v>2.5</v>
      </c>
      <c r="AF2468" s="580">
        <f t="shared" si="228"/>
        <v>2.5</v>
      </c>
      <c r="AG2468" s="580">
        <f t="shared" si="229"/>
        <v>0</v>
      </c>
      <c r="AH2468" s="580">
        <f t="shared" si="230"/>
        <v>0</v>
      </c>
    </row>
    <row r="2469" spans="28:34">
      <c r="AB2469" s="580">
        <f>HLOOKUP("*"&amp;'Output annual'!$AC$2&amp;'Output annual'!$AD$2&amp;"*Zone People Number Of Occupants [](Hourly)",'Eplus results'!$1:$1048576,ROW(),FALSE)</f>
        <v>0</v>
      </c>
      <c r="AC2469" s="580">
        <f>HLOOKUP("*"&amp;'Output annual'!$AC$2&amp;'Output annual'!$AD$2&amp;"*FangerPMV(Hourly)",'Eplus results'!$1:$1048576,ROW(),FALSE)</f>
        <v>0</v>
      </c>
      <c r="AD2469" s="580">
        <f t="shared" si="226"/>
        <v>5</v>
      </c>
      <c r="AE2469" s="580">
        <f t="shared" si="227"/>
        <v>2.5</v>
      </c>
      <c r="AF2469" s="580">
        <f t="shared" si="228"/>
        <v>2.5</v>
      </c>
      <c r="AG2469" s="580">
        <f t="shared" si="229"/>
        <v>0</v>
      </c>
      <c r="AH2469" s="580">
        <f t="shared" si="230"/>
        <v>0</v>
      </c>
    </row>
    <row r="2470" spans="28:34">
      <c r="AB2470" s="580">
        <f>HLOOKUP("*"&amp;'Output annual'!$AC$2&amp;'Output annual'!$AD$2&amp;"*Zone People Number Of Occupants [](Hourly)",'Eplus results'!$1:$1048576,ROW(),FALSE)</f>
        <v>0</v>
      </c>
      <c r="AC2470" s="580">
        <f>HLOOKUP("*"&amp;'Output annual'!$AC$2&amp;'Output annual'!$AD$2&amp;"*FangerPMV(Hourly)",'Eplus results'!$1:$1048576,ROW(),FALSE)</f>
        <v>0</v>
      </c>
      <c r="AD2470" s="580">
        <f t="shared" si="226"/>
        <v>5</v>
      </c>
      <c r="AE2470" s="580">
        <f t="shared" si="227"/>
        <v>2.5</v>
      </c>
      <c r="AF2470" s="580">
        <f t="shared" si="228"/>
        <v>2.5</v>
      </c>
      <c r="AG2470" s="580">
        <f t="shared" si="229"/>
        <v>0</v>
      </c>
      <c r="AH2470" s="580">
        <f t="shared" si="230"/>
        <v>0</v>
      </c>
    </row>
    <row r="2471" spans="28:34">
      <c r="AB2471" s="580">
        <f>HLOOKUP("*"&amp;'Output annual'!$AC$2&amp;'Output annual'!$AD$2&amp;"*Zone People Number Of Occupants [](Hourly)",'Eplus results'!$1:$1048576,ROW(),FALSE)</f>
        <v>0</v>
      </c>
      <c r="AC2471" s="580">
        <f>HLOOKUP("*"&amp;'Output annual'!$AC$2&amp;'Output annual'!$AD$2&amp;"*FangerPMV(Hourly)",'Eplus results'!$1:$1048576,ROW(),FALSE)</f>
        <v>0</v>
      </c>
      <c r="AD2471" s="580">
        <f t="shared" si="226"/>
        <v>5</v>
      </c>
      <c r="AE2471" s="580">
        <f t="shared" si="227"/>
        <v>2.5</v>
      </c>
      <c r="AF2471" s="580">
        <f t="shared" si="228"/>
        <v>2.5</v>
      </c>
      <c r="AG2471" s="580">
        <f t="shared" si="229"/>
        <v>0</v>
      </c>
      <c r="AH2471" s="580">
        <f t="shared" si="230"/>
        <v>0</v>
      </c>
    </row>
    <row r="2472" spans="28:34">
      <c r="AB2472" s="580">
        <f>HLOOKUP("*"&amp;'Output annual'!$AC$2&amp;'Output annual'!$AD$2&amp;"*Zone People Number Of Occupants [](Hourly)",'Eplus results'!$1:$1048576,ROW(),FALSE)</f>
        <v>0</v>
      </c>
      <c r="AC2472" s="580">
        <f>HLOOKUP("*"&amp;'Output annual'!$AC$2&amp;'Output annual'!$AD$2&amp;"*FangerPMV(Hourly)",'Eplus results'!$1:$1048576,ROW(),FALSE)</f>
        <v>0</v>
      </c>
      <c r="AD2472" s="580">
        <f t="shared" si="226"/>
        <v>5</v>
      </c>
      <c r="AE2472" s="580">
        <f t="shared" si="227"/>
        <v>2.5</v>
      </c>
      <c r="AF2472" s="580">
        <f t="shared" si="228"/>
        <v>2.5</v>
      </c>
      <c r="AG2472" s="580">
        <f t="shared" si="229"/>
        <v>0</v>
      </c>
      <c r="AH2472" s="580">
        <f t="shared" si="230"/>
        <v>0</v>
      </c>
    </row>
    <row r="2473" spans="28:34">
      <c r="AB2473" s="580">
        <f>HLOOKUP("*"&amp;'Output annual'!$AC$2&amp;'Output annual'!$AD$2&amp;"*Zone People Number Of Occupants [](Hourly)",'Eplus results'!$1:$1048576,ROW(),FALSE)</f>
        <v>0</v>
      </c>
      <c r="AC2473" s="580">
        <f>HLOOKUP("*"&amp;'Output annual'!$AC$2&amp;'Output annual'!$AD$2&amp;"*FangerPMV(Hourly)",'Eplus results'!$1:$1048576,ROW(),FALSE)</f>
        <v>0</v>
      </c>
      <c r="AD2473" s="580">
        <f t="shared" si="226"/>
        <v>5</v>
      </c>
      <c r="AE2473" s="580">
        <f t="shared" si="227"/>
        <v>2.5</v>
      </c>
      <c r="AF2473" s="580">
        <f t="shared" si="228"/>
        <v>2.5</v>
      </c>
      <c r="AG2473" s="580">
        <f t="shared" si="229"/>
        <v>0</v>
      </c>
      <c r="AH2473" s="580">
        <f t="shared" si="230"/>
        <v>0</v>
      </c>
    </row>
    <row r="2474" spans="28:34">
      <c r="AB2474" s="580">
        <f>HLOOKUP("*"&amp;'Output annual'!$AC$2&amp;'Output annual'!$AD$2&amp;"*Zone People Number Of Occupants [](Hourly)",'Eplus results'!$1:$1048576,ROW(),FALSE)</f>
        <v>0</v>
      </c>
      <c r="AC2474" s="580">
        <f>HLOOKUP("*"&amp;'Output annual'!$AC$2&amp;'Output annual'!$AD$2&amp;"*FangerPMV(Hourly)",'Eplus results'!$1:$1048576,ROW(),FALSE)</f>
        <v>0</v>
      </c>
      <c r="AD2474" s="580">
        <f t="shared" si="226"/>
        <v>5</v>
      </c>
      <c r="AE2474" s="580">
        <f t="shared" si="227"/>
        <v>2.5</v>
      </c>
      <c r="AF2474" s="580">
        <f t="shared" si="228"/>
        <v>2.5</v>
      </c>
      <c r="AG2474" s="580">
        <f t="shared" si="229"/>
        <v>0</v>
      </c>
      <c r="AH2474" s="580">
        <f t="shared" si="230"/>
        <v>0</v>
      </c>
    </row>
    <row r="2475" spans="28:34">
      <c r="AB2475" s="580">
        <f>HLOOKUP("*"&amp;'Output annual'!$AC$2&amp;'Output annual'!$AD$2&amp;"*Zone People Number Of Occupants [](Hourly)",'Eplus results'!$1:$1048576,ROW(),FALSE)</f>
        <v>0</v>
      </c>
      <c r="AC2475" s="580">
        <f>HLOOKUP("*"&amp;'Output annual'!$AC$2&amp;'Output annual'!$AD$2&amp;"*FangerPMV(Hourly)",'Eplus results'!$1:$1048576,ROW(),FALSE)</f>
        <v>0</v>
      </c>
      <c r="AD2475" s="580">
        <f t="shared" si="226"/>
        <v>5</v>
      </c>
      <c r="AE2475" s="580">
        <f t="shared" si="227"/>
        <v>2.5</v>
      </c>
      <c r="AF2475" s="580">
        <f t="shared" si="228"/>
        <v>2.5</v>
      </c>
      <c r="AG2475" s="580">
        <f t="shared" si="229"/>
        <v>0</v>
      </c>
      <c r="AH2475" s="580">
        <f t="shared" si="230"/>
        <v>0</v>
      </c>
    </row>
    <row r="2476" spans="28:34">
      <c r="AB2476" s="580">
        <f>HLOOKUP("*"&amp;'Output annual'!$AC$2&amp;'Output annual'!$AD$2&amp;"*Zone People Number Of Occupants [](Hourly)",'Eplus results'!$1:$1048576,ROW(),FALSE)</f>
        <v>0</v>
      </c>
      <c r="AC2476" s="580">
        <f>HLOOKUP("*"&amp;'Output annual'!$AC$2&amp;'Output annual'!$AD$2&amp;"*FangerPMV(Hourly)",'Eplus results'!$1:$1048576,ROW(),FALSE)</f>
        <v>0</v>
      </c>
      <c r="AD2476" s="580">
        <f t="shared" si="226"/>
        <v>5</v>
      </c>
      <c r="AE2476" s="580">
        <f t="shared" si="227"/>
        <v>2.5</v>
      </c>
      <c r="AF2476" s="580">
        <f t="shared" si="228"/>
        <v>2.5</v>
      </c>
      <c r="AG2476" s="580">
        <f t="shared" si="229"/>
        <v>0</v>
      </c>
      <c r="AH2476" s="580">
        <f t="shared" si="230"/>
        <v>0</v>
      </c>
    </row>
    <row r="2477" spans="28:34">
      <c r="AB2477" s="580">
        <f>HLOOKUP("*"&amp;'Output annual'!$AC$2&amp;'Output annual'!$AD$2&amp;"*Zone People Number Of Occupants [](Hourly)",'Eplus results'!$1:$1048576,ROW(),FALSE)</f>
        <v>0</v>
      </c>
      <c r="AC2477" s="580">
        <f>HLOOKUP("*"&amp;'Output annual'!$AC$2&amp;'Output annual'!$AD$2&amp;"*FangerPMV(Hourly)",'Eplus results'!$1:$1048576,ROW(),FALSE)</f>
        <v>0</v>
      </c>
      <c r="AD2477" s="580">
        <f t="shared" si="226"/>
        <v>5</v>
      </c>
      <c r="AE2477" s="580">
        <f t="shared" si="227"/>
        <v>2.5</v>
      </c>
      <c r="AF2477" s="580">
        <f t="shared" si="228"/>
        <v>2.5</v>
      </c>
      <c r="AG2477" s="580">
        <f t="shared" si="229"/>
        <v>0</v>
      </c>
      <c r="AH2477" s="580">
        <f t="shared" si="230"/>
        <v>0</v>
      </c>
    </row>
    <row r="2478" spans="28:34">
      <c r="AB2478" s="580">
        <f>HLOOKUP("*"&amp;'Output annual'!$AC$2&amp;'Output annual'!$AD$2&amp;"*Zone People Number Of Occupants [](Hourly)",'Eplus results'!$1:$1048576,ROW(),FALSE)</f>
        <v>0</v>
      </c>
      <c r="AC2478" s="580">
        <f>HLOOKUP("*"&amp;'Output annual'!$AC$2&amp;'Output annual'!$AD$2&amp;"*FangerPMV(Hourly)",'Eplus results'!$1:$1048576,ROW(),FALSE)</f>
        <v>0</v>
      </c>
      <c r="AD2478" s="580">
        <f t="shared" si="226"/>
        <v>5</v>
      </c>
      <c r="AE2478" s="580">
        <f t="shared" si="227"/>
        <v>2.5</v>
      </c>
      <c r="AF2478" s="580">
        <f t="shared" si="228"/>
        <v>2.5</v>
      </c>
      <c r="AG2478" s="580">
        <f t="shared" si="229"/>
        <v>0</v>
      </c>
      <c r="AH2478" s="580">
        <f t="shared" si="230"/>
        <v>0</v>
      </c>
    </row>
    <row r="2479" spans="28:34">
      <c r="AB2479" s="580">
        <f>HLOOKUP("*"&amp;'Output annual'!$AC$2&amp;'Output annual'!$AD$2&amp;"*Zone People Number Of Occupants [](Hourly)",'Eplus results'!$1:$1048576,ROW(),FALSE)</f>
        <v>0</v>
      </c>
      <c r="AC2479" s="580">
        <f>HLOOKUP("*"&amp;'Output annual'!$AC$2&amp;'Output annual'!$AD$2&amp;"*FangerPMV(Hourly)",'Eplus results'!$1:$1048576,ROW(),FALSE)</f>
        <v>0</v>
      </c>
      <c r="AD2479" s="580">
        <f t="shared" si="226"/>
        <v>5</v>
      </c>
      <c r="AE2479" s="580">
        <f t="shared" si="227"/>
        <v>2.5</v>
      </c>
      <c r="AF2479" s="580">
        <f t="shared" si="228"/>
        <v>2.5</v>
      </c>
      <c r="AG2479" s="580">
        <f t="shared" si="229"/>
        <v>0</v>
      </c>
      <c r="AH2479" s="580">
        <f t="shared" si="230"/>
        <v>0</v>
      </c>
    </row>
    <row r="2480" spans="28:34">
      <c r="AB2480" s="580">
        <f>HLOOKUP("*"&amp;'Output annual'!$AC$2&amp;'Output annual'!$AD$2&amp;"*Zone People Number Of Occupants [](Hourly)",'Eplus results'!$1:$1048576,ROW(),FALSE)</f>
        <v>0</v>
      </c>
      <c r="AC2480" s="580">
        <f>HLOOKUP("*"&amp;'Output annual'!$AC$2&amp;'Output annual'!$AD$2&amp;"*FangerPMV(Hourly)",'Eplus results'!$1:$1048576,ROW(),FALSE)</f>
        <v>0</v>
      </c>
      <c r="AD2480" s="580">
        <f t="shared" si="226"/>
        <v>5</v>
      </c>
      <c r="AE2480" s="580">
        <f t="shared" si="227"/>
        <v>2.5</v>
      </c>
      <c r="AF2480" s="580">
        <f t="shared" si="228"/>
        <v>2.5</v>
      </c>
      <c r="AG2480" s="580">
        <f t="shared" si="229"/>
        <v>0</v>
      </c>
      <c r="AH2480" s="580">
        <f t="shared" si="230"/>
        <v>0</v>
      </c>
    </row>
    <row r="2481" spans="28:34">
      <c r="AB2481" s="580">
        <f>HLOOKUP("*"&amp;'Output annual'!$AC$2&amp;'Output annual'!$AD$2&amp;"*Zone People Number Of Occupants [](Hourly)",'Eplus results'!$1:$1048576,ROW(),FALSE)</f>
        <v>0</v>
      </c>
      <c r="AC2481" s="580">
        <f>HLOOKUP("*"&amp;'Output annual'!$AC$2&amp;'Output annual'!$AD$2&amp;"*FangerPMV(Hourly)",'Eplus results'!$1:$1048576,ROW(),FALSE)</f>
        <v>0</v>
      </c>
      <c r="AD2481" s="580">
        <f t="shared" si="226"/>
        <v>5</v>
      </c>
      <c r="AE2481" s="580">
        <f t="shared" si="227"/>
        <v>2.5</v>
      </c>
      <c r="AF2481" s="580">
        <f t="shared" si="228"/>
        <v>2.5</v>
      </c>
      <c r="AG2481" s="580">
        <f t="shared" si="229"/>
        <v>0</v>
      </c>
      <c r="AH2481" s="580">
        <f t="shared" si="230"/>
        <v>0</v>
      </c>
    </row>
    <row r="2482" spans="28:34">
      <c r="AB2482" s="580">
        <f>HLOOKUP("*"&amp;'Output annual'!$AC$2&amp;'Output annual'!$AD$2&amp;"*Zone People Number Of Occupants [](Hourly)",'Eplus results'!$1:$1048576,ROW(),FALSE)</f>
        <v>0</v>
      </c>
      <c r="AC2482" s="580">
        <f>HLOOKUP("*"&amp;'Output annual'!$AC$2&amp;'Output annual'!$AD$2&amp;"*FangerPMV(Hourly)",'Eplus results'!$1:$1048576,ROW(),FALSE)</f>
        <v>0</v>
      </c>
      <c r="AD2482" s="580">
        <f t="shared" si="226"/>
        <v>5</v>
      </c>
      <c r="AE2482" s="580">
        <f t="shared" si="227"/>
        <v>2.5</v>
      </c>
      <c r="AF2482" s="580">
        <f t="shared" si="228"/>
        <v>2.5</v>
      </c>
      <c r="AG2482" s="580">
        <f t="shared" si="229"/>
        <v>0</v>
      </c>
      <c r="AH2482" s="580">
        <f t="shared" si="230"/>
        <v>0</v>
      </c>
    </row>
    <row r="2483" spans="28:34">
      <c r="AB2483" s="580">
        <f>HLOOKUP("*"&amp;'Output annual'!$AC$2&amp;'Output annual'!$AD$2&amp;"*Zone People Number Of Occupants [](Hourly)",'Eplus results'!$1:$1048576,ROW(),FALSE)</f>
        <v>0</v>
      </c>
      <c r="AC2483" s="580">
        <f>HLOOKUP("*"&amp;'Output annual'!$AC$2&amp;'Output annual'!$AD$2&amp;"*FangerPMV(Hourly)",'Eplus results'!$1:$1048576,ROW(),FALSE)</f>
        <v>0</v>
      </c>
      <c r="AD2483" s="580">
        <f t="shared" si="226"/>
        <v>5</v>
      </c>
      <c r="AE2483" s="580">
        <f t="shared" si="227"/>
        <v>2.5</v>
      </c>
      <c r="AF2483" s="580">
        <f t="shared" si="228"/>
        <v>2.5</v>
      </c>
      <c r="AG2483" s="580">
        <f t="shared" si="229"/>
        <v>0</v>
      </c>
      <c r="AH2483" s="580">
        <f t="shared" si="230"/>
        <v>0</v>
      </c>
    </row>
    <row r="2484" spans="28:34">
      <c r="AB2484" s="580">
        <f>HLOOKUP("*"&amp;'Output annual'!$AC$2&amp;'Output annual'!$AD$2&amp;"*Zone People Number Of Occupants [](Hourly)",'Eplus results'!$1:$1048576,ROW(),FALSE)</f>
        <v>0</v>
      </c>
      <c r="AC2484" s="580">
        <f>HLOOKUP("*"&amp;'Output annual'!$AC$2&amp;'Output annual'!$AD$2&amp;"*FangerPMV(Hourly)",'Eplus results'!$1:$1048576,ROW(),FALSE)</f>
        <v>0</v>
      </c>
      <c r="AD2484" s="580">
        <f t="shared" si="226"/>
        <v>5</v>
      </c>
      <c r="AE2484" s="580">
        <f t="shared" si="227"/>
        <v>2.5</v>
      </c>
      <c r="AF2484" s="580">
        <f t="shared" si="228"/>
        <v>2.5</v>
      </c>
      <c r="AG2484" s="580">
        <f t="shared" si="229"/>
        <v>0</v>
      </c>
      <c r="AH2484" s="580">
        <f t="shared" si="230"/>
        <v>0</v>
      </c>
    </row>
    <row r="2485" spans="28:34">
      <c r="AB2485" s="580">
        <f>HLOOKUP("*"&amp;'Output annual'!$AC$2&amp;'Output annual'!$AD$2&amp;"*Zone People Number Of Occupants [](Hourly)",'Eplus results'!$1:$1048576,ROW(),FALSE)</f>
        <v>0</v>
      </c>
      <c r="AC2485" s="580">
        <f>HLOOKUP("*"&amp;'Output annual'!$AC$2&amp;'Output annual'!$AD$2&amp;"*FangerPMV(Hourly)",'Eplus results'!$1:$1048576,ROW(),FALSE)</f>
        <v>0</v>
      </c>
      <c r="AD2485" s="580">
        <f t="shared" si="226"/>
        <v>5</v>
      </c>
      <c r="AE2485" s="580">
        <f t="shared" si="227"/>
        <v>2.5</v>
      </c>
      <c r="AF2485" s="580">
        <f t="shared" si="228"/>
        <v>2.5</v>
      </c>
      <c r="AG2485" s="580">
        <f t="shared" si="229"/>
        <v>0</v>
      </c>
      <c r="AH2485" s="580">
        <f t="shared" si="230"/>
        <v>0</v>
      </c>
    </row>
    <row r="2486" spans="28:34">
      <c r="AB2486" s="580">
        <f>HLOOKUP("*"&amp;'Output annual'!$AC$2&amp;'Output annual'!$AD$2&amp;"*Zone People Number Of Occupants [](Hourly)",'Eplus results'!$1:$1048576,ROW(),FALSE)</f>
        <v>0</v>
      </c>
      <c r="AC2486" s="580">
        <f>HLOOKUP("*"&amp;'Output annual'!$AC$2&amp;'Output annual'!$AD$2&amp;"*FangerPMV(Hourly)",'Eplus results'!$1:$1048576,ROW(),FALSE)</f>
        <v>0</v>
      </c>
      <c r="AD2486" s="580">
        <f t="shared" si="226"/>
        <v>5</v>
      </c>
      <c r="AE2486" s="580">
        <f t="shared" si="227"/>
        <v>2.5</v>
      </c>
      <c r="AF2486" s="580">
        <f t="shared" si="228"/>
        <v>2.5</v>
      </c>
      <c r="AG2486" s="580">
        <f t="shared" si="229"/>
        <v>0</v>
      </c>
      <c r="AH2486" s="580">
        <f t="shared" si="230"/>
        <v>0</v>
      </c>
    </row>
    <row r="2487" spans="28:34">
      <c r="AB2487" s="580">
        <f>HLOOKUP("*"&amp;'Output annual'!$AC$2&amp;'Output annual'!$AD$2&amp;"*Zone People Number Of Occupants [](Hourly)",'Eplus results'!$1:$1048576,ROW(),FALSE)</f>
        <v>0</v>
      </c>
      <c r="AC2487" s="580">
        <f>HLOOKUP("*"&amp;'Output annual'!$AC$2&amp;'Output annual'!$AD$2&amp;"*FangerPMV(Hourly)",'Eplus results'!$1:$1048576,ROW(),FALSE)</f>
        <v>0</v>
      </c>
      <c r="AD2487" s="580">
        <f t="shared" si="226"/>
        <v>5</v>
      </c>
      <c r="AE2487" s="580">
        <f t="shared" si="227"/>
        <v>2.5</v>
      </c>
      <c r="AF2487" s="580">
        <f t="shared" si="228"/>
        <v>2.5</v>
      </c>
      <c r="AG2487" s="580">
        <f t="shared" si="229"/>
        <v>0</v>
      </c>
      <c r="AH2487" s="580">
        <f t="shared" si="230"/>
        <v>0</v>
      </c>
    </row>
    <row r="2488" spans="28:34">
      <c r="AB2488" s="580">
        <f>HLOOKUP("*"&amp;'Output annual'!$AC$2&amp;'Output annual'!$AD$2&amp;"*Zone People Number Of Occupants [](Hourly)",'Eplus results'!$1:$1048576,ROW(),FALSE)</f>
        <v>0</v>
      </c>
      <c r="AC2488" s="580">
        <f>HLOOKUP("*"&amp;'Output annual'!$AC$2&amp;'Output annual'!$AD$2&amp;"*FangerPMV(Hourly)",'Eplus results'!$1:$1048576,ROW(),FALSE)</f>
        <v>0</v>
      </c>
      <c r="AD2488" s="580">
        <f t="shared" si="226"/>
        <v>5</v>
      </c>
      <c r="AE2488" s="580">
        <f t="shared" si="227"/>
        <v>2.5</v>
      </c>
      <c r="AF2488" s="580">
        <f t="shared" si="228"/>
        <v>2.5</v>
      </c>
      <c r="AG2488" s="580">
        <f t="shared" si="229"/>
        <v>0</v>
      </c>
      <c r="AH2488" s="580">
        <f t="shared" si="230"/>
        <v>0</v>
      </c>
    </row>
    <row r="2489" spans="28:34">
      <c r="AB2489" s="580">
        <f>HLOOKUP("*"&amp;'Output annual'!$AC$2&amp;'Output annual'!$AD$2&amp;"*Zone People Number Of Occupants [](Hourly)",'Eplus results'!$1:$1048576,ROW(),FALSE)</f>
        <v>0</v>
      </c>
      <c r="AC2489" s="580">
        <f>HLOOKUP("*"&amp;'Output annual'!$AC$2&amp;'Output annual'!$AD$2&amp;"*FangerPMV(Hourly)",'Eplus results'!$1:$1048576,ROW(),FALSE)</f>
        <v>0</v>
      </c>
      <c r="AD2489" s="580">
        <f t="shared" si="226"/>
        <v>5</v>
      </c>
      <c r="AE2489" s="580">
        <f t="shared" si="227"/>
        <v>2.5</v>
      </c>
      <c r="AF2489" s="580">
        <f t="shared" si="228"/>
        <v>2.5</v>
      </c>
      <c r="AG2489" s="580">
        <f t="shared" si="229"/>
        <v>0</v>
      </c>
      <c r="AH2489" s="580">
        <f t="shared" si="230"/>
        <v>0</v>
      </c>
    </row>
    <row r="2490" spans="28:34">
      <c r="AB2490" s="580">
        <f>HLOOKUP("*"&amp;'Output annual'!$AC$2&amp;'Output annual'!$AD$2&amp;"*Zone People Number Of Occupants [](Hourly)",'Eplus results'!$1:$1048576,ROW(),FALSE)</f>
        <v>0</v>
      </c>
      <c r="AC2490" s="580">
        <f>HLOOKUP("*"&amp;'Output annual'!$AC$2&amp;'Output annual'!$AD$2&amp;"*FangerPMV(Hourly)",'Eplus results'!$1:$1048576,ROW(),FALSE)</f>
        <v>0</v>
      </c>
      <c r="AD2490" s="580">
        <f t="shared" si="226"/>
        <v>5</v>
      </c>
      <c r="AE2490" s="580">
        <f t="shared" si="227"/>
        <v>2.5</v>
      </c>
      <c r="AF2490" s="580">
        <f t="shared" si="228"/>
        <v>2.5</v>
      </c>
      <c r="AG2490" s="580">
        <f t="shared" si="229"/>
        <v>0</v>
      </c>
      <c r="AH2490" s="580">
        <f t="shared" si="230"/>
        <v>0</v>
      </c>
    </row>
    <row r="2491" spans="28:34">
      <c r="AB2491" s="580">
        <f>HLOOKUP("*"&amp;'Output annual'!$AC$2&amp;'Output annual'!$AD$2&amp;"*Zone People Number Of Occupants [](Hourly)",'Eplus results'!$1:$1048576,ROW(),FALSE)</f>
        <v>0</v>
      </c>
      <c r="AC2491" s="580">
        <f>HLOOKUP("*"&amp;'Output annual'!$AC$2&amp;'Output annual'!$AD$2&amp;"*FangerPMV(Hourly)",'Eplus results'!$1:$1048576,ROW(),FALSE)</f>
        <v>0</v>
      </c>
      <c r="AD2491" s="580">
        <f t="shared" si="226"/>
        <v>5</v>
      </c>
      <c r="AE2491" s="580">
        <f t="shared" si="227"/>
        <v>2.5</v>
      </c>
      <c r="AF2491" s="580">
        <f t="shared" si="228"/>
        <v>2.5</v>
      </c>
      <c r="AG2491" s="580">
        <f t="shared" si="229"/>
        <v>0</v>
      </c>
      <c r="AH2491" s="580">
        <f t="shared" si="230"/>
        <v>0</v>
      </c>
    </row>
    <row r="2492" spans="28:34">
      <c r="AB2492" s="580">
        <f>HLOOKUP("*"&amp;'Output annual'!$AC$2&amp;'Output annual'!$AD$2&amp;"*Zone People Number Of Occupants [](Hourly)",'Eplus results'!$1:$1048576,ROW(),FALSE)</f>
        <v>0</v>
      </c>
      <c r="AC2492" s="580">
        <f>HLOOKUP("*"&amp;'Output annual'!$AC$2&amp;'Output annual'!$AD$2&amp;"*FangerPMV(Hourly)",'Eplus results'!$1:$1048576,ROW(),FALSE)</f>
        <v>0</v>
      </c>
      <c r="AD2492" s="580">
        <f t="shared" si="226"/>
        <v>5</v>
      </c>
      <c r="AE2492" s="580">
        <f t="shared" si="227"/>
        <v>2.5</v>
      </c>
      <c r="AF2492" s="580">
        <f t="shared" si="228"/>
        <v>2.5</v>
      </c>
      <c r="AG2492" s="580">
        <f t="shared" si="229"/>
        <v>0</v>
      </c>
      <c r="AH2492" s="580">
        <f t="shared" si="230"/>
        <v>0</v>
      </c>
    </row>
    <row r="2493" spans="28:34">
      <c r="AB2493" s="580">
        <f>HLOOKUP("*"&amp;'Output annual'!$AC$2&amp;'Output annual'!$AD$2&amp;"*Zone People Number Of Occupants [](Hourly)",'Eplus results'!$1:$1048576,ROW(),FALSE)</f>
        <v>0</v>
      </c>
      <c r="AC2493" s="580">
        <f>HLOOKUP("*"&amp;'Output annual'!$AC$2&amp;'Output annual'!$AD$2&amp;"*FangerPMV(Hourly)",'Eplus results'!$1:$1048576,ROW(),FALSE)</f>
        <v>0</v>
      </c>
      <c r="AD2493" s="580">
        <f t="shared" si="226"/>
        <v>5</v>
      </c>
      <c r="AE2493" s="580">
        <f t="shared" si="227"/>
        <v>2.5</v>
      </c>
      <c r="AF2493" s="580">
        <f t="shared" si="228"/>
        <v>2.5</v>
      </c>
      <c r="AG2493" s="580">
        <f t="shared" si="229"/>
        <v>0</v>
      </c>
      <c r="AH2493" s="580">
        <f t="shared" si="230"/>
        <v>0</v>
      </c>
    </row>
    <row r="2494" spans="28:34">
      <c r="AB2494" s="580">
        <f>HLOOKUP("*"&amp;'Output annual'!$AC$2&amp;'Output annual'!$AD$2&amp;"*Zone People Number Of Occupants [](Hourly)",'Eplus results'!$1:$1048576,ROW(),FALSE)</f>
        <v>0</v>
      </c>
      <c r="AC2494" s="580">
        <f>HLOOKUP("*"&amp;'Output annual'!$AC$2&amp;'Output annual'!$AD$2&amp;"*FangerPMV(Hourly)",'Eplus results'!$1:$1048576,ROW(),FALSE)</f>
        <v>0</v>
      </c>
      <c r="AD2494" s="580">
        <f t="shared" si="226"/>
        <v>5</v>
      </c>
      <c r="AE2494" s="580">
        <f t="shared" si="227"/>
        <v>2.5</v>
      </c>
      <c r="AF2494" s="580">
        <f t="shared" si="228"/>
        <v>2.5</v>
      </c>
      <c r="AG2494" s="580">
        <f t="shared" si="229"/>
        <v>0</v>
      </c>
      <c r="AH2494" s="580">
        <f t="shared" si="230"/>
        <v>0</v>
      </c>
    </row>
    <row r="2495" spans="28:34">
      <c r="AB2495" s="580">
        <f>HLOOKUP("*"&amp;'Output annual'!$AC$2&amp;'Output annual'!$AD$2&amp;"*Zone People Number Of Occupants [](Hourly)",'Eplus results'!$1:$1048576,ROW(),FALSE)</f>
        <v>0</v>
      </c>
      <c r="AC2495" s="580">
        <f>HLOOKUP("*"&amp;'Output annual'!$AC$2&amp;'Output annual'!$AD$2&amp;"*FangerPMV(Hourly)",'Eplus results'!$1:$1048576,ROW(),FALSE)</f>
        <v>0</v>
      </c>
      <c r="AD2495" s="580">
        <f t="shared" si="226"/>
        <v>5</v>
      </c>
      <c r="AE2495" s="580">
        <f t="shared" si="227"/>
        <v>2.5</v>
      </c>
      <c r="AF2495" s="580">
        <f t="shared" si="228"/>
        <v>2.5</v>
      </c>
      <c r="AG2495" s="580">
        <f t="shared" si="229"/>
        <v>0</v>
      </c>
      <c r="AH2495" s="580">
        <f t="shared" si="230"/>
        <v>0</v>
      </c>
    </row>
    <row r="2496" spans="28:34">
      <c r="AB2496" s="580">
        <f>HLOOKUP("*"&amp;'Output annual'!$AC$2&amp;'Output annual'!$AD$2&amp;"*Zone People Number Of Occupants [](Hourly)",'Eplus results'!$1:$1048576,ROW(),FALSE)</f>
        <v>0</v>
      </c>
      <c r="AC2496" s="580">
        <f>HLOOKUP("*"&amp;'Output annual'!$AC$2&amp;'Output annual'!$AD$2&amp;"*FangerPMV(Hourly)",'Eplus results'!$1:$1048576,ROW(),FALSE)</f>
        <v>0</v>
      </c>
      <c r="AD2496" s="580">
        <f t="shared" si="226"/>
        <v>5</v>
      </c>
      <c r="AE2496" s="580">
        <f t="shared" si="227"/>
        <v>2.5</v>
      </c>
      <c r="AF2496" s="580">
        <f t="shared" si="228"/>
        <v>2.5</v>
      </c>
      <c r="AG2496" s="580">
        <f t="shared" si="229"/>
        <v>0</v>
      </c>
      <c r="AH2496" s="580">
        <f t="shared" si="230"/>
        <v>0</v>
      </c>
    </row>
    <row r="2497" spans="28:34">
      <c r="AB2497" s="580">
        <f>HLOOKUP("*"&amp;'Output annual'!$AC$2&amp;'Output annual'!$AD$2&amp;"*Zone People Number Of Occupants [](Hourly)",'Eplus results'!$1:$1048576,ROW(),FALSE)</f>
        <v>0</v>
      </c>
      <c r="AC2497" s="580">
        <f>HLOOKUP("*"&amp;'Output annual'!$AC$2&amp;'Output annual'!$AD$2&amp;"*FangerPMV(Hourly)",'Eplus results'!$1:$1048576,ROW(),FALSE)</f>
        <v>0</v>
      </c>
      <c r="AD2497" s="580">
        <f t="shared" si="226"/>
        <v>5</v>
      </c>
      <c r="AE2497" s="580">
        <f t="shared" si="227"/>
        <v>2.5</v>
      </c>
      <c r="AF2497" s="580">
        <f t="shared" si="228"/>
        <v>2.5</v>
      </c>
      <c r="AG2497" s="580">
        <f t="shared" si="229"/>
        <v>0</v>
      </c>
      <c r="AH2497" s="580">
        <f t="shared" si="230"/>
        <v>0</v>
      </c>
    </row>
    <row r="2498" spans="28:34">
      <c r="AB2498" s="580">
        <f>HLOOKUP("*"&amp;'Output annual'!$AC$2&amp;'Output annual'!$AD$2&amp;"*Zone People Number Of Occupants [](Hourly)",'Eplus results'!$1:$1048576,ROW(),FALSE)</f>
        <v>0</v>
      </c>
      <c r="AC2498" s="580">
        <f>HLOOKUP("*"&amp;'Output annual'!$AC$2&amp;'Output annual'!$AD$2&amp;"*FangerPMV(Hourly)",'Eplus results'!$1:$1048576,ROW(),FALSE)</f>
        <v>0</v>
      </c>
      <c r="AD2498" s="580">
        <f t="shared" si="226"/>
        <v>5</v>
      </c>
      <c r="AE2498" s="580">
        <f t="shared" si="227"/>
        <v>2.5</v>
      </c>
      <c r="AF2498" s="580">
        <f t="shared" si="228"/>
        <v>2.5</v>
      </c>
      <c r="AG2498" s="580">
        <f t="shared" si="229"/>
        <v>0</v>
      </c>
      <c r="AH2498" s="580">
        <f t="shared" si="230"/>
        <v>0</v>
      </c>
    </row>
    <row r="2499" spans="28:34">
      <c r="AB2499" s="580">
        <f>HLOOKUP("*"&amp;'Output annual'!$AC$2&amp;'Output annual'!$AD$2&amp;"*Zone People Number Of Occupants [](Hourly)",'Eplus results'!$1:$1048576,ROW(),FALSE)</f>
        <v>0</v>
      </c>
      <c r="AC2499" s="580">
        <f>HLOOKUP("*"&amp;'Output annual'!$AC$2&amp;'Output annual'!$AD$2&amp;"*FangerPMV(Hourly)",'Eplus results'!$1:$1048576,ROW(),FALSE)</f>
        <v>0</v>
      </c>
      <c r="AD2499" s="580">
        <f t="shared" ref="AD2499:AD2562" si="231">100-95*EXP(-0.03353*AC2499^4-0.2179*AC2499^2)</f>
        <v>5</v>
      </c>
      <c r="AE2499" s="580">
        <f t="shared" ref="AE2499:AE2562" si="232">AD2499*(1/(1+EXP(-6.3*$AC2499)))</f>
        <v>2.5</v>
      </c>
      <c r="AF2499" s="580">
        <f t="shared" ref="AF2499:AF2562" si="233">(AD2499-AE2499)</f>
        <v>2.5</v>
      </c>
      <c r="AG2499" s="580">
        <f t="shared" ref="AG2499:AG2562" si="234">AE2499*AB2499</f>
        <v>0</v>
      </c>
      <c r="AH2499" s="580">
        <f t="shared" ref="AH2499:AH2562" si="235">AF2499*AB2499</f>
        <v>0</v>
      </c>
    </row>
    <row r="2500" spans="28:34">
      <c r="AB2500" s="580">
        <f>HLOOKUP("*"&amp;'Output annual'!$AC$2&amp;'Output annual'!$AD$2&amp;"*Zone People Number Of Occupants [](Hourly)",'Eplus results'!$1:$1048576,ROW(),FALSE)</f>
        <v>0</v>
      </c>
      <c r="AC2500" s="580">
        <f>HLOOKUP("*"&amp;'Output annual'!$AC$2&amp;'Output annual'!$AD$2&amp;"*FangerPMV(Hourly)",'Eplus results'!$1:$1048576,ROW(),FALSE)</f>
        <v>0</v>
      </c>
      <c r="AD2500" s="580">
        <f t="shared" si="231"/>
        <v>5</v>
      </c>
      <c r="AE2500" s="580">
        <f t="shared" si="232"/>
        <v>2.5</v>
      </c>
      <c r="AF2500" s="580">
        <f t="shared" si="233"/>
        <v>2.5</v>
      </c>
      <c r="AG2500" s="580">
        <f t="shared" si="234"/>
        <v>0</v>
      </c>
      <c r="AH2500" s="580">
        <f t="shared" si="235"/>
        <v>0</v>
      </c>
    </row>
    <row r="2501" spans="28:34">
      <c r="AB2501" s="580">
        <f>HLOOKUP("*"&amp;'Output annual'!$AC$2&amp;'Output annual'!$AD$2&amp;"*Zone People Number Of Occupants [](Hourly)",'Eplus results'!$1:$1048576,ROW(),FALSE)</f>
        <v>0</v>
      </c>
      <c r="AC2501" s="580">
        <f>HLOOKUP("*"&amp;'Output annual'!$AC$2&amp;'Output annual'!$AD$2&amp;"*FangerPMV(Hourly)",'Eplus results'!$1:$1048576,ROW(),FALSE)</f>
        <v>0</v>
      </c>
      <c r="AD2501" s="580">
        <f t="shared" si="231"/>
        <v>5</v>
      </c>
      <c r="AE2501" s="580">
        <f t="shared" si="232"/>
        <v>2.5</v>
      </c>
      <c r="AF2501" s="580">
        <f t="shared" si="233"/>
        <v>2.5</v>
      </c>
      <c r="AG2501" s="580">
        <f t="shared" si="234"/>
        <v>0</v>
      </c>
      <c r="AH2501" s="580">
        <f t="shared" si="235"/>
        <v>0</v>
      </c>
    </row>
    <row r="2502" spans="28:34">
      <c r="AB2502" s="580">
        <f>HLOOKUP("*"&amp;'Output annual'!$AC$2&amp;'Output annual'!$AD$2&amp;"*Zone People Number Of Occupants [](Hourly)",'Eplus results'!$1:$1048576,ROW(),FALSE)</f>
        <v>0</v>
      </c>
      <c r="AC2502" s="580">
        <f>HLOOKUP("*"&amp;'Output annual'!$AC$2&amp;'Output annual'!$AD$2&amp;"*FangerPMV(Hourly)",'Eplus results'!$1:$1048576,ROW(),FALSE)</f>
        <v>0</v>
      </c>
      <c r="AD2502" s="580">
        <f t="shared" si="231"/>
        <v>5</v>
      </c>
      <c r="AE2502" s="580">
        <f t="shared" si="232"/>
        <v>2.5</v>
      </c>
      <c r="AF2502" s="580">
        <f t="shared" si="233"/>
        <v>2.5</v>
      </c>
      <c r="AG2502" s="580">
        <f t="shared" si="234"/>
        <v>0</v>
      </c>
      <c r="AH2502" s="580">
        <f t="shared" si="235"/>
        <v>0</v>
      </c>
    </row>
    <row r="2503" spans="28:34">
      <c r="AB2503" s="580">
        <f>HLOOKUP("*"&amp;'Output annual'!$AC$2&amp;'Output annual'!$AD$2&amp;"*Zone People Number Of Occupants [](Hourly)",'Eplus results'!$1:$1048576,ROW(),FALSE)</f>
        <v>0</v>
      </c>
      <c r="AC2503" s="580">
        <f>HLOOKUP("*"&amp;'Output annual'!$AC$2&amp;'Output annual'!$AD$2&amp;"*FangerPMV(Hourly)",'Eplus results'!$1:$1048576,ROW(),FALSE)</f>
        <v>0</v>
      </c>
      <c r="AD2503" s="580">
        <f t="shared" si="231"/>
        <v>5</v>
      </c>
      <c r="AE2503" s="580">
        <f t="shared" si="232"/>
        <v>2.5</v>
      </c>
      <c r="AF2503" s="580">
        <f t="shared" si="233"/>
        <v>2.5</v>
      </c>
      <c r="AG2503" s="580">
        <f t="shared" si="234"/>
        <v>0</v>
      </c>
      <c r="AH2503" s="580">
        <f t="shared" si="235"/>
        <v>0</v>
      </c>
    </row>
    <row r="2504" spans="28:34">
      <c r="AB2504" s="580">
        <f>HLOOKUP("*"&amp;'Output annual'!$AC$2&amp;'Output annual'!$AD$2&amp;"*Zone People Number Of Occupants [](Hourly)",'Eplus results'!$1:$1048576,ROW(),FALSE)</f>
        <v>0</v>
      </c>
      <c r="AC2504" s="580">
        <f>HLOOKUP("*"&amp;'Output annual'!$AC$2&amp;'Output annual'!$AD$2&amp;"*FangerPMV(Hourly)",'Eplus results'!$1:$1048576,ROW(),FALSE)</f>
        <v>0</v>
      </c>
      <c r="AD2504" s="580">
        <f t="shared" si="231"/>
        <v>5</v>
      </c>
      <c r="AE2504" s="580">
        <f t="shared" si="232"/>
        <v>2.5</v>
      </c>
      <c r="AF2504" s="580">
        <f t="shared" si="233"/>
        <v>2.5</v>
      </c>
      <c r="AG2504" s="580">
        <f t="shared" si="234"/>
        <v>0</v>
      </c>
      <c r="AH2504" s="580">
        <f t="shared" si="235"/>
        <v>0</v>
      </c>
    </row>
    <row r="2505" spans="28:34">
      <c r="AB2505" s="580">
        <f>HLOOKUP("*"&amp;'Output annual'!$AC$2&amp;'Output annual'!$AD$2&amp;"*Zone People Number Of Occupants [](Hourly)",'Eplus results'!$1:$1048576,ROW(),FALSE)</f>
        <v>0</v>
      </c>
      <c r="AC2505" s="580">
        <f>HLOOKUP("*"&amp;'Output annual'!$AC$2&amp;'Output annual'!$AD$2&amp;"*FangerPMV(Hourly)",'Eplus results'!$1:$1048576,ROW(),FALSE)</f>
        <v>0</v>
      </c>
      <c r="AD2505" s="580">
        <f t="shared" si="231"/>
        <v>5</v>
      </c>
      <c r="AE2505" s="580">
        <f t="shared" si="232"/>
        <v>2.5</v>
      </c>
      <c r="AF2505" s="580">
        <f t="shared" si="233"/>
        <v>2.5</v>
      </c>
      <c r="AG2505" s="580">
        <f t="shared" si="234"/>
        <v>0</v>
      </c>
      <c r="AH2505" s="580">
        <f t="shared" si="235"/>
        <v>0</v>
      </c>
    </row>
    <row r="2506" spans="28:34">
      <c r="AB2506" s="580">
        <f>HLOOKUP("*"&amp;'Output annual'!$AC$2&amp;'Output annual'!$AD$2&amp;"*Zone People Number Of Occupants [](Hourly)",'Eplus results'!$1:$1048576,ROW(),FALSE)</f>
        <v>0</v>
      </c>
      <c r="AC2506" s="580">
        <f>HLOOKUP("*"&amp;'Output annual'!$AC$2&amp;'Output annual'!$AD$2&amp;"*FangerPMV(Hourly)",'Eplus results'!$1:$1048576,ROW(),FALSE)</f>
        <v>0</v>
      </c>
      <c r="AD2506" s="580">
        <f t="shared" si="231"/>
        <v>5</v>
      </c>
      <c r="AE2506" s="580">
        <f t="shared" si="232"/>
        <v>2.5</v>
      </c>
      <c r="AF2506" s="580">
        <f t="shared" si="233"/>
        <v>2.5</v>
      </c>
      <c r="AG2506" s="580">
        <f t="shared" si="234"/>
        <v>0</v>
      </c>
      <c r="AH2506" s="580">
        <f t="shared" si="235"/>
        <v>0</v>
      </c>
    </row>
    <row r="2507" spans="28:34">
      <c r="AB2507" s="580">
        <f>HLOOKUP("*"&amp;'Output annual'!$AC$2&amp;'Output annual'!$AD$2&amp;"*Zone People Number Of Occupants [](Hourly)",'Eplus results'!$1:$1048576,ROW(),FALSE)</f>
        <v>0</v>
      </c>
      <c r="AC2507" s="580">
        <f>HLOOKUP("*"&amp;'Output annual'!$AC$2&amp;'Output annual'!$AD$2&amp;"*FangerPMV(Hourly)",'Eplus results'!$1:$1048576,ROW(),FALSE)</f>
        <v>0</v>
      </c>
      <c r="AD2507" s="580">
        <f t="shared" si="231"/>
        <v>5</v>
      </c>
      <c r="AE2507" s="580">
        <f t="shared" si="232"/>
        <v>2.5</v>
      </c>
      <c r="AF2507" s="580">
        <f t="shared" si="233"/>
        <v>2.5</v>
      </c>
      <c r="AG2507" s="580">
        <f t="shared" si="234"/>
        <v>0</v>
      </c>
      <c r="AH2507" s="580">
        <f t="shared" si="235"/>
        <v>0</v>
      </c>
    </row>
    <row r="2508" spans="28:34">
      <c r="AB2508" s="580">
        <f>HLOOKUP("*"&amp;'Output annual'!$AC$2&amp;'Output annual'!$AD$2&amp;"*Zone People Number Of Occupants [](Hourly)",'Eplus results'!$1:$1048576,ROW(),FALSE)</f>
        <v>0</v>
      </c>
      <c r="AC2508" s="580">
        <f>HLOOKUP("*"&amp;'Output annual'!$AC$2&amp;'Output annual'!$AD$2&amp;"*FangerPMV(Hourly)",'Eplus results'!$1:$1048576,ROW(),FALSE)</f>
        <v>0</v>
      </c>
      <c r="AD2508" s="580">
        <f t="shared" si="231"/>
        <v>5</v>
      </c>
      <c r="AE2508" s="580">
        <f t="shared" si="232"/>
        <v>2.5</v>
      </c>
      <c r="AF2508" s="580">
        <f t="shared" si="233"/>
        <v>2.5</v>
      </c>
      <c r="AG2508" s="580">
        <f t="shared" si="234"/>
        <v>0</v>
      </c>
      <c r="AH2508" s="580">
        <f t="shared" si="235"/>
        <v>0</v>
      </c>
    </row>
    <row r="2509" spans="28:34">
      <c r="AB2509" s="580">
        <f>HLOOKUP("*"&amp;'Output annual'!$AC$2&amp;'Output annual'!$AD$2&amp;"*Zone People Number Of Occupants [](Hourly)",'Eplus results'!$1:$1048576,ROW(),FALSE)</f>
        <v>0</v>
      </c>
      <c r="AC2509" s="580">
        <f>HLOOKUP("*"&amp;'Output annual'!$AC$2&amp;'Output annual'!$AD$2&amp;"*FangerPMV(Hourly)",'Eplus results'!$1:$1048576,ROW(),FALSE)</f>
        <v>0</v>
      </c>
      <c r="AD2509" s="580">
        <f t="shared" si="231"/>
        <v>5</v>
      </c>
      <c r="AE2509" s="580">
        <f t="shared" si="232"/>
        <v>2.5</v>
      </c>
      <c r="AF2509" s="580">
        <f t="shared" si="233"/>
        <v>2.5</v>
      </c>
      <c r="AG2509" s="580">
        <f t="shared" si="234"/>
        <v>0</v>
      </c>
      <c r="AH2509" s="580">
        <f t="shared" si="235"/>
        <v>0</v>
      </c>
    </row>
    <row r="2510" spans="28:34">
      <c r="AB2510" s="580">
        <f>HLOOKUP("*"&amp;'Output annual'!$AC$2&amp;'Output annual'!$AD$2&amp;"*Zone People Number Of Occupants [](Hourly)",'Eplus results'!$1:$1048576,ROW(),FALSE)</f>
        <v>0</v>
      </c>
      <c r="AC2510" s="580">
        <f>HLOOKUP("*"&amp;'Output annual'!$AC$2&amp;'Output annual'!$AD$2&amp;"*FangerPMV(Hourly)",'Eplus results'!$1:$1048576,ROW(),FALSE)</f>
        <v>0</v>
      </c>
      <c r="AD2510" s="580">
        <f t="shared" si="231"/>
        <v>5</v>
      </c>
      <c r="AE2510" s="580">
        <f t="shared" si="232"/>
        <v>2.5</v>
      </c>
      <c r="AF2510" s="580">
        <f t="shared" si="233"/>
        <v>2.5</v>
      </c>
      <c r="AG2510" s="580">
        <f t="shared" si="234"/>
        <v>0</v>
      </c>
      <c r="AH2510" s="580">
        <f t="shared" si="235"/>
        <v>0</v>
      </c>
    </row>
    <row r="2511" spans="28:34">
      <c r="AB2511" s="580">
        <f>HLOOKUP("*"&amp;'Output annual'!$AC$2&amp;'Output annual'!$AD$2&amp;"*Zone People Number Of Occupants [](Hourly)",'Eplus results'!$1:$1048576,ROW(),FALSE)</f>
        <v>0</v>
      </c>
      <c r="AC2511" s="580">
        <f>HLOOKUP("*"&amp;'Output annual'!$AC$2&amp;'Output annual'!$AD$2&amp;"*FangerPMV(Hourly)",'Eplus results'!$1:$1048576,ROW(),FALSE)</f>
        <v>0</v>
      </c>
      <c r="AD2511" s="580">
        <f t="shared" si="231"/>
        <v>5</v>
      </c>
      <c r="AE2511" s="580">
        <f t="shared" si="232"/>
        <v>2.5</v>
      </c>
      <c r="AF2511" s="580">
        <f t="shared" si="233"/>
        <v>2.5</v>
      </c>
      <c r="AG2511" s="580">
        <f t="shared" si="234"/>
        <v>0</v>
      </c>
      <c r="AH2511" s="580">
        <f t="shared" si="235"/>
        <v>0</v>
      </c>
    </row>
    <row r="2512" spans="28:34">
      <c r="AB2512" s="580">
        <f>HLOOKUP("*"&amp;'Output annual'!$AC$2&amp;'Output annual'!$AD$2&amp;"*Zone People Number Of Occupants [](Hourly)",'Eplus results'!$1:$1048576,ROW(),FALSE)</f>
        <v>0</v>
      </c>
      <c r="AC2512" s="580">
        <f>HLOOKUP("*"&amp;'Output annual'!$AC$2&amp;'Output annual'!$AD$2&amp;"*FangerPMV(Hourly)",'Eplus results'!$1:$1048576,ROW(),FALSE)</f>
        <v>0</v>
      </c>
      <c r="AD2512" s="580">
        <f t="shared" si="231"/>
        <v>5</v>
      </c>
      <c r="AE2512" s="580">
        <f t="shared" si="232"/>
        <v>2.5</v>
      </c>
      <c r="AF2512" s="580">
        <f t="shared" si="233"/>
        <v>2.5</v>
      </c>
      <c r="AG2512" s="580">
        <f t="shared" si="234"/>
        <v>0</v>
      </c>
      <c r="AH2512" s="580">
        <f t="shared" si="235"/>
        <v>0</v>
      </c>
    </row>
    <row r="2513" spans="28:34">
      <c r="AB2513" s="580">
        <f>HLOOKUP("*"&amp;'Output annual'!$AC$2&amp;'Output annual'!$AD$2&amp;"*Zone People Number Of Occupants [](Hourly)",'Eplus results'!$1:$1048576,ROW(),FALSE)</f>
        <v>0</v>
      </c>
      <c r="AC2513" s="580">
        <f>HLOOKUP("*"&amp;'Output annual'!$AC$2&amp;'Output annual'!$AD$2&amp;"*FangerPMV(Hourly)",'Eplus results'!$1:$1048576,ROW(),FALSE)</f>
        <v>0</v>
      </c>
      <c r="AD2513" s="580">
        <f t="shared" si="231"/>
        <v>5</v>
      </c>
      <c r="AE2513" s="580">
        <f t="shared" si="232"/>
        <v>2.5</v>
      </c>
      <c r="AF2513" s="580">
        <f t="shared" si="233"/>
        <v>2.5</v>
      </c>
      <c r="AG2513" s="580">
        <f t="shared" si="234"/>
        <v>0</v>
      </c>
      <c r="AH2513" s="580">
        <f t="shared" si="235"/>
        <v>0</v>
      </c>
    </row>
    <row r="2514" spans="28:34">
      <c r="AB2514" s="580">
        <f>HLOOKUP("*"&amp;'Output annual'!$AC$2&amp;'Output annual'!$AD$2&amp;"*Zone People Number Of Occupants [](Hourly)",'Eplus results'!$1:$1048576,ROW(),FALSE)</f>
        <v>0</v>
      </c>
      <c r="AC2514" s="580">
        <f>HLOOKUP("*"&amp;'Output annual'!$AC$2&amp;'Output annual'!$AD$2&amp;"*FangerPMV(Hourly)",'Eplus results'!$1:$1048576,ROW(),FALSE)</f>
        <v>0</v>
      </c>
      <c r="AD2514" s="580">
        <f t="shared" si="231"/>
        <v>5</v>
      </c>
      <c r="AE2514" s="580">
        <f t="shared" si="232"/>
        <v>2.5</v>
      </c>
      <c r="AF2514" s="580">
        <f t="shared" si="233"/>
        <v>2.5</v>
      </c>
      <c r="AG2514" s="580">
        <f t="shared" si="234"/>
        <v>0</v>
      </c>
      <c r="AH2514" s="580">
        <f t="shared" si="235"/>
        <v>0</v>
      </c>
    </row>
    <row r="2515" spans="28:34">
      <c r="AB2515" s="580">
        <f>HLOOKUP("*"&amp;'Output annual'!$AC$2&amp;'Output annual'!$AD$2&amp;"*Zone People Number Of Occupants [](Hourly)",'Eplus results'!$1:$1048576,ROW(),FALSE)</f>
        <v>0</v>
      </c>
      <c r="AC2515" s="580">
        <f>HLOOKUP("*"&amp;'Output annual'!$AC$2&amp;'Output annual'!$AD$2&amp;"*FangerPMV(Hourly)",'Eplus results'!$1:$1048576,ROW(),FALSE)</f>
        <v>0</v>
      </c>
      <c r="AD2515" s="580">
        <f t="shared" si="231"/>
        <v>5</v>
      </c>
      <c r="AE2515" s="580">
        <f t="shared" si="232"/>
        <v>2.5</v>
      </c>
      <c r="AF2515" s="580">
        <f t="shared" si="233"/>
        <v>2.5</v>
      </c>
      <c r="AG2515" s="580">
        <f t="shared" si="234"/>
        <v>0</v>
      </c>
      <c r="AH2515" s="580">
        <f t="shared" si="235"/>
        <v>0</v>
      </c>
    </row>
    <row r="2516" spans="28:34">
      <c r="AB2516" s="580">
        <f>HLOOKUP("*"&amp;'Output annual'!$AC$2&amp;'Output annual'!$AD$2&amp;"*Zone People Number Of Occupants [](Hourly)",'Eplus results'!$1:$1048576,ROW(),FALSE)</f>
        <v>0</v>
      </c>
      <c r="AC2516" s="580">
        <f>HLOOKUP("*"&amp;'Output annual'!$AC$2&amp;'Output annual'!$AD$2&amp;"*FangerPMV(Hourly)",'Eplus results'!$1:$1048576,ROW(),FALSE)</f>
        <v>0</v>
      </c>
      <c r="AD2516" s="580">
        <f t="shared" si="231"/>
        <v>5</v>
      </c>
      <c r="AE2516" s="580">
        <f t="shared" si="232"/>
        <v>2.5</v>
      </c>
      <c r="AF2516" s="580">
        <f t="shared" si="233"/>
        <v>2.5</v>
      </c>
      <c r="AG2516" s="580">
        <f t="shared" si="234"/>
        <v>0</v>
      </c>
      <c r="AH2516" s="580">
        <f t="shared" si="235"/>
        <v>0</v>
      </c>
    </row>
    <row r="2517" spans="28:34">
      <c r="AB2517" s="580">
        <f>HLOOKUP("*"&amp;'Output annual'!$AC$2&amp;'Output annual'!$AD$2&amp;"*Zone People Number Of Occupants [](Hourly)",'Eplus results'!$1:$1048576,ROW(),FALSE)</f>
        <v>0</v>
      </c>
      <c r="AC2517" s="580">
        <f>HLOOKUP("*"&amp;'Output annual'!$AC$2&amp;'Output annual'!$AD$2&amp;"*FangerPMV(Hourly)",'Eplus results'!$1:$1048576,ROW(),FALSE)</f>
        <v>0</v>
      </c>
      <c r="AD2517" s="580">
        <f t="shared" si="231"/>
        <v>5</v>
      </c>
      <c r="AE2517" s="580">
        <f t="shared" si="232"/>
        <v>2.5</v>
      </c>
      <c r="AF2517" s="580">
        <f t="shared" si="233"/>
        <v>2.5</v>
      </c>
      <c r="AG2517" s="580">
        <f t="shared" si="234"/>
        <v>0</v>
      </c>
      <c r="AH2517" s="580">
        <f t="shared" si="235"/>
        <v>0</v>
      </c>
    </row>
    <row r="2518" spans="28:34">
      <c r="AB2518" s="580">
        <f>HLOOKUP("*"&amp;'Output annual'!$AC$2&amp;'Output annual'!$AD$2&amp;"*Zone People Number Of Occupants [](Hourly)",'Eplus results'!$1:$1048576,ROW(),FALSE)</f>
        <v>0</v>
      </c>
      <c r="AC2518" s="580">
        <f>HLOOKUP("*"&amp;'Output annual'!$AC$2&amp;'Output annual'!$AD$2&amp;"*FangerPMV(Hourly)",'Eplus results'!$1:$1048576,ROW(),FALSE)</f>
        <v>0</v>
      </c>
      <c r="AD2518" s="580">
        <f t="shared" si="231"/>
        <v>5</v>
      </c>
      <c r="AE2518" s="580">
        <f t="shared" si="232"/>
        <v>2.5</v>
      </c>
      <c r="AF2518" s="580">
        <f t="shared" si="233"/>
        <v>2.5</v>
      </c>
      <c r="AG2518" s="580">
        <f t="shared" si="234"/>
        <v>0</v>
      </c>
      <c r="AH2518" s="580">
        <f t="shared" si="235"/>
        <v>0</v>
      </c>
    </row>
    <row r="2519" spans="28:34">
      <c r="AB2519" s="580">
        <f>HLOOKUP("*"&amp;'Output annual'!$AC$2&amp;'Output annual'!$AD$2&amp;"*Zone People Number Of Occupants [](Hourly)",'Eplus results'!$1:$1048576,ROW(),FALSE)</f>
        <v>0</v>
      </c>
      <c r="AC2519" s="580">
        <f>HLOOKUP("*"&amp;'Output annual'!$AC$2&amp;'Output annual'!$AD$2&amp;"*FangerPMV(Hourly)",'Eplus results'!$1:$1048576,ROW(),FALSE)</f>
        <v>0</v>
      </c>
      <c r="AD2519" s="580">
        <f t="shared" si="231"/>
        <v>5</v>
      </c>
      <c r="AE2519" s="580">
        <f t="shared" si="232"/>
        <v>2.5</v>
      </c>
      <c r="AF2519" s="580">
        <f t="shared" si="233"/>
        <v>2.5</v>
      </c>
      <c r="AG2519" s="580">
        <f t="shared" si="234"/>
        <v>0</v>
      </c>
      <c r="AH2519" s="580">
        <f t="shared" si="235"/>
        <v>0</v>
      </c>
    </row>
    <row r="2520" spans="28:34">
      <c r="AB2520" s="580">
        <f>HLOOKUP("*"&amp;'Output annual'!$AC$2&amp;'Output annual'!$AD$2&amp;"*Zone People Number Of Occupants [](Hourly)",'Eplus results'!$1:$1048576,ROW(),FALSE)</f>
        <v>0</v>
      </c>
      <c r="AC2520" s="580">
        <f>HLOOKUP("*"&amp;'Output annual'!$AC$2&amp;'Output annual'!$AD$2&amp;"*FangerPMV(Hourly)",'Eplus results'!$1:$1048576,ROW(),FALSE)</f>
        <v>0</v>
      </c>
      <c r="AD2520" s="580">
        <f t="shared" si="231"/>
        <v>5</v>
      </c>
      <c r="AE2520" s="580">
        <f t="shared" si="232"/>
        <v>2.5</v>
      </c>
      <c r="AF2520" s="580">
        <f t="shared" si="233"/>
        <v>2.5</v>
      </c>
      <c r="AG2520" s="580">
        <f t="shared" si="234"/>
        <v>0</v>
      </c>
      <c r="AH2520" s="580">
        <f t="shared" si="235"/>
        <v>0</v>
      </c>
    </row>
    <row r="2521" spans="28:34">
      <c r="AB2521" s="580">
        <f>HLOOKUP("*"&amp;'Output annual'!$AC$2&amp;'Output annual'!$AD$2&amp;"*Zone People Number Of Occupants [](Hourly)",'Eplus results'!$1:$1048576,ROW(),FALSE)</f>
        <v>0</v>
      </c>
      <c r="AC2521" s="580">
        <f>HLOOKUP("*"&amp;'Output annual'!$AC$2&amp;'Output annual'!$AD$2&amp;"*FangerPMV(Hourly)",'Eplus results'!$1:$1048576,ROW(),FALSE)</f>
        <v>0</v>
      </c>
      <c r="AD2521" s="580">
        <f t="shared" si="231"/>
        <v>5</v>
      </c>
      <c r="AE2521" s="580">
        <f t="shared" si="232"/>
        <v>2.5</v>
      </c>
      <c r="AF2521" s="580">
        <f t="shared" si="233"/>
        <v>2.5</v>
      </c>
      <c r="AG2521" s="580">
        <f t="shared" si="234"/>
        <v>0</v>
      </c>
      <c r="AH2521" s="580">
        <f t="shared" si="235"/>
        <v>0</v>
      </c>
    </row>
    <row r="2522" spans="28:34">
      <c r="AB2522" s="580">
        <f>HLOOKUP("*"&amp;'Output annual'!$AC$2&amp;'Output annual'!$AD$2&amp;"*Zone People Number Of Occupants [](Hourly)",'Eplus results'!$1:$1048576,ROW(),FALSE)</f>
        <v>0</v>
      </c>
      <c r="AC2522" s="580">
        <f>HLOOKUP("*"&amp;'Output annual'!$AC$2&amp;'Output annual'!$AD$2&amp;"*FangerPMV(Hourly)",'Eplus results'!$1:$1048576,ROW(),FALSE)</f>
        <v>0</v>
      </c>
      <c r="AD2522" s="580">
        <f t="shared" si="231"/>
        <v>5</v>
      </c>
      <c r="AE2522" s="580">
        <f t="shared" si="232"/>
        <v>2.5</v>
      </c>
      <c r="AF2522" s="580">
        <f t="shared" si="233"/>
        <v>2.5</v>
      </c>
      <c r="AG2522" s="580">
        <f t="shared" si="234"/>
        <v>0</v>
      </c>
      <c r="AH2522" s="580">
        <f t="shared" si="235"/>
        <v>0</v>
      </c>
    </row>
    <row r="2523" spans="28:34">
      <c r="AB2523" s="580">
        <f>HLOOKUP("*"&amp;'Output annual'!$AC$2&amp;'Output annual'!$AD$2&amp;"*Zone People Number Of Occupants [](Hourly)",'Eplus results'!$1:$1048576,ROW(),FALSE)</f>
        <v>0</v>
      </c>
      <c r="AC2523" s="580">
        <f>HLOOKUP("*"&amp;'Output annual'!$AC$2&amp;'Output annual'!$AD$2&amp;"*FangerPMV(Hourly)",'Eplus results'!$1:$1048576,ROW(),FALSE)</f>
        <v>0</v>
      </c>
      <c r="AD2523" s="580">
        <f t="shared" si="231"/>
        <v>5</v>
      </c>
      <c r="AE2523" s="580">
        <f t="shared" si="232"/>
        <v>2.5</v>
      </c>
      <c r="AF2523" s="580">
        <f t="shared" si="233"/>
        <v>2.5</v>
      </c>
      <c r="AG2523" s="580">
        <f t="shared" si="234"/>
        <v>0</v>
      </c>
      <c r="AH2523" s="580">
        <f t="shared" si="235"/>
        <v>0</v>
      </c>
    </row>
    <row r="2524" spans="28:34">
      <c r="AB2524" s="580">
        <f>HLOOKUP("*"&amp;'Output annual'!$AC$2&amp;'Output annual'!$AD$2&amp;"*Zone People Number Of Occupants [](Hourly)",'Eplus results'!$1:$1048576,ROW(),FALSE)</f>
        <v>0</v>
      </c>
      <c r="AC2524" s="580">
        <f>HLOOKUP("*"&amp;'Output annual'!$AC$2&amp;'Output annual'!$AD$2&amp;"*FangerPMV(Hourly)",'Eplus results'!$1:$1048576,ROW(),FALSE)</f>
        <v>0</v>
      </c>
      <c r="AD2524" s="580">
        <f t="shared" si="231"/>
        <v>5</v>
      </c>
      <c r="AE2524" s="580">
        <f t="shared" si="232"/>
        <v>2.5</v>
      </c>
      <c r="AF2524" s="580">
        <f t="shared" si="233"/>
        <v>2.5</v>
      </c>
      <c r="AG2524" s="580">
        <f t="shared" si="234"/>
        <v>0</v>
      </c>
      <c r="AH2524" s="580">
        <f t="shared" si="235"/>
        <v>0</v>
      </c>
    </row>
    <row r="2525" spans="28:34">
      <c r="AB2525" s="580">
        <f>HLOOKUP("*"&amp;'Output annual'!$AC$2&amp;'Output annual'!$AD$2&amp;"*Zone People Number Of Occupants [](Hourly)",'Eplus results'!$1:$1048576,ROW(),FALSE)</f>
        <v>0</v>
      </c>
      <c r="AC2525" s="580">
        <f>HLOOKUP("*"&amp;'Output annual'!$AC$2&amp;'Output annual'!$AD$2&amp;"*FangerPMV(Hourly)",'Eplus results'!$1:$1048576,ROW(),FALSE)</f>
        <v>0</v>
      </c>
      <c r="AD2525" s="580">
        <f t="shared" si="231"/>
        <v>5</v>
      </c>
      <c r="AE2525" s="580">
        <f t="shared" si="232"/>
        <v>2.5</v>
      </c>
      <c r="AF2525" s="580">
        <f t="shared" si="233"/>
        <v>2.5</v>
      </c>
      <c r="AG2525" s="580">
        <f t="shared" si="234"/>
        <v>0</v>
      </c>
      <c r="AH2525" s="580">
        <f t="shared" si="235"/>
        <v>0</v>
      </c>
    </row>
    <row r="2526" spans="28:34">
      <c r="AB2526" s="580">
        <f>HLOOKUP("*"&amp;'Output annual'!$AC$2&amp;'Output annual'!$AD$2&amp;"*Zone People Number Of Occupants [](Hourly)",'Eplus results'!$1:$1048576,ROW(),FALSE)</f>
        <v>0</v>
      </c>
      <c r="AC2526" s="580">
        <f>HLOOKUP("*"&amp;'Output annual'!$AC$2&amp;'Output annual'!$AD$2&amp;"*FangerPMV(Hourly)",'Eplus results'!$1:$1048576,ROW(),FALSE)</f>
        <v>0</v>
      </c>
      <c r="AD2526" s="580">
        <f t="shared" si="231"/>
        <v>5</v>
      </c>
      <c r="AE2526" s="580">
        <f t="shared" si="232"/>
        <v>2.5</v>
      </c>
      <c r="AF2526" s="580">
        <f t="shared" si="233"/>
        <v>2.5</v>
      </c>
      <c r="AG2526" s="580">
        <f t="shared" si="234"/>
        <v>0</v>
      </c>
      <c r="AH2526" s="580">
        <f t="shared" si="235"/>
        <v>0</v>
      </c>
    </row>
    <row r="2527" spans="28:34">
      <c r="AB2527" s="580">
        <f>HLOOKUP("*"&amp;'Output annual'!$AC$2&amp;'Output annual'!$AD$2&amp;"*Zone People Number Of Occupants [](Hourly)",'Eplus results'!$1:$1048576,ROW(),FALSE)</f>
        <v>0</v>
      </c>
      <c r="AC2527" s="580">
        <f>HLOOKUP("*"&amp;'Output annual'!$AC$2&amp;'Output annual'!$AD$2&amp;"*FangerPMV(Hourly)",'Eplus results'!$1:$1048576,ROW(),FALSE)</f>
        <v>0</v>
      </c>
      <c r="AD2527" s="580">
        <f t="shared" si="231"/>
        <v>5</v>
      </c>
      <c r="AE2527" s="580">
        <f t="shared" si="232"/>
        <v>2.5</v>
      </c>
      <c r="AF2527" s="580">
        <f t="shared" si="233"/>
        <v>2.5</v>
      </c>
      <c r="AG2527" s="580">
        <f t="shared" si="234"/>
        <v>0</v>
      </c>
      <c r="AH2527" s="580">
        <f t="shared" si="235"/>
        <v>0</v>
      </c>
    </row>
    <row r="2528" spans="28:34">
      <c r="AB2528" s="580">
        <f>HLOOKUP("*"&amp;'Output annual'!$AC$2&amp;'Output annual'!$AD$2&amp;"*Zone People Number Of Occupants [](Hourly)",'Eplus results'!$1:$1048576,ROW(),FALSE)</f>
        <v>0</v>
      </c>
      <c r="AC2528" s="580">
        <f>HLOOKUP("*"&amp;'Output annual'!$AC$2&amp;'Output annual'!$AD$2&amp;"*FangerPMV(Hourly)",'Eplus results'!$1:$1048576,ROW(),FALSE)</f>
        <v>0</v>
      </c>
      <c r="AD2528" s="580">
        <f t="shared" si="231"/>
        <v>5</v>
      </c>
      <c r="AE2528" s="580">
        <f t="shared" si="232"/>
        <v>2.5</v>
      </c>
      <c r="AF2528" s="580">
        <f t="shared" si="233"/>
        <v>2.5</v>
      </c>
      <c r="AG2528" s="580">
        <f t="shared" si="234"/>
        <v>0</v>
      </c>
      <c r="AH2528" s="580">
        <f t="shared" si="235"/>
        <v>0</v>
      </c>
    </row>
    <row r="2529" spans="28:34">
      <c r="AB2529" s="580">
        <f>HLOOKUP("*"&amp;'Output annual'!$AC$2&amp;'Output annual'!$AD$2&amp;"*Zone People Number Of Occupants [](Hourly)",'Eplus results'!$1:$1048576,ROW(),FALSE)</f>
        <v>0</v>
      </c>
      <c r="AC2529" s="580">
        <f>HLOOKUP("*"&amp;'Output annual'!$AC$2&amp;'Output annual'!$AD$2&amp;"*FangerPMV(Hourly)",'Eplus results'!$1:$1048576,ROW(),FALSE)</f>
        <v>0</v>
      </c>
      <c r="AD2529" s="580">
        <f t="shared" si="231"/>
        <v>5</v>
      </c>
      <c r="AE2529" s="580">
        <f t="shared" si="232"/>
        <v>2.5</v>
      </c>
      <c r="AF2529" s="580">
        <f t="shared" si="233"/>
        <v>2.5</v>
      </c>
      <c r="AG2529" s="580">
        <f t="shared" si="234"/>
        <v>0</v>
      </c>
      <c r="AH2529" s="580">
        <f t="shared" si="235"/>
        <v>0</v>
      </c>
    </row>
    <row r="2530" spans="28:34">
      <c r="AB2530" s="580">
        <f>HLOOKUP("*"&amp;'Output annual'!$AC$2&amp;'Output annual'!$AD$2&amp;"*Zone People Number Of Occupants [](Hourly)",'Eplus results'!$1:$1048576,ROW(),FALSE)</f>
        <v>0</v>
      </c>
      <c r="AC2530" s="580">
        <f>HLOOKUP("*"&amp;'Output annual'!$AC$2&amp;'Output annual'!$AD$2&amp;"*FangerPMV(Hourly)",'Eplus results'!$1:$1048576,ROW(),FALSE)</f>
        <v>0</v>
      </c>
      <c r="AD2530" s="580">
        <f t="shared" si="231"/>
        <v>5</v>
      </c>
      <c r="AE2530" s="580">
        <f t="shared" si="232"/>
        <v>2.5</v>
      </c>
      <c r="AF2530" s="580">
        <f t="shared" si="233"/>
        <v>2.5</v>
      </c>
      <c r="AG2530" s="580">
        <f t="shared" si="234"/>
        <v>0</v>
      </c>
      <c r="AH2530" s="580">
        <f t="shared" si="235"/>
        <v>0</v>
      </c>
    </row>
    <row r="2531" spans="28:34">
      <c r="AB2531" s="580">
        <f>HLOOKUP("*"&amp;'Output annual'!$AC$2&amp;'Output annual'!$AD$2&amp;"*Zone People Number Of Occupants [](Hourly)",'Eplus results'!$1:$1048576,ROW(),FALSE)</f>
        <v>0</v>
      </c>
      <c r="AC2531" s="580">
        <f>HLOOKUP("*"&amp;'Output annual'!$AC$2&amp;'Output annual'!$AD$2&amp;"*FangerPMV(Hourly)",'Eplus results'!$1:$1048576,ROW(),FALSE)</f>
        <v>0</v>
      </c>
      <c r="AD2531" s="580">
        <f t="shared" si="231"/>
        <v>5</v>
      </c>
      <c r="AE2531" s="580">
        <f t="shared" si="232"/>
        <v>2.5</v>
      </c>
      <c r="AF2531" s="580">
        <f t="shared" si="233"/>
        <v>2.5</v>
      </c>
      <c r="AG2531" s="580">
        <f t="shared" si="234"/>
        <v>0</v>
      </c>
      <c r="AH2531" s="580">
        <f t="shared" si="235"/>
        <v>0</v>
      </c>
    </row>
    <row r="2532" spans="28:34">
      <c r="AB2532" s="580">
        <f>HLOOKUP("*"&amp;'Output annual'!$AC$2&amp;'Output annual'!$AD$2&amp;"*Zone People Number Of Occupants [](Hourly)",'Eplus results'!$1:$1048576,ROW(),FALSE)</f>
        <v>0</v>
      </c>
      <c r="AC2532" s="580">
        <f>HLOOKUP("*"&amp;'Output annual'!$AC$2&amp;'Output annual'!$AD$2&amp;"*FangerPMV(Hourly)",'Eplus results'!$1:$1048576,ROW(),FALSE)</f>
        <v>0</v>
      </c>
      <c r="AD2532" s="580">
        <f t="shared" si="231"/>
        <v>5</v>
      </c>
      <c r="AE2532" s="580">
        <f t="shared" si="232"/>
        <v>2.5</v>
      </c>
      <c r="AF2532" s="580">
        <f t="shared" si="233"/>
        <v>2.5</v>
      </c>
      <c r="AG2532" s="580">
        <f t="shared" si="234"/>
        <v>0</v>
      </c>
      <c r="AH2532" s="580">
        <f t="shared" si="235"/>
        <v>0</v>
      </c>
    </row>
    <row r="2533" spans="28:34">
      <c r="AB2533" s="580">
        <f>HLOOKUP("*"&amp;'Output annual'!$AC$2&amp;'Output annual'!$AD$2&amp;"*Zone People Number Of Occupants [](Hourly)",'Eplus results'!$1:$1048576,ROW(),FALSE)</f>
        <v>0</v>
      </c>
      <c r="AC2533" s="580">
        <f>HLOOKUP("*"&amp;'Output annual'!$AC$2&amp;'Output annual'!$AD$2&amp;"*FangerPMV(Hourly)",'Eplus results'!$1:$1048576,ROW(),FALSE)</f>
        <v>0</v>
      </c>
      <c r="AD2533" s="580">
        <f t="shared" si="231"/>
        <v>5</v>
      </c>
      <c r="AE2533" s="580">
        <f t="shared" si="232"/>
        <v>2.5</v>
      </c>
      <c r="AF2533" s="580">
        <f t="shared" si="233"/>
        <v>2.5</v>
      </c>
      <c r="AG2533" s="580">
        <f t="shared" si="234"/>
        <v>0</v>
      </c>
      <c r="AH2533" s="580">
        <f t="shared" si="235"/>
        <v>0</v>
      </c>
    </row>
    <row r="2534" spans="28:34">
      <c r="AB2534" s="580">
        <f>HLOOKUP("*"&amp;'Output annual'!$AC$2&amp;'Output annual'!$AD$2&amp;"*Zone People Number Of Occupants [](Hourly)",'Eplus results'!$1:$1048576,ROW(),FALSE)</f>
        <v>0</v>
      </c>
      <c r="AC2534" s="580">
        <f>HLOOKUP("*"&amp;'Output annual'!$AC$2&amp;'Output annual'!$AD$2&amp;"*FangerPMV(Hourly)",'Eplus results'!$1:$1048576,ROW(),FALSE)</f>
        <v>0</v>
      </c>
      <c r="AD2534" s="580">
        <f t="shared" si="231"/>
        <v>5</v>
      </c>
      <c r="AE2534" s="580">
        <f t="shared" si="232"/>
        <v>2.5</v>
      </c>
      <c r="AF2534" s="580">
        <f t="shared" si="233"/>
        <v>2.5</v>
      </c>
      <c r="AG2534" s="580">
        <f t="shared" si="234"/>
        <v>0</v>
      </c>
      <c r="AH2534" s="580">
        <f t="shared" si="235"/>
        <v>0</v>
      </c>
    </row>
    <row r="2535" spans="28:34">
      <c r="AB2535" s="580">
        <f>HLOOKUP("*"&amp;'Output annual'!$AC$2&amp;'Output annual'!$AD$2&amp;"*Zone People Number Of Occupants [](Hourly)",'Eplus results'!$1:$1048576,ROW(),FALSE)</f>
        <v>0</v>
      </c>
      <c r="AC2535" s="580">
        <f>HLOOKUP("*"&amp;'Output annual'!$AC$2&amp;'Output annual'!$AD$2&amp;"*FangerPMV(Hourly)",'Eplus results'!$1:$1048576,ROW(),FALSE)</f>
        <v>0</v>
      </c>
      <c r="AD2535" s="580">
        <f t="shared" si="231"/>
        <v>5</v>
      </c>
      <c r="AE2535" s="580">
        <f t="shared" si="232"/>
        <v>2.5</v>
      </c>
      <c r="AF2535" s="580">
        <f t="shared" si="233"/>
        <v>2.5</v>
      </c>
      <c r="AG2535" s="580">
        <f t="shared" si="234"/>
        <v>0</v>
      </c>
      <c r="AH2535" s="580">
        <f t="shared" si="235"/>
        <v>0</v>
      </c>
    </row>
    <row r="2536" spans="28:34">
      <c r="AB2536" s="580">
        <f>HLOOKUP("*"&amp;'Output annual'!$AC$2&amp;'Output annual'!$AD$2&amp;"*Zone People Number Of Occupants [](Hourly)",'Eplus results'!$1:$1048576,ROW(),FALSE)</f>
        <v>0</v>
      </c>
      <c r="AC2536" s="580">
        <f>HLOOKUP("*"&amp;'Output annual'!$AC$2&amp;'Output annual'!$AD$2&amp;"*FangerPMV(Hourly)",'Eplus results'!$1:$1048576,ROW(),FALSE)</f>
        <v>0</v>
      </c>
      <c r="AD2536" s="580">
        <f t="shared" si="231"/>
        <v>5</v>
      </c>
      <c r="AE2536" s="580">
        <f t="shared" si="232"/>
        <v>2.5</v>
      </c>
      <c r="AF2536" s="580">
        <f t="shared" si="233"/>
        <v>2.5</v>
      </c>
      <c r="AG2536" s="580">
        <f t="shared" si="234"/>
        <v>0</v>
      </c>
      <c r="AH2536" s="580">
        <f t="shared" si="235"/>
        <v>0</v>
      </c>
    </row>
    <row r="2537" spans="28:34">
      <c r="AB2537" s="580">
        <f>HLOOKUP("*"&amp;'Output annual'!$AC$2&amp;'Output annual'!$AD$2&amp;"*Zone People Number Of Occupants [](Hourly)",'Eplus results'!$1:$1048576,ROW(),FALSE)</f>
        <v>0</v>
      </c>
      <c r="AC2537" s="580">
        <f>HLOOKUP("*"&amp;'Output annual'!$AC$2&amp;'Output annual'!$AD$2&amp;"*FangerPMV(Hourly)",'Eplus results'!$1:$1048576,ROW(),FALSE)</f>
        <v>0</v>
      </c>
      <c r="AD2537" s="580">
        <f t="shared" si="231"/>
        <v>5</v>
      </c>
      <c r="AE2537" s="580">
        <f t="shared" si="232"/>
        <v>2.5</v>
      </c>
      <c r="AF2537" s="580">
        <f t="shared" si="233"/>
        <v>2.5</v>
      </c>
      <c r="AG2537" s="580">
        <f t="shared" si="234"/>
        <v>0</v>
      </c>
      <c r="AH2537" s="580">
        <f t="shared" si="235"/>
        <v>0</v>
      </c>
    </row>
    <row r="2538" spans="28:34">
      <c r="AB2538" s="580">
        <f>HLOOKUP("*"&amp;'Output annual'!$AC$2&amp;'Output annual'!$AD$2&amp;"*Zone People Number Of Occupants [](Hourly)",'Eplus results'!$1:$1048576,ROW(),FALSE)</f>
        <v>0</v>
      </c>
      <c r="AC2538" s="580">
        <f>HLOOKUP("*"&amp;'Output annual'!$AC$2&amp;'Output annual'!$AD$2&amp;"*FangerPMV(Hourly)",'Eplus results'!$1:$1048576,ROW(),FALSE)</f>
        <v>0</v>
      </c>
      <c r="AD2538" s="580">
        <f t="shared" si="231"/>
        <v>5</v>
      </c>
      <c r="AE2538" s="580">
        <f t="shared" si="232"/>
        <v>2.5</v>
      </c>
      <c r="AF2538" s="580">
        <f t="shared" si="233"/>
        <v>2.5</v>
      </c>
      <c r="AG2538" s="580">
        <f t="shared" si="234"/>
        <v>0</v>
      </c>
      <c r="AH2538" s="580">
        <f t="shared" si="235"/>
        <v>0</v>
      </c>
    </row>
    <row r="2539" spans="28:34">
      <c r="AB2539" s="580">
        <f>HLOOKUP("*"&amp;'Output annual'!$AC$2&amp;'Output annual'!$AD$2&amp;"*Zone People Number Of Occupants [](Hourly)",'Eplus results'!$1:$1048576,ROW(),FALSE)</f>
        <v>0</v>
      </c>
      <c r="AC2539" s="580">
        <f>HLOOKUP("*"&amp;'Output annual'!$AC$2&amp;'Output annual'!$AD$2&amp;"*FangerPMV(Hourly)",'Eplus results'!$1:$1048576,ROW(),FALSE)</f>
        <v>0</v>
      </c>
      <c r="AD2539" s="580">
        <f t="shared" si="231"/>
        <v>5</v>
      </c>
      <c r="AE2539" s="580">
        <f t="shared" si="232"/>
        <v>2.5</v>
      </c>
      <c r="AF2539" s="580">
        <f t="shared" si="233"/>
        <v>2.5</v>
      </c>
      <c r="AG2539" s="580">
        <f t="shared" si="234"/>
        <v>0</v>
      </c>
      <c r="AH2539" s="580">
        <f t="shared" si="235"/>
        <v>0</v>
      </c>
    </row>
    <row r="2540" spans="28:34">
      <c r="AB2540" s="580">
        <f>HLOOKUP("*"&amp;'Output annual'!$AC$2&amp;'Output annual'!$AD$2&amp;"*Zone People Number Of Occupants [](Hourly)",'Eplus results'!$1:$1048576,ROW(),FALSE)</f>
        <v>0</v>
      </c>
      <c r="AC2540" s="580">
        <f>HLOOKUP("*"&amp;'Output annual'!$AC$2&amp;'Output annual'!$AD$2&amp;"*FangerPMV(Hourly)",'Eplus results'!$1:$1048576,ROW(),FALSE)</f>
        <v>0</v>
      </c>
      <c r="AD2540" s="580">
        <f t="shared" si="231"/>
        <v>5</v>
      </c>
      <c r="AE2540" s="580">
        <f t="shared" si="232"/>
        <v>2.5</v>
      </c>
      <c r="AF2540" s="580">
        <f t="shared" si="233"/>
        <v>2.5</v>
      </c>
      <c r="AG2540" s="580">
        <f t="shared" si="234"/>
        <v>0</v>
      </c>
      <c r="AH2540" s="580">
        <f t="shared" si="235"/>
        <v>0</v>
      </c>
    </row>
    <row r="2541" spans="28:34">
      <c r="AB2541" s="580">
        <f>HLOOKUP("*"&amp;'Output annual'!$AC$2&amp;'Output annual'!$AD$2&amp;"*Zone People Number Of Occupants [](Hourly)",'Eplus results'!$1:$1048576,ROW(),FALSE)</f>
        <v>0</v>
      </c>
      <c r="AC2541" s="580">
        <f>HLOOKUP("*"&amp;'Output annual'!$AC$2&amp;'Output annual'!$AD$2&amp;"*FangerPMV(Hourly)",'Eplus results'!$1:$1048576,ROW(),FALSE)</f>
        <v>0</v>
      </c>
      <c r="AD2541" s="580">
        <f t="shared" si="231"/>
        <v>5</v>
      </c>
      <c r="AE2541" s="580">
        <f t="shared" si="232"/>
        <v>2.5</v>
      </c>
      <c r="AF2541" s="580">
        <f t="shared" si="233"/>
        <v>2.5</v>
      </c>
      <c r="AG2541" s="580">
        <f t="shared" si="234"/>
        <v>0</v>
      </c>
      <c r="AH2541" s="580">
        <f t="shared" si="235"/>
        <v>0</v>
      </c>
    </row>
    <row r="2542" spans="28:34">
      <c r="AB2542" s="580">
        <f>HLOOKUP("*"&amp;'Output annual'!$AC$2&amp;'Output annual'!$AD$2&amp;"*Zone People Number Of Occupants [](Hourly)",'Eplus results'!$1:$1048576,ROW(),FALSE)</f>
        <v>0</v>
      </c>
      <c r="AC2542" s="580">
        <f>HLOOKUP("*"&amp;'Output annual'!$AC$2&amp;'Output annual'!$AD$2&amp;"*FangerPMV(Hourly)",'Eplus results'!$1:$1048576,ROW(),FALSE)</f>
        <v>0</v>
      </c>
      <c r="AD2542" s="580">
        <f t="shared" si="231"/>
        <v>5</v>
      </c>
      <c r="AE2542" s="580">
        <f t="shared" si="232"/>
        <v>2.5</v>
      </c>
      <c r="AF2542" s="580">
        <f t="shared" si="233"/>
        <v>2.5</v>
      </c>
      <c r="AG2542" s="580">
        <f t="shared" si="234"/>
        <v>0</v>
      </c>
      <c r="AH2542" s="580">
        <f t="shared" si="235"/>
        <v>0</v>
      </c>
    </row>
    <row r="2543" spans="28:34">
      <c r="AB2543" s="580">
        <f>HLOOKUP("*"&amp;'Output annual'!$AC$2&amp;'Output annual'!$AD$2&amp;"*Zone People Number Of Occupants [](Hourly)",'Eplus results'!$1:$1048576,ROW(),FALSE)</f>
        <v>0</v>
      </c>
      <c r="AC2543" s="580">
        <f>HLOOKUP("*"&amp;'Output annual'!$AC$2&amp;'Output annual'!$AD$2&amp;"*FangerPMV(Hourly)",'Eplus results'!$1:$1048576,ROW(),FALSE)</f>
        <v>0</v>
      </c>
      <c r="AD2543" s="580">
        <f t="shared" si="231"/>
        <v>5</v>
      </c>
      <c r="AE2543" s="580">
        <f t="shared" si="232"/>
        <v>2.5</v>
      </c>
      <c r="AF2543" s="580">
        <f t="shared" si="233"/>
        <v>2.5</v>
      </c>
      <c r="AG2543" s="580">
        <f t="shared" si="234"/>
        <v>0</v>
      </c>
      <c r="AH2543" s="580">
        <f t="shared" si="235"/>
        <v>0</v>
      </c>
    </row>
    <row r="2544" spans="28:34">
      <c r="AB2544" s="580">
        <f>HLOOKUP("*"&amp;'Output annual'!$AC$2&amp;'Output annual'!$AD$2&amp;"*Zone People Number Of Occupants [](Hourly)",'Eplus results'!$1:$1048576,ROW(),FALSE)</f>
        <v>0</v>
      </c>
      <c r="AC2544" s="580">
        <f>HLOOKUP("*"&amp;'Output annual'!$AC$2&amp;'Output annual'!$AD$2&amp;"*FangerPMV(Hourly)",'Eplus results'!$1:$1048576,ROW(),FALSE)</f>
        <v>0</v>
      </c>
      <c r="AD2544" s="580">
        <f t="shared" si="231"/>
        <v>5</v>
      </c>
      <c r="AE2544" s="580">
        <f t="shared" si="232"/>
        <v>2.5</v>
      </c>
      <c r="AF2544" s="580">
        <f t="shared" si="233"/>
        <v>2.5</v>
      </c>
      <c r="AG2544" s="580">
        <f t="shared" si="234"/>
        <v>0</v>
      </c>
      <c r="AH2544" s="580">
        <f t="shared" si="235"/>
        <v>0</v>
      </c>
    </row>
    <row r="2545" spans="28:34">
      <c r="AB2545" s="580">
        <f>HLOOKUP("*"&amp;'Output annual'!$AC$2&amp;'Output annual'!$AD$2&amp;"*Zone People Number Of Occupants [](Hourly)",'Eplus results'!$1:$1048576,ROW(),FALSE)</f>
        <v>0</v>
      </c>
      <c r="AC2545" s="580">
        <f>HLOOKUP("*"&amp;'Output annual'!$AC$2&amp;'Output annual'!$AD$2&amp;"*FangerPMV(Hourly)",'Eplus results'!$1:$1048576,ROW(),FALSE)</f>
        <v>0</v>
      </c>
      <c r="AD2545" s="580">
        <f t="shared" si="231"/>
        <v>5</v>
      </c>
      <c r="AE2545" s="580">
        <f t="shared" si="232"/>
        <v>2.5</v>
      </c>
      <c r="AF2545" s="580">
        <f t="shared" si="233"/>
        <v>2.5</v>
      </c>
      <c r="AG2545" s="580">
        <f t="shared" si="234"/>
        <v>0</v>
      </c>
      <c r="AH2545" s="580">
        <f t="shared" si="235"/>
        <v>0</v>
      </c>
    </row>
    <row r="2546" spans="28:34">
      <c r="AB2546" s="580">
        <f>HLOOKUP("*"&amp;'Output annual'!$AC$2&amp;'Output annual'!$AD$2&amp;"*Zone People Number Of Occupants [](Hourly)",'Eplus results'!$1:$1048576,ROW(),FALSE)</f>
        <v>0</v>
      </c>
      <c r="AC2546" s="580">
        <f>HLOOKUP("*"&amp;'Output annual'!$AC$2&amp;'Output annual'!$AD$2&amp;"*FangerPMV(Hourly)",'Eplus results'!$1:$1048576,ROW(),FALSE)</f>
        <v>0</v>
      </c>
      <c r="AD2546" s="580">
        <f t="shared" si="231"/>
        <v>5</v>
      </c>
      <c r="AE2546" s="580">
        <f t="shared" si="232"/>
        <v>2.5</v>
      </c>
      <c r="AF2546" s="580">
        <f t="shared" si="233"/>
        <v>2.5</v>
      </c>
      <c r="AG2546" s="580">
        <f t="shared" si="234"/>
        <v>0</v>
      </c>
      <c r="AH2546" s="580">
        <f t="shared" si="235"/>
        <v>0</v>
      </c>
    </row>
    <row r="2547" spans="28:34">
      <c r="AB2547" s="580">
        <f>HLOOKUP("*"&amp;'Output annual'!$AC$2&amp;'Output annual'!$AD$2&amp;"*Zone People Number Of Occupants [](Hourly)",'Eplus results'!$1:$1048576,ROW(),FALSE)</f>
        <v>0</v>
      </c>
      <c r="AC2547" s="580">
        <f>HLOOKUP("*"&amp;'Output annual'!$AC$2&amp;'Output annual'!$AD$2&amp;"*FangerPMV(Hourly)",'Eplus results'!$1:$1048576,ROW(),FALSE)</f>
        <v>0</v>
      </c>
      <c r="AD2547" s="580">
        <f t="shared" si="231"/>
        <v>5</v>
      </c>
      <c r="AE2547" s="580">
        <f t="shared" si="232"/>
        <v>2.5</v>
      </c>
      <c r="AF2547" s="580">
        <f t="shared" si="233"/>
        <v>2.5</v>
      </c>
      <c r="AG2547" s="580">
        <f t="shared" si="234"/>
        <v>0</v>
      </c>
      <c r="AH2547" s="580">
        <f t="shared" si="235"/>
        <v>0</v>
      </c>
    </row>
    <row r="2548" spans="28:34">
      <c r="AB2548" s="580">
        <f>HLOOKUP("*"&amp;'Output annual'!$AC$2&amp;'Output annual'!$AD$2&amp;"*Zone People Number Of Occupants [](Hourly)",'Eplus results'!$1:$1048576,ROW(),FALSE)</f>
        <v>0</v>
      </c>
      <c r="AC2548" s="580">
        <f>HLOOKUP("*"&amp;'Output annual'!$AC$2&amp;'Output annual'!$AD$2&amp;"*FangerPMV(Hourly)",'Eplus results'!$1:$1048576,ROW(),FALSE)</f>
        <v>0</v>
      </c>
      <c r="AD2548" s="580">
        <f t="shared" si="231"/>
        <v>5</v>
      </c>
      <c r="AE2548" s="580">
        <f t="shared" si="232"/>
        <v>2.5</v>
      </c>
      <c r="AF2548" s="580">
        <f t="shared" si="233"/>
        <v>2.5</v>
      </c>
      <c r="AG2548" s="580">
        <f t="shared" si="234"/>
        <v>0</v>
      </c>
      <c r="AH2548" s="580">
        <f t="shared" si="235"/>
        <v>0</v>
      </c>
    </row>
    <row r="2549" spans="28:34">
      <c r="AB2549" s="580">
        <f>HLOOKUP("*"&amp;'Output annual'!$AC$2&amp;'Output annual'!$AD$2&amp;"*Zone People Number Of Occupants [](Hourly)",'Eplus results'!$1:$1048576,ROW(),FALSE)</f>
        <v>0</v>
      </c>
      <c r="AC2549" s="580">
        <f>HLOOKUP("*"&amp;'Output annual'!$AC$2&amp;'Output annual'!$AD$2&amp;"*FangerPMV(Hourly)",'Eplus results'!$1:$1048576,ROW(),FALSE)</f>
        <v>0</v>
      </c>
      <c r="AD2549" s="580">
        <f t="shared" si="231"/>
        <v>5</v>
      </c>
      <c r="AE2549" s="580">
        <f t="shared" si="232"/>
        <v>2.5</v>
      </c>
      <c r="AF2549" s="580">
        <f t="shared" si="233"/>
        <v>2.5</v>
      </c>
      <c r="AG2549" s="580">
        <f t="shared" si="234"/>
        <v>0</v>
      </c>
      <c r="AH2549" s="580">
        <f t="shared" si="235"/>
        <v>0</v>
      </c>
    </row>
    <row r="2550" spans="28:34">
      <c r="AB2550" s="580">
        <f>HLOOKUP("*"&amp;'Output annual'!$AC$2&amp;'Output annual'!$AD$2&amp;"*Zone People Number Of Occupants [](Hourly)",'Eplus results'!$1:$1048576,ROW(),FALSE)</f>
        <v>0</v>
      </c>
      <c r="AC2550" s="580">
        <f>HLOOKUP("*"&amp;'Output annual'!$AC$2&amp;'Output annual'!$AD$2&amp;"*FangerPMV(Hourly)",'Eplus results'!$1:$1048576,ROW(),FALSE)</f>
        <v>0</v>
      </c>
      <c r="AD2550" s="580">
        <f t="shared" si="231"/>
        <v>5</v>
      </c>
      <c r="AE2550" s="580">
        <f t="shared" si="232"/>
        <v>2.5</v>
      </c>
      <c r="AF2550" s="580">
        <f t="shared" si="233"/>
        <v>2.5</v>
      </c>
      <c r="AG2550" s="580">
        <f t="shared" si="234"/>
        <v>0</v>
      </c>
      <c r="AH2550" s="580">
        <f t="shared" si="235"/>
        <v>0</v>
      </c>
    </row>
    <row r="2551" spans="28:34">
      <c r="AB2551" s="580">
        <f>HLOOKUP("*"&amp;'Output annual'!$AC$2&amp;'Output annual'!$AD$2&amp;"*Zone People Number Of Occupants [](Hourly)",'Eplus results'!$1:$1048576,ROW(),FALSE)</f>
        <v>0</v>
      </c>
      <c r="AC2551" s="580">
        <f>HLOOKUP("*"&amp;'Output annual'!$AC$2&amp;'Output annual'!$AD$2&amp;"*FangerPMV(Hourly)",'Eplus results'!$1:$1048576,ROW(),FALSE)</f>
        <v>0</v>
      </c>
      <c r="AD2551" s="580">
        <f t="shared" si="231"/>
        <v>5</v>
      </c>
      <c r="AE2551" s="580">
        <f t="shared" si="232"/>
        <v>2.5</v>
      </c>
      <c r="AF2551" s="580">
        <f t="shared" si="233"/>
        <v>2.5</v>
      </c>
      <c r="AG2551" s="580">
        <f t="shared" si="234"/>
        <v>0</v>
      </c>
      <c r="AH2551" s="580">
        <f t="shared" si="235"/>
        <v>0</v>
      </c>
    </row>
    <row r="2552" spans="28:34">
      <c r="AB2552" s="580">
        <f>HLOOKUP("*"&amp;'Output annual'!$AC$2&amp;'Output annual'!$AD$2&amp;"*Zone People Number Of Occupants [](Hourly)",'Eplus results'!$1:$1048576,ROW(),FALSE)</f>
        <v>0</v>
      </c>
      <c r="AC2552" s="580">
        <f>HLOOKUP("*"&amp;'Output annual'!$AC$2&amp;'Output annual'!$AD$2&amp;"*FangerPMV(Hourly)",'Eplus results'!$1:$1048576,ROW(),FALSE)</f>
        <v>0</v>
      </c>
      <c r="AD2552" s="580">
        <f t="shared" si="231"/>
        <v>5</v>
      </c>
      <c r="AE2552" s="580">
        <f t="shared" si="232"/>
        <v>2.5</v>
      </c>
      <c r="AF2552" s="580">
        <f t="shared" si="233"/>
        <v>2.5</v>
      </c>
      <c r="AG2552" s="580">
        <f t="shared" si="234"/>
        <v>0</v>
      </c>
      <c r="AH2552" s="580">
        <f t="shared" si="235"/>
        <v>0</v>
      </c>
    </row>
    <row r="2553" spans="28:34">
      <c r="AB2553" s="580">
        <f>HLOOKUP("*"&amp;'Output annual'!$AC$2&amp;'Output annual'!$AD$2&amp;"*Zone People Number Of Occupants [](Hourly)",'Eplus results'!$1:$1048576,ROW(),FALSE)</f>
        <v>0</v>
      </c>
      <c r="AC2553" s="580">
        <f>HLOOKUP("*"&amp;'Output annual'!$AC$2&amp;'Output annual'!$AD$2&amp;"*FangerPMV(Hourly)",'Eplus results'!$1:$1048576,ROW(),FALSE)</f>
        <v>0</v>
      </c>
      <c r="AD2553" s="580">
        <f t="shared" si="231"/>
        <v>5</v>
      </c>
      <c r="AE2553" s="580">
        <f t="shared" si="232"/>
        <v>2.5</v>
      </c>
      <c r="AF2553" s="580">
        <f t="shared" si="233"/>
        <v>2.5</v>
      </c>
      <c r="AG2553" s="580">
        <f t="shared" si="234"/>
        <v>0</v>
      </c>
      <c r="AH2553" s="580">
        <f t="shared" si="235"/>
        <v>0</v>
      </c>
    </row>
    <row r="2554" spans="28:34">
      <c r="AB2554" s="580">
        <f>HLOOKUP("*"&amp;'Output annual'!$AC$2&amp;'Output annual'!$AD$2&amp;"*Zone People Number Of Occupants [](Hourly)",'Eplus results'!$1:$1048576,ROW(),FALSE)</f>
        <v>0</v>
      </c>
      <c r="AC2554" s="580">
        <f>HLOOKUP("*"&amp;'Output annual'!$AC$2&amp;'Output annual'!$AD$2&amp;"*FangerPMV(Hourly)",'Eplus results'!$1:$1048576,ROW(),FALSE)</f>
        <v>0</v>
      </c>
      <c r="AD2554" s="580">
        <f t="shared" si="231"/>
        <v>5</v>
      </c>
      <c r="AE2554" s="580">
        <f t="shared" si="232"/>
        <v>2.5</v>
      </c>
      <c r="AF2554" s="580">
        <f t="shared" si="233"/>
        <v>2.5</v>
      </c>
      <c r="AG2554" s="580">
        <f t="shared" si="234"/>
        <v>0</v>
      </c>
      <c r="AH2554" s="580">
        <f t="shared" si="235"/>
        <v>0</v>
      </c>
    </row>
    <row r="2555" spans="28:34">
      <c r="AB2555" s="580">
        <f>HLOOKUP("*"&amp;'Output annual'!$AC$2&amp;'Output annual'!$AD$2&amp;"*Zone People Number Of Occupants [](Hourly)",'Eplus results'!$1:$1048576,ROW(),FALSE)</f>
        <v>0</v>
      </c>
      <c r="AC2555" s="580">
        <f>HLOOKUP("*"&amp;'Output annual'!$AC$2&amp;'Output annual'!$AD$2&amp;"*FangerPMV(Hourly)",'Eplus results'!$1:$1048576,ROW(),FALSE)</f>
        <v>0</v>
      </c>
      <c r="AD2555" s="580">
        <f t="shared" si="231"/>
        <v>5</v>
      </c>
      <c r="AE2555" s="580">
        <f t="shared" si="232"/>
        <v>2.5</v>
      </c>
      <c r="AF2555" s="580">
        <f t="shared" si="233"/>
        <v>2.5</v>
      </c>
      <c r="AG2555" s="580">
        <f t="shared" si="234"/>
        <v>0</v>
      </c>
      <c r="AH2555" s="580">
        <f t="shared" si="235"/>
        <v>0</v>
      </c>
    </row>
    <row r="2556" spans="28:34">
      <c r="AB2556" s="580">
        <f>HLOOKUP("*"&amp;'Output annual'!$AC$2&amp;'Output annual'!$AD$2&amp;"*Zone People Number Of Occupants [](Hourly)",'Eplus results'!$1:$1048576,ROW(),FALSE)</f>
        <v>0</v>
      </c>
      <c r="AC2556" s="580">
        <f>HLOOKUP("*"&amp;'Output annual'!$AC$2&amp;'Output annual'!$AD$2&amp;"*FangerPMV(Hourly)",'Eplus results'!$1:$1048576,ROW(),FALSE)</f>
        <v>0</v>
      </c>
      <c r="AD2556" s="580">
        <f t="shared" si="231"/>
        <v>5</v>
      </c>
      <c r="AE2556" s="580">
        <f t="shared" si="232"/>
        <v>2.5</v>
      </c>
      <c r="AF2556" s="580">
        <f t="shared" si="233"/>
        <v>2.5</v>
      </c>
      <c r="AG2556" s="580">
        <f t="shared" si="234"/>
        <v>0</v>
      </c>
      <c r="AH2556" s="580">
        <f t="shared" si="235"/>
        <v>0</v>
      </c>
    </row>
    <row r="2557" spans="28:34">
      <c r="AB2557" s="580">
        <f>HLOOKUP("*"&amp;'Output annual'!$AC$2&amp;'Output annual'!$AD$2&amp;"*Zone People Number Of Occupants [](Hourly)",'Eplus results'!$1:$1048576,ROW(),FALSE)</f>
        <v>0</v>
      </c>
      <c r="AC2557" s="580">
        <f>HLOOKUP("*"&amp;'Output annual'!$AC$2&amp;'Output annual'!$AD$2&amp;"*FangerPMV(Hourly)",'Eplus results'!$1:$1048576,ROW(),FALSE)</f>
        <v>0</v>
      </c>
      <c r="AD2557" s="580">
        <f t="shared" si="231"/>
        <v>5</v>
      </c>
      <c r="AE2557" s="580">
        <f t="shared" si="232"/>
        <v>2.5</v>
      </c>
      <c r="AF2557" s="580">
        <f t="shared" si="233"/>
        <v>2.5</v>
      </c>
      <c r="AG2557" s="580">
        <f t="shared" si="234"/>
        <v>0</v>
      </c>
      <c r="AH2557" s="580">
        <f t="shared" si="235"/>
        <v>0</v>
      </c>
    </row>
    <row r="2558" spans="28:34">
      <c r="AB2558" s="580">
        <f>HLOOKUP("*"&amp;'Output annual'!$AC$2&amp;'Output annual'!$AD$2&amp;"*Zone People Number Of Occupants [](Hourly)",'Eplus results'!$1:$1048576,ROW(),FALSE)</f>
        <v>0</v>
      </c>
      <c r="AC2558" s="580">
        <f>HLOOKUP("*"&amp;'Output annual'!$AC$2&amp;'Output annual'!$AD$2&amp;"*FangerPMV(Hourly)",'Eplus results'!$1:$1048576,ROW(),FALSE)</f>
        <v>0</v>
      </c>
      <c r="AD2558" s="580">
        <f t="shared" si="231"/>
        <v>5</v>
      </c>
      <c r="AE2558" s="580">
        <f t="shared" si="232"/>
        <v>2.5</v>
      </c>
      <c r="AF2558" s="580">
        <f t="shared" si="233"/>
        <v>2.5</v>
      </c>
      <c r="AG2558" s="580">
        <f t="shared" si="234"/>
        <v>0</v>
      </c>
      <c r="AH2558" s="580">
        <f t="shared" si="235"/>
        <v>0</v>
      </c>
    </row>
    <row r="2559" spans="28:34">
      <c r="AB2559" s="580">
        <f>HLOOKUP("*"&amp;'Output annual'!$AC$2&amp;'Output annual'!$AD$2&amp;"*Zone People Number Of Occupants [](Hourly)",'Eplus results'!$1:$1048576,ROW(),FALSE)</f>
        <v>0</v>
      </c>
      <c r="AC2559" s="580">
        <f>HLOOKUP("*"&amp;'Output annual'!$AC$2&amp;'Output annual'!$AD$2&amp;"*FangerPMV(Hourly)",'Eplus results'!$1:$1048576,ROW(),FALSE)</f>
        <v>0</v>
      </c>
      <c r="AD2559" s="580">
        <f t="shared" si="231"/>
        <v>5</v>
      </c>
      <c r="AE2559" s="580">
        <f t="shared" si="232"/>
        <v>2.5</v>
      </c>
      <c r="AF2559" s="580">
        <f t="shared" si="233"/>
        <v>2.5</v>
      </c>
      <c r="AG2559" s="580">
        <f t="shared" si="234"/>
        <v>0</v>
      </c>
      <c r="AH2559" s="580">
        <f t="shared" si="235"/>
        <v>0</v>
      </c>
    </row>
    <row r="2560" spans="28:34">
      <c r="AB2560" s="580">
        <f>HLOOKUP("*"&amp;'Output annual'!$AC$2&amp;'Output annual'!$AD$2&amp;"*Zone People Number Of Occupants [](Hourly)",'Eplus results'!$1:$1048576,ROW(),FALSE)</f>
        <v>0</v>
      </c>
      <c r="AC2560" s="580">
        <f>HLOOKUP("*"&amp;'Output annual'!$AC$2&amp;'Output annual'!$AD$2&amp;"*FangerPMV(Hourly)",'Eplus results'!$1:$1048576,ROW(),FALSE)</f>
        <v>0</v>
      </c>
      <c r="AD2560" s="580">
        <f t="shared" si="231"/>
        <v>5</v>
      </c>
      <c r="AE2560" s="580">
        <f t="shared" si="232"/>
        <v>2.5</v>
      </c>
      <c r="AF2560" s="580">
        <f t="shared" si="233"/>
        <v>2.5</v>
      </c>
      <c r="AG2560" s="580">
        <f t="shared" si="234"/>
        <v>0</v>
      </c>
      <c r="AH2560" s="580">
        <f t="shared" si="235"/>
        <v>0</v>
      </c>
    </row>
    <row r="2561" spans="28:34">
      <c r="AB2561" s="580">
        <f>HLOOKUP("*"&amp;'Output annual'!$AC$2&amp;'Output annual'!$AD$2&amp;"*Zone People Number Of Occupants [](Hourly)",'Eplus results'!$1:$1048576,ROW(),FALSE)</f>
        <v>0</v>
      </c>
      <c r="AC2561" s="580">
        <f>HLOOKUP("*"&amp;'Output annual'!$AC$2&amp;'Output annual'!$AD$2&amp;"*FangerPMV(Hourly)",'Eplus results'!$1:$1048576,ROW(),FALSE)</f>
        <v>0</v>
      </c>
      <c r="AD2561" s="580">
        <f t="shared" si="231"/>
        <v>5</v>
      </c>
      <c r="AE2561" s="580">
        <f t="shared" si="232"/>
        <v>2.5</v>
      </c>
      <c r="AF2561" s="580">
        <f t="shared" si="233"/>
        <v>2.5</v>
      </c>
      <c r="AG2561" s="580">
        <f t="shared" si="234"/>
        <v>0</v>
      </c>
      <c r="AH2561" s="580">
        <f t="shared" si="235"/>
        <v>0</v>
      </c>
    </row>
    <row r="2562" spans="28:34">
      <c r="AB2562" s="580">
        <f>HLOOKUP("*"&amp;'Output annual'!$AC$2&amp;'Output annual'!$AD$2&amp;"*Zone People Number Of Occupants [](Hourly)",'Eplus results'!$1:$1048576,ROW(),FALSE)</f>
        <v>0</v>
      </c>
      <c r="AC2562" s="580">
        <f>HLOOKUP("*"&amp;'Output annual'!$AC$2&amp;'Output annual'!$AD$2&amp;"*FangerPMV(Hourly)",'Eplus results'!$1:$1048576,ROW(),FALSE)</f>
        <v>0</v>
      </c>
      <c r="AD2562" s="580">
        <f t="shared" si="231"/>
        <v>5</v>
      </c>
      <c r="AE2562" s="580">
        <f t="shared" si="232"/>
        <v>2.5</v>
      </c>
      <c r="AF2562" s="580">
        <f t="shared" si="233"/>
        <v>2.5</v>
      </c>
      <c r="AG2562" s="580">
        <f t="shared" si="234"/>
        <v>0</v>
      </c>
      <c r="AH2562" s="580">
        <f t="shared" si="235"/>
        <v>0</v>
      </c>
    </row>
    <row r="2563" spans="28:34">
      <c r="AB2563" s="580">
        <f>HLOOKUP("*"&amp;'Output annual'!$AC$2&amp;'Output annual'!$AD$2&amp;"*Zone People Number Of Occupants [](Hourly)",'Eplus results'!$1:$1048576,ROW(),FALSE)</f>
        <v>0</v>
      </c>
      <c r="AC2563" s="580">
        <f>HLOOKUP("*"&amp;'Output annual'!$AC$2&amp;'Output annual'!$AD$2&amp;"*FangerPMV(Hourly)",'Eplus results'!$1:$1048576,ROW(),FALSE)</f>
        <v>0</v>
      </c>
      <c r="AD2563" s="580">
        <f t="shared" ref="AD2563:AD2626" si="236">100-95*EXP(-0.03353*AC2563^4-0.2179*AC2563^2)</f>
        <v>5</v>
      </c>
      <c r="AE2563" s="580">
        <f t="shared" ref="AE2563:AE2626" si="237">AD2563*(1/(1+EXP(-6.3*$AC2563)))</f>
        <v>2.5</v>
      </c>
      <c r="AF2563" s="580">
        <f t="shared" ref="AF2563:AF2626" si="238">(AD2563-AE2563)</f>
        <v>2.5</v>
      </c>
      <c r="AG2563" s="580">
        <f t="shared" ref="AG2563:AG2626" si="239">AE2563*AB2563</f>
        <v>0</v>
      </c>
      <c r="AH2563" s="580">
        <f t="shared" ref="AH2563:AH2626" si="240">AF2563*AB2563</f>
        <v>0</v>
      </c>
    </row>
    <row r="2564" spans="28:34">
      <c r="AB2564" s="580">
        <f>HLOOKUP("*"&amp;'Output annual'!$AC$2&amp;'Output annual'!$AD$2&amp;"*Zone People Number Of Occupants [](Hourly)",'Eplus results'!$1:$1048576,ROW(),FALSE)</f>
        <v>0</v>
      </c>
      <c r="AC2564" s="580">
        <f>HLOOKUP("*"&amp;'Output annual'!$AC$2&amp;'Output annual'!$AD$2&amp;"*FangerPMV(Hourly)",'Eplus results'!$1:$1048576,ROW(),FALSE)</f>
        <v>0</v>
      </c>
      <c r="AD2564" s="580">
        <f t="shared" si="236"/>
        <v>5</v>
      </c>
      <c r="AE2564" s="580">
        <f t="shared" si="237"/>
        <v>2.5</v>
      </c>
      <c r="AF2564" s="580">
        <f t="shared" si="238"/>
        <v>2.5</v>
      </c>
      <c r="AG2564" s="580">
        <f t="shared" si="239"/>
        <v>0</v>
      </c>
      <c r="AH2564" s="580">
        <f t="shared" si="240"/>
        <v>0</v>
      </c>
    </row>
    <row r="2565" spans="28:34">
      <c r="AB2565" s="580">
        <f>HLOOKUP("*"&amp;'Output annual'!$AC$2&amp;'Output annual'!$AD$2&amp;"*Zone People Number Of Occupants [](Hourly)",'Eplus results'!$1:$1048576,ROW(),FALSE)</f>
        <v>0</v>
      </c>
      <c r="AC2565" s="580">
        <f>HLOOKUP("*"&amp;'Output annual'!$AC$2&amp;'Output annual'!$AD$2&amp;"*FangerPMV(Hourly)",'Eplus results'!$1:$1048576,ROW(),FALSE)</f>
        <v>0</v>
      </c>
      <c r="AD2565" s="580">
        <f t="shared" si="236"/>
        <v>5</v>
      </c>
      <c r="AE2565" s="580">
        <f t="shared" si="237"/>
        <v>2.5</v>
      </c>
      <c r="AF2565" s="580">
        <f t="shared" si="238"/>
        <v>2.5</v>
      </c>
      <c r="AG2565" s="580">
        <f t="shared" si="239"/>
        <v>0</v>
      </c>
      <c r="AH2565" s="580">
        <f t="shared" si="240"/>
        <v>0</v>
      </c>
    </row>
    <row r="2566" spans="28:34">
      <c r="AB2566" s="580">
        <f>HLOOKUP("*"&amp;'Output annual'!$AC$2&amp;'Output annual'!$AD$2&amp;"*Zone People Number Of Occupants [](Hourly)",'Eplus results'!$1:$1048576,ROW(),FALSE)</f>
        <v>0</v>
      </c>
      <c r="AC2566" s="580">
        <f>HLOOKUP("*"&amp;'Output annual'!$AC$2&amp;'Output annual'!$AD$2&amp;"*FangerPMV(Hourly)",'Eplus results'!$1:$1048576,ROW(),FALSE)</f>
        <v>0</v>
      </c>
      <c r="AD2566" s="580">
        <f t="shared" si="236"/>
        <v>5</v>
      </c>
      <c r="AE2566" s="580">
        <f t="shared" si="237"/>
        <v>2.5</v>
      </c>
      <c r="AF2566" s="580">
        <f t="shared" si="238"/>
        <v>2.5</v>
      </c>
      <c r="AG2566" s="580">
        <f t="shared" si="239"/>
        <v>0</v>
      </c>
      <c r="AH2566" s="580">
        <f t="shared" si="240"/>
        <v>0</v>
      </c>
    </row>
    <row r="2567" spans="28:34">
      <c r="AB2567" s="580">
        <f>HLOOKUP("*"&amp;'Output annual'!$AC$2&amp;'Output annual'!$AD$2&amp;"*Zone People Number Of Occupants [](Hourly)",'Eplus results'!$1:$1048576,ROW(),FALSE)</f>
        <v>0</v>
      </c>
      <c r="AC2567" s="580">
        <f>HLOOKUP("*"&amp;'Output annual'!$AC$2&amp;'Output annual'!$AD$2&amp;"*FangerPMV(Hourly)",'Eplus results'!$1:$1048576,ROW(),FALSE)</f>
        <v>0</v>
      </c>
      <c r="AD2567" s="580">
        <f t="shared" si="236"/>
        <v>5</v>
      </c>
      <c r="AE2567" s="580">
        <f t="shared" si="237"/>
        <v>2.5</v>
      </c>
      <c r="AF2567" s="580">
        <f t="shared" si="238"/>
        <v>2.5</v>
      </c>
      <c r="AG2567" s="580">
        <f t="shared" si="239"/>
        <v>0</v>
      </c>
      <c r="AH2567" s="580">
        <f t="shared" si="240"/>
        <v>0</v>
      </c>
    </row>
    <row r="2568" spans="28:34">
      <c r="AB2568" s="580">
        <f>HLOOKUP("*"&amp;'Output annual'!$AC$2&amp;'Output annual'!$AD$2&amp;"*Zone People Number Of Occupants [](Hourly)",'Eplus results'!$1:$1048576,ROW(),FALSE)</f>
        <v>0</v>
      </c>
      <c r="AC2568" s="580">
        <f>HLOOKUP("*"&amp;'Output annual'!$AC$2&amp;'Output annual'!$AD$2&amp;"*FangerPMV(Hourly)",'Eplus results'!$1:$1048576,ROW(),FALSE)</f>
        <v>0</v>
      </c>
      <c r="AD2568" s="580">
        <f t="shared" si="236"/>
        <v>5</v>
      </c>
      <c r="AE2568" s="580">
        <f t="shared" si="237"/>
        <v>2.5</v>
      </c>
      <c r="AF2568" s="580">
        <f t="shared" si="238"/>
        <v>2.5</v>
      </c>
      <c r="AG2568" s="580">
        <f t="shared" si="239"/>
        <v>0</v>
      </c>
      <c r="AH2568" s="580">
        <f t="shared" si="240"/>
        <v>0</v>
      </c>
    </row>
    <row r="2569" spans="28:34">
      <c r="AB2569" s="580">
        <f>HLOOKUP("*"&amp;'Output annual'!$AC$2&amp;'Output annual'!$AD$2&amp;"*Zone People Number Of Occupants [](Hourly)",'Eplus results'!$1:$1048576,ROW(),FALSE)</f>
        <v>0</v>
      </c>
      <c r="AC2569" s="580">
        <f>HLOOKUP("*"&amp;'Output annual'!$AC$2&amp;'Output annual'!$AD$2&amp;"*FangerPMV(Hourly)",'Eplus results'!$1:$1048576,ROW(),FALSE)</f>
        <v>0</v>
      </c>
      <c r="AD2569" s="580">
        <f t="shared" si="236"/>
        <v>5</v>
      </c>
      <c r="AE2569" s="580">
        <f t="shared" si="237"/>
        <v>2.5</v>
      </c>
      <c r="AF2569" s="580">
        <f t="shared" si="238"/>
        <v>2.5</v>
      </c>
      <c r="AG2569" s="580">
        <f t="shared" si="239"/>
        <v>0</v>
      </c>
      <c r="AH2569" s="580">
        <f t="shared" si="240"/>
        <v>0</v>
      </c>
    </row>
    <row r="2570" spans="28:34">
      <c r="AB2570" s="580">
        <f>HLOOKUP("*"&amp;'Output annual'!$AC$2&amp;'Output annual'!$AD$2&amp;"*Zone People Number Of Occupants [](Hourly)",'Eplus results'!$1:$1048576,ROW(),FALSE)</f>
        <v>0</v>
      </c>
      <c r="AC2570" s="580">
        <f>HLOOKUP("*"&amp;'Output annual'!$AC$2&amp;'Output annual'!$AD$2&amp;"*FangerPMV(Hourly)",'Eplus results'!$1:$1048576,ROW(),FALSE)</f>
        <v>0</v>
      </c>
      <c r="AD2570" s="580">
        <f t="shared" si="236"/>
        <v>5</v>
      </c>
      <c r="AE2570" s="580">
        <f t="shared" si="237"/>
        <v>2.5</v>
      </c>
      <c r="AF2570" s="580">
        <f t="shared" si="238"/>
        <v>2.5</v>
      </c>
      <c r="AG2570" s="580">
        <f t="shared" si="239"/>
        <v>0</v>
      </c>
      <c r="AH2570" s="580">
        <f t="shared" si="240"/>
        <v>0</v>
      </c>
    </row>
    <row r="2571" spans="28:34">
      <c r="AB2571" s="580">
        <f>HLOOKUP("*"&amp;'Output annual'!$AC$2&amp;'Output annual'!$AD$2&amp;"*Zone People Number Of Occupants [](Hourly)",'Eplus results'!$1:$1048576,ROW(),FALSE)</f>
        <v>0</v>
      </c>
      <c r="AC2571" s="580">
        <f>HLOOKUP("*"&amp;'Output annual'!$AC$2&amp;'Output annual'!$AD$2&amp;"*FangerPMV(Hourly)",'Eplus results'!$1:$1048576,ROW(),FALSE)</f>
        <v>0</v>
      </c>
      <c r="AD2571" s="580">
        <f t="shared" si="236"/>
        <v>5</v>
      </c>
      <c r="AE2571" s="580">
        <f t="shared" si="237"/>
        <v>2.5</v>
      </c>
      <c r="AF2571" s="580">
        <f t="shared" si="238"/>
        <v>2.5</v>
      </c>
      <c r="AG2571" s="580">
        <f t="shared" si="239"/>
        <v>0</v>
      </c>
      <c r="AH2571" s="580">
        <f t="shared" si="240"/>
        <v>0</v>
      </c>
    </row>
    <row r="2572" spans="28:34">
      <c r="AB2572" s="580">
        <f>HLOOKUP("*"&amp;'Output annual'!$AC$2&amp;'Output annual'!$AD$2&amp;"*Zone People Number Of Occupants [](Hourly)",'Eplus results'!$1:$1048576,ROW(),FALSE)</f>
        <v>0</v>
      </c>
      <c r="AC2572" s="580">
        <f>HLOOKUP("*"&amp;'Output annual'!$AC$2&amp;'Output annual'!$AD$2&amp;"*FangerPMV(Hourly)",'Eplus results'!$1:$1048576,ROW(),FALSE)</f>
        <v>0</v>
      </c>
      <c r="AD2572" s="580">
        <f t="shared" si="236"/>
        <v>5</v>
      </c>
      <c r="AE2572" s="580">
        <f t="shared" si="237"/>
        <v>2.5</v>
      </c>
      <c r="AF2572" s="580">
        <f t="shared" si="238"/>
        <v>2.5</v>
      </c>
      <c r="AG2572" s="580">
        <f t="shared" si="239"/>
        <v>0</v>
      </c>
      <c r="AH2572" s="580">
        <f t="shared" si="240"/>
        <v>0</v>
      </c>
    </row>
    <row r="2573" spans="28:34">
      <c r="AB2573" s="580">
        <f>HLOOKUP("*"&amp;'Output annual'!$AC$2&amp;'Output annual'!$AD$2&amp;"*Zone People Number Of Occupants [](Hourly)",'Eplus results'!$1:$1048576,ROW(),FALSE)</f>
        <v>0</v>
      </c>
      <c r="AC2573" s="580">
        <f>HLOOKUP("*"&amp;'Output annual'!$AC$2&amp;'Output annual'!$AD$2&amp;"*FangerPMV(Hourly)",'Eplus results'!$1:$1048576,ROW(),FALSE)</f>
        <v>0</v>
      </c>
      <c r="AD2573" s="580">
        <f t="shared" si="236"/>
        <v>5</v>
      </c>
      <c r="AE2573" s="580">
        <f t="shared" si="237"/>
        <v>2.5</v>
      </c>
      <c r="AF2573" s="580">
        <f t="shared" si="238"/>
        <v>2.5</v>
      </c>
      <c r="AG2573" s="580">
        <f t="shared" si="239"/>
        <v>0</v>
      </c>
      <c r="AH2573" s="580">
        <f t="shared" si="240"/>
        <v>0</v>
      </c>
    </row>
    <row r="2574" spans="28:34">
      <c r="AB2574" s="580">
        <f>HLOOKUP("*"&amp;'Output annual'!$AC$2&amp;'Output annual'!$AD$2&amp;"*Zone People Number Of Occupants [](Hourly)",'Eplus results'!$1:$1048576,ROW(),FALSE)</f>
        <v>0</v>
      </c>
      <c r="AC2574" s="580">
        <f>HLOOKUP("*"&amp;'Output annual'!$AC$2&amp;'Output annual'!$AD$2&amp;"*FangerPMV(Hourly)",'Eplus results'!$1:$1048576,ROW(),FALSE)</f>
        <v>0</v>
      </c>
      <c r="AD2574" s="580">
        <f t="shared" si="236"/>
        <v>5</v>
      </c>
      <c r="AE2574" s="580">
        <f t="shared" si="237"/>
        <v>2.5</v>
      </c>
      <c r="AF2574" s="580">
        <f t="shared" si="238"/>
        <v>2.5</v>
      </c>
      <c r="AG2574" s="580">
        <f t="shared" si="239"/>
        <v>0</v>
      </c>
      <c r="AH2574" s="580">
        <f t="shared" si="240"/>
        <v>0</v>
      </c>
    </row>
    <row r="2575" spans="28:34">
      <c r="AB2575" s="580">
        <f>HLOOKUP("*"&amp;'Output annual'!$AC$2&amp;'Output annual'!$AD$2&amp;"*Zone People Number Of Occupants [](Hourly)",'Eplus results'!$1:$1048576,ROW(),FALSE)</f>
        <v>0</v>
      </c>
      <c r="AC2575" s="580">
        <f>HLOOKUP("*"&amp;'Output annual'!$AC$2&amp;'Output annual'!$AD$2&amp;"*FangerPMV(Hourly)",'Eplus results'!$1:$1048576,ROW(),FALSE)</f>
        <v>0</v>
      </c>
      <c r="AD2575" s="580">
        <f t="shared" si="236"/>
        <v>5</v>
      </c>
      <c r="AE2575" s="580">
        <f t="shared" si="237"/>
        <v>2.5</v>
      </c>
      <c r="AF2575" s="580">
        <f t="shared" si="238"/>
        <v>2.5</v>
      </c>
      <c r="AG2575" s="580">
        <f t="shared" si="239"/>
        <v>0</v>
      </c>
      <c r="AH2575" s="580">
        <f t="shared" si="240"/>
        <v>0</v>
      </c>
    </row>
    <row r="2576" spans="28:34">
      <c r="AB2576" s="580">
        <f>HLOOKUP("*"&amp;'Output annual'!$AC$2&amp;'Output annual'!$AD$2&amp;"*Zone People Number Of Occupants [](Hourly)",'Eplus results'!$1:$1048576,ROW(),FALSE)</f>
        <v>0</v>
      </c>
      <c r="AC2576" s="580">
        <f>HLOOKUP("*"&amp;'Output annual'!$AC$2&amp;'Output annual'!$AD$2&amp;"*FangerPMV(Hourly)",'Eplus results'!$1:$1048576,ROW(),FALSE)</f>
        <v>0</v>
      </c>
      <c r="AD2576" s="580">
        <f t="shared" si="236"/>
        <v>5</v>
      </c>
      <c r="AE2576" s="580">
        <f t="shared" si="237"/>
        <v>2.5</v>
      </c>
      <c r="AF2576" s="580">
        <f t="shared" si="238"/>
        <v>2.5</v>
      </c>
      <c r="AG2576" s="580">
        <f t="shared" si="239"/>
        <v>0</v>
      </c>
      <c r="AH2576" s="580">
        <f t="shared" si="240"/>
        <v>0</v>
      </c>
    </row>
    <row r="2577" spans="28:34">
      <c r="AB2577" s="580">
        <f>HLOOKUP("*"&amp;'Output annual'!$AC$2&amp;'Output annual'!$AD$2&amp;"*Zone People Number Of Occupants [](Hourly)",'Eplus results'!$1:$1048576,ROW(),FALSE)</f>
        <v>0</v>
      </c>
      <c r="AC2577" s="580">
        <f>HLOOKUP("*"&amp;'Output annual'!$AC$2&amp;'Output annual'!$AD$2&amp;"*FangerPMV(Hourly)",'Eplus results'!$1:$1048576,ROW(),FALSE)</f>
        <v>0</v>
      </c>
      <c r="AD2577" s="580">
        <f t="shared" si="236"/>
        <v>5</v>
      </c>
      <c r="AE2577" s="580">
        <f t="shared" si="237"/>
        <v>2.5</v>
      </c>
      <c r="AF2577" s="580">
        <f t="shared" si="238"/>
        <v>2.5</v>
      </c>
      <c r="AG2577" s="580">
        <f t="shared" si="239"/>
        <v>0</v>
      </c>
      <c r="AH2577" s="580">
        <f t="shared" si="240"/>
        <v>0</v>
      </c>
    </row>
    <row r="2578" spans="28:34">
      <c r="AB2578" s="580">
        <f>HLOOKUP("*"&amp;'Output annual'!$AC$2&amp;'Output annual'!$AD$2&amp;"*Zone People Number Of Occupants [](Hourly)",'Eplus results'!$1:$1048576,ROW(),FALSE)</f>
        <v>0</v>
      </c>
      <c r="AC2578" s="580">
        <f>HLOOKUP("*"&amp;'Output annual'!$AC$2&amp;'Output annual'!$AD$2&amp;"*FangerPMV(Hourly)",'Eplus results'!$1:$1048576,ROW(),FALSE)</f>
        <v>0</v>
      </c>
      <c r="AD2578" s="580">
        <f t="shared" si="236"/>
        <v>5</v>
      </c>
      <c r="AE2578" s="580">
        <f t="shared" si="237"/>
        <v>2.5</v>
      </c>
      <c r="AF2578" s="580">
        <f t="shared" si="238"/>
        <v>2.5</v>
      </c>
      <c r="AG2578" s="580">
        <f t="shared" si="239"/>
        <v>0</v>
      </c>
      <c r="AH2578" s="580">
        <f t="shared" si="240"/>
        <v>0</v>
      </c>
    </row>
    <row r="2579" spans="28:34">
      <c r="AB2579" s="580">
        <f>HLOOKUP("*"&amp;'Output annual'!$AC$2&amp;'Output annual'!$AD$2&amp;"*Zone People Number Of Occupants [](Hourly)",'Eplus results'!$1:$1048576,ROW(),FALSE)</f>
        <v>0</v>
      </c>
      <c r="AC2579" s="580">
        <f>HLOOKUP("*"&amp;'Output annual'!$AC$2&amp;'Output annual'!$AD$2&amp;"*FangerPMV(Hourly)",'Eplus results'!$1:$1048576,ROW(),FALSE)</f>
        <v>0</v>
      </c>
      <c r="AD2579" s="580">
        <f t="shared" si="236"/>
        <v>5</v>
      </c>
      <c r="AE2579" s="580">
        <f t="shared" si="237"/>
        <v>2.5</v>
      </c>
      <c r="AF2579" s="580">
        <f t="shared" si="238"/>
        <v>2.5</v>
      </c>
      <c r="AG2579" s="580">
        <f t="shared" si="239"/>
        <v>0</v>
      </c>
      <c r="AH2579" s="580">
        <f t="shared" si="240"/>
        <v>0</v>
      </c>
    </row>
    <row r="2580" spans="28:34">
      <c r="AB2580" s="580">
        <f>HLOOKUP("*"&amp;'Output annual'!$AC$2&amp;'Output annual'!$AD$2&amp;"*Zone People Number Of Occupants [](Hourly)",'Eplus results'!$1:$1048576,ROW(),FALSE)</f>
        <v>0</v>
      </c>
      <c r="AC2580" s="580">
        <f>HLOOKUP("*"&amp;'Output annual'!$AC$2&amp;'Output annual'!$AD$2&amp;"*FangerPMV(Hourly)",'Eplus results'!$1:$1048576,ROW(),FALSE)</f>
        <v>0</v>
      </c>
      <c r="AD2580" s="580">
        <f t="shared" si="236"/>
        <v>5</v>
      </c>
      <c r="AE2580" s="580">
        <f t="shared" si="237"/>
        <v>2.5</v>
      </c>
      <c r="AF2580" s="580">
        <f t="shared" si="238"/>
        <v>2.5</v>
      </c>
      <c r="AG2580" s="580">
        <f t="shared" si="239"/>
        <v>0</v>
      </c>
      <c r="AH2580" s="580">
        <f t="shared" si="240"/>
        <v>0</v>
      </c>
    </row>
    <row r="2581" spans="28:34">
      <c r="AB2581" s="580">
        <f>HLOOKUP("*"&amp;'Output annual'!$AC$2&amp;'Output annual'!$AD$2&amp;"*Zone People Number Of Occupants [](Hourly)",'Eplus results'!$1:$1048576,ROW(),FALSE)</f>
        <v>0</v>
      </c>
      <c r="AC2581" s="580">
        <f>HLOOKUP("*"&amp;'Output annual'!$AC$2&amp;'Output annual'!$AD$2&amp;"*FangerPMV(Hourly)",'Eplus results'!$1:$1048576,ROW(),FALSE)</f>
        <v>0</v>
      </c>
      <c r="AD2581" s="580">
        <f t="shared" si="236"/>
        <v>5</v>
      </c>
      <c r="AE2581" s="580">
        <f t="shared" si="237"/>
        <v>2.5</v>
      </c>
      <c r="AF2581" s="580">
        <f t="shared" si="238"/>
        <v>2.5</v>
      </c>
      <c r="AG2581" s="580">
        <f t="shared" si="239"/>
        <v>0</v>
      </c>
      <c r="AH2581" s="580">
        <f t="shared" si="240"/>
        <v>0</v>
      </c>
    </row>
    <row r="2582" spans="28:34">
      <c r="AB2582" s="580">
        <f>HLOOKUP("*"&amp;'Output annual'!$AC$2&amp;'Output annual'!$AD$2&amp;"*Zone People Number Of Occupants [](Hourly)",'Eplus results'!$1:$1048576,ROW(),FALSE)</f>
        <v>0</v>
      </c>
      <c r="AC2582" s="580">
        <f>HLOOKUP("*"&amp;'Output annual'!$AC$2&amp;'Output annual'!$AD$2&amp;"*FangerPMV(Hourly)",'Eplus results'!$1:$1048576,ROW(),FALSE)</f>
        <v>0</v>
      </c>
      <c r="AD2582" s="580">
        <f t="shared" si="236"/>
        <v>5</v>
      </c>
      <c r="AE2582" s="580">
        <f t="shared" si="237"/>
        <v>2.5</v>
      </c>
      <c r="AF2582" s="580">
        <f t="shared" si="238"/>
        <v>2.5</v>
      </c>
      <c r="AG2582" s="580">
        <f t="shared" si="239"/>
        <v>0</v>
      </c>
      <c r="AH2582" s="580">
        <f t="shared" si="240"/>
        <v>0</v>
      </c>
    </row>
    <row r="2583" spans="28:34">
      <c r="AB2583" s="580">
        <f>HLOOKUP("*"&amp;'Output annual'!$AC$2&amp;'Output annual'!$AD$2&amp;"*Zone People Number Of Occupants [](Hourly)",'Eplus results'!$1:$1048576,ROW(),FALSE)</f>
        <v>0</v>
      </c>
      <c r="AC2583" s="580">
        <f>HLOOKUP("*"&amp;'Output annual'!$AC$2&amp;'Output annual'!$AD$2&amp;"*FangerPMV(Hourly)",'Eplus results'!$1:$1048576,ROW(),FALSE)</f>
        <v>0</v>
      </c>
      <c r="AD2583" s="580">
        <f t="shared" si="236"/>
        <v>5</v>
      </c>
      <c r="AE2583" s="580">
        <f t="shared" si="237"/>
        <v>2.5</v>
      </c>
      <c r="AF2583" s="580">
        <f t="shared" si="238"/>
        <v>2.5</v>
      </c>
      <c r="AG2583" s="580">
        <f t="shared" si="239"/>
        <v>0</v>
      </c>
      <c r="AH2583" s="580">
        <f t="shared" si="240"/>
        <v>0</v>
      </c>
    </row>
    <row r="2584" spans="28:34">
      <c r="AB2584" s="580">
        <f>HLOOKUP("*"&amp;'Output annual'!$AC$2&amp;'Output annual'!$AD$2&amp;"*Zone People Number Of Occupants [](Hourly)",'Eplus results'!$1:$1048576,ROW(),FALSE)</f>
        <v>0</v>
      </c>
      <c r="AC2584" s="580">
        <f>HLOOKUP("*"&amp;'Output annual'!$AC$2&amp;'Output annual'!$AD$2&amp;"*FangerPMV(Hourly)",'Eplus results'!$1:$1048576,ROW(),FALSE)</f>
        <v>0</v>
      </c>
      <c r="AD2584" s="580">
        <f t="shared" si="236"/>
        <v>5</v>
      </c>
      <c r="AE2584" s="580">
        <f t="shared" si="237"/>
        <v>2.5</v>
      </c>
      <c r="AF2584" s="580">
        <f t="shared" si="238"/>
        <v>2.5</v>
      </c>
      <c r="AG2584" s="580">
        <f t="shared" si="239"/>
        <v>0</v>
      </c>
      <c r="AH2584" s="580">
        <f t="shared" si="240"/>
        <v>0</v>
      </c>
    </row>
    <row r="2585" spans="28:34">
      <c r="AB2585" s="580">
        <f>HLOOKUP("*"&amp;'Output annual'!$AC$2&amp;'Output annual'!$AD$2&amp;"*Zone People Number Of Occupants [](Hourly)",'Eplus results'!$1:$1048576,ROW(),FALSE)</f>
        <v>0</v>
      </c>
      <c r="AC2585" s="580">
        <f>HLOOKUP("*"&amp;'Output annual'!$AC$2&amp;'Output annual'!$AD$2&amp;"*FangerPMV(Hourly)",'Eplus results'!$1:$1048576,ROW(),FALSE)</f>
        <v>0</v>
      </c>
      <c r="AD2585" s="580">
        <f t="shared" si="236"/>
        <v>5</v>
      </c>
      <c r="AE2585" s="580">
        <f t="shared" si="237"/>
        <v>2.5</v>
      </c>
      <c r="AF2585" s="580">
        <f t="shared" si="238"/>
        <v>2.5</v>
      </c>
      <c r="AG2585" s="580">
        <f t="shared" si="239"/>
        <v>0</v>
      </c>
      <c r="AH2585" s="580">
        <f t="shared" si="240"/>
        <v>0</v>
      </c>
    </row>
    <row r="2586" spans="28:34">
      <c r="AB2586" s="580">
        <f>HLOOKUP("*"&amp;'Output annual'!$AC$2&amp;'Output annual'!$AD$2&amp;"*Zone People Number Of Occupants [](Hourly)",'Eplus results'!$1:$1048576,ROW(),FALSE)</f>
        <v>0</v>
      </c>
      <c r="AC2586" s="580">
        <f>HLOOKUP("*"&amp;'Output annual'!$AC$2&amp;'Output annual'!$AD$2&amp;"*FangerPMV(Hourly)",'Eplus results'!$1:$1048576,ROW(),FALSE)</f>
        <v>0</v>
      </c>
      <c r="AD2586" s="580">
        <f t="shared" si="236"/>
        <v>5</v>
      </c>
      <c r="AE2586" s="580">
        <f t="shared" si="237"/>
        <v>2.5</v>
      </c>
      <c r="AF2586" s="580">
        <f t="shared" si="238"/>
        <v>2.5</v>
      </c>
      <c r="AG2586" s="580">
        <f t="shared" si="239"/>
        <v>0</v>
      </c>
      <c r="AH2586" s="580">
        <f t="shared" si="240"/>
        <v>0</v>
      </c>
    </row>
    <row r="2587" spans="28:34">
      <c r="AB2587" s="580">
        <f>HLOOKUP("*"&amp;'Output annual'!$AC$2&amp;'Output annual'!$AD$2&amp;"*Zone People Number Of Occupants [](Hourly)",'Eplus results'!$1:$1048576,ROW(),FALSE)</f>
        <v>0</v>
      </c>
      <c r="AC2587" s="580">
        <f>HLOOKUP("*"&amp;'Output annual'!$AC$2&amp;'Output annual'!$AD$2&amp;"*FangerPMV(Hourly)",'Eplus results'!$1:$1048576,ROW(),FALSE)</f>
        <v>0</v>
      </c>
      <c r="AD2587" s="580">
        <f t="shared" si="236"/>
        <v>5</v>
      </c>
      <c r="AE2587" s="580">
        <f t="shared" si="237"/>
        <v>2.5</v>
      </c>
      <c r="AF2587" s="580">
        <f t="shared" si="238"/>
        <v>2.5</v>
      </c>
      <c r="AG2587" s="580">
        <f t="shared" si="239"/>
        <v>0</v>
      </c>
      <c r="AH2587" s="580">
        <f t="shared" si="240"/>
        <v>0</v>
      </c>
    </row>
    <row r="2588" spans="28:34">
      <c r="AB2588" s="580">
        <f>HLOOKUP("*"&amp;'Output annual'!$AC$2&amp;'Output annual'!$AD$2&amp;"*Zone People Number Of Occupants [](Hourly)",'Eplus results'!$1:$1048576,ROW(),FALSE)</f>
        <v>0</v>
      </c>
      <c r="AC2588" s="580">
        <f>HLOOKUP("*"&amp;'Output annual'!$AC$2&amp;'Output annual'!$AD$2&amp;"*FangerPMV(Hourly)",'Eplus results'!$1:$1048576,ROW(),FALSE)</f>
        <v>0</v>
      </c>
      <c r="AD2588" s="580">
        <f t="shared" si="236"/>
        <v>5</v>
      </c>
      <c r="AE2588" s="580">
        <f t="shared" si="237"/>
        <v>2.5</v>
      </c>
      <c r="AF2588" s="580">
        <f t="shared" si="238"/>
        <v>2.5</v>
      </c>
      <c r="AG2588" s="580">
        <f t="shared" si="239"/>
        <v>0</v>
      </c>
      <c r="AH2588" s="580">
        <f t="shared" si="240"/>
        <v>0</v>
      </c>
    </row>
    <row r="2589" spans="28:34">
      <c r="AB2589" s="580">
        <f>HLOOKUP("*"&amp;'Output annual'!$AC$2&amp;'Output annual'!$AD$2&amp;"*Zone People Number Of Occupants [](Hourly)",'Eplus results'!$1:$1048576,ROW(),FALSE)</f>
        <v>0</v>
      </c>
      <c r="AC2589" s="580">
        <f>HLOOKUP("*"&amp;'Output annual'!$AC$2&amp;'Output annual'!$AD$2&amp;"*FangerPMV(Hourly)",'Eplus results'!$1:$1048576,ROW(),FALSE)</f>
        <v>0</v>
      </c>
      <c r="AD2589" s="580">
        <f t="shared" si="236"/>
        <v>5</v>
      </c>
      <c r="AE2589" s="580">
        <f t="shared" si="237"/>
        <v>2.5</v>
      </c>
      <c r="AF2589" s="580">
        <f t="shared" si="238"/>
        <v>2.5</v>
      </c>
      <c r="AG2589" s="580">
        <f t="shared" si="239"/>
        <v>0</v>
      </c>
      <c r="AH2589" s="580">
        <f t="shared" si="240"/>
        <v>0</v>
      </c>
    </row>
    <row r="2590" spans="28:34">
      <c r="AB2590" s="580">
        <f>HLOOKUP("*"&amp;'Output annual'!$AC$2&amp;'Output annual'!$AD$2&amp;"*Zone People Number Of Occupants [](Hourly)",'Eplus results'!$1:$1048576,ROW(),FALSE)</f>
        <v>0</v>
      </c>
      <c r="AC2590" s="580">
        <f>HLOOKUP("*"&amp;'Output annual'!$AC$2&amp;'Output annual'!$AD$2&amp;"*FangerPMV(Hourly)",'Eplus results'!$1:$1048576,ROW(),FALSE)</f>
        <v>0</v>
      </c>
      <c r="AD2590" s="580">
        <f t="shared" si="236"/>
        <v>5</v>
      </c>
      <c r="AE2590" s="580">
        <f t="shared" si="237"/>
        <v>2.5</v>
      </c>
      <c r="AF2590" s="580">
        <f t="shared" si="238"/>
        <v>2.5</v>
      </c>
      <c r="AG2590" s="580">
        <f t="shared" si="239"/>
        <v>0</v>
      </c>
      <c r="AH2590" s="580">
        <f t="shared" si="240"/>
        <v>0</v>
      </c>
    </row>
    <row r="2591" spans="28:34">
      <c r="AB2591" s="580">
        <f>HLOOKUP("*"&amp;'Output annual'!$AC$2&amp;'Output annual'!$AD$2&amp;"*Zone People Number Of Occupants [](Hourly)",'Eplus results'!$1:$1048576,ROW(),FALSE)</f>
        <v>0</v>
      </c>
      <c r="AC2591" s="580">
        <f>HLOOKUP("*"&amp;'Output annual'!$AC$2&amp;'Output annual'!$AD$2&amp;"*FangerPMV(Hourly)",'Eplus results'!$1:$1048576,ROW(),FALSE)</f>
        <v>0</v>
      </c>
      <c r="AD2591" s="580">
        <f t="shared" si="236"/>
        <v>5</v>
      </c>
      <c r="AE2591" s="580">
        <f t="shared" si="237"/>
        <v>2.5</v>
      </c>
      <c r="AF2591" s="580">
        <f t="shared" si="238"/>
        <v>2.5</v>
      </c>
      <c r="AG2591" s="580">
        <f t="shared" si="239"/>
        <v>0</v>
      </c>
      <c r="AH2591" s="580">
        <f t="shared" si="240"/>
        <v>0</v>
      </c>
    </row>
    <row r="2592" spans="28:34">
      <c r="AB2592" s="580">
        <f>HLOOKUP("*"&amp;'Output annual'!$AC$2&amp;'Output annual'!$AD$2&amp;"*Zone People Number Of Occupants [](Hourly)",'Eplus results'!$1:$1048576,ROW(),FALSE)</f>
        <v>0</v>
      </c>
      <c r="AC2592" s="580">
        <f>HLOOKUP("*"&amp;'Output annual'!$AC$2&amp;'Output annual'!$AD$2&amp;"*FangerPMV(Hourly)",'Eplus results'!$1:$1048576,ROW(),FALSE)</f>
        <v>0</v>
      </c>
      <c r="AD2592" s="580">
        <f t="shared" si="236"/>
        <v>5</v>
      </c>
      <c r="AE2592" s="580">
        <f t="shared" si="237"/>
        <v>2.5</v>
      </c>
      <c r="AF2592" s="580">
        <f t="shared" si="238"/>
        <v>2.5</v>
      </c>
      <c r="AG2592" s="580">
        <f t="shared" si="239"/>
        <v>0</v>
      </c>
      <c r="AH2592" s="580">
        <f t="shared" si="240"/>
        <v>0</v>
      </c>
    </row>
    <row r="2593" spans="28:34">
      <c r="AB2593" s="580">
        <f>HLOOKUP("*"&amp;'Output annual'!$AC$2&amp;'Output annual'!$AD$2&amp;"*Zone People Number Of Occupants [](Hourly)",'Eplus results'!$1:$1048576,ROW(),FALSE)</f>
        <v>0</v>
      </c>
      <c r="AC2593" s="580">
        <f>HLOOKUP("*"&amp;'Output annual'!$AC$2&amp;'Output annual'!$AD$2&amp;"*FangerPMV(Hourly)",'Eplus results'!$1:$1048576,ROW(),FALSE)</f>
        <v>0</v>
      </c>
      <c r="AD2593" s="580">
        <f t="shared" si="236"/>
        <v>5</v>
      </c>
      <c r="AE2593" s="580">
        <f t="shared" si="237"/>
        <v>2.5</v>
      </c>
      <c r="AF2593" s="580">
        <f t="shared" si="238"/>
        <v>2.5</v>
      </c>
      <c r="AG2593" s="580">
        <f t="shared" si="239"/>
        <v>0</v>
      </c>
      <c r="AH2593" s="580">
        <f t="shared" si="240"/>
        <v>0</v>
      </c>
    </row>
    <row r="2594" spans="28:34">
      <c r="AB2594" s="580">
        <f>HLOOKUP("*"&amp;'Output annual'!$AC$2&amp;'Output annual'!$AD$2&amp;"*Zone People Number Of Occupants [](Hourly)",'Eplus results'!$1:$1048576,ROW(),FALSE)</f>
        <v>0</v>
      </c>
      <c r="AC2594" s="580">
        <f>HLOOKUP("*"&amp;'Output annual'!$AC$2&amp;'Output annual'!$AD$2&amp;"*FangerPMV(Hourly)",'Eplus results'!$1:$1048576,ROW(),FALSE)</f>
        <v>0</v>
      </c>
      <c r="AD2594" s="580">
        <f t="shared" si="236"/>
        <v>5</v>
      </c>
      <c r="AE2594" s="580">
        <f t="shared" si="237"/>
        <v>2.5</v>
      </c>
      <c r="AF2594" s="580">
        <f t="shared" si="238"/>
        <v>2.5</v>
      </c>
      <c r="AG2594" s="580">
        <f t="shared" si="239"/>
        <v>0</v>
      </c>
      <c r="AH2594" s="580">
        <f t="shared" si="240"/>
        <v>0</v>
      </c>
    </row>
    <row r="2595" spans="28:34">
      <c r="AB2595" s="580">
        <f>HLOOKUP("*"&amp;'Output annual'!$AC$2&amp;'Output annual'!$AD$2&amp;"*Zone People Number Of Occupants [](Hourly)",'Eplus results'!$1:$1048576,ROW(),FALSE)</f>
        <v>0</v>
      </c>
      <c r="AC2595" s="580">
        <f>HLOOKUP("*"&amp;'Output annual'!$AC$2&amp;'Output annual'!$AD$2&amp;"*FangerPMV(Hourly)",'Eplus results'!$1:$1048576,ROW(),FALSE)</f>
        <v>0</v>
      </c>
      <c r="AD2595" s="580">
        <f t="shared" si="236"/>
        <v>5</v>
      </c>
      <c r="AE2595" s="580">
        <f t="shared" si="237"/>
        <v>2.5</v>
      </c>
      <c r="AF2595" s="580">
        <f t="shared" si="238"/>
        <v>2.5</v>
      </c>
      <c r="AG2595" s="580">
        <f t="shared" si="239"/>
        <v>0</v>
      </c>
      <c r="AH2595" s="580">
        <f t="shared" si="240"/>
        <v>0</v>
      </c>
    </row>
    <row r="2596" spans="28:34">
      <c r="AB2596" s="580">
        <f>HLOOKUP("*"&amp;'Output annual'!$AC$2&amp;'Output annual'!$AD$2&amp;"*Zone People Number Of Occupants [](Hourly)",'Eplus results'!$1:$1048576,ROW(),FALSE)</f>
        <v>0</v>
      </c>
      <c r="AC2596" s="580">
        <f>HLOOKUP("*"&amp;'Output annual'!$AC$2&amp;'Output annual'!$AD$2&amp;"*FangerPMV(Hourly)",'Eplus results'!$1:$1048576,ROW(),FALSE)</f>
        <v>0</v>
      </c>
      <c r="AD2596" s="580">
        <f t="shared" si="236"/>
        <v>5</v>
      </c>
      <c r="AE2596" s="580">
        <f t="shared" si="237"/>
        <v>2.5</v>
      </c>
      <c r="AF2596" s="580">
        <f t="shared" si="238"/>
        <v>2.5</v>
      </c>
      <c r="AG2596" s="580">
        <f t="shared" si="239"/>
        <v>0</v>
      </c>
      <c r="AH2596" s="580">
        <f t="shared" si="240"/>
        <v>0</v>
      </c>
    </row>
    <row r="2597" spans="28:34">
      <c r="AB2597" s="580">
        <f>HLOOKUP("*"&amp;'Output annual'!$AC$2&amp;'Output annual'!$AD$2&amp;"*Zone People Number Of Occupants [](Hourly)",'Eplus results'!$1:$1048576,ROW(),FALSE)</f>
        <v>0</v>
      </c>
      <c r="AC2597" s="580">
        <f>HLOOKUP("*"&amp;'Output annual'!$AC$2&amp;'Output annual'!$AD$2&amp;"*FangerPMV(Hourly)",'Eplus results'!$1:$1048576,ROW(),FALSE)</f>
        <v>0</v>
      </c>
      <c r="AD2597" s="580">
        <f t="shared" si="236"/>
        <v>5</v>
      </c>
      <c r="AE2597" s="580">
        <f t="shared" si="237"/>
        <v>2.5</v>
      </c>
      <c r="AF2597" s="580">
        <f t="shared" si="238"/>
        <v>2.5</v>
      </c>
      <c r="AG2597" s="580">
        <f t="shared" si="239"/>
        <v>0</v>
      </c>
      <c r="AH2597" s="580">
        <f t="shared" si="240"/>
        <v>0</v>
      </c>
    </row>
    <row r="2598" spans="28:34">
      <c r="AB2598" s="580">
        <f>HLOOKUP("*"&amp;'Output annual'!$AC$2&amp;'Output annual'!$AD$2&amp;"*Zone People Number Of Occupants [](Hourly)",'Eplus results'!$1:$1048576,ROW(),FALSE)</f>
        <v>0</v>
      </c>
      <c r="AC2598" s="580">
        <f>HLOOKUP("*"&amp;'Output annual'!$AC$2&amp;'Output annual'!$AD$2&amp;"*FangerPMV(Hourly)",'Eplus results'!$1:$1048576,ROW(),FALSE)</f>
        <v>0</v>
      </c>
      <c r="AD2598" s="580">
        <f t="shared" si="236"/>
        <v>5</v>
      </c>
      <c r="AE2598" s="580">
        <f t="shared" si="237"/>
        <v>2.5</v>
      </c>
      <c r="AF2598" s="580">
        <f t="shared" si="238"/>
        <v>2.5</v>
      </c>
      <c r="AG2598" s="580">
        <f t="shared" si="239"/>
        <v>0</v>
      </c>
      <c r="AH2598" s="580">
        <f t="shared" si="240"/>
        <v>0</v>
      </c>
    </row>
    <row r="2599" spans="28:34">
      <c r="AB2599" s="580">
        <f>HLOOKUP("*"&amp;'Output annual'!$AC$2&amp;'Output annual'!$AD$2&amp;"*Zone People Number Of Occupants [](Hourly)",'Eplus results'!$1:$1048576,ROW(),FALSE)</f>
        <v>0</v>
      </c>
      <c r="AC2599" s="580">
        <f>HLOOKUP("*"&amp;'Output annual'!$AC$2&amp;'Output annual'!$AD$2&amp;"*FangerPMV(Hourly)",'Eplus results'!$1:$1048576,ROW(),FALSE)</f>
        <v>0</v>
      </c>
      <c r="AD2599" s="580">
        <f t="shared" si="236"/>
        <v>5</v>
      </c>
      <c r="AE2599" s="580">
        <f t="shared" si="237"/>
        <v>2.5</v>
      </c>
      <c r="AF2599" s="580">
        <f t="shared" si="238"/>
        <v>2.5</v>
      </c>
      <c r="AG2599" s="580">
        <f t="shared" si="239"/>
        <v>0</v>
      </c>
      <c r="AH2599" s="580">
        <f t="shared" si="240"/>
        <v>0</v>
      </c>
    </row>
    <row r="2600" spans="28:34">
      <c r="AB2600" s="580">
        <f>HLOOKUP("*"&amp;'Output annual'!$AC$2&amp;'Output annual'!$AD$2&amp;"*Zone People Number Of Occupants [](Hourly)",'Eplus results'!$1:$1048576,ROW(),FALSE)</f>
        <v>0</v>
      </c>
      <c r="AC2600" s="580">
        <f>HLOOKUP("*"&amp;'Output annual'!$AC$2&amp;'Output annual'!$AD$2&amp;"*FangerPMV(Hourly)",'Eplus results'!$1:$1048576,ROW(),FALSE)</f>
        <v>0</v>
      </c>
      <c r="AD2600" s="580">
        <f t="shared" si="236"/>
        <v>5</v>
      </c>
      <c r="AE2600" s="580">
        <f t="shared" si="237"/>
        <v>2.5</v>
      </c>
      <c r="AF2600" s="580">
        <f t="shared" si="238"/>
        <v>2.5</v>
      </c>
      <c r="AG2600" s="580">
        <f t="shared" si="239"/>
        <v>0</v>
      </c>
      <c r="AH2600" s="580">
        <f t="shared" si="240"/>
        <v>0</v>
      </c>
    </row>
    <row r="2601" spans="28:34">
      <c r="AB2601" s="580">
        <f>HLOOKUP("*"&amp;'Output annual'!$AC$2&amp;'Output annual'!$AD$2&amp;"*Zone People Number Of Occupants [](Hourly)",'Eplus results'!$1:$1048576,ROW(),FALSE)</f>
        <v>0</v>
      </c>
      <c r="AC2601" s="580">
        <f>HLOOKUP("*"&amp;'Output annual'!$AC$2&amp;'Output annual'!$AD$2&amp;"*FangerPMV(Hourly)",'Eplus results'!$1:$1048576,ROW(),FALSE)</f>
        <v>0</v>
      </c>
      <c r="AD2601" s="580">
        <f t="shared" si="236"/>
        <v>5</v>
      </c>
      <c r="AE2601" s="580">
        <f t="shared" si="237"/>
        <v>2.5</v>
      </c>
      <c r="AF2601" s="580">
        <f t="shared" si="238"/>
        <v>2.5</v>
      </c>
      <c r="AG2601" s="580">
        <f t="shared" si="239"/>
        <v>0</v>
      </c>
      <c r="AH2601" s="580">
        <f t="shared" si="240"/>
        <v>0</v>
      </c>
    </row>
    <row r="2602" spans="28:34">
      <c r="AB2602" s="580">
        <f>HLOOKUP("*"&amp;'Output annual'!$AC$2&amp;'Output annual'!$AD$2&amp;"*Zone People Number Of Occupants [](Hourly)",'Eplus results'!$1:$1048576,ROW(),FALSE)</f>
        <v>0</v>
      </c>
      <c r="AC2602" s="580">
        <f>HLOOKUP("*"&amp;'Output annual'!$AC$2&amp;'Output annual'!$AD$2&amp;"*FangerPMV(Hourly)",'Eplus results'!$1:$1048576,ROW(),FALSE)</f>
        <v>0</v>
      </c>
      <c r="AD2602" s="580">
        <f t="shared" si="236"/>
        <v>5</v>
      </c>
      <c r="AE2602" s="580">
        <f t="shared" si="237"/>
        <v>2.5</v>
      </c>
      <c r="AF2602" s="580">
        <f t="shared" si="238"/>
        <v>2.5</v>
      </c>
      <c r="AG2602" s="580">
        <f t="shared" si="239"/>
        <v>0</v>
      </c>
      <c r="AH2602" s="580">
        <f t="shared" si="240"/>
        <v>0</v>
      </c>
    </row>
    <row r="2603" spans="28:34">
      <c r="AB2603" s="580">
        <f>HLOOKUP("*"&amp;'Output annual'!$AC$2&amp;'Output annual'!$AD$2&amp;"*Zone People Number Of Occupants [](Hourly)",'Eplus results'!$1:$1048576,ROW(),FALSE)</f>
        <v>0</v>
      </c>
      <c r="AC2603" s="580">
        <f>HLOOKUP("*"&amp;'Output annual'!$AC$2&amp;'Output annual'!$AD$2&amp;"*FangerPMV(Hourly)",'Eplus results'!$1:$1048576,ROW(),FALSE)</f>
        <v>0</v>
      </c>
      <c r="AD2603" s="580">
        <f t="shared" si="236"/>
        <v>5</v>
      </c>
      <c r="AE2603" s="580">
        <f t="shared" si="237"/>
        <v>2.5</v>
      </c>
      <c r="AF2603" s="580">
        <f t="shared" si="238"/>
        <v>2.5</v>
      </c>
      <c r="AG2603" s="580">
        <f t="shared" si="239"/>
        <v>0</v>
      </c>
      <c r="AH2603" s="580">
        <f t="shared" si="240"/>
        <v>0</v>
      </c>
    </row>
    <row r="2604" spans="28:34">
      <c r="AB2604" s="580">
        <f>HLOOKUP("*"&amp;'Output annual'!$AC$2&amp;'Output annual'!$AD$2&amp;"*Zone People Number Of Occupants [](Hourly)",'Eplus results'!$1:$1048576,ROW(),FALSE)</f>
        <v>0</v>
      </c>
      <c r="AC2604" s="580">
        <f>HLOOKUP("*"&amp;'Output annual'!$AC$2&amp;'Output annual'!$AD$2&amp;"*FangerPMV(Hourly)",'Eplus results'!$1:$1048576,ROW(),FALSE)</f>
        <v>0</v>
      </c>
      <c r="AD2604" s="580">
        <f t="shared" si="236"/>
        <v>5</v>
      </c>
      <c r="AE2604" s="580">
        <f t="shared" si="237"/>
        <v>2.5</v>
      </c>
      <c r="AF2604" s="580">
        <f t="shared" si="238"/>
        <v>2.5</v>
      </c>
      <c r="AG2604" s="580">
        <f t="shared" si="239"/>
        <v>0</v>
      </c>
      <c r="AH2604" s="580">
        <f t="shared" si="240"/>
        <v>0</v>
      </c>
    </row>
    <row r="2605" spans="28:34">
      <c r="AB2605" s="580">
        <f>HLOOKUP("*"&amp;'Output annual'!$AC$2&amp;'Output annual'!$AD$2&amp;"*Zone People Number Of Occupants [](Hourly)",'Eplus results'!$1:$1048576,ROW(),FALSE)</f>
        <v>0</v>
      </c>
      <c r="AC2605" s="580">
        <f>HLOOKUP("*"&amp;'Output annual'!$AC$2&amp;'Output annual'!$AD$2&amp;"*FangerPMV(Hourly)",'Eplus results'!$1:$1048576,ROW(),FALSE)</f>
        <v>0</v>
      </c>
      <c r="AD2605" s="580">
        <f t="shared" si="236"/>
        <v>5</v>
      </c>
      <c r="AE2605" s="580">
        <f t="shared" si="237"/>
        <v>2.5</v>
      </c>
      <c r="AF2605" s="580">
        <f t="shared" si="238"/>
        <v>2.5</v>
      </c>
      <c r="AG2605" s="580">
        <f t="shared" si="239"/>
        <v>0</v>
      </c>
      <c r="AH2605" s="580">
        <f t="shared" si="240"/>
        <v>0</v>
      </c>
    </row>
    <row r="2606" spans="28:34">
      <c r="AB2606" s="580">
        <f>HLOOKUP("*"&amp;'Output annual'!$AC$2&amp;'Output annual'!$AD$2&amp;"*Zone People Number Of Occupants [](Hourly)",'Eplus results'!$1:$1048576,ROW(),FALSE)</f>
        <v>0</v>
      </c>
      <c r="AC2606" s="580">
        <f>HLOOKUP("*"&amp;'Output annual'!$AC$2&amp;'Output annual'!$AD$2&amp;"*FangerPMV(Hourly)",'Eplus results'!$1:$1048576,ROW(),FALSE)</f>
        <v>0</v>
      </c>
      <c r="AD2606" s="580">
        <f t="shared" si="236"/>
        <v>5</v>
      </c>
      <c r="AE2606" s="580">
        <f t="shared" si="237"/>
        <v>2.5</v>
      </c>
      <c r="AF2606" s="580">
        <f t="shared" si="238"/>
        <v>2.5</v>
      </c>
      <c r="AG2606" s="580">
        <f t="shared" si="239"/>
        <v>0</v>
      </c>
      <c r="AH2606" s="580">
        <f t="shared" si="240"/>
        <v>0</v>
      </c>
    </row>
    <row r="2607" spans="28:34">
      <c r="AB2607" s="580">
        <f>HLOOKUP("*"&amp;'Output annual'!$AC$2&amp;'Output annual'!$AD$2&amp;"*Zone People Number Of Occupants [](Hourly)",'Eplus results'!$1:$1048576,ROW(),FALSE)</f>
        <v>0</v>
      </c>
      <c r="AC2607" s="580">
        <f>HLOOKUP("*"&amp;'Output annual'!$AC$2&amp;'Output annual'!$AD$2&amp;"*FangerPMV(Hourly)",'Eplus results'!$1:$1048576,ROW(),FALSE)</f>
        <v>0</v>
      </c>
      <c r="AD2607" s="580">
        <f t="shared" si="236"/>
        <v>5</v>
      </c>
      <c r="AE2607" s="580">
        <f t="shared" si="237"/>
        <v>2.5</v>
      </c>
      <c r="AF2607" s="580">
        <f t="shared" si="238"/>
        <v>2.5</v>
      </c>
      <c r="AG2607" s="580">
        <f t="shared" si="239"/>
        <v>0</v>
      </c>
      <c r="AH2607" s="580">
        <f t="shared" si="240"/>
        <v>0</v>
      </c>
    </row>
    <row r="2608" spans="28:34">
      <c r="AB2608" s="580">
        <f>HLOOKUP("*"&amp;'Output annual'!$AC$2&amp;'Output annual'!$AD$2&amp;"*Zone People Number Of Occupants [](Hourly)",'Eplus results'!$1:$1048576,ROW(),FALSE)</f>
        <v>0</v>
      </c>
      <c r="AC2608" s="580">
        <f>HLOOKUP("*"&amp;'Output annual'!$AC$2&amp;'Output annual'!$AD$2&amp;"*FangerPMV(Hourly)",'Eplus results'!$1:$1048576,ROW(),FALSE)</f>
        <v>0</v>
      </c>
      <c r="AD2608" s="580">
        <f t="shared" si="236"/>
        <v>5</v>
      </c>
      <c r="AE2608" s="580">
        <f t="shared" si="237"/>
        <v>2.5</v>
      </c>
      <c r="AF2608" s="580">
        <f t="shared" si="238"/>
        <v>2.5</v>
      </c>
      <c r="AG2608" s="580">
        <f t="shared" si="239"/>
        <v>0</v>
      </c>
      <c r="AH2608" s="580">
        <f t="shared" si="240"/>
        <v>0</v>
      </c>
    </row>
    <row r="2609" spans="28:34">
      <c r="AB2609" s="580">
        <f>HLOOKUP("*"&amp;'Output annual'!$AC$2&amp;'Output annual'!$AD$2&amp;"*Zone People Number Of Occupants [](Hourly)",'Eplus results'!$1:$1048576,ROW(),FALSE)</f>
        <v>0</v>
      </c>
      <c r="AC2609" s="580">
        <f>HLOOKUP("*"&amp;'Output annual'!$AC$2&amp;'Output annual'!$AD$2&amp;"*FangerPMV(Hourly)",'Eplus results'!$1:$1048576,ROW(),FALSE)</f>
        <v>0</v>
      </c>
      <c r="AD2609" s="580">
        <f t="shared" si="236"/>
        <v>5</v>
      </c>
      <c r="AE2609" s="580">
        <f t="shared" si="237"/>
        <v>2.5</v>
      </c>
      <c r="AF2609" s="580">
        <f t="shared" si="238"/>
        <v>2.5</v>
      </c>
      <c r="AG2609" s="580">
        <f t="shared" si="239"/>
        <v>0</v>
      </c>
      <c r="AH2609" s="580">
        <f t="shared" si="240"/>
        <v>0</v>
      </c>
    </row>
    <row r="2610" spans="28:34">
      <c r="AB2610" s="580">
        <f>HLOOKUP("*"&amp;'Output annual'!$AC$2&amp;'Output annual'!$AD$2&amp;"*Zone People Number Of Occupants [](Hourly)",'Eplus results'!$1:$1048576,ROW(),FALSE)</f>
        <v>0</v>
      </c>
      <c r="AC2610" s="580">
        <f>HLOOKUP("*"&amp;'Output annual'!$AC$2&amp;'Output annual'!$AD$2&amp;"*FangerPMV(Hourly)",'Eplus results'!$1:$1048576,ROW(),FALSE)</f>
        <v>0</v>
      </c>
      <c r="AD2610" s="580">
        <f t="shared" si="236"/>
        <v>5</v>
      </c>
      <c r="AE2610" s="580">
        <f t="shared" si="237"/>
        <v>2.5</v>
      </c>
      <c r="AF2610" s="580">
        <f t="shared" si="238"/>
        <v>2.5</v>
      </c>
      <c r="AG2610" s="580">
        <f t="shared" si="239"/>
        <v>0</v>
      </c>
      <c r="AH2610" s="580">
        <f t="shared" si="240"/>
        <v>0</v>
      </c>
    </row>
    <row r="2611" spans="28:34">
      <c r="AB2611" s="580">
        <f>HLOOKUP("*"&amp;'Output annual'!$AC$2&amp;'Output annual'!$AD$2&amp;"*Zone People Number Of Occupants [](Hourly)",'Eplus results'!$1:$1048576,ROW(),FALSE)</f>
        <v>0</v>
      </c>
      <c r="AC2611" s="580">
        <f>HLOOKUP("*"&amp;'Output annual'!$AC$2&amp;'Output annual'!$AD$2&amp;"*FangerPMV(Hourly)",'Eplus results'!$1:$1048576,ROW(),FALSE)</f>
        <v>0</v>
      </c>
      <c r="AD2611" s="580">
        <f t="shared" si="236"/>
        <v>5</v>
      </c>
      <c r="AE2611" s="580">
        <f t="shared" si="237"/>
        <v>2.5</v>
      </c>
      <c r="AF2611" s="580">
        <f t="shared" si="238"/>
        <v>2.5</v>
      </c>
      <c r="AG2611" s="580">
        <f t="shared" si="239"/>
        <v>0</v>
      </c>
      <c r="AH2611" s="580">
        <f t="shared" si="240"/>
        <v>0</v>
      </c>
    </row>
    <row r="2612" spans="28:34">
      <c r="AB2612" s="580">
        <f>HLOOKUP("*"&amp;'Output annual'!$AC$2&amp;'Output annual'!$AD$2&amp;"*Zone People Number Of Occupants [](Hourly)",'Eplus results'!$1:$1048576,ROW(),FALSE)</f>
        <v>0</v>
      </c>
      <c r="AC2612" s="580">
        <f>HLOOKUP("*"&amp;'Output annual'!$AC$2&amp;'Output annual'!$AD$2&amp;"*FangerPMV(Hourly)",'Eplus results'!$1:$1048576,ROW(),FALSE)</f>
        <v>0</v>
      </c>
      <c r="AD2612" s="580">
        <f t="shared" si="236"/>
        <v>5</v>
      </c>
      <c r="AE2612" s="580">
        <f t="shared" si="237"/>
        <v>2.5</v>
      </c>
      <c r="AF2612" s="580">
        <f t="shared" si="238"/>
        <v>2.5</v>
      </c>
      <c r="AG2612" s="580">
        <f t="shared" si="239"/>
        <v>0</v>
      </c>
      <c r="AH2612" s="580">
        <f t="shared" si="240"/>
        <v>0</v>
      </c>
    </row>
    <row r="2613" spans="28:34">
      <c r="AB2613" s="580">
        <f>HLOOKUP("*"&amp;'Output annual'!$AC$2&amp;'Output annual'!$AD$2&amp;"*Zone People Number Of Occupants [](Hourly)",'Eplus results'!$1:$1048576,ROW(),FALSE)</f>
        <v>0</v>
      </c>
      <c r="AC2613" s="580">
        <f>HLOOKUP("*"&amp;'Output annual'!$AC$2&amp;'Output annual'!$AD$2&amp;"*FangerPMV(Hourly)",'Eplus results'!$1:$1048576,ROW(),FALSE)</f>
        <v>0</v>
      </c>
      <c r="AD2613" s="580">
        <f t="shared" si="236"/>
        <v>5</v>
      </c>
      <c r="AE2613" s="580">
        <f t="shared" si="237"/>
        <v>2.5</v>
      </c>
      <c r="AF2613" s="580">
        <f t="shared" si="238"/>
        <v>2.5</v>
      </c>
      <c r="AG2613" s="580">
        <f t="shared" si="239"/>
        <v>0</v>
      </c>
      <c r="AH2613" s="580">
        <f t="shared" si="240"/>
        <v>0</v>
      </c>
    </row>
    <row r="2614" spans="28:34">
      <c r="AB2614" s="580">
        <f>HLOOKUP("*"&amp;'Output annual'!$AC$2&amp;'Output annual'!$AD$2&amp;"*Zone People Number Of Occupants [](Hourly)",'Eplus results'!$1:$1048576,ROW(),FALSE)</f>
        <v>0</v>
      </c>
      <c r="AC2614" s="580">
        <f>HLOOKUP("*"&amp;'Output annual'!$AC$2&amp;'Output annual'!$AD$2&amp;"*FangerPMV(Hourly)",'Eplus results'!$1:$1048576,ROW(),FALSE)</f>
        <v>0</v>
      </c>
      <c r="AD2614" s="580">
        <f t="shared" si="236"/>
        <v>5</v>
      </c>
      <c r="AE2614" s="580">
        <f t="shared" si="237"/>
        <v>2.5</v>
      </c>
      <c r="AF2614" s="580">
        <f t="shared" si="238"/>
        <v>2.5</v>
      </c>
      <c r="AG2614" s="580">
        <f t="shared" si="239"/>
        <v>0</v>
      </c>
      <c r="AH2614" s="580">
        <f t="shared" si="240"/>
        <v>0</v>
      </c>
    </row>
    <row r="2615" spans="28:34">
      <c r="AB2615" s="580">
        <f>HLOOKUP("*"&amp;'Output annual'!$AC$2&amp;'Output annual'!$AD$2&amp;"*Zone People Number Of Occupants [](Hourly)",'Eplus results'!$1:$1048576,ROW(),FALSE)</f>
        <v>0</v>
      </c>
      <c r="AC2615" s="580">
        <f>HLOOKUP("*"&amp;'Output annual'!$AC$2&amp;'Output annual'!$AD$2&amp;"*FangerPMV(Hourly)",'Eplus results'!$1:$1048576,ROW(),FALSE)</f>
        <v>0</v>
      </c>
      <c r="AD2615" s="580">
        <f t="shared" si="236"/>
        <v>5</v>
      </c>
      <c r="AE2615" s="580">
        <f t="shared" si="237"/>
        <v>2.5</v>
      </c>
      <c r="AF2615" s="580">
        <f t="shared" si="238"/>
        <v>2.5</v>
      </c>
      <c r="AG2615" s="580">
        <f t="shared" si="239"/>
        <v>0</v>
      </c>
      <c r="AH2615" s="580">
        <f t="shared" si="240"/>
        <v>0</v>
      </c>
    </row>
    <row r="2616" spans="28:34">
      <c r="AB2616" s="580">
        <f>HLOOKUP("*"&amp;'Output annual'!$AC$2&amp;'Output annual'!$AD$2&amp;"*Zone People Number Of Occupants [](Hourly)",'Eplus results'!$1:$1048576,ROW(),FALSE)</f>
        <v>0</v>
      </c>
      <c r="AC2616" s="580">
        <f>HLOOKUP("*"&amp;'Output annual'!$AC$2&amp;'Output annual'!$AD$2&amp;"*FangerPMV(Hourly)",'Eplus results'!$1:$1048576,ROW(),FALSE)</f>
        <v>0</v>
      </c>
      <c r="AD2616" s="580">
        <f t="shared" si="236"/>
        <v>5</v>
      </c>
      <c r="AE2616" s="580">
        <f t="shared" si="237"/>
        <v>2.5</v>
      </c>
      <c r="AF2616" s="580">
        <f t="shared" si="238"/>
        <v>2.5</v>
      </c>
      <c r="AG2616" s="580">
        <f t="shared" si="239"/>
        <v>0</v>
      </c>
      <c r="AH2616" s="580">
        <f t="shared" si="240"/>
        <v>0</v>
      </c>
    </row>
    <row r="2617" spans="28:34">
      <c r="AB2617" s="580">
        <f>HLOOKUP("*"&amp;'Output annual'!$AC$2&amp;'Output annual'!$AD$2&amp;"*Zone People Number Of Occupants [](Hourly)",'Eplus results'!$1:$1048576,ROW(),FALSE)</f>
        <v>0</v>
      </c>
      <c r="AC2617" s="580">
        <f>HLOOKUP("*"&amp;'Output annual'!$AC$2&amp;'Output annual'!$AD$2&amp;"*FangerPMV(Hourly)",'Eplus results'!$1:$1048576,ROW(),FALSE)</f>
        <v>0</v>
      </c>
      <c r="AD2617" s="580">
        <f t="shared" si="236"/>
        <v>5</v>
      </c>
      <c r="AE2617" s="580">
        <f t="shared" si="237"/>
        <v>2.5</v>
      </c>
      <c r="AF2617" s="580">
        <f t="shared" si="238"/>
        <v>2.5</v>
      </c>
      <c r="AG2617" s="580">
        <f t="shared" si="239"/>
        <v>0</v>
      </c>
      <c r="AH2617" s="580">
        <f t="shared" si="240"/>
        <v>0</v>
      </c>
    </row>
    <row r="2618" spans="28:34">
      <c r="AB2618" s="580">
        <f>HLOOKUP("*"&amp;'Output annual'!$AC$2&amp;'Output annual'!$AD$2&amp;"*Zone People Number Of Occupants [](Hourly)",'Eplus results'!$1:$1048576,ROW(),FALSE)</f>
        <v>0</v>
      </c>
      <c r="AC2618" s="580">
        <f>HLOOKUP("*"&amp;'Output annual'!$AC$2&amp;'Output annual'!$AD$2&amp;"*FangerPMV(Hourly)",'Eplus results'!$1:$1048576,ROW(),FALSE)</f>
        <v>0</v>
      </c>
      <c r="AD2618" s="580">
        <f t="shared" si="236"/>
        <v>5</v>
      </c>
      <c r="AE2618" s="580">
        <f t="shared" si="237"/>
        <v>2.5</v>
      </c>
      <c r="AF2618" s="580">
        <f t="shared" si="238"/>
        <v>2.5</v>
      </c>
      <c r="AG2618" s="580">
        <f t="shared" si="239"/>
        <v>0</v>
      </c>
      <c r="AH2618" s="580">
        <f t="shared" si="240"/>
        <v>0</v>
      </c>
    </row>
    <row r="2619" spans="28:34">
      <c r="AB2619" s="580">
        <f>HLOOKUP("*"&amp;'Output annual'!$AC$2&amp;'Output annual'!$AD$2&amp;"*Zone People Number Of Occupants [](Hourly)",'Eplus results'!$1:$1048576,ROW(),FALSE)</f>
        <v>0</v>
      </c>
      <c r="AC2619" s="580">
        <f>HLOOKUP("*"&amp;'Output annual'!$AC$2&amp;'Output annual'!$AD$2&amp;"*FangerPMV(Hourly)",'Eplus results'!$1:$1048576,ROW(),FALSE)</f>
        <v>0</v>
      </c>
      <c r="AD2619" s="580">
        <f t="shared" si="236"/>
        <v>5</v>
      </c>
      <c r="AE2619" s="580">
        <f t="shared" si="237"/>
        <v>2.5</v>
      </c>
      <c r="AF2619" s="580">
        <f t="shared" si="238"/>
        <v>2.5</v>
      </c>
      <c r="AG2619" s="580">
        <f t="shared" si="239"/>
        <v>0</v>
      </c>
      <c r="AH2619" s="580">
        <f t="shared" si="240"/>
        <v>0</v>
      </c>
    </row>
    <row r="2620" spans="28:34">
      <c r="AB2620" s="580">
        <f>HLOOKUP("*"&amp;'Output annual'!$AC$2&amp;'Output annual'!$AD$2&amp;"*Zone People Number Of Occupants [](Hourly)",'Eplus results'!$1:$1048576,ROW(),FALSE)</f>
        <v>0</v>
      </c>
      <c r="AC2620" s="580">
        <f>HLOOKUP("*"&amp;'Output annual'!$AC$2&amp;'Output annual'!$AD$2&amp;"*FangerPMV(Hourly)",'Eplus results'!$1:$1048576,ROW(),FALSE)</f>
        <v>0</v>
      </c>
      <c r="AD2620" s="580">
        <f t="shared" si="236"/>
        <v>5</v>
      </c>
      <c r="AE2620" s="580">
        <f t="shared" si="237"/>
        <v>2.5</v>
      </c>
      <c r="AF2620" s="580">
        <f t="shared" si="238"/>
        <v>2.5</v>
      </c>
      <c r="AG2620" s="580">
        <f t="shared" si="239"/>
        <v>0</v>
      </c>
      <c r="AH2620" s="580">
        <f t="shared" si="240"/>
        <v>0</v>
      </c>
    </row>
    <row r="2621" spans="28:34">
      <c r="AB2621" s="580">
        <f>HLOOKUP("*"&amp;'Output annual'!$AC$2&amp;'Output annual'!$AD$2&amp;"*Zone People Number Of Occupants [](Hourly)",'Eplus results'!$1:$1048576,ROW(),FALSE)</f>
        <v>0</v>
      </c>
      <c r="AC2621" s="580">
        <f>HLOOKUP("*"&amp;'Output annual'!$AC$2&amp;'Output annual'!$AD$2&amp;"*FangerPMV(Hourly)",'Eplus results'!$1:$1048576,ROW(),FALSE)</f>
        <v>0</v>
      </c>
      <c r="AD2621" s="580">
        <f t="shared" si="236"/>
        <v>5</v>
      </c>
      <c r="AE2621" s="580">
        <f t="shared" si="237"/>
        <v>2.5</v>
      </c>
      <c r="AF2621" s="580">
        <f t="shared" si="238"/>
        <v>2.5</v>
      </c>
      <c r="AG2621" s="580">
        <f t="shared" si="239"/>
        <v>0</v>
      </c>
      <c r="AH2621" s="580">
        <f t="shared" si="240"/>
        <v>0</v>
      </c>
    </row>
    <row r="2622" spans="28:34">
      <c r="AB2622" s="580">
        <f>HLOOKUP("*"&amp;'Output annual'!$AC$2&amp;'Output annual'!$AD$2&amp;"*Zone People Number Of Occupants [](Hourly)",'Eplus results'!$1:$1048576,ROW(),FALSE)</f>
        <v>0</v>
      </c>
      <c r="AC2622" s="580">
        <f>HLOOKUP("*"&amp;'Output annual'!$AC$2&amp;'Output annual'!$AD$2&amp;"*FangerPMV(Hourly)",'Eplus results'!$1:$1048576,ROW(),FALSE)</f>
        <v>0</v>
      </c>
      <c r="AD2622" s="580">
        <f t="shared" si="236"/>
        <v>5</v>
      </c>
      <c r="AE2622" s="580">
        <f t="shared" si="237"/>
        <v>2.5</v>
      </c>
      <c r="AF2622" s="580">
        <f t="shared" si="238"/>
        <v>2.5</v>
      </c>
      <c r="AG2622" s="580">
        <f t="shared" si="239"/>
        <v>0</v>
      </c>
      <c r="AH2622" s="580">
        <f t="shared" si="240"/>
        <v>0</v>
      </c>
    </row>
    <row r="2623" spans="28:34">
      <c r="AB2623" s="580">
        <f>HLOOKUP("*"&amp;'Output annual'!$AC$2&amp;'Output annual'!$AD$2&amp;"*Zone People Number Of Occupants [](Hourly)",'Eplus results'!$1:$1048576,ROW(),FALSE)</f>
        <v>0</v>
      </c>
      <c r="AC2623" s="580">
        <f>HLOOKUP("*"&amp;'Output annual'!$AC$2&amp;'Output annual'!$AD$2&amp;"*FangerPMV(Hourly)",'Eplus results'!$1:$1048576,ROW(),FALSE)</f>
        <v>0</v>
      </c>
      <c r="AD2623" s="580">
        <f t="shared" si="236"/>
        <v>5</v>
      </c>
      <c r="AE2623" s="580">
        <f t="shared" si="237"/>
        <v>2.5</v>
      </c>
      <c r="AF2623" s="580">
        <f t="shared" si="238"/>
        <v>2.5</v>
      </c>
      <c r="AG2623" s="580">
        <f t="shared" si="239"/>
        <v>0</v>
      </c>
      <c r="AH2623" s="580">
        <f t="shared" si="240"/>
        <v>0</v>
      </c>
    </row>
    <row r="2624" spans="28:34">
      <c r="AB2624" s="580">
        <f>HLOOKUP("*"&amp;'Output annual'!$AC$2&amp;'Output annual'!$AD$2&amp;"*Zone People Number Of Occupants [](Hourly)",'Eplus results'!$1:$1048576,ROW(),FALSE)</f>
        <v>0</v>
      </c>
      <c r="AC2624" s="580">
        <f>HLOOKUP("*"&amp;'Output annual'!$AC$2&amp;'Output annual'!$AD$2&amp;"*FangerPMV(Hourly)",'Eplus results'!$1:$1048576,ROW(),FALSE)</f>
        <v>0</v>
      </c>
      <c r="AD2624" s="580">
        <f t="shared" si="236"/>
        <v>5</v>
      </c>
      <c r="AE2624" s="580">
        <f t="shared" si="237"/>
        <v>2.5</v>
      </c>
      <c r="AF2624" s="580">
        <f t="shared" si="238"/>
        <v>2.5</v>
      </c>
      <c r="AG2624" s="580">
        <f t="shared" si="239"/>
        <v>0</v>
      </c>
      <c r="AH2624" s="580">
        <f t="shared" si="240"/>
        <v>0</v>
      </c>
    </row>
    <row r="2625" spans="28:34">
      <c r="AB2625" s="580">
        <f>HLOOKUP("*"&amp;'Output annual'!$AC$2&amp;'Output annual'!$AD$2&amp;"*Zone People Number Of Occupants [](Hourly)",'Eplus results'!$1:$1048576,ROW(),FALSE)</f>
        <v>0</v>
      </c>
      <c r="AC2625" s="580">
        <f>HLOOKUP("*"&amp;'Output annual'!$AC$2&amp;'Output annual'!$AD$2&amp;"*FangerPMV(Hourly)",'Eplus results'!$1:$1048576,ROW(),FALSE)</f>
        <v>0</v>
      </c>
      <c r="AD2625" s="580">
        <f t="shared" si="236"/>
        <v>5</v>
      </c>
      <c r="AE2625" s="580">
        <f t="shared" si="237"/>
        <v>2.5</v>
      </c>
      <c r="AF2625" s="580">
        <f t="shared" si="238"/>
        <v>2.5</v>
      </c>
      <c r="AG2625" s="580">
        <f t="shared" si="239"/>
        <v>0</v>
      </c>
      <c r="AH2625" s="580">
        <f t="shared" si="240"/>
        <v>0</v>
      </c>
    </row>
    <row r="2626" spans="28:34">
      <c r="AB2626" s="580">
        <f>HLOOKUP("*"&amp;'Output annual'!$AC$2&amp;'Output annual'!$AD$2&amp;"*Zone People Number Of Occupants [](Hourly)",'Eplus results'!$1:$1048576,ROW(),FALSE)</f>
        <v>0</v>
      </c>
      <c r="AC2626" s="580">
        <f>HLOOKUP("*"&amp;'Output annual'!$AC$2&amp;'Output annual'!$AD$2&amp;"*FangerPMV(Hourly)",'Eplus results'!$1:$1048576,ROW(),FALSE)</f>
        <v>0</v>
      </c>
      <c r="AD2626" s="580">
        <f t="shared" si="236"/>
        <v>5</v>
      </c>
      <c r="AE2626" s="580">
        <f t="shared" si="237"/>
        <v>2.5</v>
      </c>
      <c r="AF2626" s="580">
        <f t="shared" si="238"/>
        <v>2.5</v>
      </c>
      <c r="AG2626" s="580">
        <f t="shared" si="239"/>
        <v>0</v>
      </c>
      <c r="AH2626" s="580">
        <f t="shared" si="240"/>
        <v>0</v>
      </c>
    </row>
    <row r="2627" spans="28:34">
      <c r="AB2627" s="580">
        <f>HLOOKUP("*"&amp;'Output annual'!$AC$2&amp;'Output annual'!$AD$2&amp;"*Zone People Number Of Occupants [](Hourly)",'Eplus results'!$1:$1048576,ROW(),FALSE)</f>
        <v>0</v>
      </c>
      <c r="AC2627" s="580">
        <f>HLOOKUP("*"&amp;'Output annual'!$AC$2&amp;'Output annual'!$AD$2&amp;"*FangerPMV(Hourly)",'Eplus results'!$1:$1048576,ROW(),FALSE)</f>
        <v>0</v>
      </c>
      <c r="AD2627" s="580">
        <f t="shared" ref="AD2627:AD2690" si="241">100-95*EXP(-0.03353*AC2627^4-0.2179*AC2627^2)</f>
        <v>5</v>
      </c>
      <c r="AE2627" s="580">
        <f t="shared" ref="AE2627:AE2690" si="242">AD2627*(1/(1+EXP(-6.3*$AC2627)))</f>
        <v>2.5</v>
      </c>
      <c r="AF2627" s="580">
        <f t="shared" ref="AF2627:AF2690" si="243">(AD2627-AE2627)</f>
        <v>2.5</v>
      </c>
      <c r="AG2627" s="580">
        <f t="shared" ref="AG2627:AG2690" si="244">AE2627*AB2627</f>
        <v>0</v>
      </c>
      <c r="AH2627" s="580">
        <f t="shared" ref="AH2627:AH2690" si="245">AF2627*AB2627</f>
        <v>0</v>
      </c>
    </row>
    <row r="2628" spans="28:34">
      <c r="AB2628" s="580">
        <f>HLOOKUP("*"&amp;'Output annual'!$AC$2&amp;'Output annual'!$AD$2&amp;"*Zone People Number Of Occupants [](Hourly)",'Eplus results'!$1:$1048576,ROW(),FALSE)</f>
        <v>0</v>
      </c>
      <c r="AC2628" s="580">
        <f>HLOOKUP("*"&amp;'Output annual'!$AC$2&amp;'Output annual'!$AD$2&amp;"*FangerPMV(Hourly)",'Eplus results'!$1:$1048576,ROW(),FALSE)</f>
        <v>0</v>
      </c>
      <c r="AD2628" s="580">
        <f t="shared" si="241"/>
        <v>5</v>
      </c>
      <c r="AE2628" s="580">
        <f t="shared" si="242"/>
        <v>2.5</v>
      </c>
      <c r="AF2628" s="580">
        <f t="shared" si="243"/>
        <v>2.5</v>
      </c>
      <c r="AG2628" s="580">
        <f t="shared" si="244"/>
        <v>0</v>
      </c>
      <c r="AH2628" s="580">
        <f t="shared" si="245"/>
        <v>0</v>
      </c>
    </row>
    <row r="2629" spans="28:34">
      <c r="AB2629" s="580">
        <f>HLOOKUP("*"&amp;'Output annual'!$AC$2&amp;'Output annual'!$AD$2&amp;"*Zone People Number Of Occupants [](Hourly)",'Eplus results'!$1:$1048576,ROW(),FALSE)</f>
        <v>0</v>
      </c>
      <c r="AC2629" s="580">
        <f>HLOOKUP("*"&amp;'Output annual'!$AC$2&amp;'Output annual'!$AD$2&amp;"*FangerPMV(Hourly)",'Eplus results'!$1:$1048576,ROW(),FALSE)</f>
        <v>0</v>
      </c>
      <c r="AD2629" s="580">
        <f t="shared" si="241"/>
        <v>5</v>
      </c>
      <c r="AE2629" s="580">
        <f t="shared" si="242"/>
        <v>2.5</v>
      </c>
      <c r="AF2629" s="580">
        <f t="shared" si="243"/>
        <v>2.5</v>
      </c>
      <c r="AG2629" s="580">
        <f t="shared" si="244"/>
        <v>0</v>
      </c>
      <c r="AH2629" s="580">
        <f t="shared" si="245"/>
        <v>0</v>
      </c>
    </row>
    <row r="2630" spans="28:34">
      <c r="AB2630" s="580">
        <f>HLOOKUP("*"&amp;'Output annual'!$AC$2&amp;'Output annual'!$AD$2&amp;"*Zone People Number Of Occupants [](Hourly)",'Eplus results'!$1:$1048576,ROW(),FALSE)</f>
        <v>0</v>
      </c>
      <c r="AC2630" s="580">
        <f>HLOOKUP("*"&amp;'Output annual'!$AC$2&amp;'Output annual'!$AD$2&amp;"*FangerPMV(Hourly)",'Eplus results'!$1:$1048576,ROW(),FALSE)</f>
        <v>0</v>
      </c>
      <c r="AD2630" s="580">
        <f t="shared" si="241"/>
        <v>5</v>
      </c>
      <c r="AE2630" s="580">
        <f t="shared" si="242"/>
        <v>2.5</v>
      </c>
      <c r="AF2630" s="580">
        <f t="shared" si="243"/>
        <v>2.5</v>
      </c>
      <c r="AG2630" s="580">
        <f t="shared" si="244"/>
        <v>0</v>
      </c>
      <c r="AH2630" s="580">
        <f t="shared" si="245"/>
        <v>0</v>
      </c>
    </row>
    <row r="2631" spans="28:34">
      <c r="AB2631" s="580">
        <f>HLOOKUP("*"&amp;'Output annual'!$AC$2&amp;'Output annual'!$AD$2&amp;"*Zone People Number Of Occupants [](Hourly)",'Eplus results'!$1:$1048576,ROW(),FALSE)</f>
        <v>0</v>
      </c>
      <c r="AC2631" s="580">
        <f>HLOOKUP("*"&amp;'Output annual'!$AC$2&amp;'Output annual'!$AD$2&amp;"*FangerPMV(Hourly)",'Eplus results'!$1:$1048576,ROW(),FALSE)</f>
        <v>0</v>
      </c>
      <c r="AD2631" s="580">
        <f t="shared" si="241"/>
        <v>5</v>
      </c>
      <c r="AE2631" s="580">
        <f t="shared" si="242"/>
        <v>2.5</v>
      </c>
      <c r="AF2631" s="580">
        <f t="shared" si="243"/>
        <v>2.5</v>
      </c>
      <c r="AG2631" s="580">
        <f t="shared" si="244"/>
        <v>0</v>
      </c>
      <c r="AH2631" s="580">
        <f t="shared" si="245"/>
        <v>0</v>
      </c>
    </row>
    <row r="2632" spans="28:34">
      <c r="AB2632" s="580">
        <f>HLOOKUP("*"&amp;'Output annual'!$AC$2&amp;'Output annual'!$AD$2&amp;"*Zone People Number Of Occupants [](Hourly)",'Eplus results'!$1:$1048576,ROW(),FALSE)</f>
        <v>0</v>
      </c>
      <c r="AC2632" s="580">
        <f>HLOOKUP("*"&amp;'Output annual'!$AC$2&amp;'Output annual'!$AD$2&amp;"*FangerPMV(Hourly)",'Eplus results'!$1:$1048576,ROW(),FALSE)</f>
        <v>0</v>
      </c>
      <c r="AD2632" s="580">
        <f t="shared" si="241"/>
        <v>5</v>
      </c>
      <c r="AE2632" s="580">
        <f t="shared" si="242"/>
        <v>2.5</v>
      </c>
      <c r="AF2632" s="580">
        <f t="shared" si="243"/>
        <v>2.5</v>
      </c>
      <c r="AG2632" s="580">
        <f t="shared" si="244"/>
        <v>0</v>
      </c>
      <c r="AH2632" s="580">
        <f t="shared" si="245"/>
        <v>0</v>
      </c>
    </row>
    <row r="2633" spans="28:34">
      <c r="AB2633" s="580">
        <f>HLOOKUP("*"&amp;'Output annual'!$AC$2&amp;'Output annual'!$AD$2&amp;"*Zone People Number Of Occupants [](Hourly)",'Eplus results'!$1:$1048576,ROW(),FALSE)</f>
        <v>0</v>
      </c>
      <c r="AC2633" s="580">
        <f>HLOOKUP("*"&amp;'Output annual'!$AC$2&amp;'Output annual'!$AD$2&amp;"*FangerPMV(Hourly)",'Eplus results'!$1:$1048576,ROW(),FALSE)</f>
        <v>0</v>
      </c>
      <c r="AD2633" s="580">
        <f t="shared" si="241"/>
        <v>5</v>
      </c>
      <c r="AE2633" s="580">
        <f t="shared" si="242"/>
        <v>2.5</v>
      </c>
      <c r="AF2633" s="580">
        <f t="shared" si="243"/>
        <v>2.5</v>
      </c>
      <c r="AG2633" s="580">
        <f t="shared" si="244"/>
        <v>0</v>
      </c>
      <c r="AH2633" s="580">
        <f t="shared" si="245"/>
        <v>0</v>
      </c>
    </row>
    <row r="2634" spans="28:34">
      <c r="AB2634" s="580">
        <f>HLOOKUP("*"&amp;'Output annual'!$AC$2&amp;'Output annual'!$AD$2&amp;"*Zone People Number Of Occupants [](Hourly)",'Eplus results'!$1:$1048576,ROW(),FALSE)</f>
        <v>0</v>
      </c>
      <c r="AC2634" s="580">
        <f>HLOOKUP("*"&amp;'Output annual'!$AC$2&amp;'Output annual'!$AD$2&amp;"*FangerPMV(Hourly)",'Eplus results'!$1:$1048576,ROW(),FALSE)</f>
        <v>0</v>
      </c>
      <c r="AD2634" s="580">
        <f t="shared" si="241"/>
        <v>5</v>
      </c>
      <c r="AE2634" s="580">
        <f t="shared" si="242"/>
        <v>2.5</v>
      </c>
      <c r="AF2634" s="580">
        <f t="shared" si="243"/>
        <v>2.5</v>
      </c>
      <c r="AG2634" s="580">
        <f t="shared" si="244"/>
        <v>0</v>
      </c>
      <c r="AH2634" s="580">
        <f t="shared" si="245"/>
        <v>0</v>
      </c>
    </row>
    <row r="2635" spans="28:34">
      <c r="AB2635" s="580">
        <f>HLOOKUP("*"&amp;'Output annual'!$AC$2&amp;'Output annual'!$AD$2&amp;"*Zone People Number Of Occupants [](Hourly)",'Eplus results'!$1:$1048576,ROW(),FALSE)</f>
        <v>0</v>
      </c>
      <c r="AC2635" s="580">
        <f>HLOOKUP("*"&amp;'Output annual'!$AC$2&amp;'Output annual'!$AD$2&amp;"*FangerPMV(Hourly)",'Eplus results'!$1:$1048576,ROW(),FALSE)</f>
        <v>0</v>
      </c>
      <c r="AD2635" s="580">
        <f t="shared" si="241"/>
        <v>5</v>
      </c>
      <c r="AE2635" s="580">
        <f t="shared" si="242"/>
        <v>2.5</v>
      </c>
      <c r="AF2635" s="580">
        <f t="shared" si="243"/>
        <v>2.5</v>
      </c>
      <c r="AG2635" s="580">
        <f t="shared" si="244"/>
        <v>0</v>
      </c>
      <c r="AH2635" s="580">
        <f t="shared" si="245"/>
        <v>0</v>
      </c>
    </row>
    <row r="2636" spans="28:34">
      <c r="AB2636" s="580">
        <f>HLOOKUP("*"&amp;'Output annual'!$AC$2&amp;'Output annual'!$AD$2&amp;"*Zone People Number Of Occupants [](Hourly)",'Eplus results'!$1:$1048576,ROW(),FALSE)</f>
        <v>0</v>
      </c>
      <c r="AC2636" s="580">
        <f>HLOOKUP("*"&amp;'Output annual'!$AC$2&amp;'Output annual'!$AD$2&amp;"*FangerPMV(Hourly)",'Eplus results'!$1:$1048576,ROW(),FALSE)</f>
        <v>0</v>
      </c>
      <c r="AD2636" s="580">
        <f t="shared" si="241"/>
        <v>5</v>
      </c>
      <c r="AE2636" s="580">
        <f t="shared" si="242"/>
        <v>2.5</v>
      </c>
      <c r="AF2636" s="580">
        <f t="shared" si="243"/>
        <v>2.5</v>
      </c>
      <c r="AG2636" s="580">
        <f t="shared" si="244"/>
        <v>0</v>
      </c>
      <c r="AH2636" s="580">
        <f t="shared" si="245"/>
        <v>0</v>
      </c>
    </row>
    <row r="2637" spans="28:34">
      <c r="AB2637" s="580">
        <f>HLOOKUP("*"&amp;'Output annual'!$AC$2&amp;'Output annual'!$AD$2&amp;"*Zone People Number Of Occupants [](Hourly)",'Eplus results'!$1:$1048576,ROW(),FALSE)</f>
        <v>0</v>
      </c>
      <c r="AC2637" s="580">
        <f>HLOOKUP("*"&amp;'Output annual'!$AC$2&amp;'Output annual'!$AD$2&amp;"*FangerPMV(Hourly)",'Eplus results'!$1:$1048576,ROW(),FALSE)</f>
        <v>0</v>
      </c>
      <c r="AD2637" s="580">
        <f t="shared" si="241"/>
        <v>5</v>
      </c>
      <c r="AE2637" s="580">
        <f t="shared" si="242"/>
        <v>2.5</v>
      </c>
      <c r="AF2637" s="580">
        <f t="shared" si="243"/>
        <v>2.5</v>
      </c>
      <c r="AG2637" s="580">
        <f t="shared" si="244"/>
        <v>0</v>
      </c>
      <c r="AH2637" s="580">
        <f t="shared" si="245"/>
        <v>0</v>
      </c>
    </row>
    <row r="2638" spans="28:34">
      <c r="AB2638" s="580">
        <f>HLOOKUP("*"&amp;'Output annual'!$AC$2&amp;'Output annual'!$AD$2&amp;"*Zone People Number Of Occupants [](Hourly)",'Eplus results'!$1:$1048576,ROW(),FALSE)</f>
        <v>0</v>
      </c>
      <c r="AC2638" s="580">
        <f>HLOOKUP("*"&amp;'Output annual'!$AC$2&amp;'Output annual'!$AD$2&amp;"*FangerPMV(Hourly)",'Eplus results'!$1:$1048576,ROW(),FALSE)</f>
        <v>0</v>
      </c>
      <c r="AD2638" s="580">
        <f t="shared" si="241"/>
        <v>5</v>
      </c>
      <c r="AE2638" s="580">
        <f t="shared" si="242"/>
        <v>2.5</v>
      </c>
      <c r="AF2638" s="580">
        <f t="shared" si="243"/>
        <v>2.5</v>
      </c>
      <c r="AG2638" s="580">
        <f t="shared" si="244"/>
        <v>0</v>
      </c>
      <c r="AH2638" s="580">
        <f t="shared" si="245"/>
        <v>0</v>
      </c>
    </row>
    <row r="2639" spans="28:34">
      <c r="AB2639" s="580">
        <f>HLOOKUP("*"&amp;'Output annual'!$AC$2&amp;'Output annual'!$AD$2&amp;"*Zone People Number Of Occupants [](Hourly)",'Eplus results'!$1:$1048576,ROW(),FALSE)</f>
        <v>0</v>
      </c>
      <c r="AC2639" s="580">
        <f>HLOOKUP("*"&amp;'Output annual'!$AC$2&amp;'Output annual'!$AD$2&amp;"*FangerPMV(Hourly)",'Eplus results'!$1:$1048576,ROW(),FALSE)</f>
        <v>0</v>
      </c>
      <c r="AD2639" s="580">
        <f t="shared" si="241"/>
        <v>5</v>
      </c>
      <c r="AE2639" s="580">
        <f t="shared" si="242"/>
        <v>2.5</v>
      </c>
      <c r="AF2639" s="580">
        <f t="shared" si="243"/>
        <v>2.5</v>
      </c>
      <c r="AG2639" s="580">
        <f t="shared" si="244"/>
        <v>0</v>
      </c>
      <c r="AH2639" s="580">
        <f t="shared" si="245"/>
        <v>0</v>
      </c>
    </row>
    <row r="2640" spans="28:34">
      <c r="AB2640" s="580">
        <f>HLOOKUP("*"&amp;'Output annual'!$AC$2&amp;'Output annual'!$AD$2&amp;"*Zone People Number Of Occupants [](Hourly)",'Eplus results'!$1:$1048576,ROW(),FALSE)</f>
        <v>0</v>
      </c>
      <c r="AC2640" s="580">
        <f>HLOOKUP("*"&amp;'Output annual'!$AC$2&amp;'Output annual'!$AD$2&amp;"*FangerPMV(Hourly)",'Eplus results'!$1:$1048576,ROW(),FALSE)</f>
        <v>0</v>
      </c>
      <c r="AD2640" s="580">
        <f t="shared" si="241"/>
        <v>5</v>
      </c>
      <c r="AE2640" s="580">
        <f t="shared" si="242"/>
        <v>2.5</v>
      </c>
      <c r="AF2640" s="580">
        <f t="shared" si="243"/>
        <v>2.5</v>
      </c>
      <c r="AG2640" s="580">
        <f t="shared" si="244"/>
        <v>0</v>
      </c>
      <c r="AH2640" s="580">
        <f t="shared" si="245"/>
        <v>0</v>
      </c>
    </row>
    <row r="2641" spans="28:34">
      <c r="AB2641" s="580">
        <f>HLOOKUP("*"&amp;'Output annual'!$AC$2&amp;'Output annual'!$AD$2&amp;"*Zone People Number Of Occupants [](Hourly)",'Eplus results'!$1:$1048576,ROW(),FALSE)</f>
        <v>0</v>
      </c>
      <c r="AC2641" s="580">
        <f>HLOOKUP("*"&amp;'Output annual'!$AC$2&amp;'Output annual'!$AD$2&amp;"*FangerPMV(Hourly)",'Eplus results'!$1:$1048576,ROW(),FALSE)</f>
        <v>0</v>
      </c>
      <c r="AD2641" s="580">
        <f t="shared" si="241"/>
        <v>5</v>
      </c>
      <c r="AE2641" s="580">
        <f t="shared" si="242"/>
        <v>2.5</v>
      </c>
      <c r="AF2641" s="580">
        <f t="shared" si="243"/>
        <v>2.5</v>
      </c>
      <c r="AG2641" s="580">
        <f t="shared" si="244"/>
        <v>0</v>
      </c>
      <c r="AH2641" s="580">
        <f t="shared" si="245"/>
        <v>0</v>
      </c>
    </row>
    <row r="2642" spans="28:34">
      <c r="AB2642" s="580">
        <f>HLOOKUP("*"&amp;'Output annual'!$AC$2&amp;'Output annual'!$AD$2&amp;"*Zone People Number Of Occupants [](Hourly)",'Eplus results'!$1:$1048576,ROW(),FALSE)</f>
        <v>0</v>
      </c>
      <c r="AC2642" s="580">
        <f>HLOOKUP("*"&amp;'Output annual'!$AC$2&amp;'Output annual'!$AD$2&amp;"*FangerPMV(Hourly)",'Eplus results'!$1:$1048576,ROW(),FALSE)</f>
        <v>0</v>
      </c>
      <c r="AD2642" s="580">
        <f t="shared" si="241"/>
        <v>5</v>
      </c>
      <c r="AE2642" s="580">
        <f t="shared" si="242"/>
        <v>2.5</v>
      </c>
      <c r="AF2642" s="580">
        <f t="shared" si="243"/>
        <v>2.5</v>
      </c>
      <c r="AG2642" s="580">
        <f t="shared" si="244"/>
        <v>0</v>
      </c>
      <c r="AH2642" s="580">
        <f t="shared" si="245"/>
        <v>0</v>
      </c>
    </row>
    <row r="2643" spans="28:34">
      <c r="AB2643" s="580">
        <f>HLOOKUP("*"&amp;'Output annual'!$AC$2&amp;'Output annual'!$AD$2&amp;"*Zone People Number Of Occupants [](Hourly)",'Eplus results'!$1:$1048576,ROW(),FALSE)</f>
        <v>0</v>
      </c>
      <c r="AC2643" s="580">
        <f>HLOOKUP("*"&amp;'Output annual'!$AC$2&amp;'Output annual'!$AD$2&amp;"*FangerPMV(Hourly)",'Eplus results'!$1:$1048576,ROW(),FALSE)</f>
        <v>0</v>
      </c>
      <c r="AD2643" s="580">
        <f t="shared" si="241"/>
        <v>5</v>
      </c>
      <c r="AE2643" s="580">
        <f t="shared" si="242"/>
        <v>2.5</v>
      </c>
      <c r="AF2643" s="580">
        <f t="shared" si="243"/>
        <v>2.5</v>
      </c>
      <c r="AG2643" s="580">
        <f t="shared" si="244"/>
        <v>0</v>
      </c>
      <c r="AH2643" s="580">
        <f t="shared" si="245"/>
        <v>0</v>
      </c>
    </row>
    <row r="2644" spans="28:34">
      <c r="AB2644" s="580">
        <f>HLOOKUP("*"&amp;'Output annual'!$AC$2&amp;'Output annual'!$AD$2&amp;"*Zone People Number Of Occupants [](Hourly)",'Eplus results'!$1:$1048576,ROW(),FALSE)</f>
        <v>0</v>
      </c>
      <c r="AC2644" s="580">
        <f>HLOOKUP("*"&amp;'Output annual'!$AC$2&amp;'Output annual'!$AD$2&amp;"*FangerPMV(Hourly)",'Eplus results'!$1:$1048576,ROW(),FALSE)</f>
        <v>0</v>
      </c>
      <c r="AD2644" s="580">
        <f t="shared" si="241"/>
        <v>5</v>
      </c>
      <c r="AE2644" s="580">
        <f t="shared" si="242"/>
        <v>2.5</v>
      </c>
      <c r="AF2644" s="580">
        <f t="shared" si="243"/>
        <v>2.5</v>
      </c>
      <c r="AG2644" s="580">
        <f t="shared" si="244"/>
        <v>0</v>
      </c>
      <c r="AH2644" s="580">
        <f t="shared" si="245"/>
        <v>0</v>
      </c>
    </row>
    <row r="2645" spans="28:34">
      <c r="AB2645" s="580">
        <f>HLOOKUP("*"&amp;'Output annual'!$AC$2&amp;'Output annual'!$AD$2&amp;"*Zone People Number Of Occupants [](Hourly)",'Eplus results'!$1:$1048576,ROW(),FALSE)</f>
        <v>0</v>
      </c>
      <c r="AC2645" s="580">
        <f>HLOOKUP("*"&amp;'Output annual'!$AC$2&amp;'Output annual'!$AD$2&amp;"*FangerPMV(Hourly)",'Eplus results'!$1:$1048576,ROW(),FALSE)</f>
        <v>0</v>
      </c>
      <c r="AD2645" s="580">
        <f t="shared" si="241"/>
        <v>5</v>
      </c>
      <c r="AE2645" s="580">
        <f t="shared" si="242"/>
        <v>2.5</v>
      </c>
      <c r="AF2645" s="580">
        <f t="shared" si="243"/>
        <v>2.5</v>
      </c>
      <c r="AG2645" s="580">
        <f t="shared" si="244"/>
        <v>0</v>
      </c>
      <c r="AH2645" s="580">
        <f t="shared" si="245"/>
        <v>0</v>
      </c>
    </row>
    <row r="2646" spans="28:34">
      <c r="AB2646" s="580">
        <f>HLOOKUP("*"&amp;'Output annual'!$AC$2&amp;'Output annual'!$AD$2&amp;"*Zone People Number Of Occupants [](Hourly)",'Eplus results'!$1:$1048576,ROW(),FALSE)</f>
        <v>0</v>
      </c>
      <c r="AC2646" s="580">
        <f>HLOOKUP("*"&amp;'Output annual'!$AC$2&amp;'Output annual'!$AD$2&amp;"*FangerPMV(Hourly)",'Eplus results'!$1:$1048576,ROW(),FALSE)</f>
        <v>0</v>
      </c>
      <c r="AD2646" s="580">
        <f t="shared" si="241"/>
        <v>5</v>
      </c>
      <c r="AE2646" s="580">
        <f t="shared" si="242"/>
        <v>2.5</v>
      </c>
      <c r="AF2646" s="580">
        <f t="shared" si="243"/>
        <v>2.5</v>
      </c>
      <c r="AG2646" s="580">
        <f t="shared" si="244"/>
        <v>0</v>
      </c>
      <c r="AH2646" s="580">
        <f t="shared" si="245"/>
        <v>0</v>
      </c>
    </row>
    <row r="2647" spans="28:34">
      <c r="AB2647" s="580">
        <f>HLOOKUP("*"&amp;'Output annual'!$AC$2&amp;'Output annual'!$AD$2&amp;"*Zone People Number Of Occupants [](Hourly)",'Eplus results'!$1:$1048576,ROW(),FALSE)</f>
        <v>0</v>
      </c>
      <c r="AC2647" s="580">
        <f>HLOOKUP("*"&amp;'Output annual'!$AC$2&amp;'Output annual'!$AD$2&amp;"*FangerPMV(Hourly)",'Eplus results'!$1:$1048576,ROW(),FALSE)</f>
        <v>0</v>
      </c>
      <c r="AD2647" s="580">
        <f t="shared" si="241"/>
        <v>5</v>
      </c>
      <c r="AE2647" s="580">
        <f t="shared" si="242"/>
        <v>2.5</v>
      </c>
      <c r="AF2647" s="580">
        <f t="shared" si="243"/>
        <v>2.5</v>
      </c>
      <c r="AG2647" s="580">
        <f t="shared" si="244"/>
        <v>0</v>
      </c>
      <c r="AH2647" s="580">
        <f t="shared" si="245"/>
        <v>0</v>
      </c>
    </row>
    <row r="2648" spans="28:34">
      <c r="AB2648" s="580">
        <f>HLOOKUP("*"&amp;'Output annual'!$AC$2&amp;'Output annual'!$AD$2&amp;"*Zone People Number Of Occupants [](Hourly)",'Eplus results'!$1:$1048576,ROW(),FALSE)</f>
        <v>0</v>
      </c>
      <c r="AC2648" s="580">
        <f>HLOOKUP("*"&amp;'Output annual'!$AC$2&amp;'Output annual'!$AD$2&amp;"*FangerPMV(Hourly)",'Eplus results'!$1:$1048576,ROW(),FALSE)</f>
        <v>0</v>
      </c>
      <c r="AD2648" s="580">
        <f t="shared" si="241"/>
        <v>5</v>
      </c>
      <c r="AE2648" s="580">
        <f t="shared" si="242"/>
        <v>2.5</v>
      </c>
      <c r="AF2648" s="580">
        <f t="shared" si="243"/>
        <v>2.5</v>
      </c>
      <c r="AG2648" s="580">
        <f t="shared" si="244"/>
        <v>0</v>
      </c>
      <c r="AH2648" s="580">
        <f t="shared" si="245"/>
        <v>0</v>
      </c>
    </row>
    <row r="2649" spans="28:34">
      <c r="AB2649" s="580">
        <f>HLOOKUP("*"&amp;'Output annual'!$AC$2&amp;'Output annual'!$AD$2&amp;"*Zone People Number Of Occupants [](Hourly)",'Eplus results'!$1:$1048576,ROW(),FALSE)</f>
        <v>0</v>
      </c>
      <c r="AC2649" s="580">
        <f>HLOOKUP("*"&amp;'Output annual'!$AC$2&amp;'Output annual'!$AD$2&amp;"*FangerPMV(Hourly)",'Eplus results'!$1:$1048576,ROW(),FALSE)</f>
        <v>0</v>
      </c>
      <c r="AD2649" s="580">
        <f t="shared" si="241"/>
        <v>5</v>
      </c>
      <c r="AE2649" s="580">
        <f t="shared" si="242"/>
        <v>2.5</v>
      </c>
      <c r="AF2649" s="580">
        <f t="shared" si="243"/>
        <v>2.5</v>
      </c>
      <c r="AG2649" s="580">
        <f t="shared" si="244"/>
        <v>0</v>
      </c>
      <c r="AH2649" s="580">
        <f t="shared" si="245"/>
        <v>0</v>
      </c>
    </row>
    <row r="2650" spans="28:34">
      <c r="AB2650" s="580">
        <f>HLOOKUP("*"&amp;'Output annual'!$AC$2&amp;'Output annual'!$AD$2&amp;"*Zone People Number Of Occupants [](Hourly)",'Eplus results'!$1:$1048576,ROW(),FALSE)</f>
        <v>0</v>
      </c>
      <c r="AC2650" s="580">
        <f>HLOOKUP("*"&amp;'Output annual'!$AC$2&amp;'Output annual'!$AD$2&amp;"*FangerPMV(Hourly)",'Eplus results'!$1:$1048576,ROW(),FALSE)</f>
        <v>0</v>
      </c>
      <c r="AD2650" s="580">
        <f t="shared" si="241"/>
        <v>5</v>
      </c>
      <c r="AE2650" s="580">
        <f t="shared" si="242"/>
        <v>2.5</v>
      </c>
      <c r="AF2650" s="580">
        <f t="shared" si="243"/>
        <v>2.5</v>
      </c>
      <c r="AG2650" s="580">
        <f t="shared" si="244"/>
        <v>0</v>
      </c>
      <c r="AH2650" s="580">
        <f t="shared" si="245"/>
        <v>0</v>
      </c>
    </row>
    <row r="2651" spans="28:34">
      <c r="AB2651" s="580">
        <f>HLOOKUP("*"&amp;'Output annual'!$AC$2&amp;'Output annual'!$AD$2&amp;"*Zone People Number Of Occupants [](Hourly)",'Eplus results'!$1:$1048576,ROW(),FALSE)</f>
        <v>0</v>
      </c>
      <c r="AC2651" s="580">
        <f>HLOOKUP("*"&amp;'Output annual'!$AC$2&amp;'Output annual'!$AD$2&amp;"*FangerPMV(Hourly)",'Eplus results'!$1:$1048576,ROW(),FALSE)</f>
        <v>0</v>
      </c>
      <c r="AD2651" s="580">
        <f t="shared" si="241"/>
        <v>5</v>
      </c>
      <c r="AE2651" s="580">
        <f t="shared" si="242"/>
        <v>2.5</v>
      </c>
      <c r="AF2651" s="580">
        <f t="shared" si="243"/>
        <v>2.5</v>
      </c>
      <c r="AG2651" s="580">
        <f t="shared" si="244"/>
        <v>0</v>
      </c>
      <c r="AH2651" s="580">
        <f t="shared" si="245"/>
        <v>0</v>
      </c>
    </row>
    <row r="2652" spans="28:34">
      <c r="AB2652" s="580">
        <f>HLOOKUP("*"&amp;'Output annual'!$AC$2&amp;'Output annual'!$AD$2&amp;"*Zone People Number Of Occupants [](Hourly)",'Eplus results'!$1:$1048576,ROW(),FALSE)</f>
        <v>0</v>
      </c>
      <c r="AC2652" s="580">
        <f>HLOOKUP("*"&amp;'Output annual'!$AC$2&amp;'Output annual'!$AD$2&amp;"*FangerPMV(Hourly)",'Eplus results'!$1:$1048576,ROW(),FALSE)</f>
        <v>0</v>
      </c>
      <c r="AD2652" s="580">
        <f t="shared" si="241"/>
        <v>5</v>
      </c>
      <c r="AE2652" s="580">
        <f t="shared" si="242"/>
        <v>2.5</v>
      </c>
      <c r="AF2652" s="580">
        <f t="shared" si="243"/>
        <v>2.5</v>
      </c>
      <c r="AG2652" s="580">
        <f t="shared" si="244"/>
        <v>0</v>
      </c>
      <c r="AH2652" s="580">
        <f t="shared" si="245"/>
        <v>0</v>
      </c>
    </row>
    <row r="2653" spans="28:34">
      <c r="AB2653" s="580">
        <f>HLOOKUP("*"&amp;'Output annual'!$AC$2&amp;'Output annual'!$AD$2&amp;"*Zone People Number Of Occupants [](Hourly)",'Eplus results'!$1:$1048576,ROW(),FALSE)</f>
        <v>0</v>
      </c>
      <c r="AC2653" s="580">
        <f>HLOOKUP("*"&amp;'Output annual'!$AC$2&amp;'Output annual'!$AD$2&amp;"*FangerPMV(Hourly)",'Eplus results'!$1:$1048576,ROW(),FALSE)</f>
        <v>0</v>
      </c>
      <c r="AD2653" s="580">
        <f t="shared" si="241"/>
        <v>5</v>
      </c>
      <c r="AE2653" s="580">
        <f t="shared" si="242"/>
        <v>2.5</v>
      </c>
      <c r="AF2653" s="580">
        <f t="shared" si="243"/>
        <v>2.5</v>
      </c>
      <c r="AG2653" s="580">
        <f t="shared" si="244"/>
        <v>0</v>
      </c>
      <c r="AH2653" s="580">
        <f t="shared" si="245"/>
        <v>0</v>
      </c>
    </row>
    <row r="2654" spans="28:34">
      <c r="AB2654" s="580">
        <f>HLOOKUP("*"&amp;'Output annual'!$AC$2&amp;'Output annual'!$AD$2&amp;"*Zone People Number Of Occupants [](Hourly)",'Eplus results'!$1:$1048576,ROW(),FALSE)</f>
        <v>0</v>
      </c>
      <c r="AC2654" s="580">
        <f>HLOOKUP("*"&amp;'Output annual'!$AC$2&amp;'Output annual'!$AD$2&amp;"*FangerPMV(Hourly)",'Eplus results'!$1:$1048576,ROW(),FALSE)</f>
        <v>0</v>
      </c>
      <c r="AD2654" s="580">
        <f t="shared" si="241"/>
        <v>5</v>
      </c>
      <c r="AE2654" s="580">
        <f t="shared" si="242"/>
        <v>2.5</v>
      </c>
      <c r="AF2654" s="580">
        <f t="shared" si="243"/>
        <v>2.5</v>
      </c>
      <c r="AG2654" s="580">
        <f t="shared" si="244"/>
        <v>0</v>
      </c>
      <c r="AH2654" s="580">
        <f t="shared" si="245"/>
        <v>0</v>
      </c>
    </row>
    <row r="2655" spans="28:34">
      <c r="AB2655" s="580">
        <f>HLOOKUP("*"&amp;'Output annual'!$AC$2&amp;'Output annual'!$AD$2&amp;"*Zone People Number Of Occupants [](Hourly)",'Eplus results'!$1:$1048576,ROW(),FALSE)</f>
        <v>0</v>
      </c>
      <c r="AC2655" s="580">
        <f>HLOOKUP("*"&amp;'Output annual'!$AC$2&amp;'Output annual'!$AD$2&amp;"*FangerPMV(Hourly)",'Eplus results'!$1:$1048576,ROW(),FALSE)</f>
        <v>0</v>
      </c>
      <c r="AD2655" s="580">
        <f t="shared" si="241"/>
        <v>5</v>
      </c>
      <c r="AE2655" s="580">
        <f t="shared" si="242"/>
        <v>2.5</v>
      </c>
      <c r="AF2655" s="580">
        <f t="shared" si="243"/>
        <v>2.5</v>
      </c>
      <c r="AG2655" s="580">
        <f t="shared" si="244"/>
        <v>0</v>
      </c>
      <c r="AH2655" s="580">
        <f t="shared" si="245"/>
        <v>0</v>
      </c>
    </row>
    <row r="2656" spans="28:34">
      <c r="AB2656" s="580">
        <f>HLOOKUP("*"&amp;'Output annual'!$AC$2&amp;'Output annual'!$AD$2&amp;"*Zone People Number Of Occupants [](Hourly)",'Eplus results'!$1:$1048576,ROW(),FALSE)</f>
        <v>0</v>
      </c>
      <c r="AC2656" s="580">
        <f>HLOOKUP("*"&amp;'Output annual'!$AC$2&amp;'Output annual'!$AD$2&amp;"*FangerPMV(Hourly)",'Eplus results'!$1:$1048576,ROW(),FALSE)</f>
        <v>0</v>
      </c>
      <c r="AD2656" s="580">
        <f t="shared" si="241"/>
        <v>5</v>
      </c>
      <c r="AE2656" s="580">
        <f t="shared" si="242"/>
        <v>2.5</v>
      </c>
      <c r="AF2656" s="580">
        <f t="shared" si="243"/>
        <v>2.5</v>
      </c>
      <c r="AG2656" s="580">
        <f t="shared" si="244"/>
        <v>0</v>
      </c>
      <c r="AH2656" s="580">
        <f t="shared" si="245"/>
        <v>0</v>
      </c>
    </row>
    <row r="2657" spans="28:34">
      <c r="AB2657" s="580">
        <f>HLOOKUP("*"&amp;'Output annual'!$AC$2&amp;'Output annual'!$AD$2&amp;"*Zone People Number Of Occupants [](Hourly)",'Eplus results'!$1:$1048576,ROW(),FALSE)</f>
        <v>0</v>
      </c>
      <c r="AC2657" s="580">
        <f>HLOOKUP("*"&amp;'Output annual'!$AC$2&amp;'Output annual'!$AD$2&amp;"*FangerPMV(Hourly)",'Eplus results'!$1:$1048576,ROW(),FALSE)</f>
        <v>0</v>
      </c>
      <c r="AD2657" s="580">
        <f t="shared" si="241"/>
        <v>5</v>
      </c>
      <c r="AE2657" s="580">
        <f t="shared" si="242"/>
        <v>2.5</v>
      </c>
      <c r="AF2657" s="580">
        <f t="shared" si="243"/>
        <v>2.5</v>
      </c>
      <c r="AG2657" s="580">
        <f t="shared" si="244"/>
        <v>0</v>
      </c>
      <c r="AH2657" s="580">
        <f t="shared" si="245"/>
        <v>0</v>
      </c>
    </row>
    <row r="2658" spans="28:34">
      <c r="AB2658" s="580">
        <f>HLOOKUP("*"&amp;'Output annual'!$AC$2&amp;'Output annual'!$AD$2&amp;"*Zone People Number Of Occupants [](Hourly)",'Eplus results'!$1:$1048576,ROW(),FALSE)</f>
        <v>0</v>
      </c>
      <c r="AC2658" s="580">
        <f>HLOOKUP("*"&amp;'Output annual'!$AC$2&amp;'Output annual'!$AD$2&amp;"*FangerPMV(Hourly)",'Eplus results'!$1:$1048576,ROW(),FALSE)</f>
        <v>0</v>
      </c>
      <c r="AD2658" s="580">
        <f t="shared" si="241"/>
        <v>5</v>
      </c>
      <c r="AE2658" s="580">
        <f t="shared" si="242"/>
        <v>2.5</v>
      </c>
      <c r="AF2658" s="580">
        <f t="shared" si="243"/>
        <v>2.5</v>
      </c>
      <c r="AG2658" s="580">
        <f t="shared" si="244"/>
        <v>0</v>
      </c>
      <c r="AH2658" s="580">
        <f t="shared" si="245"/>
        <v>0</v>
      </c>
    </row>
    <row r="2659" spans="28:34">
      <c r="AB2659" s="580">
        <f>HLOOKUP("*"&amp;'Output annual'!$AC$2&amp;'Output annual'!$AD$2&amp;"*Zone People Number Of Occupants [](Hourly)",'Eplus results'!$1:$1048576,ROW(),FALSE)</f>
        <v>0</v>
      </c>
      <c r="AC2659" s="580">
        <f>HLOOKUP("*"&amp;'Output annual'!$AC$2&amp;'Output annual'!$AD$2&amp;"*FangerPMV(Hourly)",'Eplus results'!$1:$1048576,ROW(),FALSE)</f>
        <v>0</v>
      </c>
      <c r="AD2659" s="580">
        <f t="shared" si="241"/>
        <v>5</v>
      </c>
      <c r="AE2659" s="580">
        <f t="shared" si="242"/>
        <v>2.5</v>
      </c>
      <c r="AF2659" s="580">
        <f t="shared" si="243"/>
        <v>2.5</v>
      </c>
      <c r="AG2659" s="580">
        <f t="shared" si="244"/>
        <v>0</v>
      </c>
      <c r="AH2659" s="580">
        <f t="shared" si="245"/>
        <v>0</v>
      </c>
    </row>
    <row r="2660" spans="28:34">
      <c r="AB2660" s="580">
        <f>HLOOKUP("*"&amp;'Output annual'!$AC$2&amp;'Output annual'!$AD$2&amp;"*Zone People Number Of Occupants [](Hourly)",'Eplus results'!$1:$1048576,ROW(),FALSE)</f>
        <v>0</v>
      </c>
      <c r="AC2660" s="580">
        <f>HLOOKUP("*"&amp;'Output annual'!$AC$2&amp;'Output annual'!$AD$2&amp;"*FangerPMV(Hourly)",'Eplus results'!$1:$1048576,ROW(),FALSE)</f>
        <v>0</v>
      </c>
      <c r="AD2660" s="580">
        <f t="shared" si="241"/>
        <v>5</v>
      </c>
      <c r="AE2660" s="580">
        <f t="shared" si="242"/>
        <v>2.5</v>
      </c>
      <c r="AF2660" s="580">
        <f t="shared" si="243"/>
        <v>2.5</v>
      </c>
      <c r="AG2660" s="580">
        <f t="shared" si="244"/>
        <v>0</v>
      </c>
      <c r="AH2660" s="580">
        <f t="shared" si="245"/>
        <v>0</v>
      </c>
    </row>
    <row r="2661" spans="28:34">
      <c r="AB2661" s="580">
        <f>HLOOKUP("*"&amp;'Output annual'!$AC$2&amp;'Output annual'!$AD$2&amp;"*Zone People Number Of Occupants [](Hourly)",'Eplus results'!$1:$1048576,ROW(),FALSE)</f>
        <v>0</v>
      </c>
      <c r="AC2661" s="580">
        <f>HLOOKUP("*"&amp;'Output annual'!$AC$2&amp;'Output annual'!$AD$2&amp;"*FangerPMV(Hourly)",'Eplus results'!$1:$1048576,ROW(),FALSE)</f>
        <v>0</v>
      </c>
      <c r="AD2661" s="580">
        <f t="shared" si="241"/>
        <v>5</v>
      </c>
      <c r="AE2661" s="580">
        <f t="shared" si="242"/>
        <v>2.5</v>
      </c>
      <c r="AF2661" s="580">
        <f t="shared" si="243"/>
        <v>2.5</v>
      </c>
      <c r="AG2661" s="580">
        <f t="shared" si="244"/>
        <v>0</v>
      </c>
      <c r="AH2661" s="580">
        <f t="shared" si="245"/>
        <v>0</v>
      </c>
    </row>
    <row r="2662" spans="28:34">
      <c r="AB2662" s="580">
        <f>HLOOKUP("*"&amp;'Output annual'!$AC$2&amp;'Output annual'!$AD$2&amp;"*Zone People Number Of Occupants [](Hourly)",'Eplus results'!$1:$1048576,ROW(),FALSE)</f>
        <v>0</v>
      </c>
      <c r="AC2662" s="580">
        <f>HLOOKUP("*"&amp;'Output annual'!$AC$2&amp;'Output annual'!$AD$2&amp;"*FangerPMV(Hourly)",'Eplus results'!$1:$1048576,ROW(),FALSE)</f>
        <v>0</v>
      </c>
      <c r="AD2662" s="580">
        <f t="shared" si="241"/>
        <v>5</v>
      </c>
      <c r="AE2662" s="580">
        <f t="shared" si="242"/>
        <v>2.5</v>
      </c>
      <c r="AF2662" s="580">
        <f t="shared" si="243"/>
        <v>2.5</v>
      </c>
      <c r="AG2662" s="580">
        <f t="shared" si="244"/>
        <v>0</v>
      </c>
      <c r="AH2662" s="580">
        <f t="shared" si="245"/>
        <v>0</v>
      </c>
    </row>
    <row r="2663" spans="28:34">
      <c r="AB2663" s="580">
        <f>HLOOKUP("*"&amp;'Output annual'!$AC$2&amp;'Output annual'!$AD$2&amp;"*Zone People Number Of Occupants [](Hourly)",'Eplus results'!$1:$1048576,ROW(),FALSE)</f>
        <v>0</v>
      </c>
      <c r="AC2663" s="580">
        <f>HLOOKUP("*"&amp;'Output annual'!$AC$2&amp;'Output annual'!$AD$2&amp;"*FangerPMV(Hourly)",'Eplus results'!$1:$1048576,ROW(),FALSE)</f>
        <v>0</v>
      </c>
      <c r="AD2663" s="580">
        <f t="shared" si="241"/>
        <v>5</v>
      </c>
      <c r="AE2663" s="580">
        <f t="shared" si="242"/>
        <v>2.5</v>
      </c>
      <c r="AF2663" s="580">
        <f t="shared" si="243"/>
        <v>2.5</v>
      </c>
      <c r="AG2663" s="580">
        <f t="shared" si="244"/>
        <v>0</v>
      </c>
      <c r="AH2663" s="580">
        <f t="shared" si="245"/>
        <v>0</v>
      </c>
    </row>
    <row r="2664" spans="28:34">
      <c r="AB2664" s="580">
        <f>HLOOKUP("*"&amp;'Output annual'!$AC$2&amp;'Output annual'!$AD$2&amp;"*Zone People Number Of Occupants [](Hourly)",'Eplus results'!$1:$1048576,ROW(),FALSE)</f>
        <v>0</v>
      </c>
      <c r="AC2664" s="580">
        <f>HLOOKUP("*"&amp;'Output annual'!$AC$2&amp;'Output annual'!$AD$2&amp;"*FangerPMV(Hourly)",'Eplus results'!$1:$1048576,ROW(),FALSE)</f>
        <v>0</v>
      </c>
      <c r="AD2664" s="580">
        <f t="shared" si="241"/>
        <v>5</v>
      </c>
      <c r="AE2664" s="580">
        <f t="shared" si="242"/>
        <v>2.5</v>
      </c>
      <c r="AF2664" s="580">
        <f t="shared" si="243"/>
        <v>2.5</v>
      </c>
      <c r="AG2664" s="580">
        <f t="shared" si="244"/>
        <v>0</v>
      </c>
      <c r="AH2664" s="580">
        <f t="shared" si="245"/>
        <v>0</v>
      </c>
    </row>
    <row r="2665" spans="28:34">
      <c r="AB2665" s="580">
        <f>HLOOKUP("*"&amp;'Output annual'!$AC$2&amp;'Output annual'!$AD$2&amp;"*Zone People Number Of Occupants [](Hourly)",'Eplus results'!$1:$1048576,ROW(),FALSE)</f>
        <v>0</v>
      </c>
      <c r="AC2665" s="580">
        <f>HLOOKUP("*"&amp;'Output annual'!$AC$2&amp;'Output annual'!$AD$2&amp;"*FangerPMV(Hourly)",'Eplus results'!$1:$1048576,ROW(),FALSE)</f>
        <v>0</v>
      </c>
      <c r="AD2665" s="580">
        <f t="shared" si="241"/>
        <v>5</v>
      </c>
      <c r="AE2665" s="580">
        <f t="shared" si="242"/>
        <v>2.5</v>
      </c>
      <c r="AF2665" s="580">
        <f t="shared" si="243"/>
        <v>2.5</v>
      </c>
      <c r="AG2665" s="580">
        <f t="shared" si="244"/>
        <v>0</v>
      </c>
      <c r="AH2665" s="580">
        <f t="shared" si="245"/>
        <v>0</v>
      </c>
    </row>
    <row r="2666" spans="28:34">
      <c r="AB2666" s="580">
        <f>HLOOKUP("*"&amp;'Output annual'!$AC$2&amp;'Output annual'!$AD$2&amp;"*Zone People Number Of Occupants [](Hourly)",'Eplus results'!$1:$1048576,ROW(),FALSE)</f>
        <v>0</v>
      </c>
      <c r="AC2666" s="580">
        <f>HLOOKUP("*"&amp;'Output annual'!$AC$2&amp;'Output annual'!$AD$2&amp;"*FangerPMV(Hourly)",'Eplus results'!$1:$1048576,ROW(),FALSE)</f>
        <v>0</v>
      </c>
      <c r="AD2666" s="580">
        <f t="shared" si="241"/>
        <v>5</v>
      </c>
      <c r="AE2666" s="580">
        <f t="shared" si="242"/>
        <v>2.5</v>
      </c>
      <c r="AF2666" s="580">
        <f t="shared" si="243"/>
        <v>2.5</v>
      </c>
      <c r="AG2666" s="580">
        <f t="shared" si="244"/>
        <v>0</v>
      </c>
      <c r="AH2666" s="580">
        <f t="shared" si="245"/>
        <v>0</v>
      </c>
    </row>
    <row r="2667" spans="28:34">
      <c r="AB2667" s="580">
        <f>HLOOKUP("*"&amp;'Output annual'!$AC$2&amp;'Output annual'!$AD$2&amp;"*Zone People Number Of Occupants [](Hourly)",'Eplus results'!$1:$1048576,ROW(),FALSE)</f>
        <v>0</v>
      </c>
      <c r="AC2667" s="580">
        <f>HLOOKUP("*"&amp;'Output annual'!$AC$2&amp;'Output annual'!$AD$2&amp;"*FangerPMV(Hourly)",'Eplus results'!$1:$1048576,ROW(),FALSE)</f>
        <v>0</v>
      </c>
      <c r="AD2667" s="580">
        <f t="shared" si="241"/>
        <v>5</v>
      </c>
      <c r="AE2667" s="580">
        <f t="shared" si="242"/>
        <v>2.5</v>
      </c>
      <c r="AF2667" s="580">
        <f t="shared" si="243"/>
        <v>2.5</v>
      </c>
      <c r="AG2667" s="580">
        <f t="shared" si="244"/>
        <v>0</v>
      </c>
      <c r="AH2667" s="580">
        <f t="shared" si="245"/>
        <v>0</v>
      </c>
    </row>
    <row r="2668" spans="28:34">
      <c r="AB2668" s="580">
        <f>HLOOKUP("*"&amp;'Output annual'!$AC$2&amp;'Output annual'!$AD$2&amp;"*Zone People Number Of Occupants [](Hourly)",'Eplus results'!$1:$1048576,ROW(),FALSE)</f>
        <v>0</v>
      </c>
      <c r="AC2668" s="580">
        <f>HLOOKUP("*"&amp;'Output annual'!$AC$2&amp;'Output annual'!$AD$2&amp;"*FangerPMV(Hourly)",'Eplus results'!$1:$1048576,ROW(),FALSE)</f>
        <v>0</v>
      </c>
      <c r="AD2668" s="580">
        <f t="shared" si="241"/>
        <v>5</v>
      </c>
      <c r="AE2668" s="580">
        <f t="shared" si="242"/>
        <v>2.5</v>
      </c>
      <c r="AF2668" s="580">
        <f t="shared" si="243"/>
        <v>2.5</v>
      </c>
      <c r="AG2668" s="580">
        <f t="shared" si="244"/>
        <v>0</v>
      </c>
      <c r="AH2668" s="580">
        <f t="shared" si="245"/>
        <v>0</v>
      </c>
    </row>
    <row r="2669" spans="28:34">
      <c r="AB2669" s="580">
        <f>HLOOKUP("*"&amp;'Output annual'!$AC$2&amp;'Output annual'!$AD$2&amp;"*Zone People Number Of Occupants [](Hourly)",'Eplus results'!$1:$1048576,ROW(),FALSE)</f>
        <v>0</v>
      </c>
      <c r="AC2669" s="580">
        <f>HLOOKUP("*"&amp;'Output annual'!$AC$2&amp;'Output annual'!$AD$2&amp;"*FangerPMV(Hourly)",'Eplus results'!$1:$1048576,ROW(),FALSE)</f>
        <v>0</v>
      </c>
      <c r="AD2669" s="580">
        <f t="shared" si="241"/>
        <v>5</v>
      </c>
      <c r="AE2669" s="580">
        <f t="shared" si="242"/>
        <v>2.5</v>
      </c>
      <c r="AF2669" s="580">
        <f t="shared" si="243"/>
        <v>2.5</v>
      </c>
      <c r="AG2669" s="580">
        <f t="shared" si="244"/>
        <v>0</v>
      </c>
      <c r="AH2669" s="580">
        <f t="shared" si="245"/>
        <v>0</v>
      </c>
    </row>
    <row r="2670" spans="28:34">
      <c r="AB2670" s="580">
        <f>HLOOKUP("*"&amp;'Output annual'!$AC$2&amp;'Output annual'!$AD$2&amp;"*Zone People Number Of Occupants [](Hourly)",'Eplus results'!$1:$1048576,ROW(),FALSE)</f>
        <v>0</v>
      </c>
      <c r="AC2670" s="580">
        <f>HLOOKUP("*"&amp;'Output annual'!$AC$2&amp;'Output annual'!$AD$2&amp;"*FangerPMV(Hourly)",'Eplus results'!$1:$1048576,ROW(),FALSE)</f>
        <v>0</v>
      </c>
      <c r="AD2670" s="580">
        <f t="shared" si="241"/>
        <v>5</v>
      </c>
      <c r="AE2670" s="580">
        <f t="shared" si="242"/>
        <v>2.5</v>
      </c>
      <c r="AF2670" s="580">
        <f t="shared" si="243"/>
        <v>2.5</v>
      </c>
      <c r="AG2670" s="580">
        <f t="shared" si="244"/>
        <v>0</v>
      </c>
      <c r="AH2670" s="580">
        <f t="shared" si="245"/>
        <v>0</v>
      </c>
    </row>
    <row r="2671" spans="28:34">
      <c r="AB2671" s="580">
        <f>HLOOKUP("*"&amp;'Output annual'!$AC$2&amp;'Output annual'!$AD$2&amp;"*Zone People Number Of Occupants [](Hourly)",'Eplus results'!$1:$1048576,ROW(),FALSE)</f>
        <v>0</v>
      </c>
      <c r="AC2671" s="580">
        <f>HLOOKUP("*"&amp;'Output annual'!$AC$2&amp;'Output annual'!$AD$2&amp;"*FangerPMV(Hourly)",'Eplus results'!$1:$1048576,ROW(),FALSE)</f>
        <v>0</v>
      </c>
      <c r="AD2671" s="580">
        <f t="shared" si="241"/>
        <v>5</v>
      </c>
      <c r="AE2671" s="580">
        <f t="shared" si="242"/>
        <v>2.5</v>
      </c>
      <c r="AF2671" s="580">
        <f t="shared" si="243"/>
        <v>2.5</v>
      </c>
      <c r="AG2671" s="580">
        <f t="shared" si="244"/>
        <v>0</v>
      </c>
      <c r="AH2671" s="580">
        <f t="shared" si="245"/>
        <v>0</v>
      </c>
    </row>
    <row r="2672" spans="28:34">
      <c r="AB2672" s="580">
        <f>HLOOKUP("*"&amp;'Output annual'!$AC$2&amp;'Output annual'!$AD$2&amp;"*Zone People Number Of Occupants [](Hourly)",'Eplus results'!$1:$1048576,ROW(),FALSE)</f>
        <v>0</v>
      </c>
      <c r="AC2672" s="580">
        <f>HLOOKUP("*"&amp;'Output annual'!$AC$2&amp;'Output annual'!$AD$2&amp;"*FangerPMV(Hourly)",'Eplus results'!$1:$1048576,ROW(),FALSE)</f>
        <v>0</v>
      </c>
      <c r="AD2672" s="580">
        <f t="shared" si="241"/>
        <v>5</v>
      </c>
      <c r="AE2672" s="580">
        <f t="shared" si="242"/>
        <v>2.5</v>
      </c>
      <c r="AF2672" s="580">
        <f t="shared" si="243"/>
        <v>2.5</v>
      </c>
      <c r="AG2672" s="580">
        <f t="shared" si="244"/>
        <v>0</v>
      </c>
      <c r="AH2672" s="580">
        <f t="shared" si="245"/>
        <v>0</v>
      </c>
    </row>
    <row r="2673" spans="28:34">
      <c r="AB2673" s="580">
        <f>HLOOKUP("*"&amp;'Output annual'!$AC$2&amp;'Output annual'!$AD$2&amp;"*Zone People Number Of Occupants [](Hourly)",'Eplus results'!$1:$1048576,ROW(),FALSE)</f>
        <v>0</v>
      </c>
      <c r="AC2673" s="580">
        <f>HLOOKUP("*"&amp;'Output annual'!$AC$2&amp;'Output annual'!$AD$2&amp;"*FangerPMV(Hourly)",'Eplus results'!$1:$1048576,ROW(),FALSE)</f>
        <v>0</v>
      </c>
      <c r="AD2673" s="580">
        <f t="shared" si="241"/>
        <v>5</v>
      </c>
      <c r="AE2673" s="580">
        <f t="shared" si="242"/>
        <v>2.5</v>
      </c>
      <c r="AF2673" s="580">
        <f t="shared" si="243"/>
        <v>2.5</v>
      </c>
      <c r="AG2673" s="580">
        <f t="shared" si="244"/>
        <v>0</v>
      </c>
      <c r="AH2673" s="580">
        <f t="shared" si="245"/>
        <v>0</v>
      </c>
    </row>
    <row r="2674" spans="28:34">
      <c r="AB2674" s="580">
        <f>HLOOKUP("*"&amp;'Output annual'!$AC$2&amp;'Output annual'!$AD$2&amp;"*Zone People Number Of Occupants [](Hourly)",'Eplus results'!$1:$1048576,ROW(),FALSE)</f>
        <v>0</v>
      </c>
      <c r="AC2674" s="580">
        <f>HLOOKUP("*"&amp;'Output annual'!$AC$2&amp;'Output annual'!$AD$2&amp;"*FangerPMV(Hourly)",'Eplus results'!$1:$1048576,ROW(),FALSE)</f>
        <v>0</v>
      </c>
      <c r="AD2674" s="580">
        <f t="shared" si="241"/>
        <v>5</v>
      </c>
      <c r="AE2674" s="580">
        <f t="shared" si="242"/>
        <v>2.5</v>
      </c>
      <c r="AF2674" s="580">
        <f t="shared" si="243"/>
        <v>2.5</v>
      </c>
      <c r="AG2674" s="580">
        <f t="shared" si="244"/>
        <v>0</v>
      </c>
      <c r="AH2674" s="580">
        <f t="shared" si="245"/>
        <v>0</v>
      </c>
    </row>
    <row r="2675" spans="28:34">
      <c r="AB2675" s="580">
        <f>HLOOKUP("*"&amp;'Output annual'!$AC$2&amp;'Output annual'!$AD$2&amp;"*Zone People Number Of Occupants [](Hourly)",'Eplus results'!$1:$1048576,ROW(),FALSE)</f>
        <v>0</v>
      </c>
      <c r="AC2675" s="580">
        <f>HLOOKUP("*"&amp;'Output annual'!$AC$2&amp;'Output annual'!$AD$2&amp;"*FangerPMV(Hourly)",'Eplus results'!$1:$1048576,ROW(),FALSE)</f>
        <v>0</v>
      </c>
      <c r="AD2675" s="580">
        <f t="shared" si="241"/>
        <v>5</v>
      </c>
      <c r="AE2675" s="580">
        <f t="shared" si="242"/>
        <v>2.5</v>
      </c>
      <c r="AF2675" s="580">
        <f t="shared" si="243"/>
        <v>2.5</v>
      </c>
      <c r="AG2675" s="580">
        <f t="shared" si="244"/>
        <v>0</v>
      </c>
      <c r="AH2675" s="580">
        <f t="shared" si="245"/>
        <v>0</v>
      </c>
    </row>
    <row r="2676" spans="28:34">
      <c r="AB2676" s="580">
        <f>HLOOKUP("*"&amp;'Output annual'!$AC$2&amp;'Output annual'!$AD$2&amp;"*Zone People Number Of Occupants [](Hourly)",'Eplus results'!$1:$1048576,ROW(),FALSE)</f>
        <v>0</v>
      </c>
      <c r="AC2676" s="580">
        <f>HLOOKUP("*"&amp;'Output annual'!$AC$2&amp;'Output annual'!$AD$2&amp;"*FangerPMV(Hourly)",'Eplus results'!$1:$1048576,ROW(),FALSE)</f>
        <v>0</v>
      </c>
      <c r="AD2676" s="580">
        <f t="shared" si="241"/>
        <v>5</v>
      </c>
      <c r="AE2676" s="580">
        <f t="shared" si="242"/>
        <v>2.5</v>
      </c>
      <c r="AF2676" s="580">
        <f t="shared" si="243"/>
        <v>2.5</v>
      </c>
      <c r="AG2676" s="580">
        <f t="shared" si="244"/>
        <v>0</v>
      </c>
      <c r="AH2676" s="580">
        <f t="shared" si="245"/>
        <v>0</v>
      </c>
    </row>
    <row r="2677" spans="28:34">
      <c r="AB2677" s="580">
        <f>HLOOKUP("*"&amp;'Output annual'!$AC$2&amp;'Output annual'!$AD$2&amp;"*Zone People Number Of Occupants [](Hourly)",'Eplus results'!$1:$1048576,ROW(),FALSE)</f>
        <v>0</v>
      </c>
      <c r="AC2677" s="580">
        <f>HLOOKUP("*"&amp;'Output annual'!$AC$2&amp;'Output annual'!$AD$2&amp;"*FangerPMV(Hourly)",'Eplus results'!$1:$1048576,ROW(),FALSE)</f>
        <v>0</v>
      </c>
      <c r="AD2677" s="580">
        <f t="shared" si="241"/>
        <v>5</v>
      </c>
      <c r="AE2677" s="580">
        <f t="shared" si="242"/>
        <v>2.5</v>
      </c>
      <c r="AF2677" s="580">
        <f t="shared" si="243"/>
        <v>2.5</v>
      </c>
      <c r="AG2677" s="580">
        <f t="shared" si="244"/>
        <v>0</v>
      </c>
      <c r="AH2677" s="580">
        <f t="shared" si="245"/>
        <v>0</v>
      </c>
    </row>
    <row r="2678" spans="28:34">
      <c r="AB2678" s="580">
        <f>HLOOKUP("*"&amp;'Output annual'!$AC$2&amp;'Output annual'!$AD$2&amp;"*Zone People Number Of Occupants [](Hourly)",'Eplus results'!$1:$1048576,ROW(),FALSE)</f>
        <v>0</v>
      </c>
      <c r="AC2678" s="580">
        <f>HLOOKUP("*"&amp;'Output annual'!$AC$2&amp;'Output annual'!$AD$2&amp;"*FangerPMV(Hourly)",'Eplus results'!$1:$1048576,ROW(),FALSE)</f>
        <v>0</v>
      </c>
      <c r="AD2678" s="580">
        <f t="shared" si="241"/>
        <v>5</v>
      </c>
      <c r="AE2678" s="580">
        <f t="shared" si="242"/>
        <v>2.5</v>
      </c>
      <c r="AF2678" s="580">
        <f t="shared" si="243"/>
        <v>2.5</v>
      </c>
      <c r="AG2678" s="580">
        <f t="shared" si="244"/>
        <v>0</v>
      </c>
      <c r="AH2678" s="580">
        <f t="shared" si="245"/>
        <v>0</v>
      </c>
    </row>
    <row r="2679" spans="28:34">
      <c r="AB2679" s="580">
        <f>HLOOKUP("*"&amp;'Output annual'!$AC$2&amp;'Output annual'!$AD$2&amp;"*Zone People Number Of Occupants [](Hourly)",'Eplus results'!$1:$1048576,ROW(),FALSE)</f>
        <v>0</v>
      </c>
      <c r="AC2679" s="580">
        <f>HLOOKUP("*"&amp;'Output annual'!$AC$2&amp;'Output annual'!$AD$2&amp;"*FangerPMV(Hourly)",'Eplus results'!$1:$1048576,ROW(),FALSE)</f>
        <v>0</v>
      </c>
      <c r="AD2679" s="580">
        <f t="shared" si="241"/>
        <v>5</v>
      </c>
      <c r="AE2679" s="580">
        <f t="shared" si="242"/>
        <v>2.5</v>
      </c>
      <c r="AF2679" s="580">
        <f t="shared" si="243"/>
        <v>2.5</v>
      </c>
      <c r="AG2679" s="580">
        <f t="shared" si="244"/>
        <v>0</v>
      </c>
      <c r="AH2679" s="580">
        <f t="shared" si="245"/>
        <v>0</v>
      </c>
    </row>
    <row r="2680" spans="28:34">
      <c r="AB2680" s="580">
        <f>HLOOKUP("*"&amp;'Output annual'!$AC$2&amp;'Output annual'!$AD$2&amp;"*Zone People Number Of Occupants [](Hourly)",'Eplus results'!$1:$1048576,ROW(),FALSE)</f>
        <v>0</v>
      </c>
      <c r="AC2680" s="580">
        <f>HLOOKUP("*"&amp;'Output annual'!$AC$2&amp;'Output annual'!$AD$2&amp;"*FangerPMV(Hourly)",'Eplus results'!$1:$1048576,ROW(),FALSE)</f>
        <v>0</v>
      </c>
      <c r="AD2680" s="580">
        <f t="shared" si="241"/>
        <v>5</v>
      </c>
      <c r="AE2680" s="580">
        <f t="shared" si="242"/>
        <v>2.5</v>
      </c>
      <c r="AF2680" s="580">
        <f t="shared" si="243"/>
        <v>2.5</v>
      </c>
      <c r="AG2680" s="580">
        <f t="shared" si="244"/>
        <v>0</v>
      </c>
      <c r="AH2680" s="580">
        <f t="shared" si="245"/>
        <v>0</v>
      </c>
    </row>
    <row r="2681" spans="28:34">
      <c r="AB2681" s="580">
        <f>HLOOKUP("*"&amp;'Output annual'!$AC$2&amp;'Output annual'!$AD$2&amp;"*Zone People Number Of Occupants [](Hourly)",'Eplus results'!$1:$1048576,ROW(),FALSE)</f>
        <v>0</v>
      </c>
      <c r="AC2681" s="580">
        <f>HLOOKUP("*"&amp;'Output annual'!$AC$2&amp;'Output annual'!$AD$2&amp;"*FangerPMV(Hourly)",'Eplus results'!$1:$1048576,ROW(),FALSE)</f>
        <v>0</v>
      </c>
      <c r="AD2681" s="580">
        <f t="shared" si="241"/>
        <v>5</v>
      </c>
      <c r="AE2681" s="580">
        <f t="shared" si="242"/>
        <v>2.5</v>
      </c>
      <c r="AF2681" s="580">
        <f t="shared" si="243"/>
        <v>2.5</v>
      </c>
      <c r="AG2681" s="580">
        <f t="shared" si="244"/>
        <v>0</v>
      </c>
      <c r="AH2681" s="580">
        <f t="shared" si="245"/>
        <v>0</v>
      </c>
    </row>
    <row r="2682" spans="28:34">
      <c r="AB2682" s="580">
        <f>HLOOKUP("*"&amp;'Output annual'!$AC$2&amp;'Output annual'!$AD$2&amp;"*Zone People Number Of Occupants [](Hourly)",'Eplus results'!$1:$1048576,ROW(),FALSE)</f>
        <v>0</v>
      </c>
      <c r="AC2682" s="580">
        <f>HLOOKUP("*"&amp;'Output annual'!$AC$2&amp;'Output annual'!$AD$2&amp;"*FangerPMV(Hourly)",'Eplus results'!$1:$1048576,ROW(),FALSE)</f>
        <v>0</v>
      </c>
      <c r="AD2682" s="580">
        <f t="shared" si="241"/>
        <v>5</v>
      </c>
      <c r="AE2682" s="580">
        <f t="shared" si="242"/>
        <v>2.5</v>
      </c>
      <c r="AF2682" s="580">
        <f t="shared" si="243"/>
        <v>2.5</v>
      </c>
      <c r="AG2682" s="580">
        <f t="shared" si="244"/>
        <v>0</v>
      </c>
      <c r="AH2682" s="580">
        <f t="shared" si="245"/>
        <v>0</v>
      </c>
    </row>
    <row r="2683" spans="28:34">
      <c r="AB2683" s="580">
        <f>HLOOKUP("*"&amp;'Output annual'!$AC$2&amp;'Output annual'!$AD$2&amp;"*Zone People Number Of Occupants [](Hourly)",'Eplus results'!$1:$1048576,ROW(),FALSE)</f>
        <v>0</v>
      </c>
      <c r="AC2683" s="580">
        <f>HLOOKUP("*"&amp;'Output annual'!$AC$2&amp;'Output annual'!$AD$2&amp;"*FangerPMV(Hourly)",'Eplus results'!$1:$1048576,ROW(),FALSE)</f>
        <v>0</v>
      </c>
      <c r="AD2683" s="580">
        <f t="shared" si="241"/>
        <v>5</v>
      </c>
      <c r="AE2683" s="580">
        <f t="shared" si="242"/>
        <v>2.5</v>
      </c>
      <c r="AF2683" s="580">
        <f t="shared" si="243"/>
        <v>2.5</v>
      </c>
      <c r="AG2683" s="580">
        <f t="shared" si="244"/>
        <v>0</v>
      </c>
      <c r="AH2683" s="580">
        <f t="shared" si="245"/>
        <v>0</v>
      </c>
    </row>
    <row r="2684" spans="28:34">
      <c r="AB2684" s="580">
        <f>HLOOKUP("*"&amp;'Output annual'!$AC$2&amp;'Output annual'!$AD$2&amp;"*Zone People Number Of Occupants [](Hourly)",'Eplus results'!$1:$1048576,ROW(),FALSE)</f>
        <v>0</v>
      </c>
      <c r="AC2684" s="580">
        <f>HLOOKUP("*"&amp;'Output annual'!$AC$2&amp;'Output annual'!$AD$2&amp;"*FangerPMV(Hourly)",'Eplus results'!$1:$1048576,ROW(),FALSE)</f>
        <v>0</v>
      </c>
      <c r="AD2684" s="580">
        <f t="shared" si="241"/>
        <v>5</v>
      </c>
      <c r="AE2684" s="580">
        <f t="shared" si="242"/>
        <v>2.5</v>
      </c>
      <c r="AF2684" s="580">
        <f t="shared" si="243"/>
        <v>2.5</v>
      </c>
      <c r="AG2684" s="580">
        <f t="shared" si="244"/>
        <v>0</v>
      </c>
      <c r="AH2684" s="580">
        <f t="shared" si="245"/>
        <v>0</v>
      </c>
    </row>
    <row r="2685" spans="28:34">
      <c r="AB2685" s="580">
        <f>HLOOKUP("*"&amp;'Output annual'!$AC$2&amp;'Output annual'!$AD$2&amp;"*Zone People Number Of Occupants [](Hourly)",'Eplus results'!$1:$1048576,ROW(),FALSE)</f>
        <v>0</v>
      </c>
      <c r="AC2685" s="580">
        <f>HLOOKUP("*"&amp;'Output annual'!$AC$2&amp;'Output annual'!$AD$2&amp;"*FangerPMV(Hourly)",'Eplus results'!$1:$1048576,ROW(),FALSE)</f>
        <v>0</v>
      </c>
      <c r="AD2685" s="580">
        <f t="shared" si="241"/>
        <v>5</v>
      </c>
      <c r="AE2685" s="580">
        <f t="shared" si="242"/>
        <v>2.5</v>
      </c>
      <c r="AF2685" s="580">
        <f t="shared" si="243"/>
        <v>2.5</v>
      </c>
      <c r="AG2685" s="580">
        <f t="shared" si="244"/>
        <v>0</v>
      </c>
      <c r="AH2685" s="580">
        <f t="shared" si="245"/>
        <v>0</v>
      </c>
    </row>
    <row r="2686" spans="28:34">
      <c r="AB2686" s="580">
        <f>HLOOKUP("*"&amp;'Output annual'!$AC$2&amp;'Output annual'!$AD$2&amp;"*Zone People Number Of Occupants [](Hourly)",'Eplus results'!$1:$1048576,ROW(),FALSE)</f>
        <v>0</v>
      </c>
      <c r="AC2686" s="580">
        <f>HLOOKUP("*"&amp;'Output annual'!$AC$2&amp;'Output annual'!$AD$2&amp;"*FangerPMV(Hourly)",'Eplus results'!$1:$1048576,ROW(),FALSE)</f>
        <v>0</v>
      </c>
      <c r="AD2686" s="580">
        <f t="shared" si="241"/>
        <v>5</v>
      </c>
      <c r="AE2686" s="580">
        <f t="shared" si="242"/>
        <v>2.5</v>
      </c>
      <c r="AF2686" s="580">
        <f t="shared" si="243"/>
        <v>2.5</v>
      </c>
      <c r="AG2686" s="580">
        <f t="shared" si="244"/>
        <v>0</v>
      </c>
      <c r="AH2686" s="580">
        <f t="shared" si="245"/>
        <v>0</v>
      </c>
    </row>
    <row r="2687" spans="28:34">
      <c r="AB2687" s="580">
        <f>HLOOKUP("*"&amp;'Output annual'!$AC$2&amp;'Output annual'!$AD$2&amp;"*Zone People Number Of Occupants [](Hourly)",'Eplus results'!$1:$1048576,ROW(),FALSE)</f>
        <v>0</v>
      </c>
      <c r="AC2687" s="580">
        <f>HLOOKUP("*"&amp;'Output annual'!$AC$2&amp;'Output annual'!$AD$2&amp;"*FangerPMV(Hourly)",'Eplus results'!$1:$1048576,ROW(),FALSE)</f>
        <v>0</v>
      </c>
      <c r="AD2687" s="580">
        <f t="shared" si="241"/>
        <v>5</v>
      </c>
      <c r="AE2687" s="580">
        <f t="shared" si="242"/>
        <v>2.5</v>
      </c>
      <c r="AF2687" s="580">
        <f t="shared" si="243"/>
        <v>2.5</v>
      </c>
      <c r="AG2687" s="580">
        <f t="shared" si="244"/>
        <v>0</v>
      </c>
      <c r="AH2687" s="580">
        <f t="shared" si="245"/>
        <v>0</v>
      </c>
    </row>
    <row r="2688" spans="28:34">
      <c r="AB2688" s="580">
        <f>HLOOKUP("*"&amp;'Output annual'!$AC$2&amp;'Output annual'!$AD$2&amp;"*Zone People Number Of Occupants [](Hourly)",'Eplus results'!$1:$1048576,ROW(),FALSE)</f>
        <v>0</v>
      </c>
      <c r="AC2688" s="580">
        <f>HLOOKUP("*"&amp;'Output annual'!$AC$2&amp;'Output annual'!$AD$2&amp;"*FangerPMV(Hourly)",'Eplus results'!$1:$1048576,ROW(),FALSE)</f>
        <v>0</v>
      </c>
      <c r="AD2688" s="580">
        <f t="shared" si="241"/>
        <v>5</v>
      </c>
      <c r="AE2688" s="580">
        <f t="shared" si="242"/>
        <v>2.5</v>
      </c>
      <c r="AF2688" s="580">
        <f t="shared" si="243"/>
        <v>2.5</v>
      </c>
      <c r="AG2688" s="580">
        <f t="shared" si="244"/>
        <v>0</v>
      </c>
      <c r="AH2688" s="580">
        <f t="shared" si="245"/>
        <v>0</v>
      </c>
    </row>
    <row r="2689" spans="28:34">
      <c r="AB2689" s="580">
        <f>HLOOKUP("*"&amp;'Output annual'!$AC$2&amp;'Output annual'!$AD$2&amp;"*Zone People Number Of Occupants [](Hourly)",'Eplus results'!$1:$1048576,ROW(),FALSE)</f>
        <v>0</v>
      </c>
      <c r="AC2689" s="580">
        <f>HLOOKUP("*"&amp;'Output annual'!$AC$2&amp;'Output annual'!$AD$2&amp;"*FangerPMV(Hourly)",'Eplus results'!$1:$1048576,ROW(),FALSE)</f>
        <v>0</v>
      </c>
      <c r="AD2689" s="580">
        <f t="shared" si="241"/>
        <v>5</v>
      </c>
      <c r="AE2689" s="580">
        <f t="shared" si="242"/>
        <v>2.5</v>
      </c>
      <c r="AF2689" s="580">
        <f t="shared" si="243"/>
        <v>2.5</v>
      </c>
      <c r="AG2689" s="580">
        <f t="shared" si="244"/>
        <v>0</v>
      </c>
      <c r="AH2689" s="580">
        <f t="shared" si="245"/>
        <v>0</v>
      </c>
    </row>
    <row r="2690" spans="28:34">
      <c r="AB2690" s="580">
        <f>HLOOKUP("*"&amp;'Output annual'!$AC$2&amp;'Output annual'!$AD$2&amp;"*Zone People Number Of Occupants [](Hourly)",'Eplus results'!$1:$1048576,ROW(),FALSE)</f>
        <v>0</v>
      </c>
      <c r="AC2690" s="580">
        <f>HLOOKUP("*"&amp;'Output annual'!$AC$2&amp;'Output annual'!$AD$2&amp;"*FangerPMV(Hourly)",'Eplus results'!$1:$1048576,ROW(),FALSE)</f>
        <v>0</v>
      </c>
      <c r="AD2690" s="580">
        <f t="shared" si="241"/>
        <v>5</v>
      </c>
      <c r="AE2690" s="580">
        <f t="shared" si="242"/>
        <v>2.5</v>
      </c>
      <c r="AF2690" s="580">
        <f t="shared" si="243"/>
        <v>2.5</v>
      </c>
      <c r="AG2690" s="580">
        <f t="shared" si="244"/>
        <v>0</v>
      </c>
      <c r="AH2690" s="580">
        <f t="shared" si="245"/>
        <v>0</v>
      </c>
    </row>
    <row r="2691" spans="28:34">
      <c r="AB2691" s="580">
        <f>HLOOKUP("*"&amp;'Output annual'!$AC$2&amp;'Output annual'!$AD$2&amp;"*Zone People Number Of Occupants [](Hourly)",'Eplus results'!$1:$1048576,ROW(),FALSE)</f>
        <v>0</v>
      </c>
      <c r="AC2691" s="580">
        <f>HLOOKUP("*"&amp;'Output annual'!$AC$2&amp;'Output annual'!$AD$2&amp;"*FangerPMV(Hourly)",'Eplus results'!$1:$1048576,ROW(),FALSE)</f>
        <v>0</v>
      </c>
      <c r="AD2691" s="580">
        <f t="shared" ref="AD2691:AD2754" si="246">100-95*EXP(-0.03353*AC2691^4-0.2179*AC2691^2)</f>
        <v>5</v>
      </c>
      <c r="AE2691" s="580">
        <f t="shared" ref="AE2691:AE2754" si="247">AD2691*(1/(1+EXP(-6.3*$AC2691)))</f>
        <v>2.5</v>
      </c>
      <c r="AF2691" s="580">
        <f t="shared" ref="AF2691:AF2754" si="248">(AD2691-AE2691)</f>
        <v>2.5</v>
      </c>
      <c r="AG2691" s="580">
        <f t="shared" ref="AG2691:AG2754" si="249">AE2691*AB2691</f>
        <v>0</v>
      </c>
      <c r="AH2691" s="580">
        <f t="shared" ref="AH2691:AH2754" si="250">AF2691*AB2691</f>
        <v>0</v>
      </c>
    </row>
    <row r="2692" spans="28:34">
      <c r="AB2692" s="580">
        <f>HLOOKUP("*"&amp;'Output annual'!$AC$2&amp;'Output annual'!$AD$2&amp;"*Zone People Number Of Occupants [](Hourly)",'Eplus results'!$1:$1048576,ROW(),FALSE)</f>
        <v>0</v>
      </c>
      <c r="AC2692" s="580">
        <f>HLOOKUP("*"&amp;'Output annual'!$AC$2&amp;'Output annual'!$AD$2&amp;"*FangerPMV(Hourly)",'Eplus results'!$1:$1048576,ROW(),FALSE)</f>
        <v>0</v>
      </c>
      <c r="AD2692" s="580">
        <f t="shared" si="246"/>
        <v>5</v>
      </c>
      <c r="AE2692" s="580">
        <f t="shared" si="247"/>
        <v>2.5</v>
      </c>
      <c r="AF2692" s="580">
        <f t="shared" si="248"/>
        <v>2.5</v>
      </c>
      <c r="AG2692" s="580">
        <f t="shared" si="249"/>
        <v>0</v>
      </c>
      <c r="AH2692" s="580">
        <f t="shared" si="250"/>
        <v>0</v>
      </c>
    </row>
    <row r="2693" spans="28:34">
      <c r="AB2693" s="580">
        <f>HLOOKUP("*"&amp;'Output annual'!$AC$2&amp;'Output annual'!$AD$2&amp;"*Zone People Number Of Occupants [](Hourly)",'Eplus results'!$1:$1048576,ROW(),FALSE)</f>
        <v>0</v>
      </c>
      <c r="AC2693" s="580">
        <f>HLOOKUP("*"&amp;'Output annual'!$AC$2&amp;'Output annual'!$AD$2&amp;"*FangerPMV(Hourly)",'Eplus results'!$1:$1048576,ROW(),FALSE)</f>
        <v>0</v>
      </c>
      <c r="AD2693" s="580">
        <f t="shared" si="246"/>
        <v>5</v>
      </c>
      <c r="AE2693" s="580">
        <f t="shared" si="247"/>
        <v>2.5</v>
      </c>
      <c r="AF2693" s="580">
        <f t="shared" si="248"/>
        <v>2.5</v>
      </c>
      <c r="AG2693" s="580">
        <f t="shared" si="249"/>
        <v>0</v>
      </c>
      <c r="AH2693" s="580">
        <f t="shared" si="250"/>
        <v>0</v>
      </c>
    </row>
    <row r="2694" spans="28:34">
      <c r="AB2694" s="580">
        <f>HLOOKUP("*"&amp;'Output annual'!$AC$2&amp;'Output annual'!$AD$2&amp;"*Zone People Number Of Occupants [](Hourly)",'Eplus results'!$1:$1048576,ROW(),FALSE)</f>
        <v>0</v>
      </c>
      <c r="AC2694" s="580">
        <f>HLOOKUP("*"&amp;'Output annual'!$AC$2&amp;'Output annual'!$AD$2&amp;"*FangerPMV(Hourly)",'Eplus results'!$1:$1048576,ROW(),FALSE)</f>
        <v>0</v>
      </c>
      <c r="AD2694" s="580">
        <f t="shared" si="246"/>
        <v>5</v>
      </c>
      <c r="AE2694" s="580">
        <f t="shared" si="247"/>
        <v>2.5</v>
      </c>
      <c r="AF2694" s="580">
        <f t="shared" si="248"/>
        <v>2.5</v>
      </c>
      <c r="AG2694" s="580">
        <f t="shared" si="249"/>
        <v>0</v>
      </c>
      <c r="AH2694" s="580">
        <f t="shared" si="250"/>
        <v>0</v>
      </c>
    </row>
    <row r="2695" spans="28:34">
      <c r="AB2695" s="580">
        <f>HLOOKUP("*"&amp;'Output annual'!$AC$2&amp;'Output annual'!$AD$2&amp;"*Zone People Number Of Occupants [](Hourly)",'Eplus results'!$1:$1048576,ROW(),FALSE)</f>
        <v>0</v>
      </c>
      <c r="AC2695" s="580">
        <f>HLOOKUP("*"&amp;'Output annual'!$AC$2&amp;'Output annual'!$AD$2&amp;"*FangerPMV(Hourly)",'Eplus results'!$1:$1048576,ROW(),FALSE)</f>
        <v>0</v>
      </c>
      <c r="AD2695" s="580">
        <f t="shared" si="246"/>
        <v>5</v>
      </c>
      <c r="AE2695" s="580">
        <f t="shared" si="247"/>
        <v>2.5</v>
      </c>
      <c r="AF2695" s="580">
        <f t="shared" si="248"/>
        <v>2.5</v>
      </c>
      <c r="AG2695" s="580">
        <f t="shared" si="249"/>
        <v>0</v>
      </c>
      <c r="AH2695" s="580">
        <f t="shared" si="250"/>
        <v>0</v>
      </c>
    </row>
    <row r="2696" spans="28:34">
      <c r="AB2696" s="580">
        <f>HLOOKUP("*"&amp;'Output annual'!$AC$2&amp;'Output annual'!$AD$2&amp;"*Zone People Number Of Occupants [](Hourly)",'Eplus results'!$1:$1048576,ROW(),FALSE)</f>
        <v>0</v>
      </c>
      <c r="AC2696" s="580">
        <f>HLOOKUP("*"&amp;'Output annual'!$AC$2&amp;'Output annual'!$AD$2&amp;"*FangerPMV(Hourly)",'Eplus results'!$1:$1048576,ROW(),FALSE)</f>
        <v>0</v>
      </c>
      <c r="AD2696" s="580">
        <f t="shared" si="246"/>
        <v>5</v>
      </c>
      <c r="AE2696" s="580">
        <f t="shared" si="247"/>
        <v>2.5</v>
      </c>
      <c r="AF2696" s="580">
        <f t="shared" si="248"/>
        <v>2.5</v>
      </c>
      <c r="AG2696" s="580">
        <f t="shared" si="249"/>
        <v>0</v>
      </c>
      <c r="AH2696" s="580">
        <f t="shared" si="250"/>
        <v>0</v>
      </c>
    </row>
    <row r="2697" spans="28:34">
      <c r="AB2697" s="580">
        <f>HLOOKUP("*"&amp;'Output annual'!$AC$2&amp;'Output annual'!$AD$2&amp;"*Zone People Number Of Occupants [](Hourly)",'Eplus results'!$1:$1048576,ROW(),FALSE)</f>
        <v>0</v>
      </c>
      <c r="AC2697" s="580">
        <f>HLOOKUP("*"&amp;'Output annual'!$AC$2&amp;'Output annual'!$AD$2&amp;"*FangerPMV(Hourly)",'Eplus results'!$1:$1048576,ROW(),FALSE)</f>
        <v>0</v>
      </c>
      <c r="AD2697" s="580">
        <f t="shared" si="246"/>
        <v>5</v>
      </c>
      <c r="AE2697" s="580">
        <f t="shared" si="247"/>
        <v>2.5</v>
      </c>
      <c r="AF2697" s="580">
        <f t="shared" si="248"/>
        <v>2.5</v>
      </c>
      <c r="AG2697" s="580">
        <f t="shared" si="249"/>
        <v>0</v>
      </c>
      <c r="AH2697" s="580">
        <f t="shared" si="250"/>
        <v>0</v>
      </c>
    </row>
    <row r="2698" spans="28:34">
      <c r="AB2698" s="580">
        <f>HLOOKUP("*"&amp;'Output annual'!$AC$2&amp;'Output annual'!$AD$2&amp;"*Zone People Number Of Occupants [](Hourly)",'Eplus results'!$1:$1048576,ROW(),FALSE)</f>
        <v>0</v>
      </c>
      <c r="AC2698" s="580">
        <f>HLOOKUP("*"&amp;'Output annual'!$AC$2&amp;'Output annual'!$AD$2&amp;"*FangerPMV(Hourly)",'Eplus results'!$1:$1048576,ROW(),FALSE)</f>
        <v>0</v>
      </c>
      <c r="AD2698" s="580">
        <f t="shared" si="246"/>
        <v>5</v>
      </c>
      <c r="AE2698" s="580">
        <f t="shared" si="247"/>
        <v>2.5</v>
      </c>
      <c r="AF2698" s="580">
        <f t="shared" si="248"/>
        <v>2.5</v>
      </c>
      <c r="AG2698" s="580">
        <f t="shared" si="249"/>
        <v>0</v>
      </c>
      <c r="AH2698" s="580">
        <f t="shared" si="250"/>
        <v>0</v>
      </c>
    </row>
    <row r="2699" spans="28:34">
      <c r="AB2699" s="580">
        <f>HLOOKUP("*"&amp;'Output annual'!$AC$2&amp;'Output annual'!$AD$2&amp;"*Zone People Number Of Occupants [](Hourly)",'Eplus results'!$1:$1048576,ROW(),FALSE)</f>
        <v>0</v>
      </c>
      <c r="AC2699" s="580">
        <f>HLOOKUP("*"&amp;'Output annual'!$AC$2&amp;'Output annual'!$AD$2&amp;"*FangerPMV(Hourly)",'Eplus results'!$1:$1048576,ROW(),FALSE)</f>
        <v>0</v>
      </c>
      <c r="AD2699" s="580">
        <f t="shared" si="246"/>
        <v>5</v>
      </c>
      <c r="AE2699" s="580">
        <f t="shared" si="247"/>
        <v>2.5</v>
      </c>
      <c r="AF2699" s="580">
        <f t="shared" si="248"/>
        <v>2.5</v>
      </c>
      <c r="AG2699" s="580">
        <f t="shared" si="249"/>
        <v>0</v>
      </c>
      <c r="AH2699" s="580">
        <f t="shared" si="250"/>
        <v>0</v>
      </c>
    </row>
    <row r="2700" spans="28:34">
      <c r="AB2700" s="580">
        <f>HLOOKUP("*"&amp;'Output annual'!$AC$2&amp;'Output annual'!$AD$2&amp;"*Zone People Number Of Occupants [](Hourly)",'Eplus results'!$1:$1048576,ROW(),FALSE)</f>
        <v>0</v>
      </c>
      <c r="AC2700" s="580">
        <f>HLOOKUP("*"&amp;'Output annual'!$AC$2&amp;'Output annual'!$AD$2&amp;"*FangerPMV(Hourly)",'Eplus results'!$1:$1048576,ROW(),FALSE)</f>
        <v>0</v>
      </c>
      <c r="AD2700" s="580">
        <f t="shared" si="246"/>
        <v>5</v>
      </c>
      <c r="AE2700" s="580">
        <f t="shared" si="247"/>
        <v>2.5</v>
      </c>
      <c r="AF2700" s="580">
        <f t="shared" si="248"/>
        <v>2.5</v>
      </c>
      <c r="AG2700" s="580">
        <f t="shared" si="249"/>
        <v>0</v>
      </c>
      <c r="AH2700" s="580">
        <f t="shared" si="250"/>
        <v>0</v>
      </c>
    </row>
    <row r="2701" spans="28:34">
      <c r="AB2701" s="580">
        <f>HLOOKUP("*"&amp;'Output annual'!$AC$2&amp;'Output annual'!$AD$2&amp;"*Zone People Number Of Occupants [](Hourly)",'Eplus results'!$1:$1048576,ROW(),FALSE)</f>
        <v>0</v>
      </c>
      <c r="AC2701" s="580">
        <f>HLOOKUP("*"&amp;'Output annual'!$AC$2&amp;'Output annual'!$AD$2&amp;"*FangerPMV(Hourly)",'Eplus results'!$1:$1048576,ROW(),FALSE)</f>
        <v>0</v>
      </c>
      <c r="AD2701" s="580">
        <f t="shared" si="246"/>
        <v>5</v>
      </c>
      <c r="AE2701" s="580">
        <f t="shared" si="247"/>
        <v>2.5</v>
      </c>
      <c r="AF2701" s="580">
        <f t="shared" si="248"/>
        <v>2.5</v>
      </c>
      <c r="AG2701" s="580">
        <f t="shared" si="249"/>
        <v>0</v>
      </c>
      <c r="AH2701" s="580">
        <f t="shared" si="250"/>
        <v>0</v>
      </c>
    </row>
    <row r="2702" spans="28:34">
      <c r="AB2702" s="580">
        <f>HLOOKUP("*"&amp;'Output annual'!$AC$2&amp;'Output annual'!$AD$2&amp;"*Zone People Number Of Occupants [](Hourly)",'Eplus results'!$1:$1048576,ROW(),FALSE)</f>
        <v>0</v>
      </c>
      <c r="AC2702" s="580">
        <f>HLOOKUP("*"&amp;'Output annual'!$AC$2&amp;'Output annual'!$AD$2&amp;"*FangerPMV(Hourly)",'Eplus results'!$1:$1048576,ROW(),FALSE)</f>
        <v>0</v>
      </c>
      <c r="AD2702" s="580">
        <f t="shared" si="246"/>
        <v>5</v>
      </c>
      <c r="AE2702" s="580">
        <f t="shared" si="247"/>
        <v>2.5</v>
      </c>
      <c r="AF2702" s="580">
        <f t="shared" si="248"/>
        <v>2.5</v>
      </c>
      <c r="AG2702" s="580">
        <f t="shared" si="249"/>
        <v>0</v>
      </c>
      <c r="AH2702" s="580">
        <f t="shared" si="250"/>
        <v>0</v>
      </c>
    </row>
    <row r="2703" spans="28:34">
      <c r="AB2703" s="580">
        <f>HLOOKUP("*"&amp;'Output annual'!$AC$2&amp;'Output annual'!$AD$2&amp;"*Zone People Number Of Occupants [](Hourly)",'Eplus results'!$1:$1048576,ROW(),FALSE)</f>
        <v>0</v>
      </c>
      <c r="AC2703" s="580">
        <f>HLOOKUP("*"&amp;'Output annual'!$AC$2&amp;'Output annual'!$AD$2&amp;"*FangerPMV(Hourly)",'Eplus results'!$1:$1048576,ROW(),FALSE)</f>
        <v>0</v>
      </c>
      <c r="AD2703" s="580">
        <f t="shared" si="246"/>
        <v>5</v>
      </c>
      <c r="AE2703" s="580">
        <f t="shared" si="247"/>
        <v>2.5</v>
      </c>
      <c r="AF2703" s="580">
        <f t="shared" si="248"/>
        <v>2.5</v>
      </c>
      <c r="AG2703" s="580">
        <f t="shared" si="249"/>
        <v>0</v>
      </c>
      <c r="AH2703" s="580">
        <f t="shared" si="250"/>
        <v>0</v>
      </c>
    </row>
    <row r="2704" spans="28:34">
      <c r="AB2704" s="580">
        <f>HLOOKUP("*"&amp;'Output annual'!$AC$2&amp;'Output annual'!$AD$2&amp;"*Zone People Number Of Occupants [](Hourly)",'Eplus results'!$1:$1048576,ROW(),FALSE)</f>
        <v>0</v>
      </c>
      <c r="AC2704" s="580">
        <f>HLOOKUP("*"&amp;'Output annual'!$AC$2&amp;'Output annual'!$AD$2&amp;"*FangerPMV(Hourly)",'Eplus results'!$1:$1048576,ROW(),FALSE)</f>
        <v>0</v>
      </c>
      <c r="AD2704" s="580">
        <f t="shared" si="246"/>
        <v>5</v>
      </c>
      <c r="AE2704" s="580">
        <f t="shared" si="247"/>
        <v>2.5</v>
      </c>
      <c r="AF2704" s="580">
        <f t="shared" si="248"/>
        <v>2.5</v>
      </c>
      <c r="AG2704" s="580">
        <f t="shared" si="249"/>
        <v>0</v>
      </c>
      <c r="AH2704" s="580">
        <f t="shared" si="250"/>
        <v>0</v>
      </c>
    </row>
    <row r="2705" spans="28:34">
      <c r="AB2705" s="580">
        <f>HLOOKUP("*"&amp;'Output annual'!$AC$2&amp;'Output annual'!$AD$2&amp;"*Zone People Number Of Occupants [](Hourly)",'Eplus results'!$1:$1048576,ROW(),FALSE)</f>
        <v>0</v>
      </c>
      <c r="AC2705" s="580">
        <f>HLOOKUP("*"&amp;'Output annual'!$AC$2&amp;'Output annual'!$AD$2&amp;"*FangerPMV(Hourly)",'Eplus results'!$1:$1048576,ROW(),FALSE)</f>
        <v>0</v>
      </c>
      <c r="AD2705" s="580">
        <f t="shared" si="246"/>
        <v>5</v>
      </c>
      <c r="AE2705" s="580">
        <f t="shared" si="247"/>
        <v>2.5</v>
      </c>
      <c r="AF2705" s="580">
        <f t="shared" si="248"/>
        <v>2.5</v>
      </c>
      <c r="AG2705" s="580">
        <f t="shared" si="249"/>
        <v>0</v>
      </c>
      <c r="AH2705" s="580">
        <f t="shared" si="250"/>
        <v>0</v>
      </c>
    </row>
    <row r="2706" spans="28:34">
      <c r="AB2706" s="580">
        <f>HLOOKUP("*"&amp;'Output annual'!$AC$2&amp;'Output annual'!$AD$2&amp;"*Zone People Number Of Occupants [](Hourly)",'Eplus results'!$1:$1048576,ROW(),FALSE)</f>
        <v>0</v>
      </c>
      <c r="AC2706" s="580">
        <f>HLOOKUP("*"&amp;'Output annual'!$AC$2&amp;'Output annual'!$AD$2&amp;"*FangerPMV(Hourly)",'Eplus results'!$1:$1048576,ROW(),FALSE)</f>
        <v>0</v>
      </c>
      <c r="AD2706" s="580">
        <f t="shared" si="246"/>
        <v>5</v>
      </c>
      <c r="AE2706" s="580">
        <f t="shared" si="247"/>
        <v>2.5</v>
      </c>
      <c r="AF2706" s="580">
        <f t="shared" si="248"/>
        <v>2.5</v>
      </c>
      <c r="AG2706" s="580">
        <f t="shared" si="249"/>
        <v>0</v>
      </c>
      <c r="AH2706" s="580">
        <f t="shared" si="250"/>
        <v>0</v>
      </c>
    </row>
    <row r="2707" spans="28:34">
      <c r="AB2707" s="580">
        <f>HLOOKUP("*"&amp;'Output annual'!$AC$2&amp;'Output annual'!$AD$2&amp;"*Zone People Number Of Occupants [](Hourly)",'Eplus results'!$1:$1048576,ROW(),FALSE)</f>
        <v>0</v>
      </c>
      <c r="AC2707" s="580">
        <f>HLOOKUP("*"&amp;'Output annual'!$AC$2&amp;'Output annual'!$AD$2&amp;"*FangerPMV(Hourly)",'Eplus results'!$1:$1048576,ROW(),FALSE)</f>
        <v>0</v>
      </c>
      <c r="AD2707" s="580">
        <f t="shared" si="246"/>
        <v>5</v>
      </c>
      <c r="AE2707" s="580">
        <f t="shared" si="247"/>
        <v>2.5</v>
      </c>
      <c r="AF2707" s="580">
        <f t="shared" si="248"/>
        <v>2.5</v>
      </c>
      <c r="AG2707" s="580">
        <f t="shared" si="249"/>
        <v>0</v>
      </c>
      <c r="AH2707" s="580">
        <f t="shared" si="250"/>
        <v>0</v>
      </c>
    </row>
    <row r="2708" spans="28:34">
      <c r="AB2708" s="580">
        <f>HLOOKUP("*"&amp;'Output annual'!$AC$2&amp;'Output annual'!$AD$2&amp;"*Zone People Number Of Occupants [](Hourly)",'Eplus results'!$1:$1048576,ROW(),FALSE)</f>
        <v>0</v>
      </c>
      <c r="AC2708" s="580">
        <f>HLOOKUP("*"&amp;'Output annual'!$AC$2&amp;'Output annual'!$AD$2&amp;"*FangerPMV(Hourly)",'Eplus results'!$1:$1048576,ROW(),FALSE)</f>
        <v>0</v>
      </c>
      <c r="AD2708" s="580">
        <f t="shared" si="246"/>
        <v>5</v>
      </c>
      <c r="AE2708" s="580">
        <f t="shared" si="247"/>
        <v>2.5</v>
      </c>
      <c r="AF2708" s="580">
        <f t="shared" si="248"/>
        <v>2.5</v>
      </c>
      <c r="AG2708" s="580">
        <f t="shared" si="249"/>
        <v>0</v>
      </c>
      <c r="AH2708" s="580">
        <f t="shared" si="250"/>
        <v>0</v>
      </c>
    </row>
    <row r="2709" spans="28:34">
      <c r="AB2709" s="580">
        <f>HLOOKUP("*"&amp;'Output annual'!$AC$2&amp;'Output annual'!$AD$2&amp;"*Zone People Number Of Occupants [](Hourly)",'Eplus results'!$1:$1048576,ROW(),FALSE)</f>
        <v>0</v>
      </c>
      <c r="AC2709" s="580">
        <f>HLOOKUP("*"&amp;'Output annual'!$AC$2&amp;'Output annual'!$AD$2&amp;"*FangerPMV(Hourly)",'Eplus results'!$1:$1048576,ROW(),FALSE)</f>
        <v>0</v>
      </c>
      <c r="AD2709" s="580">
        <f t="shared" si="246"/>
        <v>5</v>
      </c>
      <c r="AE2709" s="580">
        <f t="shared" si="247"/>
        <v>2.5</v>
      </c>
      <c r="AF2709" s="580">
        <f t="shared" si="248"/>
        <v>2.5</v>
      </c>
      <c r="AG2709" s="580">
        <f t="shared" si="249"/>
        <v>0</v>
      </c>
      <c r="AH2709" s="580">
        <f t="shared" si="250"/>
        <v>0</v>
      </c>
    </row>
    <row r="2710" spans="28:34">
      <c r="AB2710" s="580">
        <f>HLOOKUP("*"&amp;'Output annual'!$AC$2&amp;'Output annual'!$AD$2&amp;"*Zone People Number Of Occupants [](Hourly)",'Eplus results'!$1:$1048576,ROW(),FALSE)</f>
        <v>0</v>
      </c>
      <c r="AC2710" s="580">
        <f>HLOOKUP("*"&amp;'Output annual'!$AC$2&amp;'Output annual'!$AD$2&amp;"*FangerPMV(Hourly)",'Eplus results'!$1:$1048576,ROW(),FALSE)</f>
        <v>0</v>
      </c>
      <c r="AD2710" s="580">
        <f t="shared" si="246"/>
        <v>5</v>
      </c>
      <c r="AE2710" s="580">
        <f t="shared" si="247"/>
        <v>2.5</v>
      </c>
      <c r="AF2710" s="580">
        <f t="shared" si="248"/>
        <v>2.5</v>
      </c>
      <c r="AG2710" s="580">
        <f t="shared" si="249"/>
        <v>0</v>
      </c>
      <c r="AH2710" s="580">
        <f t="shared" si="250"/>
        <v>0</v>
      </c>
    </row>
    <row r="2711" spans="28:34">
      <c r="AB2711" s="580">
        <f>HLOOKUP("*"&amp;'Output annual'!$AC$2&amp;'Output annual'!$AD$2&amp;"*Zone People Number Of Occupants [](Hourly)",'Eplus results'!$1:$1048576,ROW(),FALSE)</f>
        <v>0</v>
      </c>
      <c r="AC2711" s="580">
        <f>HLOOKUP("*"&amp;'Output annual'!$AC$2&amp;'Output annual'!$AD$2&amp;"*FangerPMV(Hourly)",'Eplus results'!$1:$1048576,ROW(),FALSE)</f>
        <v>0</v>
      </c>
      <c r="AD2711" s="580">
        <f t="shared" si="246"/>
        <v>5</v>
      </c>
      <c r="AE2711" s="580">
        <f t="shared" si="247"/>
        <v>2.5</v>
      </c>
      <c r="AF2711" s="580">
        <f t="shared" si="248"/>
        <v>2.5</v>
      </c>
      <c r="AG2711" s="580">
        <f t="shared" si="249"/>
        <v>0</v>
      </c>
      <c r="AH2711" s="580">
        <f t="shared" si="250"/>
        <v>0</v>
      </c>
    </row>
    <row r="2712" spans="28:34">
      <c r="AB2712" s="580">
        <f>HLOOKUP("*"&amp;'Output annual'!$AC$2&amp;'Output annual'!$AD$2&amp;"*Zone People Number Of Occupants [](Hourly)",'Eplus results'!$1:$1048576,ROW(),FALSE)</f>
        <v>0</v>
      </c>
      <c r="AC2712" s="580">
        <f>HLOOKUP("*"&amp;'Output annual'!$AC$2&amp;'Output annual'!$AD$2&amp;"*FangerPMV(Hourly)",'Eplus results'!$1:$1048576,ROW(),FALSE)</f>
        <v>0</v>
      </c>
      <c r="AD2712" s="580">
        <f t="shared" si="246"/>
        <v>5</v>
      </c>
      <c r="AE2712" s="580">
        <f t="shared" si="247"/>
        <v>2.5</v>
      </c>
      <c r="AF2712" s="580">
        <f t="shared" si="248"/>
        <v>2.5</v>
      </c>
      <c r="AG2712" s="580">
        <f t="shared" si="249"/>
        <v>0</v>
      </c>
      <c r="AH2712" s="580">
        <f t="shared" si="250"/>
        <v>0</v>
      </c>
    </row>
    <row r="2713" spans="28:34">
      <c r="AB2713" s="580">
        <f>HLOOKUP("*"&amp;'Output annual'!$AC$2&amp;'Output annual'!$AD$2&amp;"*Zone People Number Of Occupants [](Hourly)",'Eplus results'!$1:$1048576,ROW(),FALSE)</f>
        <v>0</v>
      </c>
      <c r="AC2713" s="580">
        <f>HLOOKUP("*"&amp;'Output annual'!$AC$2&amp;'Output annual'!$AD$2&amp;"*FangerPMV(Hourly)",'Eplus results'!$1:$1048576,ROW(),FALSE)</f>
        <v>0</v>
      </c>
      <c r="AD2713" s="580">
        <f t="shared" si="246"/>
        <v>5</v>
      </c>
      <c r="AE2713" s="580">
        <f t="shared" si="247"/>
        <v>2.5</v>
      </c>
      <c r="AF2713" s="580">
        <f t="shared" si="248"/>
        <v>2.5</v>
      </c>
      <c r="AG2713" s="580">
        <f t="shared" si="249"/>
        <v>0</v>
      </c>
      <c r="AH2713" s="580">
        <f t="shared" si="250"/>
        <v>0</v>
      </c>
    </row>
    <row r="2714" spans="28:34">
      <c r="AB2714" s="580">
        <f>HLOOKUP("*"&amp;'Output annual'!$AC$2&amp;'Output annual'!$AD$2&amp;"*Zone People Number Of Occupants [](Hourly)",'Eplus results'!$1:$1048576,ROW(),FALSE)</f>
        <v>0</v>
      </c>
      <c r="AC2714" s="580">
        <f>HLOOKUP("*"&amp;'Output annual'!$AC$2&amp;'Output annual'!$AD$2&amp;"*FangerPMV(Hourly)",'Eplus results'!$1:$1048576,ROW(),FALSE)</f>
        <v>0</v>
      </c>
      <c r="AD2714" s="580">
        <f t="shared" si="246"/>
        <v>5</v>
      </c>
      <c r="AE2714" s="580">
        <f t="shared" si="247"/>
        <v>2.5</v>
      </c>
      <c r="AF2714" s="580">
        <f t="shared" si="248"/>
        <v>2.5</v>
      </c>
      <c r="AG2714" s="580">
        <f t="shared" si="249"/>
        <v>0</v>
      </c>
      <c r="AH2714" s="580">
        <f t="shared" si="250"/>
        <v>0</v>
      </c>
    </row>
    <row r="2715" spans="28:34">
      <c r="AB2715" s="580">
        <f>HLOOKUP("*"&amp;'Output annual'!$AC$2&amp;'Output annual'!$AD$2&amp;"*Zone People Number Of Occupants [](Hourly)",'Eplus results'!$1:$1048576,ROW(),FALSE)</f>
        <v>0</v>
      </c>
      <c r="AC2715" s="580">
        <f>HLOOKUP("*"&amp;'Output annual'!$AC$2&amp;'Output annual'!$AD$2&amp;"*FangerPMV(Hourly)",'Eplus results'!$1:$1048576,ROW(),FALSE)</f>
        <v>0</v>
      </c>
      <c r="AD2715" s="580">
        <f t="shared" si="246"/>
        <v>5</v>
      </c>
      <c r="AE2715" s="580">
        <f t="shared" si="247"/>
        <v>2.5</v>
      </c>
      <c r="AF2715" s="580">
        <f t="shared" si="248"/>
        <v>2.5</v>
      </c>
      <c r="AG2715" s="580">
        <f t="shared" si="249"/>
        <v>0</v>
      </c>
      <c r="AH2715" s="580">
        <f t="shared" si="250"/>
        <v>0</v>
      </c>
    </row>
    <row r="2716" spans="28:34">
      <c r="AB2716" s="580">
        <f>HLOOKUP("*"&amp;'Output annual'!$AC$2&amp;'Output annual'!$AD$2&amp;"*Zone People Number Of Occupants [](Hourly)",'Eplus results'!$1:$1048576,ROW(),FALSE)</f>
        <v>0</v>
      </c>
      <c r="AC2716" s="580">
        <f>HLOOKUP("*"&amp;'Output annual'!$AC$2&amp;'Output annual'!$AD$2&amp;"*FangerPMV(Hourly)",'Eplus results'!$1:$1048576,ROW(),FALSE)</f>
        <v>0</v>
      </c>
      <c r="AD2716" s="580">
        <f t="shared" si="246"/>
        <v>5</v>
      </c>
      <c r="AE2716" s="580">
        <f t="shared" si="247"/>
        <v>2.5</v>
      </c>
      <c r="AF2716" s="580">
        <f t="shared" si="248"/>
        <v>2.5</v>
      </c>
      <c r="AG2716" s="580">
        <f t="shared" si="249"/>
        <v>0</v>
      </c>
      <c r="AH2716" s="580">
        <f t="shared" si="250"/>
        <v>0</v>
      </c>
    </row>
    <row r="2717" spans="28:34">
      <c r="AB2717" s="580">
        <f>HLOOKUP("*"&amp;'Output annual'!$AC$2&amp;'Output annual'!$AD$2&amp;"*Zone People Number Of Occupants [](Hourly)",'Eplus results'!$1:$1048576,ROW(),FALSE)</f>
        <v>0</v>
      </c>
      <c r="AC2717" s="580">
        <f>HLOOKUP("*"&amp;'Output annual'!$AC$2&amp;'Output annual'!$AD$2&amp;"*FangerPMV(Hourly)",'Eplus results'!$1:$1048576,ROW(),FALSE)</f>
        <v>0</v>
      </c>
      <c r="AD2717" s="580">
        <f t="shared" si="246"/>
        <v>5</v>
      </c>
      <c r="AE2717" s="580">
        <f t="shared" si="247"/>
        <v>2.5</v>
      </c>
      <c r="AF2717" s="580">
        <f t="shared" si="248"/>
        <v>2.5</v>
      </c>
      <c r="AG2717" s="580">
        <f t="shared" si="249"/>
        <v>0</v>
      </c>
      <c r="AH2717" s="580">
        <f t="shared" si="250"/>
        <v>0</v>
      </c>
    </row>
    <row r="2718" spans="28:34">
      <c r="AB2718" s="580">
        <f>HLOOKUP("*"&amp;'Output annual'!$AC$2&amp;'Output annual'!$AD$2&amp;"*Zone People Number Of Occupants [](Hourly)",'Eplus results'!$1:$1048576,ROW(),FALSE)</f>
        <v>0</v>
      </c>
      <c r="AC2718" s="580">
        <f>HLOOKUP("*"&amp;'Output annual'!$AC$2&amp;'Output annual'!$AD$2&amp;"*FangerPMV(Hourly)",'Eplus results'!$1:$1048576,ROW(),FALSE)</f>
        <v>0</v>
      </c>
      <c r="AD2718" s="580">
        <f t="shared" si="246"/>
        <v>5</v>
      </c>
      <c r="AE2718" s="580">
        <f t="shared" si="247"/>
        <v>2.5</v>
      </c>
      <c r="AF2718" s="580">
        <f t="shared" si="248"/>
        <v>2.5</v>
      </c>
      <c r="AG2718" s="580">
        <f t="shared" si="249"/>
        <v>0</v>
      </c>
      <c r="AH2718" s="580">
        <f t="shared" si="250"/>
        <v>0</v>
      </c>
    </row>
    <row r="2719" spans="28:34">
      <c r="AB2719" s="580">
        <f>HLOOKUP("*"&amp;'Output annual'!$AC$2&amp;'Output annual'!$AD$2&amp;"*Zone People Number Of Occupants [](Hourly)",'Eplus results'!$1:$1048576,ROW(),FALSE)</f>
        <v>0</v>
      </c>
      <c r="AC2719" s="580">
        <f>HLOOKUP("*"&amp;'Output annual'!$AC$2&amp;'Output annual'!$AD$2&amp;"*FangerPMV(Hourly)",'Eplus results'!$1:$1048576,ROW(),FALSE)</f>
        <v>0</v>
      </c>
      <c r="AD2719" s="580">
        <f t="shared" si="246"/>
        <v>5</v>
      </c>
      <c r="AE2719" s="580">
        <f t="shared" si="247"/>
        <v>2.5</v>
      </c>
      <c r="AF2719" s="580">
        <f t="shared" si="248"/>
        <v>2.5</v>
      </c>
      <c r="AG2719" s="580">
        <f t="shared" si="249"/>
        <v>0</v>
      </c>
      <c r="AH2719" s="580">
        <f t="shared" si="250"/>
        <v>0</v>
      </c>
    </row>
    <row r="2720" spans="28:34">
      <c r="AB2720" s="580">
        <f>HLOOKUP("*"&amp;'Output annual'!$AC$2&amp;'Output annual'!$AD$2&amp;"*Zone People Number Of Occupants [](Hourly)",'Eplus results'!$1:$1048576,ROW(),FALSE)</f>
        <v>0</v>
      </c>
      <c r="AC2720" s="580">
        <f>HLOOKUP("*"&amp;'Output annual'!$AC$2&amp;'Output annual'!$AD$2&amp;"*FangerPMV(Hourly)",'Eplus results'!$1:$1048576,ROW(),FALSE)</f>
        <v>0</v>
      </c>
      <c r="AD2720" s="580">
        <f t="shared" si="246"/>
        <v>5</v>
      </c>
      <c r="AE2720" s="580">
        <f t="shared" si="247"/>
        <v>2.5</v>
      </c>
      <c r="AF2720" s="580">
        <f t="shared" si="248"/>
        <v>2.5</v>
      </c>
      <c r="AG2720" s="580">
        <f t="shared" si="249"/>
        <v>0</v>
      </c>
      <c r="AH2720" s="580">
        <f t="shared" si="250"/>
        <v>0</v>
      </c>
    </row>
    <row r="2721" spans="28:34">
      <c r="AB2721" s="580">
        <f>HLOOKUP("*"&amp;'Output annual'!$AC$2&amp;'Output annual'!$AD$2&amp;"*Zone People Number Of Occupants [](Hourly)",'Eplus results'!$1:$1048576,ROW(),FALSE)</f>
        <v>0</v>
      </c>
      <c r="AC2721" s="580">
        <f>HLOOKUP("*"&amp;'Output annual'!$AC$2&amp;'Output annual'!$AD$2&amp;"*FangerPMV(Hourly)",'Eplus results'!$1:$1048576,ROW(),FALSE)</f>
        <v>0</v>
      </c>
      <c r="AD2721" s="580">
        <f t="shared" si="246"/>
        <v>5</v>
      </c>
      <c r="AE2721" s="580">
        <f t="shared" si="247"/>
        <v>2.5</v>
      </c>
      <c r="AF2721" s="580">
        <f t="shared" si="248"/>
        <v>2.5</v>
      </c>
      <c r="AG2721" s="580">
        <f t="shared" si="249"/>
        <v>0</v>
      </c>
      <c r="AH2721" s="580">
        <f t="shared" si="250"/>
        <v>0</v>
      </c>
    </row>
    <row r="2722" spans="28:34">
      <c r="AB2722" s="580">
        <f>HLOOKUP("*"&amp;'Output annual'!$AC$2&amp;'Output annual'!$AD$2&amp;"*Zone People Number Of Occupants [](Hourly)",'Eplus results'!$1:$1048576,ROW(),FALSE)</f>
        <v>0</v>
      </c>
      <c r="AC2722" s="580">
        <f>HLOOKUP("*"&amp;'Output annual'!$AC$2&amp;'Output annual'!$AD$2&amp;"*FangerPMV(Hourly)",'Eplus results'!$1:$1048576,ROW(),FALSE)</f>
        <v>0</v>
      </c>
      <c r="AD2722" s="580">
        <f t="shared" si="246"/>
        <v>5</v>
      </c>
      <c r="AE2722" s="580">
        <f t="shared" si="247"/>
        <v>2.5</v>
      </c>
      <c r="AF2722" s="580">
        <f t="shared" si="248"/>
        <v>2.5</v>
      </c>
      <c r="AG2722" s="580">
        <f t="shared" si="249"/>
        <v>0</v>
      </c>
      <c r="AH2722" s="580">
        <f t="shared" si="250"/>
        <v>0</v>
      </c>
    </row>
    <row r="2723" spans="28:34">
      <c r="AB2723" s="580">
        <f>HLOOKUP("*"&amp;'Output annual'!$AC$2&amp;'Output annual'!$AD$2&amp;"*Zone People Number Of Occupants [](Hourly)",'Eplus results'!$1:$1048576,ROW(),FALSE)</f>
        <v>0</v>
      </c>
      <c r="AC2723" s="580">
        <f>HLOOKUP("*"&amp;'Output annual'!$AC$2&amp;'Output annual'!$AD$2&amp;"*FangerPMV(Hourly)",'Eplus results'!$1:$1048576,ROW(),FALSE)</f>
        <v>0</v>
      </c>
      <c r="AD2723" s="580">
        <f t="shared" si="246"/>
        <v>5</v>
      </c>
      <c r="AE2723" s="580">
        <f t="shared" si="247"/>
        <v>2.5</v>
      </c>
      <c r="AF2723" s="580">
        <f t="shared" si="248"/>
        <v>2.5</v>
      </c>
      <c r="AG2723" s="580">
        <f t="shared" si="249"/>
        <v>0</v>
      </c>
      <c r="AH2723" s="580">
        <f t="shared" si="250"/>
        <v>0</v>
      </c>
    </row>
    <row r="2724" spans="28:34">
      <c r="AB2724" s="580">
        <f>HLOOKUP("*"&amp;'Output annual'!$AC$2&amp;'Output annual'!$AD$2&amp;"*Zone People Number Of Occupants [](Hourly)",'Eplus results'!$1:$1048576,ROW(),FALSE)</f>
        <v>0</v>
      </c>
      <c r="AC2724" s="580">
        <f>HLOOKUP("*"&amp;'Output annual'!$AC$2&amp;'Output annual'!$AD$2&amp;"*FangerPMV(Hourly)",'Eplus results'!$1:$1048576,ROW(),FALSE)</f>
        <v>0</v>
      </c>
      <c r="AD2724" s="580">
        <f t="shared" si="246"/>
        <v>5</v>
      </c>
      <c r="AE2724" s="580">
        <f t="shared" si="247"/>
        <v>2.5</v>
      </c>
      <c r="AF2724" s="580">
        <f t="shared" si="248"/>
        <v>2.5</v>
      </c>
      <c r="AG2724" s="580">
        <f t="shared" si="249"/>
        <v>0</v>
      </c>
      <c r="AH2724" s="580">
        <f t="shared" si="250"/>
        <v>0</v>
      </c>
    </row>
    <row r="2725" spans="28:34">
      <c r="AB2725" s="580">
        <f>HLOOKUP("*"&amp;'Output annual'!$AC$2&amp;'Output annual'!$AD$2&amp;"*Zone People Number Of Occupants [](Hourly)",'Eplus results'!$1:$1048576,ROW(),FALSE)</f>
        <v>0</v>
      </c>
      <c r="AC2725" s="580">
        <f>HLOOKUP("*"&amp;'Output annual'!$AC$2&amp;'Output annual'!$AD$2&amp;"*FangerPMV(Hourly)",'Eplus results'!$1:$1048576,ROW(),FALSE)</f>
        <v>0</v>
      </c>
      <c r="AD2725" s="580">
        <f t="shared" si="246"/>
        <v>5</v>
      </c>
      <c r="AE2725" s="580">
        <f t="shared" si="247"/>
        <v>2.5</v>
      </c>
      <c r="AF2725" s="580">
        <f t="shared" si="248"/>
        <v>2.5</v>
      </c>
      <c r="AG2725" s="580">
        <f t="shared" si="249"/>
        <v>0</v>
      </c>
      <c r="AH2725" s="580">
        <f t="shared" si="250"/>
        <v>0</v>
      </c>
    </row>
    <row r="2726" spans="28:34">
      <c r="AB2726" s="580">
        <f>HLOOKUP("*"&amp;'Output annual'!$AC$2&amp;'Output annual'!$AD$2&amp;"*Zone People Number Of Occupants [](Hourly)",'Eplus results'!$1:$1048576,ROW(),FALSE)</f>
        <v>0</v>
      </c>
      <c r="AC2726" s="580">
        <f>HLOOKUP("*"&amp;'Output annual'!$AC$2&amp;'Output annual'!$AD$2&amp;"*FangerPMV(Hourly)",'Eplus results'!$1:$1048576,ROW(),FALSE)</f>
        <v>0</v>
      </c>
      <c r="AD2726" s="580">
        <f t="shared" si="246"/>
        <v>5</v>
      </c>
      <c r="AE2726" s="580">
        <f t="shared" si="247"/>
        <v>2.5</v>
      </c>
      <c r="AF2726" s="580">
        <f t="shared" si="248"/>
        <v>2.5</v>
      </c>
      <c r="AG2726" s="580">
        <f t="shared" si="249"/>
        <v>0</v>
      </c>
      <c r="AH2726" s="580">
        <f t="shared" si="250"/>
        <v>0</v>
      </c>
    </row>
    <row r="2727" spans="28:34">
      <c r="AB2727" s="580">
        <f>HLOOKUP("*"&amp;'Output annual'!$AC$2&amp;'Output annual'!$AD$2&amp;"*Zone People Number Of Occupants [](Hourly)",'Eplus results'!$1:$1048576,ROW(),FALSE)</f>
        <v>0</v>
      </c>
      <c r="AC2727" s="580">
        <f>HLOOKUP("*"&amp;'Output annual'!$AC$2&amp;'Output annual'!$AD$2&amp;"*FangerPMV(Hourly)",'Eplus results'!$1:$1048576,ROW(),FALSE)</f>
        <v>0</v>
      </c>
      <c r="AD2727" s="580">
        <f t="shared" si="246"/>
        <v>5</v>
      </c>
      <c r="AE2727" s="580">
        <f t="shared" si="247"/>
        <v>2.5</v>
      </c>
      <c r="AF2727" s="580">
        <f t="shared" si="248"/>
        <v>2.5</v>
      </c>
      <c r="AG2727" s="580">
        <f t="shared" si="249"/>
        <v>0</v>
      </c>
      <c r="AH2727" s="580">
        <f t="shared" si="250"/>
        <v>0</v>
      </c>
    </row>
    <row r="2728" spans="28:34">
      <c r="AB2728" s="580">
        <f>HLOOKUP("*"&amp;'Output annual'!$AC$2&amp;'Output annual'!$AD$2&amp;"*Zone People Number Of Occupants [](Hourly)",'Eplus results'!$1:$1048576,ROW(),FALSE)</f>
        <v>0</v>
      </c>
      <c r="AC2728" s="580">
        <f>HLOOKUP("*"&amp;'Output annual'!$AC$2&amp;'Output annual'!$AD$2&amp;"*FangerPMV(Hourly)",'Eplus results'!$1:$1048576,ROW(),FALSE)</f>
        <v>0</v>
      </c>
      <c r="AD2728" s="580">
        <f t="shared" si="246"/>
        <v>5</v>
      </c>
      <c r="AE2728" s="580">
        <f t="shared" si="247"/>
        <v>2.5</v>
      </c>
      <c r="AF2728" s="580">
        <f t="shared" si="248"/>
        <v>2.5</v>
      </c>
      <c r="AG2728" s="580">
        <f t="shared" si="249"/>
        <v>0</v>
      </c>
      <c r="AH2728" s="580">
        <f t="shared" si="250"/>
        <v>0</v>
      </c>
    </row>
    <row r="2729" spans="28:34">
      <c r="AB2729" s="580">
        <f>HLOOKUP("*"&amp;'Output annual'!$AC$2&amp;'Output annual'!$AD$2&amp;"*Zone People Number Of Occupants [](Hourly)",'Eplus results'!$1:$1048576,ROW(),FALSE)</f>
        <v>0</v>
      </c>
      <c r="AC2729" s="580">
        <f>HLOOKUP("*"&amp;'Output annual'!$AC$2&amp;'Output annual'!$AD$2&amp;"*FangerPMV(Hourly)",'Eplus results'!$1:$1048576,ROW(),FALSE)</f>
        <v>0</v>
      </c>
      <c r="AD2729" s="580">
        <f t="shared" si="246"/>
        <v>5</v>
      </c>
      <c r="AE2729" s="580">
        <f t="shared" si="247"/>
        <v>2.5</v>
      </c>
      <c r="AF2729" s="580">
        <f t="shared" si="248"/>
        <v>2.5</v>
      </c>
      <c r="AG2729" s="580">
        <f t="shared" si="249"/>
        <v>0</v>
      </c>
      <c r="AH2729" s="580">
        <f t="shared" si="250"/>
        <v>0</v>
      </c>
    </row>
    <row r="2730" spans="28:34">
      <c r="AB2730" s="580">
        <f>HLOOKUP("*"&amp;'Output annual'!$AC$2&amp;'Output annual'!$AD$2&amp;"*Zone People Number Of Occupants [](Hourly)",'Eplus results'!$1:$1048576,ROW(),FALSE)</f>
        <v>0</v>
      </c>
      <c r="AC2730" s="580">
        <f>HLOOKUP("*"&amp;'Output annual'!$AC$2&amp;'Output annual'!$AD$2&amp;"*FangerPMV(Hourly)",'Eplus results'!$1:$1048576,ROW(),FALSE)</f>
        <v>0</v>
      </c>
      <c r="AD2730" s="580">
        <f t="shared" si="246"/>
        <v>5</v>
      </c>
      <c r="AE2730" s="580">
        <f t="shared" si="247"/>
        <v>2.5</v>
      </c>
      <c r="AF2730" s="580">
        <f t="shared" si="248"/>
        <v>2.5</v>
      </c>
      <c r="AG2730" s="580">
        <f t="shared" si="249"/>
        <v>0</v>
      </c>
      <c r="AH2730" s="580">
        <f t="shared" si="250"/>
        <v>0</v>
      </c>
    </row>
    <row r="2731" spans="28:34">
      <c r="AB2731" s="580">
        <f>HLOOKUP("*"&amp;'Output annual'!$AC$2&amp;'Output annual'!$AD$2&amp;"*Zone People Number Of Occupants [](Hourly)",'Eplus results'!$1:$1048576,ROW(),FALSE)</f>
        <v>0</v>
      </c>
      <c r="AC2731" s="580">
        <f>HLOOKUP("*"&amp;'Output annual'!$AC$2&amp;'Output annual'!$AD$2&amp;"*FangerPMV(Hourly)",'Eplus results'!$1:$1048576,ROW(),FALSE)</f>
        <v>0</v>
      </c>
      <c r="AD2731" s="580">
        <f t="shared" si="246"/>
        <v>5</v>
      </c>
      <c r="AE2731" s="580">
        <f t="shared" si="247"/>
        <v>2.5</v>
      </c>
      <c r="AF2731" s="580">
        <f t="shared" si="248"/>
        <v>2.5</v>
      </c>
      <c r="AG2731" s="580">
        <f t="shared" si="249"/>
        <v>0</v>
      </c>
      <c r="AH2731" s="580">
        <f t="shared" si="250"/>
        <v>0</v>
      </c>
    </row>
    <row r="2732" spans="28:34">
      <c r="AB2732" s="580">
        <f>HLOOKUP("*"&amp;'Output annual'!$AC$2&amp;'Output annual'!$AD$2&amp;"*Zone People Number Of Occupants [](Hourly)",'Eplus results'!$1:$1048576,ROW(),FALSE)</f>
        <v>0</v>
      </c>
      <c r="AC2732" s="580">
        <f>HLOOKUP("*"&amp;'Output annual'!$AC$2&amp;'Output annual'!$AD$2&amp;"*FangerPMV(Hourly)",'Eplus results'!$1:$1048576,ROW(),FALSE)</f>
        <v>0</v>
      </c>
      <c r="AD2732" s="580">
        <f t="shared" si="246"/>
        <v>5</v>
      </c>
      <c r="AE2732" s="580">
        <f t="shared" si="247"/>
        <v>2.5</v>
      </c>
      <c r="AF2732" s="580">
        <f t="shared" si="248"/>
        <v>2.5</v>
      </c>
      <c r="AG2732" s="580">
        <f t="shared" si="249"/>
        <v>0</v>
      </c>
      <c r="AH2732" s="580">
        <f t="shared" si="250"/>
        <v>0</v>
      </c>
    </row>
    <row r="2733" spans="28:34">
      <c r="AB2733" s="580">
        <f>HLOOKUP("*"&amp;'Output annual'!$AC$2&amp;'Output annual'!$AD$2&amp;"*Zone People Number Of Occupants [](Hourly)",'Eplus results'!$1:$1048576,ROW(),FALSE)</f>
        <v>0</v>
      </c>
      <c r="AC2733" s="580">
        <f>HLOOKUP("*"&amp;'Output annual'!$AC$2&amp;'Output annual'!$AD$2&amp;"*FangerPMV(Hourly)",'Eplus results'!$1:$1048576,ROW(),FALSE)</f>
        <v>0</v>
      </c>
      <c r="AD2733" s="580">
        <f t="shared" si="246"/>
        <v>5</v>
      </c>
      <c r="AE2733" s="580">
        <f t="shared" si="247"/>
        <v>2.5</v>
      </c>
      <c r="AF2733" s="580">
        <f t="shared" si="248"/>
        <v>2.5</v>
      </c>
      <c r="AG2733" s="580">
        <f t="shared" si="249"/>
        <v>0</v>
      </c>
      <c r="AH2733" s="580">
        <f t="shared" si="250"/>
        <v>0</v>
      </c>
    </row>
    <row r="2734" spans="28:34">
      <c r="AB2734" s="580">
        <f>HLOOKUP("*"&amp;'Output annual'!$AC$2&amp;'Output annual'!$AD$2&amp;"*Zone People Number Of Occupants [](Hourly)",'Eplus results'!$1:$1048576,ROW(),FALSE)</f>
        <v>0</v>
      </c>
      <c r="AC2734" s="580">
        <f>HLOOKUP("*"&amp;'Output annual'!$AC$2&amp;'Output annual'!$AD$2&amp;"*FangerPMV(Hourly)",'Eplus results'!$1:$1048576,ROW(),FALSE)</f>
        <v>0</v>
      </c>
      <c r="AD2734" s="580">
        <f t="shared" si="246"/>
        <v>5</v>
      </c>
      <c r="AE2734" s="580">
        <f t="shared" si="247"/>
        <v>2.5</v>
      </c>
      <c r="AF2734" s="580">
        <f t="shared" si="248"/>
        <v>2.5</v>
      </c>
      <c r="AG2734" s="580">
        <f t="shared" si="249"/>
        <v>0</v>
      </c>
      <c r="AH2734" s="580">
        <f t="shared" si="250"/>
        <v>0</v>
      </c>
    </row>
    <row r="2735" spans="28:34">
      <c r="AB2735" s="580">
        <f>HLOOKUP("*"&amp;'Output annual'!$AC$2&amp;'Output annual'!$AD$2&amp;"*Zone People Number Of Occupants [](Hourly)",'Eplus results'!$1:$1048576,ROW(),FALSE)</f>
        <v>0</v>
      </c>
      <c r="AC2735" s="580">
        <f>HLOOKUP("*"&amp;'Output annual'!$AC$2&amp;'Output annual'!$AD$2&amp;"*FangerPMV(Hourly)",'Eplus results'!$1:$1048576,ROW(),FALSE)</f>
        <v>0</v>
      </c>
      <c r="AD2735" s="580">
        <f t="shared" si="246"/>
        <v>5</v>
      </c>
      <c r="AE2735" s="580">
        <f t="shared" si="247"/>
        <v>2.5</v>
      </c>
      <c r="AF2735" s="580">
        <f t="shared" si="248"/>
        <v>2.5</v>
      </c>
      <c r="AG2735" s="580">
        <f t="shared" si="249"/>
        <v>0</v>
      </c>
      <c r="AH2735" s="580">
        <f t="shared" si="250"/>
        <v>0</v>
      </c>
    </row>
    <row r="2736" spans="28:34">
      <c r="AB2736" s="580">
        <f>HLOOKUP("*"&amp;'Output annual'!$AC$2&amp;'Output annual'!$AD$2&amp;"*Zone People Number Of Occupants [](Hourly)",'Eplus results'!$1:$1048576,ROW(),FALSE)</f>
        <v>0</v>
      </c>
      <c r="AC2736" s="580">
        <f>HLOOKUP("*"&amp;'Output annual'!$AC$2&amp;'Output annual'!$AD$2&amp;"*FangerPMV(Hourly)",'Eplus results'!$1:$1048576,ROW(),FALSE)</f>
        <v>0</v>
      </c>
      <c r="AD2736" s="580">
        <f t="shared" si="246"/>
        <v>5</v>
      </c>
      <c r="AE2736" s="580">
        <f t="shared" si="247"/>
        <v>2.5</v>
      </c>
      <c r="AF2736" s="580">
        <f t="shared" si="248"/>
        <v>2.5</v>
      </c>
      <c r="AG2736" s="580">
        <f t="shared" si="249"/>
        <v>0</v>
      </c>
      <c r="AH2736" s="580">
        <f t="shared" si="250"/>
        <v>0</v>
      </c>
    </row>
    <row r="2737" spans="28:34">
      <c r="AB2737" s="580">
        <f>HLOOKUP("*"&amp;'Output annual'!$AC$2&amp;'Output annual'!$AD$2&amp;"*Zone People Number Of Occupants [](Hourly)",'Eplus results'!$1:$1048576,ROW(),FALSE)</f>
        <v>0</v>
      </c>
      <c r="AC2737" s="580">
        <f>HLOOKUP("*"&amp;'Output annual'!$AC$2&amp;'Output annual'!$AD$2&amp;"*FangerPMV(Hourly)",'Eplus results'!$1:$1048576,ROW(),FALSE)</f>
        <v>0</v>
      </c>
      <c r="AD2737" s="580">
        <f t="shared" si="246"/>
        <v>5</v>
      </c>
      <c r="AE2737" s="580">
        <f t="shared" si="247"/>
        <v>2.5</v>
      </c>
      <c r="AF2737" s="580">
        <f t="shared" si="248"/>
        <v>2.5</v>
      </c>
      <c r="AG2737" s="580">
        <f t="shared" si="249"/>
        <v>0</v>
      </c>
      <c r="AH2737" s="580">
        <f t="shared" si="250"/>
        <v>0</v>
      </c>
    </row>
    <row r="2738" spans="28:34">
      <c r="AB2738" s="580">
        <f>HLOOKUP("*"&amp;'Output annual'!$AC$2&amp;'Output annual'!$AD$2&amp;"*Zone People Number Of Occupants [](Hourly)",'Eplus results'!$1:$1048576,ROW(),FALSE)</f>
        <v>0</v>
      </c>
      <c r="AC2738" s="580">
        <f>HLOOKUP("*"&amp;'Output annual'!$AC$2&amp;'Output annual'!$AD$2&amp;"*FangerPMV(Hourly)",'Eplus results'!$1:$1048576,ROW(),FALSE)</f>
        <v>0</v>
      </c>
      <c r="AD2738" s="580">
        <f t="shared" si="246"/>
        <v>5</v>
      </c>
      <c r="AE2738" s="580">
        <f t="shared" si="247"/>
        <v>2.5</v>
      </c>
      <c r="AF2738" s="580">
        <f t="shared" si="248"/>
        <v>2.5</v>
      </c>
      <c r="AG2738" s="580">
        <f t="shared" si="249"/>
        <v>0</v>
      </c>
      <c r="AH2738" s="580">
        <f t="shared" si="250"/>
        <v>0</v>
      </c>
    </row>
    <row r="2739" spans="28:34">
      <c r="AB2739" s="580">
        <f>HLOOKUP("*"&amp;'Output annual'!$AC$2&amp;'Output annual'!$AD$2&amp;"*Zone People Number Of Occupants [](Hourly)",'Eplus results'!$1:$1048576,ROW(),FALSE)</f>
        <v>0</v>
      </c>
      <c r="AC2739" s="580">
        <f>HLOOKUP("*"&amp;'Output annual'!$AC$2&amp;'Output annual'!$AD$2&amp;"*FangerPMV(Hourly)",'Eplus results'!$1:$1048576,ROW(),FALSE)</f>
        <v>0</v>
      </c>
      <c r="AD2739" s="580">
        <f t="shared" si="246"/>
        <v>5</v>
      </c>
      <c r="AE2739" s="580">
        <f t="shared" si="247"/>
        <v>2.5</v>
      </c>
      <c r="AF2739" s="580">
        <f t="shared" si="248"/>
        <v>2.5</v>
      </c>
      <c r="AG2739" s="580">
        <f t="shared" si="249"/>
        <v>0</v>
      </c>
      <c r="AH2739" s="580">
        <f t="shared" si="250"/>
        <v>0</v>
      </c>
    </row>
    <row r="2740" spans="28:34">
      <c r="AB2740" s="580">
        <f>HLOOKUP("*"&amp;'Output annual'!$AC$2&amp;'Output annual'!$AD$2&amp;"*Zone People Number Of Occupants [](Hourly)",'Eplus results'!$1:$1048576,ROW(),FALSE)</f>
        <v>0</v>
      </c>
      <c r="AC2740" s="580">
        <f>HLOOKUP("*"&amp;'Output annual'!$AC$2&amp;'Output annual'!$AD$2&amp;"*FangerPMV(Hourly)",'Eplus results'!$1:$1048576,ROW(),FALSE)</f>
        <v>0</v>
      </c>
      <c r="AD2740" s="580">
        <f t="shared" si="246"/>
        <v>5</v>
      </c>
      <c r="AE2740" s="580">
        <f t="shared" si="247"/>
        <v>2.5</v>
      </c>
      <c r="AF2740" s="580">
        <f t="shared" si="248"/>
        <v>2.5</v>
      </c>
      <c r="AG2740" s="580">
        <f t="shared" si="249"/>
        <v>0</v>
      </c>
      <c r="AH2740" s="580">
        <f t="shared" si="250"/>
        <v>0</v>
      </c>
    </row>
    <row r="2741" spans="28:34">
      <c r="AB2741" s="580">
        <f>HLOOKUP("*"&amp;'Output annual'!$AC$2&amp;'Output annual'!$AD$2&amp;"*Zone People Number Of Occupants [](Hourly)",'Eplus results'!$1:$1048576,ROW(),FALSE)</f>
        <v>0</v>
      </c>
      <c r="AC2741" s="580">
        <f>HLOOKUP("*"&amp;'Output annual'!$AC$2&amp;'Output annual'!$AD$2&amp;"*FangerPMV(Hourly)",'Eplus results'!$1:$1048576,ROW(),FALSE)</f>
        <v>0</v>
      </c>
      <c r="AD2741" s="580">
        <f t="shared" si="246"/>
        <v>5</v>
      </c>
      <c r="AE2741" s="580">
        <f t="shared" si="247"/>
        <v>2.5</v>
      </c>
      <c r="AF2741" s="580">
        <f t="shared" si="248"/>
        <v>2.5</v>
      </c>
      <c r="AG2741" s="580">
        <f t="shared" si="249"/>
        <v>0</v>
      </c>
      <c r="AH2741" s="580">
        <f t="shared" si="250"/>
        <v>0</v>
      </c>
    </row>
    <row r="2742" spans="28:34">
      <c r="AB2742" s="580">
        <f>HLOOKUP("*"&amp;'Output annual'!$AC$2&amp;'Output annual'!$AD$2&amp;"*Zone People Number Of Occupants [](Hourly)",'Eplus results'!$1:$1048576,ROW(),FALSE)</f>
        <v>0</v>
      </c>
      <c r="AC2742" s="580">
        <f>HLOOKUP("*"&amp;'Output annual'!$AC$2&amp;'Output annual'!$AD$2&amp;"*FangerPMV(Hourly)",'Eplus results'!$1:$1048576,ROW(),FALSE)</f>
        <v>0</v>
      </c>
      <c r="AD2742" s="580">
        <f t="shared" si="246"/>
        <v>5</v>
      </c>
      <c r="AE2742" s="580">
        <f t="shared" si="247"/>
        <v>2.5</v>
      </c>
      <c r="AF2742" s="580">
        <f t="shared" si="248"/>
        <v>2.5</v>
      </c>
      <c r="AG2742" s="580">
        <f t="shared" si="249"/>
        <v>0</v>
      </c>
      <c r="AH2742" s="580">
        <f t="shared" si="250"/>
        <v>0</v>
      </c>
    </row>
    <row r="2743" spans="28:34">
      <c r="AB2743" s="580">
        <f>HLOOKUP("*"&amp;'Output annual'!$AC$2&amp;'Output annual'!$AD$2&amp;"*Zone People Number Of Occupants [](Hourly)",'Eplus results'!$1:$1048576,ROW(),FALSE)</f>
        <v>0</v>
      </c>
      <c r="AC2743" s="580">
        <f>HLOOKUP("*"&amp;'Output annual'!$AC$2&amp;'Output annual'!$AD$2&amp;"*FangerPMV(Hourly)",'Eplus results'!$1:$1048576,ROW(),FALSE)</f>
        <v>0</v>
      </c>
      <c r="AD2743" s="580">
        <f t="shared" si="246"/>
        <v>5</v>
      </c>
      <c r="AE2743" s="580">
        <f t="shared" si="247"/>
        <v>2.5</v>
      </c>
      <c r="AF2743" s="580">
        <f t="shared" si="248"/>
        <v>2.5</v>
      </c>
      <c r="AG2743" s="580">
        <f t="shared" si="249"/>
        <v>0</v>
      </c>
      <c r="AH2743" s="580">
        <f t="shared" si="250"/>
        <v>0</v>
      </c>
    </row>
    <row r="2744" spans="28:34">
      <c r="AB2744" s="580">
        <f>HLOOKUP("*"&amp;'Output annual'!$AC$2&amp;'Output annual'!$AD$2&amp;"*Zone People Number Of Occupants [](Hourly)",'Eplus results'!$1:$1048576,ROW(),FALSE)</f>
        <v>0</v>
      </c>
      <c r="AC2744" s="580">
        <f>HLOOKUP("*"&amp;'Output annual'!$AC$2&amp;'Output annual'!$AD$2&amp;"*FangerPMV(Hourly)",'Eplus results'!$1:$1048576,ROW(),FALSE)</f>
        <v>0</v>
      </c>
      <c r="AD2744" s="580">
        <f t="shared" si="246"/>
        <v>5</v>
      </c>
      <c r="AE2744" s="580">
        <f t="shared" si="247"/>
        <v>2.5</v>
      </c>
      <c r="AF2744" s="580">
        <f t="shared" si="248"/>
        <v>2.5</v>
      </c>
      <c r="AG2744" s="580">
        <f t="shared" si="249"/>
        <v>0</v>
      </c>
      <c r="AH2744" s="580">
        <f t="shared" si="250"/>
        <v>0</v>
      </c>
    </row>
    <row r="2745" spans="28:34">
      <c r="AB2745" s="580">
        <f>HLOOKUP("*"&amp;'Output annual'!$AC$2&amp;'Output annual'!$AD$2&amp;"*Zone People Number Of Occupants [](Hourly)",'Eplus results'!$1:$1048576,ROW(),FALSE)</f>
        <v>0</v>
      </c>
      <c r="AC2745" s="580">
        <f>HLOOKUP("*"&amp;'Output annual'!$AC$2&amp;'Output annual'!$AD$2&amp;"*FangerPMV(Hourly)",'Eplus results'!$1:$1048576,ROW(),FALSE)</f>
        <v>0</v>
      </c>
      <c r="AD2745" s="580">
        <f t="shared" si="246"/>
        <v>5</v>
      </c>
      <c r="AE2745" s="580">
        <f t="shared" si="247"/>
        <v>2.5</v>
      </c>
      <c r="AF2745" s="580">
        <f t="shared" si="248"/>
        <v>2.5</v>
      </c>
      <c r="AG2745" s="580">
        <f t="shared" si="249"/>
        <v>0</v>
      </c>
      <c r="AH2745" s="580">
        <f t="shared" si="250"/>
        <v>0</v>
      </c>
    </row>
    <row r="2746" spans="28:34">
      <c r="AB2746" s="580">
        <f>HLOOKUP("*"&amp;'Output annual'!$AC$2&amp;'Output annual'!$AD$2&amp;"*Zone People Number Of Occupants [](Hourly)",'Eplus results'!$1:$1048576,ROW(),FALSE)</f>
        <v>0</v>
      </c>
      <c r="AC2746" s="580">
        <f>HLOOKUP("*"&amp;'Output annual'!$AC$2&amp;'Output annual'!$AD$2&amp;"*FangerPMV(Hourly)",'Eplus results'!$1:$1048576,ROW(),FALSE)</f>
        <v>0</v>
      </c>
      <c r="AD2746" s="580">
        <f t="shared" si="246"/>
        <v>5</v>
      </c>
      <c r="AE2746" s="580">
        <f t="shared" si="247"/>
        <v>2.5</v>
      </c>
      <c r="AF2746" s="580">
        <f t="shared" si="248"/>
        <v>2.5</v>
      </c>
      <c r="AG2746" s="580">
        <f t="shared" si="249"/>
        <v>0</v>
      </c>
      <c r="AH2746" s="580">
        <f t="shared" si="250"/>
        <v>0</v>
      </c>
    </row>
    <row r="2747" spans="28:34">
      <c r="AB2747" s="580">
        <f>HLOOKUP("*"&amp;'Output annual'!$AC$2&amp;'Output annual'!$AD$2&amp;"*Zone People Number Of Occupants [](Hourly)",'Eplus results'!$1:$1048576,ROW(),FALSE)</f>
        <v>0</v>
      </c>
      <c r="AC2747" s="580">
        <f>HLOOKUP("*"&amp;'Output annual'!$AC$2&amp;'Output annual'!$AD$2&amp;"*FangerPMV(Hourly)",'Eplus results'!$1:$1048576,ROW(),FALSE)</f>
        <v>0</v>
      </c>
      <c r="AD2747" s="580">
        <f t="shared" si="246"/>
        <v>5</v>
      </c>
      <c r="AE2747" s="580">
        <f t="shared" si="247"/>
        <v>2.5</v>
      </c>
      <c r="AF2747" s="580">
        <f t="shared" si="248"/>
        <v>2.5</v>
      </c>
      <c r="AG2747" s="580">
        <f t="shared" si="249"/>
        <v>0</v>
      </c>
      <c r="AH2747" s="580">
        <f t="shared" si="250"/>
        <v>0</v>
      </c>
    </row>
    <row r="2748" spans="28:34">
      <c r="AB2748" s="580">
        <f>HLOOKUP("*"&amp;'Output annual'!$AC$2&amp;'Output annual'!$AD$2&amp;"*Zone People Number Of Occupants [](Hourly)",'Eplus results'!$1:$1048576,ROW(),FALSE)</f>
        <v>0</v>
      </c>
      <c r="AC2748" s="580">
        <f>HLOOKUP("*"&amp;'Output annual'!$AC$2&amp;'Output annual'!$AD$2&amp;"*FangerPMV(Hourly)",'Eplus results'!$1:$1048576,ROW(),FALSE)</f>
        <v>0</v>
      </c>
      <c r="AD2748" s="580">
        <f t="shared" si="246"/>
        <v>5</v>
      </c>
      <c r="AE2748" s="580">
        <f t="shared" si="247"/>
        <v>2.5</v>
      </c>
      <c r="AF2748" s="580">
        <f t="shared" si="248"/>
        <v>2.5</v>
      </c>
      <c r="AG2748" s="580">
        <f t="shared" si="249"/>
        <v>0</v>
      </c>
      <c r="AH2748" s="580">
        <f t="shared" si="250"/>
        <v>0</v>
      </c>
    </row>
    <row r="2749" spans="28:34">
      <c r="AB2749" s="580">
        <f>HLOOKUP("*"&amp;'Output annual'!$AC$2&amp;'Output annual'!$AD$2&amp;"*Zone People Number Of Occupants [](Hourly)",'Eplus results'!$1:$1048576,ROW(),FALSE)</f>
        <v>0</v>
      </c>
      <c r="AC2749" s="580">
        <f>HLOOKUP("*"&amp;'Output annual'!$AC$2&amp;'Output annual'!$AD$2&amp;"*FangerPMV(Hourly)",'Eplus results'!$1:$1048576,ROW(),FALSE)</f>
        <v>0</v>
      </c>
      <c r="AD2749" s="580">
        <f t="shared" si="246"/>
        <v>5</v>
      </c>
      <c r="AE2749" s="580">
        <f t="shared" si="247"/>
        <v>2.5</v>
      </c>
      <c r="AF2749" s="580">
        <f t="shared" si="248"/>
        <v>2.5</v>
      </c>
      <c r="AG2749" s="580">
        <f t="shared" si="249"/>
        <v>0</v>
      </c>
      <c r="AH2749" s="580">
        <f t="shared" si="250"/>
        <v>0</v>
      </c>
    </row>
    <row r="2750" spans="28:34">
      <c r="AB2750" s="580">
        <f>HLOOKUP("*"&amp;'Output annual'!$AC$2&amp;'Output annual'!$AD$2&amp;"*Zone People Number Of Occupants [](Hourly)",'Eplus results'!$1:$1048576,ROW(),FALSE)</f>
        <v>0</v>
      </c>
      <c r="AC2750" s="580">
        <f>HLOOKUP("*"&amp;'Output annual'!$AC$2&amp;'Output annual'!$AD$2&amp;"*FangerPMV(Hourly)",'Eplus results'!$1:$1048576,ROW(),FALSE)</f>
        <v>0</v>
      </c>
      <c r="AD2750" s="580">
        <f t="shared" si="246"/>
        <v>5</v>
      </c>
      <c r="AE2750" s="580">
        <f t="shared" si="247"/>
        <v>2.5</v>
      </c>
      <c r="AF2750" s="580">
        <f t="shared" si="248"/>
        <v>2.5</v>
      </c>
      <c r="AG2750" s="580">
        <f t="shared" si="249"/>
        <v>0</v>
      </c>
      <c r="AH2750" s="580">
        <f t="shared" si="250"/>
        <v>0</v>
      </c>
    </row>
    <row r="2751" spans="28:34">
      <c r="AB2751" s="580">
        <f>HLOOKUP("*"&amp;'Output annual'!$AC$2&amp;'Output annual'!$AD$2&amp;"*Zone People Number Of Occupants [](Hourly)",'Eplus results'!$1:$1048576,ROW(),FALSE)</f>
        <v>0</v>
      </c>
      <c r="AC2751" s="580">
        <f>HLOOKUP("*"&amp;'Output annual'!$AC$2&amp;'Output annual'!$AD$2&amp;"*FangerPMV(Hourly)",'Eplus results'!$1:$1048576,ROW(),FALSE)</f>
        <v>0</v>
      </c>
      <c r="AD2751" s="580">
        <f t="shared" si="246"/>
        <v>5</v>
      </c>
      <c r="AE2751" s="580">
        <f t="shared" si="247"/>
        <v>2.5</v>
      </c>
      <c r="AF2751" s="580">
        <f t="shared" si="248"/>
        <v>2.5</v>
      </c>
      <c r="AG2751" s="580">
        <f t="shared" si="249"/>
        <v>0</v>
      </c>
      <c r="AH2751" s="580">
        <f t="shared" si="250"/>
        <v>0</v>
      </c>
    </row>
    <row r="2752" spans="28:34">
      <c r="AB2752" s="580">
        <f>HLOOKUP("*"&amp;'Output annual'!$AC$2&amp;'Output annual'!$AD$2&amp;"*Zone People Number Of Occupants [](Hourly)",'Eplus results'!$1:$1048576,ROW(),FALSE)</f>
        <v>0</v>
      </c>
      <c r="AC2752" s="580">
        <f>HLOOKUP("*"&amp;'Output annual'!$AC$2&amp;'Output annual'!$AD$2&amp;"*FangerPMV(Hourly)",'Eplus results'!$1:$1048576,ROW(),FALSE)</f>
        <v>0</v>
      </c>
      <c r="AD2752" s="580">
        <f t="shared" si="246"/>
        <v>5</v>
      </c>
      <c r="AE2752" s="580">
        <f t="shared" si="247"/>
        <v>2.5</v>
      </c>
      <c r="AF2752" s="580">
        <f t="shared" si="248"/>
        <v>2.5</v>
      </c>
      <c r="AG2752" s="580">
        <f t="shared" si="249"/>
        <v>0</v>
      </c>
      <c r="AH2752" s="580">
        <f t="shared" si="250"/>
        <v>0</v>
      </c>
    </row>
    <row r="2753" spans="28:34">
      <c r="AB2753" s="580">
        <f>HLOOKUP("*"&amp;'Output annual'!$AC$2&amp;'Output annual'!$AD$2&amp;"*Zone People Number Of Occupants [](Hourly)",'Eplus results'!$1:$1048576,ROW(),FALSE)</f>
        <v>0</v>
      </c>
      <c r="AC2753" s="580">
        <f>HLOOKUP("*"&amp;'Output annual'!$AC$2&amp;'Output annual'!$AD$2&amp;"*FangerPMV(Hourly)",'Eplus results'!$1:$1048576,ROW(),FALSE)</f>
        <v>0</v>
      </c>
      <c r="AD2753" s="580">
        <f t="shared" si="246"/>
        <v>5</v>
      </c>
      <c r="AE2753" s="580">
        <f t="shared" si="247"/>
        <v>2.5</v>
      </c>
      <c r="AF2753" s="580">
        <f t="shared" si="248"/>
        <v>2.5</v>
      </c>
      <c r="AG2753" s="580">
        <f t="shared" si="249"/>
        <v>0</v>
      </c>
      <c r="AH2753" s="580">
        <f t="shared" si="250"/>
        <v>0</v>
      </c>
    </row>
    <row r="2754" spans="28:34">
      <c r="AB2754" s="580">
        <f>HLOOKUP("*"&amp;'Output annual'!$AC$2&amp;'Output annual'!$AD$2&amp;"*Zone People Number Of Occupants [](Hourly)",'Eplus results'!$1:$1048576,ROW(),FALSE)</f>
        <v>0</v>
      </c>
      <c r="AC2754" s="580">
        <f>HLOOKUP("*"&amp;'Output annual'!$AC$2&amp;'Output annual'!$AD$2&amp;"*FangerPMV(Hourly)",'Eplus results'!$1:$1048576,ROW(),FALSE)</f>
        <v>0</v>
      </c>
      <c r="AD2754" s="580">
        <f t="shared" si="246"/>
        <v>5</v>
      </c>
      <c r="AE2754" s="580">
        <f t="shared" si="247"/>
        <v>2.5</v>
      </c>
      <c r="AF2754" s="580">
        <f t="shared" si="248"/>
        <v>2.5</v>
      </c>
      <c r="AG2754" s="580">
        <f t="shared" si="249"/>
        <v>0</v>
      </c>
      <c r="AH2754" s="580">
        <f t="shared" si="250"/>
        <v>0</v>
      </c>
    </row>
    <row r="2755" spans="28:34">
      <c r="AB2755" s="580">
        <f>HLOOKUP("*"&amp;'Output annual'!$AC$2&amp;'Output annual'!$AD$2&amp;"*Zone People Number Of Occupants [](Hourly)",'Eplus results'!$1:$1048576,ROW(),FALSE)</f>
        <v>0</v>
      </c>
      <c r="AC2755" s="580">
        <f>HLOOKUP("*"&amp;'Output annual'!$AC$2&amp;'Output annual'!$AD$2&amp;"*FangerPMV(Hourly)",'Eplus results'!$1:$1048576,ROW(),FALSE)</f>
        <v>0</v>
      </c>
      <c r="AD2755" s="580">
        <f t="shared" ref="AD2755:AD2818" si="251">100-95*EXP(-0.03353*AC2755^4-0.2179*AC2755^2)</f>
        <v>5</v>
      </c>
      <c r="AE2755" s="580">
        <f t="shared" ref="AE2755:AE2818" si="252">AD2755*(1/(1+EXP(-6.3*$AC2755)))</f>
        <v>2.5</v>
      </c>
      <c r="AF2755" s="580">
        <f t="shared" ref="AF2755:AF2818" si="253">(AD2755-AE2755)</f>
        <v>2.5</v>
      </c>
      <c r="AG2755" s="580">
        <f t="shared" ref="AG2755:AG2818" si="254">AE2755*AB2755</f>
        <v>0</v>
      </c>
      <c r="AH2755" s="580">
        <f t="shared" ref="AH2755:AH2818" si="255">AF2755*AB2755</f>
        <v>0</v>
      </c>
    </row>
    <row r="2756" spans="28:34">
      <c r="AB2756" s="580">
        <f>HLOOKUP("*"&amp;'Output annual'!$AC$2&amp;'Output annual'!$AD$2&amp;"*Zone People Number Of Occupants [](Hourly)",'Eplus results'!$1:$1048576,ROW(),FALSE)</f>
        <v>0</v>
      </c>
      <c r="AC2756" s="580">
        <f>HLOOKUP("*"&amp;'Output annual'!$AC$2&amp;'Output annual'!$AD$2&amp;"*FangerPMV(Hourly)",'Eplus results'!$1:$1048576,ROW(),FALSE)</f>
        <v>0</v>
      </c>
      <c r="AD2756" s="580">
        <f t="shared" si="251"/>
        <v>5</v>
      </c>
      <c r="AE2756" s="580">
        <f t="shared" si="252"/>
        <v>2.5</v>
      </c>
      <c r="AF2756" s="580">
        <f t="shared" si="253"/>
        <v>2.5</v>
      </c>
      <c r="AG2756" s="580">
        <f t="shared" si="254"/>
        <v>0</v>
      </c>
      <c r="AH2756" s="580">
        <f t="shared" si="255"/>
        <v>0</v>
      </c>
    </row>
    <row r="2757" spans="28:34">
      <c r="AB2757" s="580">
        <f>HLOOKUP("*"&amp;'Output annual'!$AC$2&amp;'Output annual'!$AD$2&amp;"*Zone People Number Of Occupants [](Hourly)",'Eplus results'!$1:$1048576,ROW(),FALSE)</f>
        <v>0</v>
      </c>
      <c r="AC2757" s="580">
        <f>HLOOKUP("*"&amp;'Output annual'!$AC$2&amp;'Output annual'!$AD$2&amp;"*FangerPMV(Hourly)",'Eplus results'!$1:$1048576,ROW(),FALSE)</f>
        <v>0</v>
      </c>
      <c r="AD2757" s="580">
        <f t="shared" si="251"/>
        <v>5</v>
      </c>
      <c r="AE2757" s="580">
        <f t="shared" si="252"/>
        <v>2.5</v>
      </c>
      <c r="AF2757" s="580">
        <f t="shared" si="253"/>
        <v>2.5</v>
      </c>
      <c r="AG2757" s="580">
        <f t="shared" si="254"/>
        <v>0</v>
      </c>
      <c r="AH2757" s="580">
        <f t="shared" si="255"/>
        <v>0</v>
      </c>
    </row>
    <row r="2758" spans="28:34">
      <c r="AB2758" s="580">
        <f>HLOOKUP("*"&amp;'Output annual'!$AC$2&amp;'Output annual'!$AD$2&amp;"*Zone People Number Of Occupants [](Hourly)",'Eplus results'!$1:$1048576,ROW(),FALSE)</f>
        <v>0</v>
      </c>
      <c r="AC2758" s="580">
        <f>HLOOKUP("*"&amp;'Output annual'!$AC$2&amp;'Output annual'!$AD$2&amp;"*FangerPMV(Hourly)",'Eplus results'!$1:$1048576,ROW(),FALSE)</f>
        <v>0</v>
      </c>
      <c r="AD2758" s="580">
        <f t="shared" si="251"/>
        <v>5</v>
      </c>
      <c r="AE2758" s="580">
        <f t="shared" si="252"/>
        <v>2.5</v>
      </c>
      <c r="AF2758" s="580">
        <f t="shared" si="253"/>
        <v>2.5</v>
      </c>
      <c r="AG2758" s="580">
        <f t="shared" si="254"/>
        <v>0</v>
      </c>
      <c r="AH2758" s="580">
        <f t="shared" si="255"/>
        <v>0</v>
      </c>
    </row>
    <row r="2759" spans="28:34">
      <c r="AB2759" s="580">
        <f>HLOOKUP("*"&amp;'Output annual'!$AC$2&amp;'Output annual'!$AD$2&amp;"*Zone People Number Of Occupants [](Hourly)",'Eplus results'!$1:$1048576,ROW(),FALSE)</f>
        <v>0</v>
      </c>
      <c r="AC2759" s="580">
        <f>HLOOKUP("*"&amp;'Output annual'!$AC$2&amp;'Output annual'!$AD$2&amp;"*FangerPMV(Hourly)",'Eplus results'!$1:$1048576,ROW(),FALSE)</f>
        <v>0</v>
      </c>
      <c r="AD2759" s="580">
        <f t="shared" si="251"/>
        <v>5</v>
      </c>
      <c r="AE2759" s="580">
        <f t="shared" si="252"/>
        <v>2.5</v>
      </c>
      <c r="AF2759" s="580">
        <f t="shared" si="253"/>
        <v>2.5</v>
      </c>
      <c r="AG2759" s="580">
        <f t="shared" si="254"/>
        <v>0</v>
      </c>
      <c r="AH2759" s="580">
        <f t="shared" si="255"/>
        <v>0</v>
      </c>
    </row>
    <row r="2760" spans="28:34">
      <c r="AB2760" s="580">
        <f>HLOOKUP("*"&amp;'Output annual'!$AC$2&amp;'Output annual'!$AD$2&amp;"*Zone People Number Of Occupants [](Hourly)",'Eplus results'!$1:$1048576,ROW(),FALSE)</f>
        <v>0</v>
      </c>
      <c r="AC2760" s="580">
        <f>HLOOKUP("*"&amp;'Output annual'!$AC$2&amp;'Output annual'!$AD$2&amp;"*FangerPMV(Hourly)",'Eplus results'!$1:$1048576,ROW(),FALSE)</f>
        <v>0</v>
      </c>
      <c r="AD2760" s="580">
        <f t="shared" si="251"/>
        <v>5</v>
      </c>
      <c r="AE2760" s="580">
        <f t="shared" si="252"/>
        <v>2.5</v>
      </c>
      <c r="AF2760" s="580">
        <f t="shared" si="253"/>
        <v>2.5</v>
      </c>
      <c r="AG2760" s="580">
        <f t="shared" si="254"/>
        <v>0</v>
      </c>
      <c r="AH2760" s="580">
        <f t="shared" si="255"/>
        <v>0</v>
      </c>
    </row>
    <row r="2761" spans="28:34">
      <c r="AB2761" s="580">
        <f>HLOOKUP("*"&amp;'Output annual'!$AC$2&amp;'Output annual'!$AD$2&amp;"*Zone People Number Of Occupants [](Hourly)",'Eplus results'!$1:$1048576,ROW(),FALSE)</f>
        <v>0</v>
      </c>
      <c r="AC2761" s="580">
        <f>HLOOKUP("*"&amp;'Output annual'!$AC$2&amp;'Output annual'!$AD$2&amp;"*FangerPMV(Hourly)",'Eplus results'!$1:$1048576,ROW(),FALSE)</f>
        <v>0</v>
      </c>
      <c r="AD2761" s="580">
        <f t="shared" si="251"/>
        <v>5</v>
      </c>
      <c r="AE2761" s="580">
        <f t="shared" si="252"/>
        <v>2.5</v>
      </c>
      <c r="AF2761" s="580">
        <f t="shared" si="253"/>
        <v>2.5</v>
      </c>
      <c r="AG2761" s="580">
        <f t="shared" si="254"/>
        <v>0</v>
      </c>
      <c r="AH2761" s="580">
        <f t="shared" si="255"/>
        <v>0</v>
      </c>
    </row>
    <row r="2762" spans="28:34">
      <c r="AB2762" s="580">
        <f>HLOOKUP("*"&amp;'Output annual'!$AC$2&amp;'Output annual'!$AD$2&amp;"*Zone People Number Of Occupants [](Hourly)",'Eplus results'!$1:$1048576,ROW(),FALSE)</f>
        <v>0</v>
      </c>
      <c r="AC2762" s="580">
        <f>HLOOKUP("*"&amp;'Output annual'!$AC$2&amp;'Output annual'!$AD$2&amp;"*FangerPMV(Hourly)",'Eplus results'!$1:$1048576,ROW(),FALSE)</f>
        <v>0</v>
      </c>
      <c r="AD2762" s="580">
        <f t="shared" si="251"/>
        <v>5</v>
      </c>
      <c r="AE2762" s="580">
        <f t="shared" si="252"/>
        <v>2.5</v>
      </c>
      <c r="AF2762" s="580">
        <f t="shared" si="253"/>
        <v>2.5</v>
      </c>
      <c r="AG2762" s="580">
        <f t="shared" si="254"/>
        <v>0</v>
      </c>
      <c r="AH2762" s="580">
        <f t="shared" si="255"/>
        <v>0</v>
      </c>
    </row>
    <row r="2763" spans="28:34">
      <c r="AB2763" s="580">
        <f>HLOOKUP("*"&amp;'Output annual'!$AC$2&amp;'Output annual'!$AD$2&amp;"*Zone People Number Of Occupants [](Hourly)",'Eplus results'!$1:$1048576,ROW(),FALSE)</f>
        <v>0</v>
      </c>
      <c r="AC2763" s="580">
        <f>HLOOKUP("*"&amp;'Output annual'!$AC$2&amp;'Output annual'!$AD$2&amp;"*FangerPMV(Hourly)",'Eplus results'!$1:$1048576,ROW(),FALSE)</f>
        <v>0</v>
      </c>
      <c r="AD2763" s="580">
        <f t="shared" si="251"/>
        <v>5</v>
      </c>
      <c r="AE2763" s="580">
        <f t="shared" si="252"/>
        <v>2.5</v>
      </c>
      <c r="AF2763" s="580">
        <f t="shared" si="253"/>
        <v>2.5</v>
      </c>
      <c r="AG2763" s="580">
        <f t="shared" si="254"/>
        <v>0</v>
      </c>
      <c r="AH2763" s="580">
        <f t="shared" si="255"/>
        <v>0</v>
      </c>
    </row>
    <row r="2764" spans="28:34">
      <c r="AB2764" s="580">
        <f>HLOOKUP("*"&amp;'Output annual'!$AC$2&amp;'Output annual'!$AD$2&amp;"*Zone People Number Of Occupants [](Hourly)",'Eplus results'!$1:$1048576,ROW(),FALSE)</f>
        <v>0</v>
      </c>
      <c r="AC2764" s="580">
        <f>HLOOKUP("*"&amp;'Output annual'!$AC$2&amp;'Output annual'!$AD$2&amp;"*FangerPMV(Hourly)",'Eplus results'!$1:$1048576,ROW(),FALSE)</f>
        <v>0</v>
      </c>
      <c r="AD2764" s="580">
        <f t="shared" si="251"/>
        <v>5</v>
      </c>
      <c r="AE2764" s="580">
        <f t="shared" si="252"/>
        <v>2.5</v>
      </c>
      <c r="AF2764" s="580">
        <f t="shared" si="253"/>
        <v>2.5</v>
      </c>
      <c r="AG2764" s="580">
        <f t="shared" si="254"/>
        <v>0</v>
      </c>
      <c r="AH2764" s="580">
        <f t="shared" si="255"/>
        <v>0</v>
      </c>
    </row>
    <row r="2765" spans="28:34">
      <c r="AB2765" s="580">
        <f>HLOOKUP("*"&amp;'Output annual'!$AC$2&amp;'Output annual'!$AD$2&amp;"*Zone People Number Of Occupants [](Hourly)",'Eplus results'!$1:$1048576,ROW(),FALSE)</f>
        <v>0</v>
      </c>
      <c r="AC2765" s="580">
        <f>HLOOKUP("*"&amp;'Output annual'!$AC$2&amp;'Output annual'!$AD$2&amp;"*FangerPMV(Hourly)",'Eplus results'!$1:$1048576,ROW(),FALSE)</f>
        <v>0</v>
      </c>
      <c r="AD2765" s="580">
        <f t="shared" si="251"/>
        <v>5</v>
      </c>
      <c r="AE2765" s="580">
        <f t="shared" si="252"/>
        <v>2.5</v>
      </c>
      <c r="AF2765" s="580">
        <f t="shared" si="253"/>
        <v>2.5</v>
      </c>
      <c r="AG2765" s="580">
        <f t="shared" si="254"/>
        <v>0</v>
      </c>
      <c r="AH2765" s="580">
        <f t="shared" si="255"/>
        <v>0</v>
      </c>
    </row>
    <row r="2766" spans="28:34">
      <c r="AB2766" s="580">
        <f>HLOOKUP("*"&amp;'Output annual'!$AC$2&amp;'Output annual'!$AD$2&amp;"*Zone People Number Of Occupants [](Hourly)",'Eplus results'!$1:$1048576,ROW(),FALSE)</f>
        <v>0</v>
      </c>
      <c r="AC2766" s="580">
        <f>HLOOKUP("*"&amp;'Output annual'!$AC$2&amp;'Output annual'!$AD$2&amp;"*FangerPMV(Hourly)",'Eplus results'!$1:$1048576,ROW(),FALSE)</f>
        <v>0</v>
      </c>
      <c r="AD2766" s="580">
        <f t="shared" si="251"/>
        <v>5</v>
      </c>
      <c r="AE2766" s="580">
        <f t="shared" si="252"/>
        <v>2.5</v>
      </c>
      <c r="AF2766" s="580">
        <f t="shared" si="253"/>
        <v>2.5</v>
      </c>
      <c r="AG2766" s="580">
        <f t="shared" si="254"/>
        <v>0</v>
      </c>
      <c r="AH2766" s="580">
        <f t="shared" si="255"/>
        <v>0</v>
      </c>
    </row>
    <row r="2767" spans="28:34">
      <c r="AB2767" s="580">
        <f>HLOOKUP("*"&amp;'Output annual'!$AC$2&amp;'Output annual'!$AD$2&amp;"*Zone People Number Of Occupants [](Hourly)",'Eplus results'!$1:$1048576,ROW(),FALSE)</f>
        <v>0</v>
      </c>
      <c r="AC2767" s="580">
        <f>HLOOKUP("*"&amp;'Output annual'!$AC$2&amp;'Output annual'!$AD$2&amp;"*FangerPMV(Hourly)",'Eplus results'!$1:$1048576,ROW(),FALSE)</f>
        <v>0</v>
      </c>
      <c r="AD2767" s="580">
        <f t="shared" si="251"/>
        <v>5</v>
      </c>
      <c r="AE2767" s="580">
        <f t="shared" si="252"/>
        <v>2.5</v>
      </c>
      <c r="AF2767" s="580">
        <f t="shared" si="253"/>
        <v>2.5</v>
      </c>
      <c r="AG2767" s="580">
        <f t="shared" si="254"/>
        <v>0</v>
      </c>
      <c r="AH2767" s="580">
        <f t="shared" si="255"/>
        <v>0</v>
      </c>
    </row>
    <row r="2768" spans="28:34">
      <c r="AB2768" s="580">
        <f>HLOOKUP("*"&amp;'Output annual'!$AC$2&amp;'Output annual'!$AD$2&amp;"*Zone People Number Of Occupants [](Hourly)",'Eplus results'!$1:$1048576,ROW(),FALSE)</f>
        <v>0</v>
      </c>
      <c r="AC2768" s="580">
        <f>HLOOKUP("*"&amp;'Output annual'!$AC$2&amp;'Output annual'!$AD$2&amp;"*FangerPMV(Hourly)",'Eplus results'!$1:$1048576,ROW(),FALSE)</f>
        <v>0</v>
      </c>
      <c r="AD2768" s="580">
        <f t="shared" si="251"/>
        <v>5</v>
      </c>
      <c r="AE2768" s="580">
        <f t="shared" si="252"/>
        <v>2.5</v>
      </c>
      <c r="AF2768" s="580">
        <f t="shared" si="253"/>
        <v>2.5</v>
      </c>
      <c r="AG2768" s="580">
        <f t="shared" si="254"/>
        <v>0</v>
      </c>
      <c r="AH2768" s="580">
        <f t="shared" si="255"/>
        <v>0</v>
      </c>
    </row>
    <row r="2769" spans="28:34">
      <c r="AB2769" s="580">
        <f>HLOOKUP("*"&amp;'Output annual'!$AC$2&amp;'Output annual'!$AD$2&amp;"*Zone People Number Of Occupants [](Hourly)",'Eplus results'!$1:$1048576,ROW(),FALSE)</f>
        <v>0</v>
      </c>
      <c r="AC2769" s="580">
        <f>HLOOKUP("*"&amp;'Output annual'!$AC$2&amp;'Output annual'!$AD$2&amp;"*FangerPMV(Hourly)",'Eplus results'!$1:$1048576,ROW(),FALSE)</f>
        <v>0</v>
      </c>
      <c r="AD2769" s="580">
        <f t="shared" si="251"/>
        <v>5</v>
      </c>
      <c r="AE2769" s="580">
        <f t="shared" si="252"/>
        <v>2.5</v>
      </c>
      <c r="AF2769" s="580">
        <f t="shared" si="253"/>
        <v>2.5</v>
      </c>
      <c r="AG2769" s="580">
        <f t="shared" si="254"/>
        <v>0</v>
      </c>
      <c r="AH2769" s="580">
        <f t="shared" si="255"/>
        <v>0</v>
      </c>
    </row>
    <row r="2770" spans="28:34">
      <c r="AB2770" s="580">
        <f>HLOOKUP("*"&amp;'Output annual'!$AC$2&amp;'Output annual'!$AD$2&amp;"*Zone People Number Of Occupants [](Hourly)",'Eplus results'!$1:$1048576,ROW(),FALSE)</f>
        <v>0</v>
      </c>
      <c r="AC2770" s="580">
        <f>HLOOKUP("*"&amp;'Output annual'!$AC$2&amp;'Output annual'!$AD$2&amp;"*FangerPMV(Hourly)",'Eplus results'!$1:$1048576,ROW(),FALSE)</f>
        <v>0</v>
      </c>
      <c r="AD2770" s="580">
        <f t="shared" si="251"/>
        <v>5</v>
      </c>
      <c r="AE2770" s="580">
        <f t="shared" si="252"/>
        <v>2.5</v>
      </c>
      <c r="AF2770" s="580">
        <f t="shared" si="253"/>
        <v>2.5</v>
      </c>
      <c r="AG2770" s="580">
        <f t="shared" si="254"/>
        <v>0</v>
      </c>
      <c r="AH2770" s="580">
        <f t="shared" si="255"/>
        <v>0</v>
      </c>
    </row>
    <row r="2771" spans="28:34">
      <c r="AB2771" s="580">
        <f>HLOOKUP("*"&amp;'Output annual'!$AC$2&amp;'Output annual'!$AD$2&amp;"*Zone People Number Of Occupants [](Hourly)",'Eplus results'!$1:$1048576,ROW(),FALSE)</f>
        <v>0</v>
      </c>
      <c r="AC2771" s="580">
        <f>HLOOKUP("*"&amp;'Output annual'!$AC$2&amp;'Output annual'!$AD$2&amp;"*FangerPMV(Hourly)",'Eplus results'!$1:$1048576,ROW(),FALSE)</f>
        <v>0</v>
      </c>
      <c r="AD2771" s="580">
        <f t="shared" si="251"/>
        <v>5</v>
      </c>
      <c r="AE2771" s="580">
        <f t="shared" si="252"/>
        <v>2.5</v>
      </c>
      <c r="AF2771" s="580">
        <f t="shared" si="253"/>
        <v>2.5</v>
      </c>
      <c r="AG2771" s="580">
        <f t="shared" si="254"/>
        <v>0</v>
      </c>
      <c r="AH2771" s="580">
        <f t="shared" si="255"/>
        <v>0</v>
      </c>
    </row>
    <row r="2772" spans="28:34">
      <c r="AB2772" s="580">
        <f>HLOOKUP("*"&amp;'Output annual'!$AC$2&amp;'Output annual'!$AD$2&amp;"*Zone People Number Of Occupants [](Hourly)",'Eplus results'!$1:$1048576,ROW(),FALSE)</f>
        <v>0</v>
      </c>
      <c r="AC2772" s="580">
        <f>HLOOKUP("*"&amp;'Output annual'!$AC$2&amp;'Output annual'!$AD$2&amp;"*FangerPMV(Hourly)",'Eplus results'!$1:$1048576,ROW(),FALSE)</f>
        <v>0</v>
      </c>
      <c r="AD2772" s="580">
        <f t="shared" si="251"/>
        <v>5</v>
      </c>
      <c r="AE2772" s="580">
        <f t="shared" si="252"/>
        <v>2.5</v>
      </c>
      <c r="AF2772" s="580">
        <f t="shared" si="253"/>
        <v>2.5</v>
      </c>
      <c r="AG2772" s="580">
        <f t="shared" si="254"/>
        <v>0</v>
      </c>
      <c r="AH2772" s="580">
        <f t="shared" si="255"/>
        <v>0</v>
      </c>
    </row>
    <row r="2773" spans="28:34">
      <c r="AB2773" s="580">
        <f>HLOOKUP("*"&amp;'Output annual'!$AC$2&amp;'Output annual'!$AD$2&amp;"*Zone People Number Of Occupants [](Hourly)",'Eplus results'!$1:$1048576,ROW(),FALSE)</f>
        <v>0</v>
      </c>
      <c r="AC2773" s="580">
        <f>HLOOKUP("*"&amp;'Output annual'!$AC$2&amp;'Output annual'!$AD$2&amp;"*FangerPMV(Hourly)",'Eplus results'!$1:$1048576,ROW(),FALSE)</f>
        <v>0</v>
      </c>
      <c r="AD2773" s="580">
        <f t="shared" si="251"/>
        <v>5</v>
      </c>
      <c r="AE2773" s="580">
        <f t="shared" si="252"/>
        <v>2.5</v>
      </c>
      <c r="AF2773" s="580">
        <f t="shared" si="253"/>
        <v>2.5</v>
      </c>
      <c r="AG2773" s="580">
        <f t="shared" si="254"/>
        <v>0</v>
      </c>
      <c r="AH2773" s="580">
        <f t="shared" si="255"/>
        <v>0</v>
      </c>
    </row>
    <row r="2774" spans="28:34">
      <c r="AB2774" s="580">
        <f>HLOOKUP("*"&amp;'Output annual'!$AC$2&amp;'Output annual'!$AD$2&amp;"*Zone People Number Of Occupants [](Hourly)",'Eplus results'!$1:$1048576,ROW(),FALSE)</f>
        <v>0</v>
      </c>
      <c r="AC2774" s="580">
        <f>HLOOKUP("*"&amp;'Output annual'!$AC$2&amp;'Output annual'!$AD$2&amp;"*FangerPMV(Hourly)",'Eplus results'!$1:$1048576,ROW(),FALSE)</f>
        <v>0</v>
      </c>
      <c r="AD2774" s="580">
        <f t="shared" si="251"/>
        <v>5</v>
      </c>
      <c r="AE2774" s="580">
        <f t="shared" si="252"/>
        <v>2.5</v>
      </c>
      <c r="AF2774" s="580">
        <f t="shared" si="253"/>
        <v>2.5</v>
      </c>
      <c r="AG2774" s="580">
        <f t="shared" si="254"/>
        <v>0</v>
      </c>
      <c r="AH2774" s="580">
        <f t="shared" si="255"/>
        <v>0</v>
      </c>
    </row>
    <row r="2775" spans="28:34">
      <c r="AB2775" s="580">
        <f>HLOOKUP("*"&amp;'Output annual'!$AC$2&amp;'Output annual'!$AD$2&amp;"*Zone People Number Of Occupants [](Hourly)",'Eplus results'!$1:$1048576,ROW(),FALSE)</f>
        <v>0</v>
      </c>
      <c r="AC2775" s="580">
        <f>HLOOKUP("*"&amp;'Output annual'!$AC$2&amp;'Output annual'!$AD$2&amp;"*FangerPMV(Hourly)",'Eplus results'!$1:$1048576,ROW(),FALSE)</f>
        <v>0</v>
      </c>
      <c r="AD2775" s="580">
        <f t="shared" si="251"/>
        <v>5</v>
      </c>
      <c r="AE2775" s="580">
        <f t="shared" si="252"/>
        <v>2.5</v>
      </c>
      <c r="AF2775" s="580">
        <f t="shared" si="253"/>
        <v>2.5</v>
      </c>
      <c r="AG2775" s="580">
        <f t="shared" si="254"/>
        <v>0</v>
      </c>
      <c r="AH2775" s="580">
        <f t="shared" si="255"/>
        <v>0</v>
      </c>
    </row>
    <row r="2776" spans="28:34">
      <c r="AB2776" s="580">
        <f>HLOOKUP("*"&amp;'Output annual'!$AC$2&amp;'Output annual'!$AD$2&amp;"*Zone People Number Of Occupants [](Hourly)",'Eplus results'!$1:$1048576,ROW(),FALSE)</f>
        <v>0</v>
      </c>
      <c r="AC2776" s="580">
        <f>HLOOKUP("*"&amp;'Output annual'!$AC$2&amp;'Output annual'!$AD$2&amp;"*FangerPMV(Hourly)",'Eplus results'!$1:$1048576,ROW(),FALSE)</f>
        <v>0</v>
      </c>
      <c r="AD2776" s="580">
        <f t="shared" si="251"/>
        <v>5</v>
      </c>
      <c r="AE2776" s="580">
        <f t="shared" si="252"/>
        <v>2.5</v>
      </c>
      <c r="AF2776" s="580">
        <f t="shared" si="253"/>
        <v>2.5</v>
      </c>
      <c r="AG2776" s="580">
        <f t="shared" si="254"/>
        <v>0</v>
      </c>
      <c r="AH2776" s="580">
        <f t="shared" si="255"/>
        <v>0</v>
      </c>
    </row>
    <row r="2777" spans="28:34">
      <c r="AB2777" s="580">
        <f>HLOOKUP("*"&amp;'Output annual'!$AC$2&amp;'Output annual'!$AD$2&amp;"*Zone People Number Of Occupants [](Hourly)",'Eplus results'!$1:$1048576,ROW(),FALSE)</f>
        <v>0</v>
      </c>
      <c r="AC2777" s="580">
        <f>HLOOKUP("*"&amp;'Output annual'!$AC$2&amp;'Output annual'!$AD$2&amp;"*FangerPMV(Hourly)",'Eplus results'!$1:$1048576,ROW(),FALSE)</f>
        <v>0</v>
      </c>
      <c r="AD2777" s="580">
        <f t="shared" si="251"/>
        <v>5</v>
      </c>
      <c r="AE2777" s="580">
        <f t="shared" si="252"/>
        <v>2.5</v>
      </c>
      <c r="AF2777" s="580">
        <f t="shared" si="253"/>
        <v>2.5</v>
      </c>
      <c r="AG2777" s="580">
        <f t="shared" si="254"/>
        <v>0</v>
      </c>
      <c r="AH2777" s="580">
        <f t="shared" si="255"/>
        <v>0</v>
      </c>
    </row>
    <row r="2778" spans="28:34">
      <c r="AB2778" s="580">
        <f>HLOOKUP("*"&amp;'Output annual'!$AC$2&amp;'Output annual'!$AD$2&amp;"*Zone People Number Of Occupants [](Hourly)",'Eplus results'!$1:$1048576,ROW(),FALSE)</f>
        <v>0</v>
      </c>
      <c r="AC2778" s="580">
        <f>HLOOKUP("*"&amp;'Output annual'!$AC$2&amp;'Output annual'!$AD$2&amp;"*FangerPMV(Hourly)",'Eplus results'!$1:$1048576,ROW(),FALSE)</f>
        <v>0</v>
      </c>
      <c r="AD2778" s="580">
        <f t="shared" si="251"/>
        <v>5</v>
      </c>
      <c r="AE2778" s="580">
        <f t="shared" si="252"/>
        <v>2.5</v>
      </c>
      <c r="AF2778" s="580">
        <f t="shared" si="253"/>
        <v>2.5</v>
      </c>
      <c r="AG2778" s="580">
        <f t="shared" si="254"/>
        <v>0</v>
      </c>
      <c r="AH2778" s="580">
        <f t="shared" si="255"/>
        <v>0</v>
      </c>
    </row>
    <row r="2779" spans="28:34">
      <c r="AB2779" s="580">
        <f>HLOOKUP("*"&amp;'Output annual'!$AC$2&amp;'Output annual'!$AD$2&amp;"*Zone People Number Of Occupants [](Hourly)",'Eplus results'!$1:$1048576,ROW(),FALSE)</f>
        <v>0</v>
      </c>
      <c r="AC2779" s="580">
        <f>HLOOKUP("*"&amp;'Output annual'!$AC$2&amp;'Output annual'!$AD$2&amp;"*FangerPMV(Hourly)",'Eplus results'!$1:$1048576,ROW(),FALSE)</f>
        <v>0</v>
      </c>
      <c r="AD2779" s="580">
        <f t="shared" si="251"/>
        <v>5</v>
      </c>
      <c r="AE2779" s="580">
        <f t="shared" si="252"/>
        <v>2.5</v>
      </c>
      <c r="AF2779" s="580">
        <f t="shared" si="253"/>
        <v>2.5</v>
      </c>
      <c r="AG2779" s="580">
        <f t="shared" si="254"/>
        <v>0</v>
      </c>
      <c r="AH2779" s="580">
        <f t="shared" si="255"/>
        <v>0</v>
      </c>
    </row>
    <row r="2780" spans="28:34">
      <c r="AB2780" s="580">
        <f>HLOOKUP("*"&amp;'Output annual'!$AC$2&amp;'Output annual'!$AD$2&amp;"*Zone People Number Of Occupants [](Hourly)",'Eplus results'!$1:$1048576,ROW(),FALSE)</f>
        <v>0</v>
      </c>
      <c r="AC2780" s="580">
        <f>HLOOKUP("*"&amp;'Output annual'!$AC$2&amp;'Output annual'!$AD$2&amp;"*FangerPMV(Hourly)",'Eplus results'!$1:$1048576,ROW(),FALSE)</f>
        <v>0</v>
      </c>
      <c r="AD2780" s="580">
        <f t="shared" si="251"/>
        <v>5</v>
      </c>
      <c r="AE2780" s="580">
        <f t="shared" si="252"/>
        <v>2.5</v>
      </c>
      <c r="AF2780" s="580">
        <f t="shared" si="253"/>
        <v>2.5</v>
      </c>
      <c r="AG2780" s="580">
        <f t="shared" si="254"/>
        <v>0</v>
      </c>
      <c r="AH2780" s="580">
        <f t="shared" si="255"/>
        <v>0</v>
      </c>
    </row>
    <row r="2781" spans="28:34">
      <c r="AB2781" s="580">
        <f>HLOOKUP("*"&amp;'Output annual'!$AC$2&amp;'Output annual'!$AD$2&amp;"*Zone People Number Of Occupants [](Hourly)",'Eplus results'!$1:$1048576,ROW(),FALSE)</f>
        <v>0</v>
      </c>
      <c r="AC2781" s="580">
        <f>HLOOKUP("*"&amp;'Output annual'!$AC$2&amp;'Output annual'!$AD$2&amp;"*FangerPMV(Hourly)",'Eplus results'!$1:$1048576,ROW(),FALSE)</f>
        <v>0</v>
      </c>
      <c r="AD2781" s="580">
        <f t="shared" si="251"/>
        <v>5</v>
      </c>
      <c r="AE2781" s="580">
        <f t="shared" si="252"/>
        <v>2.5</v>
      </c>
      <c r="AF2781" s="580">
        <f t="shared" si="253"/>
        <v>2.5</v>
      </c>
      <c r="AG2781" s="580">
        <f t="shared" si="254"/>
        <v>0</v>
      </c>
      <c r="AH2781" s="580">
        <f t="shared" si="255"/>
        <v>0</v>
      </c>
    </row>
    <row r="2782" spans="28:34">
      <c r="AB2782" s="580">
        <f>HLOOKUP("*"&amp;'Output annual'!$AC$2&amp;'Output annual'!$AD$2&amp;"*Zone People Number Of Occupants [](Hourly)",'Eplus results'!$1:$1048576,ROW(),FALSE)</f>
        <v>0</v>
      </c>
      <c r="AC2782" s="580">
        <f>HLOOKUP("*"&amp;'Output annual'!$AC$2&amp;'Output annual'!$AD$2&amp;"*FangerPMV(Hourly)",'Eplus results'!$1:$1048576,ROW(),FALSE)</f>
        <v>0</v>
      </c>
      <c r="AD2782" s="580">
        <f t="shared" si="251"/>
        <v>5</v>
      </c>
      <c r="AE2782" s="580">
        <f t="shared" si="252"/>
        <v>2.5</v>
      </c>
      <c r="AF2782" s="580">
        <f t="shared" si="253"/>
        <v>2.5</v>
      </c>
      <c r="AG2782" s="580">
        <f t="shared" si="254"/>
        <v>0</v>
      </c>
      <c r="AH2782" s="580">
        <f t="shared" si="255"/>
        <v>0</v>
      </c>
    </row>
    <row r="2783" spans="28:34">
      <c r="AB2783" s="580">
        <f>HLOOKUP("*"&amp;'Output annual'!$AC$2&amp;'Output annual'!$AD$2&amp;"*Zone People Number Of Occupants [](Hourly)",'Eplus results'!$1:$1048576,ROW(),FALSE)</f>
        <v>0</v>
      </c>
      <c r="AC2783" s="580">
        <f>HLOOKUP("*"&amp;'Output annual'!$AC$2&amp;'Output annual'!$AD$2&amp;"*FangerPMV(Hourly)",'Eplus results'!$1:$1048576,ROW(),FALSE)</f>
        <v>0</v>
      </c>
      <c r="AD2783" s="580">
        <f t="shared" si="251"/>
        <v>5</v>
      </c>
      <c r="AE2783" s="580">
        <f t="shared" si="252"/>
        <v>2.5</v>
      </c>
      <c r="AF2783" s="580">
        <f t="shared" si="253"/>
        <v>2.5</v>
      </c>
      <c r="AG2783" s="580">
        <f t="shared" si="254"/>
        <v>0</v>
      </c>
      <c r="AH2783" s="580">
        <f t="shared" si="255"/>
        <v>0</v>
      </c>
    </row>
    <row r="2784" spans="28:34">
      <c r="AB2784" s="580">
        <f>HLOOKUP("*"&amp;'Output annual'!$AC$2&amp;'Output annual'!$AD$2&amp;"*Zone People Number Of Occupants [](Hourly)",'Eplus results'!$1:$1048576,ROW(),FALSE)</f>
        <v>0</v>
      </c>
      <c r="AC2784" s="580">
        <f>HLOOKUP("*"&amp;'Output annual'!$AC$2&amp;'Output annual'!$AD$2&amp;"*FangerPMV(Hourly)",'Eplus results'!$1:$1048576,ROW(),FALSE)</f>
        <v>0</v>
      </c>
      <c r="AD2784" s="580">
        <f t="shared" si="251"/>
        <v>5</v>
      </c>
      <c r="AE2784" s="580">
        <f t="shared" si="252"/>
        <v>2.5</v>
      </c>
      <c r="AF2784" s="580">
        <f t="shared" si="253"/>
        <v>2.5</v>
      </c>
      <c r="AG2784" s="580">
        <f t="shared" si="254"/>
        <v>0</v>
      </c>
      <c r="AH2784" s="580">
        <f t="shared" si="255"/>
        <v>0</v>
      </c>
    </row>
    <row r="2785" spans="28:34">
      <c r="AB2785" s="580">
        <f>HLOOKUP("*"&amp;'Output annual'!$AC$2&amp;'Output annual'!$AD$2&amp;"*Zone People Number Of Occupants [](Hourly)",'Eplus results'!$1:$1048576,ROW(),FALSE)</f>
        <v>0</v>
      </c>
      <c r="AC2785" s="580">
        <f>HLOOKUP("*"&amp;'Output annual'!$AC$2&amp;'Output annual'!$AD$2&amp;"*FangerPMV(Hourly)",'Eplus results'!$1:$1048576,ROW(),FALSE)</f>
        <v>0</v>
      </c>
      <c r="AD2785" s="580">
        <f t="shared" si="251"/>
        <v>5</v>
      </c>
      <c r="AE2785" s="580">
        <f t="shared" si="252"/>
        <v>2.5</v>
      </c>
      <c r="AF2785" s="580">
        <f t="shared" si="253"/>
        <v>2.5</v>
      </c>
      <c r="AG2785" s="580">
        <f t="shared" si="254"/>
        <v>0</v>
      </c>
      <c r="AH2785" s="580">
        <f t="shared" si="255"/>
        <v>0</v>
      </c>
    </row>
    <row r="2786" spans="28:34">
      <c r="AB2786" s="580">
        <f>HLOOKUP("*"&amp;'Output annual'!$AC$2&amp;'Output annual'!$AD$2&amp;"*Zone People Number Of Occupants [](Hourly)",'Eplus results'!$1:$1048576,ROW(),FALSE)</f>
        <v>0</v>
      </c>
      <c r="AC2786" s="580">
        <f>HLOOKUP("*"&amp;'Output annual'!$AC$2&amp;'Output annual'!$AD$2&amp;"*FangerPMV(Hourly)",'Eplus results'!$1:$1048576,ROW(),FALSE)</f>
        <v>0</v>
      </c>
      <c r="AD2786" s="580">
        <f t="shared" si="251"/>
        <v>5</v>
      </c>
      <c r="AE2786" s="580">
        <f t="shared" si="252"/>
        <v>2.5</v>
      </c>
      <c r="AF2786" s="580">
        <f t="shared" si="253"/>
        <v>2.5</v>
      </c>
      <c r="AG2786" s="580">
        <f t="shared" si="254"/>
        <v>0</v>
      </c>
      <c r="AH2786" s="580">
        <f t="shared" si="255"/>
        <v>0</v>
      </c>
    </row>
    <row r="2787" spans="28:34">
      <c r="AB2787" s="580">
        <f>HLOOKUP("*"&amp;'Output annual'!$AC$2&amp;'Output annual'!$AD$2&amp;"*Zone People Number Of Occupants [](Hourly)",'Eplus results'!$1:$1048576,ROW(),FALSE)</f>
        <v>0</v>
      </c>
      <c r="AC2787" s="580">
        <f>HLOOKUP("*"&amp;'Output annual'!$AC$2&amp;'Output annual'!$AD$2&amp;"*FangerPMV(Hourly)",'Eplus results'!$1:$1048576,ROW(),FALSE)</f>
        <v>0</v>
      </c>
      <c r="AD2787" s="580">
        <f t="shared" si="251"/>
        <v>5</v>
      </c>
      <c r="AE2787" s="580">
        <f t="shared" si="252"/>
        <v>2.5</v>
      </c>
      <c r="AF2787" s="580">
        <f t="shared" si="253"/>
        <v>2.5</v>
      </c>
      <c r="AG2787" s="580">
        <f t="shared" si="254"/>
        <v>0</v>
      </c>
      <c r="AH2787" s="580">
        <f t="shared" si="255"/>
        <v>0</v>
      </c>
    </row>
    <row r="2788" spans="28:34">
      <c r="AB2788" s="580">
        <f>HLOOKUP("*"&amp;'Output annual'!$AC$2&amp;'Output annual'!$AD$2&amp;"*Zone People Number Of Occupants [](Hourly)",'Eplus results'!$1:$1048576,ROW(),FALSE)</f>
        <v>0</v>
      </c>
      <c r="AC2788" s="580">
        <f>HLOOKUP("*"&amp;'Output annual'!$AC$2&amp;'Output annual'!$AD$2&amp;"*FangerPMV(Hourly)",'Eplus results'!$1:$1048576,ROW(),FALSE)</f>
        <v>0</v>
      </c>
      <c r="AD2788" s="580">
        <f t="shared" si="251"/>
        <v>5</v>
      </c>
      <c r="AE2788" s="580">
        <f t="shared" si="252"/>
        <v>2.5</v>
      </c>
      <c r="AF2788" s="580">
        <f t="shared" si="253"/>
        <v>2.5</v>
      </c>
      <c r="AG2788" s="580">
        <f t="shared" si="254"/>
        <v>0</v>
      </c>
      <c r="AH2788" s="580">
        <f t="shared" si="255"/>
        <v>0</v>
      </c>
    </row>
    <row r="2789" spans="28:34">
      <c r="AB2789" s="580">
        <f>HLOOKUP("*"&amp;'Output annual'!$AC$2&amp;'Output annual'!$AD$2&amp;"*Zone People Number Of Occupants [](Hourly)",'Eplus results'!$1:$1048576,ROW(),FALSE)</f>
        <v>0</v>
      </c>
      <c r="AC2789" s="580">
        <f>HLOOKUP("*"&amp;'Output annual'!$AC$2&amp;'Output annual'!$AD$2&amp;"*FangerPMV(Hourly)",'Eplus results'!$1:$1048576,ROW(),FALSE)</f>
        <v>0</v>
      </c>
      <c r="AD2789" s="580">
        <f t="shared" si="251"/>
        <v>5</v>
      </c>
      <c r="AE2789" s="580">
        <f t="shared" si="252"/>
        <v>2.5</v>
      </c>
      <c r="AF2789" s="580">
        <f t="shared" si="253"/>
        <v>2.5</v>
      </c>
      <c r="AG2789" s="580">
        <f t="shared" si="254"/>
        <v>0</v>
      </c>
      <c r="AH2789" s="580">
        <f t="shared" si="255"/>
        <v>0</v>
      </c>
    </row>
    <row r="2790" spans="28:34">
      <c r="AB2790" s="580">
        <f>HLOOKUP("*"&amp;'Output annual'!$AC$2&amp;'Output annual'!$AD$2&amp;"*Zone People Number Of Occupants [](Hourly)",'Eplus results'!$1:$1048576,ROW(),FALSE)</f>
        <v>0</v>
      </c>
      <c r="AC2790" s="580">
        <f>HLOOKUP("*"&amp;'Output annual'!$AC$2&amp;'Output annual'!$AD$2&amp;"*FangerPMV(Hourly)",'Eplus results'!$1:$1048576,ROW(),FALSE)</f>
        <v>0</v>
      </c>
      <c r="AD2790" s="580">
        <f t="shared" si="251"/>
        <v>5</v>
      </c>
      <c r="AE2790" s="580">
        <f t="shared" si="252"/>
        <v>2.5</v>
      </c>
      <c r="AF2790" s="580">
        <f t="shared" si="253"/>
        <v>2.5</v>
      </c>
      <c r="AG2790" s="580">
        <f t="shared" si="254"/>
        <v>0</v>
      </c>
      <c r="AH2790" s="580">
        <f t="shared" si="255"/>
        <v>0</v>
      </c>
    </row>
    <row r="2791" spans="28:34">
      <c r="AB2791" s="580">
        <f>HLOOKUP("*"&amp;'Output annual'!$AC$2&amp;'Output annual'!$AD$2&amp;"*Zone People Number Of Occupants [](Hourly)",'Eplus results'!$1:$1048576,ROW(),FALSE)</f>
        <v>0</v>
      </c>
      <c r="AC2791" s="580">
        <f>HLOOKUP("*"&amp;'Output annual'!$AC$2&amp;'Output annual'!$AD$2&amp;"*FangerPMV(Hourly)",'Eplus results'!$1:$1048576,ROW(),FALSE)</f>
        <v>0</v>
      </c>
      <c r="AD2791" s="580">
        <f t="shared" si="251"/>
        <v>5</v>
      </c>
      <c r="AE2791" s="580">
        <f t="shared" si="252"/>
        <v>2.5</v>
      </c>
      <c r="AF2791" s="580">
        <f t="shared" si="253"/>
        <v>2.5</v>
      </c>
      <c r="AG2791" s="580">
        <f t="shared" si="254"/>
        <v>0</v>
      </c>
      <c r="AH2791" s="580">
        <f t="shared" si="255"/>
        <v>0</v>
      </c>
    </row>
    <row r="2792" spans="28:34">
      <c r="AB2792" s="580">
        <f>HLOOKUP("*"&amp;'Output annual'!$AC$2&amp;'Output annual'!$AD$2&amp;"*Zone People Number Of Occupants [](Hourly)",'Eplus results'!$1:$1048576,ROW(),FALSE)</f>
        <v>0</v>
      </c>
      <c r="AC2792" s="580">
        <f>HLOOKUP("*"&amp;'Output annual'!$AC$2&amp;'Output annual'!$AD$2&amp;"*FangerPMV(Hourly)",'Eplus results'!$1:$1048576,ROW(),FALSE)</f>
        <v>0</v>
      </c>
      <c r="AD2792" s="580">
        <f t="shared" si="251"/>
        <v>5</v>
      </c>
      <c r="AE2792" s="580">
        <f t="shared" si="252"/>
        <v>2.5</v>
      </c>
      <c r="AF2792" s="580">
        <f t="shared" si="253"/>
        <v>2.5</v>
      </c>
      <c r="AG2792" s="580">
        <f t="shared" si="254"/>
        <v>0</v>
      </c>
      <c r="AH2792" s="580">
        <f t="shared" si="255"/>
        <v>0</v>
      </c>
    </row>
    <row r="2793" spans="28:34">
      <c r="AB2793" s="580">
        <f>HLOOKUP("*"&amp;'Output annual'!$AC$2&amp;'Output annual'!$AD$2&amp;"*Zone People Number Of Occupants [](Hourly)",'Eplus results'!$1:$1048576,ROW(),FALSE)</f>
        <v>0</v>
      </c>
      <c r="AC2793" s="580">
        <f>HLOOKUP("*"&amp;'Output annual'!$AC$2&amp;'Output annual'!$AD$2&amp;"*FangerPMV(Hourly)",'Eplus results'!$1:$1048576,ROW(),FALSE)</f>
        <v>0</v>
      </c>
      <c r="AD2793" s="580">
        <f t="shared" si="251"/>
        <v>5</v>
      </c>
      <c r="AE2793" s="580">
        <f t="shared" si="252"/>
        <v>2.5</v>
      </c>
      <c r="AF2793" s="580">
        <f t="shared" si="253"/>
        <v>2.5</v>
      </c>
      <c r="AG2793" s="580">
        <f t="shared" si="254"/>
        <v>0</v>
      </c>
      <c r="AH2793" s="580">
        <f t="shared" si="255"/>
        <v>0</v>
      </c>
    </row>
    <row r="2794" spans="28:34">
      <c r="AB2794" s="580">
        <f>HLOOKUP("*"&amp;'Output annual'!$AC$2&amp;'Output annual'!$AD$2&amp;"*Zone People Number Of Occupants [](Hourly)",'Eplus results'!$1:$1048576,ROW(),FALSE)</f>
        <v>0</v>
      </c>
      <c r="AC2794" s="580">
        <f>HLOOKUP("*"&amp;'Output annual'!$AC$2&amp;'Output annual'!$AD$2&amp;"*FangerPMV(Hourly)",'Eplus results'!$1:$1048576,ROW(),FALSE)</f>
        <v>0</v>
      </c>
      <c r="AD2794" s="580">
        <f t="shared" si="251"/>
        <v>5</v>
      </c>
      <c r="AE2794" s="580">
        <f t="shared" si="252"/>
        <v>2.5</v>
      </c>
      <c r="AF2794" s="580">
        <f t="shared" si="253"/>
        <v>2.5</v>
      </c>
      <c r="AG2794" s="580">
        <f t="shared" si="254"/>
        <v>0</v>
      </c>
      <c r="AH2794" s="580">
        <f t="shared" si="255"/>
        <v>0</v>
      </c>
    </row>
    <row r="2795" spans="28:34">
      <c r="AB2795" s="580">
        <f>HLOOKUP("*"&amp;'Output annual'!$AC$2&amp;'Output annual'!$AD$2&amp;"*Zone People Number Of Occupants [](Hourly)",'Eplus results'!$1:$1048576,ROW(),FALSE)</f>
        <v>0</v>
      </c>
      <c r="AC2795" s="580">
        <f>HLOOKUP("*"&amp;'Output annual'!$AC$2&amp;'Output annual'!$AD$2&amp;"*FangerPMV(Hourly)",'Eplus results'!$1:$1048576,ROW(),FALSE)</f>
        <v>0</v>
      </c>
      <c r="AD2795" s="580">
        <f t="shared" si="251"/>
        <v>5</v>
      </c>
      <c r="AE2795" s="580">
        <f t="shared" si="252"/>
        <v>2.5</v>
      </c>
      <c r="AF2795" s="580">
        <f t="shared" si="253"/>
        <v>2.5</v>
      </c>
      <c r="AG2795" s="580">
        <f t="shared" si="254"/>
        <v>0</v>
      </c>
      <c r="AH2795" s="580">
        <f t="shared" si="255"/>
        <v>0</v>
      </c>
    </row>
    <row r="2796" spans="28:34">
      <c r="AB2796" s="580">
        <f>HLOOKUP("*"&amp;'Output annual'!$AC$2&amp;'Output annual'!$AD$2&amp;"*Zone People Number Of Occupants [](Hourly)",'Eplus results'!$1:$1048576,ROW(),FALSE)</f>
        <v>0</v>
      </c>
      <c r="AC2796" s="580">
        <f>HLOOKUP("*"&amp;'Output annual'!$AC$2&amp;'Output annual'!$AD$2&amp;"*FangerPMV(Hourly)",'Eplus results'!$1:$1048576,ROW(),FALSE)</f>
        <v>0</v>
      </c>
      <c r="AD2796" s="580">
        <f t="shared" si="251"/>
        <v>5</v>
      </c>
      <c r="AE2796" s="580">
        <f t="shared" si="252"/>
        <v>2.5</v>
      </c>
      <c r="AF2796" s="580">
        <f t="shared" si="253"/>
        <v>2.5</v>
      </c>
      <c r="AG2796" s="580">
        <f t="shared" si="254"/>
        <v>0</v>
      </c>
      <c r="AH2796" s="580">
        <f t="shared" si="255"/>
        <v>0</v>
      </c>
    </row>
    <row r="2797" spans="28:34">
      <c r="AB2797" s="580">
        <f>HLOOKUP("*"&amp;'Output annual'!$AC$2&amp;'Output annual'!$AD$2&amp;"*Zone People Number Of Occupants [](Hourly)",'Eplus results'!$1:$1048576,ROW(),FALSE)</f>
        <v>0</v>
      </c>
      <c r="AC2797" s="580">
        <f>HLOOKUP("*"&amp;'Output annual'!$AC$2&amp;'Output annual'!$AD$2&amp;"*FangerPMV(Hourly)",'Eplus results'!$1:$1048576,ROW(),FALSE)</f>
        <v>0</v>
      </c>
      <c r="AD2797" s="580">
        <f t="shared" si="251"/>
        <v>5</v>
      </c>
      <c r="AE2797" s="580">
        <f t="shared" si="252"/>
        <v>2.5</v>
      </c>
      <c r="AF2797" s="580">
        <f t="shared" si="253"/>
        <v>2.5</v>
      </c>
      <c r="AG2797" s="580">
        <f t="shared" si="254"/>
        <v>0</v>
      </c>
      <c r="AH2797" s="580">
        <f t="shared" si="255"/>
        <v>0</v>
      </c>
    </row>
    <row r="2798" spans="28:34">
      <c r="AB2798" s="580">
        <f>HLOOKUP("*"&amp;'Output annual'!$AC$2&amp;'Output annual'!$AD$2&amp;"*Zone People Number Of Occupants [](Hourly)",'Eplus results'!$1:$1048576,ROW(),FALSE)</f>
        <v>0</v>
      </c>
      <c r="AC2798" s="580">
        <f>HLOOKUP("*"&amp;'Output annual'!$AC$2&amp;'Output annual'!$AD$2&amp;"*FangerPMV(Hourly)",'Eplus results'!$1:$1048576,ROW(),FALSE)</f>
        <v>0</v>
      </c>
      <c r="AD2798" s="580">
        <f t="shared" si="251"/>
        <v>5</v>
      </c>
      <c r="AE2798" s="580">
        <f t="shared" si="252"/>
        <v>2.5</v>
      </c>
      <c r="AF2798" s="580">
        <f t="shared" si="253"/>
        <v>2.5</v>
      </c>
      <c r="AG2798" s="580">
        <f t="shared" si="254"/>
        <v>0</v>
      </c>
      <c r="AH2798" s="580">
        <f t="shared" si="255"/>
        <v>0</v>
      </c>
    </row>
    <row r="2799" spans="28:34">
      <c r="AB2799" s="580">
        <f>HLOOKUP("*"&amp;'Output annual'!$AC$2&amp;'Output annual'!$AD$2&amp;"*Zone People Number Of Occupants [](Hourly)",'Eplus results'!$1:$1048576,ROW(),FALSE)</f>
        <v>0</v>
      </c>
      <c r="AC2799" s="580">
        <f>HLOOKUP("*"&amp;'Output annual'!$AC$2&amp;'Output annual'!$AD$2&amp;"*FangerPMV(Hourly)",'Eplus results'!$1:$1048576,ROW(),FALSE)</f>
        <v>0</v>
      </c>
      <c r="AD2799" s="580">
        <f t="shared" si="251"/>
        <v>5</v>
      </c>
      <c r="AE2799" s="580">
        <f t="shared" si="252"/>
        <v>2.5</v>
      </c>
      <c r="AF2799" s="580">
        <f t="shared" si="253"/>
        <v>2.5</v>
      </c>
      <c r="AG2799" s="580">
        <f t="shared" si="254"/>
        <v>0</v>
      </c>
      <c r="AH2799" s="580">
        <f t="shared" si="255"/>
        <v>0</v>
      </c>
    </row>
    <row r="2800" spans="28:34">
      <c r="AB2800" s="580">
        <f>HLOOKUP("*"&amp;'Output annual'!$AC$2&amp;'Output annual'!$AD$2&amp;"*Zone People Number Of Occupants [](Hourly)",'Eplus results'!$1:$1048576,ROW(),FALSE)</f>
        <v>0</v>
      </c>
      <c r="AC2800" s="580">
        <f>HLOOKUP("*"&amp;'Output annual'!$AC$2&amp;'Output annual'!$AD$2&amp;"*FangerPMV(Hourly)",'Eplus results'!$1:$1048576,ROW(),FALSE)</f>
        <v>0</v>
      </c>
      <c r="AD2800" s="580">
        <f t="shared" si="251"/>
        <v>5</v>
      </c>
      <c r="AE2800" s="580">
        <f t="shared" si="252"/>
        <v>2.5</v>
      </c>
      <c r="AF2800" s="580">
        <f t="shared" si="253"/>
        <v>2.5</v>
      </c>
      <c r="AG2800" s="580">
        <f t="shared" si="254"/>
        <v>0</v>
      </c>
      <c r="AH2800" s="580">
        <f t="shared" si="255"/>
        <v>0</v>
      </c>
    </row>
    <row r="2801" spans="28:34">
      <c r="AB2801" s="580">
        <f>HLOOKUP("*"&amp;'Output annual'!$AC$2&amp;'Output annual'!$AD$2&amp;"*Zone People Number Of Occupants [](Hourly)",'Eplus results'!$1:$1048576,ROW(),FALSE)</f>
        <v>0</v>
      </c>
      <c r="AC2801" s="580">
        <f>HLOOKUP("*"&amp;'Output annual'!$AC$2&amp;'Output annual'!$AD$2&amp;"*FangerPMV(Hourly)",'Eplus results'!$1:$1048576,ROW(),FALSE)</f>
        <v>0</v>
      </c>
      <c r="AD2801" s="580">
        <f t="shared" si="251"/>
        <v>5</v>
      </c>
      <c r="AE2801" s="580">
        <f t="shared" si="252"/>
        <v>2.5</v>
      </c>
      <c r="AF2801" s="580">
        <f t="shared" si="253"/>
        <v>2.5</v>
      </c>
      <c r="AG2801" s="580">
        <f t="shared" si="254"/>
        <v>0</v>
      </c>
      <c r="AH2801" s="580">
        <f t="shared" si="255"/>
        <v>0</v>
      </c>
    </row>
    <row r="2802" spans="28:34">
      <c r="AB2802" s="580">
        <f>HLOOKUP("*"&amp;'Output annual'!$AC$2&amp;'Output annual'!$AD$2&amp;"*Zone People Number Of Occupants [](Hourly)",'Eplus results'!$1:$1048576,ROW(),FALSE)</f>
        <v>0</v>
      </c>
      <c r="AC2802" s="580">
        <f>HLOOKUP("*"&amp;'Output annual'!$AC$2&amp;'Output annual'!$AD$2&amp;"*FangerPMV(Hourly)",'Eplus results'!$1:$1048576,ROW(),FALSE)</f>
        <v>0</v>
      </c>
      <c r="AD2802" s="580">
        <f t="shared" si="251"/>
        <v>5</v>
      </c>
      <c r="AE2802" s="580">
        <f t="shared" si="252"/>
        <v>2.5</v>
      </c>
      <c r="AF2802" s="580">
        <f t="shared" si="253"/>
        <v>2.5</v>
      </c>
      <c r="AG2802" s="580">
        <f t="shared" si="254"/>
        <v>0</v>
      </c>
      <c r="AH2802" s="580">
        <f t="shared" si="255"/>
        <v>0</v>
      </c>
    </row>
    <row r="2803" spans="28:34">
      <c r="AB2803" s="580">
        <f>HLOOKUP("*"&amp;'Output annual'!$AC$2&amp;'Output annual'!$AD$2&amp;"*Zone People Number Of Occupants [](Hourly)",'Eplus results'!$1:$1048576,ROW(),FALSE)</f>
        <v>0</v>
      </c>
      <c r="AC2803" s="580">
        <f>HLOOKUP("*"&amp;'Output annual'!$AC$2&amp;'Output annual'!$AD$2&amp;"*FangerPMV(Hourly)",'Eplus results'!$1:$1048576,ROW(),FALSE)</f>
        <v>0</v>
      </c>
      <c r="AD2803" s="580">
        <f t="shared" si="251"/>
        <v>5</v>
      </c>
      <c r="AE2803" s="580">
        <f t="shared" si="252"/>
        <v>2.5</v>
      </c>
      <c r="AF2803" s="580">
        <f t="shared" si="253"/>
        <v>2.5</v>
      </c>
      <c r="AG2803" s="580">
        <f t="shared" si="254"/>
        <v>0</v>
      </c>
      <c r="AH2803" s="580">
        <f t="shared" si="255"/>
        <v>0</v>
      </c>
    </row>
    <row r="2804" spans="28:34">
      <c r="AB2804" s="580">
        <f>HLOOKUP("*"&amp;'Output annual'!$AC$2&amp;'Output annual'!$AD$2&amp;"*Zone People Number Of Occupants [](Hourly)",'Eplus results'!$1:$1048576,ROW(),FALSE)</f>
        <v>0</v>
      </c>
      <c r="AC2804" s="580">
        <f>HLOOKUP("*"&amp;'Output annual'!$AC$2&amp;'Output annual'!$AD$2&amp;"*FangerPMV(Hourly)",'Eplus results'!$1:$1048576,ROW(),FALSE)</f>
        <v>0</v>
      </c>
      <c r="AD2804" s="580">
        <f t="shared" si="251"/>
        <v>5</v>
      </c>
      <c r="AE2804" s="580">
        <f t="shared" si="252"/>
        <v>2.5</v>
      </c>
      <c r="AF2804" s="580">
        <f t="shared" si="253"/>
        <v>2.5</v>
      </c>
      <c r="AG2804" s="580">
        <f t="shared" si="254"/>
        <v>0</v>
      </c>
      <c r="AH2804" s="580">
        <f t="shared" si="255"/>
        <v>0</v>
      </c>
    </row>
    <row r="2805" spans="28:34">
      <c r="AB2805" s="580">
        <f>HLOOKUP("*"&amp;'Output annual'!$AC$2&amp;'Output annual'!$AD$2&amp;"*Zone People Number Of Occupants [](Hourly)",'Eplus results'!$1:$1048576,ROW(),FALSE)</f>
        <v>0</v>
      </c>
      <c r="AC2805" s="580">
        <f>HLOOKUP("*"&amp;'Output annual'!$AC$2&amp;'Output annual'!$AD$2&amp;"*FangerPMV(Hourly)",'Eplus results'!$1:$1048576,ROW(),FALSE)</f>
        <v>0</v>
      </c>
      <c r="AD2805" s="580">
        <f t="shared" si="251"/>
        <v>5</v>
      </c>
      <c r="AE2805" s="580">
        <f t="shared" si="252"/>
        <v>2.5</v>
      </c>
      <c r="AF2805" s="580">
        <f t="shared" si="253"/>
        <v>2.5</v>
      </c>
      <c r="AG2805" s="580">
        <f t="shared" si="254"/>
        <v>0</v>
      </c>
      <c r="AH2805" s="580">
        <f t="shared" si="255"/>
        <v>0</v>
      </c>
    </row>
    <row r="2806" spans="28:34">
      <c r="AB2806" s="580">
        <f>HLOOKUP("*"&amp;'Output annual'!$AC$2&amp;'Output annual'!$AD$2&amp;"*Zone People Number Of Occupants [](Hourly)",'Eplus results'!$1:$1048576,ROW(),FALSE)</f>
        <v>0</v>
      </c>
      <c r="AC2806" s="580">
        <f>HLOOKUP("*"&amp;'Output annual'!$AC$2&amp;'Output annual'!$AD$2&amp;"*FangerPMV(Hourly)",'Eplus results'!$1:$1048576,ROW(),FALSE)</f>
        <v>0</v>
      </c>
      <c r="AD2806" s="580">
        <f t="shared" si="251"/>
        <v>5</v>
      </c>
      <c r="AE2806" s="580">
        <f t="shared" si="252"/>
        <v>2.5</v>
      </c>
      <c r="AF2806" s="580">
        <f t="shared" si="253"/>
        <v>2.5</v>
      </c>
      <c r="AG2806" s="580">
        <f t="shared" si="254"/>
        <v>0</v>
      </c>
      <c r="AH2806" s="580">
        <f t="shared" si="255"/>
        <v>0</v>
      </c>
    </row>
    <row r="2807" spans="28:34">
      <c r="AB2807" s="580">
        <f>HLOOKUP("*"&amp;'Output annual'!$AC$2&amp;'Output annual'!$AD$2&amp;"*Zone People Number Of Occupants [](Hourly)",'Eplus results'!$1:$1048576,ROW(),FALSE)</f>
        <v>0</v>
      </c>
      <c r="AC2807" s="580">
        <f>HLOOKUP("*"&amp;'Output annual'!$AC$2&amp;'Output annual'!$AD$2&amp;"*FangerPMV(Hourly)",'Eplus results'!$1:$1048576,ROW(),FALSE)</f>
        <v>0</v>
      </c>
      <c r="AD2807" s="580">
        <f t="shared" si="251"/>
        <v>5</v>
      </c>
      <c r="AE2807" s="580">
        <f t="shared" si="252"/>
        <v>2.5</v>
      </c>
      <c r="AF2807" s="580">
        <f t="shared" si="253"/>
        <v>2.5</v>
      </c>
      <c r="AG2807" s="580">
        <f t="shared" si="254"/>
        <v>0</v>
      </c>
      <c r="AH2807" s="580">
        <f t="shared" si="255"/>
        <v>0</v>
      </c>
    </row>
    <row r="2808" spans="28:34">
      <c r="AB2808" s="580">
        <f>HLOOKUP("*"&amp;'Output annual'!$AC$2&amp;'Output annual'!$AD$2&amp;"*Zone People Number Of Occupants [](Hourly)",'Eplus results'!$1:$1048576,ROW(),FALSE)</f>
        <v>0</v>
      </c>
      <c r="AC2808" s="580">
        <f>HLOOKUP("*"&amp;'Output annual'!$AC$2&amp;'Output annual'!$AD$2&amp;"*FangerPMV(Hourly)",'Eplus results'!$1:$1048576,ROW(),FALSE)</f>
        <v>0</v>
      </c>
      <c r="AD2808" s="580">
        <f t="shared" si="251"/>
        <v>5</v>
      </c>
      <c r="AE2808" s="580">
        <f t="shared" si="252"/>
        <v>2.5</v>
      </c>
      <c r="AF2808" s="580">
        <f t="shared" si="253"/>
        <v>2.5</v>
      </c>
      <c r="AG2808" s="580">
        <f t="shared" si="254"/>
        <v>0</v>
      </c>
      <c r="AH2808" s="580">
        <f t="shared" si="255"/>
        <v>0</v>
      </c>
    </row>
    <row r="2809" spans="28:34">
      <c r="AB2809" s="580">
        <f>HLOOKUP("*"&amp;'Output annual'!$AC$2&amp;'Output annual'!$AD$2&amp;"*Zone People Number Of Occupants [](Hourly)",'Eplus results'!$1:$1048576,ROW(),FALSE)</f>
        <v>0</v>
      </c>
      <c r="AC2809" s="580">
        <f>HLOOKUP("*"&amp;'Output annual'!$AC$2&amp;'Output annual'!$AD$2&amp;"*FangerPMV(Hourly)",'Eplus results'!$1:$1048576,ROW(),FALSE)</f>
        <v>0</v>
      </c>
      <c r="AD2809" s="580">
        <f t="shared" si="251"/>
        <v>5</v>
      </c>
      <c r="AE2809" s="580">
        <f t="shared" si="252"/>
        <v>2.5</v>
      </c>
      <c r="AF2809" s="580">
        <f t="shared" si="253"/>
        <v>2.5</v>
      </c>
      <c r="AG2809" s="580">
        <f t="shared" si="254"/>
        <v>0</v>
      </c>
      <c r="AH2809" s="580">
        <f t="shared" si="255"/>
        <v>0</v>
      </c>
    </row>
    <row r="2810" spans="28:34">
      <c r="AB2810" s="580">
        <f>HLOOKUP("*"&amp;'Output annual'!$AC$2&amp;'Output annual'!$AD$2&amp;"*Zone People Number Of Occupants [](Hourly)",'Eplus results'!$1:$1048576,ROW(),FALSE)</f>
        <v>0</v>
      </c>
      <c r="AC2810" s="580">
        <f>HLOOKUP("*"&amp;'Output annual'!$AC$2&amp;'Output annual'!$AD$2&amp;"*FangerPMV(Hourly)",'Eplus results'!$1:$1048576,ROW(),FALSE)</f>
        <v>0</v>
      </c>
      <c r="AD2810" s="580">
        <f t="shared" si="251"/>
        <v>5</v>
      </c>
      <c r="AE2810" s="580">
        <f t="shared" si="252"/>
        <v>2.5</v>
      </c>
      <c r="AF2810" s="580">
        <f t="shared" si="253"/>
        <v>2.5</v>
      </c>
      <c r="AG2810" s="580">
        <f t="shared" si="254"/>
        <v>0</v>
      </c>
      <c r="AH2810" s="580">
        <f t="shared" si="255"/>
        <v>0</v>
      </c>
    </row>
    <row r="2811" spans="28:34">
      <c r="AB2811" s="580">
        <f>HLOOKUP("*"&amp;'Output annual'!$AC$2&amp;'Output annual'!$AD$2&amp;"*Zone People Number Of Occupants [](Hourly)",'Eplus results'!$1:$1048576,ROW(),FALSE)</f>
        <v>0</v>
      </c>
      <c r="AC2811" s="580">
        <f>HLOOKUP("*"&amp;'Output annual'!$AC$2&amp;'Output annual'!$AD$2&amp;"*FangerPMV(Hourly)",'Eplus results'!$1:$1048576,ROW(),FALSE)</f>
        <v>0</v>
      </c>
      <c r="AD2811" s="580">
        <f t="shared" si="251"/>
        <v>5</v>
      </c>
      <c r="AE2811" s="580">
        <f t="shared" si="252"/>
        <v>2.5</v>
      </c>
      <c r="AF2811" s="580">
        <f t="shared" si="253"/>
        <v>2.5</v>
      </c>
      <c r="AG2811" s="580">
        <f t="shared" si="254"/>
        <v>0</v>
      </c>
      <c r="AH2811" s="580">
        <f t="shared" si="255"/>
        <v>0</v>
      </c>
    </row>
    <row r="2812" spans="28:34">
      <c r="AB2812" s="580">
        <f>HLOOKUP("*"&amp;'Output annual'!$AC$2&amp;'Output annual'!$AD$2&amp;"*Zone People Number Of Occupants [](Hourly)",'Eplus results'!$1:$1048576,ROW(),FALSE)</f>
        <v>0</v>
      </c>
      <c r="AC2812" s="580">
        <f>HLOOKUP("*"&amp;'Output annual'!$AC$2&amp;'Output annual'!$AD$2&amp;"*FangerPMV(Hourly)",'Eplus results'!$1:$1048576,ROW(),FALSE)</f>
        <v>0</v>
      </c>
      <c r="AD2812" s="580">
        <f t="shared" si="251"/>
        <v>5</v>
      </c>
      <c r="AE2812" s="580">
        <f t="shared" si="252"/>
        <v>2.5</v>
      </c>
      <c r="AF2812" s="580">
        <f t="shared" si="253"/>
        <v>2.5</v>
      </c>
      <c r="AG2812" s="580">
        <f t="shared" si="254"/>
        <v>0</v>
      </c>
      <c r="AH2812" s="580">
        <f t="shared" si="255"/>
        <v>0</v>
      </c>
    </row>
    <row r="2813" spans="28:34">
      <c r="AB2813" s="580">
        <f>HLOOKUP("*"&amp;'Output annual'!$AC$2&amp;'Output annual'!$AD$2&amp;"*Zone People Number Of Occupants [](Hourly)",'Eplus results'!$1:$1048576,ROW(),FALSE)</f>
        <v>0</v>
      </c>
      <c r="AC2813" s="580">
        <f>HLOOKUP("*"&amp;'Output annual'!$AC$2&amp;'Output annual'!$AD$2&amp;"*FangerPMV(Hourly)",'Eplus results'!$1:$1048576,ROW(),FALSE)</f>
        <v>0</v>
      </c>
      <c r="AD2813" s="580">
        <f t="shared" si="251"/>
        <v>5</v>
      </c>
      <c r="AE2813" s="580">
        <f t="shared" si="252"/>
        <v>2.5</v>
      </c>
      <c r="AF2813" s="580">
        <f t="shared" si="253"/>
        <v>2.5</v>
      </c>
      <c r="AG2813" s="580">
        <f t="shared" si="254"/>
        <v>0</v>
      </c>
      <c r="AH2813" s="580">
        <f t="shared" si="255"/>
        <v>0</v>
      </c>
    </row>
    <row r="2814" spans="28:34">
      <c r="AB2814" s="580">
        <f>HLOOKUP("*"&amp;'Output annual'!$AC$2&amp;'Output annual'!$AD$2&amp;"*Zone People Number Of Occupants [](Hourly)",'Eplus results'!$1:$1048576,ROW(),FALSE)</f>
        <v>0</v>
      </c>
      <c r="AC2814" s="580">
        <f>HLOOKUP("*"&amp;'Output annual'!$AC$2&amp;'Output annual'!$AD$2&amp;"*FangerPMV(Hourly)",'Eplus results'!$1:$1048576,ROW(),FALSE)</f>
        <v>0</v>
      </c>
      <c r="AD2814" s="580">
        <f t="shared" si="251"/>
        <v>5</v>
      </c>
      <c r="AE2814" s="580">
        <f t="shared" si="252"/>
        <v>2.5</v>
      </c>
      <c r="AF2814" s="580">
        <f t="shared" si="253"/>
        <v>2.5</v>
      </c>
      <c r="AG2814" s="580">
        <f t="shared" si="254"/>
        <v>0</v>
      </c>
      <c r="AH2814" s="580">
        <f t="shared" si="255"/>
        <v>0</v>
      </c>
    </row>
    <row r="2815" spans="28:34">
      <c r="AB2815" s="580">
        <f>HLOOKUP("*"&amp;'Output annual'!$AC$2&amp;'Output annual'!$AD$2&amp;"*Zone People Number Of Occupants [](Hourly)",'Eplus results'!$1:$1048576,ROW(),FALSE)</f>
        <v>0</v>
      </c>
      <c r="AC2815" s="580">
        <f>HLOOKUP("*"&amp;'Output annual'!$AC$2&amp;'Output annual'!$AD$2&amp;"*FangerPMV(Hourly)",'Eplus results'!$1:$1048576,ROW(),FALSE)</f>
        <v>0</v>
      </c>
      <c r="AD2815" s="580">
        <f t="shared" si="251"/>
        <v>5</v>
      </c>
      <c r="AE2815" s="580">
        <f t="shared" si="252"/>
        <v>2.5</v>
      </c>
      <c r="AF2815" s="580">
        <f t="shared" si="253"/>
        <v>2.5</v>
      </c>
      <c r="AG2815" s="580">
        <f t="shared" si="254"/>
        <v>0</v>
      </c>
      <c r="AH2815" s="580">
        <f t="shared" si="255"/>
        <v>0</v>
      </c>
    </row>
    <row r="2816" spans="28:34">
      <c r="AB2816" s="580">
        <f>HLOOKUP("*"&amp;'Output annual'!$AC$2&amp;'Output annual'!$AD$2&amp;"*Zone People Number Of Occupants [](Hourly)",'Eplus results'!$1:$1048576,ROW(),FALSE)</f>
        <v>0</v>
      </c>
      <c r="AC2816" s="580">
        <f>HLOOKUP("*"&amp;'Output annual'!$AC$2&amp;'Output annual'!$AD$2&amp;"*FangerPMV(Hourly)",'Eplus results'!$1:$1048576,ROW(),FALSE)</f>
        <v>0</v>
      </c>
      <c r="AD2816" s="580">
        <f t="shared" si="251"/>
        <v>5</v>
      </c>
      <c r="AE2816" s="580">
        <f t="shared" si="252"/>
        <v>2.5</v>
      </c>
      <c r="AF2816" s="580">
        <f t="shared" si="253"/>
        <v>2.5</v>
      </c>
      <c r="AG2816" s="580">
        <f t="shared" si="254"/>
        <v>0</v>
      </c>
      <c r="AH2816" s="580">
        <f t="shared" si="255"/>
        <v>0</v>
      </c>
    </row>
    <row r="2817" spans="28:34">
      <c r="AB2817" s="580">
        <f>HLOOKUP("*"&amp;'Output annual'!$AC$2&amp;'Output annual'!$AD$2&amp;"*Zone People Number Of Occupants [](Hourly)",'Eplus results'!$1:$1048576,ROW(),FALSE)</f>
        <v>0</v>
      </c>
      <c r="AC2817" s="580">
        <f>HLOOKUP("*"&amp;'Output annual'!$AC$2&amp;'Output annual'!$AD$2&amp;"*FangerPMV(Hourly)",'Eplus results'!$1:$1048576,ROW(),FALSE)</f>
        <v>0</v>
      </c>
      <c r="AD2817" s="580">
        <f t="shared" si="251"/>
        <v>5</v>
      </c>
      <c r="AE2817" s="580">
        <f t="shared" si="252"/>
        <v>2.5</v>
      </c>
      <c r="AF2817" s="580">
        <f t="shared" si="253"/>
        <v>2.5</v>
      </c>
      <c r="AG2817" s="580">
        <f t="shared" si="254"/>
        <v>0</v>
      </c>
      <c r="AH2817" s="580">
        <f t="shared" si="255"/>
        <v>0</v>
      </c>
    </row>
    <row r="2818" spans="28:34">
      <c r="AB2818" s="580">
        <f>HLOOKUP("*"&amp;'Output annual'!$AC$2&amp;'Output annual'!$AD$2&amp;"*Zone People Number Of Occupants [](Hourly)",'Eplus results'!$1:$1048576,ROW(),FALSE)</f>
        <v>0</v>
      </c>
      <c r="AC2818" s="580">
        <f>HLOOKUP("*"&amp;'Output annual'!$AC$2&amp;'Output annual'!$AD$2&amp;"*FangerPMV(Hourly)",'Eplus results'!$1:$1048576,ROW(),FALSE)</f>
        <v>0</v>
      </c>
      <c r="AD2818" s="580">
        <f t="shared" si="251"/>
        <v>5</v>
      </c>
      <c r="AE2818" s="580">
        <f t="shared" si="252"/>
        <v>2.5</v>
      </c>
      <c r="AF2818" s="580">
        <f t="shared" si="253"/>
        <v>2.5</v>
      </c>
      <c r="AG2818" s="580">
        <f t="shared" si="254"/>
        <v>0</v>
      </c>
      <c r="AH2818" s="580">
        <f t="shared" si="255"/>
        <v>0</v>
      </c>
    </row>
    <row r="2819" spans="28:34">
      <c r="AB2819" s="580">
        <f>HLOOKUP("*"&amp;'Output annual'!$AC$2&amp;'Output annual'!$AD$2&amp;"*Zone People Number Of Occupants [](Hourly)",'Eplus results'!$1:$1048576,ROW(),FALSE)</f>
        <v>0</v>
      </c>
      <c r="AC2819" s="580">
        <f>HLOOKUP("*"&amp;'Output annual'!$AC$2&amp;'Output annual'!$AD$2&amp;"*FangerPMV(Hourly)",'Eplus results'!$1:$1048576,ROW(),FALSE)</f>
        <v>0</v>
      </c>
      <c r="AD2819" s="580">
        <f t="shared" ref="AD2819:AD2882" si="256">100-95*EXP(-0.03353*AC2819^4-0.2179*AC2819^2)</f>
        <v>5</v>
      </c>
      <c r="AE2819" s="580">
        <f t="shared" ref="AE2819:AE2882" si="257">AD2819*(1/(1+EXP(-6.3*$AC2819)))</f>
        <v>2.5</v>
      </c>
      <c r="AF2819" s="580">
        <f t="shared" ref="AF2819:AF2882" si="258">(AD2819-AE2819)</f>
        <v>2.5</v>
      </c>
      <c r="AG2819" s="580">
        <f t="shared" ref="AG2819:AG2882" si="259">AE2819*AB2819</f>
        <v>0</v>
      </c>
      <c r="AH2819" s="580">
        <f t="shared" ref="AH2819:AH2882" si="260">AF2819*AB2819</f>
        <v>0</v>
      </c>
    </row>
    <row r="2820" spans="28:34">
      <c r="AB2820" s="580">
        <f>HLOOKUP("*"&amp;'Output annual'!$AC$2&amp;'Output annual'!$AD$2&amp;"*Zone People Number Of Occupants [](Hourly)",'Eplus results'!$1:$1048576,ROW(),FALSE)</f>
        <v>0</v>
      </c>
      <c r="AC2820" s="580">
        <f>HLOOKUP("*"&amp;'Output annual'!$AC$2&amp;'Output annual'!$AD$2&amp;"*FangerPMV(Hourly)",'Eplus results'!$1:$1048576,ROW(),FALSE)</f>
        <v>0</v>
      </c>
      <c r="AD2820" s="580">
        <f t="shared" si="256"/>
        <v>5</v>
      </c>
      <c r="AE2820" s="580">
        <f t="shared" si="257"/>
        <v>2.5</v>
      </c>
      <c r="AF2820" s="580">
        <f t="shared" si="258"/>
        <v>2.5</v>
      </c>
      <c r="AG2820" s="580">
        <f t="shared" si="259"/>
        <v>0</v>
      </c>
      <c r="AH2820" s="580">
        <f t="shared" si="260"/>
        <v>0</v>
      </c>
    </row>
    <row r="2821" spans="28:34">
      <c r="AB2821" s="580">
        <f>HLOOKUP("*"&amp;'Output annual'!$AC$2&amp;'Output annual'!$AD$2&amp;"*Zone People Number Of Occupants [](Hourly)",'Eplus results'!$1:$1048576,ROW(),FALSE)</f>
        <v>0</v>
      </c>
      <c r="AC2821" s="580">
        <f>HLOOKUP("*"&amp;'Output annual'!$AC$2&amp;'Output annual'!$AD$2&amp;"*FangerPMV(Hourly)",'Eplus results'!$1:$1048576,ROW(),FALSE)</f>
        <v>0</v>
      </c>
      <c r="AD2821" s="580">
        <f t="shared" si="256"/>
        <v>5</v>
      </c>
      <c r="AE2821" s="580">
        <f t="shared" si="257"/>
        <v>2.5</v>
      </c>
      <c r="AF2821" s="580">
        <f t="shared" si="258"/>
        <v>2.5</v>
      </c>
      <c r="AG2821" s="580">
        <f t="shared" si="259"/>
        <v>0</v>
      </c>
      <c r="AH2821" s="580">
        <f t="shared" si="260"/>
        <v>0</v>
      </c>
    </row>
    <row r="2822" spans="28:34">
      <c r="AB2822" s="580">
        <f>HLOOKUP("*"&amp;'Output annual'!$AC$2&amp;'Output annual'!$AD$2&amp;"*Zone People Number Of Occupants [](Hourly)",'Eplus results'!$1:$1048576,ROW(),FALSE)</f>
        <v>0</v>
      </c>
      <c r="AC2822" s="580">
        <f>HLOOKUP("*"&amp;'Output annual'!$AC$2&amp;'Output annual'!$AD$2&amp;"*FangerPMV(Hourly)",'Eplus results'!$1:$1048576,ROW(),FALSE)</f>
        <v>0</v>
      </c>
      <c r="AD2822" s="580">
        <f t="shared" si="256"/>
        <v>5</v>
      </c>
      <c r="AE2822" s="580">
        <f t="shared" si="257"/>
        <v>2.5</v>
      </c>
      <c r="AF2822" s="580">
        <f t="shared" si="258"/>
        <v>2.5</v>
      </c>
      <c r="AG2822" s="580">
        <f t="shared" si="259"/>
        <v>0</v>
      </c>
      <c r="AH2822" s="580">
        <f t="shared" si="260"/>
        <v>0</v>
      </c>
    </row>
    <row r="2823" spans="28:34">
      <c r="AB2823" s="580">
        <f>HLOOKUP("*"&amp;'Output annual'!$AC$2&amp;'Output annual'!$AD$2&amp;"*Zone People Number Of Occupants [](Hourly)",'Eplus results'!$1:$1048576,ROW(),FALSE)</f>
        <v>0</v>
      </c>
      <c r="AC2823" s="580">
        <f>HLOOKUP("*"&amp;'Output annual'!$AC$2&amp;'Output annual'!$AD$2&amp;"*FangerPMV(Hourly)",'Eplus results'!$1:$1048576,ROW(),FALSE)</f>
        <v>0</v>
      </c>
      <c r="AD2823" s="580">
        <f t="shared" si="256"/>
        <v>5</v>
      </c>
      <c r="AE2823" s="580">
        <f t="shared" si="257"/>
        <v>2.5</v>
      </c>
      <c r="AF2823" s="580">
        <f t="shared" si="258"/>
        <v>2.5</v>
      </c>
      <c r="AG2823" s="580">
        <f t="shared" si="259"/>
        <v>0</v>
      </c>
      <c r="AH2823" s="580">
        <f t="shared" si="260"/>
        <v>0</v>
      </c>
    </row>
    <row r="2824" spans="28:34">
      <c r="AB2824" s="580">
        <f>HLOOKUP("*"&amp;'Output annual'!$AC$2&amp;'Output annual'!$AD$2&amp;"*Zone People Number Of Occupants [](Hourly)",'Eplus results'!$1:$1048576,ROW(),FALSE)</f>
        <v>0</v>
      </c>
      <c r="AC2824" s="580">
        <f>HLOOKUP("*"&amp;'Output annual'!$AC$2&amp;'Output annual'!$AD$2&amp;"*FangerPMV(Hourly)",'Eplus results'!$1:$1048576,ROW(),FALSE)</f>
        <v>0</v>
      </c>
      <c r="AD2824" s="580">
        <f t="shared" si="256"/>
        <v>5</v>
      </c>
      <c r="AE2824" s="580">
        <f t="shared" si="257"/>
        <v>2.5</v>
      </c>
      <c r="AF2824" s="580">
        <f t="shared" si="258"/>
        <v>2.5</v>
      </c>
      <c r="AG2824" s="580">
        <f t="shared" si="259"/>
        <v>0</v>
      </c>
      <c r="AH2824" s="580">
        <f t="shared" si="260"/>
        <v>0</v>
      </c>
    </row>
    <row r="2825" spans="28:34">
      <c r="AB2825" s="580">
        <f>HLOOKUP("*"&amp;'Output annual'!$AC$2&amp;'Output annual'!$AD$2&amp;"*Zone People Number Of Occupants [](Hourly)",'Eplus results'!$1:$1048576,ROW(),FALSE)</f>
        <v>0</v>
      </c>
      <c r="AC2825" s="580">
        <f>HLOOKUP("*"&amp;'Output annual'!$AC$2&amp;'Output annual'!$AD$2&amp;"*FangerPMV(Hourly)",'Eplus results'!$1:$1048576,ROW(),FALSE)</f>
        <v>0</v>
      </c>
      <c r="AD2825" s="580">
        <f t="shared" si="256"/>
        <v>5</v>
      </c>
      <c r="AE2825" s="580">
        <f t="shared" si="257"/>
        <v>2.5</v>
      </c>
      <c r="AF2825" s="580">
        <f t="shared" si="258"/>
        <v>2.5</v>
      </c>
      <c r="AG2825" s="580">
        <f t="shared" si="259"/>
        <v>0</v>
      </c>
      <c r="AH2825" s="580">
        <f t="shared" si="260"/>
        <v>0</v>
      </c>
    </row>
    <row r="2826" spans="28:34">
      <c r="AB2826" s="580">
        <f>HLOOKUP("*"&amp;'Output annual'!$AC$2&amp;'Output annual'!$AD$2&amp;"*Zone People Number Of Occupants [](Hourly)",'Eplus results'!$1:$1048576,ROW(),FALSE)</f>
        <v>0</v>
      </c>
      <c r="AC2826" s="580">
        <f>HLOOKUP("*"&amp;'Output annual'!$AC$2&amp;'Output annual'!$AD$2&amp;"*FangerPMV(Hourly)",'Eplus results'!$1:$1048576,ROW(),FALSE)</f>
        <v>0</v>
      </c>
      <c r="AD2826" s="580">
        <f t="shared" si="256"/>
        <v>5</v>
      </c>
      <c r="AE2826" s="580">
        <f t="shared" si="257"/>
        <v>2.5</v>
      </c>
      <c r="AF2826" s="580">
        <f t="shared" si="258"/>
        <v>2.5</v>
      </c>
      <c r="AG2826" s="580">
        <f t="shared" si="259"/>
        <v>0</v>
      </c>
      <c r="AH2826" s="580">
        <f t="shared" si="260"/>
        <v>0</v>
      </c>
    </row>
    <row r="2827" spans="28:34">
      <c r="AB2827" s="580">
        <f>HLOOKUP("*"&amp;'Output annual'!$AC$2&amp;'Output annual'!$AD$2&amp;"*Zone People Number Of Occupants [](Hourly)",'Eplus results'!$1:$1048576,ROW(),FALSE)</f>
        <v>0</v>
      </c>
      <c r="AC2827" s="580">
        <f>HLOOKUP("*"&amp;'Output annual'!$AC$2&amp;'Output annual'!$AD$2&amp;"*FangerPMV(Hourly)",'Eplus results'!$1:$1048576,ROW(),FALSE)</f>
        <v>0</v>
      </c>
      <c r="AD2827" s="580">
        <f t="shared" si="256"/>
        <v>5</v>
      </c>
      <c r="AE2827" s="580">
        <f t="shared" si="257"/>
        <v>2.5</v>
      </c>
      <c r="AF2827" s="580">
        <f t="shared" si="258"/>
        <v>2.5</v>
      </c>
      <c r="AG2827" s="580">
        <f t="shared" si="259"/>
        <v>0</v>
      </c>
      <c r="AH2827" s="580">
        <f t="shared" si="260"/>
        <v>0</v>
      </c>
    </row>
    <row r="2828" spans="28:34">
      <c r="AB2828" s="580">
        <f>HLOOKUP("*"&amp;'Output annual'!$AC$2&amp;'Output annual'!$AD$2&amp;"*Zone People Number Of Occupants [](Hourly)",'Eplus results'!$1:$1048576,ROW(),FALSE)</f>
        <v>0</v>
      </c>
      <c r="AC2828" s="580">
        <f>HLOOKUP("*"&amp;'Output annual'!$AC$2&amp;'Output annual'!$AD$2&amp;"*FangerPMV(Hourly)",'Eplus results'!$1:$1048576,ROW(),FALSE)</f>
        <v>0</v>
      </c>
      <c r="AD2828" s="580">
        <f t="shared" si="256"/>
        <v>5</v>
      </c>
      <c r="AE2828" s="580">
        <f t="shared" si="257"/>
        <v>2.5</v>
      </c>
      <c r="AF2828" s="580">
        <f t="shared" si="258"/>
        <v>2.5</v>
      </c>
      <c r="AG2828" s="580">
        <f t="shared" si="259"/>
        <v>0</v>
      </c>
      <c r="AH2828" s="580">
        <f t="shared" si="260"/>
        <v>0</v>
      </c>
    </row>
    <row r="2829" spans="28:34">
      <c r="AB2829" s="580">
        <f>HLOOKUP("*"&amp;'Output annual'!$AC$2&amp;'Output annual'!$AD$2&amp;"*Zone People Number Of Occupants [](Hourly)",'Eplus results'!$1:$1048576,ROW(),FALSE)</f>
        <v>0</v>
      </c>
      <c r="AC2829" s="580">
        <f>HLOOKUP("*"&amp;'Output annual'!$AC$2&amp;'Output annual'!$AD$2&amp;"*FangerPMV(Hourly)",'Eplus results'!$1:$1048576,ROW(),FALSE)</f>
        <v>0</v>
      </c>
      <c r="AD2829" s="580">
        <f t="shared" si="256"/>
        <v>5</v>
      </c>
      <c r="AE2829" s="580">
        <f t="shared" si="257"/>
        <v>2.5</v>
      </c>
      <c r="AF2829" s="580">
        <f t="shared" si="258"/>
        <v>2.5</v>
      </c>
      <c r="AG2829" s="580">
        <f t="shared" si="259"/>
        <v>0</v>
      </c>
      <c r="AH2829" s="580">
        <f t="shared" si="260"/>
        <v>0</v>
      </c>
    </row>
    <row r="2830" spans="28:34">
      <c r="AB2830" s="580">
        <f>HLOOKUP("*"&amp;'Output annual'!$AC$2&amp;'Output annual'!$AD$2&amp;"*Zone People Number Of Occupants [](Hourly)",'Eplus results'!$1:$1048576,ROW(),FALSE)</f>
        <v>0</v>
      </c>
      <c r="AC2830" s="580">
        <f>HLOOKUP("*"&amp;'Output annual'!$AC$2&amp;'Output annual'!$AD$2&amp;"*FangerPMV(Hourly)",'Eplus results'!$1:$1048576,ROW(),FALSE)</f>
        <v>0</v>
      </c>
      <c r="AD2830" s="580">
        <f t="shared" si="256"/>
        <v>5</v>
      </c>
      <c r="AE2830" s="580">
        <f t="shared" si="257"/>
        <v>2.5</v>
      </c>
      <c r="AF2830" s="580">
        <f t="shared" si="258"/>
        <v>2.5</v>
      </c>
      <c r="AG2830" s="580">
        <f t="shared" si="259"/>
        <v>0</v>
      </c>
      <c r="AH2830" s="580">
        <f t="shared" si="260"/>
        <v>0</v>
      </c>
    </row>
    <row r="2831" spans="28:34">
      <c r="AB2831" s="580">
        <f>HLOOKUP("*"&amp;'Output annual'!$AC$2&amp;'Output annual'!$AD$2&amp;"*Zone People Number Of Occupants [](Hourly)",'Eplus results'!$1:$1048576,ROW(),FALSE)</f>
        <v>0</v>
      </c>
      <c r="AC2831" s="580">
        <f>HLOOKUP("*"&amp;'Output annual'!$AC$2&amp;'Output annual'!$AD$2&amp;"*FangerPMV(Hourly)",'Eplus results'!$1:$1048576,ROW(),FALSE)</f>
        <v>0</v>
      </c>
      <c r="AD2831" s="580">
        <f t="shared" si="256"/>
        <v>5</v>
      </c>
      <c r="AE2831" s="580">
        <f t="shared" si="257"/>
        <v>2.5</v>
      </c>
      <c r="AF2831" s="580">
        <f t="shared" si="258"/>
        <v>2.5</v>
      </c>
      <c r="AG2831" s="580">
        <f t="shared" si="259"/>
        <v>0</v>
      </c>
      <c r="AH2831" s="580">
        <f t="shared" si="260"/>
        <v>0</v>
      </c>
    </row>
    <row r="2832" spans="28:34">
      <c r="AB2832" s="580">
        <f>HLOOKUP("*"&amp;'Output annual'!$AC$2&amp;'Output annual'!$AD$2&amp;"*Zone People Number Of Occupants [](Hourly)",'Eplus results'!$1:$1048576,ROW(),FALSE)</f>
        <v>0</v>
      </c>
      <c r="AC2832" s="580">
        <f>HLOOKUP("*"&amp;'Output annual'!$AC$2&amp;'Output annual'!$AD$2&amp;"*FangerPMV(Hourly)",'Eplus results'!$1:$1048576,ROW(),FALSE)</f>
        <v>0</v>
      </c>
      <c r="AD2832" s="580">
        <f t="shared" si="256"/>
        <v>5</v>
      </c>
      <c r="AE2832" s="580">
        <f t="shared" si="257"/>
        <v>2.5</v>
      </c>
      <c r="AF2832" s="580">
        <f t="shared" si="258"/>
        <v>2.5</v>
      </c>
      <c r="AG2832" s="580">
        <f t="shared" si="259"/>
        <v>0</v>
      </c>
      <c r="AH2832" s="580">
        <f t="shared" si="260"/>
        <v>0</v>
      </c>
    </row>
    <row r="2833" spans="28:34">
      <c r="AB2833" s="580">
        <f>HLOOKUP("*"&amp;'Output annual'!$AC$2&amp;'Output annual'!$AD$2&amp;"*Zone People Number Of Occupants [](Hourly)",'Eplus results'!$1:$1048576,ROW(),FALSE)</f>
        <v>0</v>
      </c>
      <c r="AC2833" s="580">
        <f>HLOOKUP("*"&amp;'Output annual'!$AC$2&amp;'Output annual'!$AD$2&amp;"*FangerPMV(Hourly)",'Eplus results'!$1:$1048576,ROW(),FALSE)</f>
        <v>0</v>
      </c>
      <c r="AD2833" s="580">
        <f t="shared" si="256"/>
        <v>5</v>
      </c>
      <c r="AE2833" s="580">
        <f t="shared" si="257"/>
        <v>2.5</v>
      </c>
      <c r="AF2833" s="580">
        <f t="shared" si="258"/>
        <v>2.5</v>
      </c>
      <c r="AG2833" s="580">
        <f t="shared" si="259"/>
        <v>0</v>
      </c>
      <c r="AH2833" s="580">
        <f t="shared" si="260"/>
        <v>0</v>
      </c>
    </row>
    <row r="2834" spans="28:34">
      <c r="AB2834" s="580">
        <f>HLOOKUP("*"&amp;'Output annual'!$AC$2&amp;'Output annual'!$AD$2&amp;"*Zone People Number Of Occupants [](Hourly)",'Eplus results'!$1:$1048576,ROW(),FALSE)</f>
        <v>0</v>
      </c>
      <c r="AC2834" s="580">
        <f>HLOOKUP("*"&amp;'Output annual'!$AC$2&amp;'Output annual'!$AD$2&amp;"*FangerPMV(Hourly)",'Eplus results'!$1:$1048576,ROW(),FALSE)</f>
        <v>0</v>
      </c>
      <c r="AD2834" s="580">
        <f t="shared" si="256"/>
        <v>5</v>
      </c>
      <c r="AE2834" s="580">
        <f t="shared" si="257"/>
        <v>2.5</v>
      </c>
      <c r="AF2834" s="580">
        <f t="shared" si="258"/>
        <v>2.5</v>
      </c>
      <c r="AG2834" s="580">
        <f t="shared" si="259"/>
        <v>0</v>
      </c>
      <c r="AH2834" s="580">
        <f t="shared" si="260"/>
        <v>0</v>
      </c>
    </row>
    <row r="2835" spans="28:34">
      <c r="AB2835" s="580">
        <f>HLOOKUP("*"&amp;'Output annual'!$AC$2&amp;'Output annual'!$AD$2&amp;"*Zone People Number Of Occupants [](Hourly)",'Eplus results'!$1:$1048576,ROW(),FALSE)</f>
        <v>0</v>
      </c>
      <c r="AC2835" s="580">
        <f>HLOOKUP("*"&amp;'Output annual'!$AC$2&amp;'Output annual'!$AD$2&amp;"*FangerPMV(Hourly)",'Eplus results'!$1:$1048576,ROW(),FALSE)</f>
        <v>0</v>
      </c>
      <c r="AD2835" s="580">
        <f t="shared" si="256"/>
        <v>5</v>
      </c>
      <c r="AE2835" s="580">
        <f t="shared" si="257"/>
        <v>2.5</v>
      </c>
      <c r="AF2835" s="580">
        <f t="shared" si="258"/>
        <v>2.5</v>
      </c>
      <c r="AG2835" s="580">
        <f t="shared" si="259"/>
        <v>0</v>
      </c>
      <c r="AH2835" s="580">
        <f t="shared" si="260"/>
        <v>0</v>
      </c>
    </row>
    <row r="2836" spans="28:34">
      <c r="AB2836" s="580">
        <f>HLOOKUP("*"&amp;'Output annual'!$AC$2&amp;'Output annual'!$AD$2&amp;"*Zone People Number Of Occupants [](Hourly)",'Eplus results'!$1:$1048576,ROW(),FALSE)</f>
        <v>0</v>
      </c>
      <c r="AC2836" s="580">
        <f>HLOOKUP("*"&amp;'Output annual'!$AC$2&amp;'Output annual'!$AD$2&amp;"*FangerPMV(Hourly)",'Eplus results'!$1:$1048576,ROW(),FALSE)</f>
        <v>0</v>
      </c>
      <c r="AD2836" s="580">
        <f t="shared" si="256"/>
        <v>5</v>
      </c>
      <c r="AE2836" s="580">
        <f t="shared" si="257"/>
        <v>2.5</v>
      </c>
      <c r="AF2836" s="580">
        <f t="shared" si="258"/>
        <v>2.5</v>
      </c>
      <c r="AG2836" s="580">
        <f t="shared" si="259"/>
        <v>0</v>
      </c>
      <c r="AH2836" s="580">
        <f t="shared" si="260"/>
        <v>0</v>
      </c>
    </row>
    <row r="2837" spans="28:34">
      <c r="AB2837" s="580">
        <f>HLOOKUP("*"&amp;'Output annual'!$AC$2&amp;'Output annual'!$AD$2&amp;"*Zone People Number Of Occupants [](Hourly)",'Eplus results'!$1:$1048576,ROW(),FALSE)</f>
        <v>0</v>
      </c>
      <c r="AC2837" s="580">
        <f>HLOOKUP("*"&amp;'Output annual'!$AC$2&amp;'Output annual'!$AD$2&amp;"*FangerPMV(Hourly)",'Eplus results'!$1:$1048576,ROW(),FALSE)</f>
        <v>0</v>
      </c>
      <c r="AD2837" s="580">
        <f t="shared" si="256"/>
        <v>5</v>
      </c>
      <c r="AE2837" s="580">
        <f t="shared" si="257"/>
        <v>2.5</v>
      </c>
      <c r="AF2837" s="580">
        <f t="shared" si="258"/>
        <v>2.5</v>
      </c>
      <c r="AG2837" s="580">
        <f t="shared" si="259"/>
        <v>0</v>
      </c>
      <c r="AH2837" s="580">
        <f t="shared" si="260"/>
        <v>0</v>
      </c>
    </row>
    <row r="2838" spans="28:34">
      <c r="AB2838" s="580">
        <f>HLOOKUP("*"&amp;'Output annual'!$AC$2&amp;'Output annual'!$AD$2&amp;"*Zone People Number Of Occupants [](Hourly)",'Eplus results'!$1:$1048576,ROW(),FALSE)</f>
        <v>0</v>
      </c>
      <c r="AC2838" s="580">
        <f>HLOOKUP("*"&amp;'Output annual'!$AC$2&amp;'Output annual'!$AD$2&amp;"*FangerPMV(Hourly)",'Eplus results'!$1:$1048576,ROW(),FALSE)</f>
        <v>0</v>
      </c>
      <c r="AD2838" s="580">
        <f t="shared" si="256"/>
        <v>5</v>
      </c>
      <c r="AE2838" s="580">
        <f t="shared" si="257"/>
        <v>2.5</v>
      </c>
      <c r="AF2838" s="580">
        <f t="shared" si="258"/>
        <v>2.5</v>
      </c>
      <c r="AG2838" s="580">
        <f t="shared" si="259"/>
        <v>0</v>
      </c>
      <c r="AH2838" s="580">
        <f t="shared" si="260"/>
        <v>0</v>
      </c>
    </row>
    <row r="2839" spans="28:34">
      <c r="AB2839" s="580">
        <f>HLOOKUP("*"&amp;'Output annual'!$AC$2&amp;'Output annual'!$AD$2&amp;"*Zone People Number Of Occupants [](Hourly)",'Eplus results'!$1:$1048576,ROW(),FALSE)</f>
        <v>0</v>
      </c>
      <c r="AC2839" s="580">
        <f>HLOOKUP("*"&amp;'Output annual'!$AC$2&amp;'Output annual'!$AD$2&amp;"*FangerPMV(Hourly)",'Eplus results'!$1:$1048576,ROW(),FALSE)</f>
        <v>0</v>
      </c>
      <c r="AD2839" s="580">
        <f t="shared" si="256"/>
        <v>5</v>
      </c>
      <c r="AE2839" s="580">
        <f t="shared" si="257"/>
        <v>2.5</v>
      </c>
      <c r="AF2839" s="580">
        <f t="shared" si="258"/>
        <v>2.5</v>
      </c>
      <c r="AG2839" s="580">
        <f t="shared" si="259"/>
        <v>0</v>
      </c>
      <c r="AH2839" s="580">
        <f t="shared" si="260"/>
        <v>0</v>
      </c>
    </row>
    <row r="2840" spans="28:34">
      <c r="AB2840" s="580">
        <f>HLOOKUP("*"&amp;'Output annual'!$AC$2&amp;'Output annual'!$AD$2&amp;"*Zone People Number Of Occupants [](Hourly)",'Eplus results'!$1:$1048576,ROW(),FALSE)</f>
        <v>0</v>
      </c>
      <c r="AC2840" s="580">
        <f>HLOOKUP("*"&amp;'Output annual'!$AC$2&amp;'Output annual'!$AD$2&amp;"*FangerPMV(Hourly)",'Eplus results'!$1:$1048576,ROW(),FALSE)</f>
        <v>0</v>
      </c>
      <c r="AD2840" s="580">
        <f t="shared" si="256"/>
        <v>5</v>
      </c>
      <c r="AE2840" s="580">
        <f t="shared" si="257"/>
        <v>2.5</v>
      </c>
      <c r="AF2840" s="580">
        <f t="shared" si="258"/>
        <v>2.5</v>
      </c>
      <c r="AG2840" s="580">
        <f t="shared" si="259"/>
        <v>0</v>
      </c>
      <c r="AH2840" s="580">
        <f t="shared" si="260"/>
        <v>0</v>
      </c>
    </row>
    <row r="2841" spans="28:34">
      <c r="AB2841" s="580">
        <f>HLOOKUP("*"&amp;'Output annual'!$AC$2&amp;'Output annual'!$AD$2&amp;"*Zone People Number Of Occupants [](Hourly)",'Eplus results'!$1:$1048576,ROW(),FALSE)</f>
        <v>0</v>
      </c>
      <c r="AC2841" s="580">
        <f>HLOOKUP("*"&amp;'Output annual'!$AC$2&amp;'Output annual'!$AD$2&amp;"*FangerPMV(Hourly)",'Eplus results'!$1:$1048576,ROW(),FALSE)</f>
        <v>0</v>
      </c>
      <c r="AD2841" s="580">
        <f t="shared" si="256"/>
        <v>5</v>
      </c>
      <c r="AE2841" s="580">
        <f t="shared" si="257"/>
        <v>2.5</v>
      </c>
      <c r="AF2841" s="580">
        <f t="shared" si="258"/>
        <v>2.5</v>
      </c>
      <c r="AG2841" s="580">
        <f t="shared" si="259"/>
        <v>0</v>
      </c>
      <c r="AH2841" s="580">
        <f t="shared" si="260"/>
        <v>0</v>
      </c>
    </row>
    <row r="2842" spans="28:34">
      <c r="AB2842" s="580">
        <f>HLOOKUP("*"&amp;'Output annual'!$AC$2&amp;'Output annual'!$AD$2&amp;"*Zone People Number Of Occupants [](Hourly)",'Eplus results'!$1:$1048576,ROW(),FALSE)</f>
        <v>0</v>
      </c>
      <c r="AC2842" s="580">
        <f>HLOOKUP("*"&amp;'Output annual'!$AC$2&amp;'Output annual'!$AD$2&amp;"*FangerPMV(Hourly)",'Eplus results'!$1:$1048576,ROW(),FALSE)</f>
        <v>0</v>
      </c>
      <c r="AD2842" s="580">
        <f t="shared" si="256"/>
        <v>5</v>
      </c>
      <c r="AE2842" s="580">
        <f t="shared" si="257"/>
        <v>2.5</v>
      </c>
      <c r="AF2842" s="580">
        <f t="shared" si="258"/>
        <v>2.5</v>
      </c>
      <c r="AG2842" s="580">
        <f t="shared" si="259"/>
        <v>0</v>
      </c>
      <c r="AH2842" s="580">
        <f t="shared" si="260"/>
        <v>0</v>
      </c>
    </row>
    <row r="2843" spans="28:34">
      <c r="AB2843" s="580">
        <f>HLOOKUP("*"&amp;'Output annual'!$AC$2&amp;'Output annual'!$AD$2&amp;"*Zone People Number Of Occupants [](Hourly)",'Eplus results'!$1:$1048576,ROW(),FALSE)</f>
        <v>0</v>
      </c>
      <c r="AC2843" s="580">
        <f>HLOOKUP("*"&amp;'Output annual'!$AC$2&amp;'Output annual'!$AD$2&amp;"*FangerPMV(Hourly)",'Eplus results'!$1:$1048576,ROW(),FALSE)</f>
        <v>0</v>
      </c>
      <c r="AD2843" s="580">
        <f t="shared" si="256"/>
        <v>5</v>
      </c>
      <c r="AE2843" s="580">
        <f t="shared" si="257"/>
        <v>2.5</v>
      </c>
      <c r="AF2843" s="580">
        <f t="shared" si="258"/>
        <v>2.5</v>
      </c>
      <c r="AG2843" s="580">
        <f t="shared" si="259"/>
        <v>0</v>
      </c>
      <c r="AH2843" s="580">
        <f t="shared" si="260"/>
        <v>0</v>
      </c>
    </row>
    <row r="2844" spans="28:34">
      <c r="AB2844" s="580">
        <f>HLOOKUP("*"&amp;'Output annual'!$AC$2&amp;'Output annual'!$AD$2&amp;"*Zone People Number Of Occupants [](Hourly)",'Eplus results'!$1:$1048576,ROW(),FALSE)</f>
        <v>0</v>
      </c>
      <c r="AC2844" s="580">
        <f>HLOOKUP("*"&amp;'Output annual'!$AC$2&amp;'Output annual'!$AD$2&amp;"*FangerPMV(Hourly)",'Eplus results'!$1:$1048576,ROW(),FALSE)</f>
        <v>0</v>
      </c>
      <c r="AD2844" s="580">
        <f t="shared" si="256"/>
        <v>5</v>
      </c>
      <c r="AE2844" s="580">
        <f t="shared" si="257"/>
        <v>2.5</v>
      </c>
      <c r="AF2844" s="580">
        <f t="shared" si="258"/>
        <v>2.5</v>
      </c>
      <c r="AG2844" s="580">
        <f t="shared" si="259"/>
        <v>0</v>
      </c>
      <c r="AH2844" s="580">
        <f t="shared" si="260"/>
        <v>0</v>
      </c>
    </row>
    <row r="2845" spans="28:34">
      <c r="AB2845" s="580">
        <f>HLOOKUP("*"&amp;'Output annual'!$AC$2&amp;'Output annual'!$AD$2&amp;"*Zone People Number Of Occupants [](Hourly)",'Eplus results'!$1:$1048576,ROW(),FALSE)</f>
        <v>0</v>
      </c>
      <c r="AC2845" s="580">
        <f>HLOOKUP("*"&amp;'Output annual'!$AC$2&amp;'Output annual'!$AD$2&amp;"*FangerPMV(Hourly)",'Eplus results'!$1:$1048576,ROW(),FALSE)</f>
        <v>0</v>
      </c>
      <c r="AD2845" s="580">
        <f t="shared" si="256"/>
        <v>5</v>
      </c>
      <c r="AE2845" s="580">
        <f t="shared" si="257"/>
        <v>2.5</v>
      </c>
      <c r="AF2845" s="580">
        <f t="shared" si="258"/>
        <v>2.5</v>
      </c>
      <c r="AG2845" s="580">
        <f t="shared" si="259"/>
        <v>0</v>
      </c>
      <c r="AH2845" s="580">
        <f t="shared" si="260"/>
        <v>0</v>
      </c>
    </row>
    <row r="2846" spans="28:34">
      <c r="AB2846" s="580">
        <f>HLOOKUP("*"&amp;'Output annual'!$AC$2&amp;'Output annual'!$AD$2&amp;"*Zone People Number Of Occupants [](Hourly)",'Eplus results'!$1:$1048576,ROW(),FALSE)</f>
        <v>0</v>
      </c>
      <c r="AC2846" s="580">
        <f>HLOOKUP("*"&amp;'Output annual'!$AC$2&amp;'Output annual'!$AD$2&amp;"*FangerPMV(Hourly)",'Eplus results'!$1:$1048576,ROW(),FALSE)</f>
        <v>0</v>
      </c>
      <c r="AD2846" s="580">
        <f t="shared" si="256"/>
        <v>5</v>
      </c>
      <c r="AE2846" s="580">
        <f t="shared" si="257"/>
        <v>2.5</v>
      </c>
      <c r="AF2846" s="580">
        <f t="shared" si="258"/>
        <v>2.5</v>
      </c>
      <c r="AG2846" s="580">
        <f t="shared" si="259"/>
        <v>0</v>
      </c>
      <c r="AH2846" s="580">
        <f t="shared" si="260"/>
        <v>0</v>
      </c>
    </row>
    <row r="2847" spans="28:34">
      <c r="AB2847" s="580">
        <f>HLOOKUP("*"&amp;'Output annual'!$AC$2&amp;'Output annual'!$AD$2&amp;"*Zone People Number Of Occupants [](Hourly)",'Eplus results'!$1:$1048576,ROW(),FALSE)</f>
        <v>0</v>
      </c>
      <c r="AC2847" s="580">
        <f>HLOOKUP("*"&amp;'Output annual'!$AC$2&amp;'Output annual'!$AD$2&amp;"*FangerPMV(Hourly)",'Eplus results'!$1:$1048576,ROW(),FALSE)</f>
        <v>0</v>
      </c>
      <c r="AD2847" s="580">
        <f t="shared" si="256"/>
        <v>5</v>
      </c>
      <c r="AE2847" s="580">
        <f t="shared" si="257"/>
        <v>2.5</v>
      </c>
      <c r="AF2847" s="580">
        <f t="shared" si="258"/>
        <v>2.5</v>
      </c>
      <c r="AG2847" s="580">
        <f t="shared" si="259"/>
        <v>0</v>
      </c>
      <c r="AH2847" s="580">
        <f t="shared" si="260"/>
        <v>0</v>
      </c>
    </row>
    <row r="2848" spans="28:34">
      <c r="AB2848" s="580">
        <f>HLOOKUP("*"&amp;'Output annual'!$AC$2&amp;'Output annual'!$AD$2&amp;"*Zone People Number Of Occupants [](Hourly)",'Eplus results'!$1:$1048576,ROW(),FALSE)</f>
        <v>0</v>
      </c>
      <c r="AC2848" s="580">
        <f>HLOOKUP("*"&amp;'Output annual'!$AC$2&amp;'Output annual'!$AD$2&amp;"*FangerPMV(Hourly)",'Eplus results'!$1:$1048576,ROW(),FALSE)</f>
        <v>0</v>
      </c>
      <c r="AD2848" s="580">
        <f t="shared" si="256"/>
        <v>5</v>
      </c>
      <c r="AE2848" s="580">
        <f t="shared" si="257"/>
        <v>2.5</v>
      </c>
      <c r="AF2848" s="580">
        <f t="shared" si="258"/>
        <v>2.5</v>
      </c>
      <c r="AG2848" s="580">
        <f t="shared" si="259"/>
        <v>0</v>
      </c>
      <c r="AH2848" s="580">
        <f t="shared" si="260"/>
        <v>0</v>
      </c>
    </row>
    <row r="2849" spans="28:34">
      <c r="AB2849" s="580">
        <f>HLOOKUP("*"&amp;'Output annual'!$AC$2&amp;'Output annual'!$AD$2&amp;"*Zone People Number Of Occupants [](Hourly)",'Eplus results'!$1:$1048576,ROW(),FALSE)</f>
        <v>0</v>
      </c>
      <c r="AC2849" s="580">
        <f>HLOOKUP("*"&amp;'Output annual'!$AC$2&amp;'Output annual'!$AD$2&amp;"*FangerPMV(Hourly)",'Eplus results'!$1:$1048576,ROW(),FALSE)</f>
        <v>0</v>
      </c>
      <c r="AD2849" s="580">
        <f t="shared" si="256"/>
        <v>5</v>
      </c>
      <c r="AE2849" s="580">
        <f t="shared" si="257"/>
        <v>2.5</v>
      </c>
      <c r="AF2849" s="580">
        <f t="shared" si="258"/>
        <v>2.5</v>
      </c>
      <c r="AG2849" s="580">
        <f t="shared" si="259"/>
        <v>0</v>
      </c>
      <c r="AH2849" s="580">
        <f t="shared" si="260"/>
        <v>0</v>
      </c>
    </row>
    <row r="2850" spans="28:34">
      <c r="AB2850" s="580">
        <f>HLOOKUP("*"&amp;'Output annual'!$AC$2&amp;'Output annual'!$AD$2&amp;"*Zone People Number Of Occupants [](Hourly)",'Eplus results'!$1:$1048576,ROW(),FALSE)</f>
        <v>0</v>
      </c>
      <c r="AC2850" s="580">
        <f>HLOOKUP("*"&amp;'Output annual'!$AC$2&amp;'Output annual'!$AD$2&amp;"*FangerPMV(Hourly)",'Eplus results'!$1:$1048576,ROW(),FALSE)</f>
        <v>0</v>
      </c>
      <c r="AD2850" s="580">
        <f t="shared" si="256"/>
        <v>5</v>
      </c>
      <c r="AE2850" s="580">
        <f t="shared" si="257"/>
        <v>2.5</v>
      </c>
      <c r="AF2850" s="580">
        <f t="shared" si="258"/>
        <v>2.5</v>
      </c>
      <c r="AG2850" s="580">
        <f t="shared" si="259"/>
        <v>0</v>
      </c>
      <c r="AH2850" s="580">
        <f t="shared" si="260"/>
        <v>0</v>
      </c>
    </row>
    <row r="2851" spans="28:34">
      <c r="AB2851" s="580">
        <f>HLOOKUP("*"&amp;'Output annual'!$AC$2&amp;'Output annual'!$AD$2&amp;"*Zone People Number Of Occupants [](Hourly)",'Eplus results'!$1:$1048576,ROW(),FALSE)</f>
        <v>0</v>
      </c>
      <c r="AC2851" s="580">
        <f>HLOOKUP("*"&amp;'Output annual'!$AC$2&amp;'Output annual'!$AD$2&amp;"*FangerPMV(Hourly)",'Eplus results'!$1:$1048576,ROW(),FALSE)</f>
        <v>0</v>
      </c>
      <c r="AD2851" s="580">
        <f t="shared" si="256"/>
        <v>5</v>
      </c>
      <c r="AE2851" s="580">
        <f t="shared" si="257"/>
        <v>2.5</v>
      </c>
      <c r="AF2851" s="580">
        <f t="shared" si="258"/>
        <v>2.5</v>
      </c>
      <c r="AG2851" s="580">
        <f t="shared" si="259"/>
        <v>0</v>
      </c>
      <c r="AH2851" s="580">
        <f t="shared" si="260"/>
        <v>0</v>
      </c>
    </row>
    <row r="2852" spans="28:34">
      <c r="AB2852" s="580">
        <f>HLOOKUP("*"&amp;'Output annual'!$AC$2&amp;'Output annual'!$AD$2&amp;"*Zone People Number Of Occupants [](Hourly)",'Eplus results'!$1:$1048576,ROW(),FALSE)</f>
        <v>0</v>
      </c>
      <c r="AC2852" s="580">
        <f>HLOOKUP("*"&amp;'Output annual'!$AC$2&amp;'Output annual'!$AD$2&amp;"*FangerPMV(Hourly)",'Eplus results'!$1:$1048576,ROW(),FALSE)</f>
        <v>0</v>
      </c>
      <c r="AD2852" s="580">
        <f t="shared" si="256"/>
        <v>5</v>
      </c>
      <c r="AE2852" s="580">
        <f t="shared" si="257"/>
        <v>2.5</v>
      </c>
      <c r="AF2852" s="580">
        <f t="shared" si="258"/>
        <v>2.5</v>
      </c>
      <c r="AG2852" s="580">
        <f t="shared" si="259"/>
        <v>0</v>
      </c>
      <c r="AH2852" s="580">
        <f t="shared" si="260"/>
        <v>0</v>
      </c>
    </row>
    <row r="2853" spans="28:34">
      <c r="AB2853" s="580">
        <f>HLOOKUP("*"&amp;'Output annual'!$AC$2&amp;'Output annual'!$AD$2&amp;"*Zone People Number Of Occupants [](Hourly)",'Eplus results'!$1:$1048576,ROW(),FALSE)</f>
        <v>0</v>
      </c>
      <c r="AC2853" s="580">
        <f>HLOOKUP("*"&amp;'Output annual'!$AC$2&amp;'Output annual'!$AD$2&amp;"*FangerPMV(Hourly)",'Eplus results'!$1:$1048576,ROW(),FALSE)</f>
        <v>0</v>
      </c>
      <c r="AD2853" s="580">
        <f t="shared" si="256"/>
        <v>5</v>
      </c>
      <c r="AE2853" s="580">
        <f t="shared" si="257"/>
        <v>2.5</v>
      </c>
      <c r="AF2853" s="580">
        <f t="shared" si="258"/>
        <v>2.5</v>
      </c>
      <c r="AG2853" s="580">
        <f t="shared" si="259"/>
        <v>0</v>
      </c>
      <c r="AH2853" s="580">
        <f t="shared" si="260"/>
        <v>0</v>
      </c>
    </row>
    <row r="2854" spans="28:34">
      <c r="AB2854" s="580">
        <f>HLOOKUP("*"&amp;'Output annual'!$AC$2&amp;'Output annual'!$AD$2&amp;"*Zone People Number Of Occupants [](Hourly)",'Eplus results'!$1:$1048576,ROW(),FALSE)</f>
        <v>0</v>
      </c>
      <c r="AC2854" s="580">
        <f>HLOOKUP("*"&amp;'Output annual'!$AC$2&amp;'Output annual'!$AD$2&amp;"*FangerPMV(Hourly)",'Eplus results'!$1:$1048576,ROW(),FALSE)</f>
        <v>0</v>
      </c>
      <c r="AD2854" s="580">
        <f t="shared" si="256"/>
        <v>5</v>
      </c>
      <c r="AE2854" s="580">
        <f t="shared" si="257"/>
        <v>2.5</v>
      </c>
      <c r="AF2854" s="580">
        <f t="shared" si="258"/>
        <v>2.5</v>
      </c>
      <c r="AG2854" s="580">
        <f t="shared" si="259"/>
        <v>0</v>
      </c>
      <c r="AH2854" s="580">
        <f t="shared" si="260"/>
        <v>0</v>
      </c>
    </row>
    <row r="2855" spans="28:34">
      <c r="AB2855" s="580">
        <f>HLOOKUP("*"&amp;'Output annual'!$AC$2&amp;'Output annual'!$AD$2&amp;"*Zone People Number Of Occupants [](Hourly)",'Eplus results'!$1:$1048576,ROW(),FALSE)</f>
        <v>0</v>
      </c>
      <c r="AC2855" s="580">
        <f>HLOOKUP("*"&amp;'Output annual'!$AC$2&amp;'Output annual'!$AD$2&amp;"*FangerPMV(Hourly)",'Eplus results'!$1:$1048576,ROW(),FALSE)</f>
        <v>0</v>
      </c>
      <c r="AD2855" s="580">
        <f t="shared" si="256"/>
        <v>5</v>
      </c>
      <c r="AE2855" s="580">
        <f t="shared" si="257"/>
        <v>2.5</v>
      </c>
      <c r="AF2855" s="580">
        <f t="shared" si="258"/>
        <v>2.5</v>
      </c>
      <c r="AG2855" s="580">
        <f t="shared" si="259"/>
        <v>0</v>
      </c>
      <c r="AH2855" s="580">
        <f t="shared" si="260"/>
        <v>0</v>
      </c>
    </row>
    <row r="2856" spans="28:34">
      <c r="AB2856" s="580">
        <f>HLOOKUP("*"&amp;'Output annual'!$AC$2&amp;'Output annual'!$AD$2&amp;"*Zone People Number Of Occupants [](Hourly)",'Eplus results'!$1:$1048576,ROW(),FALSE)</f>
        <v>0</v>
      </c>
      <c r="AC2856" s="580">
        <f>HLOOKUP("*"&amp;'Output annual'!$AC$2&amp;'Output annual'!$AD$2&amp;"*FangerPMV(Hourly)",'Eplus results'!$1:$1048576,ROW(),FALSE)</f>
        <v>0</v>
      </c>
      <c r="AD2856" s="580">
        <f t="shared" si="256"/>
        <v>5</v>
      </c>
      <c r="AE2856" s="580">
        <f t="shared" si="257"/>
        <v>2.5</v>
      </c>
      <c r="AF2856" s="580">
        <f t="shared" si="258"/>
        <v>2.5</v>
      </c>
      <c r="AG2856" s="580">
        <f t="shared" si="259"/>
        <v>0</v>
      </c>
      <c r="AH2856" s="580">
        <f t="shared" si="260"/>
        <v>0</v>
      </c>
    </row>
    <row r="2857" spans="28:34">
      <c r="AB2857" s="580">
        <f>HLOOKUP("*"&amp;'Output annual'!$AC$2&amp;'Output annual'!$AD$2&amp;"*Zone People Number Of Occupants [](Hourly)",'Eplus results'!$1:$1048576,ROW(),FALSE)</f>
        <v>0</v>
      </c>
      <c r="AC2857" s="580">
        <f>HLOOKUP("*"&amp;'Output annual'!$AC$2&amp;'Output annual'!$AD$2&amp;"*FangerPMV(Hourly)",'Eplus results'!$1:$1048576,ROW(),FALSE)</f>
        <v>0</v>
      </c>
      <c r="AD2857" s="580">
        <f t="shared" si="256"/>
        <v>5</v>
      </c>
      <c r="AE2857" s="580">
        <f t="shared" si="257"/>
        <v>2.5</v>
      </c>
      <c r="AF2857" s="580">
        <f t="shared" si="258"/>
        <v>2.5</v>
      </c>
      <c r="AG2857" s="580">
        <f t="shared" si="259"/>
        <v>0</v>
      </c>
      <c r="AH2857" s="580">
        <f t="shared" si="260"/>
        <v>0</v>
      </c>
    </row>
    <row r="2858" spans="28:34">
      <c r="AB2858" s="580">
        <f>HLOOKUP("*"&amp;'Output annual'!$AC$2&amp;'Output annual'!$AD$2&amp;"*Zone People Number Of Occupants [](Hourly)",'Eplus results'!$1:$1048576,ROW(),FALSE)</f>
        <v>0</v>
      </c>
      <c r="AC2858" s="580">
        <f>HLOOKUP("*"&amp;'Output annual'!$AC$2&amp;'Output annual'!$AD$2&amp;"*FangerPMV(Hourly)",'Eplus results'!$1:$1048576,ROW(),FALSE)</f>
        <v>0</v>
      </c>
      <c r="AD2858" s="580">
        <f t="shared" si="256"/>
        <v>5</v>
      </c>
      <c r="AE2858" s="580">
        <f t="shared" si="257"/>
        <v>2.5</v>
      </c>
      <c r="AF2858" s="580">
        <f t="shared" si="258"/>
        <v>2.5</v>
      </c>
      <c r="AG2858" s="580">
        <f t="shared" si="259"/>
        <v>0</v>
      </c>
      <c r="AH2858" s="580">
        <f t="shared" si="260"/>
        <v>0</v>
      </c>
    </row>
    <row r="2859" spans="28:34">
      <c r="AB2859" s="580">
        <f>HLOOKUP("*"&amp;'Output annual'!$AC$2&amp;'Output annual'!$AD$2&amp;"*Zone People Number Of Occupants [](Hourly)",'Eplus results'!$1:$1048576,ROW(),FALSE)</f>
        <v>0</v>
      </c>
      <c r="AC2859" s="580">
        <f>HLOOKUP("*"&amp;'Output annual'!$AC$2&amp;'Output annual'!$AD$2&amp;"*FangerPMV(Hourly)",'Eplus results'!$1:$1048576,ROW(),FALSE)</f>
        <v>0</v>
      </c>
      <c r="AD2859" s="580">
        <f t="shared" si="256"/>
        <v>5</v>
      </c>
      <c r="AE2859" s="580">
        <f t="shared" si="257"/>
        <v>2.5</v>
      </c>
      <c r="AF2859" s="580">
        <f t="shared" si="258"/>
        <v>2.5</v>
      </c>
      <c r="AG2859" s="580">
        <f t="shared" si="259"/>
        <v>0</v>
      </c>
      <c r="AH2859" s="580">
        <f t="shared" si="260"/>
        <v>0</v>
      </c>
    </row>
    <row r="2860" spans="28:34">
      <c r="AB2860" s="580">
        <f>HLOOKUP("*"&amp;'Output annual'!$AC$2&amp;'Output annual'!$AD$2&amp;"*Zone People Number Of Occupants [](Hourly)",'Eplus results'!$1:$1048576,ROW(),FALSE)</f>
        <v>0</v>
      </c>
      <c r="AC2860" s="580">
        <f>HLOOKUP("*"&amp;'Output annual'!$AC$2&amp;'Output annual'!$AD$2&amp;"*FangerPMV(Hourly)",'Eplus results'!$1:$1048576,ROW(),FALSE)</f>
        <v>0</v>
      </c>
      <c r="AD2860" s="580">
        <f t="shared" si="256"/>
        <v>5</v>
      </c>
      <c r="AE2860" s="580">
        <f t="shared" si="257"/>
        <v>2.5</v>
      </c>
      <c r="AF2860" s="580">
        <f t="shared" si="258"/>
        <v>2.5</v>
      </c>
      <c r="AG2860" s="580">
        <f t="shared" si="259"/>
        <v>0</v>
      </c>
      <c r="AH2860" s="580">
        <f t="shared" si="260"/>
        <v>0</v>
      </c>
    </row>
    <row r="2861" spans="28:34">
      <c r="AB2861" s="580">
        <f>HLOOKUP("*"&amp;'Output annual'!$AC$2&amp;'Output annual'!$AD$2&amp;"*Zone People Number Of Occupants [](Hourly)",'Eplus results'!$1:$1048576,ROW(),FALSE)</f>
        <v>0</v>
      </c>
      <c r="AC2861" s="580">
        <f>HLOOKUP("*"&amp;'Output annual'!$AC$2&amp;'Output annual'!$AD$2&amp;"*FangerPMV(Hourly)",'Eplus results'!$1:$1048576,ROW(),FALSE)</f>
        <v>0</v>
      </c>
      <c r="AD2861" s="580">
        <f t="shared" si="256"/>
        <v>5</v>
      </c>
      <c r="AE2861" s="580">
        <f t="shared" si="257"/>
        <v>2.5</v>
      </c>
      <c r="AF2861" s="580">
        <f t="shared" si="258"/>
        <v>2.5</v>
      </c>
      <c r="AG2861" s="580">
        <f t="shared" si="259"/>
        <v>0</v>
      </c>
      <c r="AH2861" s="580">
        <f t="shared" si="260"/>
        <v>0</v>
      </c>
    </row>
    <row r="2862" spans="28:34">
      <c r="AB2862" s="580">
        <f>HLOOKUP("*"&amp;'Output annual'!$AC$2&amp;'Output annual'!$AD$2&amp;"*Zone People Number Of Occupants [](Hourly)",'Eplus results'!$1:$1048576,ROW(),FALSE)</f>
        <v>0</v>
      </c>
      <c r="AC2862" s="580">
        <f>HLOOKUP("*"&amp;'Output annual'!$AC$2&amp;'Output annual'!$AD$2&amp;"*FangerPMV(Hourly)",'Eplus results'!$1:$1048576,ROW(),FALSE)</f>
        <v>0</v>
      </c>
      <c r="AD2862" s="580">
        <f t="shared" si="256"/>
        <v>5</v>
      </c>
      <c r="AE2862" s="580">
        <f t="shared" si="257"/>
        <v>2.5</v>
      </c>
      <c r="AF2862" s="580">
        <f t="shared" si="258"/>
        <v>2.5</v>
      </c>
      <c r="AG2862" s="580">
        <f t="shared" si="259"/>
        <v>0</v>
      </c>
      <c r="AH2862" s="580">
        <f t="shared" si="260"/>
        <v>0</v>
      </c>
    </row>
    <row r="2863" spans="28:34">
      <c r="AB2863" s="580">
        <f>HLOOKUP("*"&amp;'Output annual'!$AC$2&amp;'Output annual'!$AD$2&amp;"*Zone People Number Of Occupants [](Hourly)",'Eplus results'!$1:$1048576,ROW(),FALSE)</f>
        <v>0</v>
      </c>
      <c r="AC2863" s="580">
        <f>HLOOKUP("*"&amp;'Output annual'!$AC$2&amp;'Output annual'!$AD$2&amp;"*FangerPMV(Hourly)",'Eplus results'!$1:$1048576,ROW(),FALSE)</f>
        <v>0</v>
      </c>
      <c r="AD2863" s="580">
        <f t="shared" si="256"/>
        <v>5</v>
      </c>
      <c r="AE2863" s="580">
        <f t="shared" si="257"/>
        <v>2.5</v>
      </c>
      <c r="AF2863" s="580">
        <f t="shared" si="258"/>
        <v>2.5</v>
      </c>
      <c r="AG2863" s="580">
        <f t="shared" si="259"/>
        <v>0</v>
      </c>
      <c r="AH2863" s="580">
        <f t="shared" si="260"/>
        <v>0</v>
      </c>
    </row>
    <row r="2864" spans="28:34">
      <c r="AB2864" s="580">
        <f>HLOOKUP("*"&amp;'Output annual'!$AC$2&amp;'Output annual'!$AD$2&amp;"*Zone People Number Of Occupants [](Hourly)",'Eplus results'!$1:$1048576,ROW(),FALSE)</f>
        <v>0</v>
      </c>
      <c r="AC2864" s="580">
        <f>HLOOKUP("*"&amp;'Output annual'!$AC$2&amp;'Output annual'!$AD$2&amp;"*FangerPMV(Hourly)",'Eplus results'!$1:$1048576,ROW(),FALSE)</f>
        <v>0</v>
      </c>
      <c r="AD2864" s="580">
        <f t="shared" si="256"/>
        <v>5</v>
      </c>
      <c r="AE2864" s="580">
        <f t="shared" si="257"/>
        <v>2.5</v>
      </c>
      <c r="AF2864" s="580">
        <f t="shared" si="258"/>
        <v>2.5</v>
      </c>
      <c r="AG2864" s="580">
        <f t="shared" si="259"/>
        <v>0</v>
      </c>
      <c r="AH2864" s="580">
        <f t="shared" si="260"/>
        <v>0</v>
      </c>
    </row>
    <row r="2865" spans="28:34">
      <c r="AB2865" s="580">
        <f>HLOOKUP("*"&amp;'Output annual'!$AC$2&amp;'Output annual'!$AD$2&amp;"*Zone People Number Of Occupants [](Hourly)",'Eplus results'!$1:$1048576,ROW(),FALSE)</f>
        <v>0</v>
      </c>
      <c r="AC2865" s="580">
        <f>HLOOKUP("*"&amp;'Output annual'!$AC$2&amp;'Output annual'!$AD$2&amp;"*FangerPMV(Hourly)",'Eplus results'!$1:$1048576,ROW(),FALSE)</f>
        <v>0</v>
      </c>
      <c r="AD2865" s="580">
        <f t="shared" si="256"/>
        <v>5</v>
      </c>
      <c r="AE2865" s="580">
        <f t="shared" si="257"/>
        <v>2.5</v>
      </c>
      <c r="AF2865" s="580">
        <f t="shared" si="258"/>
        <v>2.5</v>
      </c>
      <c r="AG2865" s="580">
        <f t="shared" si="259"/>
        <v>0</v>
      </c>
      <c r="AH2865" s="580">
        <f t="shared" si="260"/>
        <v>0</v>
      </c>
    </row>
    <row r="2866" spans="28:34">
      <c r="AB2866" s="580">
        <f>HLOOKUP("*"&amp;'Output annual'!$AC$2&amp;'Output annual'!$AD$2&amp;"*Zone People Number Of Occupants [](Hourly)",'Eplus results'!$1:$1048576,ROW(),FALSE)</f>
        <v>0</v>
      </c>
      <c r="AC2866" s="580">
        <f>HLOOKUP("*"&amp;'Output annual'!$AC$2&amp;'Output annual'!$AD$2&amp;"*FangerPMV(Hourly)",'Eplus results'!$1:$1048576,ROW(),FALSE)</f>
        <v>0</v>
      </c>
      <c r="AD2866" s="580">
        <f t="shared" si="256"/>
        <v>5</v>
      </c>
      <c r="AE2866" s="580">
        <f t="shared" si="257"/>
        <v>2.5</v>
      </c>
      <c r="AF2866" s="580">
        <f t="shared" si="258"/>
        <v>2.5</v>
      </c>
      <c r="AG2866" s="580">
        <f t="shared" si="259"/>
        <v>0</v>
      </c>
      <c r="AH2866" s="580">
        <f t="shared" si="260"/>
        <v>0</v>
      </c>
    </row>
    <row r="2867" spans="28:34">
      <c r="AB2867" s="580">
        <f>HLOOKUP("*"&amp;'Output annual'!$AC$2&amp;'Output annual'!$AD$2&amp;"*Zone People Number Of Occupants [](Hourly)",'Eplus results'!$1:$1048576,ROW(),FALSE)</f>
        <v>0</v>
      </c>
      <c r="AC2867" s="580">
        <f>HLOOKUP("*"&amp;'Output annual'!$AC$2&amp;'Output annual'!$AD$2&amp;"*FangerPMV(Hourly)",'Eplus results'!$1:$1048576,ROW(),FALSE)</f>
        <v>0</v>
      </c>
      <c r="AD2867" s="580">
        <f t="shared" si="256"/>
        <v>5</v>
      </c>
      <c r="AE2867" s="580">
        <f t="shared" si="257"/>
        <v>2.5</v>
      </c>
      <c r="AF2867" s="580">
        <f t="shared" si="258"/>
        <v>2.5</v>
      </c>
      <c r="AG2867" s="580">
        <f t="shared" si="259"/>
        <v>0</v>
      </c>
      <c r="AH2867" s="580">
        <f t="shared" si="260"/>
        <v>0</v>
      </c>
    </row>
    <row r="2868" spans="28:34">
      <c r="AB2868" s="580">
        <f>HLOOKUP("*"&amp;'Output annual'!$AC$2&amp;'Output annual'!$AD$2&amp;"*Zone People Number Of Occupants [](Hourly)",'Eplus results'!$1:$1048576,ROW(),FALSE)</f>
        <v>0</v>
      </c>
      <c r="AC2868" s="580">
        <f>HLOOKUP("*"&amp;'Output annual'!$AC$2&amp;'Output annual'!$AD$2&amp;"*FangerPMV(Hourly)",'Eplus results'!$1:$1048576,ROW(),FALSE)</f>
        <v>0</v>
      </c>
      <c r="AD2868" s="580">
        <f t="shared" si="256"/>
        <v>5</v>
      </c>
      <c r="AE2868" s="580">
        <f t="shared" si="257"/>
        <v>2.5</v>
      </c>
      <c r="AF2868" s="580">
        <f t="shared" si="258"/>
        <v>2.5</v>
      </c>
      <c r="AG2868" s="580">
        <f t="shared" si="259"/>
        <v>0</v>
      </c>
      <c r="AH2868" s="580">
        <f t="shared" si="260"/>
        <v>0</v>
      </c>
    </row>
    <row r="2869" spans="28:34">
      <c r="AB2869" s="580">
        <f>HLOOKUP("*"&amp;'Output annual'!$AC$2&amp;'Output annual'!$AD$2&amp;"*Zone People Number Of Occupants [](Hourly)",'Eplus results'!$1:$1048576,ROW(),FALSE)</f>
        <v>0</v>
      </c>
      <c r="AC2869" s="580">
        <f>HLOOKUP("*"&amp;'Output annual'!$AC$2&amp;'Output annual'!$AD$2&amp;"*FangerPMV(Hourly)",'Eplus results'!$1:$1048576,ROW(),FALSE)</f>
        <v>0</v>
      </c>
      <c r="AD2869" s="580">
        <f t="shared" si="256"/>
        <v>5</v>
      </c>
      <c r="AE2869" s="580">
        <f t="shared" si="257"/>
        <v>2.5</v>
      </c>
      <c r="AF2869" s="580">
        <f t="shared" si="258"/>
        <v>2.5</v>
      </c>
      <c r="AG2869" s="580">
        <f t="shared" si="259"/>
        <v>0</v>
      </c>
      <c r="AH2869" s="580">
        <f t="shared" si="260"/>
        <v>0</v>
      </c>
    </row>
    <row r="2870" spans="28:34">
      <c r="AB2870" s="580">
        <f>HLOOKUP("*"&amp;'Output annual'!$AC$2&amp;'Output annual'!$AD$2&amp;"*Zone People Number Of Occupants [](Hourly)",'Eplus results'!$1:$1048576,ROW(),FALSE)</f>
        <v>0</v>
      </c>
      <c r="AC2870" s="580">
        <f>HLOOKUP("*"&amp;'Output annual'!$AC$2&amp;'Output annual'!$AD$2&amp;"*FangerPMV(Hourly)",'Eplus results'!$1:$1048576,ROW(),FALSE)</f>
        <v>0</v>
      </c>
      <c r="AD2870" s="580">
        <f t="shared" si="256"/>
        <v>5</v>
      </c>
      <c r="AE2870" s="580">
        <f t="shared" si="257"/>
        <v>2.5</v>
      </c>
      <c r="AF2870" s="580">
        <f t="shared" si="258"/>
        <v>2.5</v>
      </c>
      <c r="AG2870" s="580">
        <f t="shared" si="259"/>
        <v>0</v>
      </c>
      <c r="AH2870" s="580">
        <f t="shared" si="260"/>
        <v>0</v>
      </c>
    </row>
    <row r="2871" spans="28:34">
      <c r="AB2871" s="580">
        <f>HLOOKUP("*"&amp;'Output annual'!$AC$2&amp;'Output annual'!$AD$2&amp;"*Zone People Number Of Occupants [](Hourly)",'Eplus results'!$1:$1048576,ROW(),FALSE)</f>
        <v>0</v>
      </c>
      <c r="AC2871" s="580">
        <f>HLOOKUP("*"&amp;'Output annual'!$AC$2&amp;'Output annual'!$AD$2&amp;"*FangerPMV(Hourly)",'Eplus results'!$1:$1048576,ROW(),FALSE)</f>
        <v>0</v>
      </c>
      <c r="AD2871" s="580">
        <f t="shared" si="256"/>
        <v>5</v>
      </c>
      <c r="AE2871" s="580">
        <f t="shared" si="257"/>
        <v>2.5</v>
      </c>
      <c r="AF2871" s="580">
        <f t="shared" si="258"/>
        <v>2.5</v>
      </c>
      <c r="AG2871" s="580">
        <f t="shared" si="259"/>
        <v>0</v>
      </c>
      <c r="AH2871" s="580">
        <f t="shared" si="260"/>
        <v>0</v>
      </c>
    </row>
    <row r="2872" spans="28:34">
      <c r="AB2872" s="580">
        <f>HLOOKUP("*"&amp;'Output annual'!$AC$2&amp;'Output annual'!$AD$2&amp;"*Zone People Number Of Occupants [](Hourly)",'Eplus results'!$1:$1048576,ROW(),FALSE)</f>
        <v>0</v>
      </c>
      <c r="AC2872" s="580">
        <f>HLOOKUP("*"&amp;'Output annual'!$AC$2&amp;'Output annual'!$AD$2&amp;"*FangerPMV(Hourly)",'Eplus results'!$1:$1048576,ROW(),FALSE)</f>
        <v>0</v>
      </c>
      <c r="AD2872" s="580">
        <f t="shared" si="256"/>
        <v>5</v>
      </c>
      <c r="AE2872" s="580">
        <f t="shared" si="257"/>
        <v>2.5</v>
      </c>
      <c r="AF2872" s="580">
        <f t="shared" si="258"/>
        <v>2.5</v>
      </c>
      <c r="AG2872" s="580">
        <f t="shared" si="259"/>
        <v>0</v>
      </c>
      <c r="AH2872" s="580">
        <f t="shared" si="260"/>
        <v>0</v>
      </c>
    </row>
    <row r="2873" spans="28:34">
      <c r="AB2873" s="580">
        <f>HLOOKUP("*"&amp;'Output annual'!$AC$2&amp;'Output annual'!$AD$2&amp;"*Zone People Number Of Occupants [](Hourly)",'Eplus results'!$1:$1048576,ROW(),FALSE)</f>
        <v>0</v>
      </c>
      <c r="AC2873" s="580">
        <f>HLOOKUP("*"&amp;'Output annual'!$AC$2&amp;'Output annual'!$AD$2&amp;"*FangerPMV(Hourly)",'Eplus results'!$1:$1048576,ROW(),FALSE)</f>
        <v>0</v>
      </c>
      <c r="AD2873" s="580">
        <f t="shared" si="256"/>
        <v>5</v>
      </c>
      <c r="AE2873" s="580">
        <f t="shared" si="257"/>
        <v>2.5</v>
      </c>
      <c r="AF2873" s="580">
        <f t="shared" si="258"/>
        <v>2.5</v>
      </c>
      <c r="AG2873" s="580">
        <f t="shared" si="259"/>
        <v>0</v>
      </c>
      <c r="AH2873" s="580">
        <f t="shared" si="260"/>
        <v>0</v>
      </c>
    </row>
    <row r="2874" spans="28:34">
      <c r="AB2874" s="580">
        <f>HLOOKUP("*"&amp;'Output annual'!$AC$2&amp;'Output annual'!$AD$2&amp;"*Zone People Number Of Occupants [](Hourly)",'Eplus results'!$1:$1048576,ROW(),FALSE)</f>
        <v>0</v>
      </c>
      <c r="AC2874" s="580">
        <f>HLOOKUP("*"&amp;'Output annual'!$AC$2&amp;'Output annual'!$AD$2&amp;"*FangerPMV(Hourly)",'Eplus results'!$1:$1048576,ROW(),FALSE)</f>
        <v>0</v>
      </c>
      <c r="AD2874" s="580">
        <f t="shared" si="256"/>
        <v>5</v>
      </c>
      <c r="AE2874" s="580">
        <f t="shared" si="257"/>
        <v>2.5</v>
      </c>
      <c r="AF2874" s="580">
        <f t="shared" si="258"/>
        <v>2.5</v>
      </c>
      <c r="AG2874" s="580">
        <f t="shared" si="259"/>
        <v>0</v>
      </c>
      <c r="AH2874" s="580">
        <f t="shared" si="260"/>
        <v>0</v>
      </c>
    </row>
    <row r="2875" spans="28:34">
      <c r="AB2875" s="580">
        <f>HLOOKUP("*"&amp;'Output annual'!$AC$2&amp;'Output annual'!$AD$2&amp;"*Zone People Number Of Occupants [](Hourly)",'Eplus results'!$1:$1048576,ROW(),FALSE)</f>
        <v>0</v>
      </c>
      <c r="AC2875" s="580">
        <f>HLOOKUP("*"&amp;'Output annual'!$AC$2&amp;'Output annual'!$AD$2&amp;"*FangerPMV(Hourly)",'Eplus results'!$1:$1048576,ROW(),FALSE)</f>
        <v>0</v>
      </c>
      <c r="AD2875" s="580">
        <f t="shared" si="256"/>
        <v>5</v>
      </c>
      <c r="AE2875" s="580">
        <f t="shared" si="257"/>
        <v>2.5</v>
      </c>
      <c r="AF2875" s="580">
        <f t="shared" si="258"/>
        <v>2.5</v>
      </c>
      <c r="AG2875" s="580">
        <f t="shared" si="259"/>
        <v>0</v>
      </c>
      <c r="AH2875" s="580">
        <f t="shared" si="260"/>
        <v>0</v>
      </c>
    </row>
    <row r="2876" spans="28:34">
      <c r="AB2876" s="580">
        <f>HLOOKUP("*"&amp;'Output annual'!$AC$2&amp;'Output annual'!$AD$2&amp;"*Zone People Number Of Occupants [](Hourly)",'Eplus results'!$1:$1048576,ROW(),FALSE)</f>
        <v>0</v>
      </c>
      <c r="AC2876" s="580">
        <f>HLOOKUP("*"&amp;'Output annual'!$AC$2&amp;'Output annual'!$AD$2&amp;"*FangerPMV(Hourly)",'Eplus results'!$1:$1048576,ROW(),FALSE)</f>
        <v>0</v>
      </c>
      <c r="AD2876" s="580">
        <f t="shared" si="256"/>
        <v>5</v>
      </c>
      <c r="AE2876" s="580">
        <f t="shared" si="257"/>
        <v>2.5</v>
      </c>
      <c r="AF2876" s="580">
        <f t="shared" si="258"/>
        <v>2.5</v>
      </c>
      <c r="AG2876" s="580">
        <f t="shared" si="259"/>
        <v>0</v>
      </c>
      <c r="AH2876" s="580">
        <f t="shared" si="260"/>
        <v>0</v>
      </c>
    </row>
    <row r="2877" spans="28:34">
      <c r="AB2877" s="580">
        <f>HLOOKUP("*"&amp;'Output annual'!$AC$2&amp;'Output annual'!$AD$2&amp;"*Zone People Number Of Occupants [](Hourly)",'Eplus results'!$1:$1048576,ROW(),FALSE)</f>
        <v>0</v>
      </c>
      <c r="AC2877" s="580">
        <f>HLOOKUP("*"&amp;'Output annual'!$AC$2&amp;'Output annual'!$AD$2&amp;"*FangerPMV(Hourly)",'Eplus results'!$1:$1048576,ROW(),FALSE)</f>
        <v>0</v>
      </c>
      <c r="AD2877" s="580">
        <f t="shared" si="256"/>
        <v>5</v>
      </c>
      <c r="AE2877" s="580">
        <f t="shared" si="257"/>
        <v>2.5</v>
      </c>
      <c r="AF2877" s="580">
        <f t="shared" si="258"/>
        <v>2.5</v>
      </c>
      <c r="AG2877" s="580">
        <f t="shared" si="259"/>
        <v>0</v>
      </c>
      <c r="AH2877" s="580">
        <f t="shared" si="260"/>
        <v>0</v>
      </c>
    </row>
    <row r="2878" spans="28:34">
      <c r="AB2878" s="580">
        <f>HLOOKUP("*"&amp;'Output annual'!$AC$2&amp;'Output annual'!$AD$2&amp;"*Zone People Number Of Occupants [](Hourly)",'Eplus results'!$1:$1048576,ROW(),FALSE)</f>
        <v>0</v>
      </c>
      <c r="AC2878" s="580">
        <f>HLOOKUP("*"&amp;'Output annual'!$AC$2&amp;'Output annual'!$AD$2&amp;"*FangerPMV(Hourly)",'Eplus results'!$1:$1048576,ROW(),FALSE)</f>
        <v>0</v>
      </c>
      <c r="AD2878" s="580">
        <f t="shared" si="256"/>
        <v>5</v>
      </c>
      <c r="AE2878" s="580">
        <f t="shared" si="257"/>
        <v>2.5</v>
      </c>
      <c r="AF2878" s="580">
        <f t="shared" si="258"/>
        <v>2.5</v>
      </c>
      <c r="AG2878" s="580">
        <f t="shared" si="259"/>
        <v>0</v>
      </c>
      <c r="AH2878" s="580">
        <f t="shared" si="260"/>
        <v>0</v>
      </c>
    </row>
    <row r="2879" spans="28:34">
      <c r="AB2879" s="580">
        <f>HLOOKUP("*"&amp;'Output annual'!$AC$2&amp;'Output annual'!$AD$2&amp;"*Zone People Number Of Occupants [](Hourly)",'Eplus results'!$1:$1048576,ROW(),FALSE)</f>
        <v>0</v>
      </c>
      <c r="AC2879" s="580">
        <f>HLOOKUP("*"&amp;'Output annual'!$AC$2&amp;'Output annual'!$AD$2&amp;"*FangerPMV(Hourly)",'Eplus results'!$1:$1048576,ROW(),FALSE)</f>
        <v>0</v>
      </c>
      <c r="AD2879" s="580">
        <f t="shared" si="256"/>
        <v>5</v>
      </c>
      <c r="AE2879" s="580">
        <f t="shared" si="257"/>
        <v>2.5</v>
      </c>
      <c r="AF2879" s="580">
        <f t="shared" si="258"/>
        <v>2.5</v>
      </c>
      <c r="AG2879" s="580">
        <f t="shared" si="259"/>
        <v>0</v>
      </c>
      <c r="AH2879" s="580">
        <f t="shared" si="260"/>
        <v>0</v>
      </c>
    </row>
    <row r="2880" spans="28:34">
      <c r="AB2880" s="580">
        <f>HLOOKUP("*"&amp;'Output annual'!$AC$2&amp;'Output annual'!$AD$2&amp;"*Zone People Number Of Occupants [](Hourly)",'Eplus results'!$1:$1048576,ROW(),FALSE)</f>
        <v>0</v>
      </c>
      <c r="AC2880" s="580">
        <f>HLOOKUP("*"&amp;'Output annual'!$AC$2&amp;'Output annual'!$AD$2&amp;"*FangerPMV(Hourly)",'Eplus results'!$1:$1048576,ROW(),FALSE)</f>
        <v>0</v>
      </c>
      <c r="AD2880" s="580">
        <f t="shared" si="256"/>
        <v>5</v>
      </c>
      <c r="AE2880" s="580">
        <f t="shared" si="257"/>
        <v>2.5</v>
      </c>
      <c r="AF2880" s="580">
        <f t="shared" si="258"/>
        <v>2.5</v>
      </c>
      <c r="AG2880" s="580">
        <f t="shared" si="259"/>
        <v>0</v>
      </c>
      <c r="AH2880" s="580">
        <f t="shared" si="260"/>
        <v>0</v>
      </c>
    </row>
    <row r="2881" spans="28:34">
      <c r="AB2881" s="580">
        <f>HLOOKUP("*"&amp;'Output annual'!$AC$2&amp;'Output annual'!$AD$2&amp;"*Zone People Number Of Occupants [](Hourly)",'Eplus results'!$1:$1048576,ROW(),FALSE)</f>
        <v>0</v>
      </c>
      <c r="AC2881" s="580">
        <f>HLOOKUP("*"&amp;'Output annual'!$AC$2&amp;'Output annual'!$AD$2&amp;"*FangerPMV(Hourly)",'Eplus results'!$1:$1048576,ROW(),FALSE)</f>
        <v>0</v>
      </c>
      <c r="AD2881" s="580">
        <f t="shared" si="256"/>
        <v>5</v>
      </c>
      <c r="AE2881" s="580">
        <f t="shared" si="257"/>
        <v>2.5</v>
      </c>
      <c r="AF2881" s="580">
        <f t="shared" si="258"/>
        <v>2.5</v>
      </c>
      <c r="AG2881" s="580">
        <f t="shared" si="259"/>
        <v>0</v>
      </c>
      <c r="AH2881" s="580">
        <f t="shared" si="260"/>
        <v>0</v>
      </c>
    </row>
    <row r="2882" spans="28:34">
      <c r="AB2882" s="580">
        <f>HLOOKUP("*"&amp;'Output annual'!$AC$2&amp;'Output annual'!$AD$2&amp;"*Zone People Number Of Occupants [](Hourly)",'Eplus results'!$1:$1048576,ROW(),FALSE)</f>
        <v>0</v>
      </c>
      <c r="AC2882" s="580">
        <f>HLOOKUP("*"&amp;'Output annual'!$AC$2&amp;'Output annual'!$AD$2&amp;"*FangerPMV(Hourly)",'Eplus results'!$1:$1048576,ROW(),FALSE)</f>
        <v>0</v>
      </c>
      <c r="AD2882" s="580">
        <f t="shared" si="256"/>
        <v>5</v>
      </c>
      <c r="AE2882" s="580">
        <f t="shared" si="257"/>
        <v>2.5</v>
      </c>
      <c r="AF2882" s="580">
        <f t="shared" si="258"/>
        <v>2.5</v>
      </c>
      <c r="AG2882" s="580">
        <f t="shared" si="259"/>
        <v>0</v>
      </c>
      <c r="AH2882" s="580">
        <f t="shared" si="260"/>
        <v>0</v>
      </c>
    </row>
    <row r="2883" spans="28:34">
      <c r="AB2883" s="580">
        <f>HLOOKUP("*"&amp;'Output annual'!$AC$2&amp;'Output annual'!$AD$2&amp;"*Zone People Number Of Occupants [](Hourly)",'Eplus results'!$1:$1048576,ROW(),FALSE)</f>
        <v>0</v>
      </c>
      <c r="AC2883" s="580">
        <f>HLOOKUP("*"&amp;'Output annual'!$AC$2&amp;'Output annual'!$AD$2&amp;"*FangerPMV(Hourly)",'Eplus results'!$1:$1048576,ROW(),FALSE)</f>
        <v>0</v>
      </c>
      <c r="AD2883" s="580">
        <f t="shared" ref="AD2883:AD2946" si="261">100-95*EXP(-0.03353*AC2883^4-0.2179*AC2883^2)</f>
        <v>5</v>
      </c>
      <c r="AE2883" s="580">
        <f t="shared" ref="AE2883:AE2946" si="262">AD2883*(1/(1+EXP(-6.3*$AC2883)))</f>
        <v>2.5</v>
      </c>
      <c r="AF2883" s="580">
        <f t="shared" ref="AF2883:AF2946" si="263">(AD2883-AE2883)</f>
        <v>2.5</v>
      </c>
      <c r="AG2883" s="580">
        <f t="shared" ref="AG2883:AG2946" si="264">AE2883*AB2883</f>
        <v>0</v>
      </c>
      <c r="AH2883" s="580">
        <f t="shared" ref="AH2883:AH2946" si="265">AF2883*AB2883</f>
        <v>0</v>
      </c>
    </row>
    <row r="2884" spans="28:34">
      <c r="AB2884" s="580">
        <f>HLOOKUP("*"&amp;'Output annual'!$AC$2&amp;'Output annual'!$AD$2&amp;"*Zone People Number Of Occupants [](Hourly)",'Eplus results'!$1:$1048576,ROW(),FALSE)</f>
        <v>0</v>
      </c>
      <c r="AC2884" s="580">
        <f>HLOOKUP("*"&amp;'Output annual'!$AC$2&amp;'Output annual'!$AD$2&amp;"*FangerPMV(Hourly)",'Eplus results'!$1:$1048576,ROW(),FALSE)</f>
        <v>0</v>
      </c>
      <c r="AD2884" s="580">
        <f t="shared" si="261"/>
        <v>5</v>
      </c>
      <c r="AE2884" s="580">
        <f t="shared" si="262"/>
        <v>2.5</v>
      </c>
      <c r="AF2884" s="580">
        <f t="shared" si="263"/>
        <v>2.5</v>
      </c>
      <c r="AG2884" s="580">
        <f t="shared" si="264"/>
        <v>0</v>
      </c>
      <c r="AH2884" s="580">
        <f t="shared" si="265"/>
        <v>0</v>
      </c>
    </row>
    <row r="2885" spans="28:34">
      <c r="AB2885" s="580">
        <f>HLOOKUP("*"&amp;'Output annual'!$AC$2&amp;'Output annual'!$AD$2&amp;"*Zone People Number Of Occupants [](Hourly)",'Eplus results'!$1:$1048576,ROW(),FALSE)</f>
        <v>0</v>
      </c>
      <c r="AC2885" s="580">
        <f>HLOOKUP("*"&amp;'Output annual'!$AC$2&amp;'Output annual'!$AD$2&amp;"*FangerPMV(Hourly)",'Eplus results'!$1:$1048576,ROW(),FALSE)</f>
        <v>0</v>
      </c>
      <c r="AD2885" s="580">
        <f t="shared" si="261"/>
        <v>5</v>
      </c>
      <c r="AE2885" s="580">
        <f t="shared" si="262"/>
        <v>2.5</v>
      </c>
      <c r="AF2885" s="580">
        <f t="shared" si="263"/>
        <v>2.5</v>
      </c>
      <c r="AG2885" s="580">
        <f t="shared" si="264"/>
        <v>0</v>
      </c>
      <c r="AH2885" s="580">
        <f t="shared" si="265"/>
        <v>0</v>
      </c>
    </row>
    <row r="2886" spans="28:34">
      <c r="AB2886" s="580">
        <f>HLOOKUP("*"&amp;'Output annual'!$AC$2&amp;'Output annual'!$AD$2&amp;"*Zone People Number Of Occupants [](Hourly)",'Eplus results'!$1:$1048576,ROW(),FALSE)</f>
        <v>0</v>
      </c>
      <c r="AC2886" s="580">
        <f>HLOOKUP("*"&amp;'Output annual'!$AC$2&amp;'Output annual'!$AD$2&amp;"*FangerPMV(Hourly)",'Eplus results'!$1:$1048576,ROW(),FALSE)</f>
        <v>0</v>
      </c>
      <c r="AD2886" s="580">
        <f t="shared" si="261"/>
        <v>5</v>
      </c>
      <c r="AE2886" s="580">
        <f t="shared" si="262"/>
        <v>2.5</v>
      </c>
      <c r="AF2886" s="580">
        <f t="shared" si="263"/>
        <v>2.5</v>
      </c>
      <c r="AG2886" s="580">
        <f t="shared" si="264"/>
        <v>0</v>
      </c>
      <c r="AH2886" s="580">
        <f t="shared" si="265"/>
        <v>0</v>
      </c>
    </row>
    <row r="2887" spans="28:34">
      <c r="AB2887" s="580">
        <f>HLOOKUP("*"&amp;'Output annual'!$AC$2&amp;'Output annual'!$AD$2&amp;"*Zone People Number Of Occupants [](Hourly)",'Eplus results'!$1:$1048576,ROW(),FALSE)</f>
        <v>0</v>
      </c>
      <c r="AC2887" s="580">
        <f>HLOOKUP("*"&amp;'Output annual'!$AC$2&amp;'Output annual'!$AD$2&amp;"*FangerPMV(Hourly)",'Eplus results'!$1:$1048576,ROW(),FALSE)</f>
        <v>0</v>
      </c>
      <c r="AD2887" s="580">
        <f t="shared" si="261"/>
        <v>5</v>
      </c>
      <c r="AE2887" s="580">
        <f t="shared" si="262"/>
        <v>2.5</v>
      </c>
      <c r="AF2887" s="580">
        <f t="shared" si="263"/>
        <v>2.5</v>
      </c>
      <c r="AG2887" s="580">
        <f t="shared" si="264"/>
        <v>0</v>
      </c>
      <c r="AH2887" s="580">
        <f t="shared" si="265"/>
        <v>0</v>
      </c>
    </row>
    <row r="2888" spans="28:34">
      <c r="AB2888" s="580">
        <f>HLOOKUP("*"&amp;'Output annual'!$AC$2&amp;'Output annual'!$AD$2&amp;"*Zone People Number Of Occupants [](Hourly)",'Eplus results'!$1:$1048576,ROW(),FALSE)</f>
        <v>0</v>
      </c>
      <c r="AC2888" s="580">
        <f>HLOOKUP("*"&amp;'Output annual'!$AC$2&amp;'Output annual'!$AD$2&amp;"*FangerPMV(Hourly)",'Eplus results'!$1:$1048576,ROW(),FALSE)</f>
        <v>0</v>
      </c>
      <c r="AD2888" s="580">
        <f t="shared" si="261"/>
        <v>5</v>
      </c>
      <c r="AE2888" s="580">
        <f t="shared" si="262"/>
        <v>2.5</v>
      </c>
      <c r="AF2888" s="580">
        <f t="shared" si="263"/>
        <v>2.5</v>
      </c>
      <c r="AG2888" s="580">
        <f t="shared" si="264"/>
        <v>0</v>
      </c>
      <c r="AH2888" s="580">
        <f t="shared" si="265"/>
        <v>0</v>
      </c>
    </row>
    <row r="2889" spans="28:34">
      <c r="AB2889" s="580">
        <f>HLOOKUP("*"&amp;'Output annual'!$AC$2&amp;'Output annual'!$AD$2&amp;"*Zone People Number Of Occupants [](Hourly)",'Eplus results'!$1:$1048576,ROW(),FALSE)</f>
        <v>0</v>
      </c>
      <c r="AC2889" s="580">
        <f>HLOOKUP("*"&amp;'Output annual'!$AC$2&amp;'Output annual'!$AD$2&amp;"*FangerPMV(Hourly)",'Eplus results'!$1:$1048576,ROW(),FALSE)</f>
        <v>0</v>
      </c>
      <c r="AD2889" s="580">
        <f t="shared" si="261"/>
        <v>5</v>
      </c>
      <c r="AE2889" s="580">
        <f t="shared" si="262"/>
        <v>2.5</v>
      </c>
      <c r="AF2889" s="580">
        <f t="shared" si="263"/>
        <v>2.5</v>
      </c>
      <c r="AG2889" s="580">
        <f t="shared" si="264"/>
        <v>0</v>
      </c>
      <c r="AH2889" s="580">
        <f t="shared" si="265"/>
        <v>0</v>
      </c>
    </row>
    <row r="2890" spans="28:34">
      <c r="AB2890" s="580">
        <f>HLOOKUP("*"&amp;'Output annual'!$AC$2&amp;'Output annual'!$AD$2&amp;"*Zone People Number Of Occupants [](Hourly)",'Eplus results'!$1:$1048576,ROW(),FALSE)</f>
        <v>0</v>
      </c>
      <c r="AC2890" s="580">
        <f>HLOOKUP("*"&amp;'Output annual'!$AC$2&amp;'Output annual'!$AD$2&amp;"*FangerPMV(Hourly)",'Eplus results'!$1:$1048576,ROW(),FALSE)</f>
        <v>0</v>
      </c>
      <c r="AD2890" s="580">
        <f t="shared" si="261"/>
        <v>5</v>
      </c>
      <c r="AE2890" s="580">
        <f t="shared" si="262"/>
        <v>2.5</v>
      </c>
      <c r="AF2890" s="580">
        <f t="shared" si="263"/>
        <v>2.5</v>
      </c>
      <c r="AG2890" s="580">
        <f t="shared" si="264"/>
        <v>0</v>
      </c>
      <c r="AH2890" s="580">
        <f t="shared" si="265"/>
        <v>0</v>
      </c>
    </row>
    <row r="2891" spans="28:34">
      <c r="AB2891" s="580">
        <f>HLOOKUP("*"&amp;'Output annual'!$AC$2&amp;'Output annual'!$AD$2&amp;"*Zone People Number Of Occupants [](Hourly)",'Eplus results'!$1:$1048576,ROW(),FALSE)</f>
        <v>0</v>
      </c>
      <c r="AC2891" s="580">
        <f>HLOOKUP("*"&amp;'Output annual'!$AC$2&amp;'Output annual'!$AD$2&amp;"*FangerPMV(Hourly)",'Eplus results'!$1:$1048576,ROW(),FALSE)</f>
        <v>0</v>
      </c>
      <c r="AD2891" s="580">
        <f t="shared" si="261"/>
        <v>5</v>
      </c>
      <c r="AE2891" s="580">
        <f t="shared" si="262"/>
        <v>2.5</v>
      </c>
      <c r="AF2891" s="580">
        <f t="shared" si="263"/>
        <v>2.5</v>
      </c>
      <c r="AG2891" s="580">
        <f t="shared" si="264"/>
        <v>0</v>
      </c>
      <c r="AH2891" s="580">
        <f t="shared" si="265"/>
        <v>0</v>
      </c>
    </row>
    <row r="2892" spans="28:34">
      <c r="AB2892" s="580">
        <f>HLOOKUP("*"&amp;'Output annual'!$AC$2&amp;'Output annual'!$AD$2&amp;"*Zone People Number Of Occupants [](Hourly)",'Eplus results'!$1:$1048576,ROW(),FALSE)</f>
        <v>0</v>
      </c>
      <c r="AC2892" s="580">
        <f>HLOOKUP("*"&amp;'Output annual'!$AC$2&amp;'Output annual'!$AD$2&amp;"*FangerPMV(Hourly)",'Eplus results'!$1:$1048576,ROW(),FALSE)</f>
        <v>0</v>
      </c>
      <c r="AD2892" s="580">
        <f t="shared" si="261"/>
        <v>5</v>
      </c>
      <c r="AE2892" s="580">
        <f t="shared" si="262"/>
        <v>2.5</v>
      </c>
      <c r="AF2892" s="580">
        <f t="shared" si="263"/>
        <v>2.5</v>
      </c>
      <c r="AG2892" s="580">
        <f t="shared" si="264"/>
        <v>0</v>
      </c>
      <c r="AH2892" s="580">
        <f t="shared" si="265"/>
        <v>0</v>
      </c>
    </row>
    <row r="2893" spans="28:34">
      <c r="AB2893" s="580">
        <f>HLOOKUP("*"&amp;'Output annual'!$AC$2&amp;'Output annual'!$AD$2&amp;"*Zone People Number Of Occupants [](Hourly)",'Eplus results'!$1:$1048576,ROW(),FALSE)</f>
        <v>0</v>
      </c>
      <c r="AC2893" s="580">
        <f>HLOOKUP("*"&amp;'Output annual'!$AC$2&amp;'Output annual'!$AD$2&amp;"*FangerPMV(Hourly)",'Eplus results'!$1:$1048576,ROW(),FALSE)</f>
        <v>0</v>
      </c>
      <c r="AD2893" s="580">
        <f t="shared" si="261"/>
        <v>5</v>
      </c>
      <c r="AE2893" s="580">
        <f t="shared" si="262"/>
        <v>2.5</v>
      </c>
      <c r="AF2893" s="580">
        <f t="shared" si="263"/>
        <v>2.5</v>
      </c>
      <c r="AG2893" s="580">
        <f t="shared" si="264"/>
        <v>0</v>
      </c>
      <c r="AH2893" s="580">
        <f t="shared" si="265"/>
        <v>0</v>
      </c>
    </row>
    <row r="2894" spans="28:34">
      <c r="AB2894" s="580">
        <f>HLOOKUP("*"&amp;'Output annual'!$AC$2&amp;'Output annual'!$AD$2&amp;"*Zone People Number Of Occupants [](Hourly)",'Eplus results'!$1:$1048576,ROW(),FALSE)</f>
        <v>0</v>
      </c>
      <c r="AC2894" s="580">
        <f>HLOOKUP("*"&amp;'Output annual'!$AC$2&amp;'Output annual'!$AD$2&amp;"*FangerPMV(Hourly)",'Eplus results'!$1:$1048576,ROW(),FALSE)</f>
        <v>0</v>
      </c>
      <c r="AD2894" s="580">
        <f t="shared" si="261"/>
        <v>5</v>
      </c>
      <c r="AE2894" s="580">
        <f t="shared" si="262"/>
        <v>2.5</v>
      </c>
      <c r="AF2894" s="580">
        <f t="shared" si="263"/>
        <v>2.5</v>
      </c>
      <c r="AG2894" s="580">
        <f t="shared" si="264"/>
        <v>0</v>
      </c>
      <c r="AH2894" s="580">
        <f t="shared" si="265"/>
        <v>0</v>
      </c>
    </row>
    <row r="2895" spans="28:34">
      <c r="AB2895" s="580">
        <f>HLOOKUP("*"&amp;'Output annual'!$AC$2&amp;'Output annual'!$AD$2&amp;"*Zone People Number Of Occupants [](Hourly)",'Eplus results'!$1:$1048576,ROW(),FALSE)</f>
        <v>0</v>
      </c>
      <c r="AC2895" s="580">
        <f>HLOOKUP("*"&amp;'Output annual'!$AC$2&amp;'Output annual'!$AD$2&amp;"*FangerPMV(Hourly)",'Eplus results'!$1:$1048576,ROW(),FALSE)</f>
        <v>0</v>
      </c>
      <c r="AD2895" s="580">
        <f t="shared" si="261"/>
        <v>5</v>
      </c>
      <c r="AE2895" s="580">
        <f t="shared" si="262"/>
        <v>2.5</v>
      </c>
      <c r="AF2895" s="580">
        <f t="shared" si="263"/>
        <v>2.5</v>
      </c>
      <c r="AG2895" s="580">
        <f t="shared" si="264"/>
        <v>0</v>
      </c>
      <c r="AH2895" s="580">
        <f t="shared" si="265"/>
        <v>0</v>
      </c>
    </row>
    <row r="2896" spans="28:34">
      <c r="AB2896" s="580">
        <f>HLOOKUP("*"&amp;'Output annual'!$AC$2&amp;'Output annual'!$AD$2&amp;"*Zone People Number Of Occupants [](Hourly)",'Eplus results'!$1:$1048576,ROW(),FALSE)</f>
        <v>0</v>
      </c>
      <c r="AC2896" s="580">
        <f>HLOOKUP("*"&amp;'Output annual'!$AC$2&amp;'Output annual'!$AD$2&amp;"*FangerPMV(Hourly)",'Eplus results'!$1:$1048576,ROW(),FALSE)</f>
        <v>0</v>
      </c>
      <c r="AD2896" s="580">
        <f t="shared" si="261"/>
        <v>5</v>
      </c>
      <c r="AE2896" s="580">
        <f t="shared" si="262"/>
        <v>2.5</v>
      </c>
      <c r="AF2896" s="580">
        <f t="shared" si="263"/>
        <v>2.5</v>
      </c>
      <c r="AG2896" s="580">
        <f t="shared" si="264"/>
        <v>0</v>
      </c>
      <c r="AH2896" s="580">
        <f t="shared" si="265"/>
        <v>0</v>
      </c>
    </row>
    <row r="2897" spans="28:34">
      <c r="AB2897" s="580">
        <f>HLOOKUP("*"&amp;'Output annual'!$AC$2&amp;'Output annual'!$AD$2&amp;"*Zone People Number Of Occupants [](Hourly)",'Eplus results'!$1:$1048576,ROW(),FALSE)</f>
        <v>0</v>
      </c>
      <c r="AC2897" s="580">
        <f>HLOOKUP("*"&amp;'Output annual'!$AC$2&amp;'Output annual'!$AD$2&amp;"*FangerPMV(Hourly)",'Eplus results'!$1:$1048576,ROW(),FALSE)</f>
        <v>0</v>
      </c>
      <c r="AD2897" s="580">
        <f t="shared" si="261"/>
        <v>5</v>
      </c>
      <c r="AE2897" s="580">
        <f t="shared" si="262"/>
        <v>2.5</v>
      </c>
      <c r="AF2897" s="580">
        <f t="shared" si="263"/>
        <v>2.5</v>
      </c>
      <c r="AG2897" s="580">
        <f t="shared" si="264"/>
        <v>0</v>
      </c>
      <c r="AH2897" s="580">
        <f t="shared" si="265"/>
        <v>0</v>
      </c>
    </row>
    <row r="2898" spans="28:34">
      <c r="AB2898" s="580">
        <f>HLOOKUP("*"&amp;'Output annual'!$AC$2&amp;'Output annual'!$AD$2&amp;"*Zone People Number Of Occupants [](Hourly)",'Eplus results'!$1:$1048576,ROW(),FALSE)</f>
        <v>0</v>
      </c>
      <c r="AC2898" s="580">
        <f>HLOOKUP("*"&amp;'Output annual'!$AC$2&amp;'Output annual'!$AD$2&amp;"*FangerPMV(Hourly)",'Eplus results'!$1:$1048576,ROW(),FALSE)</f>
        <v>0</v>
      </c>
      <c r="AD2898" s="580">
        <f t="shared" si="261"/>
        <v>5</v>
      </c>
      <c r="AE2898" s="580">
        <f t="shared" si="262"/>
        <v>2.5</v>
      </c>
      <c r="AF2898" s="580">
        <f t="shared" si="263"/>
        <v>2.5</v>
      </c>
      <c r="AG2898" s="580">
        <f t="shared" si="264"/>
        <v>0</v>
      </c>
      <c r="AH2898" s="580">
        <f t="shared" si="265"/>
        <v>0</v>
      </c>
    </row>
    <row r="2899" spans="28:34">
      <c r="AB2899" s="580">
        <f>HLOOKUP("*"&amp;'Output annual'!$AC$2&amp;'Output annual'!$AD$2&amp;"*Zone People Number Of Occupants [](Hourly)",'Eplus results'!$1:$1048576,ROW(),FALSE)</f>
        <v>0</v>
      </c>
      <c r="AC2899" s="580">
        <f>HLOOKUP("*"&amp;'Output annual'!$AC$2&amp;'Output annual'!$AD$2&amp;"*FangerPMV(Hourly)",'Eplus results'!$1:$1048576,ROW(),FALSE)</f>
        <v>0</v>
      </c>
      <c r="AD2899" s="580">
        <f t="shared" si="261"/>
        <v>5</v>
      </c>
      <c r="AE2899" s="580">
        <f t="shared" si="262"/>
        <v>2.5</v>
      </c>
      <c r="AF2899" s="580">
        <f t="shared" si="263"/>
        <v>2.5</v>
      </c>
      <c r="AG2899" s="580">
        <f t="shared" si="264"/>
        <v>0</v>
      </c>
      <c r="AH2899" s="580">
        <f t="shared" si="265"/>
        <v>0</v>
      </c>
    </row>
    <row r="2900" spans="28:34">
      <c r="AB2900" s="580">
        <f>HLOOKUP("*"&amp;'Output annual'!$AC$2&amp;'Output annual'!$AD$2&amp;"*Zone People Number Of Occupants [](Hourly)",'Eplus results'!$1:$1048576,ROW(),FALSE)</f>
        <v>0</v>
      </c>
      <c r="AC2900" s="580">
        <f>HLOOKUP("*"&amp;'Output annual'!$AC$2&amp;'Output annual'!$AD$2&amp;"*FangerPMV(Hourly)",'Eplus results'!$1:$1048576,ROW(),FALSE)</f>
        <v>0</v>
      </c>
      <c r="AD2900" s="580">
        <f t="shared" si="261"/>
        <v>5</v>
      </c>
      <c r="AE2900" s="580">
        <f t="shared" si="262"/>
        <v>2.5</v>
      </c>
      <c r="AF2900" s="580">
        <f t="shared" si="263"/>
        <v>2.5</v>
      </c>
      <c r="AG2900" s="580">
        <f t="shared" si="264"/>
        <v>0</v>
      </c>
      <c r="AH2900" s="580">
        <f t="shared" si="265"/>
        <v>0</v>
      </c>
    </row>
    <row r="2901" spans="28:34">
      <c r="AB2901" s="580">
        <f>HLOOKUP("*"&amp;'Output annual'!$AC$2&amp;'Output annual'!$AD$2&amp;"*Zone People Number Of Occupants [](Hourly)",'Eplus results'!$1:$1048576,ROW(),FALSE)</f>
        <v>0</v>
      </c>
      <c r="AC2901" s="580">
        <f>HLOOKUP("*"&amp;'Output annual'!$AC$2&amp;'Output annual'!$AD$2&amp;"*FangerPMV(Hourly)",'Eplus results'!$1:$1048576,ROW(),FALSE)</f>
        <v>0</v>
      </c>
      <c r="AD2901" s="580">
        <f t="shared" si="261"/>
        <v>5</v>
      </c>
      <c r="AE2901" s="580">
        <f t="shared" si="262"/>
        <v>2.5</v>
      </c>
      <c r="AF2901" s="580">
        <f t="shared" si="263"/>
        <v>2.5</v>
      </c>
      <c r="AG2901" s="580">
        <f t="shared" si="264"/>
        <v>0</v>
      </c>
      <c r="AH2901" s="580">
        <f t="shared" si="265"/>
        <v>0</v>
      </c>
    </row>
    <row r="2902" spans="28:34">
      <c r="AB2902" s="580">
        <f>HLOOKUP("*"&amp;'Output annual'!$AC$2&amp;'Output annual'!$AD$2&amp;"*Zone People Number Of Occupants [](Hourly)",'Eplus results'!$1:$1048576,ROW(),FALSE)</f>
        <v>0</v>
      </c>
      <c r="AC2902" s="580">
        <f>HLOOKUP("*"&amp;'Output annual'!$AC$2&amp;'Output annual'!$AD$2&amp;"*FangerPMV(Hourly)",'Eplus results'!$1:$1048576,ROW(),FALSE)</f>
        <v>0</v>
      </c>
      <c r="AD2902" s="580">
        <f t="shared" si="261"/>
        <v>5</v>
      </c>
      <c r="AE2902" s="580">
        <f t="shared" si="262"/>
        <v>2.5</v>
      </c>
      <c r="AF2902" s="580">
        <f t="shared" si="263"/>
        <v>2.5</v>
      </c>
      <c r="AG2902" s="580">
        <f t="shared" si="264"/>
        <v>0</v>
      </c>
      <c r="AH2902" s="580">
        <f t="shared" si="265"/>
        <v>0</v>
      </c>
    </row>
    <row r="2903" spans="28:34">
      <c r="AB2903" s="580">
        <f>HLOOKUP("*"&amp;'Output annual'!$AC$2&amp;'Output annual'!$AD$2&amp;"*Zone People Number Of Occupants [](Hourly)",'Eplus results'!$1:$1048576,ROW(),FALSE)</f>
        <v>0</v>
      </c>
      <c r="AC2903" s="580">
        <f>HLOOKUP("*"&amp;'Output annual'!$AC$2&amp;'Output annual'!$AD$2&amp;"*FangerPMV(Hourly)",'Eplus results'!$1:$1048576,ROW(),FALSE)</f>
        <v>0</v>
      </c>
      <c r="AD2903" s="580">
        <f t="shared" si="261"/>
        <v>5</v>
      </c>
      <c r="AE2903" s="580">
        <f t="shared" si="262"/>
        <v>2.5</v>
      </c>
      <c r="AF2903" s="580">
        <f t="shared" si="263"/>
        <v>2.5</v>
      </c>
      <c r="AG2903" s="580">
        <f t="shared" si="264"/>
        <v>0</v>
      </c>
      <c r="AH2903" s="580">
        <f t="shared" si="265"/>
        <v>0</v>
      </c>
    </row>
    <row r="2904" spans="28:34">
      <c r="AB2904" s="580">
        <f>HLOOKUP("*"&amp;'Output annual'!$AC$2&amp;'Output annual'!$AD$2&amp;"*Zone People Number Of Occupants [](Hourly)",'Eplus results'!$1:$1048576,ROW(),FALSE)</f>
        <v>0</v>
      </c>
      <c r="AC2904" s="580">
        <f>HLOOKUP("*"&amp;'Output annual'!$AC$2&amp;'Output annual'!$AD$2&amp;"*FangerPMV(Hourly)",'Eplus results'!$1:$1048576,ROW(),FALSE)</f>
        <v>0</v>
      </c>
      <c r="AD2904" s="580">
        <f t="shared" si="261"/>
        <v>5</v>
      </c>
      <c r="AE2904" s="580">
        <f t="shared" si="262"/>
        <v>2.5</v>
      </c>
      <c r="AF2904" s="580">
        <f t="shared" si="263"/>
        <v>2.5</v>
      </c>
      <c r="AG2904" s="580">
        <f t="shared" si="264"/>
        <v>0</v>
      </c>
      <c r="AH2904" s="580">
        <f t="shared" si="265"/>
        <v>0</v>
      </c>
    </row>
    <row r="2905" spans="28:34">
      <c r="AB2905" s="580">
        <f>HLOOKUP("*"&amp;'Output annual'!$AC$2&amp;'Output annual'!$AD$2&amp;"*Zone People Number Of Occupants [](Hourly)",'Eplus results'!$1:$1048576,ROW(),FALSE)</f>
        <v>0</v>
      </c>
      <c r="AC2905" s="580">
        <f>HLOOKUP("*"&amp;'Output annual'!$AC$2&amp;'Output annual'!$AD$2&amp;"*FangerPMV(Hourly)",'Eplus results'!$1:$1048576,ROW(),FALSE)</f>
        <v>0</v>
      </c>
      <c r="AD2905" s="580">
        <f t="shared" si="261"/>
        <v>5</v>
      </c>
      <c r="AE2905" s="580">
        <f t="shared" si="262"/>
        <v>2.5</v>
      </c>
      <c r="AF2905" s="580">
        <f t="shared" si="263"/>
        <v>2.5</v>
      </c>
      <c r="AG2905" s="580">
        <f t="shared" si="264"/>
        <v>0</v>
      </c>
      <c r="AH2905" s="580">
        <f t="shared" si="265"/>
        <v>0</v>
      </c>
    </row>
    <row r="2906" spans="28:34">
      <c r="AB2906" s="580">
        <f>HLOOKUP("*"&amp;'Output annual'!$AC$2&amp;'Output annual'!$AD$2&amp;"*Zone People Number Of Occupants [](Hourly)",'Eplus results'!$1:$1048576,ROW(),FALSE)</f>
        <v>0</v>
      </c>
      <c r="AC2906" s="580">
        <f>HLOOKUP("*"&amp;'Output annual'!$AC$2&amp;'Output annual'!$AD$2&amp;"*FangerPMV(Hourly)",'Eplus results'!$1:$1048576,ROW(),FALSE)</f>
        <v>0</v>
      </c>
      <c r="AD2906" s="580">
        <f t="shared" si="261"/>
        <v>5</v>
      </c>
      <c r="AE2906" s="580">
        <f t="shared" si="262"/>
        <v>2.5</v>
      </c>
      <c r="AF2906" s="580">
        <f t="shared" si="263"/>
        <v>2.5</v>
      </c>
      <c r="AG2906" s="580">
        <f t="shared" si="264"/>
        <v>0</v>
      </c>
      <c r="AH2906" s="580">
        <f t="shared" si="265"/>
        <v>0</v>
      </c>
    </row>
    <row r="2907" spans="28:34">
      <c r="AB2907" s="580">
        <f>HLOOKUP("*"&amp;'Output annual'!$AC$2&amp;'Output annual'!$AD$2&amp;"*Zone People Number Of Occupants [](Hourly)",'Eplus results'!$1:$1048576,ROW(),FALSE)</f>
        <v>0</v>
      </c>
      <c r="AC2907" s="580">
        <f>HLOOKUP("*"&amp;'Output annual'!$AC$2&amp;'Output annual'!$AD$2&amp;"*FangerPMV(Hourly)",'Eplus results'!$1:$1048576,ROW(),FALSE)</f>
        <v>0</v>
      </c>
      <c r="AD2907" s="580">
        <f t="shared" si="261"/>
        <v>5</v>
      </c>
      <c r="AE2907" s="580">
        <f t="shared" si="262"/>
        <v>2.5</v>
      </c>
      <c r="AF2907" s="580">
        <f t="shared" si="263"/>
        <v>2.5</v>
      </c>
      <c r="AG2907" s="580">
        <f t="shared" si="264"/>
        <v>0</v>
      </c>
      <c r="AH2907" s="580">
        <f t="shared" si="265"/>
        <v>0</v>
      </c>
    </row>
    <row r="2908" spans="28:34">
      <c r="AB2908" s="580">
        <f>HLOOKUP("*"&amp;'Output annual'!$AC$2&amp;'Output annual'!$AD$2&amp;"*Zone People Number Of Occupants [](Hourly)",'Eplus results'!$1:$1048576,ROW(),FALSE)</f>
        <v>0</v>
      </c>
      <c r="AC2908" s="580">
        <f>HLOOKUP("*"&amp;'Output annual'!$AC$2&amp;'Output annual'!$AD$2&amp;"*FangerPMV(Hourly)",'Eplus results'!$1:$1048576,ROW(),FALSE)</f>
        <v>0</v>
      </c>
      <c r="AD2908" s="580">
        <f t="shared" si="261"/>
        <v>5</v>
      </c>
      <c r="AE2908" s="580">
        <f t="shared" si="262"/>
        <v>2.5</v>
      </c>
      <c r="AF2908" s="580">
        <f t="shared" si="263"/>
        <v>2.5</v>
      </c>
      <c r="AG2908" s="580">
        <f t="shared" si="264"/>
        <v>0</v>
      </c>
      <c r="AH2908" s="580">
        <f t="shared" si="265"/>
        <v>0</v>
      </c>
    </row>
    <row r="2909" spans="28:34">
      <c r="AB2909" s="580">
        <f>HLOOKUP("*"&amp;'Output annual'!$AC$2&amp;'Output annual'!$AD$2&amp;"*Zone People Number Of Occupants [](Hourly)",'Eplus results'!$1:$1048576,ROW(),FALSE)</f>
        <v>0</v>
      </c>
      <c r="AC2909" s="580">
        <f>HLOOKUP("*"&amp;'Output annual'!$AC$2&amp;'Output annual'!$AD$2&amp;"*FangerPMV(Hourly)",'Eplus results'!$1:$1048576,ROW(),FALSE)</f>
        <v>0</v>
      </c>
      <c r="AD2909" s="580">
        <f t="shared" si="261"/>
        <v>5</v>
      </c>
      <c r="AE2909" s="580">
        <f t="shared" si="262"/>
        <v>2.5</v>
      </c>
      <c r="AF2909" s="580">
        <f t="shared" si="263"/>
        <v>2.5</v>
      </c>
      <c r="AG2909" s="580">
        <f t="shared" si="264"/>
        <v>0</v>
      </c>
      <c r="AH2909" s="580">
        <f t="shared" si="265"/>
        <v>0</v>
      </c>
    </row>
    <row r="2910" spans="28:34">
      <c r="AB2910" s="580">
        <f>HLOOKUP("*"&amp;'Output annual'!$AC$2&amp;'Output annual'!$AD$2&amp;"*Zone People Number Of Occupants [](Hourly)",'Eplus results'!$1:$1048576,ROW(),FALSE)</f>
        <v>0</v>
      </c>
      <c r="AC2910" s="580">
        <f>HLOOKUP("*"&amp;'Output annual'!$AC$2&amp;'Output annual'!$AD$2&amp;"*FangerPMV(Hourly)",'Eplus results'!$1:$1048576,ROW(),FALSE)</f>
        <v>0</v>
      </c>
      <c r="AD2910" s="580">
        <f t="shared" si="261"/>
        <v>5</v>
      </c>
      <c r="AE2910" s="580">
        <f t="shared" si="262"/>
        <v>2.5</v>
      </c>
      <c r="AF2910" s="580">
        <f t="shared" si="263"/>
        <v>2.5</v>
      </c>
      <c r="AG2910" s="580">
        <f t="shared" si="264"/>
        <v>0</v>
      </c>
      <c r="AH2910" s="580">
        <f t="shared" si="265"/>
        <v>0</v>
      </c>
    </row>
    <row r="2911" spans="28:34">
      <c r="AB2911" s="580">
        <f>HLOOKUP("*"&amp;'Output annual'!$AC$2&amp;'Output annual'!$AD$2&amp;"*Zone People Number Of Occupants [](Hourly)",'Eplus results'!$1:$1048576,ROW(),FALSE)</f>
        <v>0</v>
      </c>
      <c r="AC2911" s="580">
        <f>HLOOKUP("*"&amp;'Output annual'!$AC$2&amp;'Output annual'!$AD$2&amp;"*FangerPMV(Hourly)",'Eplus results'!$1:$1048576,ROW(),FALSE)</f>
        <v>0</v>
      </c>
      <c r="AD2911" s="580">
        <f t="shared" si="261"/>
        <v>5</v>
      </c>
      <c r="AE2911" s="580">
        <f t="shared" si="262"/>
        <v>2.5</v>
      </c>
      <c r="AF2911" s="580">
        <f t="shared" si="263"/>
        <v>2.5</v>
      </c>
      <c r="AG2911" s="580">
        <f t="shared" si="264"/>
        <v>0</v>
      </c>
      <c r="AH2911" s="580">
        <f t="shared" si="265"/>
        <v>0</v>
      </c>
    </row>
    <row r="2912" spans="28:34">
      <c r="AB2912" s="580">
        <f>HLOOKUP("*"&amp;'Output annual'!$AC$2&amp;'Output annual'!$AD$2&amp;"*Zone People Number Of Occupants [](Hourly)",'Eplus results'!$1:$1048576,ROW(),FALSE)</f>
        <v>0</v>
      </c>
      <c r="AC2912" s="580">
        <f>HLOOKUP("*"&amp;'Output annual'!$AC$2&amp;'Output annual'!$AD$2&amp;"*FangerPMV(Hourly)",'Eplus results'!$1:$1048576,ROW(),FALSE)</f>
        <v>0</v>
      </c>
      <c r="AD2912" s="580">
        <f t="shared" si="261"/>
        <v>5</v>
      </c>
      <c r="AE2912" s="580">
        <f t="shared" si="262"/>
        <v>2.5</v>
      </c>
      <c r="AF2912" s="580">
        <f t="shared" si="263"/>
        <v>2.5</v>
      </c>
      <c r="AG2912" s="580">
        <f t="shared" si="264"/>
        <v>0</v>
      </c>
      <c r="AH2912" s="580">
        <f t="shared" si="265"/>
        <v>0</v>
      </c>
    </row>
    <row r="2913" spans="28:34">
      <c r="AB2913" s="580">
        <f>HLOOKUP("*"&amp;'Output annual'!$AC$2&amp;'Output annual'!$AD$2&amp;"*Zone People Number Of Occupants [](Hourly)",'Eplus results'!$1:$1048576,ROW(),FALSE)</f>
        <v>0</v>
      </c>
      <c r="AC2913" s="580">
        <f>HLOOKUP("*"&amp;'Output annual'!$AC$2&amp;'Output annual'!$AD$2&amp;"*FangerPMV(Hourly)",'Eplus results'!$1:$1048576,ROW(),FALSE)</f>
        <v>0</v>
      </c>
      <c r="AD2913" s="580">
        <f t="shared" si="261"/>
        <v>5</v>
      </c>
      <c r="AE2913" s="580">
        <f t="shared" si="262"/>
        <v>2.5</v>
      </c>
      <c r="AF2913" s="580">
        <f t="shared" si="263"/>
        <v>2.5</v>
      </c>
      <c r="AG2913" s="580">
        <f t="shared" si="264"/>
        <v>0</v>
      </c>
      <c r="AH2913" s="580">
        <f t="shared" si="265"/>
        <v>0</v>
      </c>
    </row>
    <row r="2914" spans="28:34">
      <c r="AB2914" s="580">
        <f>HLOOKUP("*"&amp;'Output annual'!$AC$2&amp;'Output annual'!$AD$2&amp;"*Zone People Number Of Occupants [](Hourly)",'Eplus results'!$1:$1048576,ROW(),FALSE)</f>
        <v>0</v>
      </c>
      <c r="AC2914" s="580">
        <f>HLOOKUP("*"&amp;'Output annual'!$AC$2&amp;'Output annual'!$AD$2&amp;"*FangerPMV(Hourly)",'Eplus results'!$1:$1048576,ROW(),FALSE)</f>
        <v>0</v>
      </c>
      <c r="AD2914" s="580">
        <f t="shared" si="261"/>
        <v>5</v>
      </c>
      <c r="AE2914" s="580">
        <f t="shared" si="262"/>
        <v>2.5</v>
      </c>
      <c r="AF2914" s="580">
        <f t="shared" si="263"/>
        <v>2.5</v>
      </c>
      <c r="AG2914" s="580">
        <f t="shared" si="264"/>
        <v>0</v>
      </c>
      <c r="AH2914" s="580">
        <f t="shared" si="265"/>
        <v>0</v>
      </c>
    </row>
    <row r="2915" spans="28:34">
      <c r="AB2915" s="580">
        <f>HLOOKUP("*"&amp;'Output annual'!$AC$2&amp;'Output annual'!$AD$2&amp;"*Zone People Number Of Occupants [](Hourly)",'Eplus results'!$1:$1048576,ROW(),FALSE)</f>
        <v>0</v>
      </c>
      <c r="AC2915" s="580">
        <f>HLOOKUP("*"&amp;'Output annual'!$AC$2&amp;'Output annual'!$AD$2&amp;"*FangerPMV(Hourly)",'Eplus results'!$1:$1048576,ROW(),FALSE)</f>
        <v>0</v>
      </c>
      <c r="AD2915" s="580">
        <f t="shared" si="261"/>
        <v>5</v>
      </c>
      <c r="AE2915" s="580">
        <f t="shared" si="262"/>
        <v>2.5</v>
      </c>
      <c r="AF2915" s="580">
        <f t="shared" si="263"/>
        <v>2.5</v>
      </c>
      <c r="AG2915" s="580">
        <f t="shared" si="264"/>
        <v>0</v>
      </c>
      <c r="AH2915" s="580">
        <f t="shared" si="265"/>
        <v>0</v>
      </c>
    </row>
    <row r="2916" spans="28:34">
      <c r="AB2916" s="580">
        <f>HLOOKUP("*"&amp;'Output annual'!$AC$2&amp;'Output annual'!$AD$2&amp;"*Zone People Number Of Occupants [](Hourly)",'Eplus results'!$1:$1048576,ROW(),FALSE)</f>
        <v>0</v>
      </c>
      <c r="AC2916" s="580">
        <f>HLOOKUP("*"&amp;'Output annual'!$AC$2&amp;'Output annual'!$AD$2&amp;"*FangerPMV(Hourly)",'Eplus results'!$1:$1048576,ROW(),FALSE)</f>
        <v>0</v>
      </c>
      <c r="AD2916" s="580">
        <f t="shared" si="261"/>
        <v>5</v>
      </c>
      <c r="AE2916" s="580">
        <f t="shared" si="262"/>
        <v>2.5</v>
      </c>
      <c r="AF2916" s="580">
        <f t="shared" si="263"/>
        <v>2.5</v>
      </c>
      <c r="AG2916" s="580">
        <f t="shared" si="264"/>
        <v>0</v>
      </c>
      <c r="AH2916" s="580">
        <f t="shared" si="265"/>
        <v>0</v>
      </c>
    </row>
    <row r="2917" spans="28:34">
      <c r="AB2917" s="580">
        <f>HLOOKUP("*"&amp;'Output annual'!$AC$2&amp;'Output annual'!$AD$2&amp;"*Zone People Number Of Occupants [](Hourly)",'Eplus results'!$1:$1048576,ROW(),FALSE)</f>
        <v>0</v>
      </c>
      <c r="AC2917" s="580">
        <f>HLOOKUP("*"&amp;'Output annual'!$AC$2&amp;'Output annual'!$AD$2&amp;"*FangerPMV(Hourly)",'Eplus results'!$1:$1048576,ROW(),FALSE)</f>
        <v>0</v>
      </c>
      <c r="AD2917" s="580">
        <f t="shared" si="261"/>
        <v>5</v>
      </c>
      <c r="AE2917" s="580">
        <f t="shared" si="262"/>
        <v>2.5</v>
      </c>
      <c r="AF2917" s="580">
        <f t="shared" si="263"/>
        <v>2.5</v>
      </c>
      <c r="AG2917" s="580">
        <f t="shared" si="264"/>
        <v>0</v>
      </c>
      <c r="AH2917" s="580">
        <f t="shared" si="265"/>
        <v>0</v>
      </c>
    </row>
    <row r="2918" spans="28:34">
      <c r="AB2918" s="580">
        <f>HLOOKUP("*"&amp;'Output annual'!$AC$2&amp;'Output annual'!$AD$2&amp;"*Zone People Number Of Occupants [](Hourly)",'Eplus results'!$1:$1048576,ROW(),FALSE)</f>
        <v>0</v>
      </c>
      <c r="AC2918" s="580">
        <f>HLOOKUP("*"&amp;'Output annual'!$AC$2&amp;'Output annual'!$AD$2&amp;"*FangerPMV(Hourly)",'Eplus results'!$1:$1048576,ROW(),FALSE)</f>
        <v>0</v>
      </c>
      <c r="AD2918" s="580">
        <f t="shared" si="261"/>
        <v>5</v>
      </c>
      <c r="AE2918" s="580">
        <f t="shared" si="262"/>
        <v>2.5</v>
      </c>
      <c r="AF2918" s="580">
        <f t="shared" si="263"/>
        <v>2.5</v>
      </c>
      <c r="AG2918" s="580">
        <f t="shared" si="264"/>
        <v>0</v>
      </c>
      <c r="AH2918" s="580">
        <f t="shared" si="265"/>
        <v>0</v>
      </c>
    </row>
    <row r="2919" spans="28:34">
      <c r="AB2919" s="580">
        <f>HLOOKUP("*"&amp;'Output annual'!$AC$2&amp;'Output annual'!$AD$2&amp;"*Zone People Number Of Occupants [](Hourly)",'Eplus results'!$1:$1048576,ROW(),FALSE)</f>
        <v>0</v>
      </c>
      <c r="AC2919" s="580">
        <f>HLOOKUP("*"&amp;'Output annual'!$AC$2&amp;'Output annual'!$AD$2&amp;"*FangerPMV(Hourly)",'Eplus results'!$1:$1048576,ROW(),FALSE)</f>
        <v>0</v>
      </c>
      <c r="AD2919" s="580">
        <f t="shared" si="261"/>
        <v>5</v>
      </c>
      <c r="AE2919" s="580">
        <f t="shared" si="262"/>
        <v>2.5</v>
      </c>
      <c r="AF2919" s="580">
        <f t="shared" si="263"/>
        <v>2.5</v>
      </c>
      <c r="AG2919" s="580">
        <f t="shared" si="264"/>
        <v>0</v>
      </c>
      <c r="AH2919" s="580">
        <f t="shared" si="265"/>
        <v>0</v>
      </c>
    </row>
    <row r="2920" spans="28:34">
      <c r="AB2920" s="580">
        <f>HLOOKUP("*"&amp;'Output annual'!$AC$2&amp;'Output annual'!$AD$2&amp;"*Zone People Number Of Occupants [](Hourly)",'Eplus results'!$1:$1048576,ROW(),FALSE)</f>
        <v>0</v>
      </c>
      <c r="AC2920" s="580">
        <f>HLOOKUP("*"&amp;'Output annual'!$AC$2&amp;'Output annual'!$AD$2&amp;"*FangerPMV(Hourly)",'Eplus results'!$1:$1048576,ROW(),FALSE)</f>
        <v>0</v>
      </c>
      <c r="AD2920" s="580">
        <f t="shared" si="261"/>
        <v>5</v>
      </c>
      <c r="AE2920" s="580">
        <f t="shared" si="262"/>
        <v>2.5</v>
      </c>
      <c r="AF2920" s="580">
        <f t="shared" si="263"/>
        <v>2.5</v>
      </c>
      <c r="AG2920" s="580">
        <f t="shared" si="264"/>
        <v>0</v>
      </c>
      <c r="AH2920" s="580">
        <f t="shared" si="265"/>
        <v>0</v>
      </c>
    </row>
    <row r="2921" spans="28:34">
      <c r="AB2921" s="580">
        <f>HLOOKUP("*"&amp;'Output annual'!$AC$2&amp;'Output annual'!$AD$2&amp;"*Zone People Number Of Occupants [](Hourly)",'Eplus results'!$1:$1048576,ROW(),FALSE)</f>
        <v>0</v>
      </c>
      <c r="AC2921" s="580">
        <f>HLOOKUP("*"&amp;'Output annual'!$AC$2&amp;'Output annual'!$AD$2&amp;"*FangerPMV(Hourly)",'Eplus results'!$1:$1048576,ROW(),FALSE)</f>
        <v>0</v>
      </c>
      <c r="AD2921" s="580">
        <f t="shared" si="261"/>
        <v>5</v>
      </c>
      <c r="AE2921" s="580">
        <f t="shared" si="262"/>
        <v>2.5</v>
      </c>
      <c r="AF2921" s="580">
        <f t="shared" si="263"/>
        <v>2.5</v>
      </c>
      <c r="AG2921" s="580">
        <f t="shared" si="264"/>
        <v>0</v>
      </c>
      <c r="AH2921" s="580">
        <f t="shared" si="265"/>
        <v>0</v>
      </c>
    </row>
    <row r="2922" spans="28:34">
      <c r="AB2922" s="580">
        <f>HLOOKUP("*"&amp;'Output annual'!$AC$2&amp;'Output annual'!$AD$2&amp;"*Zone People Number Of Occupants [](Hourly)",'Eplus results'!$1:$1048576,ROW(),FALSE)</f>
        <v>0</v>
      </c>
      <c r="AC2922" s="580">
        <f>HLOOKUP("*"&amp;'Output annual'!$AC$2&amp;'Output annual'!$AD$2&amp;"*FangerPMV(Hourly)",'Eplus results'!$1:$1048576,ROW(),FALSE)</f>
        <v>0</v>
      </c>
      <c r="AD2922" s="580">
        <f t="shared" si="261"/>
        <v>5</v>
      </c>
      <c r="AE2922" s="580">
        <f t="shared" si="262"/>
        <v>2.5</v>
      </c>
      <c r="AF2922" s="580">
        <f t="shared" si="263"/>
        <v>2.5</v>
      </c>
      <c r="AG2922" s="580">
        <f t="shared" si="264"/>
        <v>0</v>
      </c>
      <c r="AH2922" s="580">
        <f t="shared" si="265"/>
        <v>0</v>
      </c>
    </row>
    <row r="2923" spans="28:34">
      <c r="AB2923" s="580">
        <f>HLOOKUP("*"&amp;'Output annual'!$AC$2&amp;'Output annual'!$AD$2&amp;"*Zone People Number Of Occupants [](Hourly)",'Eplus results'!$1:$1048576,ROW(),FALSE)</f>
        <v>0</v>
      </c>
      <c r="AC2923" s="580">
        <f>HLOOKUP("*"&amp;'Output annual'!$AC$2&amp;'Output annual'!$AD$2&amp;"*FangerPMV(Hourly)",'Eplus results'!$1:$1048576,ROW(),FALSE)</f>
        <v>0</v>
      </c>
      <c r="AD2923" s="580">
        <f t="shared" si="261"/>
        <v>5</v>
      </c>
      <c r="AE2923" s="580">
        <f t="shared" si="262"/>
        <v>2.5</v>
      </c>
      <c r="AF2923" s="580">
        <f t="shared" si="263"/>
        <v>2.5</v>
      </c>
      <c r="AG2923" s="580">
        <f t="shared" si="264"/>
        <v>0</v>
      </c>
      <c r="AH2923" s="580">
        <f t="shared" si="265"/>
        <v>0</v>
      </c>
    </row>
    <row r="2924" spans="28:34">
      <c r="AB2924" s="580">
        <f>HLOOKUP("*"&amp;'Output annual'!$AC$2&amp;'Output annual'!$AD$2&amp;"*Zone People Number Of Occupants [](Hourly)",'Eplus results'!$1:$1048576,ROW(),FALSE)</f>
        <v>0</v>
      </c>
      <c r="AC2924" s="580">
        <f>HLOOKUP("*"&amp;'Output annual'!$AC$2&amp;'Output annual'!$AD$2&amp;"*FangerPMV(Hourly)",'Eplus results'!$1:$1048576,ROW(),FALSE)</f>
        <v>0</v>
      </c>
      <c r="AD2924" s="580">
        <f t="shared" si="261"/>
        <v>5</v>
      </c>
      <c r="AE2924" s="580">
        <f t="shared" si="262"/>
        <v>2.5</v>
      </c>
      <c r="AF2924" s="580">
        <f t="shared" si="263"/>
        <v>2.5</v>
      </c>
      <c r="AG2924" s="580">
        <f t="shared" si="264"/>
        <v>0</v>
      </c>
      <c r="AH2924" s="580">
        <f t="shared" si="265"/>
        <v>0</v>
      </c>
    </row>
    <row r="2925" spans="28:34">
      <c r="AB2925" s="580">
        <f>HLOOKUP("*"&amp;'Output annual'!$AC$2&amp;'Output annual'!$AD$2&amp;"*Zone People Number Of Occupants [](Hourly)",'Eplus results'!$1:$1048576,ROW(),FALSE)</f>
        <v>0</v>
      </c>
      <c r="AC2925" s="580">
        <f>HLOOKUP("*"&amp;'Output annual'!$AC$2&amp;'Output annual'!$AD$2&amp;"*FangerPMV(Hourly)",'Eplus results'!$1:$1048576,ROW(),FALSE)</f>
        <v>0</v>
      </c>
      <c r="AD2925" s="580">
        <f t="shared" si="261"/>
        <v>5</v>
      </c>
      <c r="AE2925" s="580">
        <f t="shared" si="262"/>
        <v>2.5</v>
      </c>
      <c r="AF2925" s="580">
        <f t="shared" si="263"/>
        <v>2.5</v>
      </c>
      <c r="AG2925" s="580">
        <f t="shared" si="264"/>
        <v>0</v>
      </c>
      <c r="AH2925" s="580">
        <f t="shared" si="265"/>
        <v>0</v>
      </c>
    </row>
    <row r="2926" spans="28:34">
      <c r="AB2926" s="580">
        <f>HLOOKUP("*"&amp;'Output annual'!$AC$2&amp;'Output annual'!$AD$2&amp;"*Zone People Number Of Occupants [](Hourly)",'Eplus results'!$1:$1048576,ROW(),FALSE)</f>
        <v>0</v>
      </c>
      <c r="AC2926" s="580">
        <f>HLOOKUP("*"&amp;'Output annual'!$AC$2&amp;'Output annual'!$AD$2&amp;"*FangerPMV(Hourly)",'Eplus results'!$1:$1048576,ROW(),FALSE)</f>
        <v>0</v>
      </c>
      <c r="AD2926" s="580">
        <f t="shared" si="261"/>
        <v>5</v>
      </c>
      <c r="AE2926" s="580">
        <f t="shared" si="262"/>
        <v>2.5</v>
      </c>
      <c r="AF2926" s="580">
        <f t="shared" si="263"/>
        <v>2.5</v>
      </c>
      <c r="AG2926" s="580">
        <f t="shared" si="264"/>
        <v>0</v>
      </c>
      <c r="AH2926" s="580">
        <f t="shared" si="265"/>
        <v>0</v>
      </c>
    </row>
    <row r="2927" spans="28:34">
      <c r="AB2927" s="580">
        <f>HLOOKUP("*"&amp;'Output annual'!$AC$2&amp;'Output annual'!$AD$2&amp;"*Zone People Number Of Occupants [](Hourly)",'Eplus results'!$1:$1048576,ROW(),FALSE)</f>
        <v>0</v>
      </c>
      <c r="AC2927" s="580">
        <f>HLOOKUP("*"&amp;'Output annual'!$AC$2&amp;'Output annual'!$AD$2&amp;"*FangerPMV(Hourly)",'Eplus results'!$1:$1048576,ROW(),FALSE)</f>
        <v>0</v>
      </c>
      <c r="AD2927" s="580">
        <f t="shared" si="261"/>
        <v>5</v>
      </c>
      <c r="AE2927" s="580">
        <f t="shared" si="262"/>
        <v>2.5</v>
      </c>
      <c r="AF2927" s="580">
        <f t="shared" si="263"/>
        <v>2.5</v>
      </c>
      <c r="AG2927" s="580">
        <f t="shared" si="264"/>
        <v>0</v>
      </c>
      <c r="AH2927" s="580">
        <f t="shared" si="265"/>
        <v>0</v>
      </c>
    </row>
    <row r="2928" spans="28:34">
      <c r="AB2928" s="580">
        <f>HLOOKUP("*"&amp;'Output annual'!$AC$2&amp;'Output annual'!$AD$2&amp;"*Zone People Number Of Occupants [](Hourly)",'Eplus results'!$1:$1048576,ROW(),FALSE)</f>
        <v>0</v>
      </c>
      <c r="AC2928" s="580">
        <f>HLOOKUP("*"&amp;'Output annual'!$AC$2&amp;'Output annual'!$AD$2&amp;"*FangerPMV(Hourly)",'Eplus results'!$1:$1048576,ROW(),FALSE)</f>
        <v>0</v>
      </c>
      <c r="AD2928" s="580">
        <f t="shared" si="261"/>
        <v>5</v>
      </c>
      <c r="AE2928" s="580">
        <f t="shared" si="262"/>
        <v>2.5</v>
      </c>
      <c r="AF2928" s="580">
        <f t="shared" si="263"/>
        <v>2.5</v>
      </c>
      <c r="AG2928" s="580">
        <f t="shared" si="264"/>
        <v>0</v>
      </c>
      <c r="AH2928" s="580">
        <f t="shared" si="265"/>
        <v>0</v>
      </c>
    </row>
    <row r="2929" spans="28:34">
      <c r="AB2929" s="580">
        <f>HLOOKUP("*"&amp;'Output annual'!$AC$2&amp;'Output annual'!$AD$2&amp;"*Zone People Number Of Occupants [](Hourly)",'Eplus results'!$1:$1048576,ROW(),FALSE)</f>
        <v>0</v>
      </c>
      <c r="AC2929" s="580">
        <f>HLOOKUP("*"&amp;'Output annual'!$AC$2&amp;'Output annual'!$AD$2&amp;"*FangerPMV(Hourly)",'Eplus results'!$1:$1048576,ROW(),FALSE)</f>
        <v>0</v>
      </c>
      <c r="AD2929" s="580">
        <f t="shared" si="261"/>
        <v>5</v>
      </c>
      <c r="AE2929" s="580">
        <f t="shared" si="262"/>
        <v>2.5</v>
      </c>
      <c r="AF2929" s="580">
        <f t="shared" si="263"/>
        <v>2.5</v>
      </c>
      <c r="AG2929" s="580">
        <f t="shared" si="264"/>
        <v>0</v>
      </c>
      <c r="AH2929" s="580">
        <f t="shared" si="265"/>
        <v>0</v>
      </c>
    </row>
    <row r="2930" spans="28:34">
      <c r="AB2930" s="580">
        <f>HLOOKUP("*"&amp;'Output annual'!$AC$2&amp;'Output annual'!$AD$2&amp;"*Zone People Number Of Occupants [](Hourly)",'Eplus results'!$1:$1048576,ROW(),FALSE)</f>
        <v>0</v>
      </c>
      <c r="AC2930" s="580">
        <f>HLOOKUP("*"&amp;'Output annual'!$AC$2&amp;'Output annual'!$AD$2&amp;"*FangerPMV(Hourly)",'Eplus results'!$1:$1048576,ROW(),FALSE)</f>
        <v>0</v>
      </c>
      <c r="AD2930" s="580">
        <f t="shared" si="261"/>
        <v>5</v>
      </c>
      <c r="AE2930" s="580">
        <f t="shared" si="262"/>
        <v>2.5</v>
      </c>
      <c r="AF2930" s="580">
        <f t="shared" si="263"/>
        <v>2.5</v>
      </c>
      <c r="AG2930" s="580">
        <f t="shared" si="264"/>
        <v>0</v>
      </c>
      <c r="AH2930" s="580">
        <f t="shared" si="265"/>
        <v>0</v>
      </c>
    </row>
    <row r="2931" spans="28:34">
      <c r="AB2931" s="580">
        <f>HLOOKUP("*"&amp;'Output annual'!$AC$2&amp;'Output annual'!$AD$2&amp;"*Zone People Number Of Occupants [](Hourly)",'Eplus results'!$1:$1048576,ROW(),FALSE)</f>
        <v>0</v>
      </c>
      <c r="AC2931" s="580">
        <f>HLOOKUP("*"&amp;'Output annual'!$AC$2&amp;'Output annual'!$AD$2&amp;"*FangerPMV(Hourly)",'Eplus results'!$1:$1048576,ROW(),FALSE)</f>
        <v>0</v>
      </c>
      <c r="AD2931" s="580">
        <f t="shared" si="261"/>
        <v>5</v>
      </c>
      <c r="AE2931" s="580">
        <f t="shared" si="262"/>
        <v>2.5</v>
      </c>
      <c r="AF2931" s="580">
        <f t="shared" si="263"/>
        <v>2.5</v>
      </c>
      <c r="AG2931" s="580">
        <f t="shared" si="264"/>
        <v>0</v>
      </c>
      <c r="AH2931" s="580">
        <f t="shared" si="265"/>
        <v>0</v>
      </c>
    </row>
    <row r="2932" spans="28:34">
      <c r="AB2932" s="580">
        <f>HLOOKUP("*"&amp;'Output annual'!$AC$2&amp;'Output annual'!$AD$2&amp;"*Zone People Number Of Occupants [](Hourly)",'Eplus results'!$1:$1048576,ROW(),FALSE)</f>
        <v>0</v>
      </c>
      <c r="AC2932" s="580">
        <f>HLOOKUP("*"&amp;'Output annual'!$AC$2&amp;'Output annual'!$AD$2&amp;"*FangerPMV(Hourly)",'Eplus results'!$1:$1048576,ROW(),FALSE)</f>
        <v>0</v>
      </c>
      <c r="AD2932" s="580">
        <f t="shared" si="261"/>
        <v>5</v>
      </c>
      <c r="AE2932" s="580">
        <f t="shared" si="262"/>
        <v>2.5</v>
      </c>
      <c r="AF2932" s="580">
        <f t="shared" si="263"/>
        <v>2.5</v>
      </c>
      <c r="AG2932" s="580">
        <f t="shared" si="264"/>
        <v>0</v>
      </c>
      <c r="AH2932" s="580">
        <f t="shared" si="265"/>
        <v>0</v>
      </c>
    </row>
    <row r="2933" spans="28:34">
      <c r="AB2933" s="580">
        <f>HLOOKUP("*"&amp;'Output annual'!$AC$2&amp;'Output annual'!$AD$2&amp;"*Zone People Number Of Occupants [](Hourly)",'Eplus results'!$1:$1048576,ROW(),FALSE)</f>
        <v>0</v>
      </c>
      <c r="AC2933" s="580">
        <f>HLOOKUP("*"&amp;'Output annual'!$AC$2&amp;'Output annual'!$AD$2&amp;"*FangerPMV(Hourly)",'Eplus results'!$1:$1048576,ROW(),FALSE)</f>
        <v>0</v>
      </c>
      <c r="AD2933" s="580">
        <f t="shared" si="261"/>
        <v>5</v>
      </c>
      <c r="AE2933" s="580">
        <f t="shared" si="262"/>
        <v>2.5</v>
      </c>
      <c r="AF2933" s="580">
        <f t="shared" si="263"/>
        <v>2.5</v>
      </c>
      <c r="AG2933" s="580">
        <f t="shared" si="264"/>
        <v>0</v>
      </c>
      <c r="AH2933" s="580">
        <f t="shared" si="265"/>
        <v>0</v>
      </c>
    </row>
    <row r="2934" spans="28:34">
      <c r="AB2934" s="580">
        <f>HLOOKUP("*"&amp;'Output annual'!$AC$2&amp;'Output annual'!$AD$2&amp;"*Zone People Number Of Occupants [](Hourly)",'Eplus results'!$1:$1048576,ROW(),FALSE)</f>
        <v>0</v>
      </c>
      <c r="AC2934" s="580">
        <f>HLOOKUP("*"&amp;'Output annual'!$AC$2&amp;'Output annual'!$AD$2&amp;"*FangerPMV(Hourly)",'Eplus results'!$1:$1048576,ROW(),FALSE)</f>
        <v>0</v>
      </c>
      <c r="AD2934" s="580">
        <f t="shared" si="261"/>
        <v>5</v>
      </c>
      <c r="AE2934" s="580">
        <f t="shared" si="262"/>
        <v>2.5</v>
      </c>
      <c r="AF2934" s="580">
        <f t="shared" si="263"/>
        <v>2.5</v>
      </c>
      <c r="AG2934" s="580">
        <f t="shared" si="264"/>
        <v>0</v>
      </c>
      <c r="AH2934" s="580">
        <f t="shared" si="265"/>
        <v>0</v>
      </c>
    </row>
    <row r="2935" spans="28:34">
      <c r="AB2935" s="580">
        <f>HLOOKUP("*"&amp;'Output annual'!$AC$2&amp;'Output annual'!$AD$2&amp;"*Zone People Number Of Occupants [](Hourly)",'Eplus results'!$1:$1048576,ROW(),FALSE)</f>
        <v>0</v>
      </c>
      <c r="AC2935" s="580">
        <f>HLOOKUP("*"&amp;'Output annual'!$AC$2&amp;'Output annual'!$AD$2&amp;"*FangerPMV(Hourly)",'Eplus results'!$1:$1048576,ROW(),FALSE)</f>
        <v>0</v>
      </c>
      <c r="AD2935" s="580">
        <f t="shared" si="261"/>
        <v>5</v>
      </c>
      <c r="AE2935" s="580">
        <f t="shared" si="262"/>
        <v>2.5</v>
      </c>
      <c r="AF2935" s="580">
        <f t="shared" si="263"/>
        <v>2.5</v>
      </c>
      <c r="AG2935" s="580">
        <f t="shared" si="264"/>
        <v>0</v>
      </c>
      <c r="AH2935" s="580">
        <f t="shared" si="265"/>
        <v>0</v>
      </c>
    </row>
    <row r="2936" spans="28:34">
      <c r="AB2936" s="580">
        <f>HLOOKUP("*"&amp;'Output annual'!$AC$2&amp;'Output annual'!$AD$2&amp;"*Zone People Number Of Occupants [](Hourly)",'Eplus results'!$1:$1048576,ROW(),FALSE)</f>
        <v>0</v>
      </c>
      <c r="AC2936" s="580">
        <f>HLOOKUP("*"&amp;'Output annual'!$AC$2&amp;'Output annual'!$AD$2&amp;"*FangerPMV(Hourly)",'Eplus results'!$1:$1048576,ROW(),FALSE)</f>
        <v>0</v>
      </c>
      <c r="AD2936" s="580">
        <f t="shared" si="261"/>
        <v>5</v>
      </c>
      <c r="AE2936" s="580">
        <f t="shared" si="262"/>
        <v>2.5</v>
      </c>
      <c r="AF2936" s="580">
        <f t="shared" si="263"/>
        <v>2.5</v>
      </c>
      <c r="AG2936" s="580">
        <f t="shared" si="264"/>
        <v>0</v>
      </c>
      <c r="AH2936" s="580">
        <f t="shared" si="265"/>
        <v>0</v>
      </c>
    </row>
    <row r="2937" spans="28:34">
      <c r="AB2937" s="580">
        <f>HLOOKUP("*"&amp;'Output annual'!$AC$2&amp;'Output annual'!$AD$2&amp;"*Zone People Number Of Occupants [](Hourly)",'Eplus results'!$1:$1048576,ROW(),FALSE)</f>
        <v>0</v>
      </c>
      <c r="AC2937" s="580">
        <f>HLOOKUP("*"&amp;'Output annual'!$AC$2&amp;'Output annual'!$AD$2&amp;"*FangerPMV(Hourly)",'Eplus results'!$1:$1048576,ROW(),FALSE)</f>
        <v>0</v>
      </c>
      <c r="AD2937" s="580">
        <f t="shared" si="261"/>
        <v>5</v>
      </c>
      <c r="AE2937" s="580">
        <f t="shared" si="262"/>
        <v>2.5</v>
      </c>
      <c r="AF2937" s="580">
        <f t="shared" si="263"/>
        <v>2.5</v>
      </c>
      <c r="AG2937" s="580">
        <f t="shared" si="264"/>
        <v>0</v>
      </c>
      <c r="AH2937" s="580">
        <f t="shared" si="265"/>
        <v>0</v>
      </c>
    </row>
    <row r="2938" spans="28:34">
      <c r="AB2938" s="580">
        <f>HLOOKUP("*"&amp;'Output annual'!$AC$2&amp;'Output annual'!$AD$2&amp;"*Zone People Number Of Occupants [](Hourly)",'Eplus results'!$1:$1048576,ROW(),FALSE)</f>
        <v>0</v>
      </c>
      <c r="AC2938" s="580">
        <f>HLOOKUP("*"&amp;'Output annual'!$AC$2&amp;'Output annual'!$AD$2&amp;"*FangerPMV(Hourly)",'Eplus results'!$1:$1048576,ROW(),FALSE)</f>
        <v>0</v>
      </c>
      <c r="AD2938" s="580">
        <f t="shared" si="261"/>
        <v>5</v>
      </c>
      <c r="AE2938" s="580">
        <f t="shared" si="262"/>
        <v>2.5</v>
      </c>
      <c r="AF2938" s="580">
        <f t="shared" si="263"/>
        <v>2.5</v>
      </c>
      <c r="AG2938" s="580">
        <f t="shared" si="264"/>
        <v>0</v>
      </c>
      <c r="AH2938" s="580">
        <f t="shared" si="265"/>
        <v>0</v>
      </c>
    </row>
    <row r="2939" spans="28:34">
      <c r="AB2939" s="580">
        <f>HLOOKUP("*"&amp;'Output annual'!$AC$2&amp;'Output annual'!$AD$2&amp;"*Zone People Number Of Occupants [](Hourly)",'Eplus results'!$1:$1048576,ROW(),FALSE)</f>
        <v>0</v>
      </c>
      <c r="AC2939" s="580">
        <f>HLOOKUP("*"&amp;'Output annual'!$AC$2&amp;'Output annual'!$AD$2&amp;"*FangerPMV(Hourly)",'Eplus results'!$1:$1048576,ROW(),FALSE)</f>
        <v>0</v>
      </c>
      <c r="AD2939" s="580">
        <f t="shared" si="261"/>
        <v>5</v>
      </c>
      <c r="AE2939" s="580">
        <f t="shared" si="262"/>
        <v>2.5</v>
      </c>
      <c r="AF2939" s="580">
        <f t="shared" si="263"/>
        <v>2.5</v>
      </c>
      <c r="AG2939" s="580">
        <f t="shared" si="264"/>
        <v>0</v>
      </c>
      <c r="AH2939" s="580">
        <f t="shared" si="265"/>
        <v>0</v>
      </c>
    </row>
    <row r="2940" spans="28:34">
      <c r="AB2940" s="580">
        <f>HLOOKUP("*"&amp;'Output annual'!$AC$2&amp;'Output annual'!$AD$2&amp;"*Zone People Number Of Occupants [](Hourly)",'Eplus results'!$1:$1048576,ROW(),FALSE)</f>
        <v>0</v>
      </c>
      <c r="AC2940" s="580">
        <f>HLOOKUP("*"&amp;'Output annual'!$AC$2&amp;'Output annual'!$AD$2&amp;"*FangerPMV(Hourly)",'Eplus results'!$1:$1048576,ROW(),FALSE)</f>
        <v>0</v>
      </c>
      <c r="AD2940" s="580">
        <f t="shared" si="261"/>
        <v>5</v>
      </c>
      <c r="AE2940" s="580">
        <f t="shared" si="262"/>
        <v>2.5</v>
      </c>
      <c r="AF2940" s="580">
        <f t="shared" si="263"/>
        <v>2.5</v>
      </c>
      <c r="AG2940" s="580">
        <f t="shared" si="264"/>
        <v>0</v>
      </c>
      <c r="AH2940" s="580">
        <f t="shared" si="265"/>
        <v>0</v>
      </c>
    </row>
    <row r="2941" spans="28:34">
      <c r="AB2941" s="580">
        <f>HLOOKUP("*"&amp;'Output annual'!$AC$2&amp;'Output annual'!$AD$2&amp;"*Zone People Number Of Occupants [](Hourly)",'Eplus results'!$1:$1048576,ROW(),FALSE)</f>
        <v>0</v>
      </c>
      <c r="AC2941" s="580">
        <f>HLOOKUP("*"&amp;'Output annual'!$AC$2&amp;'Output annual'!$AD$2&amp;"*FangerPMV(Hourly)",'Eplus results'!$1:$1048576,ROW(),FALSE)</f>
        <v>0</v>
      </c>
      <c r="AD2941" s="580">
        <f t="shared" si="261"/>
        <v>5</v>
      </c>
      <c r="AE2941" s="580">
        <f t="shared" si="262"/>
        <v>2.5</v>
      </c>
      <c r="AF2941" s="580">
        <f t="shared" si="263"/>
        <v>2.5</v>
      </c>
      <c r="AG2941" s="580">
        <f t="shared" si="264"/>
        <v>0</v>
      </c>
      <c r="AH2941" s="580">
        <f t="shared" si="265"/>
        <v>0</v>
      </c>
    </row>
    <row r="2942" spans="28:34">
      <c r="AB2942" s="580">
        <f>HLOOKUP("*"&amp;'Output annual'!$AC$2&amp;'Output annual'!$AD$2&amp;"*Zone People Number Of Occupants [](Hourly)",'Eplus results'!$1:$1048576,ROW(),FALSE)</f>
        <v>0</v>
      </c>
      <c r="AC2942" s="580">
        <f>HLOOKUP("*"&amp;'Output annual'!$AC$2&amp;'Output annual'!$AD$2&amp;"*FangerPMV(Hourly)",'Eplus results'!$1:$1048576,ROW(),FALSE)</f>
        <v>0</v>
      </c>
      <c r="AD2942" s="580">
        <f t="shared" si="261"/>
        <v>5</v>
      </c>
      <c r="AE2942" s="580">
        <f t="shared" si="262"/>
        <v>2.5</v>
      </c>
      <c r="AF2942" s="580">
        <f t="shared" si="263"/>
        <v>2.5</v>
      </c>
      <c r="AG2942" s="580">
        <f t="shared" si="264"/>
        <v>0</v>
      </c>
      <c r="AH2942" s="580">
        <f t="shared" si="265"/>
        <v>0</v>
      </c>
    </row>
    <row r="2943" spans="28:34">
      <c r="AB2943" s="580">
        <f>HLOOKUP("*"&amp;'Output annual'!$AC$2&amp;'Output annual'!$AD$2&amp;"*Zone People Number Of Occupants [](Hourly)",'Eplus results'!$1:$1048576,ROW(),FALSE)</f>
        <v>0</v>
      </c>
      <c r="AC2943" s="580">
        <f>HLOOKUP("*"&amp;'Output annual'!$AC$2&amp;'Output annual'!$AD$2&amp;"*FangerPMV(Hourly)",'Eplus results'!$1:$1048576,ROW(),FALSE)</f>
        <v>0</v>
      </c>
      <c r="AD2943" s="580">
        <f t="shared" si="261"/>
        <v>5</v>
      </c>
      <c r="AE2943" s="580">
        <f t="shared" si="262"/>
        <v>2.5</v>
      </c>
      <c r="AF2943" s="580">
        <f t="shared" si="263"/>
        <v>2.5</v>
      </c>
      <c r="AG2943" s="580">
        <f t="shared" si="264"/>
        <v>0</v>
      </c>
      <c r="AH2943" s="580">
        <f t="shared" si="265"/>
        <v>0</v>
      </c>
    </row>
    <row r="2944" spans="28:34">
      <c r="AB2944" s="580">
        <f>HLOOKUP("*"&amp;'Output annual'!$AC$2&amp;'Output annual'!$AD$2&amp;"*Zone People Number Of Occupants [](Hourly)",'Eplus results'!$1:$1048576,ROW(),FALSE)</f>
        <v>0</v>
      </c>
      <c r="AC2944" s="580">
        <f>HLOOKUP("*"&amp;'Output annual'!$AC$2&amp;'Output annual'!$AD$2&amp;"*FangerPMV(Hourly)",'Eplus results'!$1:$1048576,ROW(),FALSE)</f>
        <v>0</v>
      </c>
      <c r="AD2944" s="580">
        <f t="shared" si="261"/>
        <v>5</v>
      </c>
      <c r="AE2944" s="580">
        <f t="shared" si="262"/>
        <v>2.5</v>
      </c>
      <c r="AF2944" s="580">
        <f t="shared" si="263"/>
        <v>2.5</v>
      </c>
      <c r="AG2944" s="580">
        <f t="shared" si="264"/>
        <v>0</v>
      </c>
      <c r="AH2944" s="580">
        <f t="shared" si="265"/>
        <v>0</v>
      </c>
    </row>
    <row r="2945" spans="28:34">
      <c r="AB2945" s="580">
        <f>HLOOKUP("*"&amp;'Output annual'!$AC$2&amp;'Output annual'!$AD$2&amp;"*Zone People Number Of Occupants [](Hourly)",'Eplus results'!$1:$1048576,ROW(),FALSE)</f>
        <v>0</v>
      </c>
      <c r="AC2945" s="580">
        <f>HLOOKUP("*"&amp;'Output annual'!$AC$2&amp;'Output annual'!$AD$2&amp;"*FangerPMV(Hourly)",'Eplus results'!$1:$1048576,ROW(),FALSE)</f>
        <v>0</v>
      </c>
      <c r="AD2945" s="580">
        <f t="shared" si="261"/>
        <v>5</v>
      </c>
      <c r="AE2945" s="580">
        <f t="shared" si="262"/>
        <v>2.5</v>
      </c>
      <c r="AF2945" s="580">
        <f t="shared" si="263"/>
        <v>2.5</v>
      </c>
      <c r="AG2945" s="580">
        <f t="shared" si="264"/>
        <v>0</v>
      </c>
      <c r="AH2945" s="580">
        <f t="shared" si="265"/>
        <v>0</v>
      </c>
    </row>
    <row r="2946" spans="28:34">
      <c r="AB2946" s="580">
        <f>HLOOKUP("*"&amp;'Output annual'!$AC$2&amp;'Output annual'!$AD$2&amp;"*Zone People Number Of Occupants [](Hourly)",'Eplus results'!$1:$1048576,ROW(),FALSE)</f>
        <v>0</v>
      </c>
      <c r="AC2946" s="580">
        <f>HLOOKUP("*"&amp;'Output annual'!$AC$2&amp;'Output annual'!$AD$2&amp;"*FangerPMV(Hourly)",'Eplus results'!$1:$1048576,ROW(),FALSE)</f>
        <v>0</v>
      </c>
      <c r="AD2946" s="580">
        <f t="shared" si="261"/>
        <v>5</v>
      </c>
      <c r="AE2946" s="580">
        <f t="shared" si="262"/>
        <v>2.5</v>
      </c>
      <c r="AF2946" s="580">
        <f t="shared" si="263"/>
        <v>2.5</v>
      </c>
      <c r="AG2946" s="580">
        <f t="shared" si="264"/>
        <v>0</v>
      </c>
      <c r="AH2946" s="580">
        <f t="shared" si="265"/>
        <v>0</v>
      </c>
    </row>
    <row r="2947" spans="28:34">
      <c r="AB2947" s="580">
        <f>HLOOKUP("*"&amp;'Output annual'!$AC$2&amp;'Output annual'!$AD$2&amp;"*Zone People Number Of Occupants [](Hourly)",'Eplus results'!$1:$1048576,ROW(),FALSE)</f>
        <v>0</v>
      </c>
      <c r="AC2947" s="580">
        <f>HLOOKUP("*"&amp;'Output annual'!$AC$2&amp;'Output annual'!$AD$2&amp;"*FangerPMV(Hourly)",'Eplus results'!$1:$1048576,ROW(),FALSE)</f>
        <v>0</v>
      </c>
      <c r="AD2947" s="580">
        <f t="shared" ref="AD2947:AD3010" si="266">100-95*EXP(-0.03353*AC2947^4-0.2179*AC2947^2)</f>
        <v>5</v>
      </c>
      <c r="AE2947" s="580">
        <f t="shared" ref="AE2947:AE3010" si="267">AD2947*(1/(1+EXP(-6.3*$AC2947)))</f>
        <v>2.5</v>
      </c>
      <c r="AF2947" s="580">
        <f t="shared" ref="AF2947:AF3010" si="268">(AD2947-AE2947)</f>
        <v>2.5</v>
      </c>
      <c r="AG2947" s="580">
        <f t="shared" ref="AG2947:AG3010" si="269">AE2947*AB2947</f>
        <v>0</v>
      </c>
      <c r="AH2947" s="580">
        <f t="shared" ref="AH2947:AH3010" si="270">AF2947*AB2947</f>
        <v>0</v>
      </c>
    </row>
    <row r="2948" spans="28:34">
      <c r="AB2948" s="580">
        <f>HLOOKUP("*"&amp;'Output annual'!$AC$2&amp;'Output annual'!$AD$2&amp;"*Zone People Number Of Occupants [](Hourly)",'Eplus results'!$1:$1048576,ROW(),FALSE)</f>
        <v>0</v>
      </c>
      <c r="AC2948" s="580">
        <f>HLOOKUP("*"&amp;'Output annual'!$AC$2&amp;'Output annual'!$AD$2&amp;"*FangerPMV(Hourly)",'Eplus results'!$1:$1048576,ROW(),FALSE)</f>
        <v>0</v>
      </c>
      <c r="AD2948" s="580">
        <f t="shared" si="266"/>
        <v>5</v>
      </c>
      <c r="AE2948" s="580">
        <f t="shared" si="267"/>
        <v>2.5</v>
      </c>
      <c r="AF2948" s="580">
        <f t="shared" si="268"/>
        <v>2.5</v>
      </c>
      <c r="AG2948" s="580">
        <f t="shared" si="269"/>
        <v>0</v>
      </c>
      <c r="AH2948" s="580">
        <f t="shared" si="270"/>
        <v>0</v>
      </c>
    </row>
    <row r="2949" spans="28:34">
      <c r="AB2949" s="580">
        <f>HLOOKUP("*"&amp;'Output annual'!$AC$2&amp;'Output annual'!$AD$2&amp;"*Zone People Number Of Occupants [](Hourly)",'Eplus results'!$1:$1048576,ROW(),FALSE)</f>
        <v>0</v>
      </c>
      <c r="AC2949" s="580">
        <f>HLOOKUP("*"&amp;'Output annual'!$AC$2&amp;'Output annual'!$AD$2&amp;"*FangerPMV(Hourly)",'Eplus results'!$1:$1048576,ROW(),FALSE)</f>
        <v>0</v>
      </c>
      <c r="AD2949" s="580">
        <f t="shared" si="266"/>
        <v>5</v>
      </c>
      <c r="AE2949" s="580">
        <f t="shared" si="267"/>
        <v>2.5</v>
      </c>
      <c r="AF2949" s="580">
        <f t="shared" si="268"/>
        <v>2.5</v>
      </c>
      <c r="AG2949" s="580">
        <f t="shared" si="269"/>
        <v>0</v>
      </c>
      <c r="AH2949" s="580">
        <f t="shared" si="270"/>
        <v>0</v>
      </c>
    </row>
    <row r="2950" spans="28:34">
      <c r="AB2950" s="580">
        <f>HLOOKUP("*"&amp;'Output annual'!$AC$2&amp;'Output annual'!$AD$2&amp;"*Zone People Number Of Occupants [](Hourly)",'Eplus results'!$1:$1048576,ROW(),FALSE)</f>
        <v>0</v>
      </c>
      <c r="AC2950" s="580">
        <f>HLOOKUP("*"&amp;'Output annual'!$AC$2&amp;'Output annual'!$AD$2&amp;"*FangerPMV(Hourly)",'Eplus results'!$1:$1048576,ROW(),FALSE)</f>
        <v>0</v>
      </c>
      <c r="AD2950" s="580">
        <f t="shared" si="266"/>
        <v>5</v>
      </c>
      <c r="AE2950" s="580">
        <f t="shared" si="267"/>
        <v>2.5</v>
      </c>
      <c r="AF2950" s="580">
        <f t="shared" si="268"/>
        <v>2.5</v>
      </c>
      <c r="AG2950" s="580">
        <f t="shared" si="269"/>
        <v>0</v>
      </c>
      <c r="AH2950" s="580">
        <f t="shared" si="270"/>
        <v>0</v>
      </c>
    </row>
    <row r="2951" spans="28:34">
      <c r="AB2951" s="580">
        <f>HLOOKUP("*"&amp;'Output annual'!$AC$2&amp;'Output annual'!$AD$2&amp;"*Zone People Number Of Occupants [](Hourly)",'Eplus results'!$1:$1048576,ROW(),FALSE)</f>
        <v>0</v>
      </c>
      <c r="AC2951" s="580">
        <f>HLOOKUP("*"&amp;'Output annual'!$AC$2&amp;'Output annual'!$AD$2&amp;"*FangerPMV(Hourly)",'Eplus results'!$1:$1048576,ROW(),FALSE)</f>
        <v>0</v>
      </c>
      <c r="AD2951" s="580">
        <f t="shared" si="266"/>
        <v>5</v>
      </c>
      <c r="AE2951" s="580">
        <f t="shared" si="267"/>
        <v>2.5</v>
      </c>
      <c r="AF2951" s="580">
        <f t="shared" si="268"/>
        <v>2.5</v>
      </c>
      <c r="AG2951" s="580">
        <f t="shared" si="269"/>
        <v>0</v>
      </c>
      <c r="AH2951" s="580">
        <f t="shared" si="270"/>
        <v>0</v>
      </c>
    </row>
    <row r="2952" spans="28:34">
      <c r="AB2952" s="580">
        <f>HLOOKUP("*"&amp;'Output annual'!$AC$2&amp;'Output annual'!$AD$2&amp;"*Zone People Number Of Occupants [](Hourly)",'Eplus results'!$1:$1048576,ROW(),FALSE)</f>
        <v>0</v>
      </c>
      <c r="AC2952" s="580">
        <f>HLOOKUP("*"&amp;'Output annual'!$AC$2&amp;'Output annual'!$AD$2&amp;"*FangerPMV(Hourly)",'Eplus results'!$1:$1048576,ROW(),FALSE)</f>
        <v>0</v>
      </c>
      <c r="AD2952" s="580">
        <f t="shared" si="266"/>
        <v>5</v>
      </c>
      <c r="AE2952" s="580">
        <f t="shared" si="267"/>
        <v>2.5</v>
      </c>
      <c r="AF2952" s="580">
        <f t="shared" si="268"/>
        <v>2.5</v>
      </c>
      <c r="AG2952" s="580">
        <f t="shared" si="269"/>
        <v>0</v>
      </c>
      <c r="AH2952" s="580">
        <f t="shared" si="270"/>
        <v>0</v>
      </c>
    </row>
    <row r="2953" spans="28:34">
      <c r="AB2953" s="580">
        <f>HLOOKUP("*"&amp;'Output annual'!$AC$2&amp;'Output annual'!$AD$2&amp;"*Zone People Number Of Occupants [](Hourly)",'Eplus results'!$1:$1048576,ROW(),FALSE)</f>
        <v>0</v>
      </c>
      <c r="AC2953" s="580">
        <f>HLOOKUP("*"&amp;'Output annual'!$AC$2&amp;'Output annual'!$AD$2&amp;"*FangerPMV(Hourly)",'Eplus results'!$1:$1048576,ROW(),FALSE)</f>
        <v>0</v>
      </c>
      <c r="AD2953" s="580">
        <f t="shared" si="266"/>
        <v>5</v>
      </c>
      <c r="AE2953" s="580">
        <f t="shared" si="267"/>
        <v>2.5</v>
      </c>
      <c r="AF2953" s="580">
        <f t="shared" si="268"/>
        <v>2.5</v>
      </c>
      <c r="AG2953" s="580">
        <f t="shared" si="269"/>
        <v>0</v>
      </c>
      <c r="AH2953" s="580">
        <f t="shared" si="270"/>
        <v>0</v>
      </c>
    </row>
    <row r="2954" spans="28:34">
      <c r="AB2954" s="580">
        <f>HLOOKUP("*"&amp;'Output annual'!$AC$2&amp;'Output annual'!$AD$2&amp;"*Zone People Number Of Occupants [](Hourly)",'Eplus results'!$1:$1048576,ROW(),FALSE)</f>
        <v>0</v>
      </c>
      <c r="AC2954" s="580">
        <f>HLOOKUP("*"&amp;'Output annual'!$AC$2&amp;'Output annual'!$AD$2&amp;"*FangerPMV(Hourly)",'Eplus results'!$1:$1048576,ROW(),FALSE)</f>
        <v>0</v>
      </c>
      <c r="AD2954" s="580">
        <f t="shared" si="266"/>
        <v>5</v>
      </c>
      <c r="AE2954" s="580">
        <f t="shared" si="267"/>
        <v>2.5</v>
      </c>
      <c r="AF2954" s="580">
        <f t="shared" si="268"/>
        <v>2.5</v>
      </c>
      <c r="AG2954" s="580">
        <f t="shared" si="269"/>
        <v>0</v>
      </c>
      <c r="AH2954" s="580">
        <f t="shared" si="270"/>
        <v>0</v>
      </c>
    </row>
    <row r="2955" spans="28:34">
      <c r="AB2955" s="580">
        <f>HLOOKUP("*"&amp;'Output annual'!$AC$2&amp;'Output annual'!$AD$2&amp;"*Zone People Number Of Occupants [](Hourly)",'Eplus results'!$1:$1048576,ROW(),FALSE)</f>
        <v>0</v>
      </c>
      <c r="AC2955" s="580">
        <f>HLOOKUP("*"&amp;'Output annual'!$AC$2&amp;'Output annual'!$AD$2&amp;"*FangerPMV(Hourly)",'Eplus results'!$1:$1048576,ROW(),FALSE)</f>
        <v>0</v>
      </c>
      <c r="AD2955" s="580">
        <f t="shared" si="266"/>
        <v>5</v>
      </c>
      <c r="AE2955" s="580">
        <f t="shared" si="267"/>
        <v>2.5</v>
      </c>
      <c r="AF2955" s="580">
        <f t="shared" si="268"/>
        <v>2.5</v>
      </c>
      <c r="AG2955" s="580">
        <f t="shared" si="269"/>
        <v>0</v>
      </c>
      <c r="AH2955" s="580">
        <f t="shared" si="270"/>
        <v>0</v>
      </c>
    </row>
    <row r="2956" spans="28:34">
      <c r="AB2956" s="580">
        <f>HLOOKUP("*"&amp;'Output annual'!$AC$2&amp;'Output annual'!$AD$2&amp;"*Zone People Number Of Occupants [](Hourly)",'Eplus results'!$1:$1048576,ROW(),FALSE)</f>
        <v>0</v>
      </c>
      <c r="AC2956" s="580">
        <f>HLOOKUP("*"&amp;'Output annual'!$AC$2&amp;'Output annual'!$AD$2&amp;"*FangerPMV(Hourly)",'Eplus results'!$1:$1048576,ROW(),FALSE)</f>
        <v>0</v>
      </c>
      <c r="AD2956" s="580">
        <f t="shared" si="266"/>
        <v>5</v>
      </c>
      <c r="AE2956" s="580">
        <f t="shared" si="267"/>
        <v>2.5</v>
      </c>
      <c r="AF2956" s="580">
        <f t="shared" si="268"/>
        <v>2.5</v>
      </c>
      <c r="AG2956" s="580">
        <f t="shared" si="269"/>
        <v>0</v>
      </c>
      <c r="AH2956" s="580">
        <f t="shared" si="270"/>
        <v>0</v>
      </c>
    </row>
    <row r="2957" spans="28:34">
      <c r="AB2957" s="580">
        <f>HLOOKUP("*"&amp;'Output annual'!$AC$2&amp;'Output annual'!$AD$2&amp;"*Zone People Number Of Occupants [](Hourly)",'Eplus results'!$1:$1048576,ROW(),FALSE)</f>
        <v>0</v>
      </c>
      <c r="AC2957" s="580">
        <f>HLOOKUP("*"&amp;'Output annual'!$AC$2&amp;'Output annual'!$AD$2&amp;"*FangerPMV(Hourly)",'Eplus results'!$1:$1048576,ROW(),FALSE)</f>
        <v>0</v>
      </c>
      <c r="AD2957" s="580">
        <f t="shared" si="266"/>
        <v>5</v>
      </c>
      <c r="AE2957" s="580">
        <f t="shared" si="267"/>
        <v>2.5</v>
      </c>
      <c r="AF2957" s="580">
        <f t="shared" si="268"/>
        <v>2.5</v>
      </c>
      <c r="AG2957" s="580">
        <f t="shared" si="269"/>
        <v>0</v>
      </c>
      <c r="AH2957" s="580">
        <f t="shared" si="270"/>
        <v>0</v>
      </c>
    </row>
    <row r="2958" spans="28:34">
      <c r="AB2958" s="580">
        <f>HLOOKUP("*"&amp;'Output annual'!$AC$2&amp;'Output annual'!$AD$2&amp;"*Zone People Number Of Occupants [](Hourly)",'Eplus results'!$1:$1048576,ROW(),FALSE)</f>
        <v>0</v>
      </c>
      <c r="AC2958" s="580">
        <f>HLOOKUP("*"&amp;'Output annual'!$AC$2&amp;'Output annual'!$AD$2&amp;"*FangerPMV(Hourly)",'Eplus results'!$1:$1048576,ROW(),FALSE)</f>
        <v>0</v>
      </c>
      <c r="AD2958" s="580">
        <f t="shared" si="266"/>
        <v>5</v>
      </c>
      <c r="AE2958" s="580">
        <f t="shared" si="267"/>
        <v>2.5</v>
      </c>
      <c r="AF2958" s="580">
        <f t="shared" si="268"/>
        <v>2.5</v>
      </c>
      <c r="AG2958" s="580">
        <f t="shared" si="269"/>
        <v>0</v>
      </c>
      <c r="AH2958" s="580">
        <f t="shared" si="270"/>
        <v>0</v>
      </c>
    </row>
    <row r="2959" spans="28:34">
      <c r="AB2959" s="580">
        <f>HLOOKUP("*"&amp;'Output annual'!$AC$2&amp;'Output annual'!$AD$2&amp;"*Zone People Number Of Occupants [](Hourly)",'Eplus results'!$1:$1048576,ROW(),FALSE)</f>
        <v>0</v>
      </c>
      <c r="AC2959" s="580">
        <f>HLOOKUP("*"&amp;'Output annual'!$AC$2&amp;'Output annual'!$AD$2&amp;"*FangerPMV(Hourly)",'Eplus results'!$1:$1048576,ROW(),FALSE)</f>
        <v>0</v>
      </c>
      <c r="AD2959" s="580">
        <f t="shared" si="266"/>
        <v>5</v>
      </c>
      <c r="AE2959" s="580">
        <f t="shared" si="267"/>
        <v>2.5</v>
      </c>
      <c r="AF2959" s="580">
        <f t="shared" si="268"/>
        <v>2.5</v>
      </c>
      <c r="AG2959" s="580">
        <f t="shared" si="269"/>
        <v>0</v>
      </c>
      <c r="AH2959" s="580">
        <f t="shared" si="270"/>
        <v>0</v>
      </c>
    </row>
    <row r="2960" spans="28:34">
      <c r="AB2960" s="580">
        <f>HLOOKUP("*"&amp;'Output annual'!$AC$2&amp;'Output annual'!$AD$2&amp;"*Zone People Number Of Occupants [](Hourly)",'Eplus results'!$1:$1048576,ROW(),FALSE)</f>
        <v>0</v>
      </c>
      <c r="AC2960" s="580">
        <f>HLOOKUP("*"&amp;'Output annual'!$AC$2&amp;'Output annual'!$AD$2&amp;"*FangerPMV(Hourly)",'Eplus results'!$1:$1048576,ROW(),FALSE)</f>
        <v>0</v>
      </c>
      <c r="AD2960" s="580">
        <f t="shared" si="266"/>
        <v>5</v>
      </c>
      <c r="AE2960" s="580">
        <f t="shared" si="267"/>
        <v>2.5</v>
      </c>
      <c r="AF2960" s="580">
        <f t="shared" si="268"/>
        <v>2.5</v>
      </c>
      <c r="AG2960" s="580">
        <f t="shared" si="269"/>
        <v>0</v>
      </c>
      <c r="AH2960" s="580">
        <f t="shared" si="270"/>
        <v>0</v>
      </c>
    </row>
    <row r="2961" spans="28:34">
      <c r="AB2961" s="580">
        <f>HLOOKUP("*"&amp;'Output annual'!$AC$2&amp;'Output annual'!$AD$2&amp;"*Zone People Number Of Occupants [](Hourly)",'Eplus results'!$1:$1048576,ROW(),FALSE)</f>
        <v>0</v>
      </c>
      <c r="AC2961" s="580">
        <f>HLOOKUP("*"&amp;'Output annual'!$AC$2&amp;'Output annual'!$AD$2&amp;"*FangerPMV(Hourly)",'Eplus results'!$1:$1048576,ROW(),FALSE)</f>
        <v>0</v>
      </c>
      <c r="AD2961" s="580">
        <f t="shared" si="266"/>
        <v>5</v>
      </c>
      <c r="AE2961" s="580">
        <f t="shared" si="267"/>
        <v>2.5</v>
      </c>
      <c r="AF2961" s="580">
        <f t="shared" si="268"/>
        <v>2.5</v>
      </c>
      <c r="AG2961" s="580">
        <f t="shared" si="269"/>
        <v>0</v>
      </c>
      <c r="AH2961" s="580">
        <f t="shared" si="270"/>
        <v>0</v>
      </c>
    </row>
    <row r="2962" spans="28:34">
      <c r="AB2962" s="580">
        <f>HLOOKUP("*"&amp;'Output annual'!$AC$2&amp;'Output annual'!$AD$2&amp;"*Zone People Number Of Occupants [](Hourly)",'Eplus results'!$1:$1048576,ROW(),FALSE)</f>
        <v>0</v>
      </c>
      <c r="AC2962" s="580">
        <f>HLOOKUP("*"&amp;'Output annual'!$AC$2&amp;'Output annual'!$AD$2&amp;"*FangerPMV(Hourly)",'Eplus results'!$1:$1048576,ROW(),FALSE)</f>
        <v>0</v>
      </c>
      <c r="AD2962" s="580">
        <f t="shared" si="266"/>
        <v>5</v>
      </c>
      <c r="AE2962" s="580">
        <f t="shared" si="267"/>
        <v>2.5</v>
      </c>
      <c r="AF2962" s="580">
        <f t="shared" si="268"/>
        <v>2.5</v>
      </c>
      <c r="AG2962" s="580">
        <f t="shared" si="269"/>
        <v>0</v>
      </c>
      <c r="AH2962" s="580">
        <f t="shared" si="270"/>
        <v>0</v>
      </c>
    </row>
    <row r="2963" spans="28:34">
      <c r="AB2963" s="580">
        <f>HLOOKUP("*"&amp;'Output annual'!$AC$2&amp;'Output annual'!$AD$2&amp;"*Zone People Number Of Occupants [](Hourly)",'Eplus results'!$1:$1048576,ROW(),FALSE)</f>
        <v>0</v>
      </c>
      <c r="AC2963" s="580">
        <f>HLOOKUP("*"&amp;'Output annual'!$AC$2&amp;'Output annual'!$AD$2&amp;"*FangerPMV(Hourly)",'Eplus results'!$1:$1048576,ROW(),FALSE)</f>
        <v>0</v>
      </c>
      <c r="AD2963" s="580">
        <f t="shared" si="266"/>
        <v>5</v>
      </c>
      <c r="AE2963" s="580">
        <f t="shared" si="267"/>
        <v>2.5</v>
      </c>
      <c r="AF2963" s="580">
        <f t="shared" si="268"/>
        <v>2.5</v>
      </c>
      <c r="AG2963" s="580">
        <f t="shared" si="269"/>
        <v>0</v>
      </c>
      <c r="AH2963" s="580">
        <f t="shared" si="270"/>
        <v>0</v>
      </c>
    </row>
    <row r="2964" spans="28:34">
      <c r="AB2964" s="580">
        <f>HLOOKUP("*"&amp;'Output annual'!$AC$2&amp;'Output annual'!$AD$2&amp;"*Zone People Number Of Occupants [](Hourly)",'Eplus results'!$1:$1048576,ROW(),FALSE)</f>
        <v>0</v>
      </c>
      <c r="AC2964" s="580">
        <f>HLOOKUP("*"&amp;'Output annual'!$AC$2&amp;'Output annual'!$AD$2&amp;"*FangerPMV(Hourly)",'Eplus results'!$1:$1048576,ROW(),FALSE)</f>
        <v>0</v>
      </c>
      <c r="AD2964" s="580">
        <f t="shared" si="266"/>
        <v>5</v>
      </c>
      <c r="AE2964" s="580">
        <f t="shared" si="267"/>
        <v>2.5</v>
      </c>
      <c r="AF2964" s="580">
        <f t="shared" si="268"/>
        <v>2.5</v>
      </c>
      <c r="AG2964" s="580">
        <f t="shared" si="269"/>
        <v>0</v>
      </c>
      <c r="AH2964" s="580">
        <f t="shared" si="270"/>
        <v>0</v>
      </c>
    </row>
    <row r="2965" spans="28:34">
      <c r="AB2965" s="580">
        <f>HLOOKUP("*"&amp;'Output annual'!$AC$2&amp;'Output annual'!$AD$2&amp;"*Zone People Number Of Occupants [](Hourly)",'Eplus results'!$1:$1048576,ROW(),FALSE)</f>
        <v>0</v>
      </c>
      <c r="AC2965" s="580">
        <f>HLOOKUP("*"&amp;'Output annual'!$AC$2&amp;'Output annual'!$AD$2&amp;"*FangerPMV(Hourly)",'Eplus results'!$1:$1048576,ROW(),FALSE)</f>
        <v>0</v>
      </c>
      <c r="AD2965" s="580">
        <f t="shared" si="266"/>
        <v>5</v>
      </c>
      <c r="AE2965" s="580">
        <f t="shared" si="267"/>
        <v>2.5</v>
      </c>
      <c r="AF2965" s="580">
        <f t="shared" si="268"/>
        <v>2.5</v>
      </c>
      <c r="AG2965" s="580">
        <f t="shared" si="269"/>
        <v>0</v>
      </c>
      <c r="AH2965" s="580">
        <f t="shared" si="270"/>
        <v>0</v>
      </c>
    </row>
    <row r="2966" spans="28:34">
      <c r="AB2966" s="580">
        <f>HLOOKUP("*"&amp;'Output annual'!$AC$2&amp;'Output annual'!$AD$2&amp;"*Zone People Number Of Occupants [](Hourly)",'Eplus results'!$1:$1048576,ROW(),FALSE)</f>
        <v>0</v>
      </c>
      <c r="AC2966" s="580">
        <f>HLOOKUP("*"&amp;'Output annual'!$AC$2&amp;'Output annual'!$AD$2&amp;"*FangerPMV(Hourly)",'Eplus results'!$1:$1048576,ROW(),FALSE)</f>
        <v>0</v>
      </c>
      <c r="AD2966" s="580">
        <f t="shared" si="266"/>
        <v>5</v>
      </c>
      <c r="AE2966" s="580">
        <f t="shared" si="267"/>
        <v>2.5</v>
      </c>
      <c r="AF2966" s="580">
        <f t="shared" si="268"/>
        <v>2.5</v>
      </c>
      <c r="AG2966" s="580">
        <f t="shared" si="269"/>
        <v>0</v>
      </c>
      <c r="AH2966" s="580">
        <f t="shared" si="270"/>
        <v>0</v>
      </c>
    </row>
    <row r="2967" spans="28:34">
      <c r="AB2967" s="580">
        <f>HLOOKUP("*"&amp;'Output annual'!$AC$2&amp;'Output annual'!$AD$2&amp;"*Zone People Number Of Occupants [](Hourly)",'Eplus results'!$1:$1048576,ROW(),FALSE)</f>
        <v>0</v>
      </c>
      <c r="AC2967" s="580">
        <f>HLOOKUP("*"&amp;'Output annual'!$AC$2&amp;'Output annual'!$AD$2&amp;"*FangerPMV(Hourly)",'Eplus results'!$1:$1048576,ROW(),FALSE)</f>
        <v>0</v>
      </c>
      <c r="AD2967" s="580">
        <f t="shared" si="266"/>
        <v>5</v>
      </c>
      <c r="AE2967" s="580">
        <f t="shared" si="267"/>
        <v>2.5</v>
      </c>
      <c r="AF2967" s="580">
        <f t="shared" si="268"/>
        <v>2.5</v>
      </c>
      <c r="AG2967" s="580">
        <f t="shared" si="269"/>
        <v>0</v>
      </c>
      <c r="AH2967" s="580">
        <f t="shared" si="270"/>
        <v>0</v>
      </c>
    </row>
    <row r="2968" spans="28:34">
      <c r="AB2968" s="580">
        <f>HLOOKUP("*"&amp;'Output annual'!$AC$2&amp;'Output annual'!$AD$2&amp;"*Zone People Number Of Occupants [](Hourly)",'Eplus results'!$1:$1048576,ROW(),FALSE)</f>
        <v>0</v>
      </c>
      <c r="AC2968" s="580">
        <f>HLOOKUP("*"&amp;'Output annual'!$AC$2&amp;'Output annual'!$AD$2&amp;"*FangerPMV(Hourly)",'Eplus results'!$1:$1048576,ROW(),FALSE)</f>
        <v>0</v>
      </c>
      <c r="AD2968" s="580">
        <f t="shared" si="266"/>
        <v>5</v>
      </c>
      <c r="AE2968" s="580">
        <f t="shared" si="267"/>
        <v>2.5</v>
      </c>
      <c r="AF2968" s="580">
        <f t="shared" si="268"/>
        <v>2.5</v>
      </c>
      <c r="AG2968" s="580">
        <f t="shared" si="269"/>
        <v>0</v>
      </c>
      <c r="AH2968" s="580">
        <f t="shared" si="270"/>
        <v>0</v>
      </c>
    </row>
    <row r="2969" spans="28:34">
      <c r="AB2969" s="580">
        <f>HLOOKUP("*"&amp;'Output annual'!$AC$2&amp;'Output annual'!$AD$2&amp;"*Zone People Number Of Occupants [](Hourly)",'Eplus results'!$1:$1048576,ROW(),FALSE)</f>
        <v>0</v>
      </c>
      <c r="AC2969" s="580">
        <f>HLOOKUP("*"&amp;'Output annual'!$AC$2&amp;'Output annual'!$AD$2&amp;"*FangerPMV(Hourly)",'Eplus results'!$1:$1048576,ROW(),FALSE)</f>
        <v>0</v>
      </c>
      <c r="AD2969" s="580">
        <f t="shared" si="266"/>
        <v>5</v>
      </c>
      <c r="AE2969" s="580">
        <f t="shared" si="267"/>
        <v>2.5</v>
      </c>
      <c r="AF2969" s="580">
        <f t="shared" si="268"/>
        <v>2.5</v>
      </c>
      <c r="AG2969" s="580">
        <f t="shared" si="269"/>
        <v>0</v>
      </c>
      <c r="AH2969" s="580">
        <f t="shared" si="270"/>
        <v>0</v>
      </c>
    </row>
    <row r="2970" spans="28:34">
      <c r="AB2970" s="580">
        <f>HLOOKUP("*"&amp;'Output annual'!$AC$2&amp;'Output annual'!$AD$2&amp;"*Zone People Number Of Occupants [](Hourly)",'Eplus results'!$1:$1048576,ROW(),FALSE)</f>
        <v>0</v>
      </c>
      <c r="AC2970" s="580">
        <f>HLOOKUP("*"&amp;'Output annual'!$AC$2&amp;'Output annual'!$AD$2&amp;"*FangerPMV(Hourly)",'Eplus results'!$1:$1048576,ROW(),FALSE)</f>
        <v>0</v>
      </c>
      <c r="AD2970" s="580">
        <f t="shared" si="266"/>
        <v>5</v>
      </c>
      <c r="AE2970" s="580">
        <f t="shared" si="267"/>
        <v>2.5</v>
      </c>
      <c r="AF2970" s="580">
        <f t="shared" si="268"/>
        <v>2.5</v>
      </c>
      <c r="AG2970" s="580">
        <f t="shared" si="269"/>
        <v>0</v>
      </c>
      <c r="AH2970" s="580">
        <f t="shared" si="270"/>
        <v>0</v>
      </c>
    </row>
    <row r="2971" spans="28:34">
      <c r="AB2971" s="580">
        <f>HLOOKUP("*"&amp;'Output annual'!$AC$2&amp;'Output annual'!$AD$2&amp;"*Zone People Number Of Occupants [](Hourly)",'Eplus results'!$1:$1048576,ROW(),FALSE)</f>
        <v>0</v>
      </c>
      <c r="AC2971" s="580">
        <f>HLOOKUP("*"&amp;'Output annual'!$AC$2&amp;'Output annual'!$AD$2&amp;"*FangerPMV(Hourly)",'Eplus results'!$1:$1048576,ROW(),FALSE)</f>
        <v>0</v>
      </c>
      <c r="AD2971" s="580">
        <f t="shared" si="266"/>
        <v>5</v>
      </c>
      <c r="AE2971" s="580">
        <f t="shared" si="267"/>
        <v>2.5</v>
      </c>
      <c r="AF2971" s="580">
        <f t="shared" si="268"/>
        <v>2.5</v>
      </c>
      <c r="AG2971" s="580">
        <f t="shared" si="269"/>
        <v>0</v>
      </c>
      <c r="AH2971" s="580">
        <f t="shared" si="270"/>
        <v>0</v>
      </c>
    </row>
    <row r="2972" spans="28:34">
      <c r="AB2972" s="580">
        <f>HLOOKUP("*"&amp;'Output annual'!$AC$2&amp;'Output annual'!$AD$2&amp;"*Zone People Number Of Occupants [](Hourly)",'Eplus results'!$1:$1048576,ROW(),FALSE)</f>
        <v>0</v>
      </c>
      <c r="AC2972" s="580">
        <f>HLOOKUP("*"&amp;'Output annual'!$AC$2&amp;'Output annual'!$AD$2&amp;"*FangerPMV(Hourly)",'Eplus results'!$1:$1048576,ROW(),FALSE)</f>
        <v>0</v>
      </c>
      <c r="AD2972" s="580">
        <f t="shared" si="266"/>
        <v>5</v>
      </c>
      <c r="AE2972" s="580">
        <f t="shared" si="267"/>
        <v>2.5</v>
      </c>
      <c r="AF2972" s="580">
        <f t="shared" si="268"/>
        <v>2.5</v>
      </c>
      <c r="AG2972" s="580">
        <f t="shared" si="269"/>
        <v>0</v>
      </c>
      <c r="AH2972" s="580">
        <f t="shared" si="270"/>
        <v>0</v>
      </c>
    </row>
    <row r="2973" spans="28:34">
      <c r="AB2973" s="580">
        <f>HLOOKUP("*"&amp;'Output annual'!$AC$2&amp;'Output annual'!$AD$2&amp;"*Zone People Number Of Occupants [](Hourly)",'Eplus results'!$1:$1048576,ROW(),FALSE)</f>
        <v>0</v>
      </c>
      <c r="AC2973" s="580">
        <f>HLOOKUP("*"&amp;'Output annual'!$AC$2&amp;'Output annual'!$AD$2&amp;"*FangerPMV(Hourly)",'Eplus results'!$1:$1048576,ROW(),FALSE)</f>
        <v>0</v>
      </c>
      <c r="AD2973" s="580">
        <f t="shared" si="266"/>
        <v>5</v>
      </c>
      <c r="AE2973" s="580">
        <f t="shared" si="267"/>
        <v>2.5</v>
      </c>
      <c r="AF2973" s="580">
        <f t="shared" si="268"/>
        <v>2.5</v>
      </c>
      <c r="AG2973" s="580">
        <f t="shared" si="269"/>
        <v>0</v>
      </c>
      <c r="AH2973" s="580">
        <f t="shared" si="270"/>
        <v>0</v>
      </c>
    </row>
    <row r="2974" spans="28:34">
      <c r="AB2974" s="580">
        <f>HLOOKUP("*"&amp;'Output annual'!$AC$2&amp;'Output annual'!$AD$2&amp;"*Zone People Number Of Occupants [](Hourly)",'Eplus results'!$1:$1048576,ROW(),FALSE)</f>
        <v>0</v>
      </c>
      <c r="AC2974" s="580">
        <f>HLOOKUP("*"&amp;'Output annual'!$AC$2&amp;'Output annual'!$AD$2&amp;"*FangerPMV(Hourly)",'Eplus results'!$1:$1048576,ROW(),FALSE)</f>
        <v>0</v>
      </c>
      <c r="AD2974" s="580">
        <f t="shared" si="266"/>
        <v>5</v>
      </c>
      <c r="AE2974" s="580">
        <f t="shared" si="267"/>
        <v>2.5</v>
      </c>
      <c r="AF2974" s="580">
        <f t="shared" si="268"/>
        <v>2.5</v>
      </c>
      <c r="AG2974" s="580">
        <f t="shared" si="269"/>
        <v>0</v>
      </c>
      <c r="AH2974" s="580">
        <f t="shared" si="270"/>
        <v>0</v>
      </c>
    </row>
    <row r="2975" spans="28:34">
      <c r="AB2975" s="580">
        <f>HLOOKUP("*"&amp;'Output annual'!$AC$2&amp;'Output annual'!$AD$2&amp;"*Zone People Number Of Occupants [](Hourly)",'Eplus results'!$1:$1048576,ROW(),FALSE)</f>
        <v>0</v>
      </c>
      <c r="AC2975" s="580">
        <f>HLOOKUP("*"&amp;'Output annual'!$AC$2&amp;'Output annual'!$AD$2&amp;"*FangerPMV(Hourly)",'Eplus results'!$1:$1048576,ROW(),FALSE)</f>
        <v>0</v>
      </c>
      <c r="AD2975" s="580">
        <f t="shared" si="266"/>
        <v>5</v>
      </c>
      <c r="AE2975" s="580">
        <f t="shared" si="267"/>
        <v>2.5</v>
      </c>
      <c r="AF2975" s="580">
        <f t="shared" si="268"/>
        <v>2.5</v>
      </c>
      <c r="AG2975" s="580">
        <f t="shared" si="269"/>
        <v>0</v>
      </c>
      <c r="AH2975" s="580">
        <f t="shared" si="270"/>
        <v>0</v>
      </c>
    </row>
    <row r="2976" spans="28:34">
      <c r="AB2976" s="580">
        <f>HLOOKUP("*"&amp;'Output annual'!$AC$2&amp;'Output annual'!$AD$2&amp;"*Zone People Number Of Occupants [](Hourly)",'Eplus results'!$1:$1048576,ROW(),FALSE)</f>
        <v>0</v>
      </c>
      <c r="AC2976" s="580">
        <f>HLOOKUP("*"&amp;'Output annual'!$AC$2&amp;'Output annual'!$AD$2&amp;"*FangerPMV(Hourly)",'Eplus results'!$1:$1048576,ROW(),FALSE)</f>
        <v>0</v>
      </c>
      <c r="AD2976" s="580">
        <f t="shared" si="266"/>
        <v>5</v>
      </c>
      <c r="AE2976" s="580">
        <f t="shared" si="267"/>
        <v>2.5</v>
      </c>
      <c r="AF2976" s="580">
        <f t="shared" si="268"/>
        <v>2.5</v>
      </c>
      <c r="AG2976" s="580">
        <f t="shared" si="269"/>
        <v>0</v>
      </c>
      <c r="AH2976" s="580">
        <f t="shared" si="270"/>
        <v>0</v>
      </c>
    </row>
    <row r="2977" spans="28:34">
      <c r="AB2977" s="580">
        <f>HLOOKUP("*"&amp;'Output annual'!$AC$2&amp;'Output annual'!$AD$2&amp;"*Zone People Number Of Occupants [](Hourly)",'Eplus results'!$1:$1048576,ROW(),FALSE)</f>
        <v>0</v>
      </c>
      <c r="AC2977" s="580">
        <f>HLOOKUP("*"&amp;'Output annual'!$AC$2&amp;'Output annual'!$AD$2&amp;"*FangerPMV(Hourly)",'Eplus results'!$1:$1048576,ROW(),FALSE)</f>
        <v>0</v>
      </c>
      <c r="AD2977" s="580">
        <f t="shared" si="266"/>
        <v>5</v>
      </c>
      <c r="AE2977" s="580">
        <f t="shared" si="267"/>
        <v>2.5</v>
      </c>
      <c r="AF2977" s="580">
        <f t="shared" si="268"/>
        <v>2.5</v>
      </c>
      <c r="AG2977" s="580">
        <f t="shared" si="269"/>
        <v>0</v>
      </c>
      <c r="AH2977" s="580">
        <f t="shared" si="270"/>
        <v>0</v>
      </c>
    </row>
    <row r="2978" spans="28:34">
      <c r="AB2978" s="580">
        <f>HLOOKUP("*"&amp;'Output annual'!$AC$2&amp;'Output annual'!$AD$2&amp;"*Zone People Number Of Occupants [](Hourly)",'Eplus results'!$1:$1048576,ROW(),FALSE)</f>
        <v>0</v>
      </c>
      <c r="AC2978" s="580">
        <f>HLOOKUP("*"&amp;'Output annual'!$AC$2&amp;'Output annual'!$AD$2&amp;"*FangerPMV(Hourly)",'Eplus results'!$1:$1048576,ROW(),FALSE)</f>
        <v>0</v>
      </c>
      <c r="AD2978" s="580">
        <f t="shared" si="266"/>
        <v>5</v>
      </c>
      <c r="AE2978" s="580">
        <f t="shared" si="267"/>
        <v>2.5</v>
      </c>
      <c r="AF2978" s="580">
        <f t="shared" si="268"/>
        <v>2.5</v>
      </c>
      <c r="AG2978" s="580">
        <f t="shared" si="269"/>
        <v>0</v>
      </c>
      <c r="AH2978" s="580">
        <f t="shared" si="270"/>
        <v>0</v>
      </c>
    </row>
    <row r="2979" spans="28:34">
      <c r="AB2979" s="580">
        <f>HLOOKUP("*"&amp;'Output annual'!$AC$2&amp;'Output annual'!$AD$2&amp;"*Zone People Number Of Occupants [](Hourly)",'Eplus results'!$1:$1048576,ROW(),FALSE)</f>
        <v>0</v>
      </c>
      <c r="AC2979" s="580">
        <f>HLOOKUP("*"&amp;'Output annual'!$AC$2&amp;'Output annual'!$AD$2&amp;"*FangerPMV(Hourly)",'Eplus results'!$1:$1048576,ROW(),FALSE)</f>
        <v>0</v>
      </c>
      <c r="AD2979" s="580">
        <f t="shared" si="266"/>
        <v>5</v>
      </c>
      <c r="AE2979" s="580">
        <f t="shared" si="267"/>
        <v>2.5</v>
      </c>
      <c r="AF2979" s="580">
        <f t="shared" si="268"/>
        <v>2.5</v>
      </c>
      <c r="AG2979" s="580">
        <f t="shared" si="269"/>
        <v>0</v>
      </c>
      <c r="AH2979" s="580">
        <f t="shared" si="270"/>
        <v>0</v>
      </c>
    </row>
    <row r="2980" spans="28:34">
      <c r="AB2980" s="580">
        <f>HLOOKUP("*"&amp;'Output annual'!$AC$2&amp;'Output annual'!$AD$2&amp;"*Zone People Number Of Occupants [](Hourly)",'Eplus results'!$1:$1048576,ROW(),FALSE)</f>
        <v>0</v>
      </c>
      <c r="AC2980" s="580">
        <f>HLOOKUP("*"&amp;'Output annual'!$AC$2&amp;'Output annual'!$AD$2&amp;"*FangerPMV(Hourly)",'Eplus results'!$1:$1048576,ROW(),FALSE)</f>
        <v>0</v>
      </c>
      <c r="AD2980" s="580">
        <f t="shared" si="266"/>
        <v>5</v>
      </c>
      <c r="AE2980" s="580">
        <f t="shared" si="267"/>
        <v>2.5</v>
      </c>
      <c r="AF2980" s="580">
        <f t="shared" si="268"/>
        <v>2.5</v>
      </c>
      <c r="AG2980" s="580">
        <f t="shared" si="269"/>
        <v>0</v>
      </c>
      <c r="AH2980" s="580">
        <f t="shared" si="270"/>
        <v>0</v>
      </c>
    </row>
    <row r="2981" spans="28:34">
      <c r="AB2981" s="580">
        <f>HLOOKUP("*"&amp;'Output annual'!$AC$2&amp;'Output annual'!$AD$2&amp;"*Zone People Number Of Occupants [](Hourly)",'Eplus results'!$1:$1048576,ROW(),FALSE)</f>
        <v>0</v>
      </c>
      <c r="AC2981" s="580">
        <f>HLOOKUP("*"&amp;'Output annual'!$AC$2&amp;'Output annual'!$AD$2&amp;"*FangerPMV(Hourly)",'Eplus results'!$1:$1048576,ROW(),FALSE)</f>
        <v>0</v>
      </c>
      <c r="AD2981" s="580">
        <f t="shared" si="266"/>
        <v>5</v>
      </c>
      <c r="AE2981" s="580">
        <f t="shared" si="267"/>
        <v>2.5</v>
      </c>
      <c r="AF2981" s="580">
        <f t="shared" si="268"/>
        <v>2.5</v>
      </c>
      <c r="AG2981" s="580">
        <f t="shared" si="269"/>
        <v>0</v>
      </c>
      <c r="AH2981" s="580">
        <f t="shared" si="270"/>
        <v>0</v>
      </c>
    </row>
    <row r="2982" spans="28:34">
      <c r="AB2982" s="580">
        <f>HLOOKUP("*"&amp;'Output annual'!$AC$2&amp;'Output annual'!$AD$2&amp;"*Zone People Number Of Occupants [](Hourly)",'Eplus results'!$1:$1048576,ROW(),FALSE)</f>
        <v>0</v>
      </c>
      <c r="AC2982" s="580">
        <f>HLOOKUP("*"&amp;'Output annual'!$AC$2&amp;'Output annual'!$AD$2&amp;"*FangerPMV(Hourly)",'Eplus results'!$1:$1048576,ROW(),FALSE)</f>
        <v>0</v>
      </c>
      <c r="AD2982" s="580">
        <f t="shared" si="266"/>
        <v>5</v>
      </c>
      <c r="AE2982" s="580">
        <f t="shared" si="267"/>
        <v>2.5</v>
      </c>
      <c r="AF2982" s="580">
        <f t="shared" si="268"/>
        <v>2.5</v>
      </c>
      <c r="AG2982" s="580">
        <f t="shared" si="269"/>
        <v>0</v>
      </c>
      <c r="AH2982" s="580">
        <f t="shared" si="270"/>
        <v>0</v>
      </c>
    </row>
    <row r="2983" spans="28:34">
      <c r="AB2983" s="580">
        <f>HLOOKUP("*"&amp;'Output annual'!$AC$2&amp;'Output annual'!$AD$2&amp;"*Zone People Number Of Occupants [](Hourly)",'Eplus results'!$1:$1048576,ROW(),FALSE)</f>
        <v>0</v>
      </c>
      <c r="AC2983" s="580">
        <f>HLOOKUP("*"&amp;'Output annual'!$AC$2&amp;'Output annual'!$AD$2&amp;"*FangerPMV(Hourly)",'Eplus results'!$1:$1048576,ROW(),FALSE)</f>
        <v>0</v>
      </c>
      <c r="AD2983" s="580">
        <f t="shared" si="266"/>
        <v>5</v>
      </c>
      <c r="AE2983" s="580">
        <f t="shared" si="267"/>
        <v>2.5</v>
      </c>
      <c r="AF2983" s="580">
        <f t="shared" si="268"/>
        <v>2.5</v>
      </c>
      <c r="AG2983" s="580">
        <f t="shared" si="269"/>
        <v>0</v>
      </c>
      <c r="AH2983" s="580">
        <f t="shared" si="270"/>
        <v>0</v>
      </c>
    </row>
    <row r="2984" spans="28:34">
      <c r="AB2984" s="580">
        <f>HLOOKUP("*"&amp;'Output annual'!$AC$2&amp;'Output annual'!$AD$2&amp;"*Zone People Number Of Occupants [](Hourly)",'Eplus results'!$1:$1048576,ROW(),FALSE)</f>
        <v>0</v>
      </c>
      <c r="AC2984" s="580">
        <f>HLOOKUP("*"&amp;'Output annual'!$AC$2&amp;'Output annual'!$AD$2&amp;"*FangerPMV(Hourly)",'Eplus results'!$1:$1048576,ROW(),FALSE)</f>
        <v>0</v>
      </c>
      <c r="AD2984" s="580">
        <f t="shared" si="266"/>
        <v>5</v>
      </c>
      <c r="AE2984" s="580">
        <f t="shared" si="267"/>
        <v>2.5</v>
      </c>
      <c r="AF2984" s="580">
        <f t="shared" si="268"/>
        <v>2.5</v>
      </c>
      <c r="AG2984" s="580">
        <f t="shared" si="269"/>
        <v>0</v>
      </c>
      <c r="AH2984" s="580">
        <f t="shared" si="270"/>
        <v>0</v>
      </c>
    </row>
    <row r="2985" spans="28:34">
      <c r="AB2985" s="580">
        <f>HLOOKUP("*"&amp;'Output annual'!$AC$2&amp;'Output annual'!$AD$2&amp;"*Zone People Number Of Occupants [](Hourly)",'Eplus results'!$1:$1048576,ROW(),FALSE)</f>
        <v>0</v>
      </c>
      <c r="AC2985" s="580">
        <f>HLOOKUP("*"&amp;'Output annual'!$AC$2&amp;'Output annual'!$AD$2&amp;"*FangerPMV(Hourly)",'Eplus results'!$1:$1048576,ROW(),FALSE)</f>
        <v>0</v>
      </c>
      <c r="AD2985" s="580">
        <f t="shared" si="266"/>
        <v>5</v>
      </c>
      <c r="AE2985" s="580">
        <f t="shared" si="267"/>
        <v>2.5</v>
      </c>
      <c r="AF2985" s="580">
        <f t="shared" si="268"/>
        <v>2.5</v>
      </c>
      <c r="AG2985" s="580">
        <f t="shared" si="269"/>
        <v>0</v>
      </c>
      <c r="AH2985" s="580">
        <f t="shared" si="270"/>
        <v>0</v>
      </c>
    </row>
    <row r="2986" spans="28:34">
      <c r="AB2986" s="580">
        <f>HLOOKUP("*"&amp;'Output annual'!$AC$2&amp;'Output annual'!$AD$2&amp;"*Zone People Number Of Occupants [](Hourly)",'Eplus results'!$1:$1048576,ROW(),FALSE)</f>
        <v>0</v>
      </c>
      <c r="AC2986" s="580">
        <f>HLOOKUP("*"&amp;'Output annual'!$AC$2&amp;'Output annual'!$AD$2&amp;"*FangerPMV(Hourly)",'Eplus results'!$1:$1048576,ROW(),FALSE)</f>
        <v>0</v>
      </c>
      <c r="AD2986" s="580">
        <f t="shared" si="266"/>
        <v>5</v>
      </c>
      <c r="AE2986" s="580">
        <f t="shared" si="267"/>
        <v>2.5</v>
      </c>
      <c r="AF2986" s="580">
        <f t="shared" si="268"/>
        <v>2.5</v>
      </c>
      <c r="AG2986" s="580">
        <f t="shared" si="269"/>
        <v>0</v>
      </c>
      <c r="AH2986" s="580">
        <f t="shared" si="270"/>
        <v>0</v>
      </c>
    </row>
    <row r="2987" spans="28:34">
      <c r="AB2987" s="580">
        <f>HLOOKUP("*"&amp;'Output annual'!$AC$2&amp;'Output annual'!$AD$2&amp;"*Zone People Number Of Occupants [](Hourly)",'Eplus results'!$1:$1048576,ROW(),FALSE)</f>
        <v>0</v>
      </c>
      <c r="AC2987" s="580">
        <f>HLOOKUP("*"&amp;'Output annual'!$AC$2&amp;'Output annual'!$AD$2&amp;"*FangerPMV(Hourly)",'Eplus results'!$1:$1048576,ROW(),FALSE)</f>
        <v>0</v>
      </c>
      <c r="AD2987" s="580">
        <f t="shared" si="266"/>
        <v>5</v>
      </c>
      <c r="AE2987" s="580">
        <f t="shared" si="267"/>
        <v>2.5</v>
      </c>
      <c r="AF2987" s="580">
        <f t="shared" si="268"/>
        <v>2.5</v>
      </c>
      <c r="AG2987" s="580">
        <f t="shared" si="269"/>
        <v>0</v>
      </c>
      <c r="AH2987" s="580">
        <f t="shared" si="270"/>
        <v>0</v>
      </c>
    </row>
    <row r="2988" spans="28:34">
      <c r="AB2988" s="580">
        <f>HLOOKUP("*"&amp;'Output annual'!$AC$2&amp;'Output annual'!$AD$2&amp;"*Zone People Number Of Occupants [](Hourly)",'Eplus results'!$1:$1048576,ROW(),FALSE)</f>
        <v>0</v>
      </c>
      <c r="AC2988" s="580">
        <f>HLOOKUP("*"&amp;'Output annual'!$AC$2&amp;'Output annual'!$AD$2&amp;"*FangerPMV(Hourly)",'Eplus results'!$1:$1048576,ROW(),FALSE)</f>
        <v>0</v>
      </c>
      <c r="AD2988" s="580">
        <f t="shared" si="266"/>
        <v>5</v>
      </c>
      <c r="AE2988" s="580">
        <f t="shared" si="267"/>
        <v>2.5</v>
      </c>
      <c r="AF2988" s="580">
        <f t="shared" si="268"/>
        <v>2.5</v>
      </c>
      <c r="AG2988" s="580">
        <f t="shared" si="269"/>
        <v>0</v>
      </c>
      <c r="AH2988" s="580">
        <f t="shared" si="270"/>
        <v>0</v>
      </c>
    </row>
    <row r="2989" spans="28:34">
      <c r="AB2989" s="580">
        <f>HLOOKUP("*"&amp;'Output annual'!$AC$2&amp;'Output annual'!$AD$2&amp;"*Zone People Number Of Occupants [](Hourly)",'Eplus results'!$1:$1048576,ROW(),FALSE)</f>
        <v>0</v>
      </c>
      <c r="AC2989" s="580">
        <f>HLOOKUP("*"&amp;'Output annual'!$AC$2&amp;'Output annual'!$AD$2&amp;"*FangerPMV(Hourly)",'Eplus results'!$1:$1048576,ROW(),FALSE)</f>
        <v>0</v>
      </c>
      <c r="AD2989" s="580">
        <f t="shared" si="266"/>
        <v>5</v>
      </c>
      <c r="AE2989" s="580">
        <f t="shared" si="267"/>
        <v>2.5</v>
      </c>
      <c r="AF2989" s="580">
        <f t="shared" si="268"/>
        <v>2.5</v>
      </c>
      <c r="AG2989" s="580">
        <f t="shared" si="269"/>
        <v>0</v>
      </c>
      <c r="AH2989" s="580">
        <f t="shared" si="270"/>
        <v>0</v>
      </c>
    </row>
    <row r="2990" spans="28:34">
      <c r="AB2990" s="580">
        <f>HLOOKUP("*"&amp;'Output annual'!$AC$2&amp;'Output annual'!$AD$2&amp;"*Zone People Number Of Occupants [](Hourly)",'Eplus results'!$1:$1048576,ROW(),FALSE)</f>
        <v>0</v>
      </c>
      <c r="AC2990" s="580">
        <f>HLOOKUP("*"&amp;'Output annual'!$AC$2&amp;'Output annual'!$AD$2&amp;"*FangerPMV(Hourly)",'Eplus results'!$1:$1048576,ROW(),FALSE)</f>
        <v>0</v>
      </c>
      <c r="AD2990" s="580">
        <f t="shared" si="266"/>
        <v>5</v>
      </c>
      <c r="AE2990" s="580">
        <f t="shared" si="267"/>
        <v>2.5</v>
      </c>
      <c r="AF2990" s="580">
        <f t="shared" si="268"/>
        <v>2.5</v>
      </c>
      <c r="AG2990" s="580">
        <f t="shared" si="269"/>
        <v>0</v>
      </c>
      <c r="AH2990" s="580">
        <f t="shared" si="270"/>
        <v>0</v>
      </c>
    </row>
    <row r="2991" spans="28:34">
      <c r="AB2991" s="580">
        <f>HLOOKUP("*"&amp;'Output annual'!$AC$2&amp;'Output annual'!$AD$2&amp;"*Zone People Number Of Occupants [](Hourly)",'Eplus results'!$1:$1048576,ROW(),FALSE)</f>
        <v>0</v>
      </c>
      <c r="AC2991" s="580">
        <f>HLOOKUP("*"&amp;'Output annual'!$AC$2&amp;'Output annual'!$AD$2&amp;"*FangerPMV(Hourly)",'Eplus results'!$1:$1048576,ROW(),FALSE)</f>
        <v>0</v>
      </c>
      <c r="AD2991" s="580">
        <f t="shared" si="266"/>
        <v>5</v>
      </c>
      <c r="AE2991" s="580">
        <f t="shared" si="267"/>
        <v>2.5</v>
      </c>
      <c r="AF2991" s="580">
        <f t="shared" si="268"/>
        <v>2.5</v>
      </c>
      <c r="AG2991" s="580">
        <f t="shared" si="269"/>
        <v>0</v>
      </c>
      <c r="AH2991" s="580">
        <f t="shared" si="270"/>
        <v>0</v>
      </c>
    </row>
    <row r="2992" spans="28:34">
      <c r="AB2992" s="580">
        <f>HLOOKUP("*"&amp;'Output annual'!$AC$2&amp;'Output annual'!$AD$2&amp;"*Zone People Number Of Occupants [](Hourly)",'Eplus results'!$1:$1048576,ROW(),FALSE)</f>
        <v>0</v>
      </c>
      <c r="AC2992" s="580">
        <f>HLOOKUP("*"&amp;'Output annual'!$AC$2&amp;'Output annual'!$AD$2&amp;"*FangerPMV(Hourly)",'Eplus results'!$1:$1048576,ROW(),FALSE)</f>
        <v>0</v>
      </c>
      <c r="AD2992" s="580">
        <f t="shared" si="266"/>
        <v>5</v>
      </c>
      <c r="AE2992" s="580">
        <f t="shared" si="267"/>
        <v>2.5</v>
      </c>
      <c r="AF2992" s="580">
        <f t="shared" si="268"/>
        <v>2.5</v>
      </c>
      <c r="AG2992" s="580">
        <f t="shared" si="269"/>
        <v>0</v>
      </c>
      <c r="AH2992" s="580">
        <f t="shared" si="270"/>
        <v>0</v>
      </c>
    </row>
    <row r="2993" spans="28:34">
      <c r="AB2993" s="580">
        <f>HLOOKUP("*"&amp;'Output annual'!$AC$2&amp;'Output annual'!$AD$2&amp;"*Zone People Number Of Occupants [](Hourly)",'Eplus results'!$1:$1048576,ROW(),FALSE)</f>
        <v>0</v>
      </c>
      <c r="AC2993" s="580">
        <f>HLOOKUP("*"&amp;'Output annual'!$AC$2&amp;'Output annual'!$AD$2&amp;"*FangerPMV(Hourly)",'Eplus results'!$1:$1048576,ROW(),FALSE)</f>
        <v>0</v>
      </c>
      <c r="AD2993" s="580">
        <f t="shared" si="266"/>
        <v>5</v>
      </c>
      <c r="AE2993" s="580">
        <f t="shared" si="267"/>
        <v>2.5</v>
      </c>
      <c r="AF2993" s="580">
        <f t="shared" si="268"/>
        <v>2.5</v>
      </c>
      <c r="AG2993" s="580">
        <f t="shared" si="269"/>
        <v>0</v>
      </c>
      <c r="AH2993" s="580">
        <f t="shared" si="270"/>
        <v>0</v>
      </c>
    </row>
    <row r="2994" spans="28:34">
      <c r="AB2994" s="580">
        <f>HLOOKUP("*"&amp;'Output annual'!$AC$2&amp;'Output annual'!$AD$2&amp;"*Zone People Number Of Occupants [](Hourly)",'Eplus results'!$1:$1048576,ROW(),FALSE)</f>
        <v>0</v>
      </c>
      <c r="AC2994" s="580">
        <f>HLOOKUP("*"&amp;'Output annual'!$AC$2&amp;'Output annual'!$AD$2&amp;"*FangerPMV(Hourly)",'Eplus results'!$1:$1048576,ROW(),FALSE)</f>
        <v>0</v>
      </c>
      <c r="AD2994" s="580">
        <f t="shared" si="266"/>
        <v>5</v>
      </c>
      <c r="AE2994" s="580">
        <f t="shared" si="267"/>
        <v>2.5</v>
      </c>
      <c r="AF2994" s="580">
        <f t="shared" si="268"/>
        <v>2.5</v>
      </c>
      <c r="AG2994" s="580">
        <f t="shared" si="269"/>
        <v>0</v>
      </c>
      <c r="AH2994" s="580">
        <f t="shared" si="270"/>
        <v>0</v>
      </c>
    </row>
    <row r="2995" spans="28:34">
      <c r="AB2995" s="580">
        <f>HLOOKUP("*"&amp;'Output annual'!$AC$2&amp;'Output annual'!$AD$2&amp;"*Zone People Number Of Occupants [](Hourly)",'Eplus results'!$1:$1048576,ROW(),FALSE)</f>
        <v>0</v>
      </c>
      <c r="AC2995" s="580">
        <f>HLOOKUP("*"&amp;'Output annual'!$AC$2&amp;'Output annual'!$AD$2&amp;"*FangerPMV(Hourly)",'Eplus results'!$1:$1048576,ROW(),FALSE)</f>
        <v>0</v>
      </c>
      <c r="AD2995" s="580">
        <f t="shared" si="266"/>
        <v>5</v>
      </c>
      <c r="AE2995" s="580">
        <f t="shared" si="267"/>
        <v>2.5</v>
      </c>
      <c r="AF2995" s="580">
        <f t="shared" si="268"/>
        <v>2.5</v>
      </c>
      <c r="AG2995" s="580">
        <f t="shared" si="269"/>
        <v>0</v>
      </c>
      <c r="AH2995" s="580">
        <f t="shared" si="270"/>
        <v>0</v>
      </c>
    </row>
    <row r="2996" spans="28:34">
      <c r="AB2996" s="580">
        <f>HLOOKUP("*"&amp;'Output annual'!$AC$2&amp;'Output annual'!$AD$2&amp;"*Zone People Number Of Occupants [](Hourly)",'Eplus results'!$1:$1048576,ROW(),FALSE)</f>
        <v>0</v>
      </c>
      <c r="AC2996" s="580">
        <f>HLOOKUP("*"&amp;'Output annual'!$AC$2&amp;'Output annual'!$AD$2&amp;"*FangerPMV(Hourly)",'Eplus results'!$1:$1048576,ROW(),FALSE)</f>
        <v>0</v>
      </c>
      <c r="AD2996" s="580">
        <f t="shared" si="266"/>
        <v>5</v>
      </c>
      <c r="AE2996" s="580">
        <f t="shared" si="267"/>
        <v>2.5</v>
      </c>
      <c r="AF2996" s="580">
        <f t="shared" si="268"/>
        <v>2.5</v>
      </c>
      <c r="AG2996" s="580">
        <f t="shared" si="269"/>
        <v>0</v>
      </c>
      <c r="AH2996" s="580">
        <f t="shared" si="270"/>
        <v>0</v>
      </c>
    </row>
    <row r="2997" spans="28:34">
      <c r="AB2997" s="580">
        <f>HLOOKUP("*"&amp;'Output annual'!$AC$2&amp;'Output annual'!$AD$2&amp;"*Zone People Number Of Occupants [](Hourly)",'Eplus results'!$1:$1048576,ROW(),FALSE)</f>
        <v>0</v>
      </c>
      <c r="AC2997" s="580">
        <f>HLOOKUP("*"&amp;'Output annual'!$AC$2&amp;'Output annual'!$AD$2&amp;"*FangerPMV(Hourly)",'Eplus results'!$1:$1048576,ROW(),FALSE)</f>
        <v>0</v>
      </c>
      <c r="AD2997" s="580">
        <f t="shared" si="266"/>
        <v>5</v>
      </c>
      <c r="AE2997" s="580">
        <f t="shared" si="267"/>
        <v>2.5</v>
      </c>
      <c r="AF2997" s="580">
        <f t="shared" si="268"/>
        <v>2.5</v>
      </c>
      <c r="AG2997" s="580">
        <f t="shared" si="269"/>
        <v>0</v>
      </c>
      <c r="AH2997" s="580">
        <f t="shared" si="270"/>
        <v>0</v>
      </c>
    </row>
    <row r="2998" spans="28:34">
      <c r="AB2998" s="580">
        <f>HLOOKUP("*"&amp;'Output annual'!$AC$2&amp;'Output annual'!$AD$2&amp;"*Zone People Number Of Occupants [](Hourly)",'Eplus results'!$1:$1048576,ROW(),FALSE)</f>
        <v>0</v>
      </c>
      <c r="AC2998" s="580">
        <f>HLOOKUP("*"&amp;'Output annual'!$AC$2&amp;'Output annual'!$AD$2&amp;"*FangerPMV(Hourly)",'Eplus results'!$1:$1048576,ROW(),FALSE)</f>
        <v>0</v>
      </c>
      <c r="AD2998" s="580">
        <f t="shared" si="266"/>
        <v>5</v>
      </c>
      <c r="AE2998" s="580">
        <f t="shared" si="267"/>
        <v>2.5</v>
      </c>
      <c r="AF2998" s="580">
        <f t="shared" si="268"/>
        <v>2.5</v>
      </c>
      <c r="AG2998" s="580">
        <f t="shared" si="269"/>
        <v>0</v>
      </c>
      <c r="AH2998" s="580">
        <f t="shared" si="270"/>
        <v>0</v>
      </c>
    </row>
    <row r="2999" spans="28:34">
      <c r="AB2999" s="580">
        <f>HLOOKUP("*"&amp;'Output annual'!$AC$2&amp;'Output annual'!$AD$2&amp;"*Zone People Number Of Occupants [](Hourly)",'Eplus results'!$1:$1048576,ROW(),FALSE)</f>
        <v>0</v>
      </c>
      <c r="AC2999" s="580">
        <f>HLOOKUP("*"&amp;'Output annual'!$AC$2&amp;'Output annual'!$AD$2&amp;"*FangerPMV(Hourly)",'Eplus results'!$1:$1048576,ROW(),FALSE)</f>
        <v>0</v>
      </c>
      <c r="AD2999" s="580">
        <f t="shared" si="266"/>
        <v>5</v>
      </c>
      <c r="AE2999" s="580">
        <f t="shared" si="267"/>
        <v>2.5</v>
      </c>
      <c r="AF2999" s="580">
        <f t="shared" si="268"/>
        <v>2.5</v>
      </c>
      <c r="AG2999" s="580">
        <f t="shared" si="269"/>
        <v>0</v>
      </c>
      <c r="AH2999" s="580">
        <f t="shared" si="270"/>
        <v>0</v>
      </c>
    </row>
    <row r="3000" spans="28:34">
      <c r="AB3000" s="580">
        <f>HLOOKUP("*"&amp;'Output annual'!$AC$2&amp;'Output annual'!$AD$2&amp;"*Zone People Number Of Occupants [](Hourly)",'Eplus results'!$1:$1048576,ROW(),FALSE)</f>
        <v>0</v>
      </c>
      <c r="AC3000" s="580">
        <f>HLOOKUP("*"&amp;'Output annual'!$AC$2&amp;'Output annual'!$AD$2&amp;"*FangerPMV(Hourly)",'Eplus results'!$1:$1048576,ROW(),FALSE)</f>
        <v>0</v>
      </c>
      <c r="AD3000" s="580">
        <f t="shared" si="266"/>
        <v>5</v>
      </c>
      <c r="AE3000" s="580">
        <f t="shared" si="267"/>
        <v>2.5</v>
      </c>
      <c r="AF3000" s="580">
        <f t="shared" si="268"/>
        <v>2.5</v>
      </c>
      <c r="AG3000" s="580">
        <f t="shared" si="269"/>
        <v>0</v>
      </c>
      <c r="AH3000" s="580">
        <f t="shared" si="270"/>
        <v>0</v>
      </c>
    </row>
    <row r="3001" spans="28:34">
      <c r="AB3001" s="580">
        <f>HLOOKUP("*"&amp;'Output annual'!$AC$2&amp;'Output annual'!$AD$2&amp;"*Zone People Number Of Occupants [](Hourly)",'Eplus results'!$1:$1048576,ROW(),FALSE)</f>
        <v>0</v>
      </c>
      <c r="AC3001" s="580">
        <f>HLOOKUP("*"&amp;'Output annual'!$AC$2&amp;'Output annual'!$AD$2&amp;"*FangerPMV(Hourly)",'Eplus results'!$1:$1048576,ROW(),FALSE)</f>
        <v>0</v>
      </c>
      <c r="AD3001" s="580">
        <f t="shared" si="266"/>
        <v>5</v>
      </c>
      <c r="AE3001" s="580">
        <f t="shared" si="267"/>
        <v>2.5</v>
      </c>
      <c r="AF3001" s="580">
        <f t="shared" si="268"/>
        <v>2.5</v>
      </c>
      <c r="AG3001" s="580">
        <f t="shared" si="269"/>
        <v>0</v>
      </c>
      <c r="AH3001" s="580">
        <f t="shared" si="270"/>
        <v>0</v>
      </c>
    </row>
    <row r="3002" spans="28:34">
      <c r="AB3002" s="580">
        <f>HLOOKUP("*"&amp;'Output annual'!$AC$2&amp;'Output annual'!$AD$2&amp;"*Zone People Number Of Occupants [](Hourly)",'Eplus results'!$1:$1048576,ROW(),FALSE)</f>
        <v>0</v>
      </c>
      <c r="AC3002" s="580">
        <f>HLOOKUP("*"&amp;'Output annual'!$AC$2&amp;'Output annual'!$AD$2&amp;"*FangerPMV(Hourly)",'Eplus results'!$1:$1048576,ROW(),FALSE)</f>
        <v>0</v>
      </c>
      <c r="AD3002" s="580">
        <f t="shared" si="266"/>
        <v>5</v>
      </c>
      <c r="AE3002" s="580">
        <f t="shared" si="267"/>
        <v>2.5</v>
      </c>
      <c r="AF3002" s="580">
        <f t="shared" si="268"/>
        <v>2.5</v>
      </c>
      <c r="AG3002" s="580">
        <f t="shared" si="269"/>
        <v>0</v>
      </c>
      <c r="AH3002" s="580">
        <f t="shared" si="270"/>
        <v>0</v>
      </c>
    </row>
    <row r="3003" spans="28:34">
      <c r="AB3003" s="580">
        <f>HLOOKUP("*"&amp;'Output annual'!$AC$2&amp;'Output annual'!$AD$2&amp;"*Zone People Number Of Occupants [](Hourly)",'Eplus results'!$1:$1048576,ROW(),FALSE)</f>
        <v>0</v>
      </c>
      <c r="AC3003" s="580">
        <f>HLOOKUP("*"&amp;'Output annual'!$AC$2&amp;'Output annual'!$AD$2&amp;"*FangerPMV(Hourly)",'Eplus results'!$1:$1048576,ROW(),FALSE)</f>
        <v>0</v>
      </c>
      <c r="AD3003" s="580">
        <f t="shared" si="266"/>
        <v>5</v>
      </c>
      <c r="AE3003" s="580">
        <f t="shared" si="267"/>
        <v>2.5</v>
      </c>
      <c r="AF3003" s="580">
        <f t="shared" si="268"/>
        <v>2.5</v>
      </c>
      <c r="AG3003" s="580">
        <f t="shared" si="269"/>
        <v>0</v>
      </c>
      <c r="AH3003" s="580">
        <f t="shared" si="270"/>
        <v>0</v>
      </c>
    </row>
    <row r="3004" spans="28:34">
      <c r="AB3004" s="580">
        <f>HLOOKUP("*"&amp;'Output annual'!$AC$2&amp;'Output annual'!$AD$2&amp;"*Zone People Number Of Occupants [](Hourly)",'Eplus results'!$1:$1048576,ROW(),FALSE)</f>
        <v>0</v>
      </c>
      <c r="AC3004" s="580">
        <f>HLOOKUP("*"&amp;'Output annual'!$AC$2&amp;'Output annual'!$AD$2&amp;"*FangerPMV(Hourly)",'Eplus results'!$1:$1048576,ROW(),FALSE)</f>
        <v>0</v>
      </c>
      <c r="AD3004" s="580">
        <f t="shared" si="266"/>
        <v>5</v>
      </c>
      <c r="AE3004" s="580">
        <f t="shared" si="267"/>
        <v>2.5</v>
      </c>
      <c r="AF3004" s="580">
        <f t="shared" si="268"/>
        <v>2.5</v>
      </c>
      <c r="AG3004" s="580">
        <f t="shared" si="269"/>
        <v>0</v>
      </c>
      <c r="AH3004" s="580">
        <f t="shared" si="270"/>
        <v>0</v>
      </c>
    </row>
    <row r="3005" spans="28:34">
      <c r="AB3005" s="580">
        <f>HLOOKUP("*"&amp;'Output annual'!$AC$2&amp;'Output annual'!$AD$2&amp;"*Zone People Number Of Occupants [](Hourly)",'Eplus results'!$1:$1048576,ROW(),FALSE)</f>
        <v>0</v>
      </c>
      <c r="AC3005" s="580">
        <f>HLOOKUP("*"&amp;'Output annual'!$AC$2&amp;'Output annual'!$AD$2&amp;"*FangerPMV(Hourly)",'Eplus results'!$1:$1048576,ROW(),FALSE)</f>
        <v>0</v>
      </c>
      <c r="AD3005" s="580">
        <f t="shared" si="266"/>
        <v>5</v>
      </c>
      <c r="AE3005" s="580">
        <f t="shared" si="267"/>
        <v>2.5</v>
      </c>
      <c r="AF3005" s="580">
        <f t="shared" si="268"/>
        <v>2.5</v>
      </c>
      <c r="AG3005" s="580">
        <f t="shared" si="269"/>
        <v>0</v>
      </c>
      <c r="AH3005" s="580">
        <f t="shared" si="270"/>
        <v>0</v>
      </c>
    </row>
    <row r="3006" spans="28:34">
      <c r="AB3006" s="580">
        <f>HLOOKUP("*"&amp;'Output annual'!$AC$2&amp;'Output annual'!$AD$2&amp;"*Zone People Number Of Occupants [](Hourly)",'Eplus results'!$1:$1048576,ROW(),FALSE)</f>
        <v>0</v>
      </c>
      <c r="AC3006" s="580">
        <f>HLOOKUP("*"&amp;'Output annual'!$AC$2&amp;'Output annual'!$AD$2&amp;"*FangerPMV(Hourly)",'Eplus results'!$1:$1048576,ROW(),FALSE)</f>
        <v>0</v>
      </c>
      <c r="AD3006" s="580">
        <f t="shared" si="266"/>
        <v>5</v>
      </c>
      <c r="AE3006" s="580">
        <f t="shared" si="267"/>
        <v>2.5</v>
      </c>
      <c r="AF3006" s="580">
        <f t="shared" si="268"/>
        <v>2.5</v>
      </c>
      <c r="AG3006" s="580">
        <f t="shared" si="269"/>
        <v>0</v>
      </c>
      <c r="AH3006" s="580">
        <f t="shared" si="270"/>
        <v>0</v>
      </c>
    </row>
    <row r="3007" spans="28:34">
      <c r="AB3007" s="580">
        <f>HLOOKUP("*"&amp;'Output annual'!$AC$2&amp;'Output annual'!$AD$2&amp;"*Zone People Number Of Occupants [](Hourly)",'Eplus results'!$1:$1048576,ROW(),FALSE)</f>
        <v>0</v>
      </c>
      <c r="AC3007" s="580">
        <f>HLOOKUP("*"&amp;'Output annual'!$AC$2&amp;'Output annual'!$AD$2&amp;"*FangerPMV(Hourly)",'Eplus results'!$1:$1048576,ROW(),FALSE)</f>
        <v>0</v>
      </c>
      <c r="AD3007" s="580">
        <f t="shared" si="266"/>
        <v>5</v>
      </c>
      <c r="AE3007" s="580">
        <f t="shared" si="267"/>
        <v>2.5</v>
      </c>
      <c r="AF3007" s="580">
        <f t="shared" si="268"/>
        <v>2.5</v>
      </c>
      <c r="AG3007" s="580">
        <f t="shared" si="269"/>
        <v>0</v>
      </c>
      <c r="AH3007" s="580">
        <f t="shared" si="270"/>
        <v>0</v>
      </c>
    </row>
    <row r="3008" spans="28:34">
      <c r="AB3008" s="580">
        <f>HLOOKUP("*"&amp;'Output annual'!$AC$2&amp;'Output annual'!$AD$2&amp;"*Zone People Number Of Occupants [](Hourly)",'Eplus results'!$1:$1048576,ROW(),FALSE)</f>
        <v>0</v>
      </c>
      <c r="AC3008" s="580">
        <f>HLOOKUP("*"&amp;'Output annual'!$AC$2&amp;'Output annual'!$AD$2&amp;"*FangerPMV(Hourly)",'Eplus results'!$1:$1048576,ROW(),FALSE)</f>
        <v>0</v>
      </c>
      <c r="AD3008" s="580">
        <f t="shared" si="266"/>
        <v>5</v>
      </c>
      <c r="AE3008" s="580">
        <f t="shared" si="267"/>
        <v>2.5</v>
      </c>
      <c r="AF3008" s="580">
        <f t="shared" si="268"/>
        <v>2.5</v>
      </c>
      <c r="AG3008" s="580">
        <f t="shared" si="269"/>
        <v>0</v>
      </c>
      <c r="AH3008" s="580">
        <f t="shared" si="270"/>
        <v>0</v>
      </c>
    </row>
    <row r="3009" spans="28:34">
      <c r="AB3009" s="580">
        <f>HLOOKUP("*"&amp;'Output annual'!$AC$2&amp;'Output annual'!$AD$2&amp;"*Zone People Number Of Occupants [](Hourly)",'Eplus results'!$1:$1048576,ROW(),FALSE)</f>
        <v>0</v>
      </c>
      <c r="AC3009" s="580">
        <f>HLOOKUP("*"&amp;'Output annual'!$AC$2&amp;'Output annual'!$AD$2&amp;"*FangerPMV(Hourly)",'Eplus results'!$1:$1048576,ROW(),FALSE)</f>
        <v>0</v>
      </c>
      <c r="AD3009" s="580">
        <f t="shared" si="266"/>
        <v>5</v>
      </c>
      <c r="AE3009" s="580">
        <f t="shared" si="267"/>
        <v>2.5</v>
      </c>
      <c r="AF3009" s="580">
        <f t="shared" si="268"/>
        <v>2.5</v>
      </c>
      <c r="AG3009" s="580">
        <f t="shared" si="269"/>
        <v>0</v>
      </c>
      <c r="AH3009" s="580">
        <f t="shared" si="270"/>
        <v>0</v>
      </c>
    </row>
    <row r="3010" spans="28:34">
      <c r="AB3010" s="580">
        <f>HLOOKUP("*"&amp;'Output annual'!$AC$2&amp;'Output annual'!$AD$2&amp;"*Zone People Number Of Occupants [](Hourly)",'Eplus results'!$1:$1048576,ROW(),FALSE)</f>
        <v>0</v>
      </c>
      <c r="AC3010" s="580">
        <f>HLOOKUP("*"&amp;'Output annual'!$AC$2&amp;'Output annual'!$AD$2&amp;"*FangerPMV(Hourly)",'Eplus results'!$1:$1048576,ROW(),FALSE)</f>
        <v>0</v>
      </c>
      <c r="AD3010" s="580">
        <f t="shared" si="266"/>
        <v>5</v>
      </c>
      <c r="AE3010" s="580">
        <f t="shared" si="267"/>
        <v>2.5</v>
      </c>
      <c r="AF3010" s="580">
        <f t="shared" si="268"/>
        <v>2.5</v>
      </c>
      <c r="AG3010" s="580">
        <f t="shared" si="269"/>
        <v>0</v>
      </c>
      <c r="AH3010" s="580">
        <f t="shared" si="270"/>
        <v>0</v>
      </c>
    </row>
    <row r="3011" spans="28:34">
      <c r="AB3011" s="580">
        <f>HLOOKUP("*"&amp;'Output annual'!$AC$2&amp;'Output annual'!$AD$2&amp;"*Zone People Number Of Occupants [](Hourly)",'Eplus results'!$1:$1048576,ROW(),FALSE)</f>
        <v>0</v>
      </c>
      <c r="AC3011" s="580">
        <f>HLOOKUP("*"&amp;'Output annual'!$AC$2&amp;'Output annual'!$AD$2&amp;"*FangerPMV(Hourly)",'Eplus results'!$1:$1048576,ROW(),FALSE)</f>
        <v>0</v>
      </c>
      <c r="AD3011" s="580">
        <f t="shared" ref="AD3011:AD3074" si="271">100-95*EXP(-0.03353*AC3011^4-0.2179*AC3011^2)</f>
        <v>5</v>
      </c>
      <c r="AE3011" s="580">
        <f t="shared" ref="AE3011:AE3074" si="272">AD3011*(1/(1+EXP(-6.3*$AC3011)))</f>
        <v>2.5</v>
      </c>
      <c r="AF3011" s="580">
        <f t="shared" ref="AF3011:AF3074" si="273">(AD3011-AE3011)</f>
        <v>2.5</v>
      </c>
      <c r="AG3011" s="580">
        <f t="shared" ref="AG3011:AG3074" si="274">AE3011*AB3011</f>
        <v>0</v>
      </c>
      <c r="AH3011" s="580">
        <f t="shared" ref="AH3011:AH3074" si="275">AF3011*AB3011</f>
        <v>0</v>
      </c>
    </row>
    <row r="3012" spans="28:34">
      <c r="AB3012" s="580">
        <f>HLOOKUP("*"&amp;'Output annual'!$AC$2&amp;'Output annual'!$AD$2&amp;"*Zone People Number Of Occupants [](Hourly)",'Eplus results'!$1:$1048576,ROW(),FALSE)</f>
        <v>0</v>
      </c>
      <c r="AC3012" s="580">
        <f>HLOOKUP("*"&amp;'Output annual'!$AC$2&amp;'Output annual'!$AD$2&amp;"*FangerPMV(Hourly)",'Eplus results'!$1:$1048576,ROW(),FALSE)</f>
        <v>0</v>
      </c>
      <c r="AD3012" s="580">
        <f t="shared" si="271"/>
        <v>5</v>
      </c>
      <c r="AE3012" s="580">
        <f t="shared" si="272"/>
        <v>2.5</v>
      </c>
      <c r="AF3012" s="580">
        <f t="shared" si="273"/>
        <v>2.5</v>
      </c>
      <c r="AG3012" s="580">
        <f t="shared" si="274"/>
        <v>0</v>
      </c>
      <c r="AH3012" s="580">
        <f t="shared" si="275"/>
        <v>0</v>
      </c>
    </row>
    <row r="3013" spans="28:34">
      <c r="AB3013" s="580">
        <f>HLOOKUP("*"&amp;'Output annual'!$AC$2&amp;'Output annual'!$AD$2&amp;"*Zone People Number Of Occupants [](Hourly)",'Eplus results'!$1:$1048576,ROW(),FALSE)</f>
        <v>0</v>
      </c>
      <c r="AC3013" s="580">
        <f>HLOOKUP("*"&amp;'Output annual'!$AC$2&amp;'Output annual'!$AD$2&amp;"*FangerPMV(Hourly)",'Eplus results'!$1:$1048576,ROW(),FALSE)</f>
        <v>0</v>
      </c>
      <c r="AD3013" s="580">
        <f t="shared" si="271"/>
        <v>5</v>
      </c>
      <c r="AE3013" s="580">
        <f t="shared" si="272"/>
        <v>2.5</v>
      </c>
      <c r="AF3013" s="580">
        <f t="shared" si="273"/>
        <v>2.5</v>
      </c>
      <c r="AG3013" s="580">
        <f t="shared" si="274"/>
        <v>0</v>
      </c>
      <c r="AH3013" s="580">
        <f t="shared" si="275"/>
        <v>0</v>
      </c>
    </row>
    <row r="3014" spans="28:34">
      <c r="AB3014" s="580">
        <f>HLOOKUP("*"&amp;'Output annual'!$AC$2&amp;'Output annual'!$AD$2&amp;"*Zone People Number Of Occupants [](Hourly)",'Eplus results'!$1:$1048576,ROW(),FALSE)</f>
        <v>0</v>
      </c>
      <c r="AC3014" s="580">
        <f>HLOOKUP("*"&amp;'Output annual'!$AC$2&amp;'Output annual'!$AD$2&amp;"*FangerPMV(Hourly)",'Eplus results'!$1:$1048576,ROW(),FALSE)</f>
        <v>0</v>
      </c>
      <c r="AD3014" s="580">
        <f t="shared" si="271"/>
        <v>5</v>
      </c>
      <c r="AE3014" s="580">
        <f t="shared" si="272"/>
        <v>2.5</v>
      </c>
      <c r="AF3014" s="580">
        <f t="shared" si="273"/>
        <v>2.5</v>
      </c>
      <c r="AG3014" s="580">
        <f t="shared" si="274"/>
        <v>0</v>
      </c>
      <c r="AH3014" s="580">
        <f t="shared" si="275"/>
        <v>0</v>
      </c>
    </row>
    <row r="3015" spans="28:34">
      <c r="AB3015" s="580">
        <f>HLOOKUP("*"&amp;'Output annual'!$AC$2&amp;'Output annual'!$AD$2&amp;"*Zone People Number Of Occupants [](Hourly)",'Eplus results'!$1:$1048576,ROW(),FALSE)</f>
        <v>0</v>
      </c>
      <c r="AC3015" s="580">
        <f>HLOOKUP("*"&amp;'Output annual'!$AC$2&amp;'Output annual'!$AD$2&amp;"*FangerPMV(Hourly)",'Eplus results'!$1:$1048576,ROW(),FALSE)</f>
        <v>0</v>
      </c>
      <c r="AD3015" s="580">
        <f t="shared" si="271"/>
        <v>5</v>
      </c>
      <c r="AE3015" s="580">
        <f t="shared" si="272"/>
        <v>2.5</v>
      </c>
      <c r="AF3015" s="580">
        <f t="shared" si="273"/>
        <v>2.5</v>
      </c>
      <c r="AG3015" s="580">
        <f t="shared" si="274"/>
        <v>0</v>
      </c>
      <c r="AH3015" s="580">
        <f t="shared" si="275"/>
        <v>0</v>
      </c>
    </row>
    <row r="3016" spans="28:34">
      <c r="AB3016" s="580">
        <f>HLOOKUP("*"&amp;'Output annual'!$AC$2&amp;'Output annual'!$AD$2&amp;"*Zone People Number Of Occupants [](Hourly)",'Eplus results'!$1:$1048576,ROW(),FALSE)</f>
        <v>0</v>
      </c>
      <c r="AC3016" s="580">
        <f>HLOOKUP("*"&amp;'Output annual'!$AC$2&amp;'Output annual'!$AD$2&amp;"*FangerPMV(Hourly)",'Eplus results'!$1:$1048576,ROW(),FALSE)</f>
        <v>0</v>
      </c>
      <c r="AD3016" s="580">
        <f t="shared" si="271"/>
        <v>5</v>
      </c>
      <c r="AE3016" s="580">
        <f t="shared" si="272"/>
        <v>2.5</v>
      </c>
      <c r="AF3016" s="580">
        <f t="shared" si="273"/>
        <v>2.5</v>
      </c>
      <c r="AG3016" s="580">
        <f t="shared" si="274"/>
        <v>0</v>
      </c>
      <c r="AH3016" s="580">
        <f t="shared" si="275"/>
        <v>0</v>
      </c>
    </row>
    <row r="3017" spans="28:34">
      <c r="AB3017" s="580">
        <f>HLOOKUP("*"&amp;'Output annual'!$AC$2&amp;'Output annual'!$AD$2&amp;"*Zone People Number Of Occupants [](Hourly)",'Eplus results'!$1:$1048576,ROW(),FALSE)</f>
        <v>0</v>
      </c>
      <c r="AC3017" s="580">
        <f>HLOOKUP("*"&amp;'Output annual'!$AC$2&amp;'Output annual'!$AD$2&amp;"*FangerPMV(Hourly)",'Eplus results'!$1:$1048576,ROW(),FALSE)</f>
        <v>0</v>
      </c>
      <c r="AD3017" s="580">
        <f t="shared" si="271"/>
        <v>5</v>
      </c>
      <c r="AE3017" s="580">
        <f t="shared" si="272"/>
        <v>2.5</v>
      </c>
      <c r="AF3017" s="580">
        <f t="shared" si="273"/>
        <v>2.5</v>
      </c>
      <c r="AG3017" s="580">
        <f t="shared" si="274"/>
        <v>0</v>
      </c>
      <c r="AH3017" s="580">
        <f t="shared" si="275"/>
        <v>0</v>
      </c>
    </row>
    <row r="3018" spans="28:34">
      <c r="AB3018" s="580">
        <f>HLOOKUP("*"&amp;'Output annual'!$AC$2&amp;'Output annual'!$AD$2&amp;"*Zone People Number Of Occupants [](Hourly)",'Eplus results'!$1:$1048576,ROW(),FALSE)</f>
        <v>0</v>
      </c>
      <c r="AC3018" s="580">
        <f>HLOOKUP("*"&amp;'Output annual'!$AC$2&amp;'Output annual'!$AD$2&amp;"*FangerPMV(Hourly)",'Eplus results'!$1:$1048576,ROW(),FALSE)</f>
        <v>0</v>
      </c>
      <c r="AD3018" s="580">
        <f t="shared" si="271"/>
        <v>5</v>
      </c>
      <c r="AE3018" s="580">
        <f t="shared" si="272"/>
        <v>2.5</v>
      </c>
      <c r="AF3018" s="580">
        <f t="shared" si="273"/>
        <v>2.5</v>
      </c>
      <c r="AG3018" s="580">
        <f t="shared" si="274"/>
        <v>0</v>
      </c>
      <c r="AH3018" s="580">
        <f t="shared" si="275"/>
        <v>0</v>
      </c>
    </row>
    <row r="3019" spans="28:34">
      <c r="AB3019" s="580">
        <f>HLOOKUP("*"&amp;'Output annual'!$AC$2&amp;'Output annual'!$AD$2&amp;"*Zone People Number Of Occupants [](Hourly)",'Eplus results'!$1:$1048576,ROW(),FALSE)</f>
        <v>0</v>
      </c>
      <c r="AC3019" s="580">
        <f>HLOOKUP("*"&amp;'Output annual'!$AC$2&amp;'Output annual'!$AD$2&amp;"*FangerPMV(Hourly)",'Eplus results'!$1:$1048576,ROW(),FALSE)</f>
        <v>0</v>
      </c>
      <c r="AD3019" s="580">
        <f t="shared" si="271"/>
        <v>5</v>
      </c>
      <c r="AE3019" s="580">
        <f t="shared" si="272"/>
        <v>2.5</v>
      </c>
      <c r="AF3019" s="580">
        <f t="shared" si="273"/>
        <v>2.5</v>
      </c>
      <c r="AG3019" s="580">
        <f t="shared" si="274"/>
        <v>0</v>
      </c>
      <c r="AH3019" s="580">
        <f t="shared" si="275"/>
        <v>0</v>
      </c>
    </row>
    <row r="3020" spans="28:34">
      <c r="AB3020" s="580">
        <f>HLOOKUP("*"&amp;'Output annual'!$AC$2&amp;'Output annual'!$AD$2&amp;"*Zone People Number Of Occupants [](Hourly)",'Eplus results'!$1:$1048576,ROW(),FALSE)</f>
        <v>0</v>
      </c>
      <c r="AC3020" s="580">
        <f>HLOOKUP("*"&amp;'Output annual'!$AC$2&amp;'Output annual'!$AD$2&amp;"*FangerPMV(Hourly)",'Eplus results'!$1:$1048576,ROW(),FALSE)</f>
        <v>0</v>
      </c>
      <c r="AD3020" s="580">
        <f t="shared" si="271"/>
        <v>5</v>
      </c>
      <c r="AE3020" s="580">
        <f t="shared" si="272"/>
        <v>2.5</v>
      </c>
      <c r="AF3020" s="580">
        <f t="shared" si="273"/>
        <v>2.5</v>
      </c>
      <c r="AG3020" s="580">
        <f t="shared" si="274"/>
        <v>0</v>
      </c>
      <c r="AH3020" s="580">
        <f t="shared" si="275"/>
        <v>0</v>
      </c>
    </row>
    <row r="3021" spans="28:34">
      <c r="AB3021" s="580">
        <f>HLOOKUP("*"&amp;'Output annual'!$AC$2&amp;'Output annual'!$AD$2&amp;"*Zone People Number Of Occupants [](Hourly)",'Eplus results'!$1:$1048576,ROW(),FALSE)</f>
        <v>0</v>
      </c>
      <c r="AC3021" s="580">
        <f>HLOOKUP("*"&amp;'Output annual'!$AC$2&amp;'Output annual'!$AD$2&amp;"*FangerPMV(Hourly)",'Eplus results'!$1:$1048576,ROW(),FALSE)</f>
        <v>0</v>
      </c>
      <c r="AD3021" s="580">
        <f t="shared" si="271"/>
        <v>5</v>
      </c>
      <c r="AE3021" s="580">
        <f t="shared" si="272"/>
        <v>2.5</v>
      </c>
      <c r="AF3021" s="580">
        <f t="shared" si="273"/>
        <v>2.5</v>
      </c>
      <c r="AG3021" s="580">
        <f t="shared" si="274"/>
        <v>0</v>
      </c>
      <c r="AH3021" s="580">
        <f t="shared" si="275"/>
        <v>0</v>
      </c>
    </row>
    <row r="3022" spans="28:34">
      <c r="AB3022" s="580">
        <f>HLOOKUP("*"&amp;'Output annual'!$AC$2&amp;'Output annual'!$AD$2&amp;"*Zone People Number Of Occupants [](Hourly)",'Eplus results'!$1:$1048576,ROW(),FALSE)</f>
        <v>0</v>
      </c>
      <c r="AC3022" s="580">
        <f>HLOOKUP("*"&amp;'Output annual'!$AC$2&amp;'Output annual'!$AD$2&amp;"*FangerPMV(Hourly)",'Eplus results'!$1:$1048576,ROW(),FALSE)</f>
        <v>0</v>
      </c>
      <c r="AD3022" s="580">
        <f t="shared" si="271"/>
        <v>5</v>
      </c>
      <c r="AE3022" s="580">
        <f t="shared" si="272"/>
        <v>2.5</v>
      </c>
      <c r="AF3022" s="580">
        <f t="shared" si="273"/>
        <v>2.5</v>
      </c>
      <c r="AG3022" s="580">
        <f t="shared" si="274"/>
        <v>0</v>
      </c>
      <c r="AH3022" s="580">
        <f t="shared" si="275"/>
        <v>0</v>
      </c>
    </row>
    <row r="3023" spans="28:34">
      <c r="AB3023" s="580">
        <f>HLOOKUP("*"&amp;'Output annual'!$AC$2&amp;'Output annual'!$AD$2&amp;"*Zone People Number Of Occupants [](Hourly)",'Eplus results'!$1:$1048576,ROW(),FALSE)</f>
        <v>0</v>
      </c>
      <c r="AC3023" s="580">
        <f>HLOOKUP("*"&amp;'Output annual'!$AC$2&amp;'Output annual'!$AD$2&amp;"*FangerPMV(Hourly)",'Eplus results'!$1:$1048576,ROW(),FALSE)</f>
        <v>0</v>
      </c>
      <c r="AD3023" s="580">
        <f t="shared" si="271"/>
        <v>5</v>
      </c>
      <c r="AE3023" s="580">
        <f t="shared" si="272"/>
        <v>2.5</v>
      </c>
      <c r="AF3023" s="580">
        <f t="shared" si="273"/>
        <v>2.5</v>
      </c>
      <c r="AG3023" s="580">
        <f t="shared" si="274"/>
        <v>0</v>
      </c>
      <c r="AH3023" s="580">
        <f t="shared" si="275"/>
        <v>0</v>
      </c>
    </row>
    <row r="3024" spans="28:34">
      <c r="AB3024" s="580">
        <f>HLOOKUP("*"&amp;'Output annual'!$AC$2&amp;'Output annual'!$AD$2&amp;"*Zone People Number Of Occupants [](Hourly)",'Eplus results'!$1:$1048576,ROW(),FALSE)</f>
        <v>0</v>
      </c>
      <c r="AC3024" s="580">
        <f>HLOOKUP("*"&amp;'Output annual'!$AC$2&amp;'Output annual'!$AD$2&amp;"*FangerPMV(Hourly)",'Eplus results'!$1:$1048576,ROW(),FALSE)</f>
        <v>0</v>
      </c>
      <c r="AD3024" s="580">
        <f t="shared" si="271"/>
        <v>5</v>
      </c>
      <c r="AE3024" s="580">
        <f t="shared" si="272"/>
        <v>2.5</v>
      </c>
      <c r="AF3024" s="580">
        <f t="shared" si="273"/>
        <v>2.5</v>
      </c>
      <c r="AG3024" s="580">
        <f t="shared" si="274"/>
        <v>0</v>
      </c>
      <c r="AH3024" s="580">
        <f t="shared" si="275"/>
        <v>0</v>
      </c>
    </row>
    <row r="3025" spans="28:34">
      <c r="AB3025" s="580">
        <f>HLOOKUP("*"&amp;'Output annual'!$AC$2&amp;'Output annual'!$AD$2&amp;"*Zone People Number Of Occupants [](Hourly)",'Eplus results'!$1:$1048576,ROW(),FALSE)</f>
        <v>0</v>
      </c>
      <c r="AC3025" s="580">
        <f>HLOOKUP("*"&amp;'Output annual'!$AC$2&amp;'Output annual'!$AD$2&amp;"*FangerPMV(Hourly)",'Eplus results'!$1:$1048576,ROW(),FALSE)</f>
        <v>0</v>
      </c>
      <c r="AD3025" s="580">
        <f t="shared" si="271"/>
        <v>5</v>
      </c>
      <c r="AE3025" s="580">
        <f t="shared" si="272"/>
        <v>2.5</v>
      </c>
      <c r="AF3025" s="580">
        <f t="shared" si="273"/>
        <v>2.5</v>
      </c>
      <c r="AG3025" s="580">
        <f t="shared" si="274"/>
        <v>0</v>
      </c>
      <c r="AH3025" s="580">
        <f t="shared" si="275"/>
        <v>0</v>
      </c>
    </row>
    <row r="3026" spans="28:34">
      <c r="AB3026" s="580">
        <f>HLOOKUP("*"&amp;'Output annual'!$AC$2&amp;'Output annual'!$AD$2&amp;"*Zone People Number Of Occupants [](Hourly)",'Eplus results'!$1:$1048576,ROW(),FALSE)</f>
        <v>0</v>
      </c>
      <c r="AC3026" s="580">
        <f>HLOOKUP("*"&amp;'Output annual'!$AC$2&amp;'Output annual'!$AD$2&amp;"*FangerPMV(Hourly)",'Eplus results'!$1:$1048576,ROW(),FALSE)</f>
        <v>0</v>
      </c>
      <c r="AD3026" s="580">
        <f t="shared" si="271"/>
        <v>5</v>
      </c>
      <c r="AE3026" s="580">
        <f t="shared" si="272"/>
        <v>2.5</v>
      </c>
      <c r="AF3026" s="580">
        <f t="shared" si="273"/>
        <v>2.5</v>
      </c>
      <c r="AG3026" s="580">
        <f t="shared" si="274"/>
        <v>0</v>
      </c>
      <c r="AH3026" s="580">
        <f t="shared" si="275"/>
        <v>0</v>
      </c>
    </row>
    <row r="3027" spans="28:34">
      <c r="AB3027" s="580">
        <f>HLOOKUP("*"&amp;'Output annual'!$AC$2&amp;'Output annual'!$AD$2&amp;"*Zone People Number Of Occupants [](Hourly)",'Eplus results'!$1:$1048576,ROW(),FALSE)</f>
        <v>0</v>
      </c>
      <c r="AC3027" s="580">
        <f>HLOOKUP("*"&amp;'Output annual'!$AC$2&amp;'Output annual'!$AD$2&amp;"*FangerPMV(Hourly)",'Eplus results'!$1:$1048576,ROW(),FALSE)</f>
        <v>0</v>
      </c>
      <c r="AD3027" s="580">
        <f t="shared" si="271"/>
        <v>5</v>
      </c>
      <c r="AE3027" s="580">
        <f t="shared" si="272"/>
        <v>2.5</v>
      </c>
      <c r="AF3027" s="580">
        <f t="shared" si="273"/>
        <v>2.5</v>
      </c>
      <c r="AG3027" s="580">
        <f t="shared" si="274"/>
        <v>0</v>
      </c>
      <c r="AH3027" s="580">
        <f t="shared" si="275"/>
        <v>0</v>
      </c>
    </row>
    <row r="3028" spans="28:34">
      <c r="AB3028" s="580">
        <f>HLOOKUP("*"&amp;'Output annual'!$AC$2&amp;'Output annual'!$AD$2&amp;"*Zone People Number Of Occupants [](Hourly)",'Eplus results'!$1:$1048576,ROW(),FALSE)</f>
        <v>0</v>
      </c>
      <c r="AC3028" s="580">
        <f>HLOOKUP("*"&amp;'Output annual'!$AC$2&amp;'Output annual'!$AD$2&amp;"*FangerPMV(Hourly)",'Eplus results'!$1:$1048576,ROW(),FALSE)</f>
        <v>0</v>
      </c>
      <c r="AD3028" s="580">
        <f t="shared" si="271"/>
        <v>5</v>
      </c>
      <c r="AE3028" s="580">
        <f t="shared" si="272"/>
        <v>2.5</v>
      </c>
      <c r="AF3028" s="580">
        <f t="shared" si="273"/>
        <v>2.5</v>
      </c>
      <c r="AG3028" s="580">
        <f t="shared" si="274"/>
        <v>0</v>
      </c>
      <c r="AH3028" s="580">
        <f t="shared" si="275"/>
        <v>0</v>
      </c>
    </row>
    <row r="3029" spans="28:34">
      <c r="AB3029" s="580">
        <f>HLOOKUP("*"&amp;'Output annual'!$AC$2&amp;'Output annual'!$AD$2&amp;"*Zone People Number Of Occupants [](Hourly)",'Eplus results'!$1:$1048576,ROW(),FALSE)</f>
        <v>0</v>
      </c>
      <c r="AC3029" s="580">
        <f>HLOOKUP("*"&amp;'Output annual'!$AC$2&amp;'Output annual'!$AD$2&amp;"*FangerPMV(Hourly)",'Eplus results'!$1:$1048576,ROW(),FALSE)</f>
        <v>0</v>
      </c>
      <c r="AD3029" s="580">
        <f t="shared" si="271"/>
        <v>5</v>
      </c>
      <c r="AE3029" s="580">
        <f t="shared" si="272"/>
        <v>2.5</v>
      </c>
      <c r="AF3029" s="580">
        <f t="shared" si="273"/>
        <v>2.5</v>
      </c>
      <c r="AG3029" s="580">
        <f t="shared" si="274"/>
        <v>0</v>
      </c>
      <c r="AH3029" s="580">
        <f t="shared" si="275"/>
        <v>0</v>
      </c>
    </row>
    <row r="3030" spans="28:34">
      <c r="AB3030" s="580">
        <f>HLOOKUP("*"&amp;'Output annual'!$AC$2&amp;'Output annual'!$AD$2&amp;"*Zone People Number Of Occupants [](Hourly)",'Eplus results'!$1:$1048576,ROW(),FALSE)</f>
        <v>0</v>
      </c>
      <c r="AC3030" s="580">
        <f>HLOOKUP("*"&amp;'Output annual'!$AC$2&amp;'Output annual'!$AD$2&amp;"*FangerPMV(Hourly)",'Eplus results'!$1:$1048576,ROW(),FALSE)</f>
        <v>0</v>
      </c>
      <c r="AD3030" s="580">
        <f t="shared" si="271"/>
        <v>5</v>
      </c>
      <c r="AE3030" s="580">
        <f t="shared" si="272"/>
        <v>2.5</v>
      </c>
      <c r="AF3030" s="580">
        <f t="shared" si="273"/>
        <v>2.5</v>
      </c>
      <c r="AG3030" s="580">
        <f t="shared" si="274"/>
        <v>0</v>
      </c>
      <c r="AH3030" s="580">
        <f t="shared" si="275"/>
        <v>0</v>
      </c>
    </row>
    <row r="3031" spans="28:34">
      <c r="AB3031" s="580">
        <f>HLOOKUP("*"&amp;'Output annual'!$AC$2&amp;'Output annual'!$AD$2&amp;"*Zone People Number Of Occupants [](Hourly)",'Eplus results'!$1:$1048576,ROW(),FALSE)</f>
        <v>0</v>
      </c>
      <c r="AC3031" s="580">
        <f>HLOOKUP("*"&amp;'Output annual'!$AC$2&amp;'Output annual'!$AD$2&amp;"*FangerPMV(Hourly)",'Eplus results'!$1:$1048576,ROW(),FALSE)</f>
        <v>0</v>
      </c>
      <c r="AD3031" s="580">
        <f t="shared" si="271"/>
        <v>5</v>
      </c>
      <c r="AE3031" s="580">
        <f t="shared" si="272"/>
        <v>2.5</v>
      </c>
      <c r="AF3031" s="580">
        <f t="shared" si="273"/>
        <v>2.5</v>
      </c>
      <c r="AG3031" s="580">
        <f t="shared" si="274"/>
        <v>0</v>
      </c>
      <c r="AH3031" s="580">
        <f t="shared" si="275"/>
        <v>0</v>
      </c>
    </row>
    <row r="3032" spans="28:34">
      <c r="AB3032" s="580">
        <f>HLOOKUP("*"&amp;'Output annual'!$AC$2&amp;'Output annual'!$AD$2&amp;"*Zone People Number Of Occupants [](Hourly)",'Eplus results'!$1:$1048576,ROW(),FALSE)</f>
        <v>0</v>
      </c>
      <c r="AC3032" s="580">
        <f>HLOOKUP("*"&amp;'Output annual'!$AC$2&amp;'Output annual'!$AD$2&amp;"*FangerPMV(Hourly)",'Eplus results'!$1:$1048576,ROW(),FALSE)</f>
        <v>0</v>
      </c>
      <c r="AD3032" s="580">
        <f t="shared" si="271"/>
        <v>5</v>
      </c>
      <c r="AE3032" s="580">
        <f t="shared" si="272"/>
        <v>2.5</v>
      </c>
      <c r="AF3032" s="580">
        <f t="shared" si="273"/>
        <v>2.5</v>
      </c>
      <c r="AG3032" s="580">
        <f t="shared" si="274"/>
        <v>0</v>
      </c>
      <c r="AH3032" s="580">
        <f t="shared" si="275"/>
        <v>0</v>
      </c>
    </row>
    <row r="3033" spans="28:34">
      <c r="AB3033" s="580">
        <f>HLOOKUP("*"&amp;'Output annual'!$AC$2&amp;'Output annual'!$AD$2&amp;"*Zone People Number Of Occupants [](Hourly)",'Eplus results'!$1:$1048576,ROW(),FALSE)</f>
        <v>0</v>
      </c>
      <c r="AC3033" s="580">
        <f>HLOOKUP("*"&amp;'Output annual'!$AC$2&amp;'Output annual'!$AD$2&amp;"*FangerPMV(Hourly)",'Eplus results'!$1:$1048576,ROW(),FALSE)</f>
        <v>0</v>
      </c>
      <c r="AD3033" s="580">
        <f t="shared" si="271"/>
        <v>5</v>
      </c>
      <c r="AE3033" s="580">
        <f t="shared" si="272"/>
        <v>2.5</v>
      </c>
      <c r="AF3033" s="580">
        <f t="shared" si="273"/>
        <v>2.5</v>
      </c>
      <c r="AG3033" s="580">
        <f t="shared" si="274"/>
        <v>0</v>
      </c>
      <c r="AH3033" s="580">
        <f t="shared" si="275"/>
        <v>0</v>
      </c>
    </row>
    <row r="3034" spans="28:34">
      <c r="AB3034" s="580">
        <f>HLOOKUP("*"&amp;'Output annual'!$AC$2&amp;'Output annual'!$AD$2&amp;"*Zone People Number Of Occupants [](Hourly)",'Eplus results'!$1:$1048576,ROW(),FALSE)</f>
        <v>0</v>
      </c>
      <c r="AC3034" s="580">
        <f>HLOOKUP("*"&amp;'Output annual'!$AC$2&amp;'Output annual'!$AD$2&amp;"*FangerPMV(Hourly)",'Eplus results'!$1:$1048576,ROW(),FALSE)</f>
        <v>0</v>
      </c>
      <c r="AD3034" s="580">
        <f t="shared" si="271"/>
        <v>5</v>
      </c>
      <c r="AE3034" s="580">
        <f t="shared" si="272"/>
        <v>2.5</v>
      </c>
      <c r="AF3034" s="580">
        <f t="shared" si="273"/>
        <v>2.5</v>
      </c>
      <c r="AG3034" s="580">
        <f t="shared" si="274"/>
        <v>0</v>
      </c>
      <c r="AH3034" s="580">
        <f t="shared" si="275"/>
        <v>0</v>
      </c>
    </row>
    <row r="3035" spans="28:34">
      <c r="AB3035" s="580">
        <f>HLOOKUP("*"&amp;'Output annual'!$AC$2&amp;'Output annual'!$AD$2&amp;"*Zone People Number Of Occupants [](Hourly)",'Eplus results'!$1:$1048576,ROW(),FALSE)</f>
        <v>0</v>
      </c>
      <c r="AC3035" s="580">
        <f>HLOOKUP("*"&amp;'Output annual'!$AC$2&amp;'Output annual'!$AD$2&amp;"*FangerPMV(Hourly)",'Eplus results'!$1:$1048576,ROW(),FALSE)</f>
        <v>0</v>
      </c>
      <c r="AD3035" s="580">
        <f t="shared" si="271"/>
        <v>5</v>
      </c>
      <c r="AE3035" s="580">
        <f t="shared" si="272"/>
        <v>2.5</v>
      </c>
      <c r="AF3035" s="580">
        <f t="shared" si="273"/>
        <v>2.5</v>
      </c>
      <c r="AG3035" s="580">
        <f t="shared" si="274"/>
        <v>0</v>
      </c>
      <c r="AH3035" s="580">
        <f t="shared" si="275"/>
        <v>0</v>
      </c>
    </row>
    <row r="3036" spans="28:34">
      <c r="AB3036" s="580">
        <f>HLOOKUP("*"&amp;'Output annual'!$AC$2&amp;'Output annual'!$AD$2&amp;"*Zone People Number Of Occupants [](Hourly)",'Eplus results'!$1:$1048576,ROW(),FALSE)</f>
        <v>0</v>
      </c>
      <c r="AC3036" s="580">
        <f>HLOOKUP("*"&amp;'Output annual'!$AC$2&amp;'Output annual'!$AD$2&amp;"*FangerPMV(Hourly)",'Eplus results'!$1:$1048576,ROW(),FALSE)</f>
        <v>0</v>
      </c>
      <c r="AD3036" s="580">
        <f t="shared" si="271"/>
        <v>5</v>
      </c>
      <c r="AE3036" s="580">
        <f t="shared" si="272"/>
        <v>2.5</v>
      </c>
      <c r="AF3036" s="580">
        <f t="shared" si="273"/>
        <v>2.5</v>
      </c>
      <c r="AG3036" s="580">
        <f t="shared" si="274"/>
        <v>0</v>
      </c>
      <c r="AH3036" s="580">
        <f t="shared" si="275"/>
        <v>0</v>
      </c>
    </row>
    <row r="3037" spans="28:34">
      <c r="AB3037" s="580">
        <f>HLOOKUP("*"&amp;'Output annual'!$AC$2&amp;'Output annual'!$AD$2&amp;"*Zone People Number Of Occupants [](Hourly)",'Eplus results'!$1:$1048576,ROW(),FALSE)</f>
        <v>0</v>
      </c>
      <c r="AC3037" s="580">
        <f>HLOOKUP("*"&amp;'Output annual'!$AC$2&amp;'Output annual'!$AD$2&amp;"*FangerPMV(Hourly)",'Eplus results'!$1:$1048576,ROW(),FALSE)</f>
        <v>0</v>
      </c>
      <c r="AD3037" s="580">
        <f t="shared" si="271"/>
        <v>5</v>
      </c>
      <c r="AE3037" s="580">
        <f t="shared" si="272"/>
        <v>2.5</v>
      </c>
      <c r="AF3037" s="580">
        <f t="shared" si="273"/>
        <v>2.5</v>
      </c>
      <c r="AG3037" s="580">
        <f t="shared" si="274"/>
        <v>0</v>
      </c>
      <c r="AH3037" s="580">
        <f t="shared" si="275"/>
        <v>0</v>
      </c>
    </row>
    <row r="3038" spans="28:34">
      <c r="AB3038" s="580">
        <f>HLOOKUP("*"&amp;'Output annual'!$AC$2&amp;'Output annual'!$AD$2&amp;"*Zone People Number Of Occupants [](Hourly)",'Eplus results'!$1:$1048576,ROW(),FALSE)</f>
        <v>0</v>
      </c>
      <c r="AC3038" s="580">
        <f>HLOOKUP("*"&amp;'Output annual'!$AC$2&amp;'Output annual'!$AD$2&amp;"*FangerPMV(Hourly)",'Eplus results'!$1:$1048576,ROW(),FALSE)</f>
        <v>0</v>
      </c>
      <c r="AD3038" s="580">
        <f t="shared" si="271"/>
        <v>5</v>
      </c>
      <c r="AE3038" s="580">
        <f t="shared" si="272"/>
        <v>2.5</v>
      </c>
      <c r="AF3038" s="580">
        <f t="shared" si="273"/>
        <v>2.5</v>
      </c>
      <c r="AG3038" s="580">
        <f t="shared" si="274"/>
        <v>0</v>
      </c>
      <c r="AH3038" s="580">
        <f t="shared" si="275"/>
        <v>0</v>
      </c>
    </row>
    <row r="3039" spans="28:34">
      <c r="AB3039" s="580">
        <f>HLOOKUP("*"&amp;'Output annual'!$AC$2&amp;'Output annual'!$AD$2&amp;"*Zone People Number Of Occupants [](Hourly)",'Eplus results'!$1:$1048576,ROW(),FALSE)</f>
        <v>0</v>
      </c>
      <c r="AC3039" s="580">
        <f>HLOOKUP("*"&amp;'Output annual'!$AC$2&amp;'Output annual'!$AD$2&amp;"*FangerPMV(Hourly)",'Eplus results'!$1:$1048576,ROW(),FALSE)</f>
        <v>0</v>
      </c>
      <c r="AD3039" s="580">
        <f t="shared" si="271"/>
        <v>5</v>
      </c>
      <c r="AE3039" s="580">
        <f t="shared" si="272"/>
        <v>2.5</v>
      </c>
      <c r="AF3039" s="580">
        <f t="shared" si="273"/>
        <v>2.5</v>
      </c>
      <c r="AG3039" s="580">
        <f t="shared" si="274"/>
        <v>0</v>
      </c>
      <c r="AH3039" s="580">
        <f t="shared" si="275"/>
        <v>0</v>
      </c>
    </row>
    <row r="3040" spans="28:34">
      <c r="AB3040" s="580">
        <f>HLOOKUP("*"&amp;'Output annual'!$AC$2&amp;'Output annual'!$AD$2&amp;"*Zone People Number Of Occupants [](Hourly)",'Eplus results'!$1:$1048576,ROW(),FALSE)</f>
        <v>0</v>
      </c>
      <c r="AC3040" s="580">
        <f>HLOOKUP("*"&amp;'Output annual'!$AC$2&amp;'Output annual'!$AD$2&amp;"*FangerPMV(Hourly)",'Eplus results'!$1:$1048576,ROW(),FALSE)</f>
        <v>0</v>
      </c>
      <c r="AD3040" s="580">
        <f t="shared" si="271"/>
        <v>5</v>
      </c>
      <c r="AE3040" s="580">
        <f t="shared" si="272"/>
        <v>2.5</v>
      </c>
      <c r="AF3040" s="580">
        <f t="shared" si="273"/>
        <v>2.5</v>
      </c>
      <c r="AG3040" s="580">
        <f t="shared" si="274"/>
        <v>0</v>
      </c>
      <c r="AH3040" s="580">
        <f t="shared" si="275"/>
        <v>0</v>
      </c>
    </row>
    <row r="3041" spans="28:34">
      <c r="AB3041" s="580">
        <f>HLOOKUP("*"&amp;'Output annual'!$AC$2&amp;'Output annual'!$AD$2&amp;"*Zone People Number Of Occupants [](Hourly)",'Eplus results'!$1:$1048576,ROW(),FALSE)</f>
        <v>0</v>
      </c>
      <c r="AC3041" s="580">
        <f>HLOOKUP("*"&amp;'Output annual'!$AC$2&amp;'Output annual'!$AD$2&amp;"*FangerPMV(Hourly)",'Eplus results'!$1:$1048576,ROW(),FALSE)</f>
        <v>0</v>
      </c>
      <c r="AD3041" s="580">
        <f t="shared" si="271"/>
        <v>5</v>
      </c>
      <c r="AE3041" s="580">
        <f t="shared" si="272"/>
        <v>2.5</v>
      </c>
      <c r="AF3041" s="580">
        <f t="shared" si="273"/>
        <v>2.5</v>
      </c>
      <c r="AG3041" s="580">
        <f t="shared" si="274"/>
        <v>0</v>
      </c>
      <c r="AH3041" s="580">
        <f t="shared" si="275"/>
        <v>0</v>
      </c>
    </row>
    <row r="3042" spans="28:34">
      <c r="AB3042" s="580">
        <f>HLOOKUP("*"&amp;'Output annual'!$AC$2&amp;'Output annual'!$AD$2&amp;"*Zone People Number Of Occupants [](Hourly)",'Eplus results'!$1:$1048576,ROW(),FALSE)</f>
        <v>0</v>
      </c>
      <c r="AC3042" s="580">
        <f>HLOOKUP("*"&amp;'Output annual'!$AC$2&amp;'Output annual'!$AD$2&amp;"*FangerPMV(Hourly)",'Eplus results'!$1:$1048576,ROW(),FALSE)</f>
        <v>0</v>
      </c>
      <c r="AD3042" s="580">
        <f t="shared" si="271"/>
        <v>5</v>
      </c>
      <c r="AE3042" s="580">
        <f t="shared" si="272"/>
        <v>2.5</v>
      </c>
      <c r="AF3042" s="580">
        <f t="shared" si="273"/>
        <v>2.5</v>
      </c>
      <c r="AG3042" s="580">
        <f t="shared" si="274"/>
        <v>0</v>
      </c>
      <c r="AH3042" s="580">
        <f t="shared" si="275"/>
        <v>0</v>
      </c>
    </row>
    <row r="3043" spans="28:34">
      <c r="AB3043" s="580">
        <f>HLOOKUP("*"&amp;'Output annual'!$AC$2&amp;'Output annual'!$AD$2&amp;"*Zone People Number Of Occupants [](Hourly)",'Eplus results'!$1:$1048576,ROW(),FALSE)</f>
        <v>0</v>
      </c>
      <c r="AC3043" s="580">
        <f>HLOOKUP("*"&amp;'Output annual'!$AC$2&amp;'Output annual'!$AD$2&amp;"*FangerPMV(Hourly)",'Eplus results'!$1:$1048576,ROW(),FALSE)</f>
        <v>0</v>
      </c>
      <c r="AD3043" s="580">
        <f t="shared" si="271"/>
        <v>5</v>
      </c>
      <c r="AE3043" s="580">
        <f t="shared" si="272"/>
        <v>2.5</v>
      </c>
      <c r="AF3043" s="580">
        <f t="shared" si="273"/>
        <v>2.5</v>
      </c>
      <c r="AG3043" s="580">
        <f t="shared" si="274"/>
        <v>0</v>
      </c>
      <c r="AH3043" s="580">
        <f t="shared" si="275"/>
        <v>0</v>
      </c>
    </row>
    <row r="3044" spans="28:34">
      <c r="AB3044" s="580">
        <f>HLOOKUP("*"&amp;'Output annual'!$AC$2&amp;'Output annual'!$AD$2&amp;"*Zone People Number Of Occupants [](Hourly)",'Eplus results'!$1:$1048576,ROW(),FALSE)</f>
        <v>0</v>
      </c>
      <c r="AC3044" s="580">
        <f>HLOOKUP("*"&amp;'Output annual'!$AC$2&amp;'Output annual'!$AD$2&amp;"*FangerPMV(Hourly)",'Eplus results'!$1:$1048576,ROW(),FALSE)</f>
        <v>0</v>
      </c>
      <c r="AD3044" s="580">
        <f t="shared" si="271"/>
        <v>5</v>
      </c>
      <c r="AE3044" s="580">
        <f t="shared" si="272"/>
        <v>2.5</v>
      </c>
      <c r="AF3044" s="580">
        <f t="shared" si="273"/>
        <v>2.5</v>
      </c>
      <c r="AG3044" s="580">
        <f t="shared" si="274"/>
        <v>0</v>
      </c>
      <c r="AH3044" s="580">
        <f t="shared" si="275"/>
        <v>0</v>
      </c>
    </row>
    <row r="3045" spans="28:34">
      <c r="AB3045" s="580">
        <f>HLOOKUP("*"&amp;'Output annual'!$AC$2&amp;'Output annual'!$AD$2&amp;"*Zone People Number Of Occupants [](Hourly)",'Eplus results'!$1:$1048576,ROW(),FALSE)</f>
        <v>0</v>
      </c>
      <c r="AC3045" s="580">
        <f>HLOOKUP("*"&amp;'Output annual'!$AC$2&amp;'Output annual'!$AD$2&amp;"*FangerPMV(Hourly)",'Eplus results'!$1:$1048576,ROW(),FALSE)</f>
        <v>0</v>
      </c>
      <c r="AD3045" s="580">
        <f t="shared" si="271"/>
        <v>5</v>
      </c>
      <c r="AE3045" s="580">
        <f t="shared" si="272"/>
        <v>2.5</v>
      </c>
      <c r="AF3045" s="580">
        <f t="shared" si="273"/>
        <v>2.5</v>
      </c>
      <c r="AG3045" s="580">
        <f t="shared" si="274"/>
        <v>0</v>
      </c>
      <c r="AH3045" s="580">
        <f t="shared" si="275"/>
        <v>0</v>
      </c>
    </row>
    <row r="3046" spans="28:34">
      <c r="AB3046" s="580">
        <f>HLOOKUP("*"&amp;'Output annual'!$AC$2&amp;'Output annual'!$AD$2&amp;"*Zone People Number Of Occupants [](Hourly)",'Eplus results'!$1:$1048576,ROW(),FALSE)</f>
        <v>0</v>
      </c>
      <c r="AC3046" s="580">
        <f>HLOOKUP("*"&amp;'Output annual'!$AC$2&amp;'Output annual'!$AD$2&amp;"*FangerPMV(Hourly)",'Eplus results'!$1:$1048576,ROW(),FALSE)</f>
        <v>0</v>
      </c>
      <c r="AD3046" s="580">
        <f t="shared" si="271"/>
        <v>5</v>
      </c>
      <c r="AE3046" s="580">
        <f t="shared" si="272"/>
        <v>2.5</v>
      </c>
      <c r="AF3046" s="580">
        <f t="shared" si="273"/>
        <v>2.5</v>
      </c>
      <c r="AG3046" s="580">
        <f t="shared" si="274"/>
        <v>0</v>
      </c>
      <c r="AH3046" s="580">
        <f t="shared" si="275"/>
        <v>0</v>
      </c>
    </row>
    <row r="3047" spans="28:34">
      <c r="AB3047" s="580">
        <f>HLOOKUP("*"&amp;'Output annual'!$AC$2&amp;'Output annual'!$AD$2&amp;"*Zone People Number Of Occupants [](Hourly)",'Eplus results'!$1:$1048576,ROW(),FALSE)</f>
        <v>0</v>
      </c>
      <c r="AC3047" s="580">
        <f>HLOOKUP("*"&amp;'Output annual'!$AC$2&amp;'Output annual'!$AD$2&amp;"*FangerPMV(Hourly)",'Eplus results'!$1:$1048576,ROW(),FALSE)</f>
        <v>0</v>
      </c>
      <c r="AD3047" s="580">
        <f t="shared" si="271"/>
        <v>5</v>
      </c>
      <c r="AE3047" s="580">
        <f t="shared" si="272"/>
        <v>2.5</v>
      </c>
      <c r="AF3047" s="580">
        <f t="shared" si="273"/>
        <v>2.5</v>
      </c>
      <c r="AG3047" s="580">
        <f t="shared" si="274"/>
        <v>0</v>
      </c>
      <c r="AH3047" s="580">
        <f t="shared" si="275"/>
        <v>0</v>
      </c>
    </row>
    <row r="3048" spans="28:34">
      <c r="AB3048" s="580">
        <f>HLOOKUP("*"&amp;'Output annual'!$AC$2&amp;'Output annual'!$AD$2&amp;"*Zone People Number Of Occupants [](Hourly)",'Eplus results'!$1:$1048576,ROW(),FALSE)</f>
        <v>0</v>
      </c>
      <c r="AC3048" s="580">
        <f>HLOOKUP("*"&amp;'Output annual'!$AC$2&amp;'Output annual'!$AD$2&amp;"*FangerPMV(Hourly)",'Eplus results'!$1:$1048576,ROW(),FALSE)</f>
        <v>0</v>
      </c>
      <c r="AD3048" s="580">
        <f t="shared" si="271"/>
        <v>5</v>
      </c>
      <c r="AE3048" s="580">
        <f t="shared" si="272"/>
        <v>2.5</v>
      </c>
      <c r="AF3048" s="580">
        <f t="shared" si="273"/>
        <v>2.5</v>
      </c>
      <c r="AG3048" s="580">
        <f t="shared" si="274"/>
        <v>0</v>
      </c>
      <c r="AH3048" s="580">
        <f t="shared" si="275"/>
        <v>0</v>
      </c>
    </row>
    <row r="3049" spans="28:34">
      <c r="AB3049" s="580">
        <f>HLOOKUP("*"&amp;'Output annual'!$AC$2&amp;'Output annual'!$AD$2&amp;"*Zone People Number Of Occupants [](Hourly)",'Eplus results'!$1:$1048576,ROW(),FALSE)</f>
        <v>0</v>
      </c>
      <c r="AC3049" s="580">
        <f>HLOOKUP("*"&amp;'Output annual'!$AC$2&amp;'Output annual'!$AD$2&amp;"*FangerPMV(Hourly)",'Eplus results'!$1:$1048576,ROW(),FALSE)</f>
        <v>0</v>
      </c>
      <c r="AD3049" s="580">
        <f t="shared" si="271"/>
        <v>5</v>
      </c>
      <c r="AE3049" s="580">
        <f t="shared" si="272"/>
        <v>2.5</v>
      </c>
      <c r="AF3049" s="580">
        <f t="shared" si="273"/>
        <v>2.5</v>
      </c>
      <c r="AG3049" s="580">
        <f t="shared" si="274"/>
        <v>0</v>
      </c>
      <c r="AH3049" s="580">
        <f t="shared" si="275"/>
        <v>0</v>
      </c>
    </row>
    <row r="3050" spans="28:34">
      <c r="AB3050" s="580">
        <f>HLOOKUP("*"&amp;'Output annual'!$AC$2&amp;'Output annual'!$AD$2&amp;"*Zone People Number Of Occupants [](Hourly)",'Eplus results'!$1:$1048576,ROW(),FALSE)</f>
        <v>0</v>
      </c>
      <c r="AC3050" s="580">
        <f>HLOOKUP("*"&amp;'Output annual'!$AC$2&amp;'Output annual'!$AD$2&amp;"*FangerPMV(Hourly)",'Eplus results'!$1:$1048576,ROW(),FALSE)</f>
        <v>0</v>
      </c>
      <c r="AD3050" s="580">
        <f t="shared" si="271"/>
        <v>5</v>
      </c>
      <c r="AE3050" s="580">
        <f t="shared" si="272"/>
        <v>2.5</v>
      </c>
      <c r="AF3050" s="580">
        <f t="shared" si="273"/>
        <v>2.5</v>
      </c>
      <c r="AG3050" s="580">
        <f t="shared" si="274"/>
        <v>0</v>
      </c>
      <c r="AH3050" s="580">
        <f t="shared" si="275"/>
        <v>0</v>
      </c>
    </row>
    <row r="3051" spans="28:34">
      <c r="AB3051" s="580">
        <f>HLOOKUP("*"&amp;'Output annual'!$AC$2&amp;'Output annual'!$AD$2&amp;"*Zone People Number Of Occupants [](Hourly)",'Eplus results'!$1:$1048576,ROW(),FALSE)</f>
        <v>0</v>
      </c>
      <c r="AC3051" s="580">
        <f>HLOOKUP("*"&amp;'Output annual'!$AC$2&amp;'Output annual'!$AD$2&amp;"*FangerPMV(Hourly)",'Eplus results'!$1:$1048576,ROW(),FALSE)</f>
        <v>0</v>
      </c>
      <c r="AD3051" s="580">
        <f t="shared" si="271"/>
        <v>5</v>
      </c>
      <c r="AE3051" s="580">
        <f t="shared" si="272"/>
        <v>2.5</v>
      </c>
      <c r="AF3051" s="580">
        <f t="shared" si="273"/>
        <v>2.5</v>
      </c>
      <c r="AG3051" s="580">
        <f t="shared" si="274"/>
        <v>0</v>
      </c>
      <c r="AH3051" s="580">
        <f t="shared" si="275"/>
        <v>0</v>
      </c>
    </row>
    <row r="3052" spans="28:34">
      <c r="AB3052" s="580">
        <f>HLOOKUP("*"&amp;'Output annual'!$AC$2&amp;'Output annual'!$AD$2&amp;"*Zone People Number Of Occupants [](Hourly)",'Eplus results'!$1:$1048576,ROW(),FALSE)</f>
        <v>0</v>
      </c>
      <c r="AC3052" s="580">
        <f>HLOOKUP("*"&amp;'Output annual'!$AC$2&amp;'Output annual'!$AD$2&amp;"*FangerPMV(Hourly)",'Eplus results'!$1:$1048576,ROW(),FALSE)</f>
        <v>0</v>
      </c>
      <c r="AD3052" s="580">
        <f t="shared" si="271"/>
        <v>5</v>
      </c>
      <c r="AE3052" s="580">
        <f t="shared" si="272"/>
        <v>2.5</v>
      </c>
      <c r="AF3052" s="580">
        <f t="shared" si="273"/>
        <v>2.5</v>
      </c>
      <c r="AG3052" s="580">
        <f t="shared" si="274"/>
        <v>0</v>
      </c>
      <c r="AH3052" s="580">
        <f t="shared" si="275"/>
        <v>0</v>
      </c>
    </row>
    <row r="3053" spans="28:34">
      <c r="AB3053" s="580">
        <f>HLOOKUP("*"&amp;'Output annual'!$AC$2&amp;'Output annual'!$AD$2&amp;"*Zone People Number Of Occupants [](Hourly)",'Eplus results'!$1:$1048576,ROW(),FALSE)</f>
        <v>0</v>
      </c>
      <c r="AC3053" s="580">
        <f>HLOOKUP("*"&amp;'Output annual'!$AC$2&amp;'Output annual'!$AD$2&amp;"*FangerPMV(Hourly)",'Eplus results'!$1:$1048576,ROW(),FALSE)</f>
        <v>0</v>
      </c>
      <c r="AD3053" s="580">
        <f t="shared" si="271"/>
        <v>5</v>
      </c>
      <c r="AE3053" s="580">
        <f t="shared" si="272"/>
        <v>2.5</v>
      </c>
      <c r="AF3053" s="580">
        <f t="shared" si="273"/>
        <v>2.5</v>
      </c>
      <c r="AG3053" s="580">
        <f t="shared" si="274"/>
        <v>0</v>
      </c>
      <c r="AH3053" s="580">
        <f t="shared" si="275"/>
        <v>0</v>
      </c>
    </row>
    <row r="3054" spans="28:34">
      <c r="AB3054" s="580">
        <f>HLOOKUP("*"&amp;'Output annual'!$AC$2&amp;'Output annual'!$AD$2&amp;"*Zone People Number Of Occupants [](Hourly)",'Eplus results'!$1:$1048576,ROW(),FALSE)</f>
        <v>0</v>
      </c>
      <c r="AC3054" s="580">
        <f>HLOOKUP("*"&amp;'Output annual'!$AC$2&amp;'Output annual'!$AD$2&amp;"*FangerPMV(Hourly)",'Eplus results'!$1:$1048576,ROW(),FALSE)</f>
        <v>0</v>
      </c>
      <c r="AD3054" s="580">
        <f t="shared" si="271"/>
        <v>5</v>
      </c>
      <c r="AE3054" s="580">
        <f t="shared" si="272"/>
        <v>2.5</v>
      </c>
      <c r="AF3054" s="580">
        <f t="shared" si="273"/>
        <v>2.5</v>
      </c>
      <c r="AG3054" s="580">
        <f t="shared" si="274"/>
        <v>0</v>
      </c>
      <c r="AH3054" s="580">
        <f t="shared" si="275"/>
        <v>0</v>
      </c>
    </row>
    <row r="3055" spans="28:34">
      <c r="AB3055" s="580">
        <f>HLOOKUP("*"&amp;'Output annual'!$AC$2&amp;'Output annual'!$AD$2&amp;"*Zone People Number Of Occupants [](Hourly)",'Eplus results'!$1:$1048576,ROW(),FALSE)</f>
        <v>0</v>
      </c>
      <c r="AC3055" s="580">
        <f>HLOOKUP("*"&amp;'Output annual'!$AC$2&amp;'Output annual'!$AD$2&amp;"*FangerPMV(Hourly)",'Eplus results'!$1:$1048576,ROW(),FALSE)</f>
        <v>0</v>
      </c>
      <c r="AD3055" s="580">
        <f t="shared" si="271"/>
        <v>5</v>
      </c>
      <c r="AE3055" s="580">
        <f t="shared" si="272"/>
        <v>2.5</v>
      </c>
      <c r="AF3055" s="580">
        <f t="shared" si="273"/>
        <v>2.5</v>
      </c>
      <c r="AG3055" s="580">
        <f t="shared" si="274"/>
        <v>0</v>
      </c>
      <c r="AH3055" s="580">
        <f t="shared" si="275"/>
        <v>0</v>
      </c>
    </row>
    <row r="3056" spans="28:34">
      <c r="AB3056" s="580">
        <f>HLOOKUP("*"&amp;'Output annual'!$AC$2&amp;'Output annual'!$AD$2&amp;"*Zone People Number Of Occupants [](Hourly)",'Eplus results'!$1:$1048576,ROW(),FALSE)</f>
        <v>0</v>
      </c>
      <c r="AC3056" s="580">
        <f>HLOOKUP("*"&amp;'Output annual'!$AC$2&amp;'Output annual'!$AD$2&amp;"*FangerPMV(Hourly)",'Eplus results'!$1:$1048576,ROW(),FALSE)</f>
        <v>0</v>
      </c>
      <c r="AD3056" s="580">
        <f t="shared" si="271"/>
        <v>5</v>
      </c>
      <c r="AE3056" s="580">
        <f t="shared" si="272"/>
        <v>2.5</v>
      </c>
      <c r="AF3056" s="580">
        <f t="shared" si="273"/>
        <v>2.5</v>
      </c>
      <c r="AG3056" s="580">
        <f t="shared" si="274"/>
        <v>0</v>
      </c>
      <c r="AH3056" s="580">
        <f t="shared" si="275"/>
        <v>0</v>
      </c>
    </row>
    <row r="3057" spans="28:34">
      <c r="AB3057" s="580">
        <f>HLOOKUP("*"&amp;'Output annual'!$AC$2&amp;'Output annual'!$AD$2&amp;"*Zone People Number Of Occupants [](Hourly)",'Eplus results'!$1:$1048576,ROW(),FALSE)</f>
        <v>0</v>
      </c>
      <c r="AC3057" s="580">
        <f>HLOOKUP("*"&amp;'Output annual'!$AC$2&amp;'Output annual'!$AD$2&amp;"*FangerPMV(Hourly)",'Eplus results'!$1:$1048576,ROW(),FALSE)</f>
        <v>0</v>
      </c>
      <c r="AD3057" s="580">
        <f t="shared" si="271"/>
        <v>5</v>
      </c>
      <c r="AE3057" s="580">
        <f t="shared" si="272"/>
        <v>2.5</v>
      </c>
      <c r="AF3057" s="580">
        <f t="shared" si="273"/>
        <v>2.5</v>
      </c>
      <c r="AG3057" s="580">
        <f t="shared" si="274"/>
        <v>0</v>
      </c>
      <c r="AH3057" s="580">
        <f t="shared" si="275"/>
        <v>0</v>
      </c>
    </row>
    <row r="3058" spans="28:34">
      <c r="AB3058" s="580">
        <f>HLOOKUP("*"&amp;'Output annual'!$AC$2&amp;'Output annual'!$AD$2&amp;"*Zone People Number Of Occupants [](Hourly)",'Eplus results'!$1:$1048576,ROW(),FALSE)</f>
        <v>0</v>
      </c>
      <c r="AC3058" s="580">
        <f>HLOOKUP("*"&amp;'Output annual'!$AC$2&amp;'Output annual'!$AD$2&amp;"*FangerPMV(Hourly)",'Eplus results'!$1:$1048576,ROW(),FALSE)</f>
        <v>0</v>
      </c>
      <c r="AD3058" s="580">
        <f t="shared" si="271"/>
        <v>5</v>
      </c>
      <c r="AE3058" s="580">
        <f t="shared" si="272"/>
        <v>2.5</v>
      </c>
      <c r="AF3058" s="580">
        <f t="shared" si="273"/>
        <v>2.5</v>
      </c>
      <c r="AG3058" s="580">
        <f t="shared" si="274"/>
        <v>0</v>
      </c>
      <c r="AH3058" s="580">
        <f t="shared" si="275"/>
        <v>0</v>
      </c>
    </row>
    <row r="3059" spans="28:34">
      <c r="AB3059" s="580">
        <f>HLOOKUP("*"&amp;'Output annual'!$AC$2&amp;'Output annual'!$AD$2&amp;"*Zone People Number Of Occupants [](Hourly)",'Eplus results'!$1:$1048576,ROW(),FALSE)</f>
        <v>0</v>
      </c>
      <c r="AC3059" s="580">
        <f>HLOOKUP("*"&amp;'Output annual'!$AC$2&amp;'Output annual'!$AD$2&amp;"*FangerPMV(Hourly)",'Eplus results'!$1:$1048576,ROW(),FALSE)</f>
        <v>0</v>
      </c>
      <c r="AD3059" s="580">
        <f t="shared" si="271"/>
        <v>5</v>
      </c>
      <c r="AE3059" s="580">
        <f t="shared" si="272"/>
        <v>2.5</v>
      </c>
      <c r="AF3059" s="580">
        <f t="shared" si="273"/>
        <v>2.5</v>
      </c>
      <c r="AG3059" s="580">
        <f t="shared" si="274"/>
        <v>0</v>
      </c>
      <c r="AH3059" s="580">
        <f t="shared" si="275"/>
        <v>0</v>
      </c>
    </row>
    <row r="3060" spans="28:34">
      <c r="AB3060" s="580">
        <f>HLOOKUP("*"&amp;'Output annual'!$AC$2&amp;'Output annual'!$AD$2&amp;"*Zone People Number Of Occupants [](Hourly)",'Eplus results'!$1:$1048576,ROW(),FALSE)</f>
        <v>0</v>
      </c>
      <c r="AC3060" s="580">
        <f>HLOOKUP("*"&amp;'Output annual'!$AC$2&amp;'Output annual'!$AD$2&amp;"*FangerPMV(Hourly)",'Eplus results'!$1:$1048576,ROW(),FALSE)</f>
        <v>0</v>
      </c>
      <c r="AD3060" s="580">
        <f t="shared" si="271"/>
        <v>5</v>
      </c>
      <c r="AE3060" s="580">
        <f t="shared" si="272"/>
        <v>2.5</v>
      </c>
      <c r="AF3060" s="580">
        <f t="shared" si="273"/>
        <v>2.5</v>
      </c>
      <c r="AG3060" s="580">
        <f t="shared" si="274"/>
        <v>0</v>
      </c>
      <c r="AH3060" s="580">
        <f t="shared" si="275"/>
        <v>0</v>
      </c>
    </row>
    <row r="3061" spans="28:34">
      <c r="AB3061" s="580">
        <f>HLOOKUP("*"&amp;'Output annual'!$AC$2&amp;'Output annual'!$AD$2&amp;"*Zone People Number Of Occupants [](Hourly)",'Eplus results'!$1:$1048576,ROW(),FALSE)</f>
        <v>0</v>
      </c>
      <c r="AC3061" s="580">
        <f>HLOOKUP("*"&amp;'Output annual'!$AC$2&amp;'Output annual'!$AD$2&amp;"*FangerPMV(Hourly)",'Eplus results'!$1:$1048576,ROW(),FALSE)</f>
        <v>0</v>
      </c>
      <c r="AD3061" s="580">
        <f t="shared" si="271"/>
        <v>5</v>
      </c>
      <c r="AE3061" s="580">
        <f t="shared" si="272"/>
        <v>2.5</v>
      </c>
      <c r="AF3061" s="580">
        <f t="shared" si="273"/>
        <v>2.5</v>
      </c>
      <c r="AG3061" s="580">
        <f t="shared" si="274"/>
        <v>0</v>
      </c>
      <c r="AH3061" s="580">
        <f t="shared" si="275"/>
        <v>0</v>
      </c>
    </row>
    <row r="3062" spans="28:34">
      <c r="AB3062" s="580">
        <f>HLOOKUP("*"&amp;'Output annual'!$AC$2&amp;'Output annual'!$AD$2&amp;"*Zone People Number Of Occupants [](Hourly)",'Eplus results'!$1:$1048576,ROW(),FALSE)</f>
        <v>0</v>
      </c>
      <c r="AC3062" s="580">
        <f>HLOOKUP("*"&amp;'Output annual'!$AC$2&amp;'Output annual'!$AD$2&amp;"*FangerPMV(Hourly)",'Eplus results'!$1:$1048576,ROW(),FALSE)</f>
        <v>0</v>
      </c>
      <c r="AD3062" s="580">
        <f t="shared" si="271"/>
        <v>5</v>
      </c>
      <c r="AE3062" s="580">
        <f t="shared" si="272"/>
        <v>2.5</v>
      </c>
      <c r="AF3062" s="580">
        <f t="shared" si="273"/>
        <v>2.5</v>
      </c>
      <c r="AG3062" s="580">
        <f t="shared" si="274"/>
        <v>0</v>
      </c>
      <c r="AH3062" s="580">
        <f t="shared" si="275"/>
        <v>0</v>
      </c>
    </row>
    <row r="3063" spans="28:34">
      <c r="AB3063" s="580">
        <f>HLOOKUP("*"&amp;'Output annual'!$AC$2&amp;'Output annual'!$AD$2&amp;"*Zone People Number Of Occupants [](Hourly)",'Eplus results'!$1:$1048576,ROW(),FALSE)</f>
        <v>0</v>
      </c>
      <c r="AC3063" s="580">
        <f>HLOOKUP("*"&amp;'Output annual'!$AC$2&amp;'Output annual'!$AD$2&amp;"*FangerPMV(Hourly)",'Eplus results'!$1:$1048576,ROW(),FALSE)</f>
        <v>0</v>
      </c>
      <c r="AD3063" s="580">
        <f t="shared" si="271"/>
        <v>5</v>
      </c>
      <c r="AE3063" s="580">
        <f t="shared" si="272"/>
        <v>2.5</v>
      </c>
      <c r="AF3063" s="580">
        <f t="shared" si="273"/>
        <v>2.5</v>
      </c>
      <c r="AG3063" s="580">
        <f t="shared" si="274"/>
        <v>0</v>
      </c>
      <c r="AH3063" s="580">
        <f t="shared" si="275"/>
        <v>0</v>
      </c>
    </row>
    <row r="3064" spans="28:34">
      <c r="AB3064" s="580">
        <f>HLOOKUP("*"&amp;'Output annual'!$AC$2&amp;'Output annual'!$AD$2&amp;"*Zone People Number Of Occupants [](Hourly)",'Eplus results'!$1:$1048576,ROW(),FALSE)</f>
        <v>0</v>
      </c>
      <c r="AC3064" s="580">
        <f>HLOOKUP("*"&amp;'Output annual'!$AC$2&amp;'Output annual'!$AD$2&amp;"*FangerPMV(Hourly)",'Eplus results'!$1:$1048576,ROW(),FALSE)</f>
        <v>0</v>
      </c>
      <c r="AD3064" s="580">
        <f t="shared" si="271"/>
        <v>5</v>
      </c>
      <c r="AE3064" s="580">
        <f t="shared" si="272"/>
        <v>2.5</v>
      </c>
      <c r="AF3064" s="580">
        <f t="shared" si="273"/>
        <v>2.5</v>
      </c>
      <c r="AG3064" s="580">
        <f t="shared" si="274"/>
        <v>0</v>
      </c>
      <c r="AH3064" s="580">
        <f t="shared" si="275"/>
        <v>0</v>
      </c>
    </row>
    <row r="3065" spans="28:34">
      <c r="AB3065" s="580">
        <f>HLOOKUP("*"&amp;'Output annual'!$AC$2&amp;'Output annual'!$AD$2&amp;"*Zone People Number Of Occupants [](Hourly)",'Eplus results'!$1:$1048576,ROW(),FALSE)</f>
        <v>0</v>
      </c>
      <c r="AC3065" s="580">
        <f>HLOOKUP("*"&amp;'Output annual'!$AC$2&amp;'Output annual'!$AD$2&amp;"*FangerPMV(Hourly)",'Eplus results'!$1:$1048576,ROW(),FALSE)</f>
        <v>0</v>
      </c>
      <c r="AD3065" s="580">
        <f t="shared" si="271"/>
        <v>5</v>
      </c>
      <c r="AE3065" s="580">
        <f t="shared" si="272"/>
        <v>2.5</v>
      </c>
      <c r="AF3065" s="580">
        <f t="shared" si="273"/>
        <v>2.5</v>
      </c>
      <c r="AG3065" s="580">
        <f t="shared" si="274"/>
        <v>0</v>
      </c>
      <c r="AH3065" s="580">
        <f t="shared" si="275"/>
        <v>0</v>
      </c>
    </row>
    <row r="3066" spans="28:34">
      <c r="AB3066" s="580">
        <f>HLOOKUP("*"&amp;'Output annual'!$AC$2&amp;'Output annual'!$AD$2&amp;"*Zone People Number Of Occupants [](Hourly)",'Eplus results'!$1:$1048576,ROW(),FALSE)</f>
        <v>0</v>
      </c>
      <c r="AC3066" s="580">
        <f>HLOOKUP("*"&amp;'Output annual'!$AC$2&amp;'Output annual'!$AD$2&amp;"*FangerPMV(Hourly)",'Eplus results'!$1:$1048576,ROW(),FALSE)</f>
        <v>0</v>
      </c>
      <c r="AD3066" s="580">
        <f t="shared" si="271"/>
        <v>5</v>
      </c>
      <c r="AE3066" s="580">
        <f t="shared" si="272"/>
        <v>2.5</v>
      </c>
      <c r="AF3066" s="580">
        <f t="shared" si="273"/>
        <v>2.5</v>
      </c>
      <c r="AG3066" s="580">
        <f t="shared" si="274"/>
        <v>0</v>
      </c>
      <c r="AH3066" s="580">
        <f t="shared" si="275"/>
        <v>0</v>
      </c>
    </row>
    <row r="3067" spans="28:34">
      <c r="AB3067" s="580">
        <f>HLOOKUP("*"&amp;'Output annual'!$AC$2&amp;'Output annual'!$AD$2&amp;"*Zone People Number Of Occupants [](Hourly)",'Eplus results'!$1:$1048576,ROW(),FALSE)</f>
        <v>0</v>
      </c>
      <c r="AC3067" s="580">
        <f>HLOOKUP("*"&amp;'Output annual'!$AC$2&amp;'Output annual'!$AD$2&amp;"*FangerPMV(Hourly)",'Eplus results'!$1:$1048576,ROW(),FALSE)</f>
        <v>0</v>
      </c>
      <c r="AD3067" s="580">
        <f t="shared" si="271"/>
        <v>5</v>
      </c>
      <c r="AE3067" s="580">
        <f t="shared" si="272"/>
        <v>2.5</v>
      </c>
      <c r="AF3067" s="580">
        <f t="shared" si="273"/>
        <v>2.5</v>
      </c>
      <c r="AG3067" s="580">
        <f t="shared" si="274"/>
        <v>0</v>
      </c>
      <c r="AH3067" s="580">
        <f t="shared" si="275"/>
        <v>0</v>
      </c>
    </row>
    <row r="3068" spans="28:34">
      <c r="AB3068" s="580">
        <f>HLOOKUP("*"&amp;'Output annual'!$AC$2&amp;'Output annual'!$AD$2&amp;"*Zone People Number Of Occupants [](Hourly)",'Eplus results'!$1:$1048576,ROW(),FALSE)</f>
        <v>0</v>
      </c>
      <c r="AC3068" s="580">
        <f>HLOOKUP("*"&amp;'Output annual'!$AC$2&amp;'Output annual'!$AD$2&amp;"*FangerPMV(Hourly)",'Eplus results'!$1:$1048576,ROW(),FALSE)</f>
        <v>0</v>
      </c>
      <c r="AD3068" s="580">
        <f t="shared" si="271"/>
        <v>5</v>
      </c>
      <c r="AE3068" s="580">
        <f t="shared" si="272"/>
        <v>2.5</v>
      </c>
      <c r="AF3068" s="580">
        <f t="shared" si="273"/>
        <v>2.5</v>
      </c>
      <c r="AG3068" s="580">
        <f t="shared" si="274"/>
        <v>0</v>
      </c>
      <c r="AH3068" s="580">
        <f t="shared" si="275"/>
        <v>0</v>
      </c>
    </row>
    <row r="3069" spans="28:34">
      <c r="AB3069" s="580">
        <f>HLOOKUP("*"&amp;'Output annual'!$AC$2&amp;'Output annual'!$AD$2&amp;"*Zone People Number Of Occupants [](Hourly)",'Eplus results'!$1:$1048576,ROW(),FALSE)</f>
        <v>0</v>
      </c>
      <c r="AC3069" s="580">
        <f>HLOOKUP("*"&amp;'Output annual'!$AC$2&amp;'Output annual'!$AD$2&amp;"*FangerPMV(Hourly)",'Eplus results'!$1:$1048576,ROW(),FALSE)</f>
        <v>0</v>
      </c>
      <c r="AD3069" s="580">
        <f t="shared" si="271"/>
        <v>5</v>
      </c>
      <c r="AE3069" s="580">
        <f t="shared" si="272"/>
        <v>2.5</v>
      </c>
      <c r="AF3069" s="580">
        <f t="shared" si="273"/>
        <v>2.5</v>
      </c>
      <c r="AG3069" s="580">
        <f t="shared" si="274"/>
        <v>0</v>
      </c>
      <c r="AH3069" s="580">
        <f t="shared" si="275"/>
        <v>0</v>
      </c>
    </row>
    <row r="3070" spans="28:34">
      <c r="AB3070" s="580">
        <f>HLOOKUP("*"&amp;'Output annual'!$AC$2&amp;'Output annual'!$AD$2&amp;"*Zone People Number Of Occupants [](Hourly)",'Eplus results'!$1:$1048576,ROW(),FALSE)</f>
        <v>0</v>
      </c>
      <c r="AC3070" s="580">
        <f>HLOOKUP("*"&amp;'Output annual'!$AC$2&amp;'Output annual'!$AD$2&amp;"*FangerPMV(Hourly)",'Eplus results'!$1:$1048576,ROW(),FALSE)</f>
        <v>0</v>
      </c>
      <c r="AD3070" s="580">
        <f t="shared" si="271"/>
        <v>5</v>
      </c>
      <c r="AE3070" s="580">
        <f t="shared" si="272"/>
        <v>2.5</v>
      </c>
      <c r="AF3070" s="580">
        <f t="shared" si="273"/>
        <v>2.5</v>
      </c>
      <c r="AG3070" s="580">
        <f t="shared" si="274"/>
        <v>0</v>
      </c>
      <c r="AH3070" s="580">
        <f t="shared" si="275"/>
        <v>0</v>
      </c>
    </row>
    <row r="3071" spans="28:34">
      <c r="AB3071" s="580">
        <f>HLOOKUP("*"&amp;'Output annual'!$AC$2&amp;'Output annual'!$AD$2&amp;"*Zone People Number Of Occupants [](Hourly)",'Eplus results'!$1:$1048576,ROW(),FALSE)</f>
        <v>0</v>
      </c>
      <c r="AC3071" s="580">
        <f>HLOOKUP("*"&amp;'Output annual'!$AC$2&amp;'Output annual'!$AD$2&amp;"*FangerPMV(Hourly)",'Eplus results'!$1:$1048576,ROW(),FALSE)</f>
        <v>0</v>
      </c>
      <c r="AD3071" s="580">
        <f t="shared" si="271"/>
        <v>5</v>
      </c>
      <c r="AE3071" s="580">
        <f t="shared" si="272"/>
        <v>2.5</v>
      </c>
      <c r="AF3071" s="580">
        <f t="shared" si="273"/>
        <v>2.5</v>
      </c>
      <c r="AG3071" s="580">
        <f t="shared" si="274"/>
        <v>0</v>
      </c>
      <c r="AH3071" s="580">
        <f t="shared" si="275"/>
        <v>0</v>
      </c>
    </row>
    <row r="3072" spans="28:34">
      <c r="AB3072" s="580">
        <f>HLOOKUP("*"&amp;'Output annual'!$AC$2&amp;'Output annual'!$AD$2&amp;"*Zone People Number Of Occupants [](Hourly)",'Eplus results'!$1:$1048576,ROW(),FALSE)</f>
        <v>0</v>
      </c>
      <c r="AC3072" s="580">
        <f>HLOOKUP("*"&amp;'Output annual'!$AC$2&amp;'Output annual'!$AD$2&amp;"*FangerPMV(Hourly)",'Eplus results'!$1:$1048576,ROW(),FALSE)</f>
        <v>0</v>
      </c>
      <c r="AD3072" s="580">
        <f t="shared" si="271"/>
        <v>5</v>
      </c>
      <c r="AE3072" s="580">
        <f t="shared" si="272"/>
        <v>2.5</v>
      </c>
      <c r="AF3072" s="580">
        <f t="shared" si="273"/>
        <v>2.5</v>
      </c>
      <c r="AG3072" s="580">
        <f t="shared" si="274"/>
        <v>0</v>
      </c>
      <c r="AH3072" s="580">
        <f t="shared" si="275"/>
        <v>0</v>
      </c>
    </row>
    <row r="3073" spans="28:34">
      <c r="AB3073" s="580">
        <f>HLOOKUP("*"&amp;'Output annual'!$AC$2&amp;'Output annual'!$AD$2&amp;"*Zone People Number Of Occupants [](Hourly)",'Eplus results'!$1:$1048576,ROW(),FALSE)</f>
        <v>0</v>
      </c>
      <c r="AC3073" s="580">
        <f>HLOOKUP("*"&amp;'Output annual'!$AC$2&amp;'Output annual'!$AD$2&amp;"*FangerPMV(Hourly)",'Eplus results'!$1:$1048576,ROW(),FALSE)</f>
        <v>0</v>
      </c>
      <c r="AD3073" s="580">
        <f t="shared" si="271"/>
        <v>5</v>
      </c>
      <c r="AE3073" s="580">
        <f t="shared" si="272"/>
        <v>2.5</v>
      </c>
      <c r="AF3073" s="580">
        <f t="shared" si="273"/>
        <v>2.5</v>
      </c>
      <c r="AG3073" s="580">
        <f t="shared" si="274"/>
        <v>0</v>
      </c>
      <c r="AH3073" s="580">
        <f t="shared" si="275"/>
        <v>0</v>
      </c>
    </row>
    <row r="3074" spans="28:34">
      <c r="AB3074" s="580">
        <f>HLOOKUP("*"&amp;'Output annual'!$AC$2&amp;'Output annual'!$AD$2&amp;"*Zone People Number Of Occupants [](Hourly)",'Eplus results'!$1:$1048576,ROW(),FALSE)</f>
        <v>0</v>
      </c>
      <c r="AC3074" s="580">
        <f>HLOOKUP("*"&amp;'Output annual'!$AC$2&amp;'Output annual'!$AD$2&amp;"*FangerPMV(Hourly)",'Eplus results'!$1:$1048576,ROW(),FALSE)</f>
        <v>0</v>
      </c>
      <c r="AD3074" s="580">
        <f t="shared" si="271"/>
        <v>5</v>
      </c>
      <c r="AE3074" s="580">
        <f t="shared" si="272"/>
        <v>2.5</v>
      </c>
      <c r="AF3074" s="580">
        <f t="shared" si="273"/>
        <v>2.5</v>
      </c>
      <c r="AG3074" s="580">
        <f t="shared" si="274"/>
        <v>0</v>
      </c>
      <c r="AH3074" s="580">
        <f t="shared" si="275"/>
        <v>0</v>
      </c>
    </row>
    <row r="3075" spans="28:34">
      <c r="AB3075" s="580">
        <f>HLOOKUP("*"&amp;'Output annual'!$AC$2&amp;'Output annual'!$AD$2&amp;"*Zone People Number Of Occupants [](Hourly)",'Eplus results'!$1:$1048576,ROW(),FALSE)</f>
        <v>0</v>
      </c>
      <c r="AC3075" s="580">
        <f>HLOOKUP("*"&amp;'Output annual'!$AC$2&amp;'Output annual'!$AD$2&amp;"*FangerPMV(Hourly)",'Eplus results'!$1:$1048576,ROW(),FALSE)</f>
        <v>0</v>
      </c>
      <c r="AD3075" s="580">
        <f t="shared" ref="AD3075:AD3138" si="276">100-95*EXP(-0.03353*AC3075^4-0.2179*AC3075^2)</f>
        <v>5</v>
      </c>
      <c r="AE3075" s="580">
        <f t="shared" ref="AE3075:AE3138" si="277">AD3075*(1/(1+EXP(-6.3*$AC3075)))</f>
        <v>2.5</v>
      </c>
      <c r="AF3075" s="580">
        <f t="shared" ref="AF3075:AF3138" si="278">(AD3075-AE3075)</f>
        <v>2.5</v>
      </c>
      <c r="AG3075" s="580">
        <f t="shared" ref="AG3075:AG3138" si="279">AE3075*AB3075</f>
        <v>0</v>
      </c>
      <c r="AH3075" s="580">
        <f t="shared" ref="AH3075:AH3138" si="280">AF3075*AB3075</f>
        <v>0</v>
      </c>
    </row>
    <row r="3076" spans="28:34">
      <c r="AB3076" s="580">
        <f>HLOOKUP("*"&amp;'Output annual'!$AC$2&amp;'Output annual'!$AD$2&amp;"*Zone People Number Of Occupants [](Hourly)",'Eplus results'!$1:$1048576,ROW(),FALSE)</f>
        <v>0</v>
      </c>
      <c r="AC3076" s="580">
        <f>HLOOKUP("*"&amp;'Output annual'!$AC$2&amp;'Output annual'!$AD$2&amp;"*FangerPMV(Hourly)",'Eplus results'!$1:$1048576,ROW(),FALSE)</f>
        <v>0</v>
      </c>
      <c r="AD3076" s="580">
        <f t="shared" si="276"/>
        <v>5</v>
      </c>
      <c r="AE3076" s="580">
        <f t="shared" si="277"/>
        <v>2.5</v>
      </c>
      <c r="AF3076" s="580">
        <f t="shared" si="278"/>
        <v>2.5</v>
      </c>
      <c r="AG3076" s="580">
        <f t="shared" si="279"/>
        <v>0</v>
      </c>
      <c r="AH3076" s="580">
        <f t="shared" si="280"/>
        <v>0</v>
      </c>
    </row>
    <row r="3077" spans="28:34">
      <c r="AB3077" s="580">
        <f>HLOOKUP("*"&amp;'Output annual'!$AC$2&amp;'Output annual'!$AD$2&amp;"*Zone People Number Of Occupants [](Hourly)",'Eplus results'!$1:$1048576,ROW(),FALSE)</f>
        <v>0</v>
      </c>
      <c r="AC3077" s="580">
        <f>HLOOKUP("*"&amp;'Output annual'!$AC$2&amp;'Output annual'!$AD$2&amp;"*FangerPMV(Hourly)",'Eplus results'!$1:$1048576,ROW(),FALSE)</f>
        <v>0</v>
      </c>
      <c r="AD3077" s="580">
        <f t="shared" si="276"/>
        <v>5</v>
      </c>
      <c r="AE3077" s="580">
        <f t="shared" si="277"/>
        <v>2.5</v>
      </c>
      <c r="AF3077" s="580">
        <f t="shared" si="278"/>
        <v>2.5</v>
      </c>
      <c r="AG3077" s="580">
        <f t="shared" si="279"/>
        <v>0</v>
      </c>
      <c r="AH3077" s="580">
        <f t="shared" si="280"/>
        <v>0</v>
      </c>
    </row>
    <row r="3078" spans="28:34">
      <c r="AB3078" s="580">
        <f>HLOOKUP("*"&amp;'Output annual'!$AC$2&amp;'Output annual'!$AD$2&amp;"*Zone People Number Of Occupants [](Hourly)",'Eplus results'!$1:$1048576,ROW(),FALSE)</f>
        <v>0</v>
      </c>
      <c r="AC3078" s="580">
        <f>HLOOKUP("*"&amp;'Output annual'!$AC$2&amp;'Output annual'!$AD$2&amp;"*FangerPMV(Hourly)",'Eplus results'!$1:$1048576,ROW(),FALSE)</f>
        <v>0</v>
      </c>
      <c r="AD3078" s="580">
        <f t="shared" si="276"/>
        <v>5</v>
      </c>
      <c r="AE3078" s="580">
        <f t="shared" si="277"/>
        <v>2.5</v>
      </c>
      <c r="AF3078" s="580">
        <f t="shared" si="278"/>
        <v>2.5</v>
      </c>
      <c r="AG3078" s="580">
        <f t="shared" si="279"/>
        <v>0</v>
      </c>
      <c r="AH3078" s="580">
        <f t="shared" si="280"/>
        <v>0</v>
      </c>
    </row>
    <row r="3079" spans="28:34">
      <c r="AB3079" s="580">
        <f>HLOOKUP("*"&amp;'Output annual'!$AC$2&amp;'Output annual'!$AD$2&amp;"*Zone People Number Of Occupants [](Hourly)",'Eplus results'!$1:$1048576,ROW(),FALSE)</f>
        <v>0</v>
      </c>
      <c r="AC3079" s="580">
        <f>HLOOKUP("*"&amp;'Output annual'!$AC$2&amp;'Output annual'!$AD$2&amp;"*FangerPMV(Hourly)",'Eplus results'!$1:$1048576,ROW(),FALSE)</f>
        <v>0</v>
      </c>
      <c r="AD3079" s="580">
        <f t="shared" si="276"/>
        <v>5</v>
      </c>
      <c r="AE3079" s="580">
        <f t="shared" si="277"/>
        <v>2.5</v>
      </c>
      <c r="AF3079" s="580">
        <f t="shared" si="278"/>
        <v>2.5</v>
      </c>
      <c r="AG3079" s="580">
        <f t="shared" si="279"/>
        <v>0</v>
      </c>
      <c r="AH3079" s="580">
        <f t="shared" si="280"/>
        <v>0</v>
      </c>
    </row>
    <row r="3080" spans="28:34">
      <c r="AB3080" s="580">
        <f>HLOOKUP("*"&amp;'Output annual'!$AC$2&amp;'Output annual'!$AD$2&amp;"*Zone People Number Of Occupants [](Hourly)",'Eplus results'!$1:$1048576,ROW(),FALSE)</f>
        <v>0</v>
      </c>
      <c r="AC3080" s="580">
        <f>HLOOKUP("*"&amp;'Output annual'!$AC$2&amp;'Output annual'!$AD$2&amp;"*FangerPMV(Hourly)",'Eplus results'!$1:$1048576,ROW(),FALSE)</f>
        <v>0</v>
      </c>
      <c r="AD3080" s="580">
        <f t="shared" si="276"/>
        <v>5</v>
      </c>
      <c r="AE3080" s="580">
        <f t="shared" si="277"/>
        <v>2.5</v>
      </c>
      <c r="AF3080" s="580">
        <f t="shared" si="278"/>
        <v>2.5</v>
      </c>
      <c r="AG3080" s="580">
        <f t="shared" si="279"/>
        <v>0</v>
      </c>
      <c r="AH3080" s="580">
        <f t="shared" si="280"/>
        <v>0</v>
      </c>
    </row>
    <row r="3081" spans="28:34">
      <c r="AB3081" s="580">
        <f>HLOOKUP("*"&amp;'Output annual'!$AC$2&amp;'Output annual'!$AD$2&amp;"*Zone People Number Of Occupants [](Hourly)",'Eplus results'!$1:$1048576,ROW(),FALSE)</f>
        <v>0</v>
      </c>
      <c r="AC3081" s="580">
        <f>HLOOKUP("*"&amp;'Output annual'!$AC$2&amp;'Output annual'!$AD$2&amp;"*FangerPMV(Hourly)",'Eplus results'!$1:$1048576,ROW(),FALSE)</f>
        <v>0</v>
      </c>
      <c r="AD3081" s="580">
        <f t="shared" si="276"/>
        <v>5</v>
      </c>
      <c r="AE3081" s="580">
        <f t="shared" si="277"/>
        <v>2.5</v>
      </c>
      <c r="AF3081" s="580">
        <f t="shared" si="278"/>
        <v>2.5</v>
      </c>
      <c r="AG3081" s="580">
        <f t="shared" si="279"/>
        <v>0</v>
      </c>
      <c r="AH3081" s="580">
        <f t="shared" si="280"/>
        <v>0</v>
      </c>
    </row>
    <row r="3082" spans="28:34">
      <c r="AB3082" s="580">
        <f>HLOOKUP("*"&amp;'Output annual'!$AC$2&amp;'Output annual'!$AD$2&amp;"*Zone People Number Of Occupants [](Hourly)",'Eplus results'!$1:$1048576,ROW(),FALSE)</f>
        <v>0</v>
      </c>
      <c r="AC3082" s="580">
        <f>HLOOKUP("*"&amp;'Output annual'!$AC$2&amp;'Output annual'!$AD$2&amp;"*FangerPMV(Hourly)",'Eplus results'!$1:$1048576,ROW(),FALSE)</f>
        <v>0</v>
      </c>
      <c r="AD3082" s="580">
        <f t="shared" si="276"/>
        <v>5</v>
      </c>
      <c r="AE3082" s="580">
        <f t="shared" si="277"/>
        <v>2.5</v>
      </c>
      <c r="AF3082" s="580">
        <f t="shared" si="278"/>
        <v>2.5</v>
      </c>
      <c r="AG3082" s="580">
        <f t="shared" si="279"/>
        <v>0</v>
      </c>
      <c r="AH3082" s="580">
        <f t="shared" si="280"/>
        <v>0</v>
      </c>
    </row>
    <row r="3083" spans="28:34">
      <c r="AB3083" s="580">
        <f>HLOOKUP("*"&amp;'Output annual'!$AC$2&amp;'Output annual'!$AD$2&amp;"*Zone People Number Of Occupants [](Hourly)",'Eplus results'!$1:$1048576,ROW(),FALSE)</f>
        <v>0</v>
      </c>
      <c r="AC3083" s="580">
        <f>HLOOKUP("*"&amp;'Output annual'!$AC$2&amp;'Output annual'!$AD$2&amp;"*FangerPMV(Hourly)",'Eplus results'!$1:$1048576,ROW(),FALSE)</f>
        <v>0</v>
      </c>
      <c r="AD3083" s="580">
        <f t="shared" si="276"/>
        <v>5</v>
      </c>
      <c r="AE3083" s="580">
        <f t="shared" si="277"/>
        <v>2.5</v>
      </c>
      <c r="AF3083" s="580">
        <f t="shared" si="278"/>
        <v>2.5</v>
      </c>
      <c r="AG3083" s="580">
        <f t="shared" si="279"/>
        <v>0</v>
      </c>
      <c r="AH3083" s="580">
        <f t="shared" si="280"/>
        <v>0</v>
      </c>
    </row>
    <row r="3084" spans="28:34">
      <c r="AB3084" s="580">
        <f>HLOOKUP("*"&amp;'Output annual'!$AC$2&amp;'Output annual'!$AD$2&amp;"*Zone People Number Of Occupants [](Hourly)",'Eplus results'!$1:$1048576,ROW(),FALSE)</f>
        <v>0</v>
      </c>
      <c r="AC3084" s="580">
        <f>HLOOKUP("*"&amp;'Output annual'!$AC$2&amp;'Output annual'!$AD$2&amp;"*FangerPMV(Hourly)",'Eplus results'!$1:$1048576,ROW(),FALSE)</f>
        <v>0</v>
      </c>
      <c r="AD3084" s="580">
        <f t="shared" si="276"/>
        <v>5</v>
      </c>
      <c r="AE3084" s="580">
        <f t="shared" si="277"/>
        <v>2.5</v>
      </c>
      <c r="AF3084" s="580">
        <f t="shared" si="278"/>
        <v>2.5</v>
      </c>
      <c r="AG3084" s="580">
        <f t="shared" si="279"/>
        <v>0</v>
      </c>
      <c r="AH3084" s="580">
        <f t="shared" si="280"/>
        <v>0</v>
      </c>
    </row>
    <row r="3085" spans="28:34">
      <c r="AB3085" s="580">
        <f>HLOOKUP("*"&amp;'Output annual'!$AC$2&amp;'Output annual'!$AD$2&amp;"*Zone People Number Of Occupants [](Hourly)",'Eplus results'!$1:$1048576,ROW(),FALSE)</f>
        <v>0</v>
      </c>
      <c r="AC3085" s="580">
        <f>HLOOKUP("*"&amp;'Output annual'!$AC$2&amp;'Output annual'!$AD$2&amp;"*FangerPMV(Hourly)",'Eplus results'!$1:$1048576,ROW(),FALSE)</f>
        <v>0</v>
      </c>
      <c r="AD3085" s="580">
        <f t="shared" si="276"/>
        <v>5</v>
      </c>
      <c r="AE3085" s="580">
        <f t="shared" si="277"/>
        <v>2.5</v>
      </c>
      <c r="AF3085" s="580">
        <f t="shared" si="278"/>
        <v>2.5</v>
      </c>
      <c r="AG3085" s="580">
        <f t="shared" si="279"/>
        <v>0</v>
      </c>
      <c r="AH3085" s="580">
        <f t="shared" si="280"/>
        <v>0</v>
      </c>
    </row>
    <row r="3086" spans="28:34">
      <c r="AB3086" s="580">
        <f>HLOOKUP("*"&amp;'Output annual'!$AC$2&amp;'Output annual'!$AD$2&amp;"*Zone People Number Of Occupants [](Hourly)",'Eplus results'!$1:$1048576,ROW(),FALSE)</f>
        <v>0</v>
      </c>
      <c r="AC3086" s="580">
        <f>HLOOKUP("*"&amp;'Output annual'!$AC$2&amp;'Output annual'!$AD$2&amp;"*FangerPMV(Hourly)",'Eplus results'!$1:$1048576,ROW(),FALSE)</f>
        <v>0</v>
      </c>
      <c r="AD3086" s="580">
        <f t="shared" si="276"/>
        <v>5</v>
      </c>
      <c r="AE3086" s="580">
        <f t="shared" si="277"/>
        <v>2.5</v>
      </c>
      <c r="AF3086" s="580">
        <f t="shared" si="278"/>
        <v>2.5</v>
      </c>
      <c r="AG3086" s="580">
        <f t="shared" si="279"/>
        <v>0</v>
      </c>
      <c r="AH3086" s="580">
        <f t="shared" si="280"/>
        <v>0</v>
      </c>
    </row>
    <row r="3087" spans="28:34">
      <c r="AB3087" s="580">
        <f>HLOOKUP("*"&amp;'Output annual'!$AC$2&amp;'Output annual'!$AD$2&amp;"*Zone People Number Of Occupants [](Hourly)",'Eplus results'!$1:$1048576,ROW(),FALSE)</f>
        <v>0</v>
      </c>
      <c r="AC3087" s="580">
        <f>HLOOKUP("*"&amp;'Output annual'!$AC$2&amp;'Output annual'!$AD$2&amp;"*FangerPMV(Hourly)",'Eplus results'!$1:$1048576,ROW(),FALSE)</f>
        <v>0</v>
      </c>
      <c r="AD3087" s="580">
        <f t="shared" si="276"/>
        <v>5</v>
      </c>
      <c r="AE3087" s="580">
        <f t="shared" si="277"/>
        <v>2.5</v>
      </c>
      <c r="AF3087" s="580">
        <f t="shared" si="278"/>
        <v>2.5</v>
      </c>
      <c r="AG3087" s="580">
        <f t="shared" si="279"/>
        <v>0</v>
      </c>
      <c r="AH3087" s="580">
        <f t="shared" si="280"/>
        <v>0</v>
      </c>
    </row>
    <row r="3088" spans="28:34">
      <c r="AB3088" s="580">
        <f>HLOOKUP("*"&amp;'Output annual'!$AC$2&amp;'Output annual'!$AD$2&amp;"*Zone People Number Of Occupants [](Hourly)",'Eplus results'!$1:$1048576,ROW(),FALSE)</f>
        <v>0</v>
      </c>
      <c r="AC3088" s="580">
        <f>HLOOKUP("*"&amp;'Output annual'!$AC$2&amp;'Output annual'!$AD$2&amp;"*FangerPMV(Hourly)",'Eplus results'!$1:$1048576,ROW(),FALSE)</f>
        <v>0</v>
      </c>
      <c r="AD3088" s="580">
        <f t="shared" si="276"/>
        <v>5</v>
      </c>
      <c r="AE3088" s="580">
        <f t="shared" si="277"/>
        <v>2.5</v>
      </c>
      <c r="AF3088" s="580">
        <f t="shared" si="278"/>
        <v>2.5</v>
      </c>
      <c r="AG3088" s="580">
        <f t="shared" si="279"/>
        <v>0</v>
      </c>
      <c r="AH3088" s="580">
        <f t="shared" si="280"/>
        <v>0</v>
      </c>
    </row>
    <row r="3089" spans="28:34">
      <c r="AB3089" s="580">
        <f>HLOOKUP("*"&amp;'Output annual'!$AC$2&amp;'Output annual'!$AD$2&amp;"*Zone People Number Of Occupants [](Hourly)",'Eplus results'!$1:$1048576,ROW(),FALSE)</f>
        <v>0</v>
      </c>
      <c r="AC3089" s="580">
        <f>HLOOKUP("*"&amp;'Output annual'!$AC$2&amp;'Output annual'!$AD$2&amp;"*FangerPMV(Hourly)",'Eplus results'!$1:$1048576,ROW(),FALSE)</f>
        <v>0</v>
      </c>
      <c r="AD3089" s="580">
        <f t="shared" si="276"/>
        <v>5</v>
      </c>
      <c r="AE3089" s="580">
        <f t="shared" si="277"/>
        <v>2.5</v>
      </c>
      <c r="AF3089" s="580">
        <f t="shared" si="278"/>
        <v>2.5</v>
      </c>
      <c r="AG3089" s="580">
        <f t="shared" si="279"/>
        <v>0</v>
      </c>
      <c r="AH3089" s="580">
        <f t="shared" si="280"/>
        <v>0</v>
      </c>
    </row>
    <row r="3090" spans="28:34">
      <c r="AB3090" s="580">
        <f>HLOOKUP("*"&amp;'Output annual'!$AC$2&amp;'Output annual'!$AD$2&amp;"*Zone People Number Of Occupants [](Hourly)",'Eplus results'!$1:$1048576,ROW(),FALSE)</f>
        <v>0</v>
      </c>
      <c r="AC3090" s="580">
        <f>HLOOKUP("*"&amp;'Output annual'!$AC$2&amp;'Output annual'!$AD$2&amp;"*FangerPMV(Hourly)",'Eplus results'!$1:$1048576,ROW(),FALSE)</f>
        <v>0</v>
      </c>
      <c r="AD3090" s="580">
        <f t="shared" si="276"/>
        <v>5</v>
      </c>
      <c r="AE3090" s="580">
        <f t="shared" si="277"/>
        <v>2.5</v>
      </c>
      <c r="AF3090" s="580">
        <f t="shared" si="278"/>
        <v>2.5</v>
      </c>
      <c r="AG3090" s="580">
        <f t="shared" si="279"/>
        <v>0</v>
      </c>
      <c r="AH3090" s="580">
        <f t="shared" si="280"/>
        <v>0</v>
      </c>
    </row>
    <row r="3091" spans="28:34">
      <c r="AB3091" s="580">
        <f>HLOOKUP("*"&amp;'Output annual'!$AC$2&amp;'Output annual'!$AD$2&amp;"*Zone People Number Of Occupants [](Hourly)",'Eplus results'!$1:$1048576,ROW(),FALSE)</f>
        <v>0</v>
      </c>
      <c r="AC3091" s="580">
        <f>HLOOKUP("*"&amp;'Output annual'!$AC$2&amp;'Output annual'!$AD$2&amp;"*FangerPMV(Hourly)",'Eplus results'!$1:$1048576,ROW(),FALSE)</f>
        <v>0</v>
      </c>
      <c r="AD3091" s="580">
        <f t="shared" si="276"/>
        <v>5</v>
      </c>
      <c r="AE3091" s="580">
        <f t="shared" si="277"/>
        <v>2.5</v>
      </c>
      <c r="AF3091" s="580">
        <f t="shared" si="278"/>
        <v>2.5</v>
      </c>
      <c r="AG3091" s="580">
        <f t="shared" si="279"/>
        <v>0</v>
      </c>
      <c r="AH3091" s="580">
        <f t="shared" si="280"/>
        <v>0</v>
      </c>
    </row>
    <row r="3092" spans="28:34">
      <c r="AB3092" s="580">
        <f>HLOOKUP("*"&amp;'Output annual'!$AC$2&amp;'Output annual'!$AD$2&amp;"*Zone People Number Of Occupants [](Hourly)",'Eplus results'!$1:$1048576,ROW(),FALSE)</f>
        <v>0</v>
      </c>
      <c r="AC3092" s="580">
        <f>HLOOKUP("*"&amp;'Output annual'!$AC$2&amp;'Output annual'!$AD$2&amp;"*FangerPMV(Hourly)",'Eplus results'!$1:$1048576,ROW(),FALSE)</f>
        <v>0</v>
      </c>
      <c r="AD3092" s="580">
        <f t="shared" si="276"/>
        <v>5</v>
      </c>
      <c r="AE3092" s="580">
        <f t="shared" si="277"/>
        <v>2.5</v>
      </c>
      <c r="AF3092" s="580">
        <f t="shared" si="278"/>
        <v>2.5</v>
      </c>
      <c r="AG3092" s="580">
        <f t="shared" si="279"/>
        <v>0</v>
      </c>
      <c r="AH3092" s="580">
        <f t="shared" si="280"/>
        <v>0</v>
      </c>
    </row>
    <row r="3093" spans="28:34">
      <c r="AB3093" s="580">
        <f>HLOOKUP("*"&amp;'Output annual'!$AC$2&amp;'Output annual'!$AD$2&amp;"*Zone People Number Of Occupants [](Hourly)",'Eplus results'!$1:$1048576,ROW(),FALSE)</f>
        <v>0</v>
      </c>
      <c r="AC3093" s="580">
        <f>HLOOKUP("*"&amp;'Output annual'!$AC$2&amp;'Output annual'!$AD$2&amp;"*FangerPMV(Hourly)",'Eplus results'!$1:$1048576,ROW(),FALSE)</f>
        <v>0</v>
      </c>
      <c r="AD3093" s="580">
        <f t="shared" si="276"/>
        <v>5</v>
      </c>
      <c r="AE3093" s="580">
        <f t="shared" si="277"/>
        <v>2.5</v>
      </c>
      <c r="AF3093" s="580">
        <f t="shared" si="278"/>
        <v>2.5</v>
      </c>
      <c r="AG3093" s="580">
        <f t="shared" si="279"/>
        <v>0</v>
      </c>
      <c r="AH3093" s="580">
        <f t="shared" si="280"/>
        <v>0</v>
      </c>
    </row>
    <row r="3094" spans="28:34">
      <c r="AB3094" s="580">
        <f>HLOOKUP("*"&amp;'Output annual'!$AC$2&amp;'Output annual'!$AD$2&amp;"*Zone People Number Of Occupants [](Hourly)",'Eplus results'!$1:$1048576,ROW(),FALSE)</f>
        <v>0</v>
      </c>
      <c r="AC3094" s="580">
        <f>HLOOKUP("*"&amp;'Output annual'!$AC$2&amp;'Output annual'!$AD$2&amp;"*FangerPMV(Hourly)",'Eplus results'!$1:$1048576,ROW(),FALSE)</f>
        <v>0</v>
      </c>
      <c r="AD3094" s="580">
        <f t="shared" si="276"/>
        <v>5</v>
      </c>
      <c r="AE3094" s="580">
        <f t="shared" si="277"/>
        <v>2.5</v>
      </c>
      <c r="AF3094" s="580">
        <f t="shared" si="278"/>
        <v>2.5</v>
      </c>
      <c r="AG3094" s="580">
        <f t="shared" si="279"/>
        <v>0</v>
      </c>
      <c r="AH3094" s="580">
        <f t="shared" si="280"/>
        <v>0</v>
      </c>
    </row>
    <row r="3095" spans="28:34">
      <c r="AB3095" s="580">
        <f>HLOOKUP("*"&amp;'Output annual'!$AC$2&amp;'Output annual'!$AD$2&amp;"*Zone People Number Of Occupants [](Hourly)",'Eplus results'!$1:$1048576,ROW(),FALSE)</f>
        <v>0</v>
      </c>
      <c r="AC3095" s="580">
        <f>HLOOKUP("*"&amp;'Output annual'!$AC$2&amp;'Output annual'!$AD$2&amp;"*FangerPMV(Hourly)",'Eplus results'!$1:$1048576,ROW(),FALSE)</f>
        <v>0</v>
      </c>
      <c r="AD3095" s="580">
        <f t="shared" si="276"/>
        <v>5</v>
      </c>
      <c r="AE3095" s="580">
        <f t="shared" si="277"/>
        <v>2.5</v>
      </c>
      <c r="AF3095" s="580">
        <f t="shared" si="278"/>
        <v>2.5</v>
      </c>
      <c r="AG3095" s="580">
        <f t="shared" si="279"/>
        <v>0</v>
      </c>
      <c r="AH3095" s="580">
        <f t="shared" si="280"/>
        <v>0</v>
      </c>
    </row>
    <row r="3096" spans="28:34">
      <c r="AB3096" s="580">
        <f>HLOOKUP("*"&amp;'Output annual'!$AC$2&amp;'Output annual'!$AD$2&amp;"*Zone People Number Of Occupants [](Hourly)",'Eplus results'!$1:$1048576,ROW(),FALSE)</f>
        <v>0</v>
      </c>
      <c r="AC3096" s="580">
        <f>HLOOKUP("*"&amp;'Output annual'!$AC$2&amp;'Output annual'!$AD$2&amp;"*FangerPMV(Hourly)",'Eplus results'!$1:$1048576,ROW(),FALSE)</f>
        <v>0</v>
      </c>
      <c r="AD3096" s="580">
        <f t="shared" si="276"/>
        <v>5</v>
      </c>
      <c r="AE3096" s="580">
        <f t="shared" si="277"/>
        <v>2.5</v>
      </c>
      <c r="AF3096" s="580">
        <f t="shared" si="278"/>
        <v>2.5</v>
      </c>
      <c r="AG3096" s="580">
        <f t="shared" si="279"/>
        <v>0</v>
      </c>
      <c r="AH3096" s="580">
        <f t="shared" si="280"/>
        <v>0</v>
      </c>
    </row>
    <row r="3097" spans="28:34">
      <c r="AB3097" s="580">
        <f>HLOOKUP("*"&amp;'Output annual'!$AC$2&amp;'Output annual'!$AD$2&amp;"*Zone People Number Of Occupants [](Hourly)",'Eplus results'!$1:$1048576,ROW(),FALSE)</f>
        <v>0</v>
      </c>
      <c r="AC3097" s="580">
        <f>HLOOKUP("*"&amp;'Output annual'!$AC$2&amp;'Output annual'!$AD$2&amp;"*FangerPMV(Hourly)",'Eplus results'!$1:$1048576,ROW(),FALSE)</f>
        <v>0</v>
      </c>
      <c r="AD3097" s="580">
        <f t="shared" si="276"/>
        <v>5</v>
      </c>
      <c r="AE3097" s="580">
        <f t="shared" si="277"/>
        <v>2.5</v>
      </c>
      <c r="AF3097" s="580">
        <f t="shared" si="278"/>
        <v>2.5</v>
      </c>
      <c r="AG3097" s="580">
        <f t="shared" si="279"/>
        <v>0</v>
      </c>
      <c r="AH3097" s="580">
        <f t="shared" si="280"/>
        <v>0</v>
      </c>
    </row>
    <row r="3098" spans="28:34">
      <c r="AB3098" s="580">
        <f>HLOOKUP("*"&amp;'Output annual'!$AC$2&amp;'Output annual'!$AD$2&amp;"*Zone People Number Of Occupants [](Hourly)",'Eplus results'!$1:$1048576,ROW(),FALSE)</f>
        <v>0</v>
      </c>
      <c r="AC3098" s="580">
        <f>HLOOKUP("*"&amp;'Output annual'!$AC$2&amp;'Output annual'!$AD$2&amp;"*FangerPMV(Hourly)",'Eplus results'!$1:$1048576,ROW(),FALSE)</f>
        <v>0</v>
      </c>
      <c r="AD3098" s="580">
        <f t="shared" si="276"/>
        <v>5</v>
      </c>
      <c r="AE3098" s="580">
        <f t="shared" si="277"/>
        <v>2.5</v>
      </c>
      <c r="AF3098" s="580">
        <f t="shared" si="278"/>
        <v>2.5</v>
      </c>
      <c r="AG3098" s="580">
        <f t="shared" si="279"/>
        <v>0</v>
      </c>
      <c r="AH3098" s="580">
        <f t="shared" si="280"/>
        <v>0</v>
      </c>
    </row>
    <row r="3099" spans="28:34">
      <c r="AB3099" s="580">
        <f>HLOOKUP("*"&amp;'Output annual'!$AC$2&amp;'Output annual'!$AD$2&amp;"*Zone People Number Of Occupants [](Hourly)",'Eplus results'!$1:$1048576,ROW(),FALSE)</f>
        <v>0</v>
      </c>
      <c r="AC3099" s="580">
        <f>HLOOKUP("*"&amp;'Output annual'!$AC$2&amp;'Output annual'!$AD$2&amp;"*FangerPMV(Hourly)",'Eplus results'!$1:$1048576,ROW(),FALSE)</f>
        <v>0</v>
      </c>
      <c r="AD3099" s="580">
        <f t="shared" si="276"/>
        <v>5</v>
      </c>
      <c r="AE3099" s="580">
        <f t="shared" si="277"/>
        <v>2.5</v>
      </c>
      <c r="AF3099" s="580">
        <f t="shared" si="278"/>
        <v>2.5</v>
      </c>
      <c r="AG3099" s="580">
        <f t="shared" si="279"/>
        <v>0</v>
      </c>
      <c r="AH3099" s="580">
        <f t="shared" si="280"/>
        <v>0</v>
      </c>
    </row>
    <row r="3100" spans="28:34">
      <c r="AB3100" s="580">
        <f>HLOOKUP("*"&amp;'Output annual'!$AC$2&amp;'Output annual'!$AD$2&amp;"*Zone People Number Of Occupants [](Hourly)",'Eplus results'!$1:$1048576,ROW(),FALSE)</f>
        <v>0</v>
      </c>
      <c r="AC3100" s="580">
        <f>HLOOKUP("*"&amp;'Output annual'!$AC$2&amp;'Output annual'!$AD$2&amp;"*FangerPMV(Hourly)",'Eplus results'!$1:$1048576,ROW(),FALSE)</f>
        <v>0</v>
      </c>
      <c r="AD3100" s="580">
        <f t="shared" si="276"/>
        <v>5</v>
      </c>
      <c r="AE3100" s="580">
        <f t="shared" si="277"/>
        <v>2.5</v>
      </c>
      <c r="AF3100" s="580">
        <f t="shared" si="278"/>
        <v>2.5</v>
      </c>
      <c r="AG3100" s="580">
        <f t="shared" si="279"/>
        <v>0</v>
      </c>
      <c r="AH3100" s="580">
        <f t="shared" si="280"/>
        <v>0</v>
      </c>
    </row>
    <row r="3101" spans="28:34">
      <c r="AB3101" s="580">
        <f>HLOOKUP("*"&amp;'Output annual'!$AC$2&amp;'Output annual'!$AD$2&amp;"*Zone People Number Of Occupants [](Hourly)",'Eplus results'!$1:$1048576,ROW(),FALSE)</f>
        <v>0</v>
      </c>
      <c r="AC3101" s="580">
        <f>HLOOKUP("*"&amp;'Output annual'!$AC$2&amp;'Output annual'!$AD$2&amp;"*FangerPMV(Hourly)",'Eplus results'!$1:$1048576,ROW(),FALSE)</f>
        <v>0</v>
      </c>
      <c r="AD3101" s="580">
        <f t="shared" si="276"/>
        <v>5</v>
      </c>
      <c r="AE3101" s="580">
        <f t="shared" si="277"/>
        <v>2.5</v>
      </c>
      <c r="AF3101" s="580">
        <f t="shared" si="278"/>
        <v>2.5</v>
      </c>
      <c r="AG3101" s="580">
        <f t="shared" si="279"/>
        <v>0</v>
      </c>
      <c r="AH3101" s="580">
        <f t="shared" si="280"/>
        <v>0</v>
      </c>
    </row>
    <row r="3102" spans="28:34">
      <c r="AB3102" s="580">
        <f>HLOOKUP("*"&amp;'Output annual'!$AC$2&amp;'Output annual'!$AD$2&amp;"*Zone People Number Of Occupants [](Hourly)",'Eplus results'!$1:$1048576,ROW(),FALSE)</f>
        <v>0</v>
      </c>
      <c r="AC3102" s="580">
        <f>HLOOKUP("*"&amp;'Output annual'!$AC$2&amp;'Output annual'!$AD$2&amp;"*FangerPMV(Hourly)",'Eplus results'!$1:$1048576,ROW(),FALSE)</f>
        <v>0</v>
      </c>
      <c r="AD3102" s="580">
        <f t="shared" si="276"/>
        <v>5</v>
      </c>
      <c r="AE3102" s="580">
        <f t="shared" si="277"/>
        <v>2.5</v>
      </c>
      <c r="AF3102" s="580">
        <f t="shared" si="278"/>
        <v>2.5</v>
      </c>
      <c r="AG3102" s="580">
        <f t="shared" si="279"/>
        <v>0</v>
      </c>
      <c r="AH3102" s="580">
        <f t="shared" si="280"/>
        <v>0</v>
      </c>
    </row>
    <row r="3103" spans="28:34">
      <c r="AB3103" s="580">
        <f>HLOOKUP("*"&amp;'Output annual'!$AC$2&amp;'Output annual'!$AD$2&amp;"*Zone People Number Of Occupants [](Hourly)",'Eplus results'!$1:$1048576,ROW(),FALSE)</f>
        <v>0</v>
      </c>
      <c r="AC3103" s="580">
        <f>HLOOKUP("*"&amp;'Output annual'!$AC$2&amp;'Output annual'!$AD$2&amp;"*FangerPMV(Hourly)",'Eplus results'!$1:$1048576,ROW(),FALSE)</f>
        <v>0</v>
      </c>
      <c r="AD3103" s="580">
        <f t="shared" si="276"/>
        <v>5</v>
      </c>
      <c r="AE3103" s="580">
        <f t="shared" si="277"/>
        <v>2.5</v>
      </c>
      <c r="AF3103" s="580">
        <f t="shared" si="278"/>
        <v>2.5</v>
      </c>
      <c r="AG3103" s="580">
        <f t="shared" si="279"/>
        <v>0</v>
      </c>
      <c r="AH3103" s="580">
        <f t="shared" si="280"/>
        <v>0</v>
      </c>
    </row>
    <row r="3104" spans="28:34">
      <c r="AB3104" s="580">
        <f>HLOOKUP("*"&amp;'Output annual'!$AC$2&amp;'Output annual'!$AD$2&amp;"*Zone People Number Of Occupants [](Hourly)",'Eplus results'!$1:$1048576,ROW(),FALSE)</f>
        <v>0</v>
      </c>
      <c r="AC3104" s="580">
        <f>HLOOKUP("*"&amp;'Output annual'!$AC$2&amp;'Output annual'!$AD$2&amp;"*FangerPMV(Hourly)",'Eplus results'!$1:$1048576,ROW(),FALSE)</f>
        <v>0</v>
      </c>
      <c r="AD3104" s="580">
        <f t="shared" si="276"/>
        <v>5</v>
      </c>
      <c r="AE3104" s="580">
        <f t="shared" si="277"/>
        <v>2.5</v>
      </c>
      <c r="AF3104" s="580">
        <f t="shared" si="278"/>
        <v>2.5</v>
      </c>
      <c r="AG3104" s="580">
        <f t="shared" si="279"/>
        <v>0</v>
      </c>
      <c r="AH3104" s="580">
        <f t="shared" si="280"/>
        <v>0</v>
      </c>
    </row>
    <row r="3105" spans="28:34">
      <c r="AB3105" s="580">
        <f>HLOOKUP("*"&amp;'Output annual'!$AC$2&amp;'Output annual'!$AD$2&amp;"*Zone People Number Of Occupants [](Hourly)",'Eplus results'!$1:$1048576,ROW(),FALSE)</f>
        <v>0</v>
      </c>
      <c r="AC3105" s="580">
        <f>HLOOKUP("*"&amp;'Output annual'!$AC$2&amp;'Output annual'!$AD$2&amp;"*FangerPMV(Hourly)",'Eplus results'!$1:$1048576,ROW(),FALSE)</f>
        <v>0</v>
      </c>
      <c r="AD3105" s="580">
        <f t="shared" si="276"/>
        <v>5</v>
      </c>
      <c r="AE3105" s="580">
        <f t="shared" si="277"/>
        <v>2.5</v>
      </c>
      <c r="AF3105" s="580">
        <f t="shared" si="278"/>
        <v>2.5</v>
      </c>
      <c r="AG3105" s="580">
        <f t="shared" si="279"/>
        <v>0</v>
      </c>
      <c r="AH3105" s="580">
        <f t="shared" si="280"/>
        <v>0</v>
      </c>
    </row>
    <row r="3106" spans="28:34">
      <c r="AB3106" s="580">
        <f>HLOOKUP("*"&amp;'Output annual'!$AC$2&amp;'Output annual'!$AD$2&amp;"*Zone People Number Of Occupants [](Hourly)",'Eplus results'!$1:$1048576,ROW(),FALSE)</f>
        <v>0</v>
      </c>
      <c r="AC3106" s="580">
        <f>HLOOKUP("*"&amp;'Output annual'!$AC$2&amp;'Output annual'!$AD$2&amp;"*FangerPMV(Hourly)",'Eplus results'!$1:$1048576,ROW(),FALSE)</f>
        <v>0</v>
      </c>
      <c r="AD3106" s="580">
        <f t="shared" si="276"/>
        <v>5</v>
      </c>
      <c r="AE3106" s="580">
        <f t="shared" si="277"/>
        <v>2.5</v>
      </c>
      <c r="AF3106" s="580">
        <f t="shared" si="278"/>
        <v>2.5</v>
      </c>
      <c r="AG3106" s="580">
        <f t="shared" si="279"/>
        <v>0</v>
      </c>
      <c r="AH3106" s="580">
        <f t="shared" si="280"/>
        <v>0</v>
      </c>
    </row>
    <row r="3107" spans="28:34">
      <c r="AB3107" s="580">
        <f>HLOOKUP("*"&amp;'Output annual'!$AC$2&amp;'Output annual'!$AD$2&amp;"*Zone People Number Of Occupants [](Hourly)",'Eplus results'!$1:$1048576,ROW(),FALSE)</f>
        <v>0</v>
      </c>
      <c r="AC3107" s="580">
        <f>HLOOKUP("*"&amp;'Output annual'!$AC$2&amp;'Output annual'!$AD$2&amp;"*FangerPMV(Hourly)",'Eplus results'!$1:$1048576,ROW(),FALSE)</f>
        <v>0</v>
      </c>
      <c r="AD3107" s="580">
        <f t="shared" si="276"/>
        <v>5</v>
      </c>
      <c r="AE3107" s="580">
        <f t="shared" si="277"/>
        <v>2.5</v>
      </c>
      <c r="AF3107" s="580">
        <f t="shared" si="278"/>
        <v>2.5</v>
      </c>
      <c r="AG3107" s="580">
        <f t="shared" si="279"/>
        <v>0</v>
      </c>
      <c r="AH3107" s="580">
        <f t="shared" si="280"/>
        <v>0</v>
      </c>
    </row>
    <row r="3108" spans="28:34">
      <c r="AB3108" s="580">
        <f>HLOOKUP("*"&amp;'Output annual'!$AC$2&amp;'Output annual'!$AD$2&amp;"*Zone People Number Of Occupants [](Hourly)",'Eplus results'!$1:$1048576,ROW(),FALSE)</f>
        <v>0</v>
      </c>
      <c r="AC3108" s="580">
        <f>HLOOKUP("*"&amp;'Output annual'!$AC$2&amp;'Output annual'!$AD$2&amp;"*FangerPMV(Hourly)",'Eplus results'!$1:$1048576,ROW(),FALSE)</f>
        <v>0</v>
      </c>
      <c r="AD3108" s="580">
        <f t="shared" si="276"/>
        <v>5</v>
      </c>
      <c r="AE3108" s="580">
        <f t="shared" si="277"/>
        <v>2.5</v>
      </c>
      <c r="AF3108" s="580">
        <f t="shared" si="278"/>
        <v>2.5</v>
      </c>
      <c r="AG3108" s="580">
        <f t="shared" si="279"/>
        <v>0</v>
      </c>
      <c r="AH3108" s="580">
        <f t="shared" si="280"/>
        <v>0</v>
      </c>
    </row>
    <row r="3109" spans="28:34">
      <c r="AB3109" s="580">
        <f>HLOOKUP("*"&amp;'Output annual'!$AC$2&amp;'Output annual'!$AD$2&amp;"*Zone People Number Of Occupants [](Hourly)",'Eplus results'!$1:$1048576,ROW(),FALSE)</f>
        <v>0</v>
      </c>
      <c r="AC3109" s="580">
        <f>HLOOKUP("*"&amp;'Output annual'!$AC$2&amp;'Output annual'!$AD$2&amp;"*FangerPMV(Hourly)",'Eplus results'!$1:$1048576,ROW(),FALSE)</f>
        <v>0</v>
      </c>
      <c r="AD3109" s="580">
        <f t="shared" si="276"/>
        <v>5</v>
      </c>
      <c r="AE3109" s="580">
        <f t="shared" si="277"/>
        <v>2.5</v>
      </c>
      <c r="AF3109" s="580">
        <f t="shared" si="278"/>
        <v>2.5</v>
      </c>
      <c r="AG3109" s="580">
        <f t="shared" si="279"/>
        <v>0</v>
      </c>
      <c r="AH3109" s="580">
        <f t="shared" si="280"/>
        <v>0</v>
      </c>
    </row>
    <row r="3110" spans="28:34">
      <c r="AB3110" s="580">
        <f>HLOOKUP("*"&amp;'Output annual'!$AC$2&amp;'Output annual'!$AD$2&amp;"*Zone People Number Of Occupants [](Hourly)",'Eplus results'!$1:$1048576,ROW(),FALSE)</f>
        <v>0</v>
      </c>
      <c r="AC3110" s="580">
        <f>HLOOKUP("*"&amp;'Output annual'!$AC$2&amp;'Output annual'!$AD$2&amp;"*FangerPMV(Hourly)",'Eplus results'!$1:$1048576,ROW(),FALSE)</f>
        <v>0</v>
      </c>
      <c r="AD3110" s="580">
        <f t="shared" si="276"/>
        <v>5</v>
      </c>
      <c r="AE3110" s="580">
        <f t="shared" si="277"/>
        <v>2.5</v>
      </c>
      <c r="AF3110" s="580">
        <f t="shared" si="278"/>
        <v>2.5</v>
      </c>
      <c r="AG3110" s="580">
        <f t="shared" si="279"/>
        <v>0</v>
      </c>
      <c r="AH3110" s="580">
        <f t="shared" si="280"/>
        <v>0</v>
      </c>
    </row>
    <row r="3111" spans="28:34">
      <c r="AB3111" s="580">
        <f>HLOOKUP("*"&amp;'Output annual'!$AC$2&amp;'Output annual'!$AD$2&amp;"*Zone People Number Of Occupants [](Hourly)",'Eplus results'!$1:$1048576,ROW(),FALSE)</f>
        <v>0</v>
      </c>
      <c r="AC3111" s="580">
        <f>HLOOKUP("*"&amp;'Output annual'!$AC$2&amp;'Output annual'!$AD$2&amp;"*FangerPMV(Hourly)",'Eplus results'!$1:$1048576,ROW(),FALSE)</f>
        <v>0</v>
      </c>
      <c r="AD3111" s="580">
        <f t="shared" si="276"/>
        <v>5</v>
      </c>
      <c r="AE3111" s="580">
        <f t="shared" si="277"/>
        <v>2.5</v>
      </c>
      <c r="AF3111" s="580">
        <f t="shared" si="278"/>
        <v>2.5</v>
      </c>
      <c r="AG3111" s="580">
        <f t="shared" si="279"/>
        <v>0</v>
      </c>
      <c r="AH3111" s="580">
        <f t="shared" si="280"/>
        <v>0</v>
      </c>
    </row>
    <row r="3112" spans="28:34">
      <c r="AB3112" s="580">
        <f>HLOOKUP("*"&amp;'Output annual'!$AC$2&amp;'Output annual'!$AD$2&amp;"*Zone People Number Of Occupants [](Hourly)",'Eplus results'!$1:$1048576,ROW(),FALSE)</f>
        <v>0</v>
      </c>
      <c r="AC3112" s="580">
        <f>HLOOKUP("*"&amp;'Output annual'!$AC$2&amp;'Output annual'!$AD$2&amp;"*FangerPMV(Hourly)",'Eplus results'!$1:$1048576,ROW(),FALSE)</f>
        <v>0</v>
      </c>
      <c r="AD3112" s="580">
        <f t="shared" si="276"/>
        <v>5</v>
      </c>
      <c r="AE3112" s="580">
        <f t="shared" si="277"/>
        <v>2.5</v>
      </c>
      <c r="AF3112" s="580">
        <f t="shared" si="278"/>
        <v>2.5</v>
      </c>
      <c r="AG3112" s="580">
        <f t="shared" si="279"/>
        <v>0</v>
      </c>
      <c r="AH3112" s="580">
        <f t="shared" si="280"/>
        <v>0</v>
      </c>
    </row>
    <row r="3113" spans="28:34">
      <c r="AB3113" s="580">
        <f>HLOOKUP("*"&amp;'Output annual'!$AC$2&amp;'Output annual'!$AD$2&amp;"*Zone People Number Of Occupants [](Hourly)",'Eplus results'!$1:$1048576,ROW(),FALSE)</f>
        <v>0</v>
      </c>
      <c r="AC3113" s="580">
        <f>HLOOKUP("*"&amp;'Output annual'!$AC$2&amp;'Output annual'!$AD$2&amp;"*FangerPMV(Hourly)",'Eplus results'!$1:$1048576,ROW(),FALSE)</f>
        <v>0</v>
      </c>
      <c r="AD3113" s="580">
        <f t="shared" si="276"/>
        <v>5</v>
      </c>
      <c r="AE3113" s="580">
        <f t="shared" si="277"/>
        <v>2.5</v>
      </c>
      <c r="AF3113" s="580">
        <f t="shared" si="278"/>
        <v>2.5</v>
      </c>
      <c r="AG3113" s="580">
        <f t="shared" si="279"/>
        <v>0</v>
      </c>
      <c r="AH3113" s="580">
        <f t="shared" si="280"/>
        <v>0</v>
      </c>
    </row>
    <row r="3114" spans="28:34">
      <c r="AB3114" s="580">
        <f>HLOOKUP("*"&amp;'Output annual'!$AC$2&amp;'Output annual'!$AD$2&amp;"*Zone People Number Of Occupants [](Hourly)",'Eplus results'!$1:$1048576,ROW(),FALSE)</f>
        <v>0</v>
      </c>
      <c r="AC3114" s="580">
        <f>HLOOKUP("*"&amp;'Output annual'!$AC$2&amp;'Output annual'!$AD$2&amp;"*FangerPMV(Hourly)",'Eplus results'!$1:$1048576,ROW(),FALSE)</f>
        <v>0</v>
      </c>
      <c r="AD3114" s="580">
        <f t="shared" si="276"/>
        <v>5</v>
      </c>
      <c r="AE3114" s="580">
        <f t="shared" si="277"/>
        <v>2.5</v>
      </c>
      <c r="AF3114" s="580">
        <f t="shared" si="278"/>
        <v>2.5</v>
      </c>
      <c r="AG3114" s="580">
        <f t="shared" si="279"/>
        <v>0</v>
      </c>
      <c r="AH3114" s="580">
        <f t="shared" si="280"/>
        <v>0</v>
      </c>
    </row>
    <row r="3115" spans="28:34">
      <c r="AB3115" s="580">
        <f>HLOOKUP("*"&amp;'Output annual'!$AC$2&amp;'Output annual'!$AD$2&amp;"*Zone People Number Of Occupants [](Hourly)",'Eplus results'!$1:$1048576,ROW(),FALSE)</f>
        <v>0</v>
      </c>
      <c r="AC3115" s="580">
        <f>HLOOKUP("*"&amp;'Output annual'!$AC$2&amp;'Output annual'!$AD$2&amp;"*FangerPMV(Hourly)",'Eplus results'!$1:$1048576,ROW(),FALSE)</f>
        <v>0</v>
      </c>
      <c r="AD3115" s="580">
        <f t="shared" si="276"/>
        <v>5</v>
      </c>
      <c r="AE3115" s="580">
        <f t="shared" si="277"/>
        <v>2.5</v>
      </c>
      <c r="AF3115" s="580">
        <f t="shared" si="278"/>
        <v>2.5</v>
      </c>
      <c r="AG3115" s="580">
        <f t="shared" si="279"/>
        <v>0</v>
      </c>
      <c r="AH3115" s="580">
        <f t="shared" si="280"/>
        <v>0</v>
      </c>
    </row>
    <row r="3116" spans="28:34">
      <c r="AB3116" s="580">
        <f>HLOOKUP("*"&amp;'Output annual'!$AC$2&amp;'Output annual'!$AD$2&amp;"*Zone People Number Of Occupants [](Hourly)",'Eplus results'!$1:$1048576,ROW(),FALSE)</f>
        <v>0</v>
      </c>
      <c r="AC3116" s="580">
        <f>HLOOKUP("*"&amp;'Output annual'!$AC$2&amp;'Output annual'!$AD$2&amp;"*FangerPMV(Hourly)",'Eplus results'!$1:$1048576,ROW(),FALSE)</f>
        <v>0</v>
      </c>
      <c r="AD3116" s="580">
        <f t="shared" si="276"/>
        <v>5</v>
      </c>
      <c r="AE3116" s="580">
        <f t="shared" si="277"/>
        <v>2.5</v>
      </c>
      <c r="AF3116" s="580">
        <f t="shared" si="278"/>
        <v>2.5</v>
      </c>
      <c r="AG3116" s="580">
        <f t="shared" si="279"/>
        <v>0</v>
      </c>
      <c r="AH3116" s="580">
        <f t="shared" si="280"/>
        <v>0</v>
      </c>
    </row>
    <row r="3117" spans="28:34">
      <c r="AB3117" s="580">
        <f>HLOOKUP("*"&amp;'Output annual'!$AC$2&amp;'Output annual'!$AD$2&amp;"*Zone People Number Of Occupants [](Hourly)",'Eplus results'!$1:$1048576,ROW(),FALSE)</f>
        <v>0</v>
      </c>
      <c r="AC3117" s="580">
        <f>HLOOKUP("*"&amp;'Output annual'!$AC$2&amp;'Output annual'!$AD$2&amp;"*FangerPMV(Hourly)",'Eplus results'!$1:$1048576,ROW(),FALSE)</f>
        <v>0</v>
      </c>
      <c r="AD3117" s="580">
        <f t="shared" si="276"/>
        <v>5</v>
      </c>
      <c r="AE3117" s="580">
        <f t="shared" si="277"/>
        <v>2.5</v>
      </c>
      <c r="AF3117" s="580">
        <f t="shared" si="278"/>
        <v>2.5</v>
      </c>
      <c r="AG3117" s="580">
        <f t="shared" si="279"/>
        <v>0</v>
      </c>
      <c r="AH3117" s="580">
        <f t="shared" si="280"/>
        <v>0</v>
      </c>
    </row>
    <row r="3118" spans="28:34">
      <c r="AB3118" s="580">
        <f>HLOOKUP("*"&amp;'Output annual'!$AC$2&amp;'Output annual'!$AD$2&amp;"*Zone People Number Of Occupants [](Hourly)",'Eplus results'!$1:$1048576,ROW(),FALSE)</f>
        <v>0</v>
      </c>
      <c r="AC3118" s="580">
        <f>HLOOKUP("*"&amp;'Output annual'!$AC$2&amp;'Output annual'!$AD$2&amp;"*FangerPMV(Hourly)",'Eplus results'!$1:$1048576,ROW(),FALSE)</f>
        <v>0</v>
      </c>
      <c r="AD3118" s="580">
        <f t="shared" si="276"/>
        <v>5</v>
      </c>
      <c r="AE3118" s="580">
        <f t="shared" si="277"/>
        <v>2.5</v>
      </c>
      <c r="AF3118" s="580">
        <f t="shared" si="278"/>
        <v>2.5</v>
      </c>
      <c r="AG3118" s="580">
        <f t="shared" si="279"/>
        <v>0</v>
      </c>
      <c r="AH3118" s="580">
        <f t="shared" si="280"/>
        <v>0</v>
      </c>
    </row>
    <row r="3119" spans="28:34">
      <c r="AB3119" s="580">
        <f>HLOOKUP("*"&amp;'Output annual'!$AC$2&amp;'Output annual'!$AD$2&amp;"*Zone People Number Of Occupants [](Hourly)",'Eplus results'!$1:$1048576,ROW(),FALSE)</f>
        <v>0</v>
      </c>
      <c r="AC3119" s="580">
        <f>HLOOKUP("*"&amp;'Output annual'!$AC$2&amp;'Output annual'!$AD$2&amp;"*FangerPMV(Hourly)",'Eplus results'!$1:$1048576,ROW(),FALSE)</f>
        <v>0</v>
      </c>
      <c r="AD3119" s="580">
        <f t="shared" si="276"/>
        <v>5</v>
      </c>
      <c r="AE3119" s="580">
        <f t="shared" si="277"/>
        <v>2.5</v>
      </c>
      <c r="AF3119" s="580">
        <f t="shared" si="278"/>
        <v>2.5</v>
      </c>
      <c r="AG3119" s="580">
        <f t="shared" si="279"/>
        <v>0</v>
      </c>
      <c r="AH3119" s="580">
        <f t="shared" si="280"/>
        <v>0</v>
      </c>
    </row>
    <row r="3120" spans="28:34">
      <c r="AB3120" s="580">
        <f>HLOOKUP("*"&amp;'Output annual'!$AC$2&amp;'Output annual'!$AD$2&amp;"*Zone People Number Of Occupants [](Hourly)",'Eplus results'!$1:$1048576,ROW(),FALSE)</f>
        <v>0</v>
      </c>
      <c r="AC3120" s="580">
        <f>HLOOKUP("*"&amp;'Output annual'!$AC$2&amp;'Output annual'!$AD$2&amp;"*FangerPMV(Hourly)",'Eplus results'!$1:$1048576,ROW(),FALSE)</f>
        <v>0</v>
      </c>
      <c r="AD3120" s="580">
        <f t="shared" si="276"/>
        <v>5</v>
      </c>
      <c r="AE3120" s="580">
        <f t="shared" si="277"/>
        <v>2.5</v>
      </c>
      <c r="AF3120" s="580">
        <f t="shared" si="278"/>
        <v>2.5</v>
      </c>
      <c r="AG3120" s="580">
        <f t="shared" si="279"/>
        <v>0</v>
      </c>
      <c r="AH3120" s="580">
        <f t="shared" si="280"/>
        <v>0</v>
      </c>
    </row>
    <row r="3121" spans="28:34">
      <c r="AB3121" s="580">
        <f>HLOOKUP("*"&amp;'Output annual'!$AC$2&amp;'Output annual'!$AD$2&amp;"*Zone People Number Of Occupants [](Hourly)",'Eplus results'!$1:$1048576,ROW(),FALSE)</f>
        <v>0</v>
      </c>
      <c r="AC3121" s="580">
        <f>HLOOKUP("*"&amp;'Output annual'!$AC$2&amp;'Output annual'!$AD$2&amp;"*FangerPMV(Hourly)",'Eplus results'!$1:$1048576,ROW(),FALSE)</f>
        <v>0</v>
      </c>
      <c r="AD3121" s="580">
        <f t="shared" si="276"/>
        <v>5</v>
      </c>
      <c r="AE3121" s="580">
        <f t="shared" si="277"/>
        <v>2.5</v>
      </c>
      <c r="AF3121" s="580">
        <f t="shared" si="278"/>
        <v>2.5</v>
      </c>
      <c r="AG3121" s="580">
        <f t="shared" si="279"/>
        <v>0</v>
      </c>
      <c r="AH3121" s="580">
        <f t="shared" si="280"/>
        <v>0</v>
      </c>
    </row>
    <row r="3122" spans="28:34">
      <c r="AB3122" s="580">
        <f>HLOOKUP("*"&amp;'Output annual'!$AC$2&amp;'Output annual'!$AD$2&amp;"*Zone People Number Of Occupants [](Hourly)",'Eplus results'!$1:$1048576,ROW(),FALSE)</f>
        <v>0</v>
      </c>
      <c r="AC3122" s="580">
        <f>HLOOKUP("*"&amp;'Output annual'!$AC$2&amp;'Output annual'!$AD$2&amp;"*FangerPMV(Hourly)",'Eplus results'!$1:$1048576,ROW(),FALSE)</f>
        <v>0</v>
      </c>
      <c r="AD3122" s="580">
        <f t="shared" si="276"/>
        <v>5</v>
      </c>
      <c r="AE3122" s="580">
        <f t="shared" si="277"/>
        <v>2.5</v>
      </c>
      <c r="AF3122" s="580">
        <f t="shared" si="278"/>
        <v>2.5</v>
      </c>
      <c r="AG3122" s="580">
        <f t="shared" si="279"/>
        <v>0</v>
      </c>
      <c r="AH3122" s="580">
        <f t="shared" si="280"/>
        <v>0</v>
      </c>
    </row>
    <row r="3123" spans="28:34">
      <c r="AB3123" s="580">
        <f>HLOOKUP("*"&amp;'Output annual'!$AC$2&amp;'Output annual'!$AD$2&amp;"*Zone People Number Of Occupants [](Hourly)",'Eplus results'!$1:$1048576,ROW(),FALSE)</f>
        <v>0</v>
      </c>
      <c r="AC3123" s="580">
        <f>HLOOKUP("*"&amp;'Output annual'!$AC$2&amp;'Output annual'!$AD$2&amp;"*FangerPMV(Hourly)",'Eplus results'!$1:$1048576,ROW(),FALSE)</f>
        <v>0</v>
      </c>
      <c r="AD3123" s="580">
        <f t="shared" si="276"/>
        <v>5</v>
      </c>
      <c r="AE3123" s="580">
        <f t="shared" si="277"/>
        <v>2.5</v>
      </c>
      <c r="AF3123" s="580">
        <f t="shared" si="278"/>
        <v>2.5</v>
      </c>
      <c r="AG3123" s="580">
        <f t="shared" si="279"/>
        <v>0</v>
      </c>
      <c r="AH3123" s="580">
        <f t="shared" si="280"/>
        <v>0</v>
      </c>
    </row>
    <row r="3124" spans="28:34">
      <c r="AB3124" s="580">
        <f>HLOOKUP("*"&amp;'Output annual'!$AC$2&amp;'Output annual'!$AD$2&amp;"*Zone People Number Of Occupants [](Hourly)",'Eplus results'!$1:$1048576,ROW(),FALSE)</f>
        <v>0</v>
      </c>
      <c r="AC3124" s="580">
        <f>HLOOKUP("*"&amp;'Output annual'!$AC$2&amp;'Output annual'!$AD$2&amp;"*FangerPMV(Hourly)",'Eplus results'!$1:$1048576,ROW(),FALSE)</f>
        <v>0</v>
      </c>
      <c r="AD3124" s="580">
        <f t="shared" si="276"/>
        <v>5</v>
      </c>
      <c r="AE3124" s="580">
        <f t="shared" si="277"/>
        <v>2.5</v>
      </c>
      <c r="AF3124" s="580">
        <f t="shared" si="278"/>
        <v>2.5</v>
      </c>
      <c r="AG3124" s="580">
        <f t="shared" si="279"/>
        <v>0</v>
      </c>
      <c r="AH3124" s="580">
        <f t="shared" si="280"/>
        <v>0</v>
      </c>
    </row>
    <row r="3125" spans="28:34">
      <c r="AB3125" s="580">
        <f>HLOOKUP("*"&amp;'Output annual'!$AC$2&amp;'Output annual'!$AD$2&amp;"*Zone People Number Of Occupants [](Hourly)",'Eplus results'!$1:$1048576,ROW(),FALSE)</f>
        <v>0</v>
      </c>
      <c r="AC3125" s="580">
        <f>HLOOKUP("*"&amp;'Output annual'!$AC$2&amp;'Output annual'!$AD$2&amp;"*FangerPMV(Hourly)",'Eplus results'!$1:$1048576,ROW(),FALSE)</f>
        <v>0</v>
      </c>
      <c r="AD3125" s="580">
        <f t="shared" si="276"/>
        <v>5</v>
      </c>
      <c r="AE3125" s="580">
        <f t="shared" si="277"/>
        <v>2.5</v>
      </c>
      <c r="AF3125" s="580">
        <f t="shared" si="278"/>
        <v>2.5</v>
      </c>
      <c r="AG3125" s="580">
        <f t="shared" si="279"/>
        <v>0</v>
      </c>
      <c r="AH3125" s="580">
        <f t="shared" si="280"/>
        <v>0</v>
      </c>
    </row>
    <row r="3126" spans="28:34">
      <c r="AB3126" s="580">
        <f>HLOOKUP("*"&amp;'Output annual'!$AC$2&amp;'Output annual'!$AD$2&amp;"*Zone People Number Of Occupants [](Hourly)",'Eplus results'!$1:$1048576,ROW(),FALSE)</f>
        <v>0</v>
      </c>
      <c r="AC3126" s="580">
        <f>HLOOKUP("*"&amp;'Output annual'!$AC$2&amp;'Output annual'!$AD$2&amp;"*FangerPMV(Hourly)",'Eplus results'!$1:$1048576,ROW(),FALSE)</f>
        <v>0</v>
      </c>
      <c r="AD3126" s="580">
        <f t="shared" si="276"/>
        <v>5</v>
      </c>
      <c r="AE3126" s="580">
        <f t="shared" si="277"/>
        <v>2.5</v>
      </c>
      <c r="AF3126" s="580">
        <f t="shared" si="278"/>
        <v>2.5</v>
      </c>
      <c r="AG3126" s="580">
        <f t="shared" si="279"/>
        <v>0</v>
      </c>
      <c r="AH3126" s="580">
        <f t="shared" si="280"/>
        <v>0</v>
      </c>
    </row>
    <row r="3127" spans="28:34">
      <c r="AB3127" s="580">
        <f>HLOOKUP("*"&amp;'Output annual'!$AC$2&amp;'Output annual'!$AD$2&amp;"*Zone People Number Of Occupants [](Hourly)",'Eplus results'!$1:$1048576,ROW(),FALSE)</f>
        <v>0</v>
      </c>
      <c r="AC3127" s="580">
        <f>HLOOKUP("*"&amp;'Output annual'!$AC$2&amp;'Output annual'!$AD$2&amp;"*FangerPMV(Hourly)",'Eplus results'!$1:$1048576,ROW(),FALSE)</f>
        <v>0</v>
      </c>
      <c r="AD3127" s="580">
        <f t="shared" si="276"/>
        <v>5</v>
      </c>
      <c r="AE3127" s="580">
        <f t="shared" si="277"/>
        <v>2.5</v>
      </c>
      <c r="AF3127" s="580">
        <f t="shared" si="278"/>
        <v>2.5</v>
      </c>
      <c r="AG3127" s="580">
        <f t="shared" si="279"/>
        <v>0</v>
      </c>
      <c r="AH3127" s="580">
        <f t="shared" si="280"/>
        <v>0</v>
      </c>
    </row>
    <row r="3128" spans="28:34">
      <c r="AB3128" s="580">
        <f>HLOOKUP("*"&amp;'Output annual'!$AC$2&amp;'Output annual'!$AD$2&amp;"*Zone People Number Of Occupants [](Hourly)",'Eplus results'!$1:$1048576,ROW(),FALSE)</f>
        <v>0</v>
      </c>
      <c r="AC3128" s="580">
        <f>HLOOKUP("*"&amp;'Output annual'!$AC$2&amp;'Output annual'!$AD$2&amp;"*FangerPMV(Hourly)",'Eplus results'!$1:$1048576,ROW(),FALSE)</f>
        <v>0</v>
      </c>
      <c r="AD3128" s="580">
        <f t="shared" si="276"/>
        <v>5</v>
      </c>
      <c r="AE3128" s="580">
        <f t="shared" si="277"/>
        <v>2.5</v>
      </c>
      <c r="AF3128" s="580">
        <f t="shared" si="278"/>
        <v>2.5</v>
      </c>
      <c r="AG3128" s="580">
        <f t="shared" si="279"/>
        <v>0</v>
      </c>
      <c r="AH3128" s="580">
        <f t="shared" si="280"/>
        <v>0</v>
      </c>
    </row>
    <row r="3129" spans="28:34">
      <c r="AB3129" s="580">
        <f>HLOOKUP("*"&amp;'Output annual'!$AC$2&amp;'Output annual'!$AD$2&amp;"*Zone People Number Of Occupants [](Hourly)",'Eplus results'!$1:$1048576,ROW(),FALSE)</f>
        <v>0</v>
      </c>
      <c r="AC3129" s="580">
        <f>HLOOKUP("*"&amp;'Output annual'!$AC$2&amp;'Output annual'!$AD$2&amp;"*FangerPMV(Hourly)",'Eplus results'!$1:$1048576,ROW(),FALSE)</f>
        <v>0</v>
      </c>
      <c r="AD3129" s="580">
        <f t="shared" si="276"/>
        <v>5</v>
      </c>
      <c r="AE3129" s="580">
        <f t="shared" si="277"/>
        <v>2.5</v>
      </c>
      <c r="AF3129" s="580">
        <f t="shared" si="278"/>
        <v>2.5</v>
      </c>
      <c r="AG3129" s="580">
        <f t="shared" si="279"/>
        <v>0</v>
      </c>
      <c r="AH3129" s="580">
        <f t="shared" si="280"/>
        <v>0</v>
      </c>
    </row>
    <row r="3130" spans="28:34">
      <c r="AB3130" s="580">
        <f>HLOOKUP("*"&amp;'Output annual'!$AC$2&amp;'Output annual'!$AD$2&amp;"*Zone People Number Of Occupants [](Hourly)",'Eplus results'!$1:$1048576,ROW(),FALSE)</f>
        <v>0</v>
      </c>
      <c r="AC3130" s="580">
        <f>HLOOKUP("*"&amp;'Output annual'!$AC$2&amp;'Output annual'!$AD$2&amp;"*FangerPMV(Hourly)",'Eplus results'!$1:$1048576,ROW(),FALSE)</f>
        <v>0</v>
      </c>
      <c r="AD3130" s="580">
        <f t="shared" si="276"/>
        <v>5</v>
      </c>
      <c r="AE3130" s="580">
        <f t="shared" si="277"/>
        <v>2.5</v>
      </c>
      <c r="AF3130" s="580">
        <f t="shared" si="278"/>
        <v>2.5</v>
      </c>
      <c r="AG3130" s="580">
        <f t="shared" si="279"/>
        <v>0</v>
      </c>
      <c r="AH3130" s="580">
        <f t="shared" si="280"/>
        <v>0</v>
      </c>
    </row>
    <row r="3131" spans="28:34">
      <c r="AB3131" s="580">
        <f>HLOOKUP("*"&amp;'Output annual'!$AC$2&amp;'Output annual'!$AD$2&amp;"*Zone People Number Of Occupants [](Hourly)",'Eplus results'!$1:$1048576,ROW(),FALSE)</f>
        <v>0</v>
      </c>
      <c r="AC3131" s="580">
        <f>HLOOKUP("*"&amp;'Output annual'!$AC$2&amp;'Output annual'!$AD$2&amp;"*FangerPMV(Hourly)",'Eplus results'!$1:$1048576,ROW(),FALSE)</f>
        <v>0</v>
      </c>
      <c r="AD3131" s="580">
        <f t="shared" si="276"/>
        <v>5</v>
      </c>
      <c r="AE3131" s="580">
        <f t="shared" si="277"/>
        <v>2.5</v>
      </c>
      <c r="AF3131" s="580">
        <f t="shared" si="278"/>
        <v>2.5</v>
      </c>
      <c r="AG3131" s="580">
        <f t="shared" si="279"/>
        <v>0</v>
      </c>
      <c r="AH3131" s="580">
        <f t="shared" si="280"/>
        <v>0</v>
      </c>
    </row>
    <row r="3132" spans="28:34">
      <c r="AB3132" s="580">
        <f>HLOOKUP("*"&amp;'Output annual'!$AC$2&amp;'Output annual'!$AD$2&amp;"*Zone People Number Of Occupants [](Hourly)",'Eplus results'!$1:$1048576,ROW(),FALSE)</f>
        <v>0</v>
      </c>
      <c r="AC3132" s="580">
        <f>HLOOKUP("*"&amp;'Output annual'!$AC$2&amp;'Output annual'!$AD$2&amp;"*FangerPMV(Hourly)",'Eplus results'!$1:$1048576,ROW(),FALSE)</f>
        <v>0</v>
      </c>
      <c r="AD3132" s="580">
        <f t="shared" si="276"/>
        <v>5</v>
      </c>
      <c r="AE3132" s="580">
        <f t="shared" si="277"/>
        <v>2.5</v>
      </c>
      <c r="AF3132" s="580">
        <f t="shared" si="278"/>
        <v>2.5</v>
      </c>
      <c r="AG3132" s="580">
        <f t="shared" si="279"/>
        <v>0</v>
      </c>
      <c r="AH3132" s="580">
        <f t="shared" si="280"/>
        <v>0</v>
      </c>
    </row>
    <row r="3133" spans="28:34">
      <c r="AB3133" s="580">
        <f>HLOOKUP("*"&amp;'Output annual'!$AC$2&amp;'Output annual'!$AD$2&amp;"*Zone People Number Of Occupants [](Hourly)",'Eplus results'!$1:$1048576,ROW(),FALSE)</f>
        <v>0</v>
      </c>
      <c r="AC3133" s="580">
        <f>HLOOKUP("*"&amp;'Output annual'!$AC$2&amp;'Output annual'!$AD$2&amp;"*FangerPMV(Hourly)",'Eplus results'!$1:$1048576,ROW(),FALSE)</f>
        <v>0</v>
      </c>
      <c r="AD3133" s="580">
        <f t="shared" si="276"/>
        <v>5</v>
      </c>
      <c r="AE3133" s="580">
        <f t="shared" si="277"/>
        <v>2.5</v>
      </c>
      <c r="AF3133" s="580">
        <f t="shared" si="278"/>
        <v>2.5</v>
      </c>
      <c r="AG3133" s="580">
        <f t="shared" si="279"/>
        <v>0</v>
      </c>
      <c r="AH3133" s="580">
        <f t="shared" si="280"/>
        <v>0</v>
      </c>
    </row>
    <row r="3134" spans="28:34">
      <c r="AB3134" s="580">
        <f>HLOOKUP("*"&amp;'Output annual'!$AC$2&amp;'Output annual'!$AD$2&amp;"*Zone People Number Of Occupants [](Hourly)",'Eplus results'!$1:$1048576,ROW(),FALSE)</f>
        <v>0</v>
      </c>
      <c r="AC3134" s="580">
        <f>HLOOKUP("*"&amp;'Output annual'!$AC$2&amp;'Output annual'!$AD$2&amp;"*FangerPMV(Hourly)",'Eplus results'!$1:$1048576,ROW(),FALSE)</f>
        <v>0</v>
      </c>
      <c r="AD3134" s="580">
        <f t="shared" si="276"/>
        <v>5</v>
      </c>
      <c r="AE3134" s="580">
        <f t="shared" si="277"/>
        <v>2.5</v>
      </c>
      <c r="AF3134" s="580">
        <f t="shared" si="278"/>
        <v>2.5</v>
      </c>
      <c r="AG3134" s="580">
        <f t="shared" si="279"/>
        <v>0</v>
      </c>
      <c r="AH3134" s="580">
        <f t="shared" si="280"/>
        <v>0</v>
      </c>
    </row>
    <row r="3135" spans="28:34">
      <c r="AB3135" s="580">
        <f>HLOOKUP("*"&amp;'Output annual'!$AC$2&amp;'Output annual'!$AD$2&amp;"*Zone People Number Of Occupants [](Hourly)",'Eplus results'!$1:$1048576,ROW(),FALSE)</f>
        <v>0</v>
      </c>
      <c r="AC3135" s="580">
        <f>HLOOKUP("*"&amp;'Output annual'!$AC$2&amp;'Output annual'!$AD$2&amp;"*FangerPMV(Hourly)",'Eplus results'!$1:$1048576,ROW(),FALSE)</f>
        <v>0</v>
      </c>
      <c r="AD3135" s="580">
        <f t="shared" si="276"/>
        <v>5</v>
      </c>
      <c r="AE3135" s="580">
        <f t="shared" si="277"/>
        <v>2.5</v>
      </c>
      <c r="AF3135" s="580">
        <f t="shared" si="278"/>
        <v>2.5</v>
      </c>
      <c r="AG3135" s="580">
        <f t="shared" si="279"/>
        <v>0</v>
      </c>
      <c r="AH3135" s="580">
        <f t="shared" si="280"/>
        <v>0</v>
      </c>
    </row>
    <row r="3136" spans="28:34">
      <c r="AB3136" s="580">
        <f>HLOOKUP("*"&amp;'Output annual'!$AC$2&amp;'Output annual'!$AD$2&amp;"*Zone People Number Of Occupants [](Hourly)",'Eplus results'!$1:$1048576,ROW(),FALSE)</f>
        <v>0</v>
      </c>
      <c r="AC3136" s="580">
        <f>HLOOKUP("*"&amp;'Output annual'!$AC$2&amp;'Output annual'!$AD$2&amp;"*FangerPMV(Hourly)",'Eplus results'!$1:$1048576,ROW(),FALSE)</f>
        <v>0</v>
      </c>
      <c r="AD3136" s="580">
        <f t="shared" si="276"/>
        <v>5</v>
      </c>
      <c r="AE3136" s="580">
        <f t="shared" si="277"/>
        <v>2.5</v>
      </c>
      <c r="AF3136" s="580">
        <f t="shared" si="278"/>
        <v>2.5</v>
      </c>
      <c r="AG3136" s="580">
        <f t="shared" si="279"/>
        <v>0</v>
      </c>
      <c r="AH3136" s="580">
        <f t="shared" si="280"/>
        <v>0</v>
      </c>
    </row>
    <row r="3137" spans="28:34">
      <c r="AB3137" s="580">
        <f>HLOOKUP("*"&amp;'Output annual'!$AC$2&amp;'Output annual'!$AD$2&amp;"*Zone People Number Of Occupants [](Hourly)",'Eplus results'!$1:$1048576,ROW(),FALSE)</f>
        <v>0</v>
      </c>
      <c r="AC3137" s="580">
        <f>HLOOKUP("*"&amp;'Output annual'!$AC$2&amp;'Output annual'!$AD$2&amp;"*FangerPMV(Hourly)",'Eplus results'!$1:$1048576,ROW(),FALSE)</f>
        <v>0</v>
      </c>
      <c r="AD3137" s="580">
        <f t="shared" si="276"/>
        <v>5</v>
      </c>
      <c r="AE3137" s="580">
        <f t="shared" si="277"/>
        <v>2.5</v>
      </c>
      <c r="AF3137" s="580">
        <f t="shared" si="278"/>
        <v>2.5</v>
      </c>
      <c r="AG3137" s="580">
        <f t="shared" si="279"/>
        <v>0</v>
      </c>
      <c r="AH3137" s="580">
        <f t="shared" si="280"/>
        <v>0</v>
      </c>
    </row>
    <row r="3138" spans="28:34">
      <c r="AB3138" s="580">
        <f>HLOOKUP("*"&amp;'Output annual'!$AC$2&amp;'Output annual'!$AD$2&amp;"*Zone People Number Of Occupants [](Hourly)",'Eplus results'!$1:$1048576,ROW(),FALSE)</f>
        <v>0</v>
      </c>
      <c r="AC3138" s="580">
        <f>HLOOKUP("*"&amp;'Output annual'!$AC$2&amp;'Output annual'!$AD$2&amp;"*FangerPMV(Hourly)",'Eplus results'!$1:$1048576,ROW(),FALSE)</f>
        <v>0</v>
      </c>
      <c r="AD3138" s="580">
        <f t="shared" si="276"/>
        <v>5</v>
      </c>
      <c r="AE3138" s="580">
        <f t="shared" si="277"/>
        <v>2.5</v>
      </c>
      <c r="AF3138" s="580">
        <f t="shared" si="278"/>
        <v>2.5</v>
      </c>
      <c r="AG3138" s="580">
        <f t="shared" si="279"/>
        <v>0</v>
      </c>
      <c r="AH3138" s="580">
        <f t="shared" si="280"/>
        <v>0</v>
      </c>
    </row>
    <row r="3139" spans="28:34">
      <c r="AB3139" s="580">
        <f>HLOOKUP("*"&amp;'Output annual'!$AC$2&amp;'Output annual'!$AD$2&amp;"*Zone People Number Of Occupants [](Hourly)",'Eplus results'!$1:$1048576,ROW(),FALSE)</f>
        <v>0</v>
      </c>
      <c r="AC3139" s="580">
        <f>HLOOKUP("*"&amp;'Output annual'!$AC$2&amp;'Output annual'!$AD$2&amp;"*FangerPMV(Hourly)",'Eplus results'!$1:$1048576,ROW(),FALSE)</f>
        <v>0</v>
      </c>
      <c r="AD3139" s="580">
        <f t="shared" ref="AD3139:AD3202" si="281">100-95*EXP(-0.03353*AC3139^4-0.2179*AC3139^2)</f>
        <v>5</v>
      </c>
      <c r="AE3139" s="580">
        <f t="shared" ref="AE3139:AE3202" si="282">AD3139*(1/(1+EXP(-6.3*$AC3139)))</f>
        <v>2.5</v>
      </c>
      <c r="AF3139" s="580">
        <f t="shared" ref="AF3139:AF3202" si="283">(AD3139-AE3139)</f>
        <v>2.5</v>
      </c>
      <c r="AG3139" s="580">
        <f t="shared" ref="AG3139:AG3202" si="284">AE3139*AB3139</f>
        <v>0</v>
      </c>
      <c r="AH3139" s="580">
        <f t="shared" ref="AH3139:AH3202" si="285">AF3139*AB3139</f>
        <v>0</v>
      </c>
    </row>
    <row r="3140" spans="28:34">
      <c r="AB3140" s="580">
        <f>HLOOKUP("*"&amp;'Output annual'!$AC$2&amp;'Output annual'!$AD$2&amp;"*Zone People Number Of Occupants [](Hourly)",'Eplus results'!$1:$1048576,ROW(),FALSE)</f>
        <v>0</v>
      </c>
      <c r="AC3140" s="580">
        <f>HLOOKUP("*"&amp;'Output annual'!$AC$2&amp;'Output annual'!$AD$2&amp;"*FangerPMV(Hourly)",'Eplus results'!$1:$1048576,ROW(),FALSE)</f>
        <v>0</v>
      </c>
      <c r="AD3140" s="580">
        <f t="shared" si="281"/>
        <v>5</v>
      </c>
      <c r="AE3140" s="580">
        <f t="shared" si="282"/>
        <v>2.5</v>
      </c>
      <c r="AF3140" s="580">
        <f t="shared" si="283"/>
        <v>2.5</v>
      </c>
      <c r="AG3140" s="580">
        <f t="shared" si="284"/>
        <v>0</v>
      </c>
      <c r="AH3140" s="580">
        <f t="shared" si="285"/>
        <v>0</v>
      </c>
    </row>
    <row r="3141" spans="28:34">
      <c r="AB3141" s="580">
        <f>HLOOKUP("*"&amp;'Output annual'!$AC$2&amp;'Output annual'!$AD$2&amp;"*Zone People Number Of Occupants [](Hourly)",'Eplus results'!$1:$1048576,ROW(),FALSE)</f>
        <v>0</v>
      </c>
      <c r="AC3141" s="580">
        <f>HLOOKUP("*"&amp;'Output annual'!$AC$2&amp;'Output annual'!$AD$2&amp;"*FangerPMV(Hourly)",'Eplus results'!$1:$1048576,ROW(),FALSE)</f>
        <v>0</v>
      </c>
      <c r="AD3141" s="580">
        <f t="shared" si="281"/>
        <v>5</v>
      </c>
      <c r="AE3141" s="580">
        <f t="shared" si="282"/>
        <v>2.5</v>
      </c>
      <c r="AF3141" s="580">
        <f t="shared" si="283"/>
        <v>2.5</v>
      </c>
      <c r="AG3141" s="580">
        <f t="shared" si="284"/>
        <v>0</v>
      </c>
      <c r="AH3141" s="580">
        <f t="shared" si="285"/>
        <v>0</v>
      </c>
    </row>
    <row r="3142" spans="28:34">
      <c r="AB3142" s="580">
        <f>HLOOKUP("*"&amp;'Output annual'!$AC$2&amp;'Output annual'!$AD$2&amp;"*Zone People Number Of Occupants [](Hourly)",'Eplus results'!$1:$1048576,ROW(),FALSE)</f>
        <v>0</v>
      </c>
      <c r="AC3142" s="580">
        <f>HLOOKUP("*"&amp;'Output annual'!$AC$2&amp;'Output annual'!$AD$2&amp;"*FangerPMV(Hourly)",'Eplus results'!$1:$1048576,ROW(),FALSE)</f>
        <v>0</v>
      </c>
      <c r="AD3142" s="580">
        <f t="shared" si="281"/>
        <v>5</v>
      </c>
      <c r="AE3142" s="580">
        <f t="shared" si="282"/>
        <v>2.5</v>
      </c>
      <c r="AF3142" s="580">
        <f t="shared" si="283"/>
        <v>2.5</v>
      </c>
      <c r="AG3142" s="580">
        <f t="shared" si="284"/>
        <v>0</v>
      </c>
      <c r="AH3142" s="580">
        <f t="shared" si="285"/>
        <v>0</v>
      </c>
    </row>
    <row r="3143" spans="28:34">
      <c r="AB3143" s="580">
        <f>HLOOKUP("*"&amp;'Output annual'!$AC$2&amp;'Output annual'!$AD$2&amp;"*Zone People Number Of Occupants [](Hourly)",'Eplus results'!$1:$1048576,ROW(),FALSE)</f>
        <v>0</v>
      </c>
      <c r="AC3143" s="580">
        <f>HLOOKUP("*"&amp;'Output annual'!$AC$2&amp;'Output annual'!$AD$2&amp;"*FangerPMV(Hourly)",'Eplus results'!$1:$1048576,ROW(),FALSE)</f>
        <v>0</v>
      </c>
      <c r="AD3143" s="580">
        <f t="shared" si="281"/>
        <v>5</v>
      </c>
      <c r="AE3143" s="580">
        <f t="shared" si="282"/>
        <v>2.5</v>
      </c>
      <c r="AF3143" s="580">
        <f t="shared" si="283"/>
        <v>2.5</v>
      </c>
      <c r="AG3143" s="580">
        <f t="shared" si="284"/>
        <v>0</v>
      </c>
      <c r="AH3143" s="580">
        <f t="shared" si="285"/>
        <v>0</v>
      </c>
    </row>
    <row r="3144" spans="28:34">
      <c r="AB3144" s="580">
        <f>HLOOKUP("*"&amp;'Output annual'!$AC$2&amp;'Output annual'!$AD$2&amp;"*Zone People Number Of Occupants [](Hourly)",'Eplus results'!$1:$1048576,ROW(),FALSE)</f>
        <v>0</v>
      </c>
      <c r="AC3144" s="580">
        <f>HLOOKUP("*"&amp;'Output annual'!$AC$2&amp;'Output annual'!$AD$2&amp;"*FangerPMV(Hourly)",'Eplus results'!$1:$1048576,ROW(),FALSE)</f>
        <v>0</v>
      </c>
      <c r="AD3144" s="580">
        <f t="shared" si="281"/>
        <v>5</v>
      </c>
      <c r="AE3144" s="580">
        <f t="shared" si="282"/>
        <v>2.5</v>
      </c>
      <c r="AF3144" s="580">
        <f t="shared" si="283"/>
        <v>2.5</v>
      </c>
      <c r="AG3144" s="580">
        <f t="shared" si="284"/>
        <v>0</v>
      </c>
      <c r="AH3144" s="580">
        <f t="shared" si="285"/>
        <v>0</v>
      </c>
    </row>
    <row r="3145" spans="28:34">
      <c r="AB3145" s="580">
        <f>HLOOKUP("*"&amp;'Output annual'!$AC$2&amp;'Output annual'!$AD$2&amp;"*Zone People Number Of Occupants [](Hourly)",'Eplus results'!$1:$1048576,ROW(),FALSE)</f>
        <v>0</v>
      </c>
      <c r="AC3145" s="580">
        <f>HLOOKUP("*"&amp;'Output annual'!$AC$2&amp;'Output annual'!$AD$2&amp;"*FangerPMV(Hourly)",'Eplus results'!$1:$1048576,ROW(),FALSE)</f>
        <v>0</v>
      </c>
      <c r="AD3145" s="580">
        <f t="shared" si="281"/>
        <v>5</v>
      </c>
      <c r="AE3145" s="580">
        <f t="shared" si="282"/>
        <v>2.5</v>
      </c>
      <c r="AF3145" s="580">
        <f t="shared" si="283"/>
        <v>2.5</v>
      </c>
      <c r="AG3145" s="580">
        <f t="shared" si="284"/>
        <v>0</v>
      </c>
      <c r="AH3145" s="580">
        <f t="shared" si="285"/>
        <v>0</v>
      </c>
    </row>
    <row r="3146" spans="28:34">
      <c r="AB3146" s="580">
        <f>HLOOKUP("*"&amp;'Output annual'!$AC$2&amp;'Output annual'!$AD$2&amp;"*Zone People Number Of Occupants [](Hourly)",'Eplus results'!$1:$1048576,ROW(),FALSE)</f>
        <v>0</v>
      </c>
      <c r="AC3146" s="580">
        <f>HLOOKUP("*"&amp;'Output annual'!$AC$2&amp;'Output annual'!$AD$2&amp;"*FangerPMV(Hourly)",'Eplus results'!$1:$1048576,ROW(),FALSE)</f>
        <v>0</v>
      </c>
      <c r="AD3146" s="580">
        <f t="shared" si="281"/>
        <v>5</v>
      </c>
      <c r="AE3146" s="580">
        <f t="shared" si="282"/>
        <v>2.5</v>
      </c>
      <c r="AF3146" s="580">
        <f t="shared" si="283"/>
        <v>2.5</v>
      </c>
      <c r="AG3146" s="580">
        <f t="shared" si="284"/>
        <v>0</v>
      </c>
      <c r="AH3146" s="580">
        <f t="shared" si="285"/>
        <v>0</v>
      </c>
    </row>
    <row r="3147" spans="28:34">
      <c r="AB3147" s="580">
        <f>HLOOKUP("*"&amp;'Output annual'!$AC$2&amp;'Output annual'!$AD$2&amp;"*Zone People Number Of Occupants [](Hourly)",'Eplus results'!$1:$1048576,ROW(),FALSE)</f>
        <v>0</v>
      </c>
      <c r="AC3147" s="580">
        <f>HLOOKUP("*"&amp;'Output annual'!$AC$2&amp;'Output annual'!$AD$2&amp;"*FangerPMV(Hourly)",'Eplus results'!$1:$1048576,ROW(),FALSE)</f>
        <v>0</v>
      </c>
      <c r="AD3147" s="580">
        <f t="shared" si="281"/>
        <v>5</v>
      </c>
      <c r="AE3147" s="580">
        <f t="shared" si="282"/>
        <v>2.5</v>
      </c>
      <c r="AF3147" s="580">
        <f t="shared" si="283"/>
        <v>2.5</v>
      </c>
      <c r="AG3147" s="580">
        <f t="shared" si="284"/>
        <v>0</v>
      </c>
      <c r="AH3147" s="580">
        <f t="shared" si="285"/>
        <v>0</v>
      </c>
    </row>
    <row r="3148" spans="28:34">
      <c r="AB3148" s="580">
        <f>HLOOKUP("*"&amp;'Output annual'!$AC$2&amp;'Output annual'!$AD$2&amp;"*Zone People Number Of Occupants [](Hourly)",'Eplus results'!$1:$1048576,ROW(),FALSE)</f>
        <v>0</v>
      </c>
      <c r="AC3148" s="580">
        <f>HLOOKUP("*"&amp;'Output annual'!$AC$2&amp;'Output annual'!$AD$2&amp;"*FangerPMV(Hourly)",'Eplus results'!$1:$1048576,ROW(),FALSE)</f>
        <v>0</v>
      </c>
      <c r="AD3148" s="580">
        <f t="shared" si="281"/>
        <v>5</v>
      </c>
      <c r="AE3148" s="580">
        <f t="shared" si="282"/>
        <v>2.5</v>
      </c>
      <c r="AF3148" s="580">
        <f t="shared" si="283"/>
        <v>2.5</v>
      </c>
      <c r="AG3148" s="580">
        <f t="shared" si="284"/>
        <v>0</v>
      </c>
      <c r="AH3148" s="580">
        <f t="shared" si="285"/>
        <v>0</v>
      </c>
    </row>
    <row r="3149" spans="28:34">
      <c r="AB3149" s="580">
        <f>HLOOKUP("*"&amp;'Output annual'!$AC$2&amp;'Output annual'!$AD$2&amp;"*Zone People Number Of Occupants [](Hourly)",'Eplus results'!$1:$1048576,ROW(),FALSE)</f>
        <v>0</v>
      </c>
      <c r="AC3149" s="580">
        <f>HLOOKUP("*"&amp;'Output annual'!$AC$2&amp;'Output annual'!$AD$2&amp;"*FangerPMV(Hourly)",'Eplus results'!$1:$1048576,ROW(),FALSE)</f>
        <v>0</v>
      </c>
      <c r="AD3149" s="580">
        <f t="shared" si="281"/>
        <v>5</v>
      </c>
      <c r="AE3149" s="580">
        <f t="shared" si="282"/>
        <v>2.5</v>
      </c>
      <c r="AF3149" s="580">
        <f t="shared" si="283"/>
        <v>2.5</v>
      </c>
      <c r="AG3149" s="580">
        <f t="shared" si="284"/>
        <v>0</v>
      </c>
      <c r="AH3149" s="580">
        <f t="shared" si="285"/>
        <v>0</v>
      </c>
    </row>
    <row r="3150" spans="28:34">
      <c r="AB3150" s="580">
        <f>HLOOKUP("*"&amp;'Output annual'!$AC$2&amp;'Output annual'!$AD$2&amp;"*Zone People Number Of Occupants [](Hourly)",'Eplus results'!$1:$1048576,ROW(),FALSE)</f>
        <v>0</v>
      </c>
      <c r="AC3150" s="580">
        <f>HLOOKUP("*"&amp;'Output annual'!$AC$2&amp;'Output annual'!$AD$2&amp;"*FangerPMV(Hourly)",'Eplus results'!$1:$1048576,ROW(),FALSE)</f>
        <v>0</v>
      </c>
      <c r="AD3150" s="580">
        <f t="shared" si="281"/>
        <v>5</v>
      </c>
      <c r="AE3150" s="580">
        <f t="shared" si="282"/>
        <v>2.5</v>
      </c>
      <c r="AF3150" s="580">
        <f t="shared" si="283"/>
        <v>2.5</v>
      </c>
      <c r="AG3150" s="580">
        <f t="shared" si="284"/>
        <v>0</v>
      </c>
      <c r="AH3150" s="580">
        <f t="shared" si="285"/>
        <v>0</v>
      </c>
    </row>
    <row r="3151" spans="28:34">
      <c r="AB3151" s="580">
        <f>HLOOKUP("*"&amp;'Output annual'!$AC$2&amp;'Output annual'!$AD$2&amp;"*Zone People Number Of Occupants [](Hourly)",'Eplus results'!$1:$1048576,ROW(),FALSE)</f>
        <v>0</v>
      </c>
      <c r="AC3151" s="580">
        <f>HLOOKUP("*"&amp;'Output annual'!$AC$2&amp;'Output annual'!$AD$2&amp;"*FangerPMV(Hourly)",'Eplus results'!$1:$1048576,ROW(),FALSE)</f>
        <v>0</v>
      </c>
      <c r="AD3151" s="580">
        <f t="shared" si="281"/>
        <v>5</v>
      </c>
      <c r="AE3151" s="580">
        <f t="shared" si="282"/>
        <v>2.5</v>
      </c>
      <c r="AF3151" s="580">
        <f t="shared" si="283"/>
        <v>2.5</v>
      </c>
      <c r="AG3151" s="580">
        <f t="shared" si="284"/>
        <v>0</v>
      </c>
      <c r="AH3151" s="580">
        <f t="shared" si="285"/>
        <v>0</v>
      </c>
    </row>
    <row r="3152" spans="28:34">
      <c r="AB3152" s="580">
        <f>HLOOKUP("*"&amp;'Output annual'!$AC$2&amp;'Output annual'!$AD$2&amp;"*Zone People Number Of Occupants [](Hourly)",'Eplus results'!$1:$1048576,ROW(),FALSE)</f>
        <v>0</v>
      </c>
      <c r="AC3152" s="580">
        <f>HLOOKUP("*"&amp;'Output annual'!$AC$2&amp;'Output annual'!$AD$2&amp;"*FangerPMV(Hourly)",'Eplus results'!$1:$1048576,ROW(),FALSE)</f>
        <v>0</v>
      </c>
      <c r="AD3152" s="580">
        <f t="shared" si="281"/>
        <v>5</v>
      </c>
      <c r="AE3152" s="580">
        <f t="shared" si="282"/>
        <v>2.5</v>
      </c>
      <c r="AF3152" s="580">
        <f t="shared" si="283"/>
        <v>2.5</v>
      </c>
      <c r="AG3152" s="580">
        <f t="shared" si="284"/>
        <v>0</v>
      </c>
      <c r="AH3152" s="580">
        <f t="shared" si="285"/>
        <v>0</v>
      </c>
    </row>
    <row r="3153" spans="28:34">
      <c r="AB3153" s="580">
        <f>HLOOKUP("*"&amp;'Output annual'!$AC$2&amp;'Output annual'!$AD$2&amp;"*Zone People Number Of Occupants [](Hourly)",'Eplus results'!$1:$1048576,ROW(),FALSE)</f>
        <v>0</v>
      </c>
      <c r="AC3153" s="580">
        <f>HLOOKUP("*"&amp;'Output annual'!$AC$2&amp;'Output annual'!$AD$2&amp;"*FangerPMV(Hourly)",'Eplus results'!$1:$1048576,ROW(),FALSE)</f>
        <v>0</v>
      </c>
      <c r="AD3153" s="580">
        <f t="shared" si="281"/>
        <v>5</v>
      </c>
      <c r="AE3153" s="580">
        <f t="shared" si="282"/>
        <v>2.5</v>
      </c>
      <c r="AF3153" s="580">
        <f t="shared" si="283"/>
        <v>2.5</v>
      </c>
      <c r="AG3153" s="580">
        <f t="shared" si="284"/>
        <v>0</v>
      </c>
      <c r="AH3153" s="580">
        <f t="shared" si="285"/>
        <v>0</v>
      </c>
    </row>
    <row r="3154" spans="28:34">
      <c r="AB3154" s="580">
        <f>HLOOKUP("*"&amp;'Output annual'!$AC$2&amp;'Output annual'!$AD$2&amp;"*Zone People Number Of Occupants [](Hourly)",'Eplus results'!$1:$1048576,ROW(),FALSE)</f>
        <v>0</v>
      </c>
      <c r="AC3154" s="580">
        <f>HLOOKUP("*"&amp;'Output annual'!$AC$2&amp;'Output annual'!$AD$2&amp;"*FangerPMV(Hourly)",'Eplus results'!$1:$1048576,ROW(),FALSE)</f>
        <v>0</v>
      </c>
      <c r="AD3154" s="580">
        <f t="shared" si="281"/>
        <v>5</v>
      </c>
      <c r="AE3154" s="580">
        <f t="shared" si="282"/>
        <v>2.5</v>
      </c>
      <c r="AF3154" s="580">
        <f t="shared" si="283"/>
        <v>2.5</v>
      </c>
      <c r="AG3154" s="580">
        <f t="shared" si="284"/>
        <v>0</v>
      </c>
      <c r="AH3154" s="580">
        <f t="shared" si="285"/>
        <v>0</v>
      </c>
    </row>
    <row r="3155" spans="28:34">
      <c r="AB3155" s="580">
        <f>HLOOKUP("*"&amp;'Output annual'!$AC$2&amp;'Output annual'!$AD$2&amp;"*Zone People Number Of Occupants [](Hourly)",'Eplus results'!$1:$1048576,ROW(),FALSE)</f>
        <v>0</v>
      </c>
      <c r="AC3155" s="580">
        <f>HLOOKUP("*"&amp;'Output annual'!$AC$2&amp;'Output annual'!$AD$2&amp;"*FangerPMV(Hourly)",'Eplus results'!$1:$1048576,ROW(),FALSE)</f>
        <v>0</v>
      </c>
      <c r="AD3155" s="580">
        <f t="shared" si="281"/>
        <v>5</v>
      </c>
      <c r="AE3155" s="580">
        <f t="shared" si="282"/>
        <v>2.5</v>
      </c>
      <c r="AF3155" s="580">
        <f t="shared" si="283"/>
        <v>2.5</v>
      </c>
      <c r="AG3155" s="580">
        <f t="shared" si="284"/>
        <v>0</v>
      </c>
      <c r="AH3155" s="580">
        <f t="shared" si="285"/>
        <v>0</v>
      </c>
    </row>
    <row r="3156" spans="28:34">
      <c r="AB3156" s="580">
        <f>HLOOKUP("*"&amp;'Output annual'!$AC$2&amp;'Output annual'!$AD$2&amp;"*Zone People Number Of Occupants [](Hourly)",'Eplus results'!$1:$1048576,ROW(),FALSE)</f>
        <v>0</v>
      </c>
      <c r="AC3156" s="580">
        <f>HLOOKUP("*"&amp;'Output annual'!$AC$2&amp;'Output annual'!$AD$2&amp;"*FangerPMV(Hourly)",'Eplus results'!$1:$1048576,ROW(),FALSE)</f>
        <v>0</v>
      </c>
      <c r="AD3156" s="580">
        <f t="shared" si="281"/>
        <v>5</v>
      </c>
      <c r="AE3156" s="580">
        <f t="shared" si="282"/>
        <v>2.5</v>
      </c>
      <c r="AF3156" s="580">
        <f t="shared" si="283"/>
        <v>2.5</v>
      </c>
      <c r="AG3156" s="580">
        <f t="shared" si="284"/>
        <v>0</v>
      </c>
      <c r="AH3156" s="580">
        <f t="shared" si="285"/>
        <v>0</v>
      </c>
    </row>
    <row r="3157" spans="28:34">
      <c r="AB3157" s="580">
        <f>HLOOKUP("*"&amp;'Output annual'!$AC$2&amp;'Output annual'!$AD$2&amp;"*Zone People Number Of Occupants [](Hourly)",'Eplus results'!$1:$1048576,ROW(),FALSE)</f>
        <v>0</v>
      </c>
      <c r="AC3157" s="580">
        <f>HLOOKUP("*"&amp;'Output annual'!$AC$2&amp;'Output annual'!$AD$2&amp;"*FangerPMV(Hourly)",'Eplus results'!$1:$1048576,ROW(),FALSE)</f>
        <v>0</v>
      </c>
      <c r="AD3157" s="580">
        <f t="shared" si="281"/>
        <v>5</v>
      </c>
      <c r="AE3157" s="580">
        <f t="shared" si="282"/>
        <v>2.5</v>
      </c>
      <c r="AF3157" s="580">
        <f t="shared" si="283"/>
        <v>2.5</v>
      </c>
      <c r="AG3157" s="580">
        <f t="shared" si="284"/>
        <v>0</v>
      </c>
      <c r="AH3157" s="580">
        <f t="shared" si="285"/>
        <v>0</v>
      </c>
    </row>
    <row r="3158" spans="28:34">
      <c r="AB3158" s="580">
        <f>HLOOKUP("*"&amp;'Output annual'!$AC$2&amp;'Output annual'!$AD$2&amp;"*Zone People Number Of Occupants [](Hourly)",'Eplus results'!$1:$1048576,ROW(),FALSE)</f>
        <v>0</v>
      </c>
      <c r="AC3158" s="580">
        <f>HLOOKUP("*"&amp;'Output annual'!$AC$2&amp;'Output annual'!$AD$2&amp;"*FangerPMV(Hourly)",'Eplus results'!$1:$1048576,ROW(),FALSE)</f>
        <v>0</v>
      </c>
      <c r="AD3158" s="580">
        <f t="shared" si="281"/>
        <v>5</v>
      </c>
      <c r="AE3158" s="580">
        <f t="shared" si="282"/>
        <v>2.5</v>
      </c>
      <c r="AF3158" s="580">
        <f t="shared" si="283"/>
        <v>2.5</v>
      </c>
      <c r="AG3158" s="580">
        <f t="shared" si="284"/>
        <v>0</v>
      </c>
      <c r="AH3158" s="580">
        <f t="shared" si="285"/>
        <v>0</v>
      </c>
    </row>
    <row r="3159" spans="28:34">
      <c r="AB3159" s="580">
        <f>HLOOKUP("*"&amp;'Output annual'!$AC$2&amp;'Output annual'!$AD$2&amp;"*Zone People Number Of Occupants [](Hourly)",'Eplus results'!$1:$1048576,ROW(),FALSE)</f>
        <v>0</v>
      </c>
      <c r="AC3159" s="580">
        <f>HLOOKUP("*"&amp;'Output annual'!$AC$2&amp;'Output annual'!$AD$2&amp;"*FangerPMV(Hourly)",'Eplus results'!$1:$1048576,ROW(),FALSE)</f>
        <v>0</v>
      </c>
      <c r="AD3159" s="580">
        <f t="shared" si="281"/>
        <v>5</v>
      </c>
      <c r="AE3159" s="580">
        <f t="shared" si="282"/>
        <v>2.5</v>
      </c>
      <c r="AF3159" s="580">
        <f t="shared" si="283"/>
        <v>2.5</v>
      </c>
      <c r="AG3159" s="580">
        <f t="shared" si="284"/>
        <v>0</v>
      </c>
      <c r="AH3159" s="580">
        <f t="shared" si="285"/>
        <v>0</v>
      </c>
    </row>
    <row r="3160" spans="28:34">
      <c r="AB3160" s="580">
        <f>HLOOKUP("*"&amp;'Output annual'!$AC$2&amp;'Output annual'!$AD$2&amp;"*Zone People Number Of Occupants [](Hourly)",'Eplus results'!$1:$1048576,ROW(),FALSE)</f>
        <v>0</v>
      </c>
      <c r="AC3160" s="580">
        <f>HLOOKUP("*"&amp;'Output annual'!$AC$2&amp;'Output annual'!$AD$2&amp;"*FangerPMV(Hourly)",'Eplus results'!$1:$1048576,ROW(),FALSE)</f>
        <v>0</v>
      </c>
      <c r="AD3160" s="580">
        <f t="shared" si="281"/>
        <v>5</v>
      </c>
      <c r="AE3160" s="580">
        <f t="shared" si="282"/>
        <v>2.5</v>
      </c>
      <c r="AF3160" s="580">
        <f t="shared" si="283"/>
        <v>2.5</v>
      </c>
      <c r="AG3160" s="580">
        <f t="shared" si="284"/>
        <v>0</v>
      </c>
      <c r="AH3160" s="580">
        <f t="shared" si="285"/>
        <v>0</v>
      </c>
    </row>
    <row r="3161" spans="28:34">
      <c r="AB3161" s="580">
        <f>HLOOKUP("*"&amp;'Output annual'!$AC$2&amp;'Output annual'!$AD$2&amp;"*Zone People Number Of Occupants [](Hourly)",'Eplus results'!$1:$1048576,ROW(),FALSE)</f>
        <v>0</v>
      </c>
      <c r="AC3161" s="580">
        <f>HLOOKUP("*"&amp;'Output annual'!$AC$2&amp;'Output annual'!$AD$2&amp;"*FangerPMV(Hourly)",'Eplus results'!$1:$1048576,ROW(),FALSE)</f>
        <v>0</v>
      </c>
      <c r="AD3161" s="580">
        <f t="shared" si="281"/>
        <v>5</v>
      </c>
      <c r="AE3161" s="580">
        <f t="shared" si="282"/>
        <v>2.5</v>
      </c>
      <c r="AF3161" s="580">
        <f t="shared" si="283"/>
        <v>2.5</v>
      </c>
      <c r="AG3161" s="580">
        <f t="shared" si="284"/>
        <v>0</v>
      </c>
      <c r="AH3161" s="580">
        <f t="shared" si="285"/>
        <v>0</v>
      </c>
    </row>
    <row r="3162" spans="28:34">
      <c r="AB3162" s="580">
        <f>HLOOKUP("*"&amp;'Output annual'!$AC$2&amp;'Output annual'!$AD$2&amp;"*Zone People Number Of Occupants [](Hourly)",'Eplus results'!$1:$1048576,ROW(),FALSE)</f>
        <v>0</v>
      </c>
      <c r="AC3162" s="580">
        <f>HLOOKUP("*"&amp;'Output annual'!$AC$2&amp;'Output annual'!$AD$2&amp;"*FangerPMV(Hourly)",'Eplus results'!$1:$1048576,ROW(),FALSE)</f>
        <v>0</v>
      </c>
      <c r="AD3162" s="580">
        <f t="shared" si="281"/>
        <v>5</v>
      </c>
      <c r="AE3162" s="580">
        <f t="shared" si="282"/>
        <v>2.5</v>
      </c>
      <c r="AF3162" s="580">
        <f t="shared" si="283"/>
        <v>2.5</v>
      </c>
      <c r="AG3162" s="580">
        <f t="shared" si="284"/>
        <v>0</v>
      </c>
      <c r="AH3162" s="580">
        <f t="shared" si="285"/>
        <v>0</v>
      </c>
    </row>
    <row r="3163" spans="28:34">
      <c r="AB3163" s="580">
        <f>HLOOKUP("*"&amp;'Output annual'!$AC$2&amp;'Output annual'!$AD$2&amp;"*Zone People Number Of Occupants [](Hourly)",'Eplus results'!$1:$1048576,ROW(),FALSE)</f>
        <v>0</v>
      </c>
      <c r="AC3163" s="580">
        <f>HLOOKUP("*"&amp;'Output annual'!$AC$2&amp;'Output annual'!$AD$2&amp;"*FangerPMV(Hourly)",'Eplus results'!$1:$1048576,ROW(),FALSE)</f>
        <v>0</v>
      </c>
      <c r="AD3163" s="580">
        <f t="shared" si="281"/>
        <v>5</v>
      </c>
      <c r="AE3163" s="580">
        <f t="shared" si="282"/>
        <v>2.5</v>
      </c>
      <c r="AF3163" s="580">
        <f t="shared" si="283"/>
        <v>2.5</v>
      </c>
      <c r="AG3163" s="580">
        <f t="shared" si="284"/>
        <v>0</v>
      </c>
      <c r="AH3163" s="580">
        <f t="shared" si="285"/>
        <v>0</v>
      </c>
    </row>
    <row r="3164" spans="28:34">
      <c r="AB3164" s="580">
        <f>HLOOKUP("*"&amp;'Output annual'!$AC$2&amp;'Output annual'!$AD$2&amp;"*Zone People Number Of Occupants [](Hourly)",'Eplus results'!$1:$1048576,ROW(),FALSE)</f>
        <v>0</v>
      </c>
      <c r="AC3164" s="580">
        <f>HLOOKUP("*"&amp;'Output annual'!$AC$2&amp;'Output annual'!$AD$2&amp;"*FangerPMV(Hourly)",'Eplus results'!$1:$1048576,ROW(),FALSE)</f>
        <v>0</v>
      </c>
      <c r="AD3164" s="580">
        <f t="shared" si="281"/>
        <v>5</v>
      </c>
      <c r="AE3164" s="580">
        <f t="shared" si="282"/>
        <v>2.5</v>
      </c>
      <c r="AF3164" s="580">
        <f t="shared" si="283"/>
        <v>2.5</v>
      </c>
      <c r="AG3164" s="580">
        <f t="shared" si="284"/>
        <v>0</v>
      </c>
      <c r="AH3164" s="580">
        <f t="shared" si="285"/>
        <v>0</v>
      </c>
    </row>
    <row r="3165" spans="28:34">
      <c r="AB3165" s="580">
        <f>HLOOKUP("*"&amp;'Output annual'!$AC$2&amp;'Output annual'!$AD$2&amp;"*Zone People Number Of Occupants [](Hourly)",'Eplus results'!$1:$1048576,ROW(),FALSE)</f>
        <v>0</v>
      </c>
      <c r="AC3165" s="580">
        <f>HLOOKUP("*"&amp;'Output annual'!$AC$2&amp;'Output annual'!$AD$2&amp;"*FangerPMV(Hourly)",'Eplus results'!$1:$1048576,ROW(),FALSE)</f>
        <v>0</v>
      </c>
      <c r="AD3165" s="580">
        <f t="shared" si="281"/>
        <v>5</v>
      </c>
      <c r="AE3165" s="580">
        <f t="shared" si="282"/>
        <v>2.5</v>
      </c>
      <c r="AF3165" s="580">
        <f t="shared" si="283"/>
        <v>2.5</v>
      </c>
      <c r="AG3165" s="580">
        <f t="shared" si="284"/>
        <v>0</v>
      </c>
      <c r="AH3165" s="580">
        <f t="shared" si="285"/>
        <v>0</v>
      </c>
    </row>
    <row r="3166" spans="28:34">
      <c r="AB3166" s="580">
        <f>HLOOKUP("*"&amp;'Output annual'!$AC$2&amp;'Output annual'!$AD$2&amp;"*Zone People Number Of Occupants [](Hourly)",'Eplus results'!$1:$1048576,ROW(),FALSE)</f>
        <v>0</v>
      </c>
      <c r="AC3166" s="580">
        <f>HLOOKUP("*"&amp;'Output annual'!$AC$2&amp;'Output annual'!$AD$2&amp;"*FangerPMV(Hourly)",'Eplus results'!$1:$1048576,ROW(),FALSE)</f>
        <v>0</v>
      </c>
      <c r="AD3166" s="580">
        <f t="shared" si="281"/>
        <v>5</v>
      </c>
      <c r="AE3166" s="580">
        <f t="shared" si="282"/>
        <v>2.5</v>
      </c>
      <c r="AF3166" s="580">
        <f t="shared" si="283"/>
        <v>2.5</v>
      </c>
      <c r="AG3166" s="580">
        <f t="shared" si="284"/>
        <v>0</v>
      </c>
      <c r="AH3166" s="580">
        <f t="shared" si="285"/>
        <v>0</v>
      </c>
    </row>
    <row r="3167" spans="28:34">
      <c r="AB3167" s="580">
        <f>HLOOKUP("*"&amp;'Output annual'!$AC$2&amp;'Output annual'!$AD$2&amp;"*Zone People Number Of Occupants [](Hourly)",'Eplus results'!$1:$1048576,ROW(),FALSE)</f>
        <v>0</v>
      </c>
      <c r="AC3167" s="580">
        <f>HLOOKUP("*"&amp;'Output annual'!$AC$2&amp;'Output annual'!$AD$2&amp;"*FangerPMV(Hourly)",'Eplus results'!$1:$1048576,ROW(),FALSE)</f>
        <v>0</v>
      </c>
      <c r="AD3167" s="580">
        <f t="shared" si="281"/>
        <v>5</v>
      </c>
      <c r="AE3167" s="580">
        <f t="shared" si="282"/>
        <v>2.5</v>
      </c>
      <c r="AF3167" s="580">
        <f t="shared" si="283"/>
        <v>2.5</v>
      </c>
      <c r="AG3167" s="580">
        <f t="shared" si="284"/>
        <v>0</v>
      </c>
      <c r="AH3167" s="580">
        <f t="shared" si="285"/>
        <v>0</v>
      </c>
    </row>
    <row r="3168" spans="28:34">
      <c r="AB3168" s="580">
        <f>HLOOKUP("*"&amp;'Output annual'!$AC$2&amp;'Output annual'!$AD$2&amp;"*Zone People Number Of Occupants [](Hourly)",'Eplus results'!$1:$1048576,ROW(),FALSE)</f>
        <v>0</v>
      </c>
      <c r="AC3168" s="580">
        <f>HLOOKUP("*"&amp;'Output annual'!$AC$2&amp;'Output annual'!$AD$2&amp;"*FangerPMV(Hourly)",'Eplus results'!$1:$1048576,ROW(),FALSE)</f>
        <v>0</v>
      </c>
      <c r="AD3168" s="580">
        <f t="shared" si="281"/>
        <v>5</v>
      </c>
      <c r="AE3168" s="580">
        <f t="shared" si="282"/>
        <v>2.5</v>
      </c>
      <c r="AF3168" s="580">
        <f t="shared" si="283"/>
        <v>2.5</v>
      </c>
      <c r="AG3168" s="580">
        <f t="shared" si="284"/>
        <v>0</v>
      </c>
      <c r="AH3168" s="580">
        <f t="shared" si="285"/>
        <v>0</v>
      </c>
    </row>
    <row r="3169" spans="28:34">
      <c r="AB3169" s="580">
        <f>HLOOKUP("*"&amp;'Output annual'!$AC$2&amp;'Output annual'!$AD$2&amp;"*Zone People Number Of Occupants [](Hourly)",'Eplus results'!$1:$1048576,ROW(),FALSE)</f>
        <v>0</v>
      </c>
      <c r="AC3169" s="580">
        <f>HLOOKUP("*"&amp;'Output annual'!$AC$2&amp;'Output annual'!$AD$2&amp;"*FangerPMV(Hourly)",'Eplus results'!$1:$1048576,ROW(),FALSE)</f>
        <v>0</v>
      </c>
      <c r="AD3169" s="580">
        <f t="shared" si="281"/>
        <v>5</v>
      </c>
      <c r="AE3169" s="580">
        <f t="shared" si="282"/>
        <v>2.5</v>
      </c>
      <c r="AF3169" s="580">
        <f t="shared" si="283"/>
        <v>2.5</v>
      </c>
      <c r="AG3169" s="580">
        <f t="shared" si="284"/>
        <v>0</v>
      </c>
      <c r="AH3169" s="580">
        <f t="shared" si="285"/>
        <v>0</v>
      </c>
    </row>
    <row r="3170" spans="28:34">
      <c r="AB3170" s="580">
        <f>HLOOKUP("*"&amp;'Output annual'!$AC$2&amp;'Output annual'!$AD$2&amp;"*Zone People Number Of Occupants [](Hourly)",'Eplus results'!$1:$1048576,ROW(),FALSE)</f>
        <v>0</v>
      </c>
      <c r="AC3170" s="580">
        <f>HLOOKUP("*"&amp;'Output annual'!$AC$2&amp;'Output annual'!$AD$2&amp;"*FangerPMV(Hourly)",'Eplus results'!$1:$1048576,ROW(),FALSE)</f>
        <v>0</v>
      </c>
      <c r="AD3170" s="580">
        <f t="shared" si="281"/>
        <v>5</v>
      </c>
      <c r="AE3170" s="580">
        <f t="shared" si="282"/>
        <v>2.5</v>
      </c>
      <c r="AF3170" s="580">
        <f t="shared" si="283"/>
        <v>2.5</v>
      </c>
      <c r="AG3170" s="580">
        <f t="shared" si="284"/>
        <v>0</v>
      </c>
      <c r="AH3170" s="580">
        <f t="shared" si="285"/>
        <v>0</v>
      </c>
    </row>
    <row r="3171" spans="28:34">
      <c r="AB3171" s="580">
        <f>HLOOKUP("*"&amp;'Output annual'!$AC$2&amp;'Output annual'!$AD$2&amp;"*Zone People Number Of Occupants [](Hourly)",'Eplus results'!$1:$1048576,ROW(),FALSE)</f>
        <v>0</v>
      </c>
      <c r="AC3171" s="580">
        <f>HLOOKUP("*"&amp;'Output annual'!$AC$2&amp;'Output annual'!$AD$2&amp;"*FangerPMV(Hourly)",'Eplus results'!$1:$1048576,ROW(),FALSE)</f>
        <v>0</v>
      </c>
      <c r="AD3171" s="580">
        <f t="shared" si="281"/>
        <v>5</v>
      </c>
      <c r="AE3171" s="580">
        <f t="shared" si="282"/>
        <v>2.5</v>
      </c>
      <c r="AF3171" s="580">
        <f t="shared" si="283"/>
        <v>2.5</v>
      </c>
      <c r="AG3171" s="580">
        <f t="shared" si="284"/>
        <v>0</v>
      </c>
      <c r="AH3171" s="580">
        <f t="shared" si="285"/>
        <v>0</v>
      </c>
    </row>
    <row r="3172" spans="28:34">
      <c r="AB3172" s="580">
        <f>HLOOKUP("*"&amp;'Output annual'!$AC$2&amp;'Output annual'!$AD$2&amp;"*Zone People Number Of Occupants [](Hourly)",'Eplus results'!$1:$1048576,ROW(),FALSE)</f>
        <v>0</v>
      </c>
      <c r="AC3172" s="580">
        <f>HLOOKUP("*"&amp;'Output annual'!$AC$2&amp;'Output annual'!$AD$2&amp;"*FangerPMV(Hourly)",'Eplus results'!$1:$1048576,ROW(),FALSE)</f>
        <v>0</v>
      </c>
      <c r="AD3172" s="580">
        <f t="shared" si="281"/>
        <v>5</v>
      </c>
      <c r="AE3172" s="580">
        <f t="shared" si="282"/>
        <v>2.5</v>
      </c>
      <c r="AF3172" s="580">
        <f t="shared" si="283"/>
        <v>2.5</v>
      </c>
      <c r="AG3172" s="580">
        <f t="shared" si="284"/>
        <v>0</v>
      </c>
      <c r="AH3172" s="580">
        <f t="shared" si="285"/>
        <v>0</v>
      </c>
    </row>
    <row r="3173" spans="28:34">
      <c r="AB3173" s="580">
        <f>HLOOKUP("*"&amp;'Output annual'!$AC$2&amp;'Output annual'!$AD$2&amp;"*Zone People Number Of Occupants [](Hourly)",'Eplus results'!$1:$1048576,ROW(),FALSE)</f>
        <v>0</v>
      </c>
      <c r="AC3173" s="580">
        <f>HLOOKUP("*"&amp;'Output annual'!$AC$2&amp;'Output annual'!$AD$2&amp;"*FangerPMV(Hourly)",'Eplus results'!$1:$1048576,ROW(),FALSE)</f>
        <v>0</v>
      </c>
      <c r="AD3173" s="580">
        <f t="shared" si="281"/>
        <v>5</v>
      </c>
      <c r="AE3173" s="580">
        <f t="shared" si="282"/>
        <v>2.5</v>
      </c>
      <c r="AF3173" s="580">
        <f t="shared" si="283"/>
        <v>2.5</v>
      </c>
      <c r="AG3173" s="580">
        <f t="shared" si="284"/>
        <v>0</v>
      </c>
      <c r="AH3173" s="580">
        <f t="shared" si="285"/>
        <v>0</v>
      </c>
    </row>
    <row r="3174" spans="28:34">
      <c r="AB3174" s="580">
        <f>HLOOKUP("*"&amp;'Output annual'!$AC$2&amp;'Output annual'!$AD$2&amp;"*Zone People Number Of Occupants [](Hourly)",'Eplus results'!$1:$1048576,ROW(),FALSE)</f>
        <v>0</v>
      </c>
      <c r="AC3174" s="580">
        <f>HLOOKUP("*"&amp;'Output annual'!$AC$2&amp;'Output annual'!$AD$2&amp;"*FangerPMV(Hourly)",'Eplus results'!$1:$1048576,ROW(),FALSE)</f>
        <v>0</v>
      </c>
      <c r="AD3174" s="580">
        <f t="shared" si="281"/>
        <v>5</v>
      </c>
      <c r="AE3174" s="580">
        <f t="shared" si="282"/>
        <v>2.5</v>
      </c>
      <c r="AF3174" s="580">
        <f t="shared" si="283"/>
        <v>2.5</v>
      </c>
      <c r="AG3174" s="580">
        <f t="shared" si="284"/>
        <v>0</v>
      </c>
      <c r="AH3174" s="580">
        <f t="shared" si="285"/>
        <v>0</v>
      </c>
    </row>
    <row r="3175" spans="28:34">
      <c r="AB3175" s="580">
        <f>HLOOKUP("*"&amp;'Output annual'!$AC$2&amp;'Output annual'!$AD$2&amp;"*Zone People Number Of Occupants [](Hourly)",'Eplus results'!$1:$1048576,ROW(),FALSE)</f>
        <v>0</v>
      </c>
      <c r="AC3175" s="580">
        <f>HLOOKUP("*"&amp;'Output annual'!$AC$2&amp;'Output annual'!$AD$2&amp;"*FangerPMV(Hourly)",'Eplus results'!$1:$1048576,ROW(),FALSE)</f>
        <v>0</v>
      </c>
      <c r="AD3175" s="580">
        <f t="shared" si="281"/>
        <v>5</v>
      </c>
      <c r="AE3175" s="580">
        <f t="shared" si="282"/>
        <v>2.5</v>
      </c>
      <c r="AF3175" s="580">
        <f t="shared" si="283"/>
        <v>2.5</v>
      </c>
      <c r="AG3175" s="580">
        <f t="shared" si="284"/>
        <v>0</v>
      </c>
      <c r="AH3175" s="580">
        <f t="shared" si="285"/>
        <v>0</v>
      </c>
    </row>
    <row r="3176" spans="28:34">
      <c r="AB3176" s="580">
        <f>HLOOKUP("*"&amp;'Output annual'!$AC$2&amp;'Output annual'!$AD$2&amp;"*Zone People Number Of Occupants [](Hourly)",'Eplus results'!$1:$1048576,ROW(),FALSE)</f>
        <v>0</v>
      </c>
      <c r="AC3176" s="580">
        <f>HLOOKUP("*"&amp;'Output annual'!$AC$2&amp;'Output annual'!$AD$2&amp;"*FangerPMV(Hourly)",'Eplus results'!$1:$1048576,ROW(),FALSE)</f>
        <v>0</v>
      </c>
      <c r="AD3176" s="580">
        <f t="shared" si="281"/>
        <v>5</v>
      </c>
      <c r="AE3176" s="580">
        <f t="shared" si="282"/>
        <v>2.5</v>
      </c>
      <c r="AF3176" s="580">
        <f t="shared" si="283"/>
        <v>2.5</v>
      </c>
      <c r="AG3176" s="580">
        <f t="shared" si="284"/>
        <v>0</v>
      </c>
      <c r="AH3176" s="580">
        <f t="shared" si="285"/>
        <v>0</v>
      </c>
    </row>
    <row r="3177" spans="28:34">
      <c r="AB3177" s="580">
        <f>HLOOKUP("*"&amp;'Output annual'!$AC$2&amp;'Output annual'!$AD$2&amp;"*Zone People Number Of Occupants [](Hourly)",'Eplus results'!$1:$1048576,ROW(),FALSE)</f>
        <v>0</v>
      </c>
      <c r="AC3177" s="580">
        <f>HLOOKUP("*"&amp;'Output annual'!$AC$2&amp;'Output annual'!$AD$2&amp;"*FangerPMV(Hourly)",'Eplus results'!$1:$1048576,ROW(),FALSE)</f>
        <v>0</v>
      </c>
      <c r="AD3177" s="580">
        <f t="shared" si="281"/>
        <v>5</v>
      </c>
      <c r="AE3177" s="580">
        <f t="shared" si="282"/>
        <v>2.5</v>
      </c>
      <c r="AF3177" s="580">
        <f t="shared" si="283"/>
        <v>2.5</v>
      </c>
      <c r="AG3177" s="580">
        <f t="shared" si="284"/>
        <v>0</v>
      </c>
      <c r="AH3177" s="580">
        <f t="shared" si="285"/>
        <v>0</v>
      </c>
    </row>
    <row r="3178" spans="28:34">
      <c r="AB3178" s="580">
        <f>HLOOKUP("*"&amp;'Output annual'!$AC$2&amp;'Output annual'!$AD$2&amp;"*Zone People Number Of Occupants [](Hourly)",'Eplus results'!$1:$1048576,ROW(),FALSE)</f>
        <v>0</v>
      </c>
      <c r="AC3178" s="580">
        <f>HLOOKUP("*"&amp;'Output annual'!$AC$2&amp;'Output annual'!$AD$2&amp;"*FangerPMV(Hourly)",'Eplus results'!$1:$1048576,ROW(),FALSE)</f>
        <v>0</v>
      </c>
      <c r="AD3178" s="580">
        <f t="shared" si="281"/>
        <v>5</v>
      </c>
      <c r="AE3178" s="580">
        <f t="shared" si="282"/>
        <v>2.5</v>
      </c>
      <c r="AF3178" s="580">
        <f t="shared" si="283"/>
        <v>2.5</v>
      </c>
      <c r="AG3178" s="580">
        <f t="shared" si="284"/>
        <v>0</v>
      </c>
      <c r="AH3178" s="580">
        <f t="shared" si="285"/>
        <v>0</v>
      </c>
    </row>
    <row r="3179" spans="28:34">
      <c r="AB3179" s="580">
        <f>HLOOKUP("*"&amp;'Output annual'!$AC$2&amp;'Output annual'!$AD$2&amp;"*Zone People Number Of Occupants [](Hourly)",'Eplus results'!$1:$1048576,ROW(),FALSE)</f>
        <v>0</v>
      </c>
      <c r="AC3179" s="580">
        <f>HLOOKUP("*"&amp;'Output annual'!$AC$2&amp;'Output annual'!$AD$2&amp;"*FangerPMV(Hourly)",'Eplus results'!$1:$1048576,ROW(),FALSE)</f>
        <v>0</v>
      </c>
      <c r="AD3179" s="580">
        <f t="shared" si="281"/>
        <v>5</v>
      </c>
      <c r="AE3179" s="580">
        <f t="shared" si="282"/>
        <v>2.5</v>
      </c>
      <c r="AF3179" s="580">
        <f t="shared" si="283"/>
        <v>2.5</v>
      </c>
      <c r="AG3179" s="580">
        <f t="shared" si="284"/>
        <v>0</v>
      </c>
      <c r="AH3179" s="580">
        <f t="shared" si="285"/>
        <v>0</v>
      </c>
    </row>
    <row r="3180" spans="28:34">
      <c r="AB3180" s="580">
        <f>HLOOKUP("*"&amp;'Output annual'!$AC$2&amp;'Output annual'!$AD$2&amp;"*Zone People Number Of Occupants [](Hourly)",'Eplus results'!$1:$1048576,ROW(),FALSE)</f>
        <v>0</v>
      </c>
      <c r="AC3180" s="580">
        <f>HLOOKUP("*"&amp;'Output annual'!$AC$2&amp;'Output annual'!$AD$2&amp;"*FangerPMV(Hourly)",'Eplus results'!$1:$1048576,ROW(),FALSE)</f>
        <v>0</v>
      </c>
      <c r="AD3180" s="580">
        <f t="shared" si="281"/>
        <v>5</v>
      </c>
      <c r="AE3180" s="580">
        <f t="shared" si="282"/>
        <v>2.5</v>
      </c>
      <c r="AF3180" s="580">
        <f t="shared" si="283"/>
        <v>2.5</v>
      </c>
      <c r="AG3180" s="580">
        <f t="shared" si="284"/>
        <v>0</v>
      </c>
      <c r="AH3180" s="580">
        <f t="shared" si="285"/>
        <v>0</v>
      </c>
    </row>
    <row r="3181" spans="28:34">
      <c r="AB3181" s="580">
        <f>HLOOKUP("*"&amp;'Output annual'!$AC$2&amp;'Output annual'!$AD$2&amp;"*Zone People Number Of Occupants [](Hourly)",'Eplus results'!$1:$1048576,ROW(),FALSE)</f>
        <v>0</v>
      </c>
      <c r="AC3181" s="580">
        <f>HLOOKUP("*"&amp;'Output annual'!$AC$2&amp;'Output annual'!$AD$2&amp;"*FangerPMV(Hourly)",'Eplus results'!$1:$1048576,ROW(),FALSE)</f>
        <v>0</v>
      </c>
      <c r="AD3181" s="580">
        <f t="shared" si="281"/>
        <v>5</v>
      </c>
      <c r="AE3181" s="580">
        <f t="shared" si="282"/>
        <v>2.5</v>
      </c>
      <c r="AF3181" s="580">
        <f t="shared" si="283"/>
        <v>2.5</v>
      </c>
      <c r="AG3181" s="580">
        <f t="shared" si="284"/>
        <v>0</v>
      </c>
      <c r="AH3181" s="580">
        <f t="shared" si="285"/>
        <v>0</v>
      </c>
    </row>
    <row r="3182" spans="28:34">
      <c r="AB3182" s="580">
        <f>HLOOKUP("*"&amp;'Output annual'!$AC$2&amp;'Output annual'!$AD$2&amp;"*Zone People Number Of Occupants [](Hourly)",'Eplus results'!$1:$1048576,ROW(),FALSE)</f>
        <v>0</v>
      </c>
      <c r="AC3182" s="580">
        <f>HLOOKUP("*"&amp;'Output annual'!$AC$2&amp;'Output annual'!$AD$2&amp;"*FangerPMV(Hourly)",'Eplus results'!$1:$1048576,ROW(),FALSE)</f>
        <v>0</v>
      </c>
      <c r="AD3182" s="580">
        <f t="shared" si="281"/>
        <v>5</v>
      </c>
      <c r="AE3182" s="580">
        <f t="shared" si="282"/>
        <v>2.5</v>
      </c>
      <c r="AF3182" s="580">
        <f t="shared" si="283"/>
        <v>2.5</v>
      </c>
      <c r="AG3182" s="580">
        <f t="shared" si="284"/>
        <v>0</v>
      </c>
      <c r="AH3182" s="580">
        <f t="shared" si="285"/>
        <v>0</v>
      </c>
    </row>
    <row r="3183" spans="28:34">
      <c r="AB3183" s="580">
        <f>HLOOKUP("*"&amp;'Output annual'!$AC$2&amp;'Output annual'!$AD$2&amp;"*Zone People Number Of Occupants [](Hourly)",'Eplus results'!$1:$1048576,ROW(),FALSE)</f>
        <v>0</v>
      </c>
      <c r="AC3183" s="580">
        <f>HLOOKUP("*"&amp;'Output annual'!$AC$2&amp;'Output annual'!$AD$2&amp;"*FangerPMV(Hourly)",'Eplus results'!$1:$1048576,ROW(),FALSE)</f>
        <v>0</v>
      </c>
      <c r="AD3183" s="580">
        <f t="shared" si="281"/>
        <v>5</v>
      </c>
      <c r="AE3183" s="580">
        <f t="shared" si="282"/>
        <v>2.5</v>
      </c>
      <c r="AF3183" s="580">
        <f t="shared" si="283"/>
        <v>2.5</v>
      </c>
      <c r="AG3183" s="580">
        <f t="shared" si="284"/>
        <v>0</v>
      </c>
      <c r="AH3183" s="580">
        <f t="shared" si="285"/>
        <v>0</v>
      </c>
    </row>
    <row r="3184" spans="28:34">
      <c r="AB3184" s="580">
        <f>HLOOKUP("*"&amp;'Output annual'!$AC$2&amp;'Output annual'!$AD$2&amp;"*Zone People Number Of Occupants [](Hourly)",'Eplus results'!$1:$1048576,ROW(),FALSE)</f>
        <v>0</v>
      </c>
      <c r="AC3184" s="580">
        <f>HLOOKUP("*"&amp;'Output annual'!$AC$2&amp;'Output annual'!$AD$2&amp;"*FangerPMV(Hourly)",'Eplus results'!$1:$1048576,ROW(),FALSE)</f>
        <v>0</v>
      </c>
      <c r="AD3184" s="580">
        <f t="shared" si="281"/>
        <v>5</v>
      </c>
      <c r="AE3184" s="580">
        <f t="shared" si="282"/>
        <v>2.5</v>
      </c>
      <c r="AF3184" s="580">
        <f t="shared" si="283"/>
        <v>2.5</v>
      </c>
      <c r="AG3184" s="580">
        <f t="shared" si="284"/>
        <v>0</v>
      </c>
      <c r="AH3184" s="580">
        <f t="shared" si="285"/>
        <v>0</v>
      </c>
    </row>
    <row r="3185" spans="28:34">
      <c r="AB3185" s="580">
        <f>HLOOKUP("*"&amp;'Output annual'!$AC$2&amp;'Output annual'!$AD$2&amp;"*Zone People Number Of Occupants [](Hourly)",'Eplus results'!$1:$1048576,ROW(),FALSE)</f>
        <v>0</v>
      </c>
      <c r="AC3185" s="580">
        <f>HLOOKUP("*"&amp;'Output annual'!$AC$2&amp;'Output annual'!$AD$2&amp;"*FangerPMV(Hourly)",'Eplus results'!$1:$1048576,ROW(),FALSE)</f>
        <v>0</v>
      </c>
      <c r="AD3185" s="580">
        <f t="shared" si="281"/>
        <v>5</v>
      </c>
      <c r="AE3185" s="580">
        <f t="shared" si="282"/>
        <v>2.5</v>
      </c>
      <c r="AF3185" s="580">
        <f t="shared" si="283"/>
        <v>2.5</v>
      </c>
      <c r="AG3185" s="580">
        <f t="shared" si="284"/>
        <v>0</v>
      </c>
      <c r="AH3185" s="580">
        <f t="shared" si="285"/>
        <v>0</v>
      </c>
    </row>
    <row r="3186" spans="28:34">
      <c r="AB3186" s="580">
        <f>HLOOKUP("*"&amp;'Output annual'!$AC$2&amp;'Output annual'!$AD$2&amp;"*Zone People Number Of Occupants [](Hourly)",'Eplus results'!$1:$1048576,ROW(),FALSE)</f>
        <v>0</v>
      </c>
      <c r="AC3186" s="580">
        <f>HLOOKUP("*"&amp;'Output annual'!$AC$2&amp;'Output annual'!$AD$2&amp;"*FangerPMV(Hourly)",'Eplus results'!$1:$1048576,ROW(),FALSE)</f>
        <v>0</v>
      </c>
      <c r="AD3186" s="580">
        <f t="shared" si="281"/>
        <v>5</v>
      </c>
      <c r="AE3186" s="580">
        <f t="shared" si="282"/>
        <v>2.5</v>
      </c>
      <c r="AF3186" s="580">
        <f t="shared" si="283"/>
        <v>2.5</v>
      </c>
      <c r="AG3186" s="580">
        <f t="shared" si="284"/>
        <v>0</v>
      </c>
      <c r="AH3186" s="580">
        <f t="shared" si="285"/>
        <v>0</v>
      </c>
    </row>
    <row r="3187" spans="28:34">
      <c r="AB3187" s="580">
        <f>HLOOKUP("*"&amp;'Output annual'!$AC$2&amp;'Output annual'!$AD$2&amp;"*Zone People Number Of Occupants [](Hourly)",'Eplus results'!$1:$1048576,ROW(),FALSE)</f>
        <v>0</v>
      </c>
      <c r="AC3187" s="580">
        <f>HLOOKUP("*"&amp;'Output annual'!$AC$2&amp;'Output annual'!$AD$2&amp;"*FangerPMV(Hourly)",'Eplus results'!$1:$1048576,ROW(),FALSE)</f>
        <v>0</v>
      </c>
      <c r="AD3187" s="580">
        <f t="shared" si="281"/>
        <v>5</v>
      </c>
      <c r="AE3187" s="580">
        <f t="shared" si="282"/>
        <v>2.5</v>
      </c>
      <c r="AF3187" s="580">
        <f t="shared" si="283"/>
        <v>2.5</v>
      </c>
      <c r="AG3187" s="580">
        <f t="shared" si="284"/>
        <v>0</v>
      </c>
      <c r="AH3187" s="580">
        <f t="shared" si="285"/>
        <v>0</v>
      </c>
    </row>
    <row r="3188" spans="28:34">
      <c r="AB3188" s="580">
        <f>HLOOKUP("*"&amp;'Output annual'!$AC$2&amp;'Output annual'!$AD$2&amp;"*Zone People Number Of Occupants [](Hourly)",'Eplus results'!$1:$1048576,ROW(),FALSE)</f>
        <v>0</v>
      </c>
      <c r="AC3188" s="580">
        <f>HLOOKUP("*"&amp;'Output annual'!$AC$2&amp;'Output annual'!$AD$2&amp;"*FangerPMV(Hourly)",'Eplus results'!$1:$1048576,ROW(),FALSE)</f>
        <v>0</v>
      </c>
      <c r="AD3188" s="580">
        <f t="shared" si="281"/>
        <v>5</v>
      </c>
      <c r="AE3188" s="580">
        <f t="shared" si="282"/>
        <v>2.5</v>
      </c>
      <c r="AF3188" s="580">
        <f t="shared" si="283"/>
        <v>2.5</v>
      </c>
      <c r="AG3188" s="580">
        <f t="shared" si="284"/>
        <v>0</v>
      </c>
      <c r="AH3188" s="580">
        <f t="shared" si="285"/>
        <v>0</v>
      </c>
    </row>
    <row r="3189" spans="28:34">
      <c r="AB3189" s="580">
        <f>HLOOKUP("*"&amp;'Output annual'!$AC$2&amp;'Output annual'!$AD$2&amp;"*Zone People Number Of Occupants [](Hourly)",'Eplus results'!$1:$1048576,ROW(),FALSE)</f>
        <v>0</v>
      </c>
      <c r="AC3189" s="580">
        <f>HLOOKUP("*"&amp;'Output annual'!$AC$2&amp;'Output annual'!$AD$2&amp;"*FangerPMV(Hourly)",'Eplus results'!$1:$1048576,ROW(),FALSE)</f>
        <v>0</v>
      </c>
      <c r="AD3189" s="580">
        <f t="shared" si="281"/>
        <v>5</v>
      </c>
      <c r="AE3189" s="580">
        <f t="shared" si="282"/>
        <v>2.5</v>
      </c>
      <c r="AF3189" s="580">
        <f t="shared" si="283"/>
        <v>2.5</v>
      </c>
      <c r="AG3189" s="580">
        <f t="shared" si="284"/>
        <v>0</v>
      </c>
      <c r="AH3189" s="580">
        <f t="shared" si="285"/>
        <v>0</v>
      </c>
    </row>
    <row r="3190" spans="28:34">
      <c r="AB3190" s="580">
        <f>HLOOKUP("*"&amp;'Output annual'!$AC$2&amp;'Output annual'!$AD$2&amp;"*Zone People Number Of Occupants [](Hourly)",'Eplus results'!$1:$1048576,ROW(),FALSE)</f>
        <v>0</v>
      </c>
      <c r="AC3190" s="580">
        <f>HLOOKUP("*"&amp;'Output annual'!$AC$2&amp;'Output annual'!$AD$2&amp;"*FangerPMV(Hourly)",'Eplus results'!$1:$1048576,ROW(),FALSE)</f>
        <v>0</v>
      </c>
      <c r="AD3190" s="580">
        <f t="shared" si="281"/>
        <v>5</v>
      </c>
      <c r="AE3190" s="580">
        <f t="shared" si="282"/>
        <v>2.5</v>
      </c>
      <c r="AF3190" s="580">
        <f t="shared" si="283"/>
        <v>2.5</v>
      </c>
      <c r="AG3190" s="580">
        <f t="shared" si="284"/>
        <v>0</v>
      </c>
      <c r="AH3190" s="580">
        <f t="shared" si="285"/>
        <v>0</v>
      </c>
    </row>
    <row r="3191" spans="28:34">
      <c r="AB3191" s="580">
        <f>HLOOKUP("*"&amp;'Output annual'!$AC$2&amp;'Output annual'!$AD$2&amp;"*Zone People Number Of Occupants [](Hourly)",'Eplus results'!$1:$1048576,ROW(),FALSE)</f>
        <v>0</v>
      </c>
      <c r="AC3191" s="580">
        <f>HLOOKUP("*"&amp;'Output annual'!$AC$2&amp;'Output annual'!$AD$2&amp;"*FangerPMV(Hourly)",'Eplus results'!$1:$1048576,ROW(),FALSE)</f>
        <v>0</v>
      </c>
      <c r="AD3191" s="580">
        <f t="shared" si="281"/>
        <v>5</v>
      </c>
      <c r="AE3191" s="580">
        <f t="shared" si="282"/>
        <v>2.5</v>
      </c>
      <c r="AF3191" s="580">
        <f t="shared" si="283"/>
        <v>2.5</v>
      </c>
      <c r="AG3191" s="580">
        <f t="shared" si="284"/>
        <v>0</v>
      </c>
      <c r="AH3191" s="580">
        <f t="shared" si="285"/>
        <v>0</v>
      </c>
    </row>
    <row r="3192" spans="28:34">
      <c r="AB3192" s="580">
        <f>HLOOKUP("*"&amp;'Output annual'!$AC$2&amp;'Output annual'!$AD$2&amp;"*Zone People Number Of Occupants [](Hourly)",'Eplus results'!$1:$1048576,ROW(),FALSE)</f>
        <v>0</v>
      </c>
      <c r="AC3192" s="580">
        <f>HLOOKUP("*"&amp;'Output annual'!$AC$2&amp;'Output annual'!$AD$2&amp;"*FangerPMV(Hourly)",'Eplus results'!$1:$1048576,ROW(),FALSE)</f>
        <v>0</v>
      </c>
      <c r="AD3192" s="580">
        <f t="shared" si="281"/>
        <v>5</v>
      </c>
      <c r="AE3192" s="580">
        <f t="shared" si="282"/>
        <v>2.5</v>
      </c>
      <c r="AF3192" s="580">
        <f t="shared" si="283"/>
        <v>2.5</v>
      </c>
      <c r="AG3192" s="580">
        <f t="shared" si="284"/>
        <v>0</v>
      </c>
      <c r="AH3192" s="580">
        <f t="shared" si="285"/>
        <v>0</v>
      </c>
    </row>
    <row r="3193" spans="28:34">
      <c r="AB3193" s="580">
        <f>HLOOKUP("*"&amp;'Output annual'!$AC$2&amp;'Output annual'!$AD$2&amp;"*Zone People Number Of Occupants [](Hourly)",'Eplus results'!$1:$1048576,ROW(),FALSE)</f>
        <v>0</v>
      </c>
      <c r="AC3193" s="580">
        <f>HLOOKUP("*"&amp;'Output annual'!$AC$2&amp;'Output annual'!$AD$2&amp;"*FangerPMV(Hourly)",'Eplus results'!$1:$1048576,ROW(),FALSE)</f>
        <v>0</v>
      </c>
      <c r="AD3193" s="580">
        <f t="shared" si="281"/>
        <v>5</v>
      </c>
      <c r="AE3193" s="580">
        <f t="shared" si="282"/>
        <v>2.5</v>
      </c>
      <c r="AF3193" s="580">
        <f t="shared" si="283"/>
        <v>2.5</v>
      </c>
      <c r="AG3193" s="580">
        <f t="shared" si="284"/>
        <v>0</v>
      </c>
      <c r="AH3193" s="580">
        <f t="shared" si="285"/>
        <v>0</v>
      </c>
    </row>
    <row r="3194" spans="28:34">
      <c r="AB3194" s="580">
        <f>HLOOKUP("*"&amp;'Output annual'!$AC$2&amp;'Output annual'!$AD$2&amp;"*Zone People Number Of Occupants [](Hourly)",'Eplus results'!$1:$1048576,ROW(),FALSE)</f>
        <v>0</v>
      </c>
      <c r="AC3194" s="580">
        <f>HLOOKUP("*"&amp;'Output annual'!$AC$2&amp;'Output annual'!$AD$2&amp;"*FangerPMV(Hourly)",'Eplus results'!$1:$1048576,ROW(),FALSE)</f>
        <v>0</v>
      </c>
      <c r="AD3194" s="580">
        <f t="shared" si="281"/>
        <v>5</v>
      </c>
      <c r="AE3194" s="580">
        <f t="shared" si="282"/>
        <v>2.5</v>
      </c>
      <c r="AF3194" s="580">
        <f t="shared" si="283"/>
        <v>2.5</v>
      </c>
      <c r="AG3194" s="580">
        <f t="shared" si="284"/>
        <v>0</v>
      </c>
      <c r="AH3194" s="580">
        <f t="shared" si="285"/>
        <v>0</v>
      </c>
    </row>
    <row r="3195" spans="28:34">
      <c r="AB3195" s="580">
        <f>HLOOKUP("*"&amp;'Output annual'!$AC$2&amp;'Output annual'!$AD$2&amp;"*Zone People Number Of Occupants [](Hourly)",'Eplus results'!$1:$1048576,ROW(),FALSE)</f>
        <v>0</v>
      </c>
      <c r="AC3195" s="580">
        <f>HLOOKUP("*"&amp;'Output annual'!$AC$2&amp;'Output annual'!$AD$2&amp;"*FangerPMV(Hourly)",'Eplus results'!$1:$1048576,ROW(),FALSE)</f>
        <v>0</v>
      </c>
      <c r="AD3195" s="580">
        <f t="shared" si="281"/>
        <v>5</v>
      </c>
      <c r="AE3195" s="580">
        <f t="shared" si="282"/>
        <v>2.5</v>
      </c>
      <c r="AF3195" s="580">
        <f t="shared" si="283"/>
        <v>2.5</v>
      </c>
      <c r="AG3195" s="580">
        <f t="shared" si="284"/>
        <v>0</v>
      </c>
      <c r="AH3195" s="580">
        <f t="shared" si="285"/>
        <v>0</v>
      </c>
    </row>
    <row r="3196" spans="28:34">
      <c r="AB3196" s="580">
        <f>HLOOKUP("*"&amp;'Output annual'!$AC$2&amp;'Output annual'!$AD$2&amp;"*Zone People Number Of Occupants [](Hourly)",'Eplus results'!$1:$1048576,ROW(),FALSE)</f>
        <v>0</v>
      </c>
      <c r="AC3196" s="580">
        <f>HLOOKUP("*"&amp;'Output annual'!$AC$2&amp;'Output annual'!$AD$2&amp;"*FangerPMV(Hourly)",'Eplus results'!$1:$1048576,ROW(),FALSE)</f>
        <v>0</v>
      </c>
      <c r="AD3196" s="580">
        <f t="shared" si="281"/>
        <v>5</v>
      </c>
      <c r="AE3196" s="580">
        <f t="shared" si="282"/>
        <v>2.5</v>
      </c>
      <c r="AF3196" s="580">
        <f t="shared" si="283"/>
        <v>2.5</v>
      </c>
      <c r="AG3196" s="580">
        <f t="shared" si="284"/>
        <v>0</v>
      </c>
      <c r="AH3196" s="580">
        <f t="shared" si="285"/>
        <v>0</v>
      </c>
    </row>
    <row r="3197" spans="28:34">
      <c r="AB3197" s="580">
        <f>HLOOKUP("*"&amp;'Output annual'!$AC$2&amp;'Output annual'!$AD$2&amp;"*Zone People Number Of Occupants [](Hourly)",'Eplus results'!$1:$1048576,ROW(),FALSE)</f>
        <v>0</v>
      </c>
      <c r="AC3197" s="580">
        <f>HLOOKUP("*"&amp;'Output annual'!$AC$2&amp;'Output annual'!$AD$2&amp;"*FangerPMV(Hourly)",'Eplus results'!$1:$1048576,ROW(),FALSE)</f>
        <v>0</v>
      </c>
      <c r="AD3197" s="580">
        <f t="shared" si="281"/>
        <v>5</v>
      </c>
      <c r="AE3197" s="580">
        <f t="shared" si="282"/>
        <v>2.5</v>
      </c>
      <c r="AF3197" s="580">
        <f t="shared" si="283"/>
        <v>2.5</v>
      </c>
      <c r="AG3197" s="580">
        <f t="shared" si="284"/>
        <v>0</v>
      </c>
      <c r="AH3197" s="580">
        <f t="shared" si="285"/>
        <v>0</v>
      </c>
    </row>
    <row r="3198" spans="28:34">
      <c r="AB3198" s="580">
        <f>HLOOKUP("*"&amp;'Output annual'!$AC$2&amp;'Output annual'!$AD$2&amp;"*Zone People Number Of Occupants [](Hourly)",'Eplus results'!$1:$1048576,ROW(),FALSE)</f>
        <v>0</v>
      </c>
      <c r="AC3198" s="580">
        <f>HLOOKUP("*"&amp;'Output annual'!$AC$2&amp;'Output annual'!$AD$2&amp;"*FangerPMV(Hourly)",'Eplus results'!$1:$1048576,ROW(),FALSE)</f>
        <v>0</v>
      </c>
      <c r="AD3198" s="580">
        <f t="shared" si="281"/>
        <v>5</v>
      </c>
      <c r="AE3198" s="580">
        <f t="shared" si="282"/>
        <v>2.5</v>
      </c>
      <c r="AF3198" s="580">
        <f t="shared" si="283"/>
        <v>2.5</v>
      </c>
      <c r="AG3198" s="580">
        <f t="shared" si="284"/>
        <v>0</v>
      </c>
      <c r="AH3198" s="580">
        <f t="shared" si="285"/>
        <v>0</v>
      </c>
    </row>
    <row r="3199" spans="28:34">
      <c r="AB3199" s="580">
        <f>HLOOKUP("*"&amp;'Output annual'!$AC$2&amp;'Output annual'!$AD$2&amp;"*Zone People Number Of Occupants [](Hourly)",'Eplus results'!$1:$1048576,ROW(),FALSE)</f>
        <v>0</v>
      </c>
      <c r="AC3199" s="580">
        <f>HLOOKUP("*"&amp;'Output annual'!$AC$2&amp;'Output annual'!$AD$2&amp;"*FangerPMV(Hourly)",'Eplus results'!$1:$1048576,ROW(),FALSE)</f>
        <v>0</v>
      </c>
      <c r="AD3199" s="580">
        <f t="shared" si="281"/>
        <v>5</v>
      </c>
      <c r="AE3199" s="580">
        <f t="shared" si="282"/>
        <v>2.5</v>
      </c>
      <c r="AF3199" s="580">
        <f t="shared" si="283"/>
        <v>2.5</v>
      </c>
      <c r="AG3199" s="580">
        <f t="shared" si="284"/>
        <v>0</v>
      </c>
      <c r="AH3199" s="580">
        <f t="shared" si="285"/>
        <v>0</v>
      </c>
    </row>
    <row r="3200" spans="28:34">
      <c r="AB3200" s="580">
        <f>HLOOKUP("*"&amp;'Output annual'!$AC$2&amp;'Output annual'!$AD$2&amp;"*Zone People Number Of Occupants [](Hourly)",'Eplus results'!$1:$1048576,ROW(),FALSE)</f>
        <v>0</v>
      </c>
      <c r="AC3200" s="580">
        <f>HLOOKUP("*"&amp;'Output annual'!$AC$2&amp;'Output annual'!$AD$2&amp;"*FangerPMV(Hourly)",'Eplus results'!$1:$1048576,ROW(),FALSE)</f>
        <v>0</v>
      </c>
      <c r="AD3200" s="580">
        <f t="shared" si="281"/>
        <v>5</v>
      </c>
      <c r="AE3200" s="580">
        <f t="shared" si="282"/>
        <v>2.5</v>
      </c>
      <c r="AF3200" s="580">
        <f t="shared" si="283"/>
        <v>2.5</v>
      </c>
      <c r="AG3200" s="580">
        <f t="shared" si="284"/>
        <v>0</v>
      </c>
      <c r="AH3200" s="580">
        <f t="shared" si="285"/>
        <v>0</v>
      </c>
    </row>
    <row r="3201" spans="28:34">
      <c r="AB3201" s="580">
        <f>HLOOKUP("*"&amp;'Output annual'!$AC$2&amp;'Output annual'!$AD$2&amp;"*Zone People Number Of Occupants [](Hourly)",'Eplus results'!$1:$1048576,ROW(),FALSE)</f>
        <v>0</v>
      </c>
      <c r="AC3201" s="580">
        <f>HLOOKUP("*"&amp;'Output annual'!$AC$2&amp;'Output annual'!$AD$2&amp;"*FangerPMV(Hourly)",'Eplus results'!$1:$1048576,ROW(),FALSE)</f>
        <v>0</v>
      </c>
      <c r="AD3201" s="580">
        <f t="shared" si="281"/>
        <v>5</v>
      </c>
      <c r="AE3201" s="580">
        <f t="shared" si="282"/>
        <v>2.5</v>
      </c>
      <c r="AF3201" s="580">
        <f t="shared" si="283"/>
        <v>2.5</v>
      </c>
      <c r="AG3201" s="580">
        <f t="shared" si="284"/>
        <v>0</v>
      </c>
      <c r="AH3201" s="580">
        <f t="shared" si="285"/>
        <v>0</v>
      </c>
    </row>
    <row r="3202" spans="28:34">
      <c r="AB3202" s="580">
        <f>HLOOKUP("*"&amp;'Output annual'!$AC$2&amp;'Output annual'!$AD$2&amp;"*Zone People Number Of Occupants [](Hourly)",'Eplus results'!$1:$1048576,ROW(),FALSE)</f>
        <v>0</v>
      </c>
      <c r="AC3202" s="580">
        <f>HLOOKUP("*"&amp;'Output annual'!$AC$2&amp;'Output annual'!$AD$2&amp;"*FangerPMV(Hourly)",'Eplus results'!$1:$1048576,ROW(),FALSE)</f>
        <v>0</v>
      </c>
      <c r="AD3202" s="580">
        <f t="shared" si="281"/>
        <v>5</v>
      </c>
      <c r="AE3202" s="580">
        <f t="shared" si="282"/>
        <v>2.5</v>
      </c>
      <c r="AF3202" s="580">
        <f t="shared" si="283"/>
        <v>2.5</v>
      </c>
      <c r="AG3202" s="580">
        <f t="shared" si="284"/>
        <v>0</v>
      </c>
      <c r="AH3202" s="580">
        <f t="shared" si="285"/>
        <v>0</v>
      </c>
    </row>
    <row r="3203" spans="28:34">
      <c r="AB3203" s="580">
        <f>HLOOKUP("*"&amp;'Output annual'!$AC$2&amp;'Output annual'!$AD$2&amp;"*Zone People Number Of Occupants [](Hourly)",'Eplus results'!$1:$1048576,ROW(),FALSE)</f>
        <v>0</v>
      </c>
      <c r="AC3203" s="580">
        <f>HLOOKUP("*"&amp;'Output annual'!$AC$2&amp;'Output annual'!$AD$2&amp;"*FangerPMV(Hourly)",'Eplus results'!$1:$1048576,ROW(),FALSE)</f>
        <v>0</v>
      </c>
      <c r="AD3203" s="580">
        <f t="shared" ref="AD3203:AD3266" si="286">100-95*EXP(-0.03353*AC3203^4-0.2179*AC3203^2)</f>
        <v>5</v>
      </c>
      <c r="AE3203" s="580">
        <f t="shared" ref="AE3203:AE3266" si="287">AD3203*(1/(1+EXP(-6.3*$AC3203)))</f>
        <v>2.5</v>
      </c>
      <c r="AF3203" s="580">
        <f t="shared" ref="AF3203:AF3266" si="288">(AD3203-AE3203)</f>
        <v>2.5</v>
      </c>
      <c r="AG3203" s="580">
        <f t="shared" ref="AG3203:AG3266" si="289">AE3203*AB3203</f>
        <v>0</v>
      </c>
      <c r="AH3203" s="580">
        <f t="shared" ref="AH3203:AH3266" si="290">AF3203*AB3203</f>
        <v>0</v>
      </c>
    </row>
    <row r="3204" spans="28:34">
      <c r="AB3204" s="580">
        <f>HLOOKUP("*"&amp;'Output annual'!$AC$2&amp;'Output annual'!$AD$2&amp;"*Zone People Number Of Occupants [](Hourly)",'Eplus results'!$1:$1048576,ROW(),FALSE)</f>
        <v>0</v>
      </c>
      <c r="AC3204" s="580">
        <f>HLOOKUP("*"&amp;'Output annual'!$AC$2&amp;'Output annual'!$AD$2&amp;"*FangerPMV(Hourly)",'Eplus results'!$1:$1048576,ROW(),FALSE)</f>
        <v>0</v>
      </c>
      <c r="AD3204" s="580">
        <f t="shared" si="286"/>
        <v>5</v>
      </c>
      <c r="AE3204" s="580">
        <f t="shared" si="287"/>
        <v>2.5</v>
      </c>
      <c r="AF3204" s="580">
        <f t="shared" si="288"/>
        <v>2.5</v>
      </c>
      <c r="AG3204" s="580">
        <f t="shared" si="289"/>
        <v>0</v>
      </c>
      <c r="AH3204" s="580">
        <f t="shared" si="290"/>
        <v>0</v>
      </c>
    </row>
    <row r="3205" spans="28:34">
      <c r="AB3205" s="580">
        <f>HLOOKUP("*"&amp;'Output annual'!$AC$2&amp;'Output annual'!$AD$2&amp;"*Zone People Number Of Occupants [](Hourly)",'Eplus results'!$1:$1048576,ROW(),FALSE)</f>
        <v>0</v>
      </c>
      <c r="AC3205" s="580">
        <f>HLOOKUP("*"&amp;'Output annual'!$AC$2&amp;'Output annual'!$AD$2&amp;"*FangerPMV(Hourly)",'Eplus results'!$1:$1048576,ROW(),FALSE)</f>
        <v>0</v>
      </c>
      <c r="AD3205" s="580">
        <f t="shared" si="286"/>
        <v>5</v>
      </c>
      <c r="AE3205" s="580">
        <f t="shared" si="287"/>
        <v>2.5</v>
      </c>
      <c r="AF3205" s="580">
        <f t="shared" si="288"/>
        <v>2.5</v>
      </c>
      <c r="AG3205" s="580">
        <f t="shared" si="289"/>
        <v>0</v>
      </c>
      <c r="AH3205" s="580">
        <f t="shared" si="290"/>
        <v>0</v>
      </c>
    </row>
    <row r="3206" spans="28:34">
      <c r="AB3206" s="580">
        <f>HLOOKUP("*"&amp;'Output annual'!$AC$2&amp;'Output annual'!$AD$2&amp;"*Zone People Number Of Occupants [](Hourly)",'Eplus results'!$1:$1048576,ROW(),FALSE)</f>
        <v>0</v>
      </c>
      <c r="AC3206" s="580">
        <f>HLOOKUP("*"&amp;'Output annual'!$AC$2&amp;'Output annual'!$AD$2&amp;"*FangerPMV(Hourly)",'Eplus results'!$1:$1048576,ROW(),FALSE)</f>
        <v>0</v>
      </c>
      <c r="AD3206" s="580">
        <f t="shared" si="286"/>
        <v>5</v>
      </c>
      <c r="AE3206" s="580">
        <f t="shared" si="287"/>
        <v>2.5</v>
      </c>
      <c r="AF3206" s="580">
        <f t="shared" si="288"/>
        <v>2.5</v>
      </c>
      <c r="AG3206" s="580">
        <f t="shared" si="289"/>
        <v>0</v>
      </c>
      <c r="AH3206" s="580">
        <f t="shared" si="290"/>
        <v>0</v>
      </c>
    </row>
    <row r="3207" spans="28:34">
      <c r="AB3207" s="580">
        <f>HLOOKUP("*"&amp;'Output annual'!$AC$2&amp;'Output annual'!$AD$2&amp;"*Zone People Number Of Occupants [](Hourly)",'Eplus results'!$1:$1048576,ROW(),FALSE)</f>
        <v>0</v>
      </c>
      <c r="AC3207" s="580">
        <f>HLOOKUP("*"&amp;'Output annual'!$AC$2&amp;'Output annual'!$AD$2&amp;"*FangerPMV(Hourly)",'Eplus results'!$1:$1048576,ROW(),FALSE)</f>
        <v>0</v>
      </c>
      <c r="AD3207" s="580">
        <f t="shared" si="286"/>
        <v>5</v>
      </c>
      <c r="AE3207" s="580">
        <f t="shared" si="287"/>
        <v>2.5</v>
      </c>
      <c r="AF3207" s="580">
        <f t="shared" si="288"/>
        <v>2.5</v>
      </c>
      <c r="AG3207" s="580">
        <f t="shared" si="289"/>
        <v>0</v>
      </c>
      <c r="AH3207" s="580">
        <f t="shared" si="290"/>
        <v>0</v>
      </c>
    </row>
    <row r="3208" spans="28:34">
      <c r="AB3208" s="580">
        <f>HLOOKUP("*"&amp;'Output annual'!$AC$2&amp;'Output annual'!$AD$2&amp;"*Zone People Number Of Occupants [](Hourly)",'Eplus results'!$1:$1048576,ROW(),FALSE)</f>
        <v>0</v>
      </c>
      <c r="AC3208" s="580">
        <f>HLOOKUP("*"&amp;'Output annual'!$AC$2&amp;'Output annual'!$AD$2&amp;"*FangerPMV(Hourly)",'Eplus results'!$1:$1048576,ROW(),FALSE)</f>
        <v>0</v>
      </c>
      <c r="AD3208" s="580">
        <f t="shared" si="286"/>
        <v>5</v>
      </c>
      <c r="AE3208" s="580">
        <f t="shared" si="287"/>
        <v>2.5</v>
      </c>
      <c r="AF3208" s="580">
        <f t="shared" si="288"/>
        <v>2.5</v>
      </c>
      <c r="AG3208" s="580">
        <f t="shared" si="289"/>
        <v>0</v>
      </c>
      <c r="AH3208" s="580">
        <f t="shared" si="290"/>
        <v>0</v>
      </c>
    </row>
    <row r="3209" spans="28:34">
      <c r="AB3209" s="580">
        <f>HLOOKUP("*"&amp;'Output annual'!$AC$2&amp;'Output annual'!$AD$2&amp;"*Zone People Number Of Occupants [](Hourly)",'Eplus results'!$1:$1048576,ROW(),FALSE)</f>
        <v>0</v>
      </c>
      <c r="AC3209" s="580">
        <f>HLOOKUP("*"&amp;'Output annual'!$AC$2&amp;'Output annual'!$AD$2&amp;"*FangerPMV(Hourly)",'Eplus results'!$1:$1048576,ROW(),FALSE)</f>
        <v>0</v>
      </c>
      <c r="AD3209" s="580">
        <f t="shared" si="286"/>
        <v>5</v>
      </c>
      <c r="AE3209" s="580">
        <f t="shared" si="287"/>
        <v>2.5</v>
      </c>
      <c r="AF3209" s="580">
        <f t="shared" si="288"/>
        <v>2.5</v>
      </c>
      <c r="AG3209" s="580">
        <f t="shared" si="289"/>
        <v>0</v>
      </c>
      <c r="AH3209" s="580">
        <f t="shared" si="290"/>
        <v>0</v>
      </c>
    </row>
    <row r="3210" spans="28:34">
      <c r="AB3210" s="580">
        <f>HLOOKUP("*"&amp;'Output annual'!$AC$2&amp;'Output annual'!$AD$2&amp;"*Zone People Number Of Occupants [](Hourly)",'Eplus results'!$1:$1048576,ROW(),FALSE)</f>
        <v>0</v>
      </c>
      <c r="AC3210" s="580">
        <f>HLOOKUP("*"&amp;'Output annual'!$AC$2&amp;'Output annual'!$AD$2&amp;"*FangerPMV(Hourly)",'Eplus results'!$1:$1048576,ROW(),FALSE)</f>
        <v>0</v>
      </c>
      <c r="AD3210" s="580">
        <f t="shared" si="286"/>
        <v>5</v>
      </c>
      <c r="AE3210" s="580">
        <f t="shared" si="287"/>
        <v>2.5</v>
      </c>
      <c r="AF3210" s="580">
        <f t="shared" si="288"/>
        <v>2.5</v>
      </c>
      <c r="AG3210" s="580">
        <f t="shared" si="289"/>
        <v>0</v>
      </c>
      <c r="AH3210" s="580">
        <f t="shared" si="290"/>
        <v>0</v>
      </c>
    </row>
    <row r="3211" spans="28:34">
      <c r="AB3211" s="580">
        <f>HLOOKUP("*"&amp;'Output annual'!$AC$2&amp;'Output annual'!$AD$2&amp;"*Zone People Number Of Occupants [](Hourly)",'Eplus results'!$1:$1048576,ROW(),FALSE)</f>
        <v>0</v>
      </c>
      <c r="AC3211" s="580">
        <f>HLOOKUP("*"&amp;'Output annual'!$AC$2&amp;'Output annual'!$AD$2&amp;"*FangerPMV(Hourly)",'Eplus results'!$1:$1048576,ROW(),FALSE)</f>
        <v>0</v>
      </c>
      <c r="AD3211" s="580">
        <f t="shared" si="286"/>
        <v>5</v>
      </c>
      <c r="AE3211" s="580">
        <f t="shared" si="287"/>
        <v>2.5</v>
      </c>
      <c r="AF3211" s="580">
        <f t="shared" si="288"/>
        <v>2.5</v>
      </c>
      <c r="AG3211" s="580">
        <f t="shared" si="289"/>
        <v>0</v>
      </c>
      <c r="AH3211" s="580">
        <f t="shared" si="290"/>
        <v>0</v>
      </c>
    </row>
    <row r="3212" spans="28:34">
      <c r="AB3212" s="580">
        <f>HLOOKUP("*"&amp;'Output annual'!$AC$2&amp;'Output annual'!$AD$2&amp;"*Zone People Number Of Occupants [](Hourly)",'Eplus results'!$1:$1048576,ROW(),FALSE)</f>
        <v>0</v>
      </c>
      <c r="AC3212" s="580">
        <f>HLOOKUP("*"&amp;'Output annual'!$AC$2&amp;'Output annual'!$AD$2&amp;"*FangerPMV(Hourly)",'Eplus results'!$1:$1048576,ROW(),FALSE)</f>
        <v>0</v>
      </c>
      <c r="AD3212" s="580">
        <f t="shared" si="286"/>
        <v>5</v>
      </c>
      <c r="AE3212" s="580">
        <f t="shared" si="287"/>
        <v>2.5</v>
      </c>
      <c r="AF3212" s="580">
        <f t="shared" si="288"/>
        <v>2.5</v>
      </c>
      <c r="AG3212" s="580">
        <f t="shared" si="289"/>
        <v>0</v>
      </c>
      <c r="AH3212" s="580">
        <f t="shared" si="290"/>
        <v>0</v>
      </c>
    </row>
    <row r="3213" spans="28:34">
      <c r="AB3213" s="580">
        <f>HLOOKUP("*"&amp;'Output annual'!$AC$2&amp;'Output annual'!$AD$2&amp;"*Zone People Number Of Occupants [](Hourly)",'Eplus results'!$1:$1048576,ROW(),FALSE)</f>
        <v>0</v>
      </c>
      <c r="AC3213" s="580">
        <f>HLOOKUP("*"&amp;'Output annual'!$AC$2&amp;'Output annual'!$AD$2&amp;"*FangerPMV(Hourly)",'Eplus results'!$1:$1048576,ROW(),FALSE)</f>
        <v>0</v>
      </c>
      <c r="AD3213" s="580">
        <f t="shared" si="286"/>
        <v>5</v>
      </c>
      <c r="AE3213" s="580">
        <f t="shared" si="287"/>
        <v>2.5</v>
      </c>
      <c r="AF3213" s="580">
        <f t="shared" si="288"/>
        <v>2.5</v>
      </c>
      <c r="AG3213" s="580">
        <f t="shared" si="289"/>
        <v>0</v>
      </c>
      <c r="AH3213" s="580">
        <f t="shared" si="290"/>
        <v>0</v>
      </c>
    </row>
    <row r="3214" spans="28:34">
      <c r="AB3214" s="580">
        <f>HLOOKUP("*"&amp;'Output annual'!$AC$2&amp;'Output annual'!$AD$2&amp;"*Zone People Number Of Occupants [](Hourly)",'Eplus results'!$1:$1048576,ROW(),FALSE)</f>
        <v>0</v>
      </c>
      <c r="AC3214" s="580">
        <f>HLOOKUP("*"&amp;'Output annual'!$AC$2&amp;'Output annual'!$AD$2&amp;"*FangerPMV(Hourly)",'Eplus results'!$1:$1048576,ROW(),FALSE)</f>
        <v>0</v>
      </c>
      <c r="AD3214" s="580">
        <f t="shared" si="286"/>
        <v>5</v>
      </c>
      <c r="AE3214" s="580">
        <f t="shared" si="287"/>
        <v>2.5</v>
      </c>
      <c r="AF3214" s="580">
        <f t="shared" si="288"/>
        <v>2.5</v>
      </c>
      <c r="AG3214" s="580">
        <f t="shared" si="289"/>
        <v>0</v>
      </c>
      <c r="AH3214" s="580">
        <f t="shared" si="290"/>
        <v>0</v>
      </c>
    </row>
    <row r="3215" spans="28:34">
      <c r="AB3215" s="580">
        <f>HLOOKUP("*"&amp;'Output annual'!$AC$2&amp;'Output annual'!$AD$2&amp;"*Zone People Number Of Occupants [](Hourly)",'Eplus results'!$1:$1048576,ROW(),FALSE)</f>
        <v>0</v>
      </c>
      <c r="AC3215" s="580">
        <f>HLOOKUP("*"&amp;'Output annual'!$AC$2&amp;'Output annual'!$AD$2&amp;"*FangerPMV(Hourly)",'Eplus results'!$1:$1048576,ROW(),FALSE)</f>
        <v>0</v>
      </c>
      <c r="AD3215" s="580">
        <f t="shared" si="286"/>
        <v>5</v>
      </c>
      <c r="AE3215" s="580">
        <f t="shared" si="287"/>
        <v>2.5</v>
      </c>
      <c r="AF3215" s="580">
        <f t="shared" si="288"/>
        <v>2.5</v>
      </c>
      <c r="AG3215" s="580">
        <f t="shared" si="289"/>
        <v>0</v>
      </c>
      <c r="AH3215" s="580">
        <f t="shared" si="290"/>
        <v>0</v>
      </c>
    </row>
    <row r="3216" spans="28:34">
      <c r="AB3216" s="580">
        <f>HLOOKUP("*"&amp;'Output annual'!$AC$2&amp;'Output annual'!$AD$2&amp;"*Zone People Number Of Occupants [](Hourly)",'Eplus results'!$1:$1048576,ROW(),FALSE)</f>
        <v>0</v>
      </c>
      <c r="AC3216" s="580">
        <f>HLOOKUP("*"&amp;'Output annual'!$AC$2&amp;'Output annual'!$AD$2&amp;"*FangerPMV(Hourly)",'Eplus results'!$1:$1048576,ROW(),FALSE)</f>
        <v>0</v>
      </c>
      <c r="AD3216" s="580">
        <f t="shared" si="286"/>
        <v>5</v>
      </c>
      <c r="AE3216" s="580">
        <f t="shared" si="287"/>
        <v>2.5</v>
      </c>
      <c r="AF3216" s="580">
        <f t="shared" si="288"/>
        <v>2.5</v>
      </c>
      <c r="AG3216" s="580">
        <f t="shared" si="289"/>
        <v>0</v>
      </c>
      <c r="AH3216" s="580">
        <f t="shared" si="290"/>
        <v>0</v>
      </c>
    </row>
    <row r="3217" spans="28:34">
      <c r="AB3217" s="580">
        <f>HLOOKUP("*"&amp;'Output annual'!$AC$2&amp;'Output annual'!$AD$2&amp;"*Zone People Number Of Occupants [](Hourly)",'Eplus results'!$1:$1048576,ROW(),FALSE)</f>
        <v>0</v>
      </c>
      <c r="AC3217" s="580">
        <f>HLOOKUP("*"&amp;'Output annual'!$AC$2&amp;'Output annual'!$AD$2&amp;"*FangerPMV(Hourly)",'Eplus results'!$1:$1048576,ROW(),FALSE)</f>
        <v>0</v>
      </c>
      <c r="AD3217" s="580">
        <f t="shared" si="286"/>
        <v>5</v>
      </c>
      <c r="AE3217" s="580">
        <f t="shared" si="287"/>
        <v>2.5</v>
      </c>
      <c r="AF3217" s="580">
        <f t="shared" si="288"/>
        <v>2.5</v>
      </c>
      <c r="AG3217" s="580">
        <f t="shared" si="289"/>
        <v>0</v>
      </c>
      <c r="AH3217" s="580">
        <f t="shared" si="290"/>
        <v>0</v>
      </c>
    </row>
    <row r="3218" spans="28:34">
      <c r="AB3218" s="580">
        <f>HLOOKUP("*"&amp;'Output annual'!$AC$2&amp;'Output annual'!$AD$2&amp;"*Zone People Number Of Occupants [](Hourly)",'Eplus results'!$1:$1048576,ROW(),FALSE)</f>
        <v>0</v>
      </c>
      <c r="AC3218" s="580">
        <f>HLOOKUP("*"&amp;'Output annual'!$AC$2&amp;'Output annual'!$AD$2&amp;"*FangerPMV(Hourly)",'Eplus results'!$1:$1048576,ROW(),FALSE)</f>
        <v>0</v>
      </c>
      <c r="AD3218" s="580">
        <f t="shared" si="286"/>
        <v>5</v>
      </c>
      <c r="AE3218" s="580">
        <f t="shared" si="287"/>
        <v>2.5</v>
      </c>
      <c r="AF3218" s="580">
        <f t="shared" si="288"/>
        <v>2.5</v>
      </c>
      <c r="AG3218" s="580">
        <f t="shared" si="289"/>
        <v>0</v>
      </c>
      <c r="AH3218" s="580">
        <f t="shared" si="290"/>
        <v>0</v>
      </c>
    </row>
    <row r="3219" spans="28:34">
      <c r="AB3219" s="580">
        <f>HLOOKUP("*"&amp;'Output annual'!$AC$2&amp;'Output annual'!$AD$2&amp;"*Zone People Number Of Occupants [](Hourly)",'Eplus results'!$1:$1048576,ROW(),FALSE)</f>
        <v>0</v>
      </c>
      <c r="AC3219" s="580">
        <f>HLOOKUP("*"&amp;'Output annual'!$AC$2&amp;'Output annual'!$AD$2&amp;"*FangerPMV(Hourly)",'Eplus results'!$1:$1048576,ROW(),FALSE)</f>
        <v>0</v>
      </c>
      <c r="AD3219" s="580">
        <f t="shared" si="286"/>
        <v>5</v>
      </c>
      <c r="AE3219" s="580">
        <f t="shared" si="287"/>
        <v>2.5</v>
      </c>
      <c r="AF3219" s="580">
        <f t="shared" si="288"/>
        <v>2.5</v>
      </c>
      <c r="AG3219" s="580">
        <f t="shared" si="289"/>
        <v>0</v>
      </c>
      <c r="AH3219" s="580">
        <f t="shared" si="290"/>
        <v>0</v>
      </c>
    </row>
    <row r="3220" spans="28:34">
      <c r="AB3220" s="580">
        <f>HLOOKUP("*"&amp;'Output annual'!$AC$2&amp;'Output annual'!$AD$2&amp;"*Zone People Number Of Occupants [](Hourly)",'Eplus results'!$1:$1048576,ROW(),FALSE)</f>
        <v>0</v>
      </c>
      <c r="AC3220" s="580">
        <f>HLOOKUP("*"&amp;'Output annual'!$AC$2&amp;'Output annual'!$AD$2&amp;"*FangerPMV(Hourly)",'Eplus results'!$1:$1048576,ROW(),FALSE)</f>
        <v>0</v>
      </c>
      <c r="AD3220" s="580">
        <f t="shared" si="286"/>
        <v>5</v>
      </c>
      <c r="AE3220" s="580">
        <f t="shared" si="287"/>
        <v>2.5</v>
      </c>
      <c r="AF3220" s="580">
        <f t="shared" si="288"/>
        <v>2.5</v>
      </c>
      <c r="AG3220" s="580">
        <f t="shared" si="289"/>
        <v>0</v>
      </c>
      <c r="AH3220" s="580">
        <f t="shared" si="290"/>
        <v>0</v>
      </c>
    </row>
    <row r="3221" spans="28:34">
      <c r="AB3221" s="580">
        <f>HLOOKUP("*"&amp;'Output annual'!$AC$2&amp;'Output annual'!$AD$2&amp;"*Zone People Number Of Occupants [](Hourly)",'Eplus results'!$1:$1048576,ROW(),FALSE)</f>
        <v>0</v>
      </c>
      <c r="AC3221" s="580">
        <f>HLOOKUP("*"&amp;'Output annual'!$AC$2&amp;'Output annual'!$AD$2&amp;"*FangerPMV(Hourly)",'Eplus results'!$1:$1048576,ROW(),FALSE)</f>
        <v>0</v>
      </c>
      <c r="AD3221" s="580">
        <f t="shared" si="286"/>
        <v>5</v>
      </c>
      <c r="AE3221" s="580">
        <f t="shared" si="287"/>
        <v>2.5</v>
      </c>
      <c r="AF3221" s="580">
        <f t="shared" si="288"/>
        <v>2.5</v>
      </c>
      <c r="AG3221" s="580">
        <f t="shared" si="289"/>
        <v>0</v>
      </c>
      <c r="AH3221" s="580">
        <f t="shared" si="290"/>
        <v>0</v>
      </c>
    </row>
    <row r="3222" spans="28:34">
      <c r="AB3222" s="580">
        <f>HLOOKUP("*"&amp;'Output annual'!$AC$2&amp;'Output annual'!$AD$2&amp;"*Zone People Number Of Occupants [](Hourly)",'Eplus results'!$1:$1048576,ROW(),FALSE)</f>
        <v>0</v>
      </c>
      <c r="AC3222" s="580">
        <f>HLOOKUP("*"&amp;'Output annual'!$AC$2&amp;'Output annual'!$AD$2&amp;"*FangerPMV(Hourly)",'Eplus results'!$1:$1048576,ROW(),FALSE)</f>
        <v>0</v>
      </c>
      <c r="AD3222" s="580">
        <f t="shared" si="286"/>
        <v>5</v>
      </c>
      <c r="AE3222" s="580">
        <f t="shared" si="287"/>
        <v>2.5</v>
      </c>
      <c r="AF3222" s="580">
        <f t="shared" si="288"/>
        <v>2.5</v>
      </c>
      <c r="AG3222" s="580">
        <f t="shared" si="289"/>
        <v>0</v>
      </c>
      <c r="AH3222" s="580">
        <f t="shared" si="290"/>
        <v>0</v>
      </c>
    </row>
    <row r="3223" spans="28:34">
      <c r="AB3223" s="580">
        <f>HLOOKUP("*"&amp;'Output annual'!$AC$2&amp;'Output annual'!$AD$2&amp;"*Zone People Number Of Occupants [](Hourly)",'Eplus results'!$1:$1048576,ROW(),FALSE)</f>
        <v>0</v>
      </c>
      <c r="AC3223" s="580">
        <f>HLOOKUP("*"&amp;'Output annual'!$AC$2&amp;'Output annual'!$AD$2&amp;"*FangerPMV(Hourly)",'Eplus results'!$1:$1048576,ROW(),FALSE)</f>
        <v>0</v>
      </c>
      <c r="AD3223" s="580">
        <f t="shared" si="286"/>
        <v>5</v>
      </c>
      <c r="AE3223" s="580">
        <f t="shared" si="287"/>
        <v>2.5</v>
      </c>
      <c r="AF3223" s="580">
        <f t="shared" si="288"/>
        <v>2.5</v>
      </c>
      <c r="AG3223" s="580">
        <f t="shared" si="289"/>
        <v>0</v>
      </c>
      <c r="AH3223" s="580">
        <f t="shared" si="290"/>
        <v>0</v>
      </c>
    </row>
    <row r="3224" spans="28:34">
      <c r="AB3224" s="580">
        <f>HLOOKUP("*"&amp;'Output annual'!$AC$2&amp;'Output annual'!$AD$2&amp;"*Zone People Number Of Occupants [](Hourly)",'Eplus results'!$1:$1048576,ROW(),FALSE)</f>
        <v>0</v>
      </c>
      <c r="AC3224" s="580">
        <f>HLOOKUP("*"&amp;'Output annual'!$AC$2&amp;'Output annual'!$AD$2&amp;"*FangerPMV(Hourly)",'Eplus results'!$1:$1048576,ROW(),FALSE)</f>
        <v>0</v>
      </c>
      <c r="AD3224" s="580">
        <f t="shared" si="286"/>
        <v>5</v>
      </c>
      <c r="AE3224" s="580">
        <f t="shared" si="287"/>
        <v>2.5</v>
      </c>
      <c r="AF3224" s="580">
        <f t="shared" si="288"/>
        <v>2.5</v>
      </c>
      <c r="AG3224" s="580">
        <f t="shared" si="289"/>
        <v>0</v>
      </c>
      <c r="AH3224" s="580">
        <f t="shared" si="290"/>
        <v>0</v>
      </c>
    </row>
    <row r="3225" spans="28:34">
      <c r="AB3225" s="580">
        <f>HLOOKUP("*"&amp;'Output annual'!$AC$2&amp;'Output annual'!$AD$2&amp;"*Zone People Number Of Occupants [](Hourly)",'Eplus results'!$1:$1048576,ROW(),FALSE)</f>
        <v>0</v>
      </c>
      <c r="AC3225" s="580">
        <f>HLOOKUP("*"&amp;'Output annual'!$AC$2&amp;'Output annual'!$AD$2&amp;"*FangerPMV(Hourly)",'Eplus results'!$1:$1048576,ROW(),FALSE)</f>
        <v>0</v>
      </c>
      <c r="AD3225" s="580">
        <f t="shared" si="286"/>
        <v>5</v>
      </c>
      <c r="AE3225" s="580">
        <f t="shared" si="287"/>
        <v>2.5</v>
      </c>
      <c r="AF3225" s="580">
        <f t="shared" si="288"/>
        <v>2.5</v>
      </c>
      <c r="AG3225" s="580">
        <f t="shared" si="289"/>
        <v>0</v>
      </c>
      <c r="AH3225" s="580">
        <f t="shared" si="290"/>
        <v>0</v>
      </c>
    </row>
    <row r="3226" spans="28:34">
      <c r="AB3226" s="580">
        <f>HLOOKUP("*"&amp;'Output annual'!$AC$2&amp;'Output annual'!$AD$2&amp;"*Zone People Number Of Occupants [](Hourly)",'Eplus results'!$1:$1048576,ROW(),FALSE)</f>
        <v>0</v>
      </c>
      <c r="AC3226" s="580">
        <f>HLOOKUP("*"&amp;'Output annual'!$AC$2&amp;'Output annual'!$AD$2&amp;"*FangerPMV(Hourly)",'Eplus results'!$1:$1048576,ROW(),FALSE)</f>
        <v>0</v>
      </c>
      <c r="AD3226" s="580">
        <f t="shared" si="286"/>
        <v>5</v>
      </c>
      <c r="AE3226" s="580">
        <f t="shared" si="287"/>
        <v>2.5</v>
      </c>
      <c r="AF3226" s="580">
        <f t="shared" si="288"/>
        <v>2.5</v>
      </c>
      <c r="AG3226" s="580">
        <f t="shared" si="289"/>
        <v>0</v>
      </c>
      <c r="AH3226" s="580">
        <f t="shared" si="290"/>
        <v>0</v>
      </c>
    </row>
    <row r="3227" spans="28:34">
      <c r="AB3227" s="580">
        <f>HLOOKUP("*"&amp;'Output annual'!$AC$2&amp;'Output annual'!$AD$2&amp;"*Zone People Number Of Occupants [](Hourly)",'Eplus results'!$1:$1048576,ROW(),FALSE)</f>
        <v>0</v>
      </c>
      <c r="AC3227" s="580">
        <f>HLOOKUP("*"&amp;'Output annual'!$AC$2&amp;'Output annual'!$AD$2&amp;"*FangerPMV(Hourly)",'Eplus results'!$1:$1048576,ROW(),FALSE)</f>
        <v>0</v>
      </c>
      <c r="AD3227" s="580">
        <f t="shared" si="286"/>
        <v>5</v>
      </c>
      <c r="AE3227" s="580">
        <f t="shared" si="287"/>
        <v>2.5</v>
      </c>
      <c r="AF3227" s="580">
        <f t="shared" si="288"/>
        <v>2.5</v>
      </c>
      <c r="AG3227" s="580">
        <f t="shared" si="289"/>
        <v>0</v>
      </c>
      <c r="AH3227" s="580">
        <f t="shared" si="290"/>
        <v>0</v>
      </c>
    </row>
    <row r="3228" spans="28:34">
      <c r="AB3228" s="580">
        <f>HLOOKUP("*"&amp;'Output annual'!$AC$2&amp;'Output annual'!$AD$2&amp;"*Zone People Number Of Occupants [](Hourly)",'Eplus results'!$1:$1048576,ROW(),FALSE)</f>
        <v>0</v>
      </c>
      <c r="AC3228" s="580">
        <f>HLOOKUP("*"&amp;'Output annual'!$AC$2&amp;'Output annual'!$AD$2&amp;"*FangerPMV(Hourly)",'Eplus results'!$1:$1048576,ROW(),FALSE)</f>
        <v>0</v>
      </c>
      <c r="AD3228" s="580">
        <f t="shared" si="286"/>
        <v>5</v>
      </c>
      <c r="AE3228" s="580">
        <f t="shared" si="287"/>
        <v>2.5</v>
      </c>
      <c r="AF3228" s="580">
        <f t="shared" si="288"/>
        <v>2.5</v>
      </c>
      <c r="AG3228" s="580">
        <f t="shared" si="289"/>
        <v>0</v>
      </c>
      <c r="AH3228" s="580">
        <f t="shared" si="290"/>
        <v>0</v>
      </c>
    </row>
    <row r="3229" spans="28:34">
      <c r="AB3229" s="580">
        <f>HLOOKUP("*"&amp;'Output annual'!$AC$2&amp;'Output annual'!$AD$2&amp;"*Zone People Number Of Occupants [](Hourly)",'Eplus results'!$1:$1048576,ROW(),FALSE)</f>
        <v>0</v>
      </c>
      <c r="AC3229" s="580">
        <f>HLOOKUP("*"&amp;'Output annual'!$AC$2&amp;'Output annual'!$AD$2&amp;"*FangerPMV(Hourly)",'Eplus results'!$1:$1048576,ROW(),FALSE)</f>
        <v>0</v>
      </c>
      <c r="AD3229" s="580">
        <f t="shared" si="286"/>
        <v>5</v>
      </c>
      <c r="AE3229" s="580">
        <f t="shared" si="287"/>
        <v>2.5</v>
      </c>
      <c r="AF3229" s="580">
        <f t="shared" si="288"/>
        <v>2.5</v>
      </c>
      <c r="AG3229" s="580">
        <f t="shared" si="289"/>
        <v>0</v>
      </c>
      <c r="AH3229" s="580">
        <f t="shared" si="290"/>
        <v>0</v>
      </c>
    </row>
    <row r="3230" spans="28:34">
      <c r="AB3230" s="580">
        <f>HLOOKUP("*"&amp;'Output annual'!$AC$2&amp;'Output annual'!$AD$2&amp;"*Zone People Number Of Occupants [](Hourly)",'Eplus results'!$1:$1048576,ROW(),FALSE)</f>
        <v>0</v>
      </c>
      <c r="AC3230" s="580">
        <f>HLOOKUP("*"&amp;'Output annual'!$AC$2&amp;'Output annual'!$AD$2&amp;"*FangerPMV(Hourly)",'Eplus results'!$1:$1048576,ROW(),FALSE)</f>
        <v>0</v>
      </c>
      <c r="AD3230" s="580">
        <f t="shared" si="286"/>
        <v>5</v>
      </c>
      <c r="AE3230" s="580">
        <f t="shared" si="287"/>
        <v>2.5</v>
      </c>
      <c r="AF3230" s="580">
        <f t="shared" si="288"/>
        <v>2.5</v>
      </c>
      <c r="AG3230" s="580">
        <f t="shared" si="289"/>
        <v>0</v>
      </c>
      <c r="AH3230" s="580">
        <f t="shared" si="290"/>
        <v>0</v>
      </c>
    </row>
    <row r="3231" spans="28:34">
      <c r="AB3231" s="580">
        <f>HLOOKUP("*"&amp;'Output annual'!$AC$2&amp;'Output annual'!$AD$2&amp;"*Zone People Number Of Occupants [](Hourly)",'Eplus results'!$1:$1048576,ROW(),FALSE)</f>
        <v>0</v>
      </c>
      <c r="AC3231" s="580">
        <f>HLOOKUP("*"&amp;'Output annual'!$AC$2&amp;'Output annual'!$AD$2&amp;"*FangerPMV(Hourly)",'Eplus results'!$1:$1048576,ROW(),FALSE)</f>
        <v>0</v>
      </c>
      <c r="AD3231" s="580">
        <f t="shared" si="286"/>
        <v>5</v>
      </c>
      <c r="AE3231" s="580">
        <f t="shared" si="287"/>
        <v>2.5</v>
      </c>
      <c r="AF3231" s="580">
        <f t="shared" si="288"/>
        <v>2.5</v>
      </c>
      <c r="AG3231" s="580">
        <f t="shared" si="289"/>
        <v>0</v>
      </c>
      <c r="AH3231" s="580">
        <f t="shared" si="290"/>
        <v>0</v>
      </c>
    </row>
    <row r="3232" spans="28:34">
      <c r="AB3232" s="580">
        <f>HLOOKUP("*"&amp;'Output annual'!$AC$2&amp;'Output annual'!$AD$2&amp;"*Zone People Number Of Occupants [](Hourly)",'Eplus results'!$1:$1048576,ROW(),FALSE)</f>
        <v>0</v>
      </c>
      <c r="AC3232" s="580">
        <f>HLOOKUP("*"&amp;'Output annual'!$AC$2&amp;'Output annual'!$AD$2&amp;"*FangerPMV(Hourly)",'Eplus results'!$1:$1048576,ROW(),FALSE)</f>
        <v>0</v>
      </c>
      <c r="AD3232" s="580">
        <f t="shared" si="286"/>
        <v>5</v>
      </c>
      <c r="AE3232" s="580">
        <f t="shared" si="287"/>
        <v>2.5</v>
      </c>
      <c r="AF3232" s="580">
        <f t="shared" si="288"/>
        <v>2.5</v>
      </c>
      <c r="AG3232" s="580">
        <f t="shared" si="289"/>
        <v>0</v>
      </c>
      <c r="AH3232" s="580">
        <f t="shared" si="290"/>
        <v>0</v>
      </c>
    </row>
    <row r="3233" spans="28:34">
      <c r="AB3233" s="580">
        <f>HLOOKUP("*"&amp;'Output annual'!$AC$2&amp;'Output annual'!$AD$2&amp;"*Zone People Number Of Occupants [](Hourly)",'Eplus results'!$1:$1048576,ROW(),FALSE)</f>
        <v>0</v>
      </c>
      <c r="AC3233" s="580">
        <f>HLOOKUP("*"&amp;'Output annual'!$AC$2&amp;'Output annual'!$AD$2&amp;"*FangerPMV(Hourly)",'Eplus results'!$1:$1048576,ROW(),FALSE)</f>
        <v>0</v>
      </c>
      <c r="AD3233" s="580">
        <f t="shared" si="286"/>
        <v>5</v>
      </c>
      <c r="AE3233" s="580">
        <f t="shared" si="287"/>
        <v>2.5</v>
      </c>
      <c r="AF3233" s="580">
        <f t="shared" si="288"/>
        <v>2.5</v>
      </c>
      <c r="AG3233" s="580">
        <f t="shared" si="289"/>
        <v>0</v>
      </c>
      <c r="AH3233" s="580">
        <f t="shared" si="290"/>
        <v>0</v>
      </c>
    </row>
    <row r="3234" spans="28:34">
      <c r="AB3234" s="580">
        <f>HLOOKUP("*"&amp;'Output annual'!$AC$2&amp;'Output annual'!$AD$2&amp;"*Zone People Number Of Occupants [](Hourly)",'Eplus results'!$1:$1048576,ROW(),FALSE)</f>
        <v>0</v>
      </c>
      <c r="AC3234" s="580">
        <f>HLOOKUP("*"&amp;'Output annual'!$AC$2&amp;'Output annual'!$AD$2&amp;"*FangerPMV(Hourly)",'Eplus results'!$1:$1048576,ROW(),FALSE)</f>
        <v>0</v>
      </c>
      <c r="AD3234" s="580">
        <f t="shared" si="286"/>
        <v>5</v>
      </c>
      <c r="AE3234" s="580">
        <f t="shared" si="287"/>
        <v>2.5</v>
      </c>
      <c r="AF3234" s="580">
        <f t="shared" si="288"/>
        <v>2.5</v>
      </c>
      <c r="AG3234" s="580">
        <f t="shared" si="289"/>
        <v>0</v>
      </c>
      <c r="AH3234" s="580">
        <f t="shared" si="290"/>
        <v>0</v>
      </c>
    </row>
    <row r="3235" spans="28:34">
      <c r="AB3235" s="580">
        <f>HLOOKUP("*"&amp;'Output annual'!$AC$2&amp;'Output annual'!$AD$2&amp;"*Zone People Number Of Occupants [](Hourly)",'Eplus results'!$1:$1048576,ROW(),FALSE)</f>
        <v>0</v>
      </c>
      <c r="AC3235" s="580">
        <f>HLOOKUP("*"&amp;'Output annual'!$AC$2&amp;'Output annual'!$AD$2&amp;"*FangerPMV(Hourly)",'Eplus results'!$1:$1048576,ROW(),FALSE)</f>
        <v>0</v>
      </c>
      <c r="AD3235" s="580">
        <f t="shared" si="286"/>
        <v>5</v>
      </c>
      <c r="AE3235" s="580">
        <f t="shared" si="287"/>
        <v>2.5</v>
      </c>
      <c r="AF3235" s="580">
        <f t="shared" si="288"/>
        <v>2.5</v>
      </c>
      <c r="AG3235" s="580">
        <f t="shared" si="289"/>
        <v>0</v>
      </c>
      <c r="AH3235" s="580">
        <f t="shared" si="290"/>
        <v>0</v>
      </c>
    </row>
    <row r="3236" spans="28:34">
      <c r="AB3236" s="580">
        <f>HLOOKUP("*"&amp;'Output annual'!$AC$2&amp;'Output annual'!$AD$2&amp;"*Zone People Number Of Occupants [](Hourly)",'Eplus results'!$1:$1048576,ROW(),FALSE)</f>
        <v>0</v>
      </c>
      <c r="AC3236" s="580">
        <f>HLOOKUP("*"&amp;'Output annual'!$AC$2&amp;'Output annual'!$AD$2&amp;"*FangerPMV(Hourly)",'Eplus results'!$1:$1048576,ROW(),FALSE)</f>
        <v>0</v>
      </c>
      <c r="AD3236" s="580">
        <f t="shared" si="286"/>
        <v>5</v>
      </c>
      <c r="AE3236" s="580">
        <f t="shared" si="287"/>
        <v>2.5</v>
      </c>
      <c r="AF3236" s="580">
        <f t="shared" si="288"/>
        <v>2.5</v>
      </c>
      <c r="AG3236" s="580">
        <f t="shared" si="289"/>
        <v>0</v>
      </c>
      <c r="AH3236" s="580">
        <f t="shared" si="290"/>
        <v>0</v>
      </c>
    </row>
    <row r="3237" spans="28:34">
      <c r="AB3237" s="580">
        <f>HLOOKUP("*"&amp;'Output annual'!$AC$2&amp;'Output annual'!$AD$2&amp;"*Zone People Number Of Occupants [](Hourly)",'Eplus results'!$1:$1048576,ROW(),FALSE)</f>
        <v>0</v>
      </c>
      <c r="AC3237" s="580">
        <f>HLOOKUP("*"&amp;'Output annual'!$AC$2&amp;'Output annual'!$AD$2&amp;"*FangerPMV(Hourly)",'Eplus results'!$1:$1048576,ROW(),FALSE)</f>
        <v>0</v>
      </c>
      <c r="AD3237" s="580">
        <f t="shared" si="286"/>
        <v>5</v>
      </c>
      <c r="AE3237" s="580">
        <f t="shared" si="287"/>
        <v>2.5</v>
      </c>
      <c r="AF3237" s="580">
        <f t="shared" si="288"/>
        <v>2.5</v>
      </c>
      <c r="AG3237" s="580">
        <f t="shared" si="289"/>
        <v>0</v>
      </c>
      <c r="AH3237" s="580">
        <f t="shared" si="290"/>
        <v>0</v>
      </c>
    </row>
    <row r="3238" spans="28:34">
      <c r="AB3238" s="580">
        <f>HLOOKUP("*"&amp;'Output annual'!$AC$2&amp;'Output annual'!$AD$2&amp;"*Zone People Number Of Occupants [](Hourly)",'Eplus results'!$1:$1048576,ROW(),FALSE)</f>
        <v>0</v>
      </c>
      <c r="AC3238" s="580">
        <f>HLOOKUP("*"&amp;'Output annual'!$AC$2&amp;'Output annual'!$AD$2&amp;"*FangerPMV(Hourly)",'Eplus results'!$1:$1048576,ROW(),FALSE)</f>
        <v>0</v>
      </c>
      <c r="AD3238" s="580">
        <f t="shared" si="286"/>
        <v>5</v>
      </c>
      <c r="AE3238" s="580">
        <f t="shared" si="287"/>
        <v>2.5</v>
      </c>
      <c r="AF3238" s="580">
        <f t="shared" si="288"/>
        <v>2.5</v>
      </c>
      <c r="AG3238" s="580">
        <f t="shared" si="289"/>
        <v>0</v>
      </c>
      <c r="AH3238" s="580">
        <f t="shared" si="290"/>
        <v>0</v>
      </c>
    </row>
    <row r="3239" spans="28:34">
      <c r="AB3239" s="580">
        <f>HLOOKUP("*"&amp;'Output annual'!$AC$2&amp;'Output annual'!$AD$2&amp;"*Zone People Number Of Occupants [](Hourly)",'Eplus results'!$1:$1048576,ROW(),FALSE)</f>
        <v>0</v>
      </c>
      <c r="AC3239" s="580">
        <f>HLOOKUP("*"&amp;'Output annual'!$AC$2&amp;'Output annual'!$AD$2&amp;"*FangerPMV(Hourly)",'Eplus results'!$1:$1048576,ROW(),FALSE)</f>
        <v>0</v>
      </c>
      <c r="AD3239" s="580">
        <f t="shared" si="286"/>
        <v>5</v>
      </c>
      <c r="AE3239" s="580">
        <f t="shared" si="287"/>
        <v>2.5</v>
      </c>
      <c r="AF3239" s="580">
        <f t="shared" si="288"/>
        <v>2.5</v>
      </c>
      <c r="AG3239" s="580">
        <f t="shared" si="289"/>
        <v>0</v>
      </c>
      <c r="AH3239" s="580">
        <f t="shared" si="290"/>
        <v>0</v>
      </c>
    </row>
    <row r="3240" spans="28:34">
      <c r="AB3240" s="580">
        <f>HLOOKUP("*"&amp;'Output annual'!$AC$2&amp;'Output annual'!$AD$2&amp;"*Zone People Number Of Occupants [](Hourly)",'Eplus results'!$1:$1048576,ROW(),FALSE)</f>
        <v>0</v>
      </c>
      <c r="AC3240" s="580">
        <f>HLOOKUP("*"&amp;'Output annual'!$AC$2&amp;'Output annual'!$AD$2&amp;"*FangerPMV(Hourly)",'Eplus results'!$1:$1048576,ROW(),FALSE)</f>
        <v>0</v>
      </c>
      <c r="AD3240" s="580">
        <f t="shared" si="286"/>
        <v>5</v>
      </c>
      <c r="AE3240" s="580">
        <f t="shared" si="287"/>
        <v>2.5</v>
      </c>
      <c r="AF3240" s="580">
        <f t="shared" si="288"/>
        <v>2.5</v>
      </c>
      <c r="AG3240" s="580">
        <f t="shared" si="289"/>
        <v>0</v>
      </c>
      <c r="AH3240" s="580">
        <f t="shared" si="290"/>
        <v>0</v>
      </c>
    </row>
    <row r="3241" spans="28:34">
      <c r="AB3241" s="580">
        <f>HLOOKUP("*"&amp;'Output annual'!$AC$2&amp;'Output annual'!$AD$2&amp;"*Zone People Number Of Occupants [](Hourly)",'Eplus results'!$1:$1048576,ROW(),FALSE)</f>
        <v>0</v>
      </c>
      <c r="AC3241" s="580">
        <f>HLOOKUP("*"&amp;'Output annual'!$AC$2&amp;'Output annual'!$AD$2&amp;"*FangerPMV(Hourly)",'Eplus results'!$1:$1048576,ROW(),FALSE)</f>
        <v>0</v>
      </c>
      <c r="AD3241" s="580">
        <f t="shared" si="286"/>
        <v>5</v>
      </c>
      <c r="AE3241" s="580">
        <f t="shared" si="287"/>
        <v>2.5</v>
      </c>
      <c r="AF3241" s="580">
        <f t="shared" si="288"/>
        <v>2.5</v>
      </c>
      <c r="AG3241" s="580">
        <f t="shared" si="289"/>
        <v>0</v>
      </c>
      <c r="AH3241" s="580">
        <f t="shared" si="290"/>
        <v>0</v>
      </c>
    </row>
    <row r="3242" spans="28:34">
      <c r="AB3242" s="580">
        <f>HLOOKUP("*"&amp;'Output annual'!$AC$2&amp;'Output annual'!$AD$2&amp;"*Zone People Number Of Occupants [](Hourly)",'Eplus results'!$1:$1048576,ROW(),FALSE)</f>
        <v>0</v>
      </c>
      <c r="AC3242" s="580">
        <f>HLOOKUP("*"&amp;'Output annual'!$AC$2&amp;'Output annual'!$AD$2&amp;"*FangerPMV(Hourly)",'Eplus results'!$1:$1048576,ROW(),FALSE)</f>
        <v>0</v>
      </c>
      <c r="AD3242" s="580">
        <f t="shared" si="286"/>
        <v>5</v>
      </c>
      <c r="AE3242" s="580">
        <f t="shared" si="287"/>
        <v>2.5</v>
      </c>
      <c r="AF3242" s="580">
        <f t="shared" si="288"/>
        <v>2.5</v>
      </c>
      <c r="AG3242" s="580">
        <f t="shared" si="289"/>
        <v>0</v>
      </c>
      <c r="AH3242" s="580">
        <f t="shared" si="290"/>
        <v>0</v>
      </c>
    </row>
    <row r="3243" spans="28:34">
      <c r="AB3243" s="580">
        <f>HLOOKUP("*"&amp;'Output annual'!$AC$2&amp;'Output annual'!$AD$2&amp;"*Zone People Number Of Occupants [](Hourly)",'Eplus results'!$1:$1048576,ROW(),FALSE)</f>
        <v>0</v>
      </c>
      <c r="AC3243" s="580">
        <f>HLOOKUP("*"&amp;'Output annual'!$AC$2&amp;'Output annual'!$AD$2&amp;"*FangerPMV(Hourly)",'Eplus results'!$1:$1048576,ROW(),FALSE)</f>
        <v>0</v>
      </c>
      <c r="AD3243" s="580">
        <f t="shared" si="286"/>
        <v>5</v>
      </c>
      <c r="AE3243" s="580">
        <f t="shared" si="287"/>
        <v>2.5</v>
      </c>
      <c r="AF3243" s="580">
        <f t="shared" si="288"/>
        <v>2.5</v>
      </c>
      <c r="AG3243" s="580">
        <f t="shared" si="289"/>
        <v>0</v>
      </c>
      <c r="AH3243" s="580">
        <f t="shared" si="290"/>
        <v>0</v>
      </c>
    </row>
    <row r="3244" spans="28:34">
      <c r="AB3244" s="580">
        <f>HLOOKUP("*"&amp;'Output annual'!$AC$2&amp;'Output annual'!$AD$2&amp;"*Zone People Number Of Occupants [](Hourly)",'Eplus results'!$1:$1048576,ROW(),FALSE)</f>
        <v>0</v>
      </c>
      <c r="AC3244" s="580">
        <f>HLOOKUP("*"&amp;'Output annual'!$AC$2&amp;'Output annual'!$AD$2&amp;"*FangerPMV(Hourly)",'Eplus results'!$1:$1048576,ROW(),FALSE)</f>
        <v>0</v>
      </c>
      <c r="AD3244" s="580">
        <f t="shared" si="286"/>
        <v>5</v>
      </c>
      <c r="AE3244" s="580">
        <f t="shared" si="287"/>
        <v>2.5</v>
      </c>
      <c r="AF3244" s="580">
        <f t="shared" si="288"/>
        <v>2.5</v>
      </c>
      <c r="AG3244" s="580">
        <f t="shared" si="289"/>
        <v>0</v>
      </c>
      <c r="AH3244" s="580">
        <f t="shared" si="290"/>
        <v>0</v>
      </c>
    </row>
    <row r="3245" spans="28:34">
      <c r="AB3245" s="580">
        <f>HLOOKUP("*"&amp;'Output annual'!$AC$2&amp;'Output annual'!$AD$2&amp;"*Zone People Number Of Occupants [](Hourly)",'Eplus results'!$1:$1048576,ROW(),FALSE)</f>
        <v>0</v>
      </c>
      <c r="AC3245" s="580">
        <f>HLOOKUP("*"&amp;'Output annual'!$AC$2&amp;'Output annual'!$AD$2&amp;"*FangerPMV(Hourly)",'Eplus results'!$1:$1048576,ROW(),FALSE)</f>
        <v>0</v>
      </c>
      <c r="AD3245" s="580">
        <f t="shared" si="286"/>
        <v>5</v>
      </c>
      <c r="AE3245" s="580">
        <f t="shared" si="287"/>
        <v>2.5</v>
      </c>
      <c r="AF3245" s="580">
        <f t="shared" si="288"/>
        <v>2.5</v>
      </c>
      <c r="AG3245" s="580">
        <f t="shared" si="289"/>
        <v>0</v>
      </c>
      <c r="AH3245" s="580">
        <f t="shared" si="290"/>
        <v>0</v>
      </c>
    </row>
    <row r="3246" spans="28:34">
      <c r="AB3246" s="580">
        <f>HLOOKUP("*"&amp;'Output annual'!$AC$2&amp;'Output annual'!$AD$2&amp;"*Zone People Number Of Occupants [](Hourly)",'Eplus results'!$1:$1048576,ROW(),FALSE)</f>
        <v>0</v>
      </c>
      <c r="AC3246" s="580">
        <f>HLOOKUP("*"&amp;'Output annual'!$AC$2&amp;'Output annual'!$AD$2&amp;"*FangerPMV(Hourly)",'Eplus results'!$1:$1048576,ROW(),FALSE)</f>
        <v>0</v>
      </c>
      <c r="AD3246" s="580">
        <f t="shared" si="286"/>
        <v>5</v>
      </c>
      <c r="AE3246" s="580">
        <f t="shared" si="287"/>
        <v>2.5</v>
      </c>
      <c r="AF3246" s="580">
        <f t="shared" si="288"/>
        <v>2.5</v>
      </c>
      <c r="AG3246" s="580">
        <f t="shared" si="289"/>
        <v>0</v>
      </c>
      <c r="AH3246" s="580">
        <f t="shared" si="290"/>
        <v>0</v>
      </c>
    </row>
    <row r="3247" spans="28:34">
      <c r="AB3247" s="580">
        <f>HLOOKUP("*"&amp;'Output annual'!$AC$2&amp;'Output annual'!$AD$2&amp;"*Zone People Number Of Occupants [](Hourly)",'Eplus results'!$1:$1048576,ROW(),FALSE)</f>
        <v>0</v>
      </c>
      <c r="AC3247" s="580">
        <f>HLOOKUP("*"&amp;'Output annual'!$AC$2&amp;'Output annual'!$AD$2&amp;"*FangerPMV(Hourly)",'Eplus results'!$1:$1048576,ROW(),FALSE)</f>
        <v>0</v>
      </c>
      <c r="AD3247" s="580">
        <f t="shared" si="286"/>
        <v>5</v>
      </c>
      <c r="AE3247" s="580">
        <f t="shared" si="287"/>
        <v>2.5</v>
      </c>
      <c r="AF3247" s="580">
        <f t="shared" si="288"/>
        <v>2.5</v>
      </c>
      <c r="AG3247" s="580">
        <f t="shared" si="289"/>
        <v>0</v>
      </c>
      <c r="AH3247" s="580">
        <f t="shared" si="290"/>
        <v>0</v>
      </c>
    </row>
    <row r="3248" spans="28:34">
      <c r="AB3248" s="580">
        <f>HLOOKUP("*"&amp;'Output annual'!$AC$2&amp;'Output annual'!$AD$2&amp;"*Zone People Number Of Occupants [](Hourly)",'Eplus results'!$1:$1048576,ROW(),FALSE)</f>
        <v>0</v>
      </c>
      <c r="AC3248" s="580">
        <f>HLOOKUP("*"&amp;'Output annual'!$AC$2&amp;'Output annual'!$AD$2&amp;"*FangerPMV(Hourly)",'Eplus results'!$1:$1048576,ROW(),FALSE)</f>
        <v>0</v>
      </c>
      <c r="AD3248" s="580">
        <f t="shared" si="286"/>
        <v>5</v>
      </c>
      <c r="AE3248" s="580">
        <f t="shared" si="287"/>
        <v>2.5</v>
      </c>
      <c r="AF3248" s="580">
        <f t="shared" si="288"/>
        <v>2.5</v>
      </c>
      <c r="AG3248" s="580">
        <f t="shared" si="289"/>
        <v>0</v>
      </c>
      <c r="AH3248" s="580">
        <f t="shared" si="290"/>
        <v>0</v>
      </c>
    </row>
    <row r="3249" spans="28:34">
      <c r="AB3249" s="580">
        <f>HLOOKUP("*"&amp;'Output annual'!$AC$2&amp;'Output annual'!$AD$2&amp;"*Zone People Number Of Occupants [](Hourly)",'Eplus results'!$1:$1048576,ROW(),FALSE)</f>
        <v>0</v>
      </c>
      <c r="AC3249" s="580">
        <f>HLOOKUP("*"&amp;'Output annual'!$AC$2&amp;'Output annual'!$AD$2&amp;"*FangerPMV(Hourly)",'Eplus results'!$1:$1048576,ROW(),FALSE)</f>
        <v>0</v>
      </c>
      <c r="AD3249" s="580">
        <f t="shared" si="286"/>
        <v>5</v>
      </c>
      <c r="AE3249" s="580">
        <f t="shared" si="287"/>
        <v>2.5</v>
      </c>
      <c r="AF3249" s="580">
        <f t="shared" si="288"/>
        <v>2.5</v>
      </c>
      <c r="AG3249" s="580">
        <f t="shared" si="289"/>
        <v>0</v>
      </c>
      <c r="AH3249" s="580">
        <f t="shared" si="290"/>
        <v>0</v>
      </c>
    </row>
    <row r="3250" spans="28:34">
      <c r="AB3250" s="580">
        <f>HLOOKUP("*"&amp;'Output annual'!$AC$2&amp;'Output annual'!$AD$2&amp;"*Zone People Number Of Occupants [](Hourly)",'Eplus results'!$1:$1048576,ROW(),FALSE)</f>
        <v>0</v>
      </c>
      <c r="AC3250" s="580">
        <f>HLOOKUP("*"&amp;'Output annual'!$AC$2&amp;'Output annual'!$AD$2&amp;"*FangerPMV(Hourly)",'Eplus results'!$1:$1048576,ROW(),FALSE)</f>
        <v>0</v>
      </c>
      <c r="AD3250" s="580">
        <f t="shared" si="286"/>
        <v>5</v>
      </c>
      <c r="AE3250" s="580">
        <f t="shared" si="287"/>
        <v>2.5</v>
      </c>
      <c r="AF3250" s="580">
        <f t="shared" si="288"/>
        <v>2.5</v>
      </c>
      <c r="AG3250" s="580">
        <f t="shared" si="289"/>
        <v>0</v>
      </c>
      <c r="AH3250" s="580">
        <f t="shared" si="290"/>
        <v>0</v>
      </c>
    </row>
    <row r="3251" spans="28:34">
      <c r="AB3251" s="580">
        <f>HLOOKUP("*"&amp;'Output annual'!$AC$2&amp;'Output annual'!$AD$2&amp;"*Zone People Number Of Occupants [](Hourly)",'Eplus results'!$1:$1048576,ROW(),FALSE)</f>
        <v>0</v>
      </c>
      <c r="AC3251" s="580">
        <f>HLOOKUP("*"&amp;'Output annual'!$AC$2&amp;'Output annual'!$AD$2&amp;"*FangerPMV(Hourly)",'Eplus results'!$1:$1048576,ROW(),FALSE)</f>
        <v>0</v>
      </c>
      <c r="AD3251" s="580">
        <f t="shared" si="286"/>
        <v>5</v>
      </c>
      <c r="AE3251" s="580">
        <f t="shared" si="287"/>
        <v>2.5</v>
      </c>
      <c r="AF3251" s="580">
        <f t="shared" si="288"/>
        <v>2.5</v>
      </c>
      <c r="AG3251" s="580">
        <f t="shared" si="289"/>
        <v>0</v>
      </c>
      <c r="AH3251" s="580">
        <f t="shared" si="290"/>
        <v>0</v>
      </c>
    </row>
    <row r="3252" spans="28:34">
      <c r="AB3252" s="580">
        <f>HLOOKUP("*"&amp;'Output annual'!$AC$2&amp;'Output annual'!$AD$2&amp;"*Zone People Number Of Occupants [](Hourly)",'Eplus results'!$1:$1048576,ROW(),FALSE)</f>
        <v>0</v>
      </c>
      <c r="AC3252" s="580">
        <f>HLOOKUP("*"&amp;'Output annual'!$AC$2&amp;'Output annual'!$AD$2&amp;"*FangerPMV(Hourly)",'Eplus results'!$1:$1048576,ROW(),FALSE)</f>
        <v>0</v>
      </c>
      <c r="AD3252" s="580">
        <f t="shared" si="286"/>
        <v>5</v>
      </c>
      <c r="AE3252" s="580">
        <f t="shared" si="287"/>
        <v>2.5</v>
      </c>
      <c r="AF3252" s="580">
        <f t="shared" si="288"/>
        <v>2.5</v>
      </c>
      <c r="AG3252" s="580">
        <f t="shared" si="289"/>
        <v>0</v>
      </c>
      <c r="AH3252" s="580">
        <f t="shared" si="290"/>
        <v>0</v>
      </c>
    </row>
    <row r="3253" spans="28:34">
      <c r="AB3253" s="580">
        <f>HLOOKUP("*"&amp;'Output annual'!$AC$2&amp;'Output annual'!$AD$2&amp;"*Zone People Number Of Occupants [](Hourly)",'Eplus results'!$1:$1048576,ROW(),FALSE)</f>
        <v>0</v>
      </c>
      <c r="AC3253" s="580">
        <f>HLOOKUP("*"&amp;'Output annual'!$AC$2&amp;'Output annual'!$AD$2&amp;"*FangerPMV(Hourly)",'Eplus results'!$1:$1048576,ROW(),FALSE)</f>
        <v>0</v>
      </c>
      <c r="AD3253" s="580">
        <f t="shared" si="286"/>
        <v>5</v>
      </c>
      <c r="AE3253" s="580">
        <f t="shared" si="287"/>
        <v>2.5</v>
      </c>
      <c r="AF3253" s="580">
        <f t="shared" si="288"/>
        <v>2.5</v>
      </c>
      <c r="AG3253" s="580">
        <f t="shared" si="289"/>
        <v>0</v>
      </c>
      <c r="AH3253" s="580">
        <f t="shared" si="290"/>
        <v>0</v>
      </c>
    </row>
    <row r="3254" spans="28:34">
      <c r="AB3254" s="580">
        <f>HLOOKUP("*"&amp;'Output annual'!$AC$2&amp;'Output annual'!$AD$2&amp;"*Zone People Number Of Occupants [](Hourly)",'Eplus results'!$1:$1048576,ROW(),FALSE)</f>
        <v>0</v>
      </c>
      <c r="AC3254" s="580">
        <f>HLOOKUP("*"&amp;'Output annual'!$AC$2&amp;'Output annual'!$AD$2&amp;"*FangerPMV(Hourly)",'Eplus results'!$1:$1048576,ROW(),FALSE)</f>
        <v>0</v>
      </c>
      <c r="AD3254" s="580">
        <f t="shared" si="286"/>
        <v>5</v>
      </c>
      <c r="AE3254" s="580">
        <f t="shared" si="287"/>
        <v>2.5</v>
      </c>
      <c r="AF3254" s="580">
        <f t="shared" si="288"/>
        <v>2.5</v>
      </c>
      <c r="AG3254" s="580">
        <f t="shared" si="289"/>
        <v>0</v>
      </c>
      <c r="AH3254" s="580">
        <f t="shared" si="290"/>
        <v>0</v>
      </c>
    </row>
    <row r="3255" spans="28:34">
      <c r="AB3255" s="580">
        <f>HLOOKUP("*"&amp;'Output annual'!$AC$2&amp;'Output annual'!$AD$2&amp;"*Zone People Number Of Occupants [](Hourly)",'Eplus results'!$1:$1048576,ROW(),FALSE)</f>
        <v>0</v>
      </c>
      <c r="AC3255" s="580">
        <f>HLOOKUP("*"&amp;'Output annual'!$AC$2&amp;'Output annual'!$AD$2&amp;"*FangerPMV(Hourly)",'Eplus results'!$1:$1048576,ROW(),FALSE)</f>
        <v>0</v>
      </c>
      <c r="AD3255" s="580">
        <f t="shared" si="286"/>
        <v>5</v>
      </c>
      <c r="AE3255" s="580">
        <f t="shared" si="287"/>
        <v>2.5</v>
      </c>
      <c r="AF3255" s="580">
        <f t="shared" si="288"/>
        <v>2.5</v>
      </c>
      <c r="AG3255" s="580">
        <f t="shared" si="289"/>
        <v>0</v>
      </c>
      <c r="AH3255" s="580">
        <f t="shared" si="290"/>
        <v>0</v>
      </c>
    </row>
    <row r="3256" spans="28:34">
      <c r="AB3256" s="580">
        <f>HLOOKUP("*"&amp;'Output annual'!$AC$2&amp;'Output annual'!$AD$2&amp;"*Zone People Number Of Occupants [](Hourly)",'Eplus results'!$1:$1048576,ROW(),FALSE)</f>
        <v>0</v>
      </c>
      <c r="AC3256" s="580">
        <f>HLOOKUP("*"&amp;'Output annual'!$AC$2&amp;'Output annual'!$AD$2&amp;"*FangerPMV(Hourly)",'Eplus results'!$1:$1048576,ROW(),FALSE)</f>
        <v>0</v>
      </c>
      <c r="AD3256" s="580">
        <f t="shared" si="286"/>
        <v>5</v>
      </c>
      <c r="AE3256" s="580">
        <f t="shared" si="287"/>
        <v>2.5</v>
      </c>
      <c r="AF3256" s="580">
        <f t="shared" si="288"/>
        <v>2.5</v>
      </c>
      <c r="AG3256" s="580">
        <f t="shared" si="289"/>
        <v>0</v>
      </c>
      <c r="AH3256" s="580">
        <f t="shared" si="290"/>
        <v>0</v>
      </c>
    </row>
    <row r="3257" spans="28:34">
      <c r="AB3257" s="580">
        <f>HLOOKUP("*"&amp;'Output annual'!$AC$2&amp;'Output annual'!$AD$2&amp;"*Zone People Number Of Occupants [](Hourly)",'Eplus results'!$1:$1048576,ROW(),FALSE)</f>
        <v>0</v>
      </c>
      <c r="AC3257" s="580">
        <f>HLOOKUP("*"&amp;'Output annual'!$AC$2&amp;'Output annual'!$AD$2&amp;"*FangerPMV(Hourly)",'Eplus results'!$1:$1048576,ROW(),FALSE)</f>
        <v>0</v>
      </c>
      <c r="AD3257" s="580">
        <f t="shared" si="286"/>
        <v>5</v>
      </c>
      <c r="AE3257" s="580">
        <f t="shared" si="287"/>
        <v>2.5</v>
      </c>
      <c r="AF3257" s="580">
        <f t="shared" si="288"/>
        <v>2.5</v>
      </c>
      <c r="AG3257" s="580">
        <f t="shared" si="289"/>
        <v>0</v>
      </c>
      <c r="AH3257" s="580">
        <f t="shared" si="290"/>
        <v>0</v>
      </c>
    </row>
    <row r="3258" spans="28:34">
      <c r="AB3258" s="580">
        <f>HLOOKUP("*"&amp;'Output annual'!$AC$2&amp;'Output annual'!$AD$2&amp;"*Zone People Number Of Occupants [](Hourly)",'Eplus results'!$1:$1048576,ROW(),FALSE)</f>
        <v>0</v>
      </c>
      <c r="AC3258" s="580">
        <f>HLOOKUP("*"&amp;'Output annual'!$AC$2&amp;'Output annual'!$AD$2&amp;"*FangerPMV(Hourly)",'Eplus results'!$1:$1048576,ROW(),FALSE)</f>
        <v>0</v>
      </c>
      <c r="AD3258" s="580">
        <f t="shared" si="286"/>
        <v>5</v>
      </c>
      <c r="AE3258" s="580">
        <f t="shared" si="287"/>
        <v>2.5</v>
      </c>
      <c r="AF3258" s="580">
        <f t="shared" si="288"/>
        <v>2.5</v>
      </c>
      <c r="AG3258" s="580">
        <f t="shared" si="289"/>
        <v>0</v>
      </c>
      <c r="AH3258" s="580">
        <f t="shared" si="290"/>
        <v>0</v>
      </c>
    </row>
    <row r="3259" spans="28:34">
      <c r="AB3259" s="580">
        <f>HLOOKUP("*"&amp;'Output annual'!$AC$2&amp;'Output annual'!$AD$2&amp;"*Zone People Number Of Occupants [](Hourly)",'Eplus results'!$1:$1048576,ROW(),FALSE)</f>
        <v>0</v>
      </c>
      <c r="AC3259" s="580">
        <f>HLOOKUP("*"&amp;'Output annual'!$AC$2&amp;'Output annual'!$AD$2&amp;"*FangerPMV(Hourly)",'Eplus results'!$1:$1048576,ROW(),FALSE)</f>
        <v>0</v>
      </c>
      <c r="AD3259" s="580">
        <f t="shared" si="286"/>
        <v>5</v>
      </c>
      <c r="AE3259" s="580">
        <f t="shared" si="287"/>
        <v>2.5</v>
      </c>
      <c r="AF3259" s="580">
        <f t="shared" si="288"/>
        <v>2.5</v>
      </c>
      <c r="AG3259" s="580">
        <f t="shared" si="289"/>
        <v>0</v>
      </c>
      <c r="AH3259" s="580">
        <f t="shared" si="290"/>
        <v>0</v>
      </c>
    </row>
    <row r="3260" spans="28:34">
      <c r="AB3260" s="580">
        <f>HLOOKUP("*"&amp;'Output annual'!$AC$2&amp;'Output annual'!$AD$2&amp;"*Zone People Number Of Occupants [](Hourly)",'Eplus results'!$1:$1048576,ROW(),FALSE)</f>
        <v>0</v>
      </c>
      <c r="AC3260" s="580">
        <f>HLOOKUP("*"&amp;'Output annual'!$AC$2&amp;'Output annual'!$AD$2&amp;"*FangerPMV(Hourly)",'Eplus results'!$1:$1048576,ROW(),FALSE)</f>
        <v>0</v>
      </c>
      <c r="AD3260" s="580">
        <f t="shared" si="286"/>
        <v>5</v>
      </c>
      <c r="AE3260" s="580">
        <f t="shared" si="287"/>
        <v>2.5</v>
      </c>
      <c r="AF3260" s="580">
        <f t="shared" si="288"/>
        <v>2.5</v>
      </c>
      <c r="AG3260" s="580">
        <f t="shared" si="289"/>
        <v>0</v>
      </c>
      <c r="AH3260" s="580">
        <f t="shared" si="290"/>
        <v>0</v>
      </c>
    </row>
    <row r="3261" spans="28:34">
      <c r="AB3261" s="580">
        <f>HLOOKUP("*"&amp;'Output annual'!$AC$2&amp;'Output annual'!$AD$2&amp;"*Zone People Number Of Occupants [](Hourly)",'Eplus results'!$1:$1048576,ROW(),FALSE)</f>
        <v>0</v>
      </c>
      <c r="AC3261" s="580">
        <f>HLOOKUP("*"&amp;'Output annual'!$AC$2&amp;'Output annual'!$AD$2&amp;"*FangerPMV(Hourly)",'Eplus results'!$1:$1048576,ROW(),FALSE)</f>
        <v>0</v>
      </c>
      <c r="AD3261" s="580">
        <f t="shared" si="286"/>
        <v>5</v>
      </c>
      <c r="AE3261" s="580">
        <f t="shared" si="287"/>
        <v>2.5</v>
      </c>
      <c r="AF3261" s="580">
        <f t="shared" si="288"/>
        <v>2.5</v>
      </c>
      <c r="AG3261" s="580">
        <f t="shared" si="289"/>
        <v>0</v>
      </c>
      <c r="AH3261" s="580">
        <f t="shared" si="290"/>
        <v>0</v>
      </c>
    </row>
    <row r="3262" spans="28:34">
      <c r="AB3262" s="580">
        <f>HLOOKUP("*"&amp;'Output annual'!$AC$2&amp;'Output annual'!$AD$2&amp;"*Zone People Number Of Occupants [](Hourly)",'Eplus results'!$1:$1048576,ROW(),FALSE)</f>
        <v>0</v>
      </c>
      <c r="AC3262" s="580">
        <f>HLOOKUP("*"&amp;'Output annual'!$AC$2&amp;'Output annual'!$AD$2&amp;"*FangerPMV(Hourly)",'Eplus results'!$1:$1048576,ROW(),FALSE)</f>
        <v>0</v>
      </c>
      <c r="AD3262" s="580">
        <f t="shared" si="286"/>
        <v>5</v>
      </c>
      <c r="AE3262" s="580">
        <f t="shared" si="287"/>
        <v>2.5</v>
      </c>
      <c r="AF3262" s="580">
        <f t="shared" si="288"/>
        <v>2.5</v>
      </c>
      <c r="AG3262" s="580">
        <f t="shared" si="289"/>
        <v>0</v>
      </c>
      <c r="AH3262" s="580">
        <f t="shared" si="290"/>
        <v>0</v>
      </c>
    </row>
    <row r="3263" spans="28:34">
      <c r="AB3263" s="580">
        <f>HLOOKUP("*"&amp;'Output annual'!$AC$2&amp;'Output annual'!$AD$2&amp;"*Zone People Number Of Occupants [](Hourly)",'Eplus results'!$1:$1048576,ROW(),FALSE)</f>
        <v>0</v>
      </c>
      <c r="AC3263" s="580">
        <f>HLOOKUP("*"&amp;'Output annual'!$AC$2&amp;'Output annual'!$AD$2&amp;"*FangerPMV(Hourly)",'Eplus results'!$1:$1048576,ROW(),FALSE)</f>
        <v>0</v>
      </c>
      <c r="AD3263" s="580">
        <f t="shared" si="286"/>
        <v>5</v>
      </c>
      <c r="AE3263" s="580">
        <f t="shared" si="287"/>
        <v>2.5</v>
      </c>
      <c r="AF3263" s="580">
        <f t="shared" si="288"/>
        <v>2.5</v>
      </c>
      <c r="AG3263" s="580">
        <f t="shared" si="289"/>
        <v>0</v>
      </c>
      <c r="AH3263" s="580">
        <f t="shared" si="290"/>
        <v>0</v>
      </c>
    </row>
    <row r="3264" spans="28:34">
      <c r="AB3264" s="580">
        <f>HLOOKUP("*"&amp;'Output annual'!$AC$2&amp;'Output annual'!$AD$2&amp;"*Zone People Number Of Occupants [](Hourly)",'Eplus results'!$1:$1048576,ROW(),FALSE)</f>
        <v>0</v>
      </c>
      <c r="AC3264" s="580">
        <f>HLOOKUP("*"&amp;'Output annual'!$AC$2&amp;'Output annual'!$AD$2&amp;"*FangerPMV(Hourly)",'Eplus results'!$1:$1048576,ROW(),FALSE)</f>
        <v>0</v>
      </c>
      <c r="AD3264" s="580">
        <f t="shared" si="286"/>
        <v>5</v>
      </c>
      <c r="AE3264" s="580">
        <f t="shared" si="287"/>
        <v>2.5</v>
      </c>
      <c r="AF3264" s="580">
        <f t="shared" si="288"/>
        <v>2.5</v>
      </c>
      <c r="AG3264" s="580">
        <f t="shared" si="289"/>
        <v>0</v>
      </c>
      <c r="AH3264" s="580">
        <f t="shared" si="290"/>
        <v>0</v>
      </c>
    </row>
    <row r="3265" spans="28:34">
      <c r="AB3265" s="580">
        <f>HLOOKUP("*"&amp;'Output annual'!$AC$2&amp;'Output annual'!$AD$2&amp;"*Zone People Number Of Occupants [](Hourly)",'Eplus results'!$1:$1048576,ROW(),FALSE)</f>
        <v>0</v>
      </c>
      <c r="AC3265" s="580">
        <f>HLOOKUP("*"&amp;'Output annual'!$AC$2&amp;'Output annual'!$AD$2&amp;"*FangerPMV(Hourly)",'Eplus results'!$1:$1048576,ROW(),FALSE)</f>
        <v>0</v>
      </c>
      <c r="AD3265" s="580">
        <f t="shared" si="286"/>
        <v>5</v>
      </c>
      <c r="AE3265" s="580">
        <f t="shared" si="287"/>
        <v>2.5</v>
      </c>
      <c r="AF3265" s="580">
        <f t="shared" si="288"/>
        <v>2.5</v>
      </c>
      <c r="AG3265" s="580">
        <f t="shared" si="289"/>
        <v>0</v>
      </c>
      <c r="AH3265" s="580">
        <f t="shared" si="290"/>
        <v>0</v>
      </c>
    </row>
    <row r="3266" spans="28:34">
      <c r="AB3266" s="580">
        <f>HLOOKUP("*"&amp;'Output annual'!$AC$2&amp;'Output annual'!$AD$2&amp;"*Zone People Number Of Occupants [](Hourly)",'Eplus results'!$1:$1048576,ROW(),FALSE)</f>
        <v>0</v>
      </c>
      <c r="AC3266" s="580">
        <f>HLOOKUP("*"&amp;'Output annual'!$AC$2&amp;'Output annual'!$AD$2&amp;"*FangerPMV(Hourly)",'Eplus results'!$1:$1048576,ROW(),FALSE)</f>
        <v>0</v>
      </c>
      <c r="AD3266" s="580">
        <f t="shared" si="286"/>
        <v>5</v>
      </c>
      <c r="AE3266" s="580">
        <f t="shared" si="287"/>
        <v>2.5</v>
      </c>
      <c r="AF3266" s="580">
        <f t="shared" si="288"/>
        <v>2.5</v>
      </c>
      <c r="AG3266" s="580">
        <f t="shared" si="289"/>
        <v>0</v>
      </c>
      <c r="AH3266" s="580">
        <f t="shared" si="290"/>
        <v>0</v>
      </c>
    </row>
    <row r="3267" spans="28:34">
      <c r="AB3267" s="580">
        <f>HLOOKUP("*"&amp;'Output annual'!$AC$2&amp;'Output annual'!$AD$2&amp;"*Zone People Number Of Occupants [](Hourly)",'Eplus results'!$1:$1048576,ROW(),FALSE)</f>
        <v>0</v>
      </c>
      <c r="AC3267" s="580">
        <f>HLOOKUP("*"&amp;'Output annual'!$AC$2&amp;'Output annual'!$AD$2&amp;"*FangerPMV(Hourly)",'Eplus results'!$1:$1048576,ROW(),FALSE)</f>
        <v>0</v>
      </c>
      <c r="AD3267" s="580">
        <f t="shared" ref="AD3267:AD3330" si="291">100-95*EXP(-0.03353*AC3267^4-0.2179*AC3267^2)</f>
        <v>5</v>
      </c>
      <c r="AE3267" s="580">
        <f t="shared" ref="AE3267:AE3330" si="292">AD3267*(1/(1+EXP(-6.3*$AC3267)))</f>
        <v>2.5</v>
      </c>
      <c r="AF3267" s="580">
        <f t="shared" ref="AF3267:AF3330" si="293">(AD3267-AE3267)</f>
        <v>2.5</v>
      </c>
      <c r="AG3267" s="580">
        <f t="shared" ref="AG3267:AG3330" si="294">AE3267*AB3267</f>
        <v>0</v>
      </c>
      <c r="AH3267" s="580">
        <f t="shared" ref="AH3267:AH3330" si="295">AF3267*AB3267</f>
        <v>0</v>
      </c>
    </row>
    <row r="3268" spans="28:34">
      <c r="AB3268" s="580">
        <f>HLOOKUP("*"&amp;'Output annual'!$AC$2&amp;'Output annual'!$AD$2&amp;"*Zone People Number Of Occupants [](Hourly)",'Eplus results'!$1:$1048576,ROW(),FALSE)</f>
        <v>0</v>
      </c>
      <c r="AC3268" s="580">
        <f>HLOOKUP("*"&amp;'Output annual'!$AC$2&amp;'Output annual'!$AD$2&amp;"*FangerPMV(Hourly)",'Eplus results'!$1:$1048576,ROW(),FALSE)</f>
        <v>0</v>
      </c>
      <c r="AD3268" s="580">
        <f t="shared" si="291"/>
        <v>5</v>
      </c>
      <c r="AE3268" s="580">
        <f t="shared" si="292"/>
        <v>2.5</v>
      </c>
      <c r="AF3268" s="580">
        <f t="shared" si="293"/>
        <v>2.5</v>
      </c>
      <c r="AG3268" s="580">
        <f t="shared" si="294"/>
        <v>0</v>
      </c>
      <c r="AH3268" s="580">
        <f t="shared" si="295"/>
        <v>0</v>
      </c>
    </row>
    <row r="3269" spans="28:34">
      <c r="AB3269" s="580">
        <f>HLOOKUP("*"&amp;'Output annual'!$AC$2&amp;'Output annual'!$AD$2&amp;"*Zone People Number Of Occupants [](Hourly)",'Eplus results'!$1:$1048576,ROW(),FALSE)</f>
        <v>0</v>
      </c>
      <c r="AC3269" s="580">
        <f>HLOOKUP("*"&amp;'Output annual'!$AC$2&amp;'Output annual'!$AD$2&amp;"*FangerPMV(Hourly)",'Eplus results'!$1:$1048576,ROW(),FALSE)</f>
        <v>0</v>
      </c>
      <c r="AD3269" s="580">
        <f t="shared" si="291"/>
        <v>5</v>
      </c>
      <c r="AE3269" s="580">
        <f t="shared" si="292"/>
        <v>2.5</v>
      </c>
      <c r="AF3269" s="580">
        <f t="shared" si="293"/>
        <v>2.5</v>
      </c>
      <c r="AG3269" s="580">
        <f t="shared" si="294"/>
        <v>0</v>
      </c>
      <c r="AH3269" s="580">
        <f t="shared" si="295"/>
        <v>0</v>
      </c>
    </row>
    <row r="3270" spans="28:34">
      <c r="AB3270" s="580">
        <f>HLOOKUP("*"&amp;'Output annual'!$AC$2&amp;'Output annual'!$AD$2&amp;"*Zone People Number Of Occupants [](Hourly)",'Eplus results'!$1:$1048576,ROW(),FALSE)</f>
        <v>0</v>
      </c>
      <c r="AC3270" s="580">
        <f>HLOOKUP("*"&amp;'Output annual'!$AC$2&amp;'Output annual'!$AD$2&amp;"*FangerPMV(Hourly)",'Eplus results'!$1:$1048576,ROW(),FALSE)</f>
        <v>0</v>
      </c>
      <c r="AD3270" s="580">
        <f t="shared" si="291"/>
        <v>5</v>
      </c>
      <c r="AE3270" s="580">
        <f t="shared" si="292"/>
        <v>2.5</v>
      </c>
      <c r="AF3270" s="580">
        <f t="shared" si="293"/>
        <v>2.5</v>
      </c>
      <c r="AG3270" s="580">
        <f t="shared" si="294"/>
        <v>0</v>
      </c>
      <c r="AH3270" s="580">
        <f t="shared" si="295"/>
        <v>0</v>
      </c>
    </row>
    <row r="3271" spans="28:34">
      <c r="AB3271" s="580">
        <f>HLOOKUP("*"&amp;'Output annual'!$AC$2&amp;'Output annual'!$AD$2&amp;"*Zone People Number Of Occupants [](Hourly)",'Eplus results'!$1:$1048576,ROW(),FALSE)</f>
        <v>0</v>
      </c>
      <c r="AC3271" s="580">
        <f>HLOOKUP("*"&amp;'Output annual'!$AC$2&amp;'Output annual'!$AD$2&amp;"*FangerPMV(Hourly)",'Eplus results'!$1:$1048576,ROW(),FALSE)</f>
        <v>0</v>
      </c>
      <c r="AD3271" s="580">
        <f t="shared" si="291"/>
        <v>5</v>
      </c>
      <c r="AE3271" s="580">
        <f t="shared" si="292"/>
        <v>2.5</v>
      </c>
      <c r="AF3271" s="580">
        <f t="shared" si="293"/>
        <v>2.5</v>
      </c>
      <c r="AG3271" s="580">
        <f t="shared" si="294"/>
        <v>0</v>
      </c>
      <c r="AH3271" s="580">
        <f t="shared" si="295"/>
        <v>0</v>
      </c>
    </row>
    <row r="3272" spans="28:34">
      <c r="AB3272" s="580">
        <f>HLOOKUP("*"&amp;'Output annual'!$AC$2&amp;'Output annual'!$AD$2&amp;"*Zone People Number Of Occupants [](Hourly)",'Eplus results'!$1:$1048576,ROW(),FALSE)</f>
        <v>0</v>
      </c>
      <c r="AC3272" s="580">
        <f>HLOOKUP("*"&amp;'Output annual'!$AC$2&amp;'Output annual'!$AD$2&amp;"*FangerPMV(Hourly)",'Eplus results'!$1:$1048576,ROW(),FALSE)</f>
        <v>0</v>
      </c>
      <c r="AD3272" s="580">
        <f t="shared" si="291"/>
        <v>5</v>
      </c>
      <c r="AE3272" s="580">
        <f t="shared" si="292"/>
        <v>2.5</v>
      </c>
      <c r="AF3272" s="580">
        <f t="shared" si="293"/>
        <v>2.5</v>
      </c>
      <c r="AG3272" s="580">
        <f t="shared" si="294"/>
        <v>0</v>
      </c>
      <c r="AH3272" s="580">
        <f t="shared" si="295"/>
        <v>0</v>
      </c>
    </row>
    <row r="3273" spans="28:34">
      <c r="AB3273" s="580">
        <f>HLOOKUP("*"&amp;'Output annual'!$AC$2&amp;'Output annual'!$AD$2&amp;"*Zone People Number Of Occupants [](Hourly)",'Eplus results'!$1:$1048576,ROW(),FALSE)</f>
        <v>0</v>
      </c>
      <c r="AC3273" s="580">
        <f>HLOOKUP("*"&amp;'Output annual'!$AC$2&amp;'Output annual'!$AD$2&amp;"*FangerPMV(Hourly)",'Eplus results'!$1:$1048576,ROW(),FALSE)</f>
        <v>0</v>
      </c>
      <c r="AD3273" s="580">
        <f t="shared" si="291"/>
        <v>5</v>
      </c>
      <c r="AE3273" s="580">
        <f t="shared" si="292"/>
        <v>2.5</v>
      </c>
      <c r="AF3273" s="580">
        <f t="shared" si="293"/>
        <v>2.5</v>
      </c>
      <c r="AG3273" s="580">
        <f t="shared" si="294"/>
        <v>0</v>
      </c>
      <c r="AH3273" s="580">
        <f t="shared" si="295"/>
        <v>0</v>
      </c>
    </row>
    <row r="3274" spans="28:34">
      <c r="AB3274" s="580">
        <f>HLOOKUP("*"&amp;'Output annual'!$AC$2&amp;'Output annual'!$AD$2&amp;"*Zone People Number Of Occupants [](Hourly)",'Eplus results'!$1:$1048576,ROW(),FALSE)</f>
        <v>0</v>
      </c>
      <c r="AC3274" s="580">
        <f>HLOOKUP("*"&amp;'Output annual'!$AC$2&amp;'Output annual'!$AD$2&amp;"*FangerPMV(Hourly)",'Eplus results'!$1:$1048576,ROW(),FALSE)</f>
        <v>0</v>
      </c>
      <c r="AD3274" s="580">
        <f t="shared" si="291"/>
        <v>5</v>
      </c>
      <c r="AE3274" s="580">
        <f t="shared" si="292"/>
        <v>2.5</v>
      </c>
      <c r="AF3274" s="580">
        <f t="shared" si="293"/>
        <v>2.5</v>
      </c>
      <c r="AG3274" s="580">
        <f t="shared" si="294"/>
        <v>0</v>
      </c>
      <c r="AH3274" s="580">
        <f t="shared" si="295"/>
        <v>0</v>
      </c>
    </row>
    <row r="3275" spans="28:34">
      <c r="AB3275" s="580">
        <f>HLOOKUP("*"&amp;'Output annual'!$AC$2&amp;'Output annual'!$AD$2&amp;"*Zone People Number Of Occupants [](Hourly)",'Eplus results'!$1:$1048576,ROW(),FALSE)</f>
        <v>0</v>
      </c>
      <c r="AC3275" s="580">
        <f>HLOOKUP("*"&amp;'Output annual'!$AC$2&amp;'Output annual'!$AD$2&amp;"*FangerPMV(Hourly)",'Eplus results'!$1:$1048576,ROW(),FALSE)</f>
        <v>0</v>
      </c>
      <c r="AD3275" s="580">
        <f t="shared" si="291"/>
        <v>5</v>
      </c>
      <c r="AE3275" s="580">
        <f t="shared" si="292"/>
        <v>2.5</v>
      </c>
      <c r="AF3275" s="580">
        <f t="shared" si="293"/>
        <v>2.5</v>
      </c>
      <c r="AG3275" s="580">
        <f t="shared" si="294"/>
        <v>0</v>
      </c>
      <c r="AH3275" s="580">
        <f t="shared" si="295"/>
        <v>0</v>
      </c>
    </row>
    <row r="3276" spans="28:34">
      <c r="AB3276" s="580">
        <f>HLOOKUP("*"&amp;'Output annual'!$AC$2&amp;'Output annual'!$AD$2&amp;"*Zone People Number Of Occupants [](Hourly)",'Eplus results'!$1:$1048576,ROW(),FALSE)</f>
        <v>0</v>
      </c>
      <c r="AC3276" s="580">
        <f>HLOOKUP("*"&amp;'Output annual'!$AC$2&amp;'Output annual'!$AD$2&amp;"*FangerPMV(Hourly)",'Eplus results'!$1:$1048576,ROW(),FALSE)</f>
        <v>0</v>
      </c>
      <c r="AD3276" s="580">
        <f t="shared" si="291"/>
        <v>5</v>
      </c>
      <c r="AE3276" s="580">
        <f t="shared" si="292"/>
        <v>2.5</v>
      </c>
      <c r="AF3276" s="580">
        <f t="shared" si="293"/>
        <v>2.5</v>
      </c>
      <c r="AG3276" s="580">
        <f t="shared" si="294"/>
        <v>0</v>
      </c>
      <c r="AH3276" s="580">
        <f t="shared" si="295"/>
        <v>0</v>
      </c>
    </row>
    <row r="3277" spans="28:34">
      <c r="AB3277" s="580">
        <f>HLOOKUP("*"&amp;'Output annual'!$AC$2&amp;'Output annual'!$AD$2&amp;"*Zone People Number Of Occupants [](Hourly)",'Eplus results'!$1:$1048576,ROW(),FALSE)</f>
        <v>0</v>
      </c>
      <c r="AC3277" s="580">
        <f>HLOOKUP("*"&amp;'Output annual'!$AC$2&amp;'Output annual'!$AD$2&amp;"*FangerPMV(Hourly)",'Eplus results'!$1:$1048576,ROW(),FALSE)</f>
        <v>0</v>
      </c>
      <c r="AD3277" s="580">
        <f t="shared" si="291"/>
        <v>5</v>
      </c>
      <c r="AE3277" s="580">
        <f t="shared" si="292"/>
        <v>2.5</v>
      </c>
      <c r="AF3277" s="580">
        <f t="shared" si="293"/>
        <v>2.5</v>
      </c>
      <c r="AG3277" s="580">
        <f t="shared" si="294"/>
        <v>0</v>
      </c>
      <c r="AH3277" s="580">
        <f t="shared" si="295"/>
        <v>0</v>
      </c>
    </row>
    <row r="3278" spans="28:34">
      <c r="AB3278" s="580">
        <f>HLOOKUP("*"&amp;'Output annual'!$AC$2&amp;'Output annual'!$AD$2&amp;"*Zone People Number Of Occupants [](Hourly)",'Eplus results'!$1:$1048576,ROW(),FALSE)</f>
        <v>0</v>
      </c>
      <c r="AC3278" s="580">
        <f>HLOOKUP("*"&amp;'Output annual'!$AC$2&amp;'Output annual'!$AD$2&amp;"*FangerPMV(Hourly)",'Eplus results'!$1:$1048576,ROW(),FALSE)</f>
        <v>0</v>
      </c>
      <c r="AD3278" s="580">
        <f t="shared" si="291"/>
        <v>5</v>
      </c>
      <c r="AE3278" s="580">
        <f t="shared" si="292"/>
        <v>2.5</v>
      </c>
      <c r="AF3278" s="580">
        <f t="shared" si="293"/>
        <v>2.5</v>
      </c>
      <c r="AG3278" s="580">
        <f t="shared" si="294"/>
        <v>0</v>
      </c>
      <c r="AH3278" s="580">
        <f t="shared" si="295"/>
        <v>0</v>
      </c>
    </row>
    <row r="3279" spans="28:34">
      <c r="AB3279" s="580">
        <f>HLOOKUP("*"&amp;'Output annual'!$AC$2&amp;'Output annual'!$AD$2&amp;"*Zone People Number Of Occupants [](Hourly)",'Eplus results'!$1:$1048576,ROW(),FALSE)</f>
        <v>0</v>
      </c>
      <c r="AC3279" s="580">
        <f>HLOOKUP("*"&amp;'Output annual'!$AC$2&amp;'Output annual'!$AD$2&amp;"*FangerPMV(Hourly)",'Eplus results'!$1:$1048576,ROW(),FALSE)</f>
        <v>0</v>
      </c>
      <c r="AD3279" s="580">
        <f t="shared" si="291"/>
        <v>5</v>
      </c>
      <c r="AE3279" s="580">
        <f t="shared" si="292"/>
        <v>2.5</v>
      </c>
      <c r="AF3279" s="580">
        <f t="shared" si="293"/>
        <v>2.5</v>
      </c>
      <c r="AG3279" s="580">
        <f t="shared" si="294"/>
        <v>0</v>
      </c>
      <c r="AH3279" s="580">
        <f t="shared" si="295"/>
        <v>0</v>
      </c>
    </row>
    <row r="3280" spans="28:34">
      <c r="AB3280" s="580">
        <f>HLOOKUP("*"&amp;'Output annual'!$AC$2&amp;'Output annual'!$AD$2&amp;"*Zone People Number Of Occupants [](Hourly)",'Eplus results'!$1:$1048576,ROW(),FALSE)</f>
        <v>0</v>
      </c>
      <c r="AC3280" s="580">
        <f>HLOOKUP("*"&amp;'Output annual'!$AC$2&amp;'Output annual'!$AD$2&amp;"*FangerPMV(Hourly)",'Eplus results'!$1:$1048576,ROW(),FALSE)</f>
        <v>0</v>
      </c>
      <c r="AD3280" s="580">
        <f t="shared" si="291"/>
        <v>5</v>
      </c>
      <c r="AE3280" s="580">
        <f t="shared" si="292"/>
        <v>2.5</v>
      </c>
      <c r="AF3280" s="580">
        <f t="shared" si="293"/>
        <v>2.5</v>
      </c>
      <c r="AG3280" s="580">
        <f t="shared" si="294"/>
        <v>0</v>
      </c>
      <c r="AH3280" s="580">
        <f t="shared" si="295"/>
        <v>0</v>
      </c>
    </row>
    <row r="3281" spans="28:34">
      <c r="AB3281" s="580">
        <f>HLOOKUP("*"&amp;'Output annual'!$AC$2&amp;'Output annual'!$AD$2&amp;"*Zone People Number Of Occupants [](Hourly)",'Eplus results'!$1:$1048576,ROW(),FALSE)</f>
        <v>0</v>
      </c>
      <c r="AC3281" s="580">
        <f>HLOOKUP("*"&amp;'Output annual'!$AC$2&amp;'Output annual'!$AD$2&amp;"*FangerPMV(Hourly)",'Eplus results'!$1:$1048576,ROW(),FALSE)</f>
        <v>0</v>
      </c>
      <c r="AD3281" s="580">
        <f t="shared" si="291"/>
        <v>5</v>
      </c>
      <c r="AE3281" s="580">
        <f t="shared" si="292"/>
        <v>2.5</v>
      </c>
      <c r="AF3281" s="580">
        <f t="shared" si="293"/>
        <v>2.5</v>
      </c>
      <c r="AG3281" s="580">
        <f t="shared" si="294"/>
        <v>0</v>
      </c>
      <c r="AH3281" s="580">
        <f t="shared" si="295"/>
        <v>0</v>
      </c>
    </row>
    <row r="3282" spans="28:34">
      <c r="AB3282" s="580">
        <f>HLOOKUP("*"&amp;'Output annual'!$AC$2&amp;'Output annual'!$AD$2&amp;"*Zone People Number Of Occupants [](Hourly)",'Eplus results'!$1:$1048576,ROW(),FALSE)</f>
        <v>0</v>
      </c>
      <c r="AC3282" s="580">
        <f>HLOOKUP("*"&amp;'Output annual'!$AC$2&amp;'Output annual'!$AD$2&amp;"*FangerPMV(Hourly)",'Eplus results'!$1:$1048576,ROW(),FALSE)</f>
        <v>0</v>
      </c>
      <c r="AD3282" s="580">
        <f t="shared" si="291"/>
        <v>5</v>
      </c>
      <c r="AE3282" s="580">
        <f t="shared" si="292"/>
        <v>2.5</v>
      </c>
      <c r="AF3282" s="580">
        <f t="shared" si="293"/>
        <v>2.5</v>
      </c>
      <c r="AG3282" s="580">
        <f t="shared" si="294"/>
        <v>0</v>
      </c>
      <c r="AH3282" s="580">
        <f t="shared" si="295"/>
        <v>0</v>
      </c>
    </row>
    <row r="3283" spans="28:34">
      <c r="AB3283" s="580">
        <f>HLOOKUP("*"&amp;'Output annual'!$AC$2&amp;'Output annual'!$AD$2&amp;"*Zone People Number Of Occupants [](Hourly)",'Eplus results'!$1:$1048576,ROW(),FALSE)</f>
        <v>0</v>
      </c>
      <c r="AC3283" s="580">
        <f>HLOOKUP("*"&amp;'Output annual'!$AC$2&amp;'Output annual'!$AD$2&amp;"*FangerPMV(Hourly)",'Eplus results'!$1:$1048576,ROW(),FALSE)</f>
        <v>0</v>
      </c>
      <c r="AD3283" s="580">
        <f t="shared" si="291"/>
        <v>5</v>
      </c>
      <c r="AE3283" s="580">
        <f t="shared" si="292"/>
        <v>2.5</v>
      </c>
      <c r="AF3283" s="580">
        <f t="shared" si="293"/>
        <v>2.5</v>
      </c>
      <c r="AG3283" s="580">
        <f t="shared" si="294"/>
        <v>0</v>
      </c>
      <c r="AH3283" s="580">
        <f t="shared" si="295"/>
        <v>0</v>
      </c>
    </row>
    <row r="3284" spans="28:34">
      <c r="AB3284" s="580">
        <f>HLOOKUP("*"&amp;'Output annual'!$AC$2&amp;'Output annual'!$AD$2&amp;"*Zone People Number Of Occupants [](Hourly)",'Eplus results'!$1:$1048576,ROW(),FALSE)</f>
        <v>0</v>
      </c>
      <c r="AC3284" s="580">
        <f>HLOOKUP("*"&amp;'Output annual'!$AC$2&amp;'Output annual'!$AD$2&amp;"*FangerPMV(Hourly)",'Eplus results'!$1:$1048576,ROW(),FALSE)</f>
        <v>0</v>
      </c>
      <c r="AD3284" s="580">
        <f t="shared" si="291"/>
        <v>5</v>
      </c>
      <c r="AE3284" s="580">
        <f t="shared" si="292"/>
        <v>2.5</v>
      </c>
      <c r="AF3284" s="580">
        <f t="shared" si="293"/>
        <v>2.5</v>
      </c>
      <c r="AG3284" s="580">
        <f t="shared" si="294"/>
        <v>0</v>
      </c>
      <c r="AH3284" s="580">
        <f t="shared" si="295"/>
        <v>0</v>
      </c>
    </row>
    <row r="3285" spans="28:34">
      <c r="AB3285" s="580">
        <f>HLOOKUP("*"&amp;'Output annual'!$AC$2&amp;'Output annual'!$AD$2&amp;"*Zone People Number Of Occupants [](Hourly)",'Eplus results'!$1:$1048576,ROW(),FALSE)</f>
        <v>0</v>
      </c>
      <c r="AC3285" s="580">
        <f>HLOOKUP("*"&amp;'Output annual'!$AC$2&amp;'Output annual'!$AD$2&amp;"*FangerPMV(Hourly)",'Eplus results'!$1:$1048576,ROW(),FALSE)</f>
        <v>0</v>
      </c>
      <c r="AD3285" s="580">
        <f t="shared" si="291"/>
        <v>5</v>
      </c>
      <c r="AE3285" s="580">
        <f t="shared" si="292"/>
        <v>2.5</v>
      </c>
      <c r="AF3285" s="580">
        <f t="shared" si="293"/>
        <v>2.5</v>
      </c>
      <c r="AG3285" s="580">
        <f t="shared" si="294"/>
        <v>0</v>
      </c>
      <c r="AH3285" s="580">
        <f t="shared" si="295"/>
        <v>0</v>
      </c>
    </row>
    <row r="3286" spans="28:34">
      <c r="AB3286" s="580">
        <f>HLOOKUP("*"&amp;'Output annual'!$AC$2&amp;'Output annual'!$AD$2&amp;"*Zone People Number Of Occupants [](Hourly)",'Eplus results'!$1:$1048576,ROW(),FALSE)</f>
        <v>0</v>
      </c>
      <c r="AC3286" s="580">
        <f>HLOOKUP("*"&amp;'Output annual'!$AC$2&amp;'Output annual'!$AD$2&amp;"*FangerPMV(Hourly)",'Eplus results'!$1:$1048576,ROW(),FALSE)</f>
        <v>0</v>
      </c>
      <c r="AD3286" s="580">
        <f t="shared" si="291"/>
        <v>5</v>
      </c>
      <c r="AE3286" s="580">
        <f t="shared" si="292"/>
        <v>2.5</v>
      </c>
      <c r="AF3286" s="580">
        <f t="shared" si="293"/>
        <v>2.5</v>
      </c>
      <c r="AG3286" s="580">
        <f t="shared" si="294"/>
        <v>0</v>
      </c>
      <c r="AH3286" s="580">
        <f t="shared" si="295"/>
        <v>0</v>
      </c>
    </row>
    <row r="3287" spans="28:34">
      <c r="AB3287" s="580">
        <f>HLOOKUP("*"&amp;'Output annual'!$AC$2&amp;'Output annual'!$AD$2&amp;"*Zone People Number Of Occupants [](Hourly)",'Eplus results'!$1:$1048576,ROW(),FALSE)</f>
        <v>0</v>
      </c>
      <c r="AC3287" s="580">
        <f>HLOOKUP("*"&amp;'Output annual'!$AC$2&amp;'Output annual'!$AD$2&amp;"*FangerPMV(Hourly)",'Eplus results'!$1:$1048576,ROW(),FALSE)</f>
        <v>0</v>
      </c>
      <c r="AD3287" s="580">
        <f t="shared" si="291"/>
        <v>5</v>
      </c>
      <c r="AE3287" s="580">
        <f t="shared" si="292"/>
        <v>2.5</v>
      </c>
      <c r="AF3287" s="580">
        <f t="shared" si="293"/>
        <v>2.5</v>
      </c>
      <c r="AG3287" s="580">
        <f t="shared" si="294"/>
        <v>0</v>
      </c>
      <c r="AH3287" s="580">
        <f t="shared" si="295"/>
        <v>0</v>
      </c>
    </row>
    <row r="3288" spans="28:34">
      <c r="AB3288" s="580">
        <f>HLOOKUP("*"&amp;'Output annual'!$AC$2&amp;'Output annual'!$AD$2&amp;"*Zone People Number Of Occupants [](Hourly)",'Eplus results'!$1:$1048576,ROW(),FALSE)</f>
        <v>0</v>
      </c>
      <c r="AC3288" s="580">
        <f>HLOOKUP("*"&amp;'Output annual'!$AC$2&amp;'Output annual'!$AD$2&amp;"*FangerPMV(Hourly)",'Eplus results'!$1:$1048576,ROW(),FALSE)</f>
        <v>0</v>
      </c>
      <c r="AD3288" s="580">
        <f t="shared" si="291"/>
        <v>5</v>
      </c>
      <c r="AE3288" s="580">
        <f t="shared" si="292"/>
        <v>2.5</v>
      </c>
      <c r="AF3288" s="580">
        <f t="shared" si="293"/>
        <v>2.5</v>
      </c>
      <c r="AG3288" s="580">
        <f t="shared" si="294"/>
        <v>0</v>
      </c>
      <c r="AH3288" s="580">
        <f t="shared" si="295"/>
        <v>0</v>
      </c>
    </row>
    <row r="3289" spans="28:34">
      <c r="AB3289" s="580">
        <f>HLOOKUP("*"&amp;'Output annual'!$AC$2&amp;'Output annual'!$AD$2&amp;"*Zone People Number Of Occupants [](Hourly)",'Eplus results'!$1:$1048576,ROW(),FALSE)</f>
        <v>0</v>
      </c>
      <c r="AC3289" s="580">
        <f>HLOOKUP("*"&amp;'Output annual'!$AC$2&amp;'Output annual'!$AD$2&amp;"*FangerPMV(Hourly)",'Eplus results'!$1:$1048576,ROW(),FALSE)</f>
        <v>0</v>
      </c>
      <c r="AD3289" s="580">
        <f t="shared" si="291"/>
        <v>5</v>
      </c>
      <c r="AE3289" s="580">
        <f t="shared" si="292"/>
        <v>2.5</v>
      </c>
      <c r="AF3289" s="580">
        <f t="shared" si="293"/>
        <v>2.5</v>
      </c>
      <c r="AG3289" s="580">
        <f t="shared" si="294"/>
        <v>0</v>
      </c>
      <c r="AH3289" s="580">
        <f t="shared" si="295"/>
        <v>0</v>
      </c>
    </row>
    <row r="3290" spans="28:34">
      <c r="AB3290" s="580">
        <f>HLOOKUP("*"&amp;'Output annual'!$AC$2&amp;'Output annual'!$AD$2&amp;"*Zone People Number Of Occupants [](Hourly)",'Eplus results'!$1:$1048576,ROW(),FALSE)</f>
        <v>0</v>
      </c>
      <c r="AC3290" s="580">
        <f>HLOOKUP("*"&amp;'Output annual'!$AC$2&amp;'Output annual'!$AD$2&amp;"*FangerPMV(Hourly)",'Eplus results'!$1:$1048576,ROW(),FALSE)</f>
        <v>0</v>
      </c>
      <c r="AD3290" s="580">
        <f t="shared" si="291"/>
        <v>5</v>
      </c>
      <c r="AE3290" s="580">
        <f t="shared" si="292"/>
        <v>2.5</v>
      </c>
      <c r="AF3290" s="580">
        <f t="shared" si="293"/>
        <v>2.5</v>
      </c>
      <c r="AG3290" s="580">
        <f t="shared" si="294"/>
        <v>0</v>
      </c>
      <c r="AH3290" s="580">
        <f t="shared" si="295"/>
        <v>0</v>
      </c>
    </row>
    <row r="3291" spans="28:34">
      <c r="AB3291" s="580">
        <f>HLOOKUP("*"&amp;'Output annual'!$AC$2&amp;'Output annual'!$AD$2&amp;"*Zone People Number Of Occupants [](Hourly)",'Eplus results'!$1:$1048576,ROW(),FALSE)</f>
        <v>0</v>
      </c>
      <c r="AC3291" s="580">
        <f>HLOOKUP("*"&amp;'Output annual'!$AC$2&amp;'Output annual'!$AD$2&amp;"*FangerPMV(Hourly)",'Eplus results'!$1:$1048576,ROW(),FALSE)</f>
        <v>0</v>
      </c>
      <c r="AD3291" s="580">
        <f t="shared" si="291"/>
        <v>5</v>
      </c>
      <c r="AE3291" s="580">
        <f t="shared" si="292"/>
        <v>2.5</v>
      </c>
      <c r="AF3291" s="580">
        <f t="shared" si="293"/>
        <v>2.5</v>
      </c>
      <c r="AG3291" s="580">
        <f t="shared" si="294"/>
        <v>0</v>
      </c>
      <c r="AH3291" s="580">
        <f t="shared" si="295"/>
        <v>0</v>
      </c>
    </row>
    <row r="3292" spans="28:34">
      <c r="AB3292" s="580">
        <f>HLOOKUP("*"&amp;'Output annual'!$AC$2&amp;'Output annual'!$AD$2&amp;"*Zone People Number Of Occupants [](Hourly)",'Eplus results'!$1:$1048576,ROW(),FALSE)</f>
        <v>0</v>
      </c>
      <c r="AC3292" s="580">
        <f>HLOOKUP("*"&amp;'Output annual'!$AC$2&amp;'Output annual'!$AD$2&amp;"*FangerPMV(Hourly)",'Eplus results'!$1:$1048576,ROW(),FALSE)</f>
        <v>0</v>
      </c>
      <c r="AD3292" s="580">
        <f t="shared" si="291"/>
        <v>5</v>
      </c>
      <c r="AE3292" s="580">
        <f t="shared" si="292"/>
        <v>2.5</v>
      </c>
      <c r="AF3292" s="580">
        <f t="shared" si="293"/>
        <v>2.5</v>
      </c>
      <c r="AG3292" s="580">
        <f t="shared" si="294"/>
        <v>0</v>
      </c>
      <c r="AH3292" s="580">
        <f t="shared" si="295"/>
        <v>0</v>
      </c>
    </row>
    <row r="3293" spans="28:34">
      <c r="AB3293" s="580">
        <f>HLOOKUP("*"&amp;'Output annual'!$AC$2&amp;'Output annual'!$AD$2&amp;"*Zone People Number Of Occupants [](Hourly)",'Eplus results'!$1:$1048576,ROW(),FALSE)</f>
        <v>0</v>
      </c>
      <c r="AC3293" s="580">
        <f>HLOOKUP("*"&amp;'Output annual'!$AC$2&amp;'Output annual'!$AD$2&amp;"*FangerPMV(Hourly)",'Eplus results'!$1:$1048576,ROW(),FALSE)</f>
        <v>0</v>
      </c>
      <c r="AD3293" s="580">
        <f t="shared" si="291"/>
        <v>5</v>
      </c>
      <c r="AE3293" s="580">
        <f t="shared" si="292"/>
        <v>2.5</v>
      </c>
      <c r="AF3293" s="580">
        <f t="shared" si="293"/>
        <v>2.5</v>
      </c>
      <c r="AG3293" s="580">
        <f t="shared" si="294"/>
        <v>0</v>
      </c>
      <c r="AH3293" s="580">
        <f t="shared" si="295"/>
        <v>0</v>
      </c>
    </row>
    <row r="3294" spans="28:34">
      <c r="AB3294" s="580">
        <f>HLOOKUP("*"&amp;'Output annual'!$AC$2&amp;'Output annual'!$AD$2&amp;"*Zone People Number Of Occupants [](Hourly)",'Eplus results'!$1:$1048576,ROW(),FALSE)</f>
        <v>0</v>
      </c>
      <c r="AC3294" s="580">
        <f>HLOOKUP("*"&amp;'Output annual'!$AC$2&amp;'Output annual'!$AD$2&amp;"*FangerPMV(Hourly)",'Eplus results'!$1:$1048576,ROW(),FALSE)</f>
        <v>0</v>
      </c>
      <c r="AD3294" s="580">
        <f t="shared" si="291"/>
        <v>5</v>
      </c>
      <c r="AE3294" s="580">
        <f t="shared" si="292"/>
        <v>2.5</v>
      </c>
      <c r="AF3294" s="580">
        <f t="shared" si="293"/>
        <v>2.5</v>
      </c>
      <c r="AG3294" s="580">
        <f t="shared" si="294"/>
        <v>0</v>
      </c>
      <c r="AH3294" s="580">
        <f t="shared" si="295"/>
        <v>0</v>
      </c>
    </row>
    <row r="3295" spans="28:34">
      <c r="AB3295" s="580">
        <f>HLOOKUP("*"&amp;'Output annual'!$AC$2&amp;'Output annual'!$AD$2&amp;"*Zone People Number Of Occupants [](Hourly)",'Eplus results'!$1:$1048576,ROW(),FALSE)</f>
        <v>0</v>
      </c>
      <c r="AC3295" s="580">
        <f>HLOOKUP("*"&amp;'Output annual'!$AC$2&amp;'Output annual'!$AD$2&amp;"*FangerPMV(Hourly)",'Eplus results'!$1:$1048576,ROW(),FALSE)</f>
        <v>0</v>
      </c>
      <c r="AD3295" s="580">
        <f t="shared" si="291"/>
        <v>5</v>
      </c>
      <c r="AE3295" s="580">
        <f t="shared" si="292"/>
        <v>2.5</v>
      </c>
      <c r="AF3295" s="580">
        <f t="shared" si="293"/>
        <v>2.5</v>
      </c>
      <c r="AG3295" s="580">
        <f t="shared" si="294"/>
        <v>0</v>
      </c>
      <c r="AH3295" s="580">
        <f t="shared" si="295"/>
        <v>0</v>
      </c>
    </row>
    <row r="3296" spans="28:34">
      <c r="AB3296" s="580">
        <f>HLOOKUP("*"&amp;'Output annual'!$AC$2&amp;'Output annual'!$AD$2&amp;"*Zone People Number Of Occupants [](Hourly)",'Eplus results'!$1:$1048576,ROW(),FALSE)</f>
        <v>0</v>
      </c>
      <c r="AC3296" s="580">
        <f>HLOOKUP("*"&amp;'Output annual'!$AC$2&amp;'Output annual'!$AD$2&amp;"*FangerPMV(Hourly)",'Eplus results'!$1:$1048576,ROW(),FALSE)</f>
        <v>0</v>
      </c>
      <c r="AD3296" s="580">
        <f t="shared" si="291"/>
        <v>5</v>
      </c>
      <c r="AE3296" s="580">
        <f t="shared" si="292"/>
        <v>2.5</v>
      </c>
      <c r="AF3296" s="580">
        <f t="shared" si="293"/>
        <v>2.5</v>
      </c>
      <c r="AG3296" s="580">
        <f t="shared" si="294"/>
        <v>0</v>
      </c>
      <c r="AH3296" s="580">
        <f t="shared" si="295"/>
        <v>0</v>
      </c>
    </row>
    <row r="3297" spans="28:34">
      <c r="AB3297" s="580">
        <f>HLOOKUP("*"&amp;'Output annual'!$AC$2&amp;'Output annual'!$AD$2&amp;"*Zone People Number Of Occupants [](Hourly)",'Eplus results'!$1:$1048576,ROW(),FALSE)</f>
        <v>0</v>
      </c>
      <c r="AC3297" s="580">
        <f>HLOOKUP("*"&amp;'Output annual'!$AC$2&amp;'Output annual'!$AD$2&amp;"*FangerPMV(Hourly)",'Eplus results'!$1:$1048576,ROW(),FALSE)</f>
        <v>0</v>
      </c>
      <c r="AD3297" s="580">
        <f t="shared" si="291"/>
        <v>5</v>
      </c>
      <c r="AE3297" s="580">
        <f t="shared" si="292"/>
        <v>2.5</v>
      </c>
      <c r="AF3297" s="580">
        <f t="shared" si="293"/>
        <v>2.5</v>
      </c>
      <c r="AG3297" s="580">
        <f t="shared" si="294"/>
        <v>0</v>
      </c>
      <c r="AH3297" s="580">
        <f t="shared" si="295"/>
        <v>0</v>
      </c>
    </row>
    <row r="3298" spans="28:34">
      <c r="AB3298" s="580">
        <f>HLOOKUP("*"&amp;'Output annual'!$AC$2&amp;'Output annual'!$AD$2&amp;"*Zone People Number Of Occupants [](Hourly)",'Eplus results'!$1:$1048576,ROW(),FALSE)</f>
        <v>0</v>
      </c>
      <c r="AC3298" s="580">
        <f>HLOOKUP("*"&amp;'Output annual'!$AC$2&amp;'Output annual'!$AD$2&amp;"*FangerPMV(Hourly)",'Eplus results'!$1:$1048576,ROW(),FALSE)</f>
        <v>0</v>
      </c>
      <c r="AD3298" s="580">
        <f t="shared" si="291"/>
        <v>5</v>
      </c>
      <c r="AE3298" s="580">
        <f t="shared" si="292"/>
        <v>2.5</v>
      </c>
      <c r="AF3298" s="580">
        <f t="shared" si="293"/>
        <v>2.5</v>
      </c>
      <c r="AG3298" s="580">
        <f t="shared" si="294"/>
        <v>0</v>
      </c>
      <c r="AH3298" s="580">
        <f t="shared" si="295"/>
        <v>0</v>
      </c>
    </row>
    <row r="3299" spans="28:34">
      <c r="AB3299" s="580">
        <f>HLOOKUP("*"&amp;'Output annual'!$AC$2&amp;'Output annual'!$AD$2&amp;"*Zone People Number Of Occupants [](Hourly)",'Eplus results'!$1:$1048576,ROW(),FALSE)</f>
        <v>0</v>
      </c>
      <c r="AC3299" s="580">
        <f>HLOOKUP("*"&amp;'Output annual'!$AC$2&amp;'Output annual'!$AD$2&amp;"*FangerPMV(Hourly)",'Eplus results'!$1:$1048576,ROW(),FALSE)</f>
        <v>0</v>
      </c>
      <c r="AD3299" s="580">
        <f t="shared" si="291"/>
        <v>5</v>
      </c>
      <c r="AE3299" s="580">
        <f t="shared" si="292"/>
        <v>2.5</v>
      </c>
      <c r="AF3299" s="580">
        <f t="shared" si="293"/>
        <v>2.5</v>
      </c>
      <c r="AG3299" s="580">
        <f t="shared" si="294"/>
        <v>0</v>
      </c>
      <c r="AH3299" s="580">
        <f t="shared" si="295"/>
        <v>0</v>
      </c>
    </row>
    <row r="3300" spans="28:34">
      <c r="AB3300" s="580">
        <f>HLOOKUP("*"&amp;'Output annual'!$AC$2&amp;'Output annual'!$AD$2&amp;"*Zone People Number Of Occupants [](Hourly)",'Eplus results'!$1:$1048576,ROW(),FALSE)</f>
        <v>0</v>
      </c>
      <c r="AC3300" s="580">
        <f>HLOOKUP("*"&amp;'Output annual'!$AC$2&amp;'Output annual'!$AD$2&amp;"*FangerPMV(Hourly)",'Eplus results'!$1:$1048576,ROW(),FALSE)</f>
        <v>0</v>
      </c>
      <c r="AD3300" s="580">
        <f t="shared" si="291"/>
        <v>5</v>
      </c>
      <c r="AE3300" s="580">
        <f t="shared" si="292"/>
        <v>2.5</v>
      </c>
      <c r="AF3300" s="580">
        <f t="shared" si="293"/>
        <v>2.5</v>
      </c>
      <c r="AG3300" s="580">
        <f t="shared" si="294"/>
        <v>0</v>
      </c>
      <c r="AH3300" s="580">
        <f t="shared" si="295"/>
        <v>0</v>
      </c>
    </row>
    <row r="3301" spans="28:34">
      <c r="AB3301" s="580">
        <f>HLOOKUP("*"&amp;'Output annual'!$AC$2&amp;'Output annual'!$AD$2&amp;"*Zone People Number Of Occupants [](Hourly)",'Eplus results'!$1:$1048576,ROW(),FALSE)</f>
        <v>0</v>
      </c>
      <c r="AC3301" s="580">
        <f>HLOOKUP("*"&amp;'Output annual'!$AC$2&amp;'Output annual'!$AD$2&amp;"*FangerPMV(Hourly)",'Eplus results'!$1:$1048576,ROW(),FALSE)</f>
        <v>0</v>
      </c>
      <c r="AD3301" s="580">
        <f t="shared" si="291"/>
        <v>5</v>
      </c>
      <c r="AE3301" s="580">
        <f t="shared" si="292"/>
        <v>2.5</v>
      </c>
      <c r="AF3301" s="580">
        <f t="shared" si="293"/>
        <v>2.5</v>
      </c>
      <c r="AG3301" s="580">
        <f t="shared" si="294"/>
        <v>0</v>
      </c>
      <c r="AH3301" s="580">
        <f t="shared" si="295"/>
        <v>0</v>
      </c>
    </row>
    <row r="3302" spans="28:34">
      <c r="AB3302" s="580">
        <f>HLOOKUP("*"&amp;'Output annual'!$AC$2&amp;'Output annual'!$AD$2&amp;"*Zone People Number Of Occupants [](Hourly)",'Eplus results'!$1:$1048576,ROW(),FALSE)</f>
        <v>0</v>
      </c>
      <c r="AC3302" s="580">
        <f>HLOOKUP("*"&amp;'Output annual'!$AC$2&amp;'Output annual'!$AD$2&amp;"*FangerPMV(Hourly)",'Eplus results'!$1:$1048576,ROW(),FALSE)</f>
        <v>0</v>
      </c>
      <c r="AD3302" s="580">
        <f t="shared" si="291"/>
        <v>5</v>
      </c>
      <c r="AE3302" s="580">
        <f t="shared" si="292"/>
        <v>2.5</v>
      </c>
      <c r="AF3302" s="580">
        <f t="shared" si="293"/>
        <v>2.5</v>
      </c>
      <c r="AG3302" s="580">
        <f t="shared" si="294"/>
        <v>0</v>
      </c>
      <c r="AH3302" s="580">
        <f t="shared" si="295"/>
        <v>0</v>
      </c>
    </row>
    <row r="3303" spans="28:34">
      <c r="AB3303" s="580">
        <f>HLOOKUP("*"&amp;'Output annual'!$AC$2&amp;'Output annual'!$AD$2&amp;"*Zone People Number Of Occupants [](Hourly)",'Eplus results'!$1:$1048576,ROW(),FALSE)</f>
        <v>0</v>
      </c>
      <c r="AC3303" s="580">
        <f>HLOOKUP("*"&amp;'Output annual'!$AC$2&amp;'Output annual'!$AD$2&amp;"*FangerPMV(Hourly)",'Eplus results'!$1:$1048576,ROW(),FALSE)</f>
        <v>0</v>
      </c>
      <c r="AD3303" s="580">
        <f t="shared" si="291"/>
        <v>5</v>
      </c>
      <c r="AE3303" s="580">
        <f t="shared" si="292"/>
        <v>2.5</v>
      </c>
      <c r="AF3303" s="580">
        <f t="shared" si="293"/>
        <v>2.5</v>
      </c>
      <c r="AG3303" s="580">
        <f t="shared" si="294"/>
        <v>0</v>
      </c>
      <c r="AH3303" s="580">
        <f t="shared" si="295"/>
        <v>0</v>
      </c>
    </row>
    <row r="3304" spans="28:34">
      <c r="AB3304" s="580">
        <f>HLOOKUP("*"&amp;'Output annual'!$AC$2&amp;'Output annual'!$AD$2&amp;"*Zone People Number Of Occupants [](Hourly)",'Eplus results'!$1:$1048576,ROW(),FALSE)</f>
        <v>0</v>
      </c>
      <c r="AC3304" s="580">
        <f>HLOOKUP("*"&amp;'Output annual'!$AC$2&amp;'Output annual'!$AD$2&amp;"*FangerPMV(Hourly)",'Eplus results'!$1:$1048576,ROW(),FALSE)</f>
        <v>0</v>
      </c>
      <c r="AD3304" s="580">
        <f t="shared" si="291"/>
        <v>5</v>
      </c>
      <c r="AE3304" s="580">
        <f t="shared" si="292"/>
        <v>2.5</v>
      </c>
      <c r="AF3304" s="580">
        <f t="shared" si="293"/>
        <v>2.5</v>
      </c>
      <c r="AG3304" s="580">
        <f t="shared" si="294"/>
        <v>0</v>
      </c>
      <c r="AH3304" s="580">
        <f t="shared" si="295"/>
        <v>0</v>
      </c>
    </row>
    <row r="3305" spans="28:34">
      <c r="AB3305" s="580">
        <f>HLOOKUP("*"&amp;'Output annual'!$AC$2&amp;'Output annual'!$AD$2&amp;"*Zone People Number Of Occupants [](Hourly)",'Eplus results'!$1:$1048576,ROW(),FALSE)</f>
        <v>0</v>
      </c>
      <c r="AC3305" s="580">
        <f>HLOOKUP("*"&amp;'Output annual'!$AC$2&amp;'Output annual'!$AD$2&amp;"*FangerPMV(Hourly)",'Eplus results'!$1:$1048576,ROW(),FALSE)</f>
        <v>0</v>
      </c>
      <c r="AD3305" s="580">
        <f t="shared" si="291"/>
        <v>5</v>
      </c>
      <c r="AE3305" s="580">
        <f t="shared" si="292"/>
        <v>2.5</v>
      </c>
      <c r="AF3305" s="580">
        <f t="shared" si="293"/>
        <v>2.5</v>
      </c>
      <c r="AG3305" s="580">
        <f t="shared" si="294"/>
        <v>0</v>
      </c>
      <c r="AH3305" s="580">
        <f t="shared" si="295"/>
        <v>0</v>
      </c>
    </row>
    <row r="3306" spans="28:34">
      <c r="AB3306" s="580">
        <f>HLOOKUP("*"&amp;'Output annual'!$AC$2&amp;'Output annual'!$AD$2&amp;"*Zone People Number Of Occupants [](Hourly)",'Eplus results'!$1:$1048576,ROW(),FALSE)</f>
        <v>0</v>
      </c>
      <c r="AC3306" s="580">
        <f>HLOOKUP("*"&amp;'Output annual'!$AC$2&amp;'Output annual'!$AD$2&amp;"*FangerPMV(Hourly)",'Eplus results'!$1:$1048576,ROW(),FALSE)</f>
        <v>0</v>
      </c>
      <c r="AD3306" s="580">
        <f t="shared" si="291"/>
        <v>5</v>
      </c>
      <c r="AE3306" s="580">
        <f t="shared" si="292"/>
        <v>2.5</v>
      </c>
      <c r="AF3306" s="580">
        <f t="shared" si="293"/>
        <v>2.5</v>
      </c>
      <c r="AG3306" s="580">
        <f t="shared" si="294"/>
        <v>0</v>
      </c>
      <c r="AH3306" s="580">
        <f t="shared" si="295"/>
        <v>0</v>
      </c>
    </row>
    <row r="3307" spans="28:34">
      <c r="AB3307" s="580">
        <f>HLOOKUP("*"&amp;'Output annual'!$AC$2&amp;'Output annual'!$AD$2&amp;"*Zone People Number Of Occupants [](Hourly)",'Eplus results'!$1:$1048576,ROW(),FALSE)</f>
        <v>0</v>
      </c>
      <c r="AC3307" s="580">
        <f>HLOOKUP("*"&amp;'Output annual'!$AC$2&amp;'Output annual'!$AD$2&amp;"*FangerPMV(Hourly)",'Eplus results'!$1:$1048576,ROW(),FALSE)</f>
        <v>0</v>
      </c>
      <c r="AD3307" s="580">
        <f t="shared" si="291"/>
        <v>5</v>
      </c>
      <c r="AE3307" s="580">
        <f t="shared" si="292"/>
        <v>2.5</v>
      </c>
      <c r="AF3307" s="580">
        <f t="shared" si="293"/>
        <v>2.5</v>
      </c>
      <c r="AG3307" s="580">
        <f t="shared" si="294"/>
        <v>0</v>
      </c>
      <c r="AH3307" s="580">
        <f t="shared" si="295"/>
        <v>0</v>
      </c>
    </row>
    <row r="3308" spans="28:34">
      <c r="AB3308" s="580">
        <f>HLOOKUP("*"&amp;'Output annual'!$AC$2&amp;'Output annual'!$AD$2&amp;"*Zone People Number Of Occupants [](Hourly)",'Eplus results'!$1:$1048576,ROW(),FALSE)</f>
        <v>0</v>
      </c>
      <c r="AC3308" s="580">
        <f>HLOOKUP("*"&amp;'Output annual'!$AC$2&amp;'Output annual'!$AD$2&amp;"*FangerPMV(Hourly)",'Eplus results'!$1:$1048576,ROW(),FALSE)</f>
        <v>0</v>
      </c>
      <c r="AD3308" s="580">
        <f t="shared" si="291"/>
        <v>5</v>
      </c>
      <c r="AE3308" s="580">
        <f t="shared" si="292"/>
        <v>2.5</v>
      </c>
      <c r="AF3308" s="580">
        <f t="shared" si="293"/>
        <v>2.5</v>
      </c>
      <c r="AG3308" s="580">
        <f t="shared" si="294"/>
        <v>0</v>
      </c>
      <c r="AH3308" s="580">
        <f t="shared" si="295"/>
        <v>0</v>
      </c>
    </row>
    <row r="3309" spans="28:34">
      <c r="AB3309" s="580">
        <f>HLOOKUP("*"&amp;'Output annual'!$AC$2&amp;'Output annual'!$AD$2&amp;"*Zone People Number Of Occupants [](Hourly)",'Eplus results'!$1:$1048576,ROW(),FALSE)</f>
        <v>0</v>
      </c>
      <c r="AC3309" s="580">
        <f>HLOOKUP("*"&amp;'Output annual'!$AC$2&amp;'Output annual'!$AD$2&amp;"*FangerPMV(Hourly)",'Eplus results'!$1:$1048576,ROW(),FALSE)</f>
        <v>0</v>
      </c>
      <c r="AD3309" s="580">
        <f t="shared" si="291"/>
        <v>5</v>
      </c>
      <c r="AE3309" s="580">
        <f t="shared" si="292"/>
        <v>2.5</v>
      </c>
      <c r="AF3309" s="580">
        <f t="shared" si="293"/>
        <v>2.5</v>
      </c>
      <c r="AG3309" s="580">
        <f t="shared" si="294"/>
        <v>0</v>
      </c>
      <c r="AH3309" s="580">
        <f t="shared" si="295"/>
        <v>0</v>
      </c>
    </row>
    <row r="3310" spans="28:34">
      <c r="AB3310" s="580">
        <f>HLOOKUP("*"&amp;'Output annual'!$AC$2&amp;'Output annual'!$AD$2&amp;"*Zone People Number Of Occupants [](Hourly)",'Eplus results'!$1:$1048576,ROW(),FALSE)</f>
        <v>0</v>
      </c>
      <c r="AC3310" s="580">
        <f>HLOOKUP("*"&amp;'Output annual'!$AC$2&amp;'Output annual'!$AD$2&amp;"*FangerPMV(Hourly)",'Eplus results'!$1:$1048576,ROW(),FALSE)</f>
        <v>0</v>
      </c>
      <c r="AD3310" s="580">
        <f t="shared" si="291"/>
        <v>5</v>
      </c>
      <c r="AE3310" s="580">
        <f t="shared" si="292"/>
        <v>2.5</v>
      </c>
      <c r="AF3310" s="580">
        <f t="shared" si="293"/>
        <v>2.5</v>
      </c>
      <c r="AG3310" s="580">
        <f t="shared" si="294"/>
        <v>0</v>
      </c>
      <c r="AH3310" s="580">
        <f t="shared" si="295"/>
        <v>0</v>
      </c>
    </row>
    <row r="3311" spans="28:34">
      <c r="AB3311" s="580">
        <f>HLOOKUP("*"&amp;'Output annual'!$AC$2&amp;'Output annual'!$AD$2&amp;"*Zone People Number Of Occupants [](Hourly)",'Eplus results'!$1:$1048576,ROW(),FALSE)</f>
        <v>0</v>
      </c>
      <c r="AC3311" s="580">
        <f>HLOOKUP("*"&amp;'Output annual'!$AC$2&amp;'Output annual'!$AD$2&amp;"*FangerPMV(Hourly)",'Eplus results'!$1:$1048576,ROW(),FALSE)</f>
        <v>0</v>
      </c>
      <c r="AD3311" s="580">
        <f t="shared" si="291"/>
        <v>5</v>
      </c>
      <c r="AE3311" s="580">
        <f t="shared" si="292"/>
        <v>2.5</v>
      </c>
      <c r="AF3311" s="580">
        <f t="shared" si="293"/>
        <v>2.5</v>
      </c>
      <c r="AG3311" s="580">
        <f t="shared" si="294"/>
        <v>0</v>
      </c>
      <c r="AH3311" s="580">
        <f t="shared" si="295"/>
        <v>0</v>
      </c>
    </row>
    <row r="3312" spans="28:34">
      <c r="AB3312" s="580">
        <f>HLOOKUP("*"&amp;'Output annual'!$AC$2&amp;'Output annual'!$AD$2&amp;"*Zone People Number Of Occupants [](Hourly)",'Eplus results'!$1:$1048576,ROW(),FALSE)</f>
        <v>0</v>
      </c>
      <c r="AC3312" s="580">
        <f>HLOOKUP("*"&amp;'Output annual'!$AC$2&amp;'Output annual'!$AD$2&amp;"*FangerPMV(Hourly)",'Eplus results'!$1:$1048576,ROW(),FALSE)</f>
        <v>0</v>
      </c>
      <c r="AD3312" s="580">
        <f t="shared" si="291"/>
        <v>5</v>
      </c>
      <c r="AE3312" s="580">
        <f t="shared" si="292"/>
        <v>2.5</v>
      </c>
      <c r="AF3312" s="580">
        <f t="shared" si="293"/>
        <v>2.5</v>
      </c>
      <c r="AG3312" s="580">
        <f t="shared" si="294"/>
        <v>0</v>
      </c>
      <c r="AH3312" s="580">
        <f t="shared" si="295"/>
        <v>0</v>
      </c>
    </row>
    <row r="3313" spans="28:34">
      <c r="AB3313" s="580">
        <f>HLOOKUP("*"&amp;'Output annual'!$AC$2&amp;'Output annual'!$AD$2&amp;"*Zone People Number Of Occupants [](Hourly)",'Eplus results'!$1:$1048576,ROW(),FALSE)</f>
        <v>0</v>
      </c>
      <c r="AC3313" s="580">
        <f>HLOOKUP("*"&amp;'Output annual'!$AC$2&amp;'Output annual'!$AD$2&amp;"*FangerPMV(Hourly)",'Eplus results'!$1:$1048576,ROW(),FALSE)</f>
        <v>0</v>
      </c>
      <c r="AD3313" s="580">
        <f t="shared" si="291"/>
        <v>5</v>
      </c>
      <c r="AE3313" s="580">
        <f t="shared" si="292"/>
        <v>2.5</v>
      </c>
      <c r="AF3313" s="580">
        <f t="shared" si="293"/>
        <v>2.5</v>
      </c>
      <c r="AG3313" s="580">
        <f t="shared" si="294"/>
        <v>0</v>
      </c>
      <c r="AH3313" s="580">
        <f t="shared" si="295"/>
        <v>0</v>
      </c>
    </row>
    <row r="3314" spans="28:34">
      <c r="AB3314" s="580">
        <f>HLOOKUP("*"&amp;'Output annual'!$AC$2&amp;'Output annual'!$AD$2&amp;"*Zone People Number Of Occupants [](Hourly)",'Eplus results'!$1:$1048576,ROW(),FALSE)</f>
        <v>0</v>
      </c>
      <c r="AC3314" s="580">
        <f>HLOOKUP("*"&amp;'Output annual'!$AC$2&amp;'Output annual'!$AD$2&amp;"*FangerPMV(Hourly)",'Eplus results'!$1:$1048576,ROW(),FALSE)</f>
        <v>0</v>
      </c>
      <c r="AD3314" s="580">
        <f t="shared" si="291"/>
        <v>5</v>
      </c>
      <c r="AE3314" s="580">
        <f t="shared" si="292"/>
        <v>2.5</v>
      </c>
      <c r="AF3314" s="580">
        <f t="shared" si="293"/>
        <v>2.5</v>
      </c>
      <c r="AG3314" s="580">
        <f t="shared" si="294"/>
        <v>0</v>
      </c>
      <c r="AH3314" s="580">
        <f t="shared" si="295"/>
        <v>0</v>
      </c>
    </row>
    <row r="3315" spans="28:34">
      <c r="AB3315" s="580">
        <f>HLOOKUP("*"&amp;'Output annual'!$AC$2&amp;'Output annual'!$AD$2&amp;"*Zone People Number Of Occupants [](Hourly)",'Eplus results'!$1:$1048576,ROW(),FALSE)</f>
        <v>0</v>
      </c>
      <c r="AC3315" s="580">
        <f>HLOOKUP("*"&amp;'Output annual'!$AC$2&amp;'Output annual'!$AD$2&amp;"*FangerPMV(Hourly)",'Eplus results'!$1:$1048576,ROW(),FALSE)</f>
        <v>0</v>
      </c>
      <c r="AD3315" s="580">
        <f t="shared" si="291"/>
        <v>5</v>
      </c>
      <c r="AE3315" s="580">
        <f t="shared" si="292"/>
        <v>2.5</v>
      </c>
      <c r="AF3315" s="580">
        <f t="shared" si="293"/>
        <v>2.5</v>
      </c>
      <c r="AG3315" s="580">
        <f t="shared" si="294"/>
        <v>0</v>
      </c>
      <c r="AH3315" s="580">
        <f t="shared" si="295"/>
        <v>0</v>
      </c>
    </row>
    <row r="3316" spans="28:34">
      <c r="AB3316" s="580">
        <f>HLOOKUP("*"&amp;'Output annual'!$AC$2&amp;'Output annual'!$AD$2&amp;"*Zone People Number Of Occupants [](Hourly)",'Eplus results'!$1:$1048576,ROW(),FALSE)</f>
        <v>0</v>
      </c>
      <c r="AC3316" s="580">
        <f>HLOOKUP("*"&amp;'Output annual'!$AC$2&amp;'Output annual'!$AD$2&amp;"*FangerPMV(Hourly)",'Eplus results'!$1:$1048576,ROW(),FALSE)</f>
        <v>0</v>
      </c>
      <c r="AD3316" s="580">
        <f t="shared" si="291"/>
        <v>5</v>
      </c>
      <c r="AE3316" s="580">
        <f t="shared" si="292"/>
        <v>2.5</v>
      </c>
      <c r="AF3316" s="580">
        <f t="shared" si="293"/>
        <v>2.5</v>
      </c>
      <c r="AG3316" s="580">
        <f t="shared" si="294"/>
        <v>0</v>
      </c>
      <c r="AH3316" s="580">
        <f t="shared" si="295"/>
        <v>0</v>
      </c>
    </row>
    <row r="3317" spans="28:34">
      <c r="AB3317" s="580">
        <f>HLOOKUP("*"&amp;'Output annual'!$AC$2&amp;'Output annual'!$AD$2&amp;"*Zone People Number Of Occupants [](Hourly)",'Eplus results'!$1:$1048576,ROW(),FALSE)</f>
        <v>0</v>
      </c>
      <c r="AC3317" s="580">
        <f>HLOOKUP("*"&amp;'Output annual'!$AC$2&amp;'Output annual'!$AD$2&amp;"*FangerPMV(Hourly)",'Eplus results'!$1:$1048576,ROW(),FALSE)</f>
        <v>0</v>
      </c>
      <c r="AD3317" s="580">
        <f t="shared" si="291"/>
        <v>5</v>
      </c>
      <c r="AE3317" s="580">
        <f t="shared" si="292"/>
        <v>2.5</v>
      </c>
      <c r="AF3317" s="580">
        <f t="shared" si="293"/>
        <v>2.5</v>
      </c>
      <c r="AG3317" s="580">
        <f t="shared" si="294"/>
        <v>0</v>
      </c>
      <c r="AH3317" s="580">
        <f t="shared" si="295"/>
        <v>0</v>
      </c>
    </row>
    <row r="3318" spans="28:34">
      <c r="AB3318" s="580">
        <f>HLOOKUP("*"&amp;'Output annual'!$AC$2&amp;'Output annual'!$AD$2&amp;"*Zone People Number Of Occupants [](Hourly)",'Eplus results'!$1:$1048576,ROW(),FALSE)</f>
        <v>0</v>
      </c>
      <c r="AC3318" s="580">
        <f>HLOOKUP("*"&amp;'Output annual'!$AC$2&amp;'Output annual'!$AD$2&amp;"*FangerPMV(Hourly)",'Eplus results'!$1:$1048576,ROW(),FALSE)</f>
        <v>0</v>
      </c>
      <c r="AD3318" s="580">
        <f t="shared" si="291"/>
        <v>5</v>
      </c>
      <c r="AE3318" s="580">
        <f t="shared" si="292"/>
        <v>2.5</v>
      </c>
      <c r="AF3318" s="580">
        <f t="shared" si="293"/>
        <v>2.5</v>
      </c>
      <c r="AG3318" s="580">
        <f t="shared" si="294"/>
        <v>0</v>
      </c>
      <c r="AH3318" s="580">
        <f t="shared" si="295"/>
        <v>0</v>
      </c>
    </row>
    <row r="3319" spans="28:34">
      <c r="AB3319" s="580">
        <f>HLOOKUP("*"&amp;'Output annual'!$AC$2&amp;'Output annual'!$AD$2&amp;"*Zone People Number Of Occupants [](Hourly)",'Eplus results'!$1:$1048576,ROW(),FALSE)</f>
        <v>0</v>
      </c>
      <c r="AC3319" s="580">
        <f>HLOOKUP("*"&amp;'Output annual'!$AC$2&amp;'Output annual'!$AD$2&amp;"*FangerPMV(Hourly)",'Eplus results'!$1:$1048576,ROW(),FALSE)</f>
        <v>0</v>
      </c>
      <c r="AD3319" s="580">
        <f t="shared" si="291"/>
        <v>5</v>
      </c>
      <c r="AE3319" s="580">
        <f t="shared" si="292"/>
        <v>2.5</v>
      </c>
      <c r="AF3319" s="580">
        <f t="shared" si="293"/>
        <v>2.5</v>
      </c>
      <c r="AG3319" s="580">
        <f t="shared" si="294"/>
        <v>0</v>
      </c>
      <c r="AH3319" s="580">
        <f t="shared" si="295"/>
        <v>0</v>
      </c>
    </row>
    <row r="3320" spans="28:34">
      <c r="AB3320" s="580">
        <f>HLOOKUP("*"&amp;'Output annual'!$AC$2&amp;'Output annual'!$AD$2&amp;"*Zone People Number Of Occupants [](Hourly)",'Eplus results'!$1:$1048576,ROW(),FALSE)</f>
        <v>0</v>
      </c>
      <c r="AC3320" s="580">
        <f>HLOOKUP("*"&amp;'Output annual'!$AC$2&amp;'Output annual'!$AD$2&amp;"*FangerPMV(Hourly)",'Eplus results'!$1:$1048576,ROW(),FALSE)</f>
        <v>0</v>
      </c>
      <c r="AD3320" s="580">
        <f t="shared" si="291"/>
        <v>5</v>
      </c>
      <c r="AE3320" s="580">
        <f t="shared" si="292"/>
        <v>2.5</v>
      </c>
      <c r="AF3320" s="580">
        <f t="shared" si="293"/>
        <v>2.5</v>
      </c>
      <c r="AG3320" s="580">
        <f t="shared" si="294"/>
        <v>0</v>
      </c>
      <c r="AH3320" s="580">
        <f t="shared" si="295"/>
        <v>0</v>
      </c>
    </row>
    <row r="3321" spans="28:34">
      <c r="AB3321" s="580">
        <f>HLOOKUP("*"&amp;'Output annual'!$AC$2&amp;'Output annual'!$AD$2&amp;"*Zone People Number Of Occupants [](Hourly)",'Eplus results'!$1:$1048576,ROW(),FALSE)</f>
        <v>0</v>
      </c>
      <c r="AC3321" s="580">
        <f>HLOOKUP("*"&amp;'Output annual'!$AC$2&amp;'Output annual'!$AD$2&amp;"*FangerPMV(Hourly)",'Eplus results'!$1:$1048576,ROW(),FALSE)</f>
        <v>0</v>
      </c>
      <c r="AD3321" s="580">
        <f t="shared" si="291"/>
        <v>5</v>
      </c>
      <c r="AE3321" s="580">
        <f t="shared" si="292"/>
        <v>2.5</v>
      </c>
      <c r="AF3321" s="580">
        <f t="shared" si="293"/>
        <v>2.5</v>
      </c>
      <c r="AG3321" s="580">
        <f t="shared" si="294"/>
        <v>0</v>
      </c>
      <c r="AH3321" s="580">
        <f t="shared" si="295"/>
        <v>0</v>
      </c>
    </row>
    <row r="3322" spans="28:34">
      <c r="AB3322" s="580">
        <f>HLOOKUP("*"&amp;'Output annual'!$AC$2&amp;'Output annual'!$AD$2&amp;"*Zone People Number Of Occupants [](Hourly)",'Eplus results'!$1:$1048576,ROW(),FALSE)</f>
        <v>0</v>
      </c>
      <c r="AC3322" s="580">
        <f>HLOOKUP("*"&amp;'Output annual'!$AC$2&amp;'Output annual'!$AD$2&amp;"*FangerPMV(Hourly)",'Eplus results'!$1:$1048576,ROW(),FALSE)</f>
        <v>0</v>
      </c>
      <c r="AD3322" s="580">
        <f t="shared" si="291"/>
        <v>5</v>
      </c>
      <c r="AE3322" s="580">
        <f t="shared" si="292"/>
        <v>2.5</v>
      </c>
      <c r="AF3322" s="580">
        <f t="shared" si="293"/>
        <v>2.5</v>
      </c>
      <c r="AG3322" s="580">
        <f t="shared" si="294"/>
        <v>0</v>
      </c>
      <c r="AH3322" s="580">
        <f t="shared" si="295"/>
        <v>0</v>
      </c>
    </row>
    <row r="3323" spans="28:34">
      <c r="AB3323" s="580">
        <f>HLOOKUP("*"&amp;'Output annual'!$AC$2&amp;'Output annual'!$AD$2&amp;"*Zone People Number Of Occupants [](Hourly)",'Eplus results'!$1:$1048576,ROW(),FALSE)</f>
        <v>0</v>
      </c>
      <c r="AC3323" s="580">
        <f>HLOOKUP("*"&amp;'Output annual'!$AC$2&amp;'Output annual'!$AD$2&amp;"*FangerPMV(Hourly)",'Eplus results'!$1:$1048576,ROW(),FALSE)</f>
        <v>0</v>
      </c>
      <c r="AD3323" s="580">
        <f t="shared" si="291"/>
        <v>5</v>
      </c>
      <c r="AE3323" s="580">
        <f t="shared" si="292"/>
        <v>2.5</v>
      </c>
      <c r="AF3323" s="580">
        <f t="shared" si="293"/>
        <v>2.5</v>
      </c>
      <c r="AG3323" s="580">
        <f t="shared" si="294"/>
        <v>0</v>
      </c>
      <c r="AH3323" s="580">
        <f t="shared" si="295"/>
        <v>0</v>
      </c>
    </row>
    <row r="3324" spans="28:34">
      <c r="AB3324" s="580">
        <f>HLOOKUP("*"&amp;'Output annual'!$AC$2&amp;'Output annual'!$AD$2&amp;"*Zone People Number Of Occupants [](Hourly)",'Eplus results'!$1:$1048576,ROW(),FALSE)</f>
        <v>0</v>
      </c>
      <c r="AC3324" s="580">
        <f>HLOOKUP("*"&amp;'Output annual'!$AC$2&amp;'Output annual'!$AD$2&amp;"*FangerPMV(Hourly)",'Eplus results'!$1:$1048576,ROW(),FALSE)</f>
        <v>0</v>
      </c>
      <c r="AD3324" s="580">
        <f t="shared" si="291"/>
        <v>5</v>
      </c>
      <c r="AE3324" s="580">
        <f t="shared" si="292"/>
        <v>2.5</v>
      </c>
      <c r="AF3324" s="580">
        <f t="shared" si="293"/>
        <v>2.5</v>
      </c>
      <c r="AG3324" s="580">
        <f t="shared" si="294"/>
        <v>0</v>
      </c>
      <c r="AH3324" s="580">
        <f t="shared" si="295"/>
        <v>0</v>
      </c>
    </row>
    <row r="3325" spans="28:34">
      <c r="AB3325" s="580">
        <f>HLOOKUP("*"&amp;'Output annual'!$AC$2&amp;'Output annual'!$AD$2&amp;"*Zone People Number Of Occupants [](Hourly)",'Eplus results'!$1:$1048576,ROW(),FALSE)</f>
        <v>0</v>
      </c>
      <c r="AC3325" s="580">
        <f>HLOOKUP("*"&amp;'Output annual'!$AC$2&amp;'Output annual'!$AD$2&amp;"*FangerPMV(Hourly)",'Eplus results'!$1:$1048576,ROW(),FALSE)</f>
        <v>0</v>
      </c>
      <c r="AD3325" s="580">
        <f t="shared" si="291"/>
        <v>5</v>
      </c>
      <c r="AE3325" s="580">
        <f t="shared" si="292"/>
        <v>2.5</v>
      </c>
      <c r="AF3325" s="580">
        <f t="shared" si="293"/>
        <v>2.5</v>
      </c>
      <c r="AG3325" s="580">
        <f t="shared" si="294"/>
        <v>0</v>
      </c>
      <c r="AH3325" s="580">
        <f t="shared" si="295"/>
        <v>0</v>
      </c>
    </row>
    <row r="3326" spans="28:34">
      <c r="AB3326" s="580">
        <f>HLOOKUP("*"&amp;'Output annual'!$AC$2&amp;'Output annual'!$AD$2&amp;"*Zone People Number Of Occupants [](Hourly)",'Eplus results'!$1:$1048576,ROW(),FALSE)</f>
        <v>0</v>
      </c>
      <c r="AC3326" s="580">
        <f>HLOOKUP("*"&amp;'Output annual'!$AC$2&amp;'Output annual'!$AD$2&amp;"*FangerPMV(Hourly)",'Eplus results'!$1:$1048576,ROW(),FALSE)</f>
        <v>0</v>
      </c>
      <c r="AD3326" s="580">
        <f t="shared" si="291"/>
        <v>5</v>
      </c>
      <c r="AE3326" s="580">
        <f t="shared" si="292"/>
        <v>2.5</v>
      </c>
      <c r="AF3326" s="580">
        <f t="shared" si="293"/>
        <v>2.5</v>
      </c>
      <c r="AG3326" s="580">
        <f t="shared" si="294"/>
        <v>0</v>
      </c>
      <c r="AH3326" s="580">
        <f t="shared" si="295"/>
        <v>0</v>
      </c>
    </row>
    <row r="3327" spans="28:34">
      <c r="AB3327" s="580">
        <f>HLOOKUP("*"&amp;'Output annual'!$AC$2&amp;'Output annual'!$AD$2&amp;"*Zone People Number Of Occupants [](Hourly)",'Eplus results'!$1:$1048576,ROW(),FALSE)</f>
        <v>0</v>
      </c>
      <c r="AC3327" s="580">
        <f>HLOOKUP("*"&amp;'Output annual'!$AC$2&amp;'Output annual'!$AD$2&amp;"*FangerPMV(Hourly)",'Eplus results'!$1:$1048576,ROW(),FALSE)</f>
        <v>0</v>
      </c>
      <c r="AD3327" s="580">
        <f t="shared" si="291"/>
        <v>5</v>
      </c>
      <c r="AE3327" s="580">
        <f t="shared" si="292"/>
        <v>2.5</v>
      </c>
      <c r="AF3327" s="580">
        <f t="shared" si="293"/>
        <v>2.5</v>
      </c>
      <c r="AG3327" s="580">
        <f t="shared" si="294"/>
        <v>0</v>
      </c>
      <c r="AH3327" s="580">
        <f t="shared" si="295"/>
        <v>0</v>
      </c>
    </row>
    <row r="3328" spans="28:34">
      <c r="AB3328" s="580">
        <f>HLOOKUP("*"&amp;'Output annual'!$AC$2&amp;'Output annual'!$AD$2&amp;"*Zone People Number Of Occupants [](Hourly)",'Eplus results'!$1:$1048576,ROW(),FALSE)</f>
        <v>0</v>
      </c>
      <c r="AC3328" s="580">
        <f>HLOOKUP("*"&amp;'Output annual'!$AC$2&amp;'Output annual'!$AD$2&amp;"*FangerPMV(Hourly)",'Eplus results'!$1:$1048576,ROW(),FALSE)</f>
        <v>0</v>
      </c>
      <c r="AD3328" s="580">
        <f t="shared" si="291"/>
        <v>5</v>
      </c>
      <c r="AE3328" s="580">
        <f t="shared" si="292"/>
        <v>2.5</v>
      </c>
      <c r="AF3328" s="580">
        <f t="shared" si="293"/>
        <v>2.5</v>
      </c>
      <c r="AG3328" s="580">
        <f t="shared" si="294"/>
        <v>0</v>
      </c>
      <c r="AH3328" s="580">
        <f t="shared" si="295"/>
        <v>0</v>
      </c>
    </row>
    <row r="3329" spans="28:34">
      <c r="AB3329" s="580">
        <f>HLOOKUP("*"&amp;'Output annual'!$AC$2&amp;'Output annual'!$AD$2&amp;"*Zone People Number Of Occupants [](Hourly)",'Eplus results'!$1:$1048576,ROW(),FALSE)</f>
        <v>0</v>
      </c>
      <c r="AC3329" s="580">
        <f>HLOOKUP("*"&amp;'Output annual'!$AC$2&amp;'Output annual'!$AD$2&amp;"*FangerPMV(Hourly)",'Eplus results'!$1:$1048576,ROW(),FALSE)</f>
        <v>0</v>
      </c>
      <c r="AD3329" s="580">
        <f t="shared" si="291"/>
        <v>5</v>
      </c>
      <c r="AE3329" s="580">
        <f t="shared" si="292"/>
        <v>2.5</v>
      </c>
      <c r="AF3329" s="580">
        <f t="shared" si="293"/>
        <v>2.5</v>
      </c>
      <c r="AG3329" s="580">
        <f t="shared" si="294"/>
        <v>0</v>
      </c>
      <c r="AH3329" s="580">
        <f t="shared" si="295"/>
        <v>0</v>
      </c>
    </row>
    <row r="3330" spans="28:34">
      <c r="AB3330" s="580">
        <f>HLOOKUP("*"&amp;'Output annual'!$AC$2&amp;'Output annual'!$AD$2&amp;"*Zone People Number Of Occupants [](Hourly)",'Eplus results'!$1:$1048576,ROW(),FALSE)</f>
        <v>0</v>
      </c>
      <c r="AC3330" s="580">
        <f>HLOOKUP("*"&amp;'Output annual'!$AC$2&amp;'Output annual'!$AD$2&amp;"*FangerPMV(Hourly)",'Eplus results'!$1:$1048576,ROW(),FALSE)</f>
        <v>0</v>
      </c>
      <c r="AD3330" s="580">
        <f t="shared" si="291"/>
        <v>5</v>
      </c>
      <c r="AE3330" s="580">
        <f t="shared" si="292"/>
        <v>2.5</v>
      </c>
      <c r="AF3330" s="580">
        <f t="shared" si="293"/>
        <v>2.5</v>
      </c>
      <c r="AG3330" s="580">
        <f t="shared" si="294"/>
        <v>0</v>
      </c>
      <c r="AH3330" s="580">
        <f t="shared" si="295"/>
        <v>0</v>
      </c>
    </row>
    <row r="3331" spans="28:34">
      <c r="AB3331" s="580">
        <f>HLOOKUP("*"&amp;'Output annual'!$AC$2&amp;'Output annual'!$AD$2&amp;"*Zone People Number Of Occupants [](Hourly)",'Eplus results'!$1:$1048576,ROW(),FALSE)</f>
        <v>0</v>
      </c>
      <c r="AC3331" s="580">
        <f>HLOOKUP("*"&amp;'Output annual'!$AC$2&amp;'Output annual'!$AD$2&amp;"*FangerPMV(Hourly)",'Eplus results'!$1:$1048576,ROW(),FALSE)</f>
        <v>0</v>
      </c>
      <c r="AD3331" s="580">
        <f t="shared" ref="AD3331:AD3394" si="296">100-95*EXP(-0.03353*AC3331^4-0.2179*AC3331^2)</f>
        <v>5</v>
      </c>
      <c r="AE3331" s="580">
        <f t="shared" ref="AE3331:AE3394" si="297">AD3331*(1/(1+EXP(-6.3*$AC3331)))</f>
        <v>2.5</v>
      </c>
      <c r="AF3331" s="580">
        <f t="shared" ref="AF3331:AF3394" si="298">(AD3331-AE3331)</f>
        <v>2.5</v>
      </c>
      <c r="AG3331" s="580">
        <f t="shared" ref="AG3331:AG3394" si="299">AE3331*AB3331</f>
        <v>0</v>
      </c>
      <c r="AH3331" s="580">
        <f t="shared" ref="AH3331:AH3394" si="300">AF3331*AB3331</f>
        <v>0</v>
      </c>
    </row>
    <row r="3332" spans="28:34">
      <c r="AB3332" s="580">
        <f>HLOOKUP("*"&amp;'Output annual'!$AC$2&amp;'Output annual'!$AD$2&amp;"*Zone People Number Of Occupants [](Hourly)",'Eplus results'!$1:$1048576,ROW(),FALSE)</f>
        <v>0</v>
      </c>
      <c r="AC3332" s="580">
        <f>HLOOKUP("*"&amp;'Output annual'!$AC$2&amp;'Output annual'!$AD$2&amp;"*FangerPMV(Hourly)",'Eplus results'!$1:$1048576,ROW(),FALSE)</f>
        <v>0</v>
      </c>
      <c r="AD3332" s="580">
        <f t="shared" si="296"/>
        <v>5</v>
      </c>
      <c r="AE3332" s="580">
        <f t="shared" si="297"/>
        <v>2.5</v>
      </c>
      <c r="AF3332" s="580">
        <f t="shared" si="298"/>
        <v>2.5</v>
      </c>
      <c r="AG3332" s="580">
        <f t="shared" si="299"/>
        <v>0</v>
      </c>
      <c r="AH3332" s="580">
        <f t="shared" si="300"/>
        <v>0</v>
      </c>
    </row>
    <row r="3333" spans="28:34">
      <c r="AB3333" s="580">
        <f>HLOOKUP("*"&amp;'Output annual'!$AC$2&amp;'Output annual'!$AD$2&amp;"*Zone People Number Of Occupants [](Hourly)",'Eplus results'!$1:$1048576,ROW(),FALSE)</f>
        <v>0</v>
      </c>
      <c r="AC3333" s="580">
        <f>HLOOKUP("*"&amp;'Output annual'!$AC$2&amp;'Output annual'!$AD$2&amp;"*FangerPMV(Hourly)",'Eplus results'!$1:$1048576,ROW(),FALSE)</f>
        <v>0</v>
      </c>
      <c r="AD3333" s="580">
        <f t="shared" si="296"/>
        <v>5</v>
      </c>
      <c r="AE3333" s="580">
        <f t="shared" si="297"/>
        <v>2.5</v>
      </c>
      <c r="AF3333" s="580">
        <f t="shared" si="298"/>
        <v>2.5</v>
      </c>
      <c r="AG3333" s="580">
        <f t="shared" si="299"/>
        <v>0</v>
      </c>
      <c r="AH3333" s="580">
        <f t="shared" si="300"/>
        <v>0</v>
      </c>
    </row>
    <row r="3334" spans="28:34">
      <c r="AB3334" s="580">
        <f>HLOOKUP("*"&amp;'Output annual'!$AC$2&amp;'Output annual'!$AD$2&amp;"*Zone People Number Of Occupants [](Hourly)",'Eplus results'!$1:$1048576,ROW(),FALSE)</f>
        <v>0</v>
      </c>
      <c r="AC3334" s="580">
        <f>HLOOKUP("*"&amp;'Output annual'!$AC$2&amp;'Output annual'!$AD$2&amp;"*FangerPMV(Hourly)",'Eplus results'!$1:$1048576,ROW(),FALSE)</f>
        <v>0</v>
      </c>
      <c r="AD3334" s="580">
        <f t="shared" si="296"/>
        <v>5</v>
      </c>
      <c r="AE3334" s="580">
        <f t="shared" si="297"/>
        <v>2.5</v>
      </c>
      <c r="AF3334" s="580">
        <f t="shared" si="298"/>
        <v>2.5</v>
      </c>
      <c r="AG3334" s="580">
        <f t="shared" si="299"/>
        <v>0</v>
      </c>
      <c r="AH3334" s="580">
        <f t="shared" si="300"/>
        <v>0</v>
      </c>
    </row>
    <row r="3335" spans="28:34">
      <c r="AB3335" s="580">
        <f>HLOOKUP("*"&amp;'Output annual'!$AC$2&amp;'Output annual'!$AD$2&amp;"*Zone People Number Of Occupants [](Hourly)",'Eplus results'!$1:$1048576,ROW(),FALSE)</f>
        <v>0</v>
      </c>
      <c r="AC3335" s="580">
        <f>HLOOKUP("*"&amp;'Output annual'!$AC$2&amp;'Output annual'!$AD$2&amp;"*FangerPMV(Hourly)",'Eplus results'!$1:$1048576,ROW(),FALSE)</f>
        <v>0</v>
      </c>
      <c r="AD3335" s="580">
        <f t="shared" si="296"/>
        <v>5</v>
      </c>
      <c r="AE3335" s="580">
        <f t="shared" si="297"/>
        <v>2.5</v>
      </c>
      <c r="AF3335" s="580">
        <f t="shared" si="298"/>
        <v>2.5</v>
      </c>
      <c r="AG3335" s="580">
        <f t="shared" si="299"/>
        <v>0</v>
      </c>
      <c r="AH3335" s="580">
        <f t="shared" si="300"/>
        <v>0</v>
      </c>
    </row>
    <row r="3336" spans="28:34">
      <c r="AB3336" s="580">
        <f>HLOOKUP("*"&amp;'Output annual'!$AC$2&amp;'Output annual'!$AD$2&amp;"*Zone People Number Of Occupants [](Hourly)",'Eplus results'!$1:$1048576,ROW(),FALSE)</f>
        <v>0</v>
      </c>
      <c r="AC3336" s="580">
        <f>HLOOKUP("*"&amp;'Output annual'!$AC$2&amp;'Output annual'!$AD$2&amp;"*FangerPMV(Hourly)",'Eplus results'!$1:$1048576,ROW(),FALSE)</f>
        <v>0</v>
      </c>
      <c r="AD3336" s="580">
        <f t="shared" si="296"/>
        <v>5</v>
      </c>
      <c r="AE3336" s="580">
        <f t="shared" si="297"/>
        <v>2.5</v>
      </c>
      <c r="AF3336" s="580">
        <f t="shared" si="298"/>
        <v>2.5</v>
      </c>
      <c r="AG3336" s="580">
        <f t="shared" si="299"/>
        <v>0</v>
      </c>
      <c r="AH3336" s="580">
        <f t="shared" si="300"/>
        <v>0</v>
      </c>
    </row>
    <row r="3337" spans="28:34">
      <c r="AB3337" s="580">
        <f>HLOOKUP("*"&amp;'Output annual'!$AC$2&amp;'Output annual'!$AD$2&amp;"*Zone People Number Of Occupants [](Hourly)",'Eplus results'!$1:$1048576,ROW(),FALSE)</f>
        <v>0</v>
      </c>
      <c r="AC3337" s="580">
        <f>HLOOKUP("*"&amp;'Output annual'!$AC$2&amp;'Output annual'!$AD$2&amp;"*FangerPMV(Hourly)",'Eplus results'!$1:$1048576,ROW(),FALSE)</f>
        <v>0</v>
      </c>
      <c r="AD3337" s="580">
        <f t="shared" si="296"/>
        <v>5</v>
      </c>
      <c r="AE3337" s="580">
        <f t="shared" si="297"/>
        <v>2.5</v>
      </c>
      <c r="AF3337" s="580">
        <f t="shared" si="298"/>
        <v>2.5</v>
      </c>
      <c r="AG3337" s="580">
        <f t="shared" si="299"/>
        <v>0</v>
      </c>
      <c r="AH3337" s="580">
        <f t="shared" si="300"/>
        <v>0</v>
      </c>
    </row>
    <row r="3338" spans="28:34">
      <c r="AB3338" s="580">
        <f>HLOOKUP("*"&amp;'Output annual'!$AC$2&amp;'Output annual'!$AD$2&amp;"*Zone People Number Of Occupants [](Hourly)",'Eplus results'!$1:$1048576,ROW(),FALSE)</f>
        <v>0</v>
      </c>
      <c r="AC3338" s="580">
        <f>HLOOKUP("*"&amp;'Output annual'!$AC$2&amp;'Output annual'!$AD$2&amp;"*FangerPMV(Hourly)",'Eplus results'!$1:$1048576,ROW(),FALSE)</f>
        <v>0</v>
      </c>
      <c r="AD3338" s="580">
        <f t="shared" si="296"/>
        <v>5</v>
      </c>
      <c r="AE3338" s="580">
        <f t="shared" si="297"/>
        <v>2.5</v>
      </c>
      <c r="AF3338" s="580">
        <f t="shared" si="298"/>
        <v>2.5</v>
      </c>
      <c r="AG3338" s="580">
        <f t="shared" si="299"/>
        <v>0</v>
      </c>
      <c r="AH3338" s="580">
        <f t="shared" si="300"/>
        <v>0</v>
      </c>
    </row>
    <row r="3339" spans="28:34">
      <c r="AB3339" s="580">
        <f>HLOOKUP("*"&amp;'Output annual'!$AC$2&amp;'Output annual'!$AD$2&amp;"*Zone People Number Of Occupants [](Hourly)",'Eplus results'!$1:$1048576,ROW(),FALSE)</f>
        <v>0</v>
      </c>
      <c r="AC3339" s="580">
        <f>HLOOKUP("*"&amp;'Output annual'!$AC$2&amp;'Output annual'!$AD$2&amp;"*FangerPMV(Hourly)",'Eplus results'!$1:$1048576,ROW(),FALSE)</f>
        <v>0</v>
      </c>
      <c r="AD3339" s="580">
        <f t="shared" si="296"/>
        <v>5</v>
      </c>
      <c r="AE3339" s="580">
        <f t="shared" si="297"/>
        <v>2.5</v>
      </c>
      <c r="AF3339" s="580">
        <f t="shared" si="298"/>
        <v>2.5</v>
      </c>
      <c r="AG3339" s="580">
        <f t="shared" si="299"/>
        <v>0</v>
      </c>
      <c r="AH3339" s="580">
        <f t="shared" si="300"/>
        <v>0</v>
      </c>
    </row>
    <row r="3340" spans="28:34">
      <c r="AB3340" s="580">
        <f>HLOOKUP("*"&amp;'Output annual'!$AC$2&amp;'Output annual'!$AD$2&amp;"*Zone People Number Of Occupants [](Hourly)",'Eplus results'!$1:$1048576,ROW(),FALSE)</f>
        <v>0</v>
      </c>
      <c r="AC3340" s="580">
        <f>HLOOKUP("*"&amp;'Output annual'!$AC$2&amp;'Output annual'!$AD$2&amp;"*FangerPMV(Hourly)",'Eplus results'!$1:$1048576,ROW(),FALSE)</f>
        <v>0</v>
      </c>
      <c r="AD3340" s="580">
        <f t="shared" si="296"/>
        <v>5</v>
      </c>
      <c r="AE3340" s="580">
        <f t="shared" si="297"/>
        <v>2.5</v>
      </c>
      <c r="AF3340" s="580">
        <f t="shared" si="298"/>
        <v>2.5</v>
      </c>
      <c r="AG3340" s="580">
        <f t="shared" si="299"/>
        <v>0</v>
      </c>
      <c r="AH3340" s="580">
        <f t="shared" si="300"/>
        <v>0</v>
      </c>
    </row>
    <row r="3341" spans="28:34">
      <c r="AB3341" s="580">
        <f>HLOOKUP("*"&amp;'Output annual'!$AC$2&amp;'Output annual'!$AD$2&amp;"*Zone People Number Of Occupants [](Hourly)",'Eplus results'!$1:$1048576,ROW(),FALSE)</f>
        <v>0</v>
      </c>
      <c r="AC3341" s="580">
        <f>HLOOKUP("*"&amp;'Output annual'!$AC$2&amp;'Output annual'!$AD$2&amp;"*FangerPMV(Hourly)",'Eplus results'!$1:$1048576,ROW(),FALSE)</f>
        <v>0</v>
      </c>
      <c r="AD3341" s="580">
        <f t="shared" si="296"/>
        <v>5</v>
      </c>
      <c r="AE3341" s="580">
        <f t="shared" si="297"/>
        <v>2.5</v>
      </c>
      <c r="AF3341" s="580">
        <f t="shared" si="298"/>
        <v>2.5</v>
      </c>
      <c r="AG3341" s="580">
        <f t="shared" si="299"/>
        <v>0</v>
      </c>
      <c r="AH3341" s="580">
        <f t="shared" si="300"/>
        <v>0</v>
      </c>
    </row>
    <row r="3342" spans="28:34">
      <c r="AB3342" s="580">
        <f>HLOOKUP("*"&amp;'Output annual'!$AC$2&amp;'Output annual'!$AD$2&amp;"*Zone People Number Of Occupants [](Hourly)",'Eplus results'!$1:$1048576,ROW(),FALSE)</f>
        <v>0</v>
      </c>
      <c r="AC3342" s="580">
        <f>HLOOKUP("*"&amp;'Output annual'!$AC$2&amp;'Output annual'!$AD$2&amp;"*FangerPMV(Hourly)",'Eplus results'!$1:$1048576,ROW(),FALSE)</f>
        <v>0</v>
      </c>
      <c r="AD3342" s="580">
        <f t="shared" si="296"/>
        <v>5</v>
      </c>
      <c r="AE3342" s="580">
        <f t="shared" si="297"/>
        <v>2.5</v>
      </c>
      <c r="AF3342" s="580">
        <f t="shared" si="298"/>
        <v>2.5</v>
      </c>
      <c r="AG3342" s="580">
        <f t="shared" si="299"/>
        <v>0</v>
      </c>
      <c r="AH3342" s="580">
        <f t="shared" si="300"/>
        <v>0</v>
      </c>
    </row>
    <row r="3343" spans="28:34">
      <c r="AB3343" s="580">
        <f>HLOOKUP("*"&amp;'Output annual'!$AC$2&amp;'Output annual'!$AD$2&amp;"*Zone People Number Of Occupants [](Hourly)",'Eplus results'!$1:$1048576,ROW(),FALSE)</f>
        <v>0</v>
      </c>
      <c r="AC3343" s="580">
        <f>HLOOKUP("*"&amp;'Output annual'!$AC$2&amp;'Output annual'!$AD$2&amp;"*FangerPMV(Hourly)",'Eplus results'!$1:$1048576,ROW(),FALSE)</f>
        <v>0</v>
      </c>
      <c r="AD3343" s="580">
        <f t="shared" si="296"/>
        <v>5</v>
      </c>
      <c r="AE3343" s="580">
        <f t="shared" si="297"/>
        <v>2.5</v>
      </c>
      <c r="AF3343" s="580">
        <f t="shared" si="298"/>
        <v>2.5</v>
      </c>
      <c r="AG3343" s="580">
        <f t="shared" si="299"/>
        <v>0</v>
      </c>
      <c r="AH3343" s="580">
        <f t="shared" si="300"/>
        <v>0</v>
      </c>
    </row>
    <row r="3344" spans="28:34">
      <c r="AB3344" s="580">
        <f>HLOOKUP("*"&amp;'Output annual'!$AC$2&amp;'Output annual'!$AD$2&amp;"*Zone People Number Of Occupants [](Hourly)",'Eplus results'!$1:$1048576,ROW(),FALSE)</f>
        <v>0</v>
      </c>
      <c r="AC3344" s="580">
        <f>HLOOKUP("*"&amp;'Output annual'!$AC$2&amp;'Output annual'!$AD$2&amp;"*FangerPMV(Hourly)",'Eplus results'!$1:$1048576,ROW(),FALSE)</f>
        <v>0</v>
      </c>
      <c r="AD3344" s="580">
        <f t="shared" si="296"/>
        <v>5</v>
      </c>
      <c r="AE3344" s="580">
        <f t="shared" si="297"/>
        <v>2.5</v>
      </c>
      <c r="AF3344" s="580">
        <f t="shared" si="298"/>
        <v>2.5</v>
      </c>
      <c r="AG3344" s="580">
        <f t="shared" si="299"/>
        <v>0</v>
      </c>
      <c r="AH3344" s="580">
        <f t="shared" si="300"/>
        <v>0</v>
      </c>
    </row>
    <row r="3345" spans="28:34">
      <c r="AB3345" s="580">
        <f>HLOOKUP("*"&amp;'Output annual'!$AC$2&amp;'Output annual'!$AD$2&amp;"*Zone People Number Of Occupants [](Hourly)",'Eplus results'!$1:$1048576,ROW(),FALSE)</f>
        <v>0</v>
      </c>
      <c r="AC3345" s="580">
        <f>HLOOKUP("*"&amp;'Output annual'!$AC$2&amp;'Output annual'!$AD$2&amp;"*FangerPMV(Hourly)",'Eplus results'!$1:$1048576,ROW(),FALSE)</f>
        <v>0</v>
      </c>
      <c r="AD3345" s="580">
        <f t="shared" si="296"/>
        <v>5</v>
      </c>
      <c r="AE3345" s="580">
        <f t="shared" si="297"/>
        <v>2.5</v>
      </c>
      <c r="AF3345" s="580">
        <f t="shared" si="298"/>
        <v>2.5</v>
      </c>
      <c r="AG3345" s="580">
        <f t="shared" si="299"/>
        <v>0</v>
      </c>
      <c r="AH3345" s="580">
        <f t="shared" si="300"/>
        <v>0</v>
      </c>
    </row>
    <row r="3346" spans="28:34">
      <c r="AB3346" s="580">
        <f>HLOOKUP("*"&amp;'Output annual'!$AC$2&amp;'Output annual'!$AD$2&amp;"*Zone People Number Of Occupants [](Hourly)",'Eplus results'!$1:$1048576,ROW(),FALSE)</f>
        <v>0</v>
      </c>
      <c r="AC3346" s="580">
        <f>HLOOKUP("*"&amp;'Output annual'!$AC$2&amp;'Output annual'!$AD$2&amp;"*FangerPMV(Hourly)",'Eplus results'!$1:$1048576,ROW(),FALSE)</f>
        <v>0</v>
      </c>
      <c r="AD3346" s="580">
        <f t="shared" si="296"/>
        <v>5</v>
      </c>
      <c r="AE3346" s="580">
        <f t="shared" si="297"/>
        <v>2.5</v>
      </c>
      <c r="AF3346" s="580">
        <f t="shared" si="298"/>
        <v>2.5</v>
      </c>
      <c r="AG3346" s="580">
        <f t="shared" si="299"/>
        <v>0</v>
      </c>
      <c r="AH3346" s="580">
        <f t="shared" si="300"/>
        <v>0</v>
      </c>
    </row>
    <row r="3347" spans="28:34">
      <c r="AB3347" s="580">
        <f>HLOOKUP("*"&amp;'Output annual'!$AC$2&amp;'Output annual'!$AD$2&amp;"*Zone People Number Of Occupants [](Hourly)",'Eplus results'!$1:$1048576,ROW(),FALSE)</f>
        <v>0</v>
      </c>
      <c r="AC3347" s="580">
        <f>HLOOKUP("*"&amp;'Output annual'!$AC$2&amp;'Output annual'!$AD$2&amp;"*FangerPMV(Hourly)",'Eplus results'!$1:$1048576,ROW(),FALSE)</f>
        <v>0</v>
      </c>
      <c r="AD3347" s="580">
        <f t="shared" si="296"/>
        <v>5</v>
      </c>
      <c r="AE3347" s="580">
        <f t="shared" si="297"/>
        <v>2.5</v>
      </c>
      <c r="AF3347" s="580">
        <f t="shared" si="298"/>
        <v>2.5</v>
      </c>
      <c r="AG3347" s="580">
        <f t="shared" si="299"/>
        <v>0</v>
      </c>
      <c r="AH3347" s="580">
        <f t="shared" si="300"/>
        <v>0</v>
      </c>
    </row>
    <row r="3348" spans="28:34">
      <c r="AB3348" s="580">
        <f>HLOOKUP("*"&amp;'Output annual'!$AC$2&amp;'Output annual'!$AD$2&amp;"*Zone People Number Of Occupants [](Hourly)",'Eplus results'!$1:$1048576,ROW(),FALSE)</f>
        <v>0</v>
      </c>
      <c r="AC3348" s="580">
        <f>HLOOKUP("*"&amp;'Output annual'!$AC$2&amp;'Output annual'!$AD$2&amp;"*FangerPMV(Hourly)",'Eplus results'!$1:$1048576,ROW(),FALSE)</f>
        <v>0</v>
      </c>
      <c r="AD3348" s="580">
        <f t="shared" si="296"/>
        <v>5</v>
      </c>
      <c r="AE3348" s="580">
        <f t="shared" si="297"/>
        <v>2.5</v>
      </c>
      <c r="AF3348" s="580">
        <f t="shared" si="298"/>
        <v>2.5</v>
      </c>
      <c r="AG3348" s="580">
        <f t="shared" si="299"/>
        <v>0</v>
      </c>
      <c r="AH3348" s="580">
        <f t="shared" si="300"/>
        <v>0</v>
      </c>
    </row>
    <row r="3349" spans="28:34">
      <c r="AB3349" s="580">
        <f>HLOOKUP("*"&amp;'Output annual'!$AC$2&amp;'Output annual'!$AD$2&amp;"*Zone People Number Of Occupants [](Hourly)",'Eplus results'!$1:$1048576,ROW(),FALSE)</f>
        <v>0</v>
      </c>
      <c r="AC3349" s="580">
        <f>HLOOKUP("*"&amp;'Output annual'!$AC$2&amp;'Output annual'!$AD$2&amp;"*FangerPMV(Hourly)",'Eplus results'!$1:$1048576,ROW(),FALSE)</f>
        <v>0</v>
      </c>
      <c r="AD3349" s="580">
        <f t="shared" si="296"/>
        <v>5</v>
      </c>
      <c r="AE3349" s="580">
        <f t="shared" si="297"/>
        <v>2.5</v>
      </c>
      <c r="AF3349" s="580">
        <f t="shared" si="298"/>
        <v>2.5</v>
      </c>
      <c r="AG3349" s="580">
        <f t="shared" si="299"/>
        <v>0</v>
      </c>
      <c r="AH3349" s="580">
        <f t="shared" si="300"/>
        <v>0</v>
      </c>
    </row>
    <row r="3350" spans="28:34">
      <c r="AB3350" s="580">
        <f>HLOOKUP("*"&amp;'Output annual'!$AC$2&amp;'Output annual'!$AD$2&amp;"*Zone People Number Of Occupants [](Hourly)",'Eplus results'!$1:$1048576,ROW(),FALSE)</f>
        <v>0</v>
      </c>
      <c r="AC3350" s="580">
        <f>HLOOKUP("*"&amp;'Output annual'!$AC$2&amp;'Output annual'!$AD$2&amp;"*FangerPMV(Hourly)",'Eplus results'!$1:$1048576,ROW(),FALSE)</f>
        <v>0</v>
      </c>
      <c r="AD3350" s="580">
        <f t="shared" si="296"/>
        <v>5</v>
      </c>
      <c r="AE3350" s="580">
        <f t="shared" si="297"/>
        <v>2.5</v>
      </c>
      <c r="AF3350" s="580">
        <f t="shared" si="298"/>
        <v>2.5</v>
      </c>
      <c r="AG3350" s="580">
        <f t="shared" si="299"/>
        <v>0</v>
      </c>
      <c r="AH3350" s="580">
        <f t="shared" si="300"/>
        <v>0</v>
      </c>
    </row>
    <row r="3351" spans="28:34">
      <c r="AB3351" s="580">
        <f>HLOOKUP("*"&amp;'Output annual'!$AC$2&amp;'Output annual'!$AD$2&amp;"*Zone People Number Of Occupants [](Hourly)",'Eplus results'!$1:$1048576,ROW(),FALSE)</f>
        <v>0</v>
      </c>
      <c r="AC3351" s="580">
        <f>HLOOKUP("*"&amp;'Output annual'!$AC$2&amp;'Output annual'!$AD$2&amp;"*FangerPMV(Hourly)",'Eplus results'!$1:$1048576,ROW(),FALSE)</f>
        <v>0</v>
      </c>
      <c r="AD3351" s="580">
        <f t="shared" si="296"/>
        <v>5</v>
      </c>
      <c r="AE3351" s="580">
        <f t="shared" si="297"/>
        <v>2.5</v>
      </c>
      <c r="AF3351" s="580">
        <f t="shared" si="298"/>
        <v>2.5</v>
      </c>
      <c r="AG3351" s="580">
        <f t="shared" si="299"/>
        <v>0</v>
      </c>
      <c r="AH3351" s="580">
        <f t="shared" si="300"/>
        <v>0</v>
      </c>
    </row>
    <row r="3352" spans="28:34">
      <c r="AB3352" s="580">
        <f>HLOOKUP("*"&amp;'Output annual'!$AC$2&amp;'Output annual'!$AD$2&amp;"*Zone People Number Of Occupants [](Hourly)",'Eplus results'!$1:$1048576,ROW(),FALSE)</f>
        <v>0</v>
      </c>
      <c r="AC3352" s="580">
        <f>HLOOKUP("*"&amp;'Output annual'!$AC$2&amp;'Output annual'!$AD$2&amp;"*FangerPMV(Hourly)",'Eplus results'!$1:$1048576,ROW(),FALSE)</f>
        <v>0</v>
      </c>
      <c r="AD3352" s="580">
        <f t="shared" si="296"/>
        <v>5</v>
      </c>
      <c r="AE3352" s="580">
        <f t="shared" si="297"/>
        <v>2.5</v>
      </c>
      <c r="AF3352" s="580">
        <f t="shared" si="298"/>
        <v>2.5</v>
      </c>
      <c r="AG3352" s="580">
        <f t="shared" si="299"/>
        <v>0</v>
      </c>
      <c r="AH3352" s="580">
        <f t="shared" si="300"/>
        <v>0</v>
      </c>
    </row>
    <row r="3353" spans="28:34">
      <c r="AB3353" s="580">
        <f>HLOOKUP("*"&amp;'Output annual'!$AC$2&amp;'Output annual'!$AD$2&amp;"*Zone People Number Of Occupants [](Hourly)",'Eplus results'!$1:$1048576,ROW(),FALSE)</f>
        <v>0</v>
      </c>
      <c r="AC3353" s="580">
        <f>HLOOKUP("*"&amp;'Output annual'!$AC$2&amp;'Output annual'!$AD$2&amp;"*FangerPMV(Hourly)",'Eplus results'!$1:$1048576,ROW(),FALSE)</f>
        <v>0</v>
      </c>
      <c r="AD3353" s="580">
        <f t="shared" si="296"/>
        <v>5</v>
      </c>
      <c r="AE3353" s="580">
        <f t="shared" si="297"/>
        <v>2.5</v>
      </c>
      <c r="AF3353" s="580">
        <f t="shared" si="298"/>
        <v>2.5</v>
      </c>
      <c r="AG3353" s="580">
        <f t="shared" si="299"/>
        <v>0</v>
      </c>
      <c r="AH3353" s="580">
        <f t="shared" si="300"/>
        <v>0</v>
      </c>
    </row>
    <row r="3354" spans="28:34">
      <c r="AB3354" s="580">
        <f>HLOOKUP("*"&amp;'Output annual'!$AC$2&amp;'Output annual'!$AD$2&amp;"*Zone People Number Of Occupants [](Hourly)",'Eplus results'!$1:$1048576,ROW(),FALSE)</f>
        <v>0</v>
      </c>
      <c r="AC3354" s="580">
        <f>HLOOKUP("*"&amp;'Output annual'!$AC$2&amp;'Output annual'!$AD$2&amp;"*FangerPMV(Hourly)",'Eplus results'!$1:$1048576,ROW(),FALSE)</f>
        <v>0</v>
      </c>
      <c r="AD3354" s="580">
        <f t="shared" si="296"/>
        <v>5</v>
      </c>
      <c r="AE3354" s="580">
        <f t="shared" si="297"/>
        <v>2.5</v>
      </c>
      <c r="AF3354" s="580">
        <f t="shared" si="298"/>
        <v>2.5</v>
      </c>
      <c r="AG3354" s="580">
        <f t="shared" si="299"/>
        <v>0</v>
      </c>
      <c r="AH3354" s="580">
        <f t="shared" si="300"/>
        <v>0</v>
      </c>
    </row>
    <row r="3355" spans="28:34">
      <c r="AB3355" s="580">
        <f>HLOOKUP("*"&amp;'Output annual'!$AC$2&amp;'Output annual'!$AD$2&amp;"*Zone People Number Of Occupants [](Hourly)",'Eplus results'!$1:$1048576,ROW(),FALSE)</f>
        <v>0</v>
      </c>
      <c r="AC3355" s="580">
        <f>HLOOKUP("*"&amp;'Output annual'!$AC$2&amp;'Output annual'!$AD$2&amp;"*FangerPMV(Hourly)",'Eplus results'!$1:$1048576,ROW(),FALSE)</f>
        <v>0</v>
      </c>
      <c r="AD3355" s="580">
        <f t="shared" si="296"/>
        <v>5</v>
      </c>
      <c r="AE3355" s="580">
        <f t="shared" si="297"/>
        <v>2.5</v>
      </c>
      <c r="AF3355" s="580">
        <f t="shared" si="298"/>
        <v>2.5</v>
      </c>
      <c r="AG3355" s="580">
        <f t="shared" si="299"/>
        <v>0</v>
      </c>
      <c r="AH3355" s="580">
        <f t="shared" si="300"/>
        <v>0</v>
      </c>
    </row>
    <row r="3356" spans="28:34">
      <c r="AB3356" s="580">
        <f>HLOOKUP("*"&amp;'Output annual'!$AC$2&amp;'Output annual'!$AD$2&amp;"*Zone People Number Of Occupants [](Hourly)",'Eplus results'!$1:$1048576,ROW(),FALSE)</f>
        <v>0</v>
      </c>
      <c r="AC3356" s="580">
        <f>HLOOKUP("*"&amp;'Output annual'!$AC$2&amp;'Output annual'!$AD$2&amp;"*FangerPMV(Hourly)",'Eplus results'!$1:$1048576,ROW(),FALSE)</f>
        <v>0</v>
      </c>
      <c r="AD3356" s="580">
        <f t="shared" si="296"/>
        <v>5</v>
      </c>
      <c r="AE3356" s="580">
        <f t="shared" si="297"/>
        <v>2.5</v>
      </c>
      <c r="AF3356" s="580">
        <f t="shared" si="298"/>
        <v>2.5</v>
      </c>
      <c r="AG3356" s="580">
        <f t="shared" si="299"/>
        <v>0</v>
      </c>
      <c r="AH3356" s="580">
        <f t="shared" si="300"/>
        <v>0</v>
      </c>
    </row>
    <row r="3357" spans="28:34">
      <c r="AB3357" s="580">
        <f>HLOOKUP("*"&amp;'Output annual'!$AC$2&amp;'Output annual'!$AD$2&amp;"*Zone People Number Of Occupants [](Hourly)",'Eplus results'!$1:$1048576,ROW(),FALSE)</f>
        <v>0</v>
      </c>
      <c r="AC3357" s="580">
        <f>HLOOKUP("*"&amp;'Output annual'!$AC$2&amp;'Output annual'!$AD$2&amp;"*FangerPMV(Hourly)",'Eplus results'!$1:$1048576,ROW(),FALSE)</f>
        <v>0</v>
      </c>
      <c r="AD3357" s="580">
        <f t="shared" si="296"/>
        <v>5</v>
      </c>
      <c r="AE3357" s="580">
        <f t="shared" si="297"/>
        <v>2.5</v>
      </c>
      <c r="AF3357" s="580">
        <f t="shared" si="298"/>
        <v>2.5</v>
      </c>
      <c r="AG3357" s="580">
        <f t="shared" si="299"/>
        <v>0</v>
      </c>
      <c r="AH3357" s="580">
        <f t="shared" si="300"/>
        <v>0</v>
      </c>
    </row>
    <row r="3358" spans="28:34">
      <c r="AB3358" s="580">
        <f>HLOOKUP("*"&amp;'Output annual'!$AC$2&amp;'Output annual'!$AD$2&amp;"*Zone People Number Of Occupants [](Hourly)",'Eplus results'!$1:$1048576,ROW(),FALSE)</f>
        <v>0</v>
      </c>
      <c r="AC3358" s="580">
        <f>HLOOKUP("*"&amp;'Output annual'!$AC$2&amp;'Output annual'!$AD$2&amp;"*FangerPMV(Hourly)",'Eplus results'!$1:$1048576,ROW(),FALSE)</f>
        <v>0</v>
      </c>
      <c r="AD3358" s="580">
        <f t="shared" si="296"/>
        <v>5</v>
      </c>
      <c r="AE3358" s="580">
        <f t="shared" si="297"/>
        <v>2.5</v>
      </c>
      <c r="AF3358" s="580">
        <f t="shared" si="298"/>
        <v>2.5</v>
      </c>
      <c r="AG3358" s="580">
        <f t="shared" si="299"/>
        <v>0</v>
      </c>
      <c r="AH3358" s="580">
        <f t="shared" si="300"/>
        <v>0</v>
      </c>
    </row>
    <row r="3359" spans="28:34">
      <c r="AB3359" s="580">
        <f>HLOOKUP("*"&amp;'Output annual'!$AC$2&amp;'Output annual'!$AD$2&amp;"*Zone People Number Of Occupants [](Hourly)",'Eplus results'!$1:$1048576,ROW(),FALSE)</f>
        <v>0</v>
      </c>
      <c r="AC3359" s="580">
        <f>HLOOKUP("*"&amp;'Output annual'!$AC$2&amp;'Output annual'!$AD$2&amp;"*FangerPMV(Hourly)",'Eplus results'!$1:$1048576,ROW(),FALSE)</f>
        <v>0</v>
      </c>
      <c r="AD3359" s="580">
        <f t="shared" si="296"/>
        <v>5</v>
      </c>
      <c r="AE3359" s="580">
        <f t="shared" si="297"/>
        <v>2.5</v>
      </c>
      <c r="AF3359" s="580">
        <f t="shared" si="298"/>
        <v>2.5</v>
      </c>
      <c r="AG3359" s="580">
        <f t="shared" si="299"/>
        <v>0</v>
      </c>
      <c r="AH3359" s="580">
        <f t="shared" si="300"/>
        <v>0</v>
      </c>
    </row>
    <row r="3360" spans="28:34">
      <c r="AB3360" s="580">
        <f>HLOOKUP("*"&amp;'Output annual'!$AC$2&amp;'Output annual'!$AD$2&amp;"*Zone People Number Of Occupants [](Hourly)",'Eplus results'!$1:$1048576,ROW(),FALSE)</f>
        <v>0</v>
      </c>
      <c r="AC3360" s="580">
        <f>HLOOKUP("*"&amp;'Output annual'!$AC$2&amp;'Output annual'!$AD$2&amp;"*FangerPMV(Hourly)",'Eplus results'!$1:$1048576,ROW(),FALSE)</f>
        <v>0</v>
      </c>
      <c r="AD3360" s="580">
        <f t="shared" si="296"/>
        <v>5</v>
      </c>
      <c r="AE3360" s="580">
        <f t="shared" si="297"/>
        <v>2.5</v>
      </c>
      <c r="AF3360" s="580">
        <f t="shared" si="298"/>
        <v>2.5</v>
      </c>
      <c r="AG3360" s="580">
        <f t="shared" si="299"/>
        <v>0</v>
      </c>
      <c r="AH3360" s="580">
        <f t="shared" si="300"/>
        <v>0</v>
      </c>
    </row>
    <row r="3361" spans="28:34">
      <c r="AB3361" s="580">
        <f>HLOOKUP("*"&amp;'Output annual'!$AC$2&amp;'Output annual'!$AD$2&amp;"*Zone People Number Of Occupants [](Hourly)",'Eplus results'!$1:$1048576,ROW(),FALSE)</f>
        <v>0</v>
      </c>
      <c r="AC3361" s="580">
        <f>HLOOKUP("*"&amp;'Output annual'!$AC$2&amp;'Output annual'!$AD$2&amp;"*FangerPMV(Hourly)",'Eplus results'!$1:$1048576,ROW(),FALSE)</f>
        <v>0</v>
      </c>
      <c r="AD3361" s="580">
        <f t="shared" si="296"/>
        <v>5</v>
      </c>
      <c r="AE3361" s="580">
        <f t="shared" si="297"/>
        <v>2.5</v>
      </c>
      <c r="AF3361" s="580">
        <f t="shared" si="298"/>
        <v>2.5</v>
      </c>
      <c r="AG3361" s="580">
        <f t="shared" si="299"/>
        <v>0</v>
      </c>
      <c r="AH3361" s="580">
        <f t="shared" si="300"/>
        <v>0</v>
      </c>
    </row>
    <row r="3362" spans="28:34">
      <c r="AB3362" s="580">
        <f>HLOOKUP("*"&amp;'Output annual'!$AC$2&amp;'Output annual'!$AD$2&amp;"*Zone People Number Of Occupants [](Hourly)",'Eplus results'!$1:$1048576,ROW(),FALSE)</f>
        <v>0</v>
      </c>
      <c r="AC3362" s="580">
        <f>HLOOKUP("*"&amp;'Output annual'!$AC$2&amp;'Output annual'!$AD$2&amp;"*FangerPMV(Hourly)",'Eplus results'!$1:$1048576,ROW(),FALSE)</f>
        <v>0</v>
      </c>
      <c r="AD3362" s="580">
        <f t="shared" si="296"/>
        <v>5</v>
      </c>
      <c r="AE3362" s="580">
        <f t="shared" si="297"/>
        <v>2.5</v>
      </c>
      <c r="AF3362" s="580">
        <f t="shared" si="298"/>
        <v>2.5</v>
      </c>
      <c r="AG3362" s="580">
        <f t="shared" si="299"/>
        <v>0</v>
      </c>
      <c r="AH3362" s="580">
        <f t="shared" si="300"/>
        <v>0</v>
      </c>
    </row>
    <row r="3363" spans="28:34">
      <c r="AB3363" s="580">
        <f>HLOOKUP("*"&amp;'Output annual'!$AC$2&amp;'Output annual'!$AD$2&amp;"*Zone People Number Of Occupants [](Hourly)",'Eplus results'!$1:$1048576,ROW(),FALSE)</f>
        <v>0</v>
      </c>
      <c r="AC3363" s="580">
        <f>HLOOKUP("*"&amp;'Output annual'!$AC$2&amp;'Output annual'!$AD$2&amp;"*FangerPMV(Hourly)",'Eplus results'!$1:$1048576,ROW(),FALSE)</f>
        <v>0</v>
      </c>
      <c r="AD3363" s="580">
        <f t="shared" si="296"/>
        <v>5</v>
      </c>
      <c r="AE3363" s="580">
        <f t="shared" si="297"/>
        <v>2.5</v>
      </c>
      <c r="AF3363" s="580">
        <f t="shared" si="298"/>
        <v>2.5</v>
      </c>
      <c r="AG3363" s="580">
        <f t="shared" si="299"/>
        <v>0</v>
      </c>
      <c r="AH3363" s="580">
        <f t="shared" si="300"/>
        <v>0</v>
      </c>
    </row>
    <row r="3364" spans="28:34">
      <c r="AB3364" s="580">
        <f>HLOOKUP("*"&amp;'Output annual'!$AC$2&amp;'Output annual'!$AD$2&amp;"*Zone People Number Of Occupants [](Hourly)",'Eplus results'!$1:$1048576,ROW(),FALSE)</f>
        <v>0</v>
      </c>
      <c r="AC3364" s="580">
        <f>HLOOKUP("*"&amp;'Output annual'!$AC$2&amp;'Output annual'!$AD$2&amp;"*FangerPMV(Hourly)",'Eplus results'!$1:$1048576,ROW(),FALSE)</f>
        <v>0</v>
      </c>
      <c r="AD3364" s="580">
        <f t="shared" si="296"/>
        <v>5</v>
      </c>
      <c r="AE3364" s="580">
        <f t="shared" si="297"/>
        <v>2.5</v>
      </c>
      <c r="AF3364" s="580">
        <f t="shared" si="298"/>
        <v>2.5</v>
      </c>
      <c r="AG3364" s="580">
        <f t="shared" si="299"/>
        <v>0</v>
      </c>
      <c r="AH3364" s="580">
        <f t="shared" si="300"/>
        <v>0</v>
      </c>
    </row>
    <row r="3365" spans="28:34">
      <c r="AB3365" s="580">
        <f>HLOOKUP("*"&amp;'Output annual'!$AC$2&amp;'Output annual'!$AD$2&amp;"*Zone People Number Of Occupants [](Hourly)",'Eplus results'!$1:$1048576,ROW(),FALSE)</f>
        <v>0</v>
      </c>
      <c r="AC3365" s="580">
        <f>HLOOKUP("*"&amp;'Output annual'!$AC$2&amp;'Output annual'!$AD$2&amp;"*FangerPMV(Hourly)",'Eplus results'!$1:$1048576,ROW(),FALSE)</f>
        <v>0</v>
      </c>
      <c r="AD3365" s="580">
        <f t="shared" si="296"/>
        <v>5</v>
      </c>
      <c r="AE3365" s="580">
        <f t="shared" si="297"/>
        <v>2.5</v>
      </c>
      <c r="AF3365" s="580">
        <f t="shared" si="298"/>
        <v>2.5</v>
      </c>
      <c r="AG3365" s="580">
        <f t="shared" si="299"/>
        <v>0</v>
      </c>
      <c r="AH3365" s="580">
        <f t="shared" si="300"/>
        <v>0</v>
      </c>
    </row>
    <row r="3366" spans="28:34">
      <c r="AB3366" s="580">
        <f>HLOOKUP("*"&amp;'Output annual'!$AC$2&amp;'Output annual'!$AD$2&amp;"*Zone People Number Of Occupants [](Hourly)",'Eplus results'!$1:$1048576,ROW(),FALSE)</f>
        <v>0</v>
      </c>
      <c r="AC3366" s="580">
        <f>HLOOKUP("*"&amp;'Output annual'!$AC$2&amp;'Output annual'!$AD$2&amp;"*FangerPMV(Hourly)",'Eplus results'!$1:$1048576,ROW(),FALSE)</f>
        <v>0</v>
      </c>
      <c r="AD3366" s="580">
        <f t="shared" si="296"/>
        <v>5</v>
      </c>
      <c r="AE3366" s="580">
        <f t="shared" si="297"/>
        <v>2.5</v>
      </c>
      <c r="AF3366" s="580">
        <f t="shared" si="298"/>
        <v>2.5</v>
      </c>
      <c r="AG3366" s="580">
        <f t="shared" si="299"/>
        <v>0</v>
      </c>
      <c r="AH3366" s="580">
        <f t="shared" si="300"/>
        <v>0</v>
      </c>
    </row>
    <row r="3367" spans="28:34">
      <c r="AB3367" s="580">
        <f>HLOOKUP("*"&amp;'Output annual'!$AC$2&amp;'Output annual'!$AD$2&amp;"*Zone People Number Of Occupants [](Hourly)",'Eplus results'!$1:$1048576,ROW(),FALSE)</f>
        <v>0</v>
      </c>
      <c r="AC3367" s="580">
        <f>HLOOKUP("*"&amp;'Output annual'!$AC$2&amp;'Output annual'!$AD$2&amp;"*FangerPMV(Hourly)",'Eplus results'!$1:$1048576,ROW(),FALSE)</f>
        <v>0</v>
      </c>
      <c r="AD3367" s="580">
        <f t="shared" si="296"/>
        <v>5</v>
      </c>
      <c r="AE3367" s="580">
        <f t="shared" si="297"/>
        <v>2.5</v>
      </c>
      <c r="AF3367" s="580">
        <f t="shared" si="298"/>
        <v>2.5</v>
      </c>
      <c r="AG3367" s="580">
        <f t="shared" si="299"/>
        <v>0</v>
      </c>
      <c r="AH3367" s="580">
        <f t="shared" si="300"/>
        <v>0</v>
      </c>
    </row>
    <row r="3368" spans="28:34">
      <c r="AB3368" s="580">
        <f>HLOOKUP("*"&amp;'Output annual'!$AC$2&amp;'Output annual'!$AD$2&amp;"*Zone People Number Of Occupants [](Hourly)",'Eplus results'!$1:$1048576,ROW(),FALSE)</f>
        <v>0</v>
      </c>
      <c r="AC3368" s="580">
        <f>HLOOKUP("*"&amp;'Output annual'!$AC$2&amp;'Output annual'!$AD$2&amp;"*FangerPMV(Hourly)",'Eplus results'!$1:$1048576,ROW(),FALSE)</f>
        <v>0</v>
      </c>
      <c r="AD3368" s="580">
        <f t="shared" si="296"/>
        <v>5</v>
      </c>
      <c r="AE3368" s="580">
        <f t="shared" si="297"/>
        <v>2.5</v>
      </c>
      <c r="AF3368" s="580">
        <f t="shared" si="298"/>
        <v>2.5</v>
      </c>
      <c r="AG3368" s="580">
        <f t="shared" si="299"/>
        <v>0</v>
      </c>
      <c r="AH3368" s="580">
        <f t="shared" si="300"/>
        <v>0</v>
      </c>
    </row>
    <row r="3369" spans="28:34">
      <c r="AB3369" s="580">
        <f>HLOOKUP("*"&amp;'Output annual'!$AC$2&amp;'Output annual'!$AD$2&amp;"*Zone People Number Of Occupants [](Hourly)",'Eplus results'!$1:$1048576,ROW(),FALSE)</f>
        <v>0</v>
      </c>
      <c r="AC3369" s="580">
        <f>HLOOKUP("*"&amp;'Output annual'!$AC$2&amp;'Output annual'!$AD$2&amp;"*FangerPMV(Hourly)",'Eplus results'!$1:$1048576,ROW(),FALSE)</f>
        <v>0</v>
      </c>
      <c r="AD3369" s="580">
        <f t="shared" si="296"/>
        <v>5</v>
      </c>
      <c r="AE3369" s="580">
        <f t="shared" si="297"/>
        <v>2.5</v>
      </c>
      <c r="AF3369" s="580">
        <f t="shared" si="298"/>
        <v>2.5</v>
      </c>
      <c r="AG3369" s="580">
        <f t="shared" si="299"/>
        <v>0</v>
      </c>
      <c r="AH3369" s="580">
        <f t="shared" si="300"/>
        <v>0</v>
      </c>
    </row>
    <row r="3370" spans="28:34">
      <c r="AB3370" s="580">
        <f>HLOOKUP("*"&amp;'Output annual'!$AC$2&amp;'Output annual'!$AD$2&amp;"*Zone People Number Of Occupants [](Hourly)",'Eplus results'!$1:$1048576,ROW(),FALSE)</f>
        <v>0</v>
      </c>
      <c r="AC3370" s="580">
        <f>HLOOKUP("*"&amp;'Output annual'!$AC$2&amp;'Output annual'!$AD$2&amp;"*FangerPMV(Hourly)",'Eplus results'!$1:$1048576,ROW(),FALSE)</f>
        <v>0</v>
      </c>
      <c r="AD3370" s="580">
        <f t="shared" si="296"/>
        <v>5</v>
      </c>
      <c r="AE3370" s="580">
        <f t="shared" si="297"/>
        <v>2.5</v>
      </c>
      <c r="AF3370" s="580">
        <f t="shared" si="298"/>
        <v>2.5</v>
      </c>
      <c r="AG3370" s="580">
        <f t="shared" si="299"/>
        <v>0</v>
      </c>
      <c r="AH3370" s="580">
        <f t="shared" si="300"/>
        <v>0</v>
      </c>
    </row>
    <row r="3371" spans="28:34">
      <c r="AB3371" s="580">
        <f>HLOOKUP("*"&amp;'Output annual'!$AC$2&amp;'Output annual'!$AD$2&amp;"*Zone People Number Of Occupants [](Hourly)",'Eplus results'!$1:$1048576,ROW(),FALSE)</f>
        <v>0</v>
      </c>
      <c r="AC3371" s="580">
        <f>HLOOKUP("*"&amp;'Output annual'!$AC$2&amp;'Output annual'!$AD$2&amp;"*FangerPMV(Hourly)",'Eplus results'!$1:$1048576,ROW(),FALSE)</f>
        <v>0</v>
      </c>
      <c r="AD3371" s="580">
        <f t="shared" si="296"/>
        <v>5</v>
      </c>
      <c r="AE3371" s="580">
        <f t="shared" si="297"/>
        <v>2.5</v>
      </c>
      <c r="AF3371" s="580">
        <f t="shared" si="298"/>
        <v>2.5</v>
      </c>
      <c r="AG3371" s="580">
        <f t="shared" si="299"/>
        <v>0</v>
      </c>
      <c r="AH3371" s="580">
        <f t="shared" si="300"/>
        <v>0</v>
      </c>
    </row>
    <row r="3372" spans="28:34">
      <c r="AB3372" s="580">
        <f>HLOOKUP("*"&amp;'Output annual'!$AC$2&amp;'Output annual'!$AD$2&amp;"*Zone People Number Of Occupants [](Hourly)",'Eplus results'!$1:$1048576,ROW(),FALSE)</f>
        <v>0</v>
      </c>
      <c r="AC3372" s="580">
        <f>HLOOKUP("*"&amp;'Output annual'!$AC$2&amp;'Output annual'!$AD$2&amp;"*FangerPMV(Hourly)",'Eplus results'!$1:$1048576,ROW(),FALSE)</f>
        <v>0</v>
      </c>
      <c r="AD3372" s="580">
        <f t="shared" si="296"/>
        <v>5</v>
      </c>
      <c r="AE3372" s="580">
        <f t="shared" si="297"/>
        <v>2.5</v>
      </c>
      <c r="AF3372" s="580">
        <f t="shared" si="298"/>
        <v>2.5</v>
      </c>
      <c r="AG3372" s="580">
        <f t="shared" si="299"/>
        <v>0</v>
      </c>
      <c r="AH3372" s="580">
        <f t="shared" si="300"/>
        <v>0</v>
      </c>
    </row>
    <row r="3373" spans="28:34">
      <c r="AB3373" s="580">
        <f>HLOOKUP("*"&amp;'Output annual'!$AC$2&amp;'Output annual'!$AD$2&amp;"*Zone People Number Of Occupants [](Hourly)",'Eplus results'!$1:$1048576,ROW(),FALSE)</f>
        <v>0</v>
      </c>
      <c r="AC3373" s="580">
        <f>HLOOKUP("*"&amp;'Output annual'!$AC$2&amp;'Output annual'!$AD$2&amp;"*FangerPMV(Hourly)",'Eplus results'!$1:$1048576,ROW(),FALSE)</f>
        <v>0</v>
      </c>
      <c r="AD3373" s="580">
        <f t="shared" si="296"/>
        <v>5</v>
      </c>
      <c r="AE3373" s="580">
        <f t="shared" si="297"/>
        <v>2.5</v>
      </c>
      <c r="AF3373" s="580">
        <f t="shared" si="298"/>
        <v>2.5</v>
      </c>
      <c r="AG3373" s="580">
        <f t="shared" si="299"/>
        <v>0</v>
      </c>
      <c r="AH3373" s="580">
        <f t="shared" si="300"/>
        <v>0</v>
      </c>
    </row>
    <row r="3374" spans="28:34">
      <c r="AB3374" s="580">
        <f>HLOOKUP("*"&amp;'Output annual'!$AC$2&amp;'Output annual'!$AD$2&amp;"*Zone People Number Of Occupants [](Hourly)",'Eplus results'!$1:$1048576,ROW(),FALSE)</f>
        <v>0</v>
      </c>
      <c r="AC3374" s="580">
        <f>HLOOKUP("*"&amp;'Output annual'!$AC$2&amp;'Output annual'!$AD$2&amp;"*FangerPMV(Hourly)",'Eplus results'!$1:$1048576,ROW(),FALSE)</f>
        <v>0</v>
      </c>
      <c r="AD3374" s="580">
        <f t="shared" si="296"/>
        <v>5</v>
      </c>
      <c r="AE3374" s="580">
        <f t="shared" si="297"/>
        <v>2.5</v>
      </c>
      <c r="AF3374" s="580">
        <f t="shared" si="298"/>
        <v>2.5</v>
      </c>
      <c r="AG3374" s="580">
        <f t="shared" si="299"/>
        <v>0</v>
      </c>
      <c r="AH3374" s="580">
        <f t="shared" si="300"/>
        <v>0</v>
      </c>
    </row>
    <row r="3375" spans="28:34">
      <c r="AB3375" s="580">
        <f>HLOOKUP("*"&amp;'Output annual'!$AC$2&amp;'Output annual'!$AD$2&amp;"*Zone People Number Of Occupants [](Hourly)",'Eplus results'!$1:$1048576,ROW(),FALSE)</f>
        <v>0</v>
      </c>
      <c r="AC3375" s="580">
        <f>HLOOKUP("*"&amp;'Output annual'!$AC$2&amp;'Output annual'!$AD$2&amp;"*FangerPMV(Hourly)",'Eplus results'!$1:$1048576,ROW(),FALSE)</f>
        <v>0</v>
      </c>
      <c r="AD3375" s="580">
        <f t="shared" si="296"/>
        <v>5</v>
      </c>
      <c r="AE3375" s="580">
        <f t="shared" si="297"/>
        <v>2.5</v>
      </c>
      <c r="AF3375" s="580">
        <f t="shared" si="298"/>
        <v>2.5</v>
      </c>
      <c r="AG3375" s="580">
        <f t="shared" si="299"/>
        <v>0</v>
      </c>
      <c r="AH3375" s="580">
        <f t="shared" si="300"/>
        <v>0</v>
      </c>
    </row>
    <row r="3376" spans="28:34">
      <c r="AB3376" s="580">
        <f>HLOOKUP("*"&amp;'Output annual'!$AC$2&amp;'Output annual'!$AD$2&amp;"*Zone People Number Of Occupants [](Hourly)",'Eplus results'!$1:$1048576,ROW(),FALSE)</f>
        <v>0</v>
      </c>
      <c r="AC3376" s="580">
        <f>HLOOKUP("*"&amp;'Output annual'!$AC$2&amp;'Output annual'!$AD$2&amp;"*FangerPMV(Hourly)",'Eplus results'!$1:$1048576,ROW(),FALSE)</f>
        <v>0</v>
      </c>
      <c r="AD3376" s="580">
        <f t="shared" si="296"/>
        <v>5</v>
      </c>
      <c r="AE3376" s="580">
        <f t="shared" si="297"/>
        <v>2.5</v>
      </c>
      <c r="AF3376" s="580">
        <f t="shared" si="298"/>
        <v>2.5</v>
      </c>
      <c r="AG3376" s="580">
        <f t="shared" si="299"/>
        <v>0</v>
      </c>
      <c r="AH3376" s="580">
        <f t="shared" si="300"/>
        <v>0</v>
      </c>
    </row>
    <row r="3377" spans="28:34">
      <c r="AB3377" s="580">
        <f>HLOOKUP("*"&amp;'Output annual'!$AC$2&amp;'Output annual'!$AD$2&amp;"*Zone People Number Of Occupants [](Hourly)",'Eplus results'!$1:$1048576,ROW(),FALSE)</f>
        <v>0</v>
      </c>
      <c r="AC3377" s="580">
        <f>HLOOKUP("*"&amp;'Output annual'!$AC$2&amp;'Output annual'!$AD$2&amp;"*FangerPMV(Hourly)",'Eplus results'!$1:$1048576,ROW(),FALSE)</f>
        <v>0</v>
      </c>
      <c r="AD3377" s="580">
        <f t="shared" si="296"/>
        <v>5</v>
      </c>
      <c r="AE3377" s="580">
        <f t="shared" si="297"/>
        <v>2.5</v>
      </c>
      <c r="AF3377" s="580">
        <f t="shared" si="298"/>
        <v>2.5</v>
      </c>
      <c r="AG3377" s="580">
        <f t="shared" si="299"/>
        <v>0</v>
      </c>
      <c r="AH3377" s="580">
        <f t="shared" si="300"/>
        <v>0</v>
      </c>
    </row>
    <row r="3378" spans="28:34">
      <c r="AB3378" s="580">
        <f>HLOOKUP("*"&amp;'Output annual'!$AC$2&amp;'Output annual'!$AD$2&amp;"*Zone People Number Of Occupants [](Hourly)",'Eplus results'!$1:$1048576,ROW(),FALSE)</f>
        <v>0</v>
      </c>
      <c r="AC3378" s="580">
        <f>HLOOKUP("*"&amp;'Output annual'!$AC$2&amp;'Output annual'!$AD$2&amp;"*FangerPMV(Hourly)",'Eplus results'!$1:$1048576,ROW(),FALSE)</f>
        <v>0</v>
      </c>
      <c r="AD3378" s="580">
        <f t="shared" si="296"/>
        <v>5</v>
      </c>
      <c r="AE3378" s="580">
        <f t="shared" si="297"/>
        <v>2.5</v>
      </c>
      <c r="AF3378" s="580">
        <f t="shared" si="298"/>
        <v>2.5</v>
      </c>
      <c r="AG3378" s="580">
        <f t="shared" si="299"/>
        <v>0</v>
      </c>
      <c r="AH3378" s="580">
        <f t="shared" si="300"/>
        <v>0</v>
      </c>
    </row>
    <row r="3379" spans="28:34">
      <c r="AB3379" s="580">
        <f>HLOOKUP("*"&amp;'Output annual'!$AC$2&amp;'Output annual'!$AD$2&amp;"*Zone People Number Of Occupants [](Hourly)",'Eplus results'!$1:$1048576,ROW(),FALSE)</f>
        <v>0</v>
      </c>
      <c r="AC3379" s="580">
        <f>HLOOKUP("*"&amp;'Output annual'!$AC$2&amp;'Output annual'!$AD$2&amp;"*FangerPMV(Hourly)",'Eplus results'!$1:$1048576,ROW(),FALSE)</f>
        <v>0</v>
      </c>
      <c r="AD3379" s="580">
        <f t="shared" si="296"/>
        <v>5</v>
      </c>
      <c r="AE3379" s="580">
        <f t="shared" si="297"/>
        <v>2.5</v>
      </c>
      <c r="AF3379" s="580">
        <f t="shared" si="298"/>
        <v>2.5</v>
      </c>
      <c r="AG3379" s="580">
        <f t="shared" si="299"/>
        <v>0</v>
      </c>
      <c r="AH3379" s="580">
        <f t="shared" si="300"/>
        <v>0</v>
      </c>
    </row>
    <row r="3380" spans="28:34">
      <c r="AB3380" s="580">
        <f>HLOOKUP("*"&amp;'Output annual'!$AC$2&amp;'Output annual'!$AD$2&amp;"*Zone People Number Of Occupants [](Hourly)",'Eplus results'!$1:$1048576,ROW(),FALSE)</f>
        <v>0</v>
      </c>
      <c r="AC3380" s="580">
        <f>HLOOKUP("*"&amp;'Output annual'!$AC$2&amp;'Output annual'!$AD$2&amp;"*FangerPMV(Hourly)",'Eplus results'!$1:$1048576,ROW(),FALSE)</f>
        <v>0</v>
      </c>
      <c r="AD3380" s="580">
        <f t="shared" si="296"/>
        <v>5</v>
      </c>
      <c r="AE3380" s="580">
        <f t="shared" si="297"/>
        <v>2.5</v>
      </c>
      <c r="AF3380" s="580">
        <f t="shared" si="298"/>
        <v>2.5</v>
      </c>
      <c r="AG3380" s="580">
        <f t="shared" si="299"/>
        <v>0</v>
      </c>
      <c r="AH3380" s="580">
        <f t="shared" si="300"/>
        <v>0</v>
      </c>
    </row>
    <row r="3381" spans="28:34">
      <c r="AB3381" s="580">
        <f>HLOOKUP("*"&amp;'Output annual'!$AC$2&amp;'Output annual'!$AD$2&amp;"*Zone People Number Of Occupants [](Hourly)",'Eplus results'!$1:$1048576,ROW(),FALSE)</f>
        <v>0</v>
      </c>
      <c r="AC3381" s="580">
        <f>HLOOKUP("*"&amp;'Output annual'!$AC$2&amp;'Output annual'!$AD$2&amp;"*FangerPMV(Hourly)",'Eplus results'!$1:$1048576,ROW(),FALSE)</f>
        <v>0</v>
      </c>
      <c r="AD3381" s="580">
        <f t="shared" si="296"/>
        <v>5</v>
      </c>
      <c r="AE3381" s="580">
        <f t="shared" si="297"/>
        <v>2.5</v>
      </c>
      <c r="AF3381" s="580">
        <f t="shared" si="298"/>
        <v>2.5</v>
      </c>
      <c r="AG3381" s="580">
        <f t="shared" si="299"/>
        <v>0</v>
      </c>
      <c r="AH3381" s="580">
        <f t="shared" si="300"/>
        <v>0</v>
      </c>
    </row>
    <row r="3382" spans="28:34">
      <c r="AB3382" s="580">
        <f>HLOOKUP("*"&amp;'Output annual'!$AC$2&amp;'Output annual'!$AD$2&amp;"*Zone People Number Of Occupants [](Hourly)",'Eplus results'!$1:$1048576,ROW(),FALSE)</f>
        <v>0</v>
      </c>
      <c r="AC3382" s="580">
        <f>HLOOKUP("*"&amp;'Output annual'!$AC$2&amp;'Output annual'!$AD$2&amp;"*FangerPMV(Hourly)",'Eplus results'!$1:$1048576,ROW(),FALSE)</f>
        <v>0</v>
      </c>
      <c r="AD3382" s="580">
        <f t="shared" si="296"/>
        <v>5</v>
      </c>
      <c r="AE3382" s="580">
        <f t="shared" si="297"/>
        <v>2.5</v>
      </c>
      <c r="AF3382" s="580">
        <f t="shared" si="298"/>
        <v>2.5</v>
      </c>
      <c r="AG3382" s="580">
        <f t="shared" si="299"/>
        <v>0</v>
      </c>
      <c r="AH3382" s="580">
        <f t="shared" si="300"/>
        <v>0</v>
      </c>
    </row>
    <row r="3383" spans="28:34">
      <c r="AB3383" s="580">
        <f>HLOOKUP("*"&amp;'Output annual'!$AC$2&amp;'Output annual'!$AD$2&amp;"*Zone People Number Of Occupants [](Hourly)",'Eplus results'!$1:$1048576,ROW(),FALSE)</f>
        <v>0</v>
      </c>
      <c r="AC3383" s="580">
        <f>HLOOKUP("*"&amp;'Output annual'!$AC$2&amp;'Output annual'!$AD$2&amp;"*FangerPMV(Hourly)",'Eplus results'!$1:$1048576,ROW(),FALSE)</f>
        <v>0</v>
      </c>
      <c r="AD3383" s="580">
        <f t="shared" si="296"/>
        <v>5</v>
      </c>
      <c r="AE3383" s="580">
        <f t="shared" si="297"/>
        <v>2.5</v>
      </c>
      <c r="AF3383" s="580">
        <f t="shared" si="298"/>
        <v>2.5</v>
      </c>
      <c r="AG3383" s="580">
        <f t="shared" si="299"/>
        <v>0</v>
      </c>
      <c r="AH3383" s="580">
        <f t="shared" si="300"/>
        <v>0</v>
      </c>
    </row>
    <row r="3384" spans="28:34">
      <c r="AB3384" s="580">
        <f>HLOOKUP("*"&amp;'Output annual'!$AC$2&amp;'Output annual'!$AD$2&amp;"*Zone People Number Of Occupants [](Hourly)",'Eplus results'!$1:$1048576,ROW(),FALSE)</f>
        <v>0</v>
      </c>
      <c r="AC3384" s="580">
        <f>HLOOKUP("*"&amp;'Output annual'!$AC$2&amp;'Output annual'!$AD$2&amp;"*FangerPMV(Hourly)",'Eplus results'!$1:$1048576,ROW(),FALSE)</f>
        <v>0</v>
      </c>
      <c r="AD3384" s="580">
        <f t="shared" si="296"/>
        <v>5</v>
      </c>
      <c r="AE3384" s="580">
        <f t="shared" si="297"/>
        <v>2.5</v>
      </c>
      <c r="AF3384" s="580">
        <f t="shared" si="298"/>
        <v>2.5</v>
      </c>
      <c r="AG3384" s="580">
        <f t="shared" si="299"/>
        <v>0</v>
      </c>
      <c r="AH3384" s="580">
        <f t="shared" si="300"/>
        <v>0</v>
      </c>
    </row>
    <row r="3385" spans="28:34">
      <c r="AB3385" s="580">
        <f>HLOOKUP("*"&amp;'Output annual'!$AC$2&amp;'Output annual'!$AD$2&amp;"*Zone People Number Of Occupants [](Hourly)",'Eplus results'!$1:$1048576,ROW(),FALSE)</f>
        <v>0</v>
      </c>
      <c r="AC3385" s="580">
        <f>HLOOKUP("*"&amp;'Output annual'!$AC$2&amp;'Output annual'!$AD$2&amp;"*FangerPMV(Hourly)",'Eplus results'!$1:$1048576,ROW(),FALSE)</f>
        <v>0</v>
      </c>
      <c r="AD3385" s="580">
        <f t="shared" si="296"/>
        <v>5</v>
      </c>
      <c r="AE3385" s="580">
        <f t="shared" si="297"/>
        <v>2.5</v>
      </c>
      <c r="AF3385" s="580">
        <f t="shared" si="298"/>
        <v>2.5</v>
      </c>
      <c r="AG3385" s="580">
        <f t="shared" si="299"/>
        <v>0</v>
      </c>
      <c r="AH3385" s="580">
        <f t="shared" si="300"/>
        <v>0</v>
      </c>
    </row>
    <row r="3386" spans="28:34">
      <c r="AB3386" s="580">
        <f>HLOOKUP("*"&amp;'Output annual'!$AC$2&amp;'Output annual'!$AD$2&amp;"*Zone People Number Of Occupants [](Hourly)",'Eplus results'!$1:$1048576,ROW(),FALSE)</f>
        <v>0</v>
      </c>
      <c r="AC3386" s="580">
        <f>HLOOKUP("*"&amp;'Output annual'!$AC$2&amp;'Output annual'!$AD$2&amp;"*FangerPMV(Hourly)",'Eplus results'!$1:$1048576,ROW(),FALSE)</f>
        <v>0</v>
      </c>
      <c r="AD3386" s="580">
        <f t="shared" si="296"/>
        <v>5</v>
      </c>
      <c r="AE3386" s="580">
        <f t="shared" si="297"/>
        <v>2.5</v>
      </c>
      <c r="AF3386" s="580">
        <f t="shared" si="298"/>
        <v>2.5</v>
      </c>
      <c r="AG3386" s="580">
        <f t="shared" si="299"/>
        <v>0</v>
      </c>
      <c r="AH3386" s="580">
        <f t="shared" si="300"/>
        <v>0</v>
      </c>
    </row>
    <row r="3387" spans="28:34">
      <c r="AB3387" s="580">
        <f>HLOOKUP("*"&amp;'Output annual'!$AC$2&amp;'Output annual'!$AD$2&amp;"*Zone People Number Of Occupants [](Hourly)",'Eplus results'!$1:$1048576,ROW(),FALSE)</f>
        <v>0</v>
      </c>
      <c r="AC3387" s="580">
        <f>HLOOKUP("*"&amp;'Output annual'!$AC$2&amp;'Output annual'!$AD$2&amp;"*FangerPMV(Hourly)",'Eplus results'!$1:$1048576,ROW(),FALSE)</f>
        <v>0</v>
      </c>
      <c r="AD3387" s="580">
        <f t="shared" si="296"/>
        <v>5</v>
      </c>
      <c r="AE3387" s="580">
        <f t="shared" si="297"/>
        <v>2.5</v>
      </c>
      <c r="AF3387" s="580">
        <f t="shared" si="298"/>
        <v>2.5</v>
      </c>
      <c r="AG3387" s="580">
        <f t="shared" si="299"/>
        <v>0</v>
      </c>
      <c r="AH3387" s="580">
        <f t="shared" si="300"/>
        <v>0</v>
      </c>
    </row>
    <row r="3388" spans="28:34">
      <c r="AB3388" s="580">
        <f>HLOOKUP("*"&amp;'Output annual'!$AC$2&amp;'Output annual'!$AD$2&amp;"*Zone People Number Of Occupants [](Hourly)",'Eplus results'!$1:$1048576,ROW(),FALSE)</f>
        <v>0</v>
      </c>
      <c r="AC3388" s="580">
        <f>HLOOKUP("*"&amp;'Output annual'!$AC$2&amp;'Output annual'!$AD$2&amp;"*FangerPMV(Hourly)",'Eplus results'!$1:$1048576,ROW(),FALSE)</f>
        <v>0</v>
      </c>
      <c r="AD3388" s="580">
        <f t="shared" si="296"/>
        <v>5</v>
      </c>
      <c r="AE3388" s="580">
        <f t="shared" si="297"/>
        <v>2.5</v>
      </c>
      <c r="AF3388" s="580">
        <f t="shared" si="298"/>
        <v>2.5</v>
      </c>
      <c r="AG3388" s="580">
        <f t="shared" si="299"/>
        <v>0</v>
      </c>
      <c r="AH3388" s="580">
        <f t="shared" si="300"/>
        <v>0</v>
      </c>
    </row>
    <row r="3389" spans="28:34">
      <c r="AB3389" s="580">
        <f>HLOOKUP("*"&amp;'Output annual'!$AC$2&amp;'Output annual'!$AD$2&amp;"*Zone People Number Of Occupants [](Hourly)",'Eplus results'!$1:$1048576,ROW(),FALSE)</f>
        <v>0</v>
      </c>
      <c r="AC3389" s="580">
        <f>HLOOKUP("*"&amp;'Output annual'!$AC$2&amp;'Output annual'!$AD$2&amp;"*FangerPMV(Hourly)",'Eplus results'!$1:$1048576,ROW(),FALSE)</f>
        <v>0</v>
      </c>
      <c r="AD3389" s="580">
        <f t="shared" si="296"/>
        <v>5</v>
      </c>
      <c r="AE3389" s="580">
        <f t="shared" si="297"/>
        <v>2.5</v>
      </c>
      <c r="AF3389" s="580">
        <f t="shared" si="298"/>
        <v>2.5</v>
      </c>
      <c r="AG3389" s="580">
        <f t="shared" si="299"/>
        <v>0</v>
      </c>
      <c r="AH3389" s="580">
        <f t="shared" si="300"/>
        <v>0</v>
      </c>
    </row>
    <row r="3390" spans="28:34">
      <c r="AB3390" s="580">
        <f>HLOOKUP("*"&amp;'Output annual'!$AC$2&amp;'Output annual'!$AD$2&amp;"*Zone People Number Of Occupants [](Hourly)",'Eplus results'!$1:$1048576,ROW(),FALSE)</f>
        <v>0</v>
      </c>
      <c r="AC3390" s="580">
        <f>HLOOKUP("*"&amp;'Output annual'!$AC$2&amp;'Output annual'!$AD$2&amp;"*FangerPMV(Hourly)",'Eplus results'!$1:$1048576,ROW(),FALSE)</f>
        <v>0</v>
      </c>
      <c r="AD3390" s="580">
        <f t="shared" si="296"/>
        <v>5</v>
      </c>
      <c r="AE3390" s="580">
        <f t="shared" si="297"/>
        <v>2.5</v>
      </c>
      <c r="AF3390" s="580">
        <f t="shared" si="298"/>
        <v>2.5</v>
      </c>
      <c r="AG3390" s="580">
        <f t="shared" si="299"/>
        <v>0</v>
      </c>
      <c r="AH3390" s="580">
        <f t="shared" si="300"/>
        <v>0</v>
      </c>
    </row>
    <row r="3391" spans="28:34">
      <c r="AB3391" s="580">
        <f>HLOOKUP("*"&amp;'Output annual'!$AC$2&amp;'Output annual'!$AD$2&amp;"*Zone People Number Of Occupants [](Hourly)",'Eplus results'!$1:$1048576,ROW(),FALSE)</f>
        <v>0</v>
      </c>
      <c r="AC3391" s="580">
        <f>HLOOKUP("*"&amp;'Output annual'!$AC$2&amp;'Output annual'!$AD$2&amp;"*FangerPMV(Hourly)",'Eplus results'!$1:$1048576,ROW(),FALSE)</f>
        <v>0</v>
      </c>
      <c r="AD3391" s="580">
        <f t="shared" si="296"/>
        <v>5</v>
      </c>
      <c r="AE3391" s="580">
        <f t="shared" si="297"/>
        <v>2.5</v>
      </c>
      <c r="AF3391" s="580">
        <f t="shared" si="298"/>
        <v>2.5</v>
      </c>
      <c r="AG3391" s="580">
        <f t="shared" si="299"/>
        <v>0</v>
      </c>
      <c r="AH3391" s="580">
        <f t="shared" si="300"/>
        <v>0</v>
      </c>
    </row>
    <row r="3392" spans="28:34">
      <c r="AB3392" s="580">
        <f>HLOOKUP("*"&amp;'Output annual'!$AC$2&amp;'Output annual'!$AD$2&amp;"*Zone People Number Of Occupants [](Hourly)",'Eplus results'!$1:$1048576,ROW(),FALSE)</f>
        <v>0</v>
      </c>
      <c r="AC3392" s="580">
        <f>HLOOKUP("*"&amp;'Output annual'!$AC$2&amp;'Output annual'!$AD$2&amp;"*FangerPMV(Hourly)",'Eplus results'!$1:$1048576,ROW(),FALSE)</f>
        <v>0</v>
      </c>
      <c r="AD3392" s="580">
        <f t="shared" si="296"/>
        <v>5</v>
      </c>
      <c r="AE3392" s="580">
        <f t="shared" si="297"/>
        <v>2.5</v>
      </c>
      <c r="AF3392" s="580">
        <f t="shared" si="298"/>
        <v>2.5</v>
      </c>
      <c r="AG3392" s="580">
        <f t="shared" si="299"/>
        <v>0</v>
      </c>
      <c r="AH3392" s="580">
        <f t="shared" si="300"/>
        <v>0</v>
      </c>
    </row>
    <row r="3393" spans="28:34">
      <c r="AB3393" s="580">
        <f>HLOOKUP("*"&amp;'Output annual'!$AC$2&amp;'Output annual'!$AD$2&amp;"*Zone People Number Of Occupants [](Hourly)",'Eplus results'!$1:$1048576,ROW(),FALSE)</f>
        <v>0</v>
      </c>
      <c r="AC3393" s="580">
        <f>HLOOKUP("*"&amp;'Output annual'!$AC$2&amp;'Output annual'!$AD$2&amp;"*FangerPMV(Hourly)",'Eplus results'!$1:$1048576,ROW(),FALSE)</f>
        <v>0</v>
      </c>
      <c r="AD3393" s="580">
        <f t="shared" si="296"/>
        <v>5</v>
      </c>
      <c r="AE3393" s="580">
        <f t="shared" si="297"/>
        <v>2.5</v>
      </c>
      <c r="AF3393" s="580">
        <f t="shared" si="298"/>
        <v>2.5</v>
      </c>
      <c r="AG3393" s="580">
        <f t="shared" si="299"/>
        <v>0</v>
      </c>
      <c r="AH3393" s="580">
        <f t="shared" si="300"/>
        <v>0</v>
      </c>
    </row>
    <row r="3394" spans="28:34">
      <c r="AB3394" s="580">
        <f>HLOOKUP("*"&amp;'Output annual'!$AC$2&amp;'Output annual'!$AD$2&amp;"*Zone People Number Of Occupants [](Hourly)",'Eplus results'!$1:$1048576,ROW(),FALSE)</f>
        <v>0</v>
      </c>
      <c r="AC3394" s="580">
        <f>HLOOKUP("*"&amp;'Output annual'!$AC$2&amp;'Output annual'!$AD$2&amp;"*FangerPMV(Hourly)",'Eplus results'!$1:$1048576,ROW(),FALSE)</f>
        <v>0</v>
      </c>
      <c r="AD3394" s="580">
        <f t="shared" si="296"/>
        <v>5</v>
      </c>
      <c r="AE3394" s="580">
        <f t="shared" si="297"/>
        <v>2.5</v>
      </c>
      <c r="AF3394" s="580">
        <f t="shared" si="298"/>
        <v>2.5</v>
      </c>
      <c r="AG3394" s="580">
        <f t="shared" si="299"/>
        <v>0</v>
      </c>
      <c r="AH3394" s="580">
        <f t="shared" si="300"/>
        <v>0</v>
      </c>
    </row>
    <row r="3395" spans="28:34">
      <c r="AB3395" s="580">
        <f>HLOOKUP("*"&amp;'Output annual'!$AC$2&amp;'Output annual'!$AD$2&amp;"*Zone People Number Of Occupants [](Hourly)",'Eplus results'!$1:$1048576,ROW(),FALSE)</f>
        <v>0</v>
      </c>
      <c r="AC3395" s="580">
        <f>HLOOKUP("*"&amp;'Output annual'!$AC$2&amp;'Output annual'!$AD$2&amp;"*FangerPMV(Hourly)",'Eplus results'!$1:$1048576,ROW(),FALSE)</f>
        <v>0</v>
      </c>
      <c r="AD3395" s="580">
        <f t="shared" ref="AD3395:AD3458" si="301">100-95*EXP(-0.03353*AC3395^4-0.2179*AC3395^2)</f>
        <v>5</v>
      </c>
      <c r="AE3395" s="580">
        <f t="shared" ref="AE3395:AE3458" si="302">AD3395*(1/(1+EXP(-6.3*$AC3395)))</f>
        <v>2.5</v>
      </c>
      <c r="AF3395" s="580">
        <f t="shared" ref="AF3395:AF3458" si="303">(AD3395-AE3395)</f>
        <v>2.5</v>
      </c>
      <c r="AG3395" s="580">
        <f t="shared" ref="AG3395:AG3458" si="304">AE3395*AB3395</f>
        <v>0</v>
      </c>
      <c r="AH3395" s="580">
        <f t="shared" ref="AH3395:AH3458" si="305">AF3395*AB3395</f>
        <v>0</v>
      </c>
    </row>
    <row r="3396" spans="28:34">
      <c r="AB3396" s="580">
        <f>HLOOKUP("*"&amp;'Output annual'!$AC$2&amp;'Output annual'!$AD$2&amp;"*Zone People Number Of Occupants [](Hourly)",'Eplus results'!$1:$1048576,ROW(),FALSE)</f>
        <v>0</v>
      </c>
      <c r="AC3396" s="580">
        <f>HLOOKUP("*"&amp;'Output annual'!$AC$2&amp;'Output annual'!$AD$2&amp;"*FangerPMV(Hourly)",'Eplus results'!$1:$1048576,ROW(),FALSE)</f>
        <v>0</v>
      </c>
      <c r="AD3396" s="580">
        <f t="shared" si="301"/>
        <v>5</v>
      </c>
      <c r="AE3396" s="580">
        <f t="shared" si="302"/>
        <v>2.5</v>
      </c>
      <c r="AF3396" s="580">
        <f t="shared" si="303"/>
        <v>2.5</v>
      </c>
      <c r="AG3396" s="580">
        <f t="shared" si="304"/>
        <v>0</v>
      </c>
      <c r="AH3396" s="580">
        <f t="shared" si="305"/>
        <v>0</v>
      </c>
    </row>
    <row r="3397" spans="28:34">
      <c r="AB3397" s="580">
        <f>HLOOKUP("*"&amp;'Output annual'!$AC$2&amp;'Output annual'!$AD$2&amp;"*Zone People Number Of Occupants [](Hourly)",'Eplus results'!$1:$1048576,ROW(),FALSE)</f>
        <v>0</v>
      </c>
      <c r="AC3397" s="580">
        <f>HLOOKUP("*"&amp;'Output annual'!$AC$2&amp;'Output annual'!$AD$2&amp;"*FangerPMV(Hourly)",'Eplus results'!$1:$1048576,ROW(),FALSE)</f>
        <v>0</v>
      </c>
      <c r="AD3397" s="580">
        <f t="shared" si="301"/>
        <v>5</v>
      </c>
      <c r="AE3397" s="580">
        <f t="shared" si="302"/>
        <v>2.5</v>
      </c>
      <c r="AF3397" s="580">
        <f t="shared" si="303"/>
        <v>2.5</v>
      </c>
      <c r="AG3397" s="580">
        <f t="shared" si="304"/>
        <v>0</v>
      </c>
      <c r="AH3397" s="580">
        <f t="shared" si="305"/>
        <v>0</v>
      </c>
    </row>
    <row r="3398" spans="28:34">
      <c r="AB3398" s="580">
        <f>HLOOKUP("*"&amp;'Output annual'!$AC$2&amp;'Output annual'!$AD$2&amp;"*Zone People Number Of Occupants [](Hourly)",'Eplus results'!$1:$1048576,ROW(),FALSE)</f>
        <v>0</v>
      </c>
      <c r="AC3398" s="580">
        <f>HLOOKUP("*"&amp;'Output annual'!$AC$2&amp;'Output annual'!$AD$2&amp;"*FangerPMV(Hourly)",'Eplus results'!$1:$1048576,ROW(),FALSE)</f>
        <v>0</v>
      </c>
      <c r="AD3398" s="580">
        <f t="shared" si="301"/>
        <v>5</v>
      </c>
      <c r="AE3398" s="580">
        <f t="shared" si="302"/>
        <v>2.5</v>
      </c>
      <c r="AF3398" s="580">
        <f t="shared" si="303"/>
        <v>2.5</v>
      </c>
      <c r="AG3398" s="580">
        <f t="shared" si="304"/>
        <v>0</v>
      </c>
      <c r="AH3398" s="580">
        <f t="shared" si="305"/>
        <v>0</v>
      </c>
    </row>
    <row r="3399" spans="28:34">
      <c r="AB3399" s="580">
        <f>HLOOKUP("*"&amp;'Output annual'!$AC$2&amp;'Output annual'!$AD$2&amp;"*Zone People Number Of Occupants [](Hourly)",'Eplus results'!$1:$1048576,ROW(),FALSE)</f>
        <v>0</v>
      </c>
      <c r="AC3399" s="580">
        <f>HLOOKUP("*"&amp;'Output annual'!$AC$2&amp;'Output annual'!$AD$2&amp;"*FangerPMV(Hourly)",'Eplus results'!$1:$1048576,ROW(),FALSE)</f>
        <v>0</v>
      </c>
      <c r="AD3399" s="580">
        <f t="shared" si="301"/>
        <v>5</v>
      </c>
      <c r="AE3399" s="580">
        <f t="shared" si="302"/>
        <v>2.5</v>
      </c>
      <c r="AF3399" s="580">
        <f t="shared" si="303"/>
        <v>2.5</v>
      </c>
      <c r="AG3399" s="580">
        <f t="shared" si="304"/>
        <v>0</v>
      </c>
      <c r="AH3399" s="580">
        <f t="shared" si="305"/>
        <v>0</v>
      </c>
    </row>
    <row r="3400" spans="28:34">
      <c r="AB3400" s="580">
        <f>HLOOKUP("*"&amp;'Output annual'!$AC$2&amp;'Output annual'!$AD$2&amp;"*Zone People Number Of Occupants [](Hourly)",'Eplus results'!$1:$1048576,ROW(),FALSE)</f>
        <v>0</v>
      </c>
      <c r="AC3400" s="580">
        <f>HLOOKUP("*"&amp;'Output annual'!$AC$2&amp;'Output annual'!$AD$2&amp;"*FangerPMV(Hourly)",'Eplus results'!$1:$1048576,ROW(),FALSE)</f>
        <v>0</v>
      </c>
      <c r="AD3400" s="580">
        <f t="shared" si="301"/>
        <v>5</v>
      </c>
      <c r="AE3400" s="580">
        <f t="shared" si="302"/>
        <v>2.5</v>
      </c>
      <c r="AF3400" s="580">
        <f t="shared" si="303"/>
        <v>2.5</v>
      </c>
      <c r="AG3400" s="580">
        <f t="shared" si="304"/>
        <v>0</v>
      </c>
      <c r="AH3400" s="580">
        <f t="shared" si="305"/>
        <v>0</v>
      </c>
    </row>
    <row r="3401" spans="28:34">
      <c r="AB3401" s="580">
        <f>HLOOKUP("*"&amp;'Output annual'!$AC$2&amp;'Output annual'!$AD$2&amp;"*Zone People Number Of Occupants [](Hourly)",'Eplus results'!$1:$1048576,ROW(),FALSE)</f>
        <v>0</v>
      </c>
      <c r="AC3401" s="580">
        <f>HLOOKUP("*"&amp;'Output annual'!$AC$2&amp;'Output annual'!$AD$2&amp;"*FangerPMV(Hourly)",'Eplus results'!$1:$1048576,ROW(),FALSE)</f>
        <v>0</v>
      </c>
      <c r="AD3401" s="580">
        <f t="shared" si="301"/>
        <v>5</v>
      </c>
      <c r="AE3401" s="580">
        <f t="shared" si="302"/>
        <v>2.5</v>
      </c>
      <c r="AF3401" s="580">
        <f t="shared" si="303"/>
        <v>2.5</v>
      </c>
      <c r="AG3401" s="580">
        <f t="shared" si="304"/>
        <v>0</v>
      </c>
      <c r="AH3401" s="580">
        <f t="shared" si="305"/>
        <v>0</v>
      </c>
    </row>
    <row r="3402" spans="28:34">
      <c r="AB3402" s="580">
        <f>HLOOKUP("*"&amp;'Output annual'!$AC$2&amp;'Output annual'!$AD$2&amp;"*Zone People Number Of Occupants [](Hourly)",'Eplus results'!$1:$1048576,ROW(),FALSE)</f>
        <v>0</v>
      </c>
      <c r="AC3402" s="580">
        <f>HLOOKUP("*"&amp;'Output annual'!$AC$2&amp;'Output annual'!$AD$2&amp;"*FangerPMV(Hourly)",'Eplus results'!$1:$1048576,ROW(),FALSE)</f>
        <v>0</v>
      </c>
      <c r="AD3402" s="580">
        <f t="shared" si="301"/>
        <v>5</v>
      </c>
      <c r="AE3402" s="580">
        <f t="shared" si="302"/>
        <v>2.5</v>
      </c>
      <c r="AF3402" s="580">
        <f t="shared" si="303"/>
        <v>2.5</v>
      </c>
      <c r="AG3402" s="580">
        <f t="shared" si="304"/>
        <v>0</v>
      </c>
      <c r="AH3402" s="580">
        <f t="shared" si="305"/>
        <v>0</v>
      </c>
    </row>
    <row r="3403" spans="28:34">
      <c r="AB3403" s="580">
        <f>HLOOKUP("*"&amp;'Output annual'!$AC$2&amp;'Output annual'!$AD$2&amp;"*Zone People Number Of Occupants [](Hourly)",'Eplus results'!$1:$1048576,ROW(),FALSE)</f>
        <v>0</v>
      </c>
      <c r="AC3403" s="580">
        <f>HLOOKUP("*"&amp;'Output annual'!$AC$2&amp;'Output annual'!$AD$2&amp;"*FangerPMV(Hourly)",'Eplus results'!$1:$1048576,ROW(),FALSE)</f>
        <v>0</v>
      </c>
      <c r="AD3403" s="580">
        <f t="shared" si="301"/>
        <v>5</v>
      </c>
      <c r="AE3403" s="580">
        <f t="shared" si="302"/>
        <v>2.5</v>
      </c>
      <c r="AF3403" s="580">
        <f t="shared" si="303"/>
        <v>2.5</v>
      </c>
      <c r="AG3403" s="580">
        <f t="shared" si="304"/>
        <v>0</v>
      </c>
      <c r="AH3403" s="580">
        <f t="shared" si="305"/>
        <v>0</v>
      </c>
    </row>
    <row r="3404" spans="28:34">
      <c r="AB3404" s="580">
        <f>HLOOKUP("*"&amp;'Output annual'!$AC$2&amp;'Output annual'!$AD$2&amp;"*Zone People Number Of Occupants [](Hourly)",'Eplus results'!$1:$1048576,ROW(),FALSE)</f>
        <v>0</v>
      </c>
      <c r="AC3404" s="580">
        <f>HLOOKUP("*"&amp;'Output annual'!$AC$2&amp;'Output annual'!$AD$2&amp;"*FangerPMV(Hourly)",'Eplus results'!$1:$1048576,ROW(),FALSE)</f>
        <v>0</v>
      </c>
      <c r="AD3404" s="580">
        <f t="shared" si="301"/>
        <v>5</v>
      </c>
      <c r="AE3404" s="580">
        <f t="shared" si="302"/>
        <v>2.5</v>
      </c>
      <c r="AF3404" s="580">
        <f t="shared" si="303"/>
        <v>2.5</v>
      </c>
      <c r="AG3404" s="580">
        <f t="shared" si="304"/>
        <v>0</v>
      </c>
      <c r="AH3404" s="580">
        <f t="shared" si="305"/>
        <v>0</v>
      </c>
    </row>
    <row r="3405" spans="28:34">
      <c r="AB3405" s="580">
        <f>HLOOKUP("*"&amp;'Output annual'!$AC$2&amp;'Output annual'!$AD$2&amp;"*Zone People Number Of Occupants [](Hourly)",'Eplus results'!$1:$1048576,ROW(),FALSE)</f>
        <v>0</v>
      </c>
      <c r="AC3405" s="580">
        <f>HLOOKUP("*"&amp;'Output annual'!$AC$2&amp;'Output annual'!$AD$2&amp;"*FangerPMV(Hourly)",'Eplus results'!$1:$1048576,ROW(),FALSE)</f>
        <v>0</v>
      </c>
      <c r="AD3405" s="580">
        <f t="shared" si="301"/>
        <v>5</v>
      </c>
      <c r="AE3405" s="580">
        <f t="shared" si="302"/>
        <v>2.5</v>
      </c>
      <c r="AF3405" s="580">
        <f t="shared" si="303"/>
        <v>2.5</v>
      </c>
      <c r="AG3405" s="580">
        <f t="shared" si="304"/>
        <v>0</v>
      </c>
      <c r="AH3405" s="580">
        <f t="shared" si="305"/>
        <v>0</v>
      </c>
    </row>
    <row r="3406" spans="28:34">
      <c r="AB3406" s="580">
        <f>HLOOKUP("*"&amp;'Output annual'!$AC$2&amp;'Output annual'!$AD$2&amp;"*Zone People Number Of Occupants [](Hourly)",'Eplus results'!$1:$1048576,ROW(),FALSE)</f>
        <v>0</v>
      </c>
      <c r="AC3406" s="580">
        <f>HLOOKUP("*"&amp;'Output annual'!$AC$2&amp;'Output annual'!$AD$2&amp;"*FangerPMV(Hourly)",'Eplus results'!$1:$1048576,ROW(),FALSE)</f>
        <v>0</v>
      </c>
      <c r="AD3406" s="580">
        <f t="shared" si="301"/>
        <v>5</v>
      </c>
      <c r="AE3406" s="580">
        <f t="shared" si="302"/>
        <v>2.5</v>
      </c>
      <c r="AF3406" s="580">
        <f t="shared" si="303"/>
        <v>2.5</v>
      </c>
      <c r="AG3406" s="580">
        <f t="shared" si="304"/>
        <v>0</v>
      </c>
      <c r="AH3406" s="580">
        <f t="shared" si="305"/>
        <v>0</v>
      </c>
    </row>
    <row r="3407" spans="28:34">
      <c r="AB3407" s="580">
        <f>HLOOKUP("*"&amp;'Output annual'!$AC$2&amp;'Output annual'!$AD$2&amp;"*Zone People Number Of Occupants [](Hourly)",'Eplus results'!$1:$1048576,ROW(),FALSE)</f>
        <v>0</v>
      </c>
      <c r="AC3407" s="580">
        <f>HLOOKUP("*"&amp;'Output annual'!$AC$2&amp;'Output annual'!$AD$2&amp;"*FangerPMV(Hourly)",'Eplus results'!$1:$1048576,ROW(),FALSE)</f>
        <v>0</v>
      </c>
      <c r="AD3407" s="580">
        <f t="shared" si="301"/>
        <v>5</v>
      </c>
      <c r="AE3407" s="580">
        <f t="shared" si="302"/>
        <v>2.5</v>
      </c>
      <c r="AF3407" s="580">
        <f t="shared" si="303"/>
        <v>2.5</v>
      </c>
      <c r="AG3407" s="580">
        <f t="shared" si="304"/>
        <v>0</v>
      </c>
      <c r="AH3407" s="580">
        <f t="shared" si="305"/>
        <v>0</v>
      </c>
    </row>
    <row r="3408" spans="28:34">
      <c r="AB3408" s="580">
        <f>HLOOKUP("*"&amp;'Output annual'!$AC$2&amp;'Output annual'!$AD$2&amp;"*Zone People Number Of Occupants [](Hourly)",'Eplus results'!$1:$1048576,ROW(),FALSE)</f>
        <v>0</v>
      </c>
      <c r="AC3408" s="580">
        <f>HLOOKUP("*"&amp;'Output annual'!$AC$2&amp;'Output annual'!$AD$2&amp;"*FangerPMV(Hourly)",'Eplus results'!$1:$1048576,ROW(),FALSE)</f>
        <v>0</v>
      </c>
      <c r="AD3408" s="580">
        <f t="shared" si="301"/>
        <v>5</v>
      </c>
      <c r="AE3408" s="580">
        <f t="shared" si="302"/>
        <v>2.5</v>
      </c>
      <c r="AF3408" s="580">
        <f t="shared" si="303"/>
        <v>2.5</v>
      </c>
      <c r="AG3408" s="580">
        <f t="shared" si="304"/>
        <v>0</v>
      </c>
      <c r="AH3408" s="580">
        <f t="shared" si="305"/>
        <v>0</v>
      </c>
    </row>
    <row r="3409" spans="28:34">
      <c r="AB3409" s="580">
        <f>HLOOKUP("*"&amp;'Output annual'!$AC$2&amp;'Output annual'!$AD$2&amp;"*Zone People Number Of Occupants [](Hourly)",'Eplus results'!$1:$1048576,ROW(),FALSE)</f>
        <v>0</v>
      </c>
      <c r="AC3409" s="580">
        <f>HLOOKUP("*"&amp;'Output annual'!$AC$2&amp;'Output annual'!$AD$2&amp;"*FangerPMV(Hourly)",'Eplus results'!$1:$1048576,ROW(),FALSE)</f>
        <v>0</v>
      </c>
      <c r="AD3409" s="580">
        <f t="shared" si="301"/>
        <v>5</v>
      </c>
      <c r="AE3409" s="580">
        <f t="shared" si="302"/>
        <v>2.5</v>
      </c>
      <c r="AF3409" s="580">
        <f t="shared" si="303"/>
        <v>2.5</v>
      </c>
      <c r="AG3409" s="580">
        <f t="shared" si="304"/>
        <v>0</v>
      </c>
      <c r="AH3409" s="580">
        <f t="shared" si="305"/>
        <v>0</v>
      </c>
    </row>
    <row r="3410" spans="28:34">
      <c r="AB3410" s="580">
        <f>HLOOKUP("*"&amp;'Output annual'!$AC$2&amp;'Output annual'!$AD$2&amp;"*Zone People Number Of Occupants [](Hourly)",'Eplus results'!$1:$1048576,ROW(),FALSE)</f>
        <v>0</v>
      </c>
      <c r="AC3410" s="580">
        <f>HLOOKUP("*"&amp;'Output annual'!$AC$2&amp;'Output annual'!$AD$2&amp;"*FangerPMV(Hourly)",'Eplus results'!$1:$1048576,ROW(),FALSE)</f>
        <v>0</v>
      </c>
      <c r="AD3410" s="580">
        <f t="shared" si="301"/>
        <v>5</v>
      </c>
      <c r="AE3410" s="580">
        <f t="shared" si="302"/>
        <v>2.5</v>
      </c>
      <c r="AF3410" s="580">
        <f t="shared" si="303"/>
        <v>2.5</v>
      </c>
      <c r="AG3410" s="580">
        <f t="shared" si="304"/>
        <v>0</v>
      </c>
      <c r="AH3410" s="580">
        <f t="shared" si="305"/>
        <v>0</v>
      </c>
    </row>
    <row r="3411" spans="28:34">
      <c r="AB3411" s="580">
        <f>HLOOKUP("*"&amp;'Output annual'!$AC$2&amp;'Output annual'!$AD$2&amp;"*Zone People Number Of Occupants [](Hourly)",'Eplus results'!$1:$1048576,ROW(),FALSE)</f>
        <v>0</v>
      </c>
      <c r="AC3411" s="580">
        <f>HLOOKUP("*"&amp;'Output annual'!$AC$2&amp;'Output annual'!$AD$2&amp;"*FangerPMV(Hourly)",'Eplus results'!$1:$1048576,ROW(),FALSE)</f>
        <v>0</v>
      </c>
      <c r="AD3411" s="580">
        <f t="shared" si="301"/>
        <v>5</v>
      </c>
      <c r="AE3411" s="580">
        <f t="shared" si="302"/>
        <v>2.5</v>
      </c>
      <c r="AF3411" s="580">
        <f t="shared" si="303"/>
        <v>2.5</v>
      </c>
      <c r="AG3411" s="580">
        <f t="shared" si="304"/>
        <v>0</v>
      </c>
      <c r="AH3411" s="580">
        <f t="shared" si="305"/>
        <v>0</v>
      </c>
    </row>
    <row r="3412" spans="28:34">
      <c r="AB3412" s="580">
        <f>HLOOKUP("*"&amp;'Output annual'!$AC$2&amp;'Output annual'!$AD$2&amp;"*Zone People Number Of Occupants [](Hourly)",'Eplus results'!$1:$1048576,ROW(),FALSE)</f>
        <v>0</v>
      </c>
      <c r="AC3412" s="580">
        <f>HLOOKUP("*"&amp;'Output annual'!$AC$2&amp;'Output annual'!$AD$2&amp;"*FangerPMV(Hourly)",'Eplus results'!$1:$1048576,ROW(),FALSE)</f>
        <v>0</v>
      </c>
      <c r="AD3412" s="580">
        <f t="shared" si="301"/>
        <v>5</v>
      </c>
      <c r="AE3412" s="580">
        <f t="shared" si="302"/>
        <v>2.5</v>
      </c>
      <c r="AF3412" s="580">
        <f t="shared" si="303"/>
        <v>2.5</v>
      </c>
      <c r="AG3412" s="580">
        <f t="shared" si="304"/>
        <v>0</v>
      </c>
      <c r="AH3412" s="580">
        <f t="shared" si="305"/>
        <v>0</v>
      </c>
    </row>
    <row r="3413" spans="28:34">
      <c r="AB3413" s="580">
        <f>HLOOKUP("*"&amp;'Output annual'!$AC$2&amp;'Output annual'!$AD$2&amp;"*Zone People Number Of Occupants [](Hourly)",'Eplus results'!$1:$1048576,ROW(),FALSE)</f>
        <v>0</v>
      </c>
      <c r="AC3413" s="580">
        <f>HLOOKUP("*"&amp;'Output annual'!$AC$2&amp;'Output annual'!$AD$2&amp;"*FangerPMV(Hourly)",'Eplus results'!$1:$1048576,ROW(),FALSE)</f>
        <v>0</v>
      </c>
      <c r="AD3413" s="580">
        <f t="shared" si="301"/>
        <v>5</v>
      </c>
      <c r="AE3413" s="580">
        <f t="shared" si="302"/>
        <v>2.5</v>
      </c>
      <c r="AF3413" s="580">
        <f t="shared" si="303"/>
        <v>2.5</v>
      </c>
      <c r="AG3413" s="580">
        <f t="shared" si="304"/>
        <v>0</v>
      </c>
      <c r="AH3413" s="580">
        <f t="shared" si="305"/>
        <v>0</v>
      </c>
    </row>
    <row r="3414" spans="28:34">
      <c r="AB3414" s="580">
        <f>HLOOKUP("*"&amp;'Output annual'!$AC$2&amp;'Output annual'!$AD$2&amp;"*Zone People Number Of Occupants [](Hourly)",'Eplus results'!$1:$1048576,ROW(),FALSE)</f>
        <v>0</v>
      </c>
      <c r="AC3414" s="580">
        <f>HLOOKUP("*"&amp;'Output annual'!$AC$2&amp;'Output annual'!$AD$2&amp;"*FangerPMV(Hourly)",'Eplus results'!$1:$1048576,ROW(),FALSE)</f>
        <v>0</v>
      </c>
      <c r="AD3414" s="580">
        <f t="shared" si="301"/>
        <v>5</v>
      </c>
      <c r="AE3414" s="580">
        <f t="shared" si="302"/>
        <v>2.5</v>
      </c>
      <c r="AF3414" s="580">
        <f t="shared" si="303"/>
        <v>2.5</v>
      </c>
      <c r="AG3414" s="580">
        <f t="shared" si="304"/>
        <v>0</v>
      </c>
      <c r="AH3414" s="580">
        <f t="shared" si="305"/>
        <v>0</v>
      </c>
    </row>
    <row r="3415" spans="28:34">
      <c r="AB3415" s="580">
        <f>HLOOKUP("*"&amp;'Output annual'!$AC$2&amp;'Output annual'!$AD$2&amp;"*Zone People Number Of Occupants [](Hourly)",'Eplus results'!$1:$1048576,ROW(),FALSE)</f>
        <v>0</v>
      </c>
      <c r="AC3415" s="580">
        <f>HLOOKUP("*"&amp;'Output annual'!$AC$2&amp;'Output annual'!$AD$2&amp;"*FangerPMV(Hourly)",'Eplus results'!$1:$1048576,ROW(),FALSE)</f>
        <v>0</v>
      </c>
      <c r="AD3415" s="580">
        <f t="shared" si="301"/>
        <v>5</v>
      </c>
      <c r="AE3415" s="580">
        <f t="shared" si="302"/>
        <v>2.5</v>
      </c>
      <c r="AF3415" s="580">
        <f t="shared" si="303"/>
        <v>2.5</v>
      </c>
      <c r="AG3415" s="580">
        <f t="shared" si="304"/>
        <v>0</v>
      </c>
      <c r="AH3415" s="580">
        <f t="shared" si="305"/>
        <v>0</v>
      </c>
    </row>
    <row r="3416" spans="28:34">
      <c r="AB3416" s="580">
        <f>HLOOKUP("*"&amp;'Output annual'!$AC$2&amp;'Output annual'!$AD$2&amp;"*Zone People Number Of Occupants [](Hourly)",'Eplus results'!$1:$1048576,ROW(),FALSE)</f>
        <v>0</v>
      </c>
      <c r="AC3416" s="580">
        <f>HLOOKUP("*"&amp;'Output annual'!$AC$2&amp;'Output annual'!$AD$2&amp;"*FangerPMV(Hourly)",'Eplus results'!$1:$1048576,ROW(),FALSE)</f>
        <v>0</v>
      </c>
      <c r="AD3416" s="580">
        <f t="shared" si="301"/>
        <v>5</v>
      </c>
      <c r="AE3416" s="580">
        <f t="shared" si="302"/>
        <v>2.5</v>
      </c>
      <c r="AF3416" s="580">
        <f t="shared" si="303"/>
        <v>2.5</v>
      </c>
      <c r="AG3416" s="580">
        <f t="shared" si="304"/>
        <v>0</v>
      </c>
      <c r="AH3416" s="580">
        <f t="shared" si="305"/>
        <v>0</v>
      </c>
    </row>
    <row r="3417" spans="28:34">
      <c r="AB3417" s="580">
        <f>HLOOKUP("*"&amp;'Output annual'!$AC$2&amp;'Output annual'!$AD$2&amp;"*Zone People Number Of Occupants [](Hourly)",'Eplus results'!$1:$1048576,ROW(),FALSE)</f>
        <v>0</v>
      </c>
      <c r="AC3417" s="580">
        <f>HLOOKUP("*"&amp;'Output annual'!$AC$2&amp;'Output annual'!$AD$2&amp;"*FangerPMV(Hourly)",'Eplus results'!$1:$1048576,ROW(),FALSE)</f>
        <v>0</v>
      </c>
      <c r="AD3417" s="580">
        <f t="shared" si="301"/>
        <v>5</v>
      </c>
      <c r="AE3417" s="580">
        <f t="shared" si="302"/>
        <v>2.5</v>
      </c>
      <c r="AF3417" s="580">
        <f t="shared" si="303"/>
        <v>2.5</v>
      </c>
      <c r="AG3417" s="580">
        <f t="shared" si="304"/>
        <v>0</v>
      </c>
      <c r="AH3417" s="580">
        <f t="shared" si="305"/>
        <v>0</v>
      </c>
    </row>
    <row r="3418" spans="28:34">
      <c r="AB3418" s="580">
        <f>HLOOKUP("*"&amp;'Output annual'!$AC$2&amp;'Output annual'!$AD$2&amp;"*Zone People Number Of Occupants [](Hourly)",'Eplus results'!$1:$1048576,ROW(),FALSE)</f>
        <v>0</v>
      </c>
      <c r="AC3418" s="580">
        <f>HLOOKUP("*"&amp;'Output annual'!$AC$2&amp;'Output annual'!$AD$2&amp;"*FangerPMV(Hourly)",'Eplus results'!$1:$1048576,ROW(),FALSE)</f>
        <v>0</v>
      </c>
      <c r="AD3418" s="580">
        <f t="shared" si="301"/>
        <v>5</v>
      </c>
      <c r="AE3418" s="580">
        <f t="shared" si="302"/>
        <v>2.5</v>
      </c>
      <c r="AF3418" s="580">
        <f t="shared" si="303"/>
        <v>2.5</v>
      </c>
      <c r="AG3418" s="580">
        <f t="shared" si="304"/>
        <v>0</v>
      </c>
      <c r="AH3418" s="580">
        <f t="shared" si="305"/>
        <v>0</v>
      </c>
    </row>
    <row r="3419" spans="28:34">
      <c r="AB3419" s="580">
        <f>HLOOKUP("*"&amp;'Output annual'!$AC$2&amp;'Output annual'!$AD$2&amp;"*Zone People Number Of Occupants [](Hourly)",'Eplus results'!$1:$1048576,ROW(),FALSE)</f>
        <v>0</v>
      </c>
      <c r="AC3419" s="580">
        <f>HLOOKUP("*"&amp;'Output annual'!$AC$2&amp;'Output annual'!$AD$2&amp;"*FangerPMV(Hourly)",'Eplus results'!$1:$1048576,ROW(),FALSE)</f>
        <v>0</v>
      </c>
      <c r="AD3419" s="580">
        <f t="shared" si="301"/>
        <v>5</v>
      </c>
      <c r="AE3419" s="580">
        <f t="shared" si="302"/>
        <v>2.5</v>
      </c>
      <c r="AF3419" s="580">
        <f t="shared" si="303"/>
        <v>2.5</v>
      </c>
      <c r="AG3419" s="580">
        <f t="shared" si="304"/>
        <v>0</v>
      </c>
      <c r="AH3419" s="580">
        <f t="shared" si="305"/>
        <v>0</v>
      </c>
    </row>
    <row r="3420" spans="28:34">
      <c r="AB3420" s="580">
        <f>HLOOKUP("*"&amp;'Output annual'!$AC$2&amp;'Output annual'!$AD$2&amp;"*Zone People Number Of Occupants [](Hourly)",'Eplus results'!$1:$1048576,ROW(),FALSE)</f>
        <v>0</v>
      </c>
      <c r="AC3420" s="580">
        <f>HLOOKUP("*"&amp;'Output annual'!$AC$2&amp;'Output annual'!$AD$2&amp;"*FangerPMV(Hourly)",'Eplus results'!$1:$1048576,ROW(),FALSE)</f>
        <v>0</v>
      </c>
      <c r="AD3420" s="580">
        <f t="shared" si="301"/>
        <v>5</v>
      </c>
      <c r="AE3420" s="580">
        <f t="shared" si="302"/>
        <v>2.5</v>
      </c>
      <c r="AF3420" s="580">
        <f t="shared" si="303"/>
        <v>2.5</v>
      </c>
      <c r="AG3420" s="580">
        <f t="shared" si="304"/>
        <v>0</v>
      </c>
      <c r="AH3420" s="580">
        <f t="shared" si="305"/>
        <v>0</v>
      </c>
    </row>
    <row r="3421" spans="28:34">
      <c r="AB3421" s="580">
        <f>HLOOKUP("*"&amp;'Output annual'!$AC$2&amp;'Output annual'!$AD$2&amp;"*Zone People Number Of Occupants [](Hourly)",'Eplus results'!$1:$1048576,ROW(),FALSE)</f>
        <v>0</v>
      </c>
      <c r="AC3421" s="580">
        <f>HLOOKUP("*"&amp;'Output annual'!$AC$2&amp;'Output annual'!$AD$2&amp;"*FangerPMV(Hourly)",'Eplus results'!$1:$1048576,ROW(),FALSE)</f>
        <v>0</v>
      </c>
      <c r="AD3421" s="580">
        <f t="shared" si="301"/>
        <v>5</v>
      </c>
      <c r="AE3421" s="580">
        <f t="shared" si="302"/>
        <v>2.5</v>
      </c>
      <c r="AF3421" s="580">
        <f t="shared" si="303"/>
        <v>2.5</v>
      </c>
      <c r="AG3421" s="580">
        <f t="shared" si="304"/>
        <v>0</v>
      </c>
      <c r="AH3421" s="580">
        <f t="shared" si="305"/>
        <v>0</v>
      </c>
    </row>
    <row r="3422" spans="28:34">
      <c r="AB3422" s="580">
        <f>HLOOKUP("*"&amp;'Output annual'!$AC$2&amp;'Output annual'!$AD$2&amp;"*Zone People Number Of Occupants [](Hourly)",'Eplus results'!$1:$1048576,ROW(),FALSE)</f>
        <v>0</v>
      </c>
      <c r="AC3422" s="580">
        <f>HLOOKUP("*"&amp;'Output annual'!$AC$2&amp;'Output annual'!$AD$2&amp;"*FangerPMV(Hourly)",'Eplus results'!$1:$1048576,ROW(),FALSE)</f>
        <v>0</v>
      </c>
      <c r="AD3422" s="580">
        <f t="shared" si="301"/>
        <v>5</v>
      </c>
      <c r="AE3422" s="580">
        <f t="shared" si="302"/>
        <v>2.5</v>
      </c>
      <c r="AF3422" s="580">
        <f t="shared" si="303"/>
        <v>2.5</v>
      </c>
      <c r="AG3422" s="580">
        <f t="shared" si="304"/>
        <v>0</v>
      </c>
      <c r="AH3422" s="580">
        <f t="shared" si="305"/>
        <v>0</v>
      </c>
    </row>
    <row r="3423" spans="28:34">
      <c r="AB3423" s="580">
        <f>HLOOKUP("*"&amp;'Output annual'!$AC$2&amp;'Output annual'!$AD$2&amp;"*Zone People Number Of Occupants [](Hourly)",'Eplus results'!$1:$1048576,ROW(),FALSE)</f>
        <v>0</v>
      </c>
      <c r="AC3423" s="580">
        <f>HLOOKUP("*"&amp;'Output annual'!$AC$2&amp;'Output annual'!$AD$2&amp;"*FangerPMV(Hourly)",'Eplus results'!$1:$1048576,ROW(),FALSE)</f>
        <v>0</v>
      </c>
      <c r="AD3423" s="580">
        <f t="shared" si="301"/>
        <v>5</v>
      </c>
      <c r="AE3423" s="580">
        <f t="shared" si="302"/>
        <v>2.5</v>
      </c>
      <c r="AF3423" s="580">
        <f t="shared" si="303"/>
        <v>2.5</v>
      </c>
      <c r="AG3423" s="580">
        <f t="shared" si="304"/>
        <v>0</v>
      </c>
      <c r="AH3423" s="580">
        <f t="shared" si="305"/>
        <v>0</v>
      </c>
    </row>
    <row r="3424" spans="28:34">
      <c r="AB3424" s="580">
        <f>HLOOKUP("*"&amp;'Output annual'!$AC$2&amp;'Output annual'!$AD$2&amp;"*Zone People Number Of Occupants [](Hourly)",'Eplus results'!$1:$1048576,ROW(),FALSE)</f>
        <v>0</v>
      </c>
      <c r="AC3424" s="580">
        <f>HLOOKUP("*"&amp;'Output annual'!$AC$2&amp;'Output annual'!$AD$2&amp;"*FangerPMV(Hourly)",'Eplus results'!$1:$1048576,ROW(),FALSE)</f>
        <v>0</v>
      </c>
      <c r="AD3424" s="580">
        <f t="shared" si="301"/>
        <v>5</v>
      </c>
      <c r="AE3424" s="580">
        <f t="shared" si="302"/>
        <v>2.5</v>
      </c>
      <c r="AF3424" s="580">
        <f t="shared" si="303"/>
        <v>2.5</v>
      </c>
      <c r="AG3424" s="580">
        <f t="shared" si="304"/>
        <v>0</v>
      </c>
      <c r="AH3424" s="580">
        <f t="shared" si="305"/>
        <v>0</v>
      </c>
    </row>
    <row r="3425" spans="28:34">
      <c r="AB3425" s="580">
        <f>HLOOKUP("*"&amp;'Output annual'!$AC$2&amp;'Output annual'!$AD$2&amp;"*Zone People Number Of Occupants [](Hourly)",'Eplus results'!$1:$1048576,ROW(),FALSE)</f>
        <v>0</v>
      </c>
      <c r="AC3425" s="580">
        <f>HLOOKUP("*"&amp;'Output annual'!$AC$2&amp;'Output annual'!$AD$2&amp;"*FangerPMV(Hourly)",'Eplus results'!$1:$1048576,ROW(),FALSE)</f>
        <v>0</v>
      </c>
      <c r="AD3425" s="580">
        <f t="shared" si="301"/>
        <v>5</v>
      </c>
      <c r="AE3425" s="580">
        <f t="shared" si="302"/>
        <v>2.5</v>
      </c>
      <c r="AF3425" s="580">
        <f t="shared" si="303"/>
        <v>2.5</v>
      </c>
      <c r="AG3425" s="580">
        <f t="shared" si="304"/>
        <v>0</v>
      </c>
      <c r="AH3425" s="580">
        <f t="shared" si="305"/>
        <v>0</v>
      </c>
    </row>
    <row r="3426" spans="28:34">
      <c r="AB3426" s="580">
        <f>HLOOKUP("*"&amp;'Output annual'!$AC$2&amp;'Output annual'!$AD$2&amp;"*Zone People Number Of Occupants [](Hourly)",'Eplus results'!$1:$1048576,ROW(),FALSE)</f>
        <v>0</v>
      </c>
      <c r="AC3426" s="580">
        <f>HLOOKUP("*"&amp;'Output annual'!$AC$2&amp;'Output annual'!$AD$2&amp;"*FangerPMV(Hourly)",'Eplus results'!$1:$1048576,ROW(),FALSE)</f>
        <v>0</v>
      </c>
      <c r="AD3426" s="580">
        <f t="shared" si="301"/>
        <v>5</v>
      </c>
      <c r="AE3426" s="580">
        <f t="shared" si="302"/>
        <v>2.5</v>
      </c>
      <c r="AF3426" s="580">
        <f t="shared" si="303"/>
        <v>2.5</v>
      </c>
      <c r="AG3426" s="580">
        <f t="shared" si="304"/>
        <v>0</v>
      </c>
      <c r="AH3426" s="580">
        <f t="shared" si="305"/>
        <v>0</v>
      </c>
    </row>
    <row r="3427" spans="28:34">
      <c r="AB3427" s="580">
        <f>HLOOKUP("*"&amp;'Output annual'!$AC$2&amp;'Output annual'!$AD$2&amp;"*Zone People Number Of Occupants [](Hourly)",'Eplus results'!$1:$1048576,ROW(),FALSE)</f>
        <v>0</v>
      </c>
      <c r="AC3427" s="580">
        <f>HLOOKUP("*"&amp;'Output annual'!$AC$2&amp;'Output annual'!$AD$2&amp;"*FangerPMV(Hourly)",'Eplus results'!$1:$1048576,ROW(),FALSE)</f>
        <v>0</v>
      </c>
      <c r="AD3427" s="580">
        <f t="shared" si="301"/>
        <v>5</v>
      </c>
      <c r="AE3427" s="580">
        <f t="shared" si="302"/>
        <v>2.5</v>
      </c>
      <c r="AF3427" s="580">
        <f t="shared" si="303"/>
        <v>2.5</v>
      </c>
      <c r="AG3427" s="580">
        <f t="shared" si="304"/>
        <v>0</v>
      </c>
      <c r="AH3427" s="580">
        <f t="shared" si="305"/>
        <v>0</v>
      </c>
    </row>
    <row r="3428" spans="28:34">
      <c r="AB3428" s="580">
        <f>HLOOKUP("*"&amp;'Output annual'!$AC$2&amp;'Output annual'!$AD$2&amp;"*Zone People Number Of Occupants [](Hourly)",'Eplus results'!$1:$1048576,ROW(),FALSE)</f>
        <v>0</v>
      </c>
      <c r="AC3428" s="580">
        <f>HLOOKUP("*"&amp;'Output annual'!$AC$2&amp;'Output annual'!$AD$2&amp;"*FangerPMV(Hourly)",'Eplus results'!$1:$1048576,ROW(),FALSE)</f>
        <v>0</v>
      </c>
      <c r="AD3428" s="580">
        <f t="shared" si="301"/>
        <v>5</v>
      </c>
      <c r="AE3428" s="580">
        <f t="shared" si="302"/>
        <v>2.5</v>
      </c>
      <c r="AF3428" s="580">
        <f t="shared" si="303"/>
        <v>2.5</v>
      </c>
      <c r="AG3428" s="580">
        <f t="shared" si="304"/>
        <v>0</v>
      </c>
      <c r="AH3428" s="580">
        <f t="shared" si="305"/>
        <v>0</v>
      </c>
    </row>
    <row r="3429" spans="28:34">
      <c r="AB3429" s="580">
        <f>HLOOKUP("*"&amp;'Output annual'!$AC$2&amp;'Output annual'!$AD$2&amp;"*Zone People Number Of Occupants [](Hourly)",'Eplus results'!$1:$1048576,ROW(),FALSE)</f>
        <v>0</v>
      </c>
      <c r="AC3429" s="580">
        <f>HLOOKUP("*"&amp;'Output annual'!$AC$2&amp;'Output annual'!$AD$2&amp;"*FangerPMV(Hourly)",'Eplus results'!$1:$1048576,ROW(),FALSE)</f>
        <v>0</v>
      </c>
      <c r="AD3429" s="580">
        <f t="shared" si="301"/>
        <v>5</v>
      </c>
      <c r="AE3429" s="580">
        <f t="shared" si="302"/>
        <v>2.5</v>
      </c>
      <c r="AF3429" s="580">
        <f t="shared" si="303"/>
        <v>2.5</v>
      </c>
      <c r="AG3429" s="580">
        <f t="shared" si="304"/>
        <v>0</v>
      </c>
      <c r="AH3429" s="580">
        <f t="shared" si="305"/>
        <v>0</v>
      </c>
    </row>
    <row r="3430" spans="28:34">
      <c r="AB3430" s="580">
        <f>HLOOKUP("*"&amp;'Output annual'!$AC$2&amp;'Output annual'!$AD$2&amp;"*Zone People Number Of Occupants [](Hourly)",'Eplus results'!$1:$1048576,ROW(),FALSE)</f>
        <v>0</v>
      </c>
      <c r="AC3430" s="580">
        <f>HLOOKUP("*"&amp;'Output annual'!$AC$2&amp;'Output annual'!$AD$2&amp;"*FangerPMV(Hourly)",'Eplus results'!$1:$1048576,ROW(),FALSE)</f>
        <v>0</v>
      </c>
      <c r="AD3430" s="580">
        <f t="shared" si="301"/>
        <v>5</v>
      </c>
      <c r="AE3430" s="580">
        <f t="shared" si="302"/>
        <v>2.5</v>
      </c>
      <c r="AF3430" s="580">
        <f t="shared" si="303"/>
        <v>2.5</v>
      </c>
      <c r="AG3430" s="580">
        <f t="shared" si="304"/>
        <v>0</v>
      </c>
      <c r="AH3430" s="580">
        <f t="shared" si="305"/>
        <v>0</v>
      </c>
    </row>
    <row r="3431" spans="28:34">
      <c r="AB3431" s="580">
        <f>HLOOKUP("*"&amp;'Output annual'!$AC$2&amp;'Output annual'!$AD$2&amp;"*Zone People Number Of Occupants [](Hourly)",'Eplus results'!$1:$1048576,ROW(),FALSE)</f>
        <v>0</v>
      </c>
      <c r="AC3431" s="580">
        <f>HLOOKUP("*"&amp;'Output annual'!$AC$2&amp;'Output annual'!$AD$2&amp;"*FangerPMV(Hourly)",'Eplus results'!$1:$1048576,ROW(),FALSE)</f>
        <v>0</v>
      </c>
      <c r="AD3431" s="580">
        <f t="shared" si="301"/>
        <v>5</v>
      </c>
      <c r="AE3431" s="580">
        <f t="shared" si="302"/>
        <v>2.5</v>
      </c>
      <c r="AF3431" s="580">
        <f t="shared" si="303"/>
        <v>2.5</v>
      </c>
      <c r="AG3431" s="580">
        <f t="shared" si="304"/>
        <v>0</v>
      </c>
      <c r="AH3431" s="580">
        <f t="shared" si="305"/>
        <v>0</v>
      </c>
    </row>
    <row r="3432" spans="28:34">
      <c r="AB3432" s="580">
        <f>HLOOKUP("*"&amp;'Output annual'!$AC$2&amp;'Output annual'!$AD$2&amp;"*Zone People Number Of Occupants [](Hourly)",'Eplus results'!$1:$1048576,ROW(),FALSE)</f>
        <v>0</v>
      </c>
      <c r="AC3432" s="580">
        <f>HLOOKUP("*"&amp;'Output annual'!$AC$2&amp;'Output annual'!$AD$2&amp;"*FangerPMV(Hourly)",'Eplus results'!$1:$1048576,ROW(),FALSE)</f>
        <v>0</v>
      </c>
      <c r="AD3432" s="580">
        <f t="shared" si="301"/>
        <v>5</v>
      </c>
      <c r="AE3432" s="580">
        <f t="shared" si="302"/>
        <v>2.5</v>
      </c>
      <c r="AF3432" s="580">
        <f t="shared" si="303"/>
        <v>2.5</v>
      </c>
      <c r="AG3432" s="580">
        <f t="shared" si="304"/>
        <v>0</v>
      </c>
      <c r="AH3432" s="580">
        <f t="shared" si="305"/>
        <v>0</v>
      </c>
    </row>
    <row r="3433" spans="28:34">
      <c r="AB3433" s="580">
        <f>HLOOKUP("*"&amp;'Output annual'!$AC$2&amp;'Output annual'!$AD$2&amp;"*Zone People Number Of Occupants [](Hourly)",'Eplus results'!$1:$1048576,ROW(),FALSE)</f>
        <v>0</v>
      </c>
      <c r="AC3433" s="580">
        <f>HLOOKUP("*"&amp;'Output annual'!$AC$2&amp;'Output annual'!$AD$2&amp;"*FangerPMV(Hourly)",'Eplus results'!$1:$1048576,ROW(),FALSE)</f>
        <v>0</v>
      </c>
      <c r="AD3433" s="580">
        <f t="shared" si="301"/>
        <v>5</v>
      </c>
      <c r="AE3433" s="580">
        <f t="shared" si="302"/>
        <v>2.5</v>
      </c>
      <c r="AF3433" s="580">
        <f t="shared" si="303"/>
        <v>2.5</v>
      </c>
      <c r="AG3433" s="580">
        <f t="shared" si="304"/>
        <v>0</v>
      </c>
      <c r="AH3433" s="580">
        <f t="shared" si="305"/>
        <v>0</v>
      </c>
    </row>
    <row r="3434" spans="28:34">
      <c r="AB3434" s="580">
        <f>HLOOKUP("*"&amp;'Output annual'!$AC$2&amp;'Output annual'!$AD$2&amp;"*Zone People Number Of Occupants [](Hourly)",'Eplus results'!$1:$1048576,ROW(),FALSE)</f>
        <v>0</v>
      </c>
      <c r="AC3434" s="580">
        <f>HLOOKUP("*"&amp;'Output annual'!$AC$2&amp;'Output annual'!$AD$2&amp;"*FangerPMV(Hourly)",'Eplus results'!$1:$1048576,ROW(),FALSE)</f>
        <v>0</v>
      </c>
      <c r="AD3434" s="580">
        <f t="shared" si="301"/>
        <v>5</v>
      </c>
      <c r="AE3434" s="580">
        <f t="shared" si="302"/>
        <v>2.5</v>
      </c>
      <c r="AF3434" s="580">
        <f t="shared" si="303"/>
        <v>2.5</v>
      </c>
      <c r="AG3434" s="580">
        <f t="shared" si="304"/>
        <v>0</v>
      </c>
      <c r="AH3434" s="580">
        <f t="shared" si="305"/>
        <v>0</v>
      </c>
    </row>
    <row r="3435" spans="28:34">
      <c r="AB3435" s="580">
        <f>HLOOKUP("*"&amp;'Output annual'!$AC$2&amp;'Output annual'!$AD$2&amp;"*Zone People Number Of Occupants [](Hourly)",'Eplus results'!$1:$1048576,ROW(),FALSE)</f>
        <v>0</v>
      </c>
      <c r="AC3435" s="580">
        <f>HLOOKUP("*"&amp;'Output annual'!$AC$2&amp;'Output annual'!$AD$2&amp;"*FangerPMV(Hourly)",'Eplus results'!$1:$1048576,ROW(),FALSE)</f>
        <v>0</v>
      </c>
      <c r="AD3435" s="580">
        <f t="shared" si="301"/>
        <v>5</v>
      </c>
      <c r="AE3435" s="580">
        <f t="shared" si="302"/>
        <v>2.5</v>
      </c>
      <c r="AF3435" s="580">
        <f t="shared" si="303"/>
        <v>2.5</v>
      </c>
      <c r="AG3435" s="580">
        <f t="shared" si="304"/>
        <v>0</v>
      </c>
      <c r="AH3435" s="580">
        <f t="shared" si="305"/>
        <v>0</v>
      </c>
    </row>
    <row r="3436" spans="28:34">
      <c r="AB3436" s="580">
        <f>HLOOKUP("*"&amp;'Output annual'!$AC$2&amp;'Output annual'!$AD$2&amp;"*Zone People Number Of Occupants [](Hourly)",'Eplus results'!$1:$1048576,ROW(),FALSE)</f>
        <v>0</v>
      </c>
      <c r="AC3436" s="580">
        <f>HLOOKUP("*"&amp;'Output annual'!$AC$2&amp;'Output annual'!$AD$2&amp;"*FangerPMV(Hourly)",'Eplus results'!$1:$1048576,ROW(),FALSE)</f>
        <v>0</v>
      </c>
      <c r="AD3436" s="580">
        <f t="shared" si="301"/>
        <v>5</v>
      </c>
      <c r="AE3436" s="580">
        <f t="shared" si="302"/>
        <v>2.5</v>
      </c>
      <c r="AF3436" s="580">
        <f t="shared" si="303"/>
        <v>2.5</v>
      </c>
      <c r="AG3436" s="580">
        <f t="shared" si="304"/>
        <v>0</v>
      </c>
      <c r="AH3436" s="580">
        <f t="shared" si="305"/>
        <v>0</v>
      </c>
    </row>
    <row r="3437" spans="28:34">
      <c r="AB3437" s="580">
        <f>HLOOKUP("*"&amp;'Output annual'!$AC$2&amp;'Output annual'!$AD$2&amp;"*Zone People Number Of Occupants [](Hourly)",'Eplus results'!$1:$1048576,ROW(),FALSE)</f>
        <v>0</v>
      </c>
      <c r="AC3437" s="580">
        <f>HLOOKUP("*"&amp;'Output annual'!$AC$2&amp;'Output annual'!$AD$2&amp;"*FangerPMV(Hourly)",'Eplus results'!$1:$1048576,ROW(),FALSE)</f>
        <v>0</v>
      </c>
      <c r="AD3437" s="580">
        <f t="shared" si="301"/>
        <v>5</v>
      </c>
      <c r="AE3437" s="580">
        <f t="shared" si="302"/>
        <v>2.5</v>
      </c>
      <c r="AF3437" s="580">
        <f t="shared" si="303"/>
        <v>2.5</v>
      </c>
      <c r="AG3437" s="580">
        <f t="shared" si="304"/>
        <v>0</v>
      </c>
      <c r="AH3437" s="580">
        <f t="shared" si="305"/>
        <v>0</v>
      </c>
    </row>
    <row r="3438" spans="28:34">
      <c r="AB3438" s="580">
        <f>HLOOKUP("*"&amp;'Output annual'!$AC$2&amp;'Output annual'!$AD$2&amp;"*Zone People Number Of Occupants [](Hourly)",'Eplus results'!$1:$1048576,ROW(),FALSE)</f>
        <v>0</v>
      </c>
      <c r="AC3438" s="580">
        <f>HLOOKUP("*"&amp;'Output annual'!$AC$2&amp;'Output annual'!$AD$2&amp;"*FangerPMV(Hourly)",'Eplus results'!$1:$1048576,ROW(),FALSE)</f>
        <v>0</v>
      </c>
      <c r="AD3438" s="580">
        <f t="shared" si="301"/>
        <v>5</v>
      </c>
      <c r="AE3438" s="580">
        <f t="shared" si="302"/>
        <v>2.5</v>
      </c>
      <c r="AF3438" s="580">
        <f t="shared" si="303"/>
        <v>2.5</v>
      </c>
      <c r="AG3438" s="580">
        <f t="shared" si="304"/>
        <v>0</v>
      </c>
      <c r="AH3438" s="580">
        <f t="shared" si="305"/>
        <v>0</v>
      </c>
    </row>
    <row r="3439" spans="28:34">
      <c r="AB3439" s="580">
        <f>HLOOKUP("*"&amp;'Output annual'!$AC$2&amp;'Output annual'!$AD$2&amp;"*Zone People Number Of Occupants [](Hourly)",'Eplus results'!$1:$1048576,ROW(),FALSE)</f>
        <v>0</v>
      </c>
      <c r="AC3439" s="580">
        <f>HLOOKUP("*"&amp;'Output annual'!$AC$2&amp;'Output annual'!$AD$2&amp;"*FangerPMV(Hourly)",'Eplus results'!$1:$1048576,ROW(),FALSE)</f>
        <v>0</v>
      </c>
      <c r="AD3439" s="580">
        <f t="shared" si="301"/>
        <v>5</v>
      </c>
      <c r="AE3439" s="580">
        <f t="shared" si="302"/>
        <v>2.5</v>
      </c>
      <c r="AF3439" s="580">
        <f t="shared" si="303"/>
        <v>2.5</v>
      </c>
      <c r="AG3439" s="580">
        <f t="shared" si="304"/>
        <v>0</v>
      </c>
      <c r="AH3439" s="580">
        <f t="shared" si="305"/>
        <v>0</v>
      </c>
    </row>
    <row r="3440" spans="28:34">
      <c r="AB3440" s="580">
        <f>HLOOKUP("*"&amp;'Output annual'!$AC$2&amp;'Output annual'!$AD$2&amp;"*Zone People Number Of Occupants [](Hourly)",'Eplus results'!$1:$1048576,ROW(),FALSE)</f>
        <v>0</v>
      </c>
      <c r="AC3440" s="580">
        <f>HLOOKUP("*"&amp;'Output annual'!$AC$2&amp;'Output annual'!$AD$2&amp;"*FangerPMV(Hourly)",'Eplus results'!$1:$1048576,ROW(),FALSE)</f>
        <v>0</v>
      </c>
      <c r="AD3440" s="580">
        <f t="shared" si="301"/>
        <v>5</v>
      </c>
      <c r="AE3440" s="580">
        <f t="shared" si="302"/>
        <v>2.5</v>
      </c>
      <c r="AF3440" s="580">
        <f t="shared" si="303"/>
        <v>2.5</v>
      </c>
      <c r="AG3440" s="580">
        <f t="shared" si="304"/>
        <v>0</v>
      </c>
      <c r="AH3440" s="580">
        <f t="shared" si="305"/>
        <v>0</v>
      </c>
    </row>
    <row r="3441" spans="28:34">
      <c r="AB3441" s="580">
        <f>HLOOKUP("*"&amp;'Output annual'!$AC$2&amp;'Output annual'!$AD$2&amp;"*Zone People Number Of Occupants [](Hourly)",'Eplus results'!$1:$1048576,ROW(),FALSE)</f>
        <v>0</v>
      </c>
      <c r="AC3441" s="580">
        <f>HLOOKUP("*"&amp;'Output annual'!$AC$2&amp;'Output annual'!$AD$2&amp;"*FangerPMV(Hourly)",'Eplus results'!$1:$1048576,ROW(),FALSE)</f>
        <v>0</v>
      </c>
      <c r="AD3441" s="580">
        <f t="shared" si="301"/>
        <v>5</v>
      </c>
      <c r="AE3441" s="580">
        <f t="shared" si="302"/>
        <v>2.5</v>
      </c>
      <c r="AF3441" s="580">
        <f t="shared" si="303"/>
        <v>2.5</v>
      </c>
      <c r="AG3441" s="580">
        <f t="shared" si="304"/>
        <v>0</v>
      </c>
      <c r="AH3441" s="580">
        <f t="shared" si="305"/>
        <v>0</v>
      </c>
    </row>
    <row r="3442" spans="28:34">
      <c r="AB3442" s="580">
        <f>HLOOKUP("*"&amp;'Output annual'!$AC$2&amp;'Output annual'!$AD$2&amp;"*Zone People Number Of Occupants [](Hourly)",'Eplus results'!$1:$1048576,ROW(),FALSE)</f>
        <v>0</v>
      </c>
      <c r="AC3442" s="580">
        <f>HLOOKUP("*"&amp;'Output annual'!$AC$2&amp;'Output annual'!$AD$2&amp;"*FangerPMV(Hourly)",'Eplus results'!$1:$1048576,ROW(),FALSE)</f>
        <v>0</v>
      </c>
      <c r="AD3442" s="580">
        <f t="shared" si="301"/>
        <v>5</v>
      </c>
      <c r="AE3442" s="580">
        <f t="shared" si="302"/>
        <v>2.5</v>
      </c>
      <c r="AF3442" s="580">
        <f t="shared" si="303"/>
        <v>2.5</v>
      </c>
      <c r="AG3442" s="580">
        <f t="shared" si="304"/>
        <v>0</v>
      </c>
      <c r="AH3442" s="580">
        <f t="shared" si="305"/>
        <v>0</v>
      </c>
    </row>
    <row r="3443" spans="28:34">
      <c r="AB3443" s="580">
        <f>HLOOKUP("*"&amp;'Output annual'!$AC$2&amp;'Output annual'!$AD$2&amp;"*Zone People Number Of Occupants [](Hourly)",'Eplus results'!$1:$1048576,ROW(),FALSE)</f>
        <v>0</v>
      </c>
      <c r="AC3443" s="580">
        <f>HLOOKUP("*"&amp;'Output annual'!$AC$2&amp;'Output annual'!$AD$2&amp;"*FangerPMV(Hourly)",'Eplus results'!$1:$1048576,ROW(),FALSE)</f>
        <v>0</v>
      </c>
      <c r="AD3443" s="580">
        <f t="shared" si="301"/>
        <v>5</v>
      </c>
      <c r="AE3443" s="580">
        <f t="shared" si="302"/>
        <v>2.5</v>
      </c>
      <c r="AF3443" s="580">
        <f t="shared" si="303"/>
        <v>2.5</v>
      </c>
      <c r="AG3443" s="580">
        <f t="shared" si="304"/>
        <v>0</v>
      </c>
      <c r="AH3443" s="580">
        <f t="shared" si="305"/>
        <v>0</v>
      </c>
    </row>
    <row r="3444" spans="28:34">
      <c r="AB3444" s="580">
        <f>HLOOKUP("*"&amp;'Output annual'!$AC$2&amp;'Output annual'!$AD$2&amp;"*Zone People Number Of Occupants [](Hourly)",'Eplus results'!$1:$1048576,ROW(),FALSE)</f>
        <v>0</v>
      </c>
      <c r="AC3444" s="580">
        <f>HLOOKUP("*"&amp;'Output annual'!$AC$2&amp;'Output annual'!$AD$2&amp;"*FangerPMV(Hourly)",'Eplus results'!$1:$1048576,ROW(),FALSE)</f>
        <v>0</v>
      </c>
      <c r="AD3444" s="580">
        <f t="shared" si="301"/>
        <v>5</v>
      </c>
      <c r="AE3444" s="580">
        <f t="shared" si="302"/>
        <v>2.5</v>
      </c>
      <c r="AF3444" s="580">
        <f t="shared" si="303"/>
        <v>2.5</v>
      </c>
      <c r="AG3444" s="580">
        <f t="shared" si="304"/>
        <v>0</v>
      </c>
      <c r="AH3444" s="580">
        <f t="shared" si="305"/>
        <v>0</v>
      </c>
    </row>
    <row r="3445" spans="28:34">
      <c r="AB3445" s="580">
        <f>HLOOKUP("*"&amp;'Output annual'!$AC$2&amp;'Output annual'!$AD$2&amp;"*Zone People Number Of Occupants [](Hourly)",'Eplus results'!$1:$1048576,ROW(),FALSE)</f>
        <v>0</v>
      </c>
      <c r="AC3445" s="580">
        <f>HLOOKUP("*"&amp;'Output annual'!$AC$2&amp;'Output annual'!$AD$2&amp;"*FangerPMV(Hourly)",'Eplus results'!$1:$1048576,ROW(),FALSE)</f>
        <v>0</v>
      </c>
      <c r="AD3445" s="580">
        <f t="shared" si="301"/>
        <v>5</v>
      </c>
      <c r="AE3445" s="580">
        <f t="shared" si="302"/>
        <v>2.5</v>
      </c>
      <c r="AF3445" s="580">
        <f t="shared" si="303"/>
        <v>2.5</v>
      </c>
      <c r="AG3445" s="580">
        <f t="shared" si="304"/>
        <v>0</v>
      </c>
      <c r="AH3445" s="580">
        <f t="shared" si="305"/>
        <v>0</v>
      </c>
    </row>
    <row r="3446" spans="28:34">
      <c r="AB3446" s="580">
        <f>HLOOKUP("*"&amp;'Output annual'!$AC$2&amp;'Output annual'!$AD$2&amp;"*Zone People Number Of Occupants [](Hourly)",'Eplus results'!$1:$1048576,ROW(),FALSE)</f>
        <v>0</v>
      </c>
      <c r="AC3446" s="580">
        <f>HLOOKUP("*"&amp;'Output annual'!$AC$2&amp;'Output annual'!$AD$2&amp;"*FangerPMV(Hourly)",'Eplus results'!$1:$1048576,ROW(),FALSE)</f>
        <v>0</v>
      </c>
      <c r="AD3446" s="580">
        <f t="shared" si="301"/>
        <v>5</v>
      </c>
      <c r="AE3446" s="580">
        <f t="shared" si="302"/>
        <v>2.5</v>
      </c>
      <c r="AF3446" s="580">
        <f t="shared" si="303"/>
        <v>2.5</v>
      </c>
      <c r="AG3446" s="580">
        <f t="shared" si="304"/>
        <v>0</v>
      </c>
      <c r="AH3446" s="580">
        <f t="shared" si="305"/>
        <v>0</v>
      </c>
    </row>
    <row r="3447" spans="28:34">
      <c r="AB3447" s="580">
        <f>HLOOKUP("*"&amp;'Output annual'!$AC$2&amp;'Output annual'!$AD$2&amp;"*Zone People Number Of Occupants [](Hourly)",'Eplus results'!$1:$1048576,ROW(),FALSE)</f>
        <v>0</v>
      </c>
      <c r="AC3447" s="580">
        <f>HLOOKUP("*"&amp;'Output annual'!$AC$2&amp;'Output annual'!$AD$2&amp;"*FangerPMV(Hourly)",'Eplus results'!$1:$1048576,ROW(),FALSE)</f>
        <v>0</v>
      </c>
      <c r="AD3447" s="580">
        <f t="shared" si="301"/>
        <v>5</v>
      </c>
      <c r="AE3447" s="580">
        <f t="shared" si="302"/>
        <v>2.5</v>
      </c>
      <c r="AF3447" s="580">
        <f t="shared" si="303"/>
        <v>2.5</v>
      </c>
      <c r="AG3447" s="580">
        <f t="shared" si="304"/>
        <v>0</v>
      </c>
      <c r="AH3447" s="580">
        <f t="shared" si="305"/>
        <v>0</v>
      </c>
    </row>
    <row r="3448" spans="28:34">
      <c r="AB3448" s="580">
        <f>HLOOKUP("*"&amp;'Output annual'!$AC$2&amp;'Output annual'!$AD$2&amp;"*Zone People Number Of Occupants [](Hourly)",'Eplus results'!$1:$1048576,ROW(),FALSE)</f>
        <v>0</v>
      </c>
      <c r="AC3448" s="580">
        <f>HLOOKUP("*"&amp;'Output annual'!$AC$2&amp;'Output annual'!$AD$2&amp;"*FangerPMV(Hourly)",'Eplus results'!$1:$1048576,ROW(),FALSE)</f>
        <v>0</v>
      </c>
      <c r="AD3448" s="580">
        <f t="shared" si="301"/>
        <v>5</v>
      </c>
      <c r="AE3448" s="580">
        <f t="shared" si="302"/>
        <v>2.5</v>
      </c>
      <c r="AF3448" s="580">
        <f t="shared" si="303"/>
        <v>2.5</v>
      </c>
      <c r="AG3448" s="580">
        <f t="shared" si="304"/>
        <v>0</v>
      </c>
      <c r="AH3448" s="580">
        <f t="shared" si="305"/>
        <v>0</v>
      </c>
    </row>
    <row r="3449" spans="28:34">
      <c r="AB3449" s="580">
        <f>HLOOKUP("*"&amp;'Output annual'!$AC$2&amp;'Output annual'!$AD$2&amp;"*Zone People Number Of Occupants [](Hourly)",'Eplus results'!$1:$1048576,ROW(),FALSE)</f>
        <v>0</v>
      </c>
      <c r="AC3449" s="580">
        <f>HLOOKUP("*"&amp;'Output annual'!$AC$2&amp;'Output annual'!$AD$2&amp;"*FangerPMV(Hourly)",'Eplus results'!$1:$1048576,ROW(),FALSE)</f>
        <v>0</v>
      </c>
      <c r="AD3449" s="580">
        <f t="shared" si="301"/>
        <v>5</v>
      </c>
      <c r="AE3449" s="580">
        <f t="shared" si="302"/>
        <v>2.5</v>
      </c>
      <c r="AF3449" s="580">
        <f t="shared" si="303"/>
        <v>2.5</v>
      </c>
      <c r="AG3449" s="580">
        <f t="shared" si="304"/>
        <v>0</v>
      </c>
      <c r="AH3449" s="580">
        <f t="shared" si="305"/>
        <v>0</v>
      </c>
    </row>
    <row r="3450" spans="28:34">
      <c r="AB3450" s="580">
        <f>HLOOKUP("*"&amp;'Output annual'!$AC$2&amp;'Output annual'!$AD$2&amp;"*Zone People Number Of Occupants [](Hourly)",'Eplus results'!$1:$1048576,ROW(),FALSE)</f>
        <v>0</v>
      </c>
      <c r="AC3450" s="580">
        <f>HLOOKUP("*"&amp;'Output annual'!$AC$2&amp;'Output annual'!$AD$2&amp;"*FangerPMV(Hourly)",'Eplus results'!$1:$1048576,ROW(),FALSE)</f>
        <v>0</v>
      </c>
      <c r="AD3450" s="580">
        <f t="shared" si="301"/>
        <v>5</v>
      </c>
      <c r="AE3450" s="580">
        <f t="shared" si="302"/>
        <v>2.5</v>
      </c>
      <c r="AF3450" s="580">
        <f t="shared" si="303"/>
        <v>2.5</v>
      </c>
      <c r="AG3450" s="580">
        <f t="shared" si="304"/>
        <v>0</v>
      </c>
      <c r="AH3450" s="580">
        <f t="shared" si="305"/>
        <v>0</v>
      </c>
    </row>
    <row r="3451" spans="28:34">
      <c r="AB3451" s="580">
        <f>HLOOKUP("*"&amp;'Output annual'!$AC$2&amp;'Output annual'!$AD$2&amp;"*Zone People Number Of Occupants [](Hourly)",'Eplus results'!$1:$1048576,ROW(),FALSE)</f>
        <v>0</v>
      </c>
      <c r="AC3451" s="580">
        <f>HLOOKUP("*"&amp;'Output annual'!$AC$2&amp;'Output annual'!$AD$2&amp;"*FangerPMV(Hourly)",'Eplus results'!$1:$1048576,ROW(),FALSE)</f>
        <v>0</v>
      </c>
      <c r="AD3451" s="580">
        <f t="shared" si="301"/>
        <v>5</v>
      </c>
      <c r="AE3451" s="580">
        <f t="shared" si="302"/>
        <v>2.5</v>
      </c>
      <c r="AF3451" s="580">
        <f t="shared" si="303"/>
        <v>2.5</v>
      </c>
      <c r="AG3451" s="580">
        <f t="shared" si="304"/>
        <v>0</v>
      </c>
      <c r="AH3451" s="580">
        <f t="shared" si="305"/>
        <v>0</v>
      </c>
    </row>
    <row r="3452" spans="28:34">
      <c r="AB3452" s="580">
        <f>HLOOKUP("*"&amp;'Output annual'!$AC$2&amp;'Output annual'!$AD$2&amp;"*Zone People Number Of Occupants [](Hourly)",'Eplus results'!$1:$1048576,ROW(),FALSE)</f>
        <v>0</v>
      </c>
      <c r="AC3452" s="580">
        <f>HLOOKUP("*"&amp;'Output annual'!$AC$2&amp;'Output annual'!$AD$2&amp;"*FangerPMV(Hourly)",'Eplus results'!$1:$1048576,ROW(),FALSE)</f>
        <v>0</v>
      </c>
      <c r="AD3452" s="580">
        <f t="shared" si="301"/>
        <v>5</v>
      </c>
      <c r="AE3452" s="580">
        <f t="shared" si="302"/>
        <v>2.5</v>
      </c>
      <c r="AF3452" s="580">
        <f t="shared" si="303"/>
        <v>2.5</v>
      </c>
      <c r="AG3452" s="580">
        <f t="shared" si="304"/>
        <v>0</v>
      </c>
      <c r="AH3452" s="580">
        <f t="shared" si="305"/>
        <v>0</v>
      </c>
    </row>
    <row r="3453" spans="28:34">
      <c r="AB3453" s="580">
        <f>HLOOKUP("*"&amp;'Output annual'!$AC$2&amp;'Output annual'!$AD$2&amp;"*Zone People Number Of Occupants [](Hourly)",'Eplus results'!$1:$1048576,ROW(),FALSE)</f>
        <v>0</v>
      </c>
      <c r="AC3453" s="580">
        <f>HLOOKUP("*"&amp;'Output annual'!$AC$2&amp;'Output annual'!$AD$2&amp;"*FangerPMV(Hourly)",'Eplus results'!$1:$1048576,ROW(),FALSE)</f>
        <v>0</v>
      </c>
      <c r="AD3453" s="580">
        <f t="shared" si="301"/>
        <v>5</v>
      </c>
      <c r="AE3453" s="580">
        <f t="shared" si="302"/>
        <v>2.5</v>
      </c>
      <c r="AF3453" s="580">
        <f t="shared" si="303"/>
        <v>2.5</v>
      </c>
      <c r="AG3453" s="580">
        <f t="shared" si="304"/>
        <v>0</v>
      </c>
      <c r="AH3453" s="580">
        <f t="shared" si="305"/>
        <v>0</v>
      </c>
    </row>
    <row r="3454" spans="28:34">
      <c r="AB3454" s="580">
        <f>HLOOKUP("*"&amp;'Output annual'!$AC$2&amp;'Output annual'!$AD$2&amp;"*Zone People Number Of Occupants [](Hourly)",'Eplus results'!$1:$1048576,ROW(),FALSE)</f>
        <v>0</v>
      </c>
      <c r="AC3454" s="580">
        <f>HLOOKUP("*"&amp;'Output annual'!$AC$2&amp;'Output annual'!$AD$2&amp;"*FangerPMV(Hourly)",'Eplus results'!$1:$1048576,ROW(),FALSE)</f>
        <v>0</v>
      </c>
      <c r="AD3454" s="580">
        <f t="shared" si="301"/>
        <v>5</v>
      </c>
      <c r="AE3454" s="580">
        <f t="shared" si="302"/>
        <v>2.5</v>
      </c>
      <c r="AF3454" s="580">
        <f t="shared" si="303"/>
        <v>2.5</v>
      </c>
      <c r="AG3454" s="580">
        <f t="shared" si="304"/>
        <v>0</v>
      </c>
      <c r="AH3454" s="580">
        <f t="shared" si="305"/>
        <v>0</v>
      </c>
    </row>
    <row r="3455" spans="28:34">
      <c r="AB3455" s="580">
        <f>HLOOKUP("*"&amp;'Output annual'!$AC$2&amp;'Output annual'!$AD$2&amp;"*Zone People Number Of Occupants [](Hourly)",'Eplus results'!$1:$1048576,ROW(),FALSE)</f>
        <v>0</v>
      </c>
      <c r="AC3455" s="580">
        <f>HLOOKUP("*"&amp;'Output annual'!$AC$2&amp;'Output annual'!$AD$2&amp;"*FangerPMV(Hourly)",'Eplus results'!$1:$1048576,ROW(),FALSE)</f>
        <v>0</v>
      </c>
      <c r="AD3455" s="580">
        <f t="shared" si="301"/>
        <v>5</v>
      </c>
      <c r="AE3455" s="580">
        <f t="shared" si="302"/>
        <v>2.5</v>
      </c>
      <c r="AF3455" s="580">
        <f t="shared" si="303"/>
        <v>2.5</v>
      </c>
      <c r="AG3455" s="580">
        <f t="shared" si="304"/>
        <v>0</v>
      </c>
      <c r="AH3455" s="580">
        <f t="shared" si="305"/>
        <v>0</v>
      </c>
    </row>
    <row r="3456" spans="28:34">
      <c r="AB3456" s="580">
        <f>HLOOKUP("*"&amp;'Output annual'!$AC$2&amp;'Output annual'!$AD$2&amp;"*Zone People Number Of Occupants [](Hourly)",'Eplus results'!$1:$1048576,ROW(),FALSE)</f>
        <v>0</v>
      </c>
      <c r="AC3456" s="580">
        <f>HLOOKUP("*"&amp;'Output annual'!$AC$2&amp;'Output annual'!$AD$2&amp;"*FangerPMV(Hourly)",'Eplus results'!$1:$1048576,ROW(),FALSE)</f>
        <v>0</v>
      </c>
      <c r="AD3456" s="580">
        <f t="shared" si="301"/>
        <v>5</v>
      </c>
      <c r="AE3456" s="580">
        <f t="shared" si="302"/>
        <v>2.5</v>
      </c>
      <c r="AF3456" s="580">
        <f t="shared" si="303"/>
        <v>2.5</v>
      </c>
      <c r="AG3456" s="580">
        <f t="shared" si="304"/>
        <v>0</v>
      </c>
      <c r="AH3456" s="580">
        <f t="shared" si="305"/>
        <v>0</v>
      </c>
    </row>
    <row r="3457" spans="28:34">
      <c r="AB3457" s="580">
        <f>HLOOKUP("*"&amp;'Output annual'!$AC$2&amp;'Output annual'!$AD$2&amp;"*Zone People Number Of Occupants [](Hourly)",'Eplus results'!$1:$1048576,ROW(),FALSE)</f>
        <v>0</v>
      </c>
      <c r="AC3457" s="580">
        <f>HLOOKUP("*"&amp;'Output annual'!$AC$2&amp;'Output annual'!$AD$2&amp;"*FangerPMV(Hourly)",'Eplus results'!$1:$1048576,ROW(),FALSE)</f>
        <v>0</v>
      </c>
      <c r="AD3457" s="580">
        <f t="shared" si="301"/>
        <v>5</v>
      </c>
      <c r="AE3457" s="580">
        <f t="shared" si="302"/>
        <v>2.5</v>
      </c>
      <c r="AF3457" s="580">
        <f t="shared" si="303"/>
        <v>2.5</v>
      </c>
      <c r="AG3457" s="580">
        <f t="shared" si="304"/>
        <v>0</v>
      </c>
      <c r="AH3457" s="580">
        <f t="shared" si="305"/>
        <v>0</v>
      </c>
    </row>
    <row r="3458" spans="28:34">
      <c r="AB3458" s="580">
        <f>HLOOKUP("*"&amp;'Output annual'!$AC$2&amp;'Output annual'!$AD$2&amp;"*Zone People Number Of Occupants [](Hourly)",'Eplus results'!$1:$1048576,ROW(),FALSE)</f>
        <v>0</v>
      </c>
      <c r="AC3458" s="580">
        <f>HLOOKUP("*"&amp;'Output annual'!$AC$2&amp;'Output annual'!$AD$2&amp;"*FangerPMV(Hourly)",'Eplus results'!$1:$1048576,ROW(),FALSE)</f>
        <v>0</v>
      </c>
      <c r="AD3458" s="580">
        <f t="shared" si="301"/>
        <v>5</v>
      </c>
      <c r="AE3458" s="580">
        <f t="shared" si="302"/>
        <v>2.5</v>
      </c>
      <c r="AF3458" s="580">
        <f t="shared" si="303"/>
        <v>2.5</v>
      </c>
      <c r="AG3458" s="580">
        <f t="shared" si="304"/>
        <v>0</v>
      </c>
      <c r="AH3458" s="580">
        <f t="shared" si="305"/>
        <v>0</v>
      </c>
    </row>
    <row r="3459" spans="28:34">
      <c r="AB3459" s="580">
        <f>HLOOKUP("*"&amp;'Output annual'!$AC$2&amp;'Output annual'!$AD$2&amp;"*Zone People Number Of Occupants [](Hourly)",'Eplus results'!$1:$1048576,ROW(),FALSE)</f>
        <v>0</v>
      </c>
      <c r="AC3459" s="580">
        <f>HLOOKUP("*"&amp;'Output annual'!$AC$2&amp;'Output annual'!$AD$2&amp;"*FangerPMV(Hourly)",'Eplus results'!$1:$1048576,ROW(),FALSE)</f>
        <v>0</v>
      </c>
      <c r="AD3459" s="580">
        <f t="shared" ref="AD3459:AD3522" si="306">100-95*EXP(-0.03353*AC3459^4-0.2179*AC3459^2)</f>
        <v>5</v>
      </c>
      <c r="AE3459" s="580">
        <f t="shared" ref="AE3459:AE3522" si="307">AD3459*(1/(1+EXP(-6.3*$AC3459)))</f>
        <v>2.5</v>
      </c>
      <c r="AF3459" s="580">
        <f t="shared" ref="AF3459:AF3522" si="308">(AD3459-AE3459)</f>
        <v>2.5</v>
      </c>
      <c r="AG3459" s="580">
        <f t="shared" ref="AG3459:AG3522" si="309">AE3459*AB3459</f>
        <v>0</v>
      </c>
      <c r="AH3459" s="580">
        <f t="shared" ref="AH3459:AH3522" si="310">AF3459*AB3459</f>
        <v>0</v>
      </c>
    </row>
    <row r="3460" spans="28:34">
      <c r="AB3460" s="580">
        <f>HLOOKUP("*"&amp;'Output annual'!$AC$2&amp;'Output annual'!$AD$2&amp;"*Zone People Number Of Occupants [](Hourly)",'Eplus results'!$1:$1048576,ROW(),FALSE)</f>
        <v>0</v>
      </c>
      <c r="AC3460" s="580">
        <f>HLOOKUP("*"&amp;'Output annual'!$AC$2&amp;'Output annual'!$AD$2&amp;"*FangerPMV(Hourly)",'Eplus results'!$1:$1048576,ROW(),FALSE)</f>
        <v>0</v>
      </c>
      <c r="AD3460" s="580">
        <f t="shared" si="306"/>
        <v>5</v>
      </c>
      <c r="AE3460" s="580">
        <f t="shared" si="307"/>
        <v>2.5</v>
      </c>
      <c r="AF3460" s="580">
        <f t="shared" si="308"/>
        <v>2.5</v>
      </c>
      <c r="AG3460" s="580">
        <f t="shared" si="309"/>
        <v>0</v>
      </c>
      <c r="AH3460" s="580">
        <f t="shared" si="310"/>
        <v>0</v>
      </c>
    </row>
    <row r="3461" spans="28:34">
      <c r="AB3461" s="580">
        <f>HLOOKUP("*"&amp;'Output annual'!$AC$2&amp;'Output annual'!$AD$2&amp;"*Zone People Number Of Occupants [](Hourly)",'Eplus results'!$1:$1048576,ROW(),FALSE)</f>
        <v>0</v>
      </c>
      <c r="AC3461" s="580">
        <f>HLOOKUP("*"&amp;'Output annual'!$AC$2&amp;'Output annual'!$AD$2&amp;"*FangerPMV(Hourly)",'Eplus results'!$1:$1048576,ROW(),FALSE)</f>
        <v>0</v>
      </c>
      <c r="AD3461" s="580">
        <f t="shared" si="306"/>
        <v>5</v>
      </c>
      <c r="AE3461" s="580">
        <f t="shared" si="307"/>
        <v>2.5</v>
      </c>
      <c r="AF3461" s="580">
        <f t="shared" si="308"/>
        <v>2.5</v>
      </c>
      <c r="AG3461" s="580">
        <f t="shared" si="309"/>
        <v>0</v>
      </c>
      <c r="AH3461" s="580">
        <f t="shared" si="310"/>
        <v>0</v>
      </c>
    </row>
    <row r="3462" spans="28:34">
      <c r="AB3462" s="580">
        <f>HLOOKUP("*"&amp;'Output annual'!$AC$2&amp;'Output annual'!$AD$2&amp;"*Zone People Number Of Occupants [](Hourly)",'Eplus results'!$1:$1048576,ROW(),FALSE)</f>
        <v>0</v>
      </c>
      <c r="AC3462" s="580">
        <f>HLOOKUP("*"&amp;'Output annual'!$AC$2&amp;'Output annual'!$AD$2&amp;"*FangerPMV(Hourly)",'Eplus results'!$1:$1048576,ROW(),FALSE)</f>
        <v>0</v>
      </c>
      <c r="AD3462" s="580">
        <f t="shared" si="306"/>
        <v>5</v>
      </c>
      <c r="AE3462" s="580">
        <f t="shared" si="307"/>
        <v>2.5</v>
      </c>
      <c r="AF3462" s="580">
        <f t="shared" si="308"/>
        <v>2.5</v>
      </c>
      <c r="AG3462" s="580">
        <f t="shared" si="309"/>
        <v>0</v>
      </c>
      <c r="AH3462" s="580">
        <f t="shared" si="310"/>
        <v>0</v>
      </c>
    </row>
    <row r="3463" spans="28:34">
      <c r="AB3463" s="580">
        <f>HLOOKUP("*"&amp;'Output annual'!$AC$2&amp;'Output annual'!$AD$2&amp;"*Zone People Number Of Occupants [](Hourly)",'Eplus results'!$1:$1048576,ROW(),FALSE)</f>
        <v>0</v>
      </c>
      <c r="AC3463" s="580">
        <f>HLOOKUP("*"&amp;'Output annual'!$AC$2&amp;'Output annual'!$AD$2&amp;"*FangerPMV(Hourly)",'Eplus results'!$1:$1048576,ROW(),FALSE)</f>
        <v>0</v>
      </c>
      <c r="AD3463" s="580">
        <f t="shared" si="306"/>
        <v>5</v>
      </c>
      <c r="AE3463" s="580">
        <f t="shared" si="307"/>
        <v>2.5</v>
      </c>
      <c r="AF3463" s="580">
        <f t="shared" si="308"/>
        <v>2.5</v>
      </c>
      <c r="AG3463" s="580">
        <f t="shared" si="309"/>
        <v>0</v>
      </c>
      <c r="AH3463" s="580">
        <f t="shared" si="310"/>
        <v>0</v>
      </c>
    </row>
    <row r="3464" spans="28:34">
      <c r="AB3464" s="580">
        <f>HLOOKUP("*"&amp;'Output annual'!$AC$2&amp;'Output annual'!$AD$2&amp;"*Zone People Number Of Occupants [](Hourly)",'Eplus results'!$1:$1048576,ROW(),FALSE)</f>
        <v>0</v>
      </c>
      <c r="AC3464" s="580">
        <f>HLOOKUP("*"&amp;'Output annual'!$AC$2&amp;'Output annual'!$AD$2&amp;"*FangerPMV(Hourly)",'Eplus results'!$1:$1048576,ROW(),FALSE)</f>
        <v>0</v>
      </c>
      <c r="AD3464" s="580">
        <f t="shared" si="306"/>
        <v>5</v>
      </c>
      <c r="AE3464" s="580">
        <f t="shared" si="307"/>
        <v>2.5</v>
      </c>
      <c r="AF3464" s="580">
        <f t="shared" si="308"/>
        <v>2.5</v>
      </c>
      <c r="AG3464" s="580">
        <f t="shared" si="309"/>
        <v>0</v>
      </c>
      <c r="AH3464" s="580">
        <f t="shared" si="310"/>
        <v>0</v>
      </c>
    </row>
    <row r="3465" spans="28:34">
      <c r="AB3465" s="580">
        <f>HLOOKUP("*"&amp;'Output annual'!$AC$2&amp;'Output annual'!$AD$2&amp;"*Zone People Number Of Occupants [](Hourly)",'Eplus results'!$1:$1048576,ROW(),FALSE)</f>
        <v>0</v>
      </c>
      <c r="AC3465" s="580">
        <f>HLOOKUP("*"&amp;'Output annual'!$AC$2&amp;'Output annual'!$AD$2&amp;"*FangerPMV(Hourly)",'Eplus results'!$1:$1048576,ROW(),FALSE)</f>
        <v>0</v>
      </c>
      <c r="AD3465" s="580">
        <f t="shared" si="306"/>
        <v>5</v>
      </c>
      <c r="AE3465" s="580">
        <f t="shared" si="307"/>
        <v>2.5</v>
      </c>
      <c r="AF3465" s="580">
        <f t="shared" si="308"/>
        <v>2.5</v>
      </c>
      <c r="AG3465" s="580">
        <f t="shared" si="309"/>
        <v>0</v>
      </c>
      <c r="AH3465" s="580">
        <f t="shared" si="310"/>
        <v>0</v>
      </c>
    </row>
    <row r="3466" spans="28:34">
      <c r="AB3466" s="580">
        <f>HLOOKUP("*"&amp;'Output annual'!$AC$2&amp;'Output annual'!$AD$2&amp;"*Zone People Number Of Occupants [](Hourly)",'Eplus results'!$1:$1048576,ROW(),FALSE)</f>
        <v>0</v>
      </c>
      <c r="AC3466" s="580">
        <f>HLOOKUP("*"&amp;'Output annual'!$AC$2&amp;'Output annual'!$AD$2&amp;"*FangerPMV(Hourly)",'Eplus results'!$1:$1048576,ROW(),FALSE)</f>
        <v>0</v>
      </c>
      <c r="AD3466" s="580">
        <f t="shared" si="306"/>
        <v>5</v>
      </c>
      <c r="AE3466" s="580">
        <f t="shared" si="307"/>
        <v>2.5</v>
      </c>
      <c r="AF3466" s="580">
        <f t="shared" si="308"/>
        <v>2.5</v>
      </c>
      <c r="AG3466" s="580">
        <f t="shared" si="309"/>
        <v>0</v>
      </c>
      <c r="AH3466" s="580">
        <f t="shared" si="310"/>
        <v>0</v>
      </c>
    </row>
    <row r="3467" spans="28:34">
      <c r="AB3467" s="580">
        <f>HLOOKUP("*"&amp;'Output annual'!$AC$2&amp;'Output annual'!$AD$2&amp;"*Zone People Number Of Occupants [](Hourly)",'Eplus results'!$1:$1048576,ROW(),FALSE)</f>
        <v>0</v>
      </c>
      <c r="AC3467" s="580">
        <f>HLOOKUP("*"&amp;'Output annual'!$AC$2&amp;'Output annual'!$AD$2&amp;"*FangerPMV(Hourly)",'Eplus results'!$1:$1048576,ROW(),FALSE)</f>
        <v>0</v>
      </c>
      <c r="AD3467" s="580">
        <f t="shared" si="306"/>
        <v>5</v>
      </c>
      <c r="AE3467" s="580">
        <f t="shared" si="307"/>
        <v>2.5</v>
      </c>
      <c r="AF3467" s="580">
        <f t="shared" si="308"/>
        <v>2.5</v>
      </c>
      <c r="AG3467" s="580">
        <f t="shared" si="309"/>
        <v>0</v>
      </c>
      <c r="AH3467" s="580">
        <f t="shared" si="310"/>
        <v>0</v>
      </c>
    </row>
    <row r="3468" spans="28:34">
      <c r="AB3468" s="580">
        <f>HLOOKUP("*"&amp;'Output annual'!$AC$2&amp;'Output annual'!$AD$2&amp;"*Zone People Number Of Occupants [](Hourly)",'Eplus results'!$1:$1048576,ROW(),FALSE)</f>
        <v>0</v>
      </c>
      <c r="AC3468" s="580">
        <f>HLOOKUP("*"&amp;'Output annual'!$AC$2&amp;'Output annual'!$AD$2&amp;"*FangerPMV(Hourly)",'Eplus results'!$1:$1048576,ROW(),FALSE)</f>
        <v>0</v>
      </c>
      <c r="AD3468" s="580">
        <f t="shared" si="306"/>
        <v>5</v>
      </c>
      <c r="AE3468" s="580">
        <f t="shared" si="307"/>
        <v>2.5</v>
      </c>
      <c r="AF3468" s="580">
        <f t="shared" si="308"/>
        <v>2.5</v>
      </c>
      <c r="AG3468" s="580">
        <f t="shared" si="309"/>
        <v>0</v>
      </c>
      <c r="AH3468" s="580">
        <f t="shared" si="310"/>
        <v>0</v>
      </c>
    </row>
    <row r="3469" spans="28:34">
      <c r="AB3469" s="580">
        <f>HLOOKUP("*"&amp;'Output annual'!$AC$2&amp;'Output annual'!$AD$2&amp;"*Zone People Number Of Occupants [](Hourly)",'Eplus results'!$1:$1048576,ROW(),FALSE)</f>
        <v>0</v>
      </c>
      <c r="AC3469" s="580">
        <f>HLOOKUP("*"&amp;'Output annual'!$AC$2&amp;'Output annual'!$AD$2&amp;"*FangerPMV(Hourly)",'Eplus results'!$1:$1048576,ROW(),FALSE)</f>
        <v>0</v>
      </c>
      <c r="AD3469" s="580">
        <f t="shared" si="306"/>
        <v>5</v>
      </c>
      <c r="AE3469" s="580">
        <f t="shared" si="307"/>
        <v>2.5</v>
      </c>
      <c r="AF3469" s="580">
        <f t="shared" si="308"/>
        <v>2.5</v>
      </c>
      <c r="AG3469" s="580">
        <f t="shared" si="309"/>
        <v>0</v>
      </c>
      <c r="AH3469" s="580">
        <f t="shared" si="310"/>
        <v>0</v>
      </c>
    </row>
    <row r="3470" spans="28:34">
      <c r="AB3470" s="580">
        <f>HLOOKUP("*"&amp;'Output annual'!$AC$2&amp;'Output annual'!$AD$2&amp;"*Zone People Number Of Occupants [](Hourly)",'Eplus results'!$1:$1048576,ROW(),FALSE)</f>
        <v>0</v>
      </c>
      <c r="AC3470" s="580">
        <f>HLOOKUP("*"&amp;'Output annual'!$AC$2&amp;'Output annual'!$AD$2&amp;"*FangerPMV(Hourly)",'Eplus results'!$1:$1048576,ROW(),FALSE)</f>
        <v>0</v>
      </c>
      <c r="AD3470" s="580">
        <f t="shared" si="306"/>
        <v>5</v>
      </c>
      <c r="AE3470" s="580">
        <f t="shared" si="307"/>
        <v>2.5</v>
      </c>
      <c r="AF3470" s="580">
        <f t="shared" si="308"/>
        <v>2.5</v>
      </c>
      <c r="AG3470" s="580">
        <f t="shared" si="309"/>
        <v>0</v>
      </c>
      <c r="AH3470" s="580">
        <f t="shared" si="310"/>
        <v>0</v>
      </c>
    </row>
    <row r="3471" spans="28:34">
      <c r="AB3471" s="580">
        <f>HLOOKUP("*"&amp;'Output annual'!$AC$2&amp;'Output annual'!$AD$2&amp;"*Zone People Number Of Occupants [](Hourly)",'Eplus results'!$1:$1048576,ROW(),FALSE)</f>
        <v>0</v>
      </c>
      <c r="AC3471" s="580">
        <f>HLOOKUP("*"&amp;'Output annual'!$AC$2&amp;'Output annual'!$AD$2&amp;"*FangerPMV(Hourly)",'Eplus results'!$1:$1048576,ROW(),FALSE)</f>
        <v>0</v>
      </c>
      <c r="AD3471" s="580">
        <f t="shared" si="306"/>
        <v>5</v>
      </c>
      <c r="AE3471" s="580">
        <f t="shared" si="307"/>
        <v>2.5</v>
      </c>
      <c r="AF3471" s="580">
        <f t="shared" si="308"/>
        <v>2.5</v>
      </c>
      <c r="AG3471" s="580">
        <f t="shared" si="309"/>
        <v>0</v>
      </c>
      <c r="AH3471" s="580">
        <f t="shared" si="310"/>
        <v>0</v>
      </c>
    </row>
    <row r="3472" spans="28:34">
      <c r="AB3472" s="580">
        <f>HLOOKUP("*"&amp;'Output annual'!$AC$2&amp;'Output annual'!$AD$2&amp;"*Zone People Number Of Occupants [](Hourly)",'Eplus results'!$1:$1048576,ROW(),FALSE)</f>
        <v>0</v>
      </c>
      <c r="AC3472" s="580">
        <f>HLOOKUP("*"&amp;'Output annual'!$AC$2&amp;'Output annual'!$AD$2&amp;"*FangerPMV(Hourly)",'Eplus results'!$1:$1048576,ROW(),FALSE)</f>
        <v>0</v>
      </c>
      <c r="AD3472" s="580">
        <f t="shared" si="306"/>
        <v>5</v>
      </c>
      <c r="AE3472" s="580">
        <f t="shared" si="307"/>
        <v>2.5</v>
      </c>
      <c r="AF3472" s="580">
        <f t="shared" si="308"/>
        <v>2.5</v>
      </c>
      <c r="AG3472" s="580">
        <f t="shared" si="309"/>
        <v>0</v>
      </c>
      <c r="AH3472" s="580">
        <f t="shared" si="310"/>
        <v>0</v>
      </c>
    </row>
    <row r="3473" spans="28:34">
      <c r="AB3473" s="580">
        <f>HLOOKUP("*"&amp;'Output annual'!$AC$2&amp;'Output annual'!$AD$2&amp;"*Zone People Number Of Occupants [](Hourly)",'Eplus results'!$1:$1048576,ROW(),FALSE)</f>
        <v>0</v>
      </c>
      <c r="AC3473" s="580">
        <f>HLOOKUP("*"&amp;'Output annual'!$AC$2&amp;'Output annual'!$AD$2&amp;"*FangerPMV(Hourly)",'Eplus results'!$1:$1048576,ROW(),FALSE)</f>
        <v>0</v>
      </c>
      <c r="AD3473" s="580">
        <f t="shared" si="306"/>
        <v>5</v>
      </c>
      <c r="AE3473" s="580">
        <f t="shared" si="307"/>
        <v>2.5</v>
      </c>
      <c r="AF3473" s="580">
        <f t="shared" si="308"/>
        <v>2.5</v>
      </c>
      <c r="AG3473" s="580">
        <f t="shared" si="309"/>
        <v>0</v>
      </c>
      <c r="AH3473" s="580">
        <f t="shared" si="310"/>
        <v>0</v>
      </c>
    </row>
    <row r="3474" spans="28:34">
      <c r="AB3474" s="580">
        <f>HLOOKUP("*"&amp;'Output annual'!$AC$2&amp;'Output annual'!$AD$2&amp;"*Zone People Number Of Occupants [](Hourly)",'Eplus results'!$1:$1048576,ROW(),FALSE)</f>
        <v>0</v>
      </c>
      <c r="AC3474" s="580">
        <f>HLOOKUP("*"&amp;'Output annual'!$AC$2&amp;'Output annual'!$AD$2&amp;"*FangerPMV(Hourly)",'Eplus results'!$1:$1048576,ROW(),FALSE)</f>
        <v>0</v>
      </c>
      <c r="AD3474" s="580">
        <f t="shared" si="306"/>
        <v>5</v>
      </c>
      <c r="AE3474" s="580">
        <f t="shared" si="307"/>
        <v>2.5</v>
      </c>
      <c r="AF3474" s="580">
        <f t="shared" si="308"/>
        <v>2.5</v>
      </c>
      <c r="AG3474" s="580">
        <f t="shared" si="309"/>
        <v>0</v>
      </c>
      <c r="AH3474" s="580">
        <f t="shared" si="310"/>
        <v>0</v>
      </c>
    </row>
    <row r="3475" spans="28:34">
      <c r="AB3475" s="580">
        <f>HLOOKUP("*"&amp;'Output annual'!$AC$2&amp;'Output annual'!$AD$2&amp;"*Zone People Number Of Occupants [](Hourly)",'Eplus results'!$1:$1048576,ROW(),FALSE)</f>
        <v>0</v>
      </c>
      <c r="AC3475" s="580">
        <f>HLOOKUP("*"&amp;'Output annual'!$AC$2&amp;'Output annual'!$AD$2&amp;"*FangerPMV(Hourly)",'Eplus results'!$1:$1048576,ROW(),FALSE)</f>
        <v>0</v>
      </c>
      <c r="AD3475" s="580">
        <f t="shared" si="306"/>
        <v>5</v>
      </c>
      <c r="AE3475" s="580">
        <f t="shared" si="307"/>
        <v>2.5</v>
      </c>
      <c r="AF3475" s="580">
        <f t="shared" si="308"/>
        <v>2.5</v>
      </c>
      <c r="AG3475" s="580">
        <f t="shared" si="309"/>
        <v>0</v>
      </c>
      <c r="AH3475" s="580">
        <f t="shared" si="310"/>
        <v>0</v>
      </c>
    </row>
    <row r="3476" spans="28:34">
      <c r="AB3476" s="580">
        <f>HLOOKUP("*"&amp;'Output annual'!$AC$2&amp;'Output annual'!$AD$2&amp;"*Zone People Number Of Occupants [](Hourly)",'Eplus results'!$1:$1048576,ROW(),FALSE)</f>
        <v>0</v>
      </c>
      <c r="AC3476" s="580">
        <f>HLOOKUP("*"&amp;'Output annual'!$AC$2&amp;'Output annual'!$AD$2&amp;"*FangerPMV(Hourly)",'Eplus results'!$1:$1048576,ROW(),FALSE)</f>
        <v>0</v>
      </c>
      <c r="AD3476" s="580">
        <f t="shared" si="306"/>
        <v>5</v>
      </c>
      <c r="AE3476" s="580">
        <f t="shared" si="307"/>
        <v>2.5</v>
      </c>
      <c r="AF3476" s="580">
        <f t="shared" si="308"/>
        <v>2.5</v>
      </c>
      <c r="AG3476" s="580">
        <f t="shared" si="309"/>
        <v>0</v>
      </c>
      <c r="AH3476" s="580">
        <f t="shared" si="310"/>
        <v>0</v>
      </c>
    </row>
    <row r="3477" spans="28:34">
      <c r="AB3477" s="580">
        <f>HLOOKUP("*"&amp;'Output annual'!$AC$2&amp;'Output annual'!$AD$2&amp;"*Zone People Number Of Occupants [](Hourly)",'Eplus results'!$1:$1048576,ROW(),FALSE)</f>
        <v>0</v>
      </c>
      <c r="AC3477" s="580">
        <f>HLOOKUP("*"&amp;'Output annual'!$AC$2&amp;'Output annual'!$AD$2&amp;"*FangerPMV(Hourly)",'Eplus results'!$1:$1048576,ROW(),FALSE)</f>
        <v>0</v>
      </c>
      <c r="AD3477" s="580">
        <f t="shared" si="306"/>
        <v>5</v>
      </c>
      <c r="AE3477" s="580">
        <f t="shared" si="307"/>
        <v>2.5</v>
      </c>
      <c r="AF3477" s="580">
        <f t="shared" si="308"/>
        <v>2.5</v>
      </c>
      <c r="AG3477" s="580">
        <f t="shared" si="309"/>
        <v>0</v>
      </c>
      <c r="AH3477" s="580">
        <f t="shared" si="310"/>
        <v>0</v>
      </c>
    </row>
    <row r="3478" spans="28:34">
      <c r="AB3478" s="580">
        <f>HLOOKUP("*"&amp;'Output annual'!$AC$2&amp;'Output annual'!$AD$2&amp;"*Zone People Number Of Occupants [](Hourly)",'Eplus results'!$1:$1048576,ROW(),FALSE)</f>
        <v>0</v>
      </c>
      <c r="AC3478" s="580">
        <f>HLOOKUP("*"&amp;'Output annual'!$AC$2&amp;'Output annual'!$AD$2&amp;"*FangerPMV(Hourly)",'Eplus results'!$1:$1048576,ROW(),FALSE)</f>
        <v>0</v>
      </c>
      <c r="AD3478" s="580">
        <f t="shared" si="306"/>
        <v>5</v>
      </c>
      <c r="AE3478" s="580">
        <f t="shared" si="307"/>
        <v>2.5</v>
      </c>
      <c r="AF3478" s="580">
        <f t="shared" si="308"/>
        <v>2.5</v>
      </c>
      <c r="AG3478" s="580">
        <f t="shared" si="309"/>
        <v>0</v>
      </c>
      <c r="AH3478" s="580">
        <f t="shared" si="310"/>
        <v>0</v>
      </c>
    </row>
    <row r="3479" spans="28:34">
      <c r="AB3479" s="580">
        <f>HLOOKUP("*"&amp;'Output annual'!$AC$2&amp;'Output annual'!$AD$2&amp;"*Zone People Number Of Occupants [](Hourly)",'Eplus results'!$1:$1048576,ROW(),FALSE)</f>
        <v>0</v>
      </c>
      <c r="AC3479" s="580">
        <f>HLOOKUP("*"&amp;'Output annual'!$AC$2&amp;'Output annual'!$AD$2&amp;"*FangerPMV(Hourly)",'Eplus results'!$1:$1048576,ROW(),FALSE)</f>
        <v>0</v>
      </c>
      <c r="AD3479" s="580">
        <f t="shared" si="306"/>
        <v>5</v>
      </c>
      <c r="AE3479" s="580">
        <f t="shared" si="307"/>
        <v>2.5</v>
      </c>
      <c r="AF3479" s="580">
        <f t="shared" si="308"/>
        <v>2.5</v>
      </c>
      <c r="AG3479" s="580">
        <f t="shared" si="309"/>
        <v>0</v>
      </c>
      <c r="AH3479" s="580">
        <f t="shared" si="310"/>
        <v>0</v>
      </c>
    </row>
    <row r="3480" spans="28:34">
      <c r="AB3480" s="580">
        <f>HLOOKUP("*"&amp;'Output annual'!$AC$2&amp;'Output annual'!$AD$2&amp;"*Zone People Number Of Occupants [](Hourly)",'Eplus results'!$1:$1048576,ROW(),FALSE)</f>
        <v>0</v>
      </c>
      <c r="AC3480" s="580">
        <f>HLOOKUP("*"&amp;'Output annual'!$AC$2&amp;'Output annual'!$AD$2&amp;"*FangerPMV(Hourly)",'Eplus results'!$1:$1048576,ROW(),FALSE)</f>
        <v>0</v>
      </c>
      <c r="AD3480" s="580">
        <f t="shared" si="306"/>
        <v>5</v>
      </c>
      <c r="AE3480" s="580">
        <f t="shared" si="307"/>
        <v>2.5</v>
      </c>
      <c r="AF3480" s="580">
        <f t="shared" si="308"/>
        <v>2.5</v>
      </c>
      <c r="AG3480" s="580">
        <f t="shared" si="309"/>
        <v>0</v>
      </c>
      <c r="AH3480" s="580">
        <f t="shared" si="310"/>
        <v>0</v>
      </c>
    </row>
    <row r="3481" spans="28:34">
      <c r="AB3481" s="580">
        <f>HLOOKUP("*"&amp;'Output annual'!$AC$2&amp;'Output annual'!$AD$2&amp;"*Zone People Number Of Occupants [](Hourly)",'Eplus results'!$1:$1048576,ROW(),FALSE)</f>
        <v>0</v>
      </c>
      <c r="AC3481" s="580">
        <f>HLOOKUP("*"&amp;'Output annual'!$AC$2&amp;'Output annual'!$AD$2&amp;"*FangerPMV(Hourly)",'Eplus results'!$1:$1048576,ROW(),FALSE)</f>
        <v>0</v>
      </c>
      <c r="AD3481" s="580">
        <f t="shared" si="306"/>
        <v>5</v>
      </c>
      <c r="AE3481" s="580">
        <f t="shared" si="307"/>
        <v>2.5</v>
      </c>
      <c r="AF3481" s="580">
        <f t="shared" si="308"/>
        <v>2.5</v>
      </c>
      <c r="AG3481" s="580">
        <f t="shared" si="309"/>
        <v>0</v>
      </c>
      <c r="AH3481" s="580">
        <f t="shared" si="310"/>
        <v>0</v>
      </c>
    </row>
    <row r="3482" spans="28:34">
      <c r="AB3482" s="580">
        <f>HLOOKUP("*"&amp;'Output annual'!$AC$2&amp;'Output annual'!$AD$2&amp;"*Zone People Number Of Occupants [](Hourly)",'Eplus results'!$1:$1048576,ROW(),FALSE)</f>
        <v>0</v>
      </c>
      <c r="AC3482" s="580">
        <f>HLOOKUP("*"&amp;'Output annual'!$AC$2&amp;'Output annual'!$AD$2&amp;"*FangerPMV(Hourly)",'Eplus results'!$1:$1048576,ROW(),FALSE)</f>
        <v>0</v>
      </c>
      <c r="AD3482" s="580">
        <f t="shared" si="306"/>
        <v>5</v>
      </c>
      <c r="AE3482" s="580">
        <f t="shared" si="307"/>
        <v>2.5</v>
      </c>
      <c r="AF3482" s="580">
        <f t="shared" si="308"/>
        <v>2.5</v>
      </c>
      <c r="AG3482" s="580">
        <f t="shared" si="309"/>
        <v>0</v>
      </c>
      <c r="AH3482" s="580">
        <f t="shared" si="310"/>
        <v>0</v>
      </c>
    </row>
    <row r="3483" spans="28:34">
      <c r="AB3483" s="580">
        <f>HLOOKUP("*"&amp;'Output annual'!$AC$2&amp;'Output annual'!$AD$2&amp;"*Zone People Number Of Occupants [](Hourly)",'Eplus results'!$1:$1048576,ROW(),FALSE)</f>
        <v>0</v>
      </c>
      <c r="AC3483" s="580">
        <f>HLOOKUP("*"&amp;'Output annual'!$AC$2&amp;'Output annual'!$AD$2&amp;"*FangerPMV(Hourly)",'Eplus results'!$1:$1048576,ROW(),FALSE)</f>
        <v>0</v>
      </c>
      <c r="AD3483" s="580">
        <f t="shared" si="306"/>
        <v>5</v>
      </c>
      <c r="AE3483" s="580">
        <f t="shared" si="307"/>
        <v>2.5</v>
      </c>
      <c r="AF3483" s="580">
        <f t="shared" si="308"/>
        <v>2.5</v>
      </c>
      <c r="AG3483" s="580">
        <f t="shared" si="309"/>
        <v>0</v>
      </c>
      <c r="AH3483" s="580">
        <f t="shared" si="310"/>
        <v>0</v>
      </c>
    </row>
    <row r="3484" spans="28:34">
      <c r="AB3484" s="580">
        <f>HLOOKUP("*"&amp;'Output annual'!$AC$2&amp;'Output annual'!$AD$2&amp;"*Zone People Number Of Occupants [](Hourly)",'Eplus results'!$1:$1048576,ROW(),FALSE)</f>
        <v>0</v>
      </c>
      <c r="AC3484" s="580">
        <f>HLOOKUP("*"&amp;'Output annual'!$AC$2&amp;'Output annual'!$AD$2&amp;"*FangerPMV(Hourly)",'Eplus results'!$1:$1048576,ROW(),FALSE)</f>
        <v>0</v>
      </c>
      <c r="AD3484" s="580">
        <f t="shared" si="306"/>
        <v>5</v>
      </c>
      <c r="AE3484" s="580">
        <f t="shared" si="307"/>
        <v>2.5</v>
      </c>
      <c r="AF3484" s="580">
        <f t="shared" si="308"/>
        <v>2.5</v>
      </c>
      <c r="AG3484" s="580">
        <f t="shared" si="309"/>
        <v>0</v>
      </c>
      <c r="AH3484" s="580">
        <f t="shared" si="310"/>
        <v>0</v>
      </c>
    </row>
    <row r="3485" spans="28:34">
      <c r="AB3485" s="580">
        <f>HLOOKUP("*"&amp;'Output annual'!$AC$2&amp;'Output annual'!$AD$2&amp;"*Zone People Number Of Occupants [](Hourly)",'Eplus results'!$1:$1048576,ROW(),FALSE)</f>
        <v>0</v>
      </c>
      <c r="AC3485" s="580">
        <f>HLOOKUP("*"&amp;'Output annual'!$AC$2&amp;'Output annual'!$AD$2&amp;"*FangerPMV(Hourly)",'Eplus results'!$1:$1048576,ROW(),FALSE)</f>
        <v>0</v>
      </c>
      <c r="AD3485" s="580">
        <f t="shared" si="306"/>
        <v>5</v>
      </c>
      <c r="AE3485" s="580">
        <f t="shared" si="307"/>
        <v>2.5</v>
      </c>
      <c r="AF3485" s="580">
        <f t="shared" si="308"/>
        <v>2.5</v>
      </c>
      <c r="AG3485" s="580">
        <f t="shared" si="309"/>
        <v>0</v>
      </c>
      <c r="AH3485" s="580">
        <f t="shared" si="310"/>
        <v>0</v>
      </c>
    </row>
    <row r="3486" spans="28:34">
      <c r="AB3486" s="580">
        <f>HLOOKUP("*"&amp;'Output annual'!$AC$2&amp;'Output annual'!$AD$2&amp;"*Zone People Number Of Occupants [](Hourly)",'Eplus results'!$1:$1048576,ROW(),FALSE)</f>
        <v>0</v>
      </c>
      <c r="AC3486" s="580">
        <f>HLOOKUP("*"&amp;'Output annual'!$AC$2&amp;'Output annual'!$AD$2&amp;"*FangerPMV(Hourly)",'Eplus results'!$1:$1048576,ROW(),FALSE)</f>
        <v>0</v>
      </c>
      <c r="AD3486" s="580">
        <f t="shared" si="306"/>
        <v>5</v>
      </c>
      <c r="AE3486" s="580">
        <f t="shared" si="307"/>
        <v>2.5</v>
      </c>
      <c r="AF3486" s="580">
        <f t="shared" si="308"/>
        <v>2.5</v>
      </c>
      <c r="AG3486" s="580">
        <f t="shared" si="309"/>
        <v>0</v>
      </c>
      <c r="AH3486" s="580">
        <f t="shared" si="310"/>
        <v>0</v>
      </c>
    </row>
    <row r="3487" spans="28:34">
      <c r="AB3487" s="580">
        <f>HLOOKUP("*"&amp;'Output annual'!$AC$2&amp;'Output annual'!$AD$2&amp;"*Zone People Number Of Occupants [](Hourly)",'Eplus results'!$1:$1048576,ROW(),FALSE)</f>
        <v>0</v>
      </c>
      <c r="AC3487" s="580">
        <f>HLOOKUP("*"&amp;'Output annual'!$AC$2&amp;'Output annual'!$AD$2&amp;"*FangerPMV(Hourly)",'Eplus results'!$1:$1048576,ROW(),FALSE)</f>
        <v>0</v>
      </c>
      <c r="AD3487" s="580">
        <f t="shared" si="306"/>
        <v>5</v>
      </c>
      <c r="AE3487" s="580">
        <f t="shared" si="307"/>
        <v>2.5</v>
      </c>
      <c r="AF3487" s="580">
        <f t="shared" si="308"/>
        <v>2.5</v>
      </c>
      <c r="AG3487" s="580">
        <f t="shared" si="309"/>
        <v>0</v>
      </c>
      <c r="AH3487" s="580">
        <f t="shared" si="310"/>
        <v>0</v>
      </c>
    </row>
    <row r="3488" spans="28:34">
      <c r="AB3488" s="580">
        <f>HLOOKUP("*"&amp;'Output annual'!$AC$2&amp;'Output annual'!$AD$2&amp;"*Zone People Number Of Occupants [](Hourly)",'Eplus results'!$1:$1048576,ROW(),FALSE)</f>
        <v>0</v>
      </c>
      <c r="AC3488" s="580">
        <f>HLOOKUP("*"&amp;'Output annual'!$AC$2&amp;'Output annual'!$AD$2&amp;"*FangerPMV(Hourly)",'Eplus results'!$1:$1048576,ROW(),FALSE)</f>
        <v>0</v>
      </c>
      <c r="AD3488" s="580">
        <f t="shared" si="306"/>
        <v>5</v>
      </c>
      <c r="AE3488" s="580">
        <f t="shared" si="307"/>
        <v>2.5</v>
      </c>
      <c r="AF3488" s="580">
        <f t="shared" si="308"/>
        <v>2.5</v>
      </c>
      <c r="AG3488" s="580">
        <f t="shared" si="309"/>
        <v>0</v>
      </c>
      <c r="AH3488" s="580">
        <f t="shared" si="310"/>
        <v>0</v>
      </c>
    </row>
    <row r="3489" spans="28:34">
      <c r="AB3489" s="580">
        <f>HLOOKUP("*"&amp;'Output annual'!$AC$2&amp;'Output annual'!$AD$2&amp;"*Zone People Number Of Occupants [](Hourly)",'Eplus results'!$1:$1048576,ROW(),FALSE)</f>
        <v>0</v>
      </c>
      <c r="AC3489" s="580">
        <f>HLOOKUP("*"&amp;'Output annual'!$AC$2&amp;'Output annual'!$AD$2&amp;"*FangerPMV(Hourly)",'Eplus results'!$1:$1048576,ROW(),FALSE)</f>
        <v>0</v>
      </c>
      <c r="AD3489" s="580">
        <f t="shared" si="306"/>
        <v>5</v>
      </c>
      <c r="AE3489" s="580">
        <f t="shared" si="307"/>
        <v>2.5</v>
      </c>
      <c r="AF3489" s="580">
        <f t="shared" si="308"/>
        <v>2.5</v>
      </c>
      <c r="AG3489" s="580">
        <f t="shared" si="309"/>
        <v>0</v>
      </c>
      <c r="AH3489" s="580">
        <f t="shared" si="310"/>
        <v>0</v>
      </c>
    </row>
    <row r="3490" spans="28:34">
      <c r="AB3490" s="580">
        <f>HLOOKUP("*"&amp;'Output annual'!$AC$2&amp;'Output annual'!$AD$2&amp;"*Zone People Number Of Occupants [](Hourly)",'Eplus results'!$1:$1048576,ROW(),FALSE)</f>
        <v>0</v>
      </c>
      <c r="AC3490" s="580">
        <f>HLOOKUP("*"&amp;'Output annual'!$AC$2&amp;'Output annual'!$AD$2&amp;"*FangerPMV(Hourly)",'Eplus results'!$1:$1048576,ROW(),FALSE)</f>
        <v>0</v>
      </c>
      <c r="AD3490" s="580">
        <f t="shared" si="306"/>
        <v>5</v>
      </c>
      <c r="AE3490" s="580">
        <f t="shared" si="307"/>
        <v>2.5</v>
      </c>
      <c r="AF3490" s="580">
        <f t="shared" si="308"/>
        <v>2.5</v>
      </c>
      <c r="AG3490" s="580">
        <f t="shared" si="309"/>
        <v>0</v>
      </c>
      <c r="AH3490" s="580">
        <f t="shared" si="310"/>
        <v>0</v>
      </c>
    </row>
    <row r="3491" spans="28:34">
      <c r="AB3491" s="580">
        <f>HLOOKUP("*"&amp;'Output annual'!$AC$2&amp;'Output annual'!$AD$2&amp;"*Zone People Number Of Occupants [](Hourly)",'Eplus results'!$1:$1048576,ROW(),FALSE)</f>
        <v>0</v>
      </c>
      <c r="AC3491" s="580">
        <f>HLOOKUP("*"&amp;'Output annual'!$AC$2&amp;'Output annual'!$AD$2&amp;"*FangerPMV(Hourly)",'Eplus results'!$1:$1048576,ROW(),FALSE)</f>
        <v>0</v>
      </c>
      <c r="AD3491" s="580">
        <f t="shared" si="306"/>
        <v>5</v>
      </c>
      <c r="AE3491" s="580">
        <f t="shared" si="307"/>
        <v>2.5</v>
      </c>
      <c r="AF3491" s="580">
        <f t="shared" si="308"/>
        <v>2.5</v>
      </c>
      <c r="AG3491" s="580">
        <f t="shared" si="309"/>
        <v>0</v>
      </c>
      <c r="AH3491" s="580">
        <f t="shared" si="310"/>
        <v>0</v>
      </c>
    </row>
    <row r="3492" spans="28:34">
      <c r="AB3492" s="580">
        <f>HLOOKUP("*"&amp;'Output annual'!$AC$2&amp;'Output annual'!$AD$2&amp;"*Zone People Number Of Occupants [](Hourly)",'Eplus results'!$1:$1048576,ROW(),FALSE)</f>
        <v>0</v>
      </c>
      <c r="AC3492" s="580">
        <f>HLOOKUP("*"&amp;'Output annual'!$AC$2&amp;'Output annual'!$AD$2&amp;"*FangerPMV(Hourly)",'Eplus results'!$1:$1048576,ROW(),FALSE)</f>
        <v>0</v>
      </c>
      <c r="AD3492" s="580">
        <f t="shared" si="306"/>
        <v>5</v>
      </c>
      <c r="AE3492" s="580">
        <f t="shared" si="307"/>
        <v>2.5</v>
      </c>
      <c r="AF3492" s="580">
        <f t="shared" si="308"/>
        <v>2.5</v>
      </c>
      <c r="AG3492" s="580">
        <f t="shared" si="309"/>
        <v>0</v>
      </c>
      <c r="AH3492" s="580">
        <f t="shared" si="310"/>
        <v>0</v>
      </c>
    </row>
    <row r="3493" spans="28:34">
      <c r="AB3493" s="580">
        <f>HLOOKUP("*"&amp;'Output annual'!$AC$2&amp;'Output annual'!$AD$2&amp;"*Zone People Number Of Occupants [](Hourly)",'Eplus results'!$1:$1048576,ROW(),FALSE)</f>
        <v>0</v>
      </c>
      <c r="AC3493" s="580">
        <f>HLOOKUP("*"&amp;'Output annual'!$AC$2&amp;'Output annual'!$AD$2&amp;"*FangerPMV(Hourly)",'Eplus results'!$1:$1048576,ROW(),FALSE)</f>
        <v>0</v>
      </c>
      <c r="AD3493" s="580">
        <f t="shared" si="306"/>
        <v>5</v>
      </c>
      <c r="AE3493" s="580">
        <f t="shared" si="307"/>
        <v>2.5</v>
      </c>
      <c r="AF3493" s="580">
        <f t="shared" si="308"/>
        <v>2.5</v>
      </c>
      <c r="AG3493" s="580">
        <f t="shared" si="309"/>
        <v>0</v>
      </c>
      <c r="AH3493" s="580">
        <f t="shared" si="310"/>
        <v>0</v>
      </c>
    </row>
    <row r="3494" spans="28:34">
      <c r="AB3494" s="580">
        <f>HLOOKUP("*"&amp;'Output annual'!$AC$2&amp;'Output annual'!$AD$2&amp;"*Zone People Number Of Occupants [](Hourly)",'Eplus results'!$1:$1048576,ROW(),FALSE)</f>
        <v>0</v>
      </c>
      <c r="AC3494" s="580">
        <f>HLOOKUP("*"&amp;'Output annual'!$AC$2&amp;'Output annual'!$AD$2&amp;"*FangerPMV(Hourly)",'Eplus results'!$1:$1048576,ROW(),FALSE)</f>
        <v>0</v>
      </c>
      <c r="AD3494" s="580">
        <f t="shared" si="306"/>
        <v>5</v>
      </c>
      <c r="AE3494" s="580">
        <f t="shared" si="307"/>
        <v>2.5</v>
      </c>
      <c r="AF3494" s="580">
        <f t="shared" si="308"/>
        <v>2.5</v>
      </c>
      <c r="AG3494" s="580">
        <f t="shared" si="309"/>
        <v>0</v>
      </c>
      <c r="AH3494" s="580">
        <f t="shared" si="310"/>
        <v>0</v>
      </c>
    </row>
    <row r="3495" spans="28:34">
      <c r="AB3495" s="580">
        <f>HLOOKUP("*"&amp;'Output annual'!$AC$2&amp;'Output annual'!$AD$2&amp;"*Zone People Number Of Occupants [](Hourly)",'Eplus results'!$1:$1048576,ROW(),FALSE)</f>
        <v>0</v>
      </c>
      <c r="AC3495" s="580">
        <f>HLOOKUP("*"&amp;'Output annual'!$AC$2&amp;'Output annual'!$AD$2&amp;"*FangerPMV(Hourly)",'Eplus results'!$1:$1048576,ROW(),FALSE)</f>
        <v>0</v>
      </c>
      <c r="AD3495" s="580">
        <f t="shared" si="306"/>
        <v>5</v>
      </c>
      <c r="AE3495" s="580">
        <f t="shared" si="307"/>
        <v>2.5</v>
      </c>
      <c r="AF3495" s="580">
        <f t="shared" si="308"/>
        <v>2.5</v>
      </c>
      <c r="AG3495" s="580">
        <f t="shared" si="309"/>
        <v>0</v>
      </c>
      <c r="AH3495" s="580">
        <f t="shared" si="310"/>
        <v>0</v>
      </c>
    </row>
    <row r="3496" spans="28:34">
      <c r="AB3496" s="580">
        <f>HLOOKUP("*"&amp;'Output annual'!$AC$2&amp;'Output annual'!$AD$2&amp;"*Zone People Number Of Occupants [](Hourly)",'Eplus results'!$1:$1048576,ROW(),FALSE)</f>
        <v>0</v>
      </c>
      <c r="AC3496" s="580">
        <f>HLOOKUP("*"&amp;'Output annual'!$AC$2&amp;'Output annual'!$AD$2&amp;"*FangerPMV(Hourly)",'Eplus results'!$1:$1048576,ROW(),FALSE)</f>
        <v>0</v>
      </c>
      <c r="AD3496" s="580">
        <f t="shared" si="306"/>
        <v>5</v>
      </c>
      <c r="AE3496" s="580">
        <f t="shared" si="307"/>
        <v>2.5</v>
      </c>
      <c r="AF3496" s="580">
        <f t="shared" si="308"/>
        <v>2.5</v>
      </c>
      <c r="AG3496" s="580">
        <f t="shared" si="309"/>
        <v>0</v>
      </c>
      <c r="AH3496" s="580">
        <f t="shared" si="310"/>
        <v>0</v>
      </c>
    </row>
    <row r="3497" spans="28:34">
      <c r="AB3497" s="580">
        <f>HLOOKUP("*"&amp;'Output annual'!$AC$2&amp;'Output annual'!$AD$2&amp;"*Zone People Number Of Occupants [](Hourly)",'Eplus results'!$1:$1048576,ROW(),FALSE)</f>
        <v>0</v>
      </c>
      <c r="AC3497" s="580">
        <f>HLOOKUP("*"&amp;'Output annual'!$AC$2&amp;'Output annual'!$AD$2&amp;"*FangerPMV(Hourly)",'Eplus results'!$1:$1048576,ROW(),FALSE)</f>
        <v>0</v>
      </c>
      <c r="AD3497" s="580">
        <f t="shared" si="306"/>
        <v>5</v>
      </c>
      <c r="AE3497" s="580">
        <f t="shared" si="307"/>
        <v>2.5</v>
      </c>
      <c r="AF3497" s="580">
        <f t="shared" si="308"/>
        <v>2.5</v>
      </c>
      <c r="AG3497" s="580">
        <f t="shared" si="309"/>
        <v>0</v>
      </c>
      <c r="AH3497" s="580">
        <f t="shared" si="310"/>
        <v>0</v>
      </c>
    </row>
    <row r="3498" spans="28:34">
      <c r="AB3498" s="580">
        <f>HLOOKUP("*"&amp;'Output annual'!$AC$2&amp;'Output annual'!$AD$2&amp;"*Zone People Number Of Occupants [](Hourly)",'Eplus results'!$1:$1048576,ROW(),FALSE)</f>
        <v>0</v>
      </c>
      <c r="AC3498" s="580">
        <f>HLOOKUP("*"&amp;'Output annual'!$AC$2&amp;'Output annual'!$AD$2&amp;"*FangerPMV(Hourly)",'Eplus results'!$1:$1048576,ROW(),FALSE)</f>
        <v>0</v>
      </c>
      <c r="AD3498" s="580">
        <f t="shared" si="306"/>
        <v>5</v>
      </c>
      <c r="AE3498" s="580">
        <f t="shared" si="307"/>
        <v>2.5</v>
      </c>
      <c r="AF3498" s="580">
        <f t="shared" si="308"/>
        <v>2.5</v>
      </c>
      <c r="AG3498" s="580">
        <f t="shared" si="309"/>
        <v>0</v>
      </c>
      <c r="AH3498" s="580">
        <f t="shared" si="310"/>
        <v>0</v>
      </c>
    </row>
    <row r="3499" spans="28:34">
      <c r="AB3499" s="580">
        <f>HLOOKUP("*"&amp;'Output annual'!$AC$2&amp;'Output annual'!$AD$2&amp;"*Zone People Number Of Occupants [](Hourly)",'Eplus results'!$1:$1048576,ROW(),FALSE)</f>
        <v>0</v>
      </c>
      <c r="AC3499" s="580">
        <f>HLOOKUP("*"&amp;'Output annual'!$AC$2&amp;'Output annual'!$AD$2&amp;"*FangerPMV(Hourly)",'Eplus results'!$1:$1048576,ROW(),FALSE)</f>
        <v>0</v>
      </c>
      <c r="AD3499" s="580">
        <f t="shared" si="306"/>
        <v>5</v>
      </c>
      <c r="AE3499" s="580">
        <f t="shared" si="307"/>
        <v>2.5</v>
      </c>
      <c r="AF3499" s="580">
        <f t="shared" si="308"/>
        <v>2.5</v>
      </c>
      <c r="AG3499" s="580">
        <f t="shared" si="309"/>
        <v>0</v>
      </c>
      <c r="AH3499" s="580">
        <f t="shared" si="310"/>
        <v>0</v>
      </c>
    </row>
    <row r="3500" spans="28:34">
      <c r="AB3500" s="580">
        <f>HLOOKUP("*"&amp;'Output annual'!$AC$2&amp;'Output annual'!$AD$2&amp;"*Zone People Number Of Occupants [](Hourly)",'Eplus results'!$1:$1048576,ROW(),FALSE)</f>
        <v>0</v>
      </c>
      <c r="AC3500" s="580">
        <f>HLOOKUP("*"&amp;'Output annual'!$AC$2&amp;'Output annual'!$AD$2&amp;"*FangerPMV(Hourly)",'Eplus results'!$1:$1048576,ROW(),FALSE)</f>
        <v>0</v>
      </c>
      <c r="AD3500" s="580">
        <f t="shared" si="306"/>
        <v>5</v>
      </c>
      <c r="AE3500" s="580">
        <f t="shared" si="307"/>
        <v>2.5</v>
      </c>
      <c r="AF3500" s="580">
        <f t="shared" si="308"/>
        <v>2.5</v>
      </c>
      <c r="AG3500" s="580">
        <f t="shared" si="309"/>
        <v>0</v>
      </c>
      <c r="AH3500" s="580">
        <f t="shared" si="310"/>
        <v>0</v>
      </c>
    </row>
    <row r="3501" spans="28:34">
      <c r="AB3501" s="580">
        <f>HLOOKUP("*"&amp;'Output annual'!$AC$2&amp;'Output annual'!$AD$2&amp;"*Zone People Number Of Occupants [](Hourly)",'Eplus results'!$1:$1048576,ROW(),FALSE)</f>
        <v>0</v>
      </c>
      <c r="AC3501" s="580">
        <f>HLOOKUP("*"&amp;'Output annual'!$AC$2&amp;'Output annual'!$AD$2&amp;"*FangerPMV(Hourly)",'Eplus results'!$1:$1048576,ROW(),FALSE)</f>
        <v>0</v>
      </c>
      <c r="AD3501" s="580">
        <f t="shared" si="306"/>
        <v>5</v>
      </c>
      <c r="AE3501" s="580">
        <f t="shared" si="307"/>
        <v>2.5</v>
      </c>
      <c r="AF3501" s="580">
        <f t="shared" si="308"/>
        <v>2.5</v>
      </c>
      <c r="AG3501" s="580">
        <f t="shared" si="309"/>
        <v>0</v>
      </c>
      <c r="AH3501" s="580">
        <f t="shared" si="310"/>
        <v>0</v>
      </c>
    </row>
    <row r="3502" spans="28:34">
      <c r="AB3502" s="580">
        <f>HLOOKUP("*"&amp;'Output annual'!$AC$2&amp;'Output annual'!$AD$2&amp;"*Zone People Number Of Occupants [](Hourly)",'Eplus results'!$1:$1048576,ROW(),FALSE)</f>
        <v>0</v>
      </c>
      <c r="AC3502" s="580">
        <f>HLOOKUP("*"&amp;'Output annual'!$AC$2&amp;'Output annual'!$AD$2&amp;"*FangerPMV(Hourly)",'Eplus results'!$1:$1048576,ROW(),FALSE)</f>
        <v>0</v>
      </c>
      <c r="AD3502" s="580">
        <f t="shared" si="306"/>
        <v>5</v>
      </c>
      <c r="AE3502" s="580">
        <f t="shared" si="307"/>
        <v>2.5</v>
      </c>
      <c r="AF3502" s="580">
        <f t="shared" si="308"/>
        <v>2.5</v>
      </c>
      <c r="AG3502" s="580">
        <f t="shared" si="309"/>
        <v>0</v>
      </c>
      <c r="AH3502" s="580">
        <f t="shared" si="310"/>
        <v>0</v>
      </c>
    </row>
    <row r="3503" spans="28:34">
      <c r="AB3503" s="580">
        <f>HLOOKUP("*"&amp;'Output annual'!$AC$2&amp;'Output annual'!$AD$2&amp;"*Zone People Number Of Occupants [](Hourly)",'Eplus results'!$1:$1048576,ROW(),FALSE)</f>
        <v>0</v>
      </c>
      <c r="AC3503" s="580">
        <f>HLOOKUP("*"&amp;'Output annual'!$AC$2&amp;'Output annual'!$AD$2&amp;"*FangerPMV(Hourly)",'Eplus results'!$1:$1048576,ROW(),FALSE)</f>
        <v>0</v>
      </c>
      <c r="AD3503" s="580">
        <f t="shared" si="306"/>
        <v>5</v>
      </c>
      <c r="AE3503" s="580">
        <f t="shared" si="307"/>
        <v>2.5</v>
      </c>
      <c r="AF3503" s="580">
        <f t="shared" si="308"/>
        <v>2.5</v>
      </c>
      <c r="AG3503" s="580">
        <f t="shared" si="309"/>
        <v>0</v>
      </c>
      <c r="AH3503" s="580">
        <f t="shared" si="310"/>
        <v>0</v>
      </c>
    </row>
    <row r="3504" spans="28:34">
      <c r="AB3504" s="580">
        <f>HLOOKUP("*"&amp;'Output annual'!$AC$2&amp;'Output annual'!$AD$2&amp;"*Zone People Number Of Occupants [](Hourly)",'Eplus results'!$1:$1048576,ROW(),FALSE)</f>
        <v>0</v>
      </c>
      <c r="AC3504" s="580">
        <f>HLOOKUP("*"&amp;'Output annual'!$AC$2&amp;'Output annual'!$AD$2&amp;"*FangerPMV(Hourly)",'Eplus results'!$1:$1048576,ROW(),FALSE)</f>
        <v>0</v>
      </c>
      <c r="AD3504" s="580">
        <f t="shared" si="306"/>
        <v>5</v>
      </c>
      <c r="AE3504" s="580">
        <f t="shared" si="307"/>
        <v>2.5</v>
      </c>
      <c r="AF3504" s="580">
        <f t="shared" si="308"/>
        <v>2.5</v>
      </c>
      <c r="AG3504" s="580">
        <f t="shared" si="309"/>
        <v>0</v>
      </c>
      <c r="AH3504" s="580">
        <f t="shared" si="310"/>
        <v>0</v>
      </c>
    </row>
    <row r="3505" spans="28:34">
      <c r="AB3505" s="580">
        <f>HLOOKUP("*"&amp;'Output annual'!$AC$2&amp;'Output annual'!$AD$2&amp;"*Zone People Number Of Occupants [](Hourly)",'Eplus results'!$1:$1048576,ROW(),FALSE)</f>
        <v>0</v>
      </c>
      <c r="AC3505" s="580">
        <f>HLOOKUP("*"&amp;'Output annual'!$AC$2&amp;'Output annual'!$AD$2&amp;"*FangerPMV(Hourly)",'Eplus results'!$1:$1048576,ROW(),FALSE)</f>
        <v>0</v>
      </c>
      <c r="AD3505" s="580">
        <f t="shared" si="306"/>
        <v>5</v>
      </c>
      <c r="AE3505" s="580">
        <f t="shared" si="307"/>
        <v>2.5</v>
      </c>
      <c r="AF3505" s="580">
        <f t="shared" si="308"/>
        <v>2.5</v>
      </c>
      <c r="AG3505" s="580">
        <f t="shared" si="309"/>
        <v>0</v>
      </c>
      <c r="AH3505" s="580">
        <f t="shared" si="310"/>
        <v>0</v>
      </c>
    </row>
    <row r="3506" spans="28:34">
      <c r="AB3506" s="580">
        <f>HLOOKUP("*"&amp;'Output annual'!$AC$2&amp;'Output annual'!$AD$2&amp;"*Zone People Number Of Occupants [](Hourly)",'Eplus results'!$1:$1048576,ROW(),FALSE)</f>
        <v>0</v>
      </c>
      <c r="AC3506" s="580">
        <f>HLOOKUP("*"&amp;'Output annual'!$AC$2&amp;'Output annual'!$AD$2&amp;"*FangerPMV(Hourly)",'Eplus results'!$1:$1048576,ROW(),FALSE)</f>
        <v>0</v>
      </c>
      <c r="AD3506" s="580">
        <f t="shared" si="306"/>
        <v>5</v>
      </c>
      <c r="AE3506" s="580">
        <f t="shared" si="307"/>
        <v>2.5</v>
      </c>
      <c r="AF3506" s="580">
        <f t="shared" si="308"/>
        <v>2.5</v>
      </c>
      <c r="AG3506" s="580">
        <f t="shared" si="309"/>
        <v>0</v>
      </c>
      <c r="AH3506" s="580">
        <f t="shared" si="310"/>
        <v>0</v>
      </c>
    </row>
    <row r="3507" spans="28:34">
      <c r="AB3507" s="580">
        <f>HLOOKUP("*"&amp;'Output annual'!$AC$2&amp;'Output annual'!$AD$2&amp;"*Zone People Number Of Occupants [](Hourly)",'Eplus results'!$1:$1048576,ROW(),FALSE)</f>
        <v>0</v>
      </c>
      <c r="AC3507" s="580">
        <f>HLOOKUP("*"&amp;'Output annual'!$AC$2&amp;'Output annual'!$AD$2&amp;"*FangerPMV(Hourly)",'Eplus results'!$1:$1048576,ROW(),FALSE)</f>
        <v>0</v>
      </c>
      <c r="AD3507" s="580">
        <f t="shared" si="306"/>
        <v>5</v>
      </c>
      <c r="AE3507" s="580">
        <f t="shared" si="307"/>
        <v>2.5</v>
      </c>
      <c r="AF3507" s="580">
        <f t="shared" si="308"/>
        <v>2.5</v>
      </c>
      <c r="AG3507" s="580">
        <f t="shared" si="309"/>
        <v>0</v>
      </c>
      <c r="AH3507" s="580">
        <f t="shared" si="310"/>
        <v>0</v>
      </c>
    </row>
    <row r="3508" spans="28:34">
      <c r="AB3508" s="580">
        <f>HLOOKUP("*"&amp;'Output annual'!$AC$2&amp;'Output annual'!$AD$2&amp;"*Zone People Number Of Occupants [](Hourly)",'Eplus results'!$1:$1048576,ROW(),FALSE)</f>
        <v>0</v>
      </c>
      <c r="AC3508" s="580">
        <f>HLOOKUP("*"&amp;'Output annual'!$AC$2&amp;'Output annual'!$AD$2&amp;"*FangerPMV(Hourly)",'Eplus results'!$1:$1048576,ROW(),FALSE)</f>
        <v>0</v>
      </c>
      <c r="AD3508" s="580">
        <f t="shared" si="306"/>
        <v>5</v>
      </c>
      <c r="AE3508" s="580">
        <f t="shared" si="307"/>
        <v>2.5</v>
      </c>
      <c r="AF3508" s="580">
        <f t="shared" si="308"/>
        <v>2.5</v>
      </c>
      <c r="AG3508" s="580">
        <f t="shared" si="309"/>
        <v>0</v>
      </c>
      <c r="AH3508" s="580">
        <f t="shared" si="310"/>
        <v>0</v>
      </c>
    </row>
    <row r="3509" spans="28:34">
      <c r="AB3509" s="580">
        <f>HLOOKUP("*"&amp;'Output annual'!$AC$2&amp;'Output annual'!$AD$2&amp;"*Zone People Number Of Occupants [](Hourly)",'Eplus results'!$1:$1048576,ROW(),FALSE)</f>
        <v>0</v>
      </c>
      <c r="AC3509" s="580">
        <f>HLOOKUP("*"&amp;'Output annual'!$AC$2&amp;'Output annual'!$AD$2&amp;"*FangerPMV(Hourly)",'Eplus results'!$1:$1048576,ROW(),FALSE)</f>
        <v>0</v>
      </c>
      <c r="AD3509" s="580">
        <f t="shared" si="306"/>
        <v>5</v>
      </c>
      <c r="AE3509" s="580">
        <f t="shared" si="307"/>
        <v>2.5</v>
      </c>
      <c r="AF3509" s="580">
        <f t="shared" si="308"/>
        <v>2.5</v>
      </c>
      <c r="AG3509" s="580">
        <f t="shared" si="309"/>
        <v>0</v>
      </c>
      <c r="AH3509" s="580">
        <f t="shared" si="310"/>
        <v>0</v>
      </c>
    </row>
    <row r="3510" spans="28:34">
      <c r="AB3510" s="580">
        <f>HLOOKUP("*"&amp;'Output annual'!$AC$2&amp;'Output annual'!$AD$2&amp;"*Zone People Number Of Occupants [](Hourly)",'Eplus results'!$1:$1048576,ROW(),FALSE)</f>
        <v>0</v>
      </c>
      <c r="AC3510" s="580">
        <f>HLOOKUP("*"&amp;'Output annual'!$AC$2&amp;'Output annual'!$AD$2&amp;"*FangerPMV(Hourly)",'Eplus results'!$1:$1048576,ROW(),FALSE)</f>
        <v>0</v>
      </c>
      <c r="AD3510" s="580">
        <f t="shared" si="306"/>
        <v>5</v>
      </c>
      <c r="AE3510" s="580">
        <f t="shared" si="307"/>
        <v>2.5</v>
      </c>
      <c r="AF3510" s="580">
        <f t="shared" si="308"/>
        <v>2.5</v>
      </c>
      <c r="AG3510" s="580">
        <f t="shared" si="309"/>
        <v>0</v>
      </c>
      <c r="AH3510" s="580">
        <f t="shared" si="310"/>
        <v>0</v>
      </c>
    </row>
    <row r="3511" spans="28:34">
      <c r="AB3511" s="580">
        <f>HLOOKUP("*"&amp;'Output annual'!$AC$2&amp;'Output annual'!$AD$2&amp;"*Zone People Number Of Occupants [](Hourly)",'Eplus results'!$1:$1048576,ROW(),FALSE)</f>
        <v>0</v>
      </c>
      <c r="AC3511" s="580">
        <f>HLOOKUP("*"&amp;'Output annual'!$AC$2&amp;'Output annual'!$AD$2&amp;"*FangerPMV(Hourly)",'Eplus results'!$1:$1048576,ROW(),FALSE)</f>
        <v>0</v>
      </c>
      <c r="AD3511" s="580">
        <f t="shared" si="306"/>
        <v>5</v>
      </c>
      <c r="AE3511" s="580">
        <f t="shared" si="307"/>
        <v>2.5</v>
      </c>
      <c r="AF3511" s="580">
        <f t="shared" si="308"/>
        <v>2.5</v>
      </c>
      <c r="AG3511" s="580">
        <f t="shared" si="309"/>
        <v>0</v>
      </c>
      <c r="AH3511" s="580">
        <f t="shared" si="310"/>
        <v>0</v>
      </c>
    </row>
    <row r="3512" spans="28:34">
      <c r="AB3512" s="580">
        <f>HLOOKUP("*"&amp;'Output annual'!$AC$2&amp;'Output annual'!$AD$2&amp;"*Zone People Number Of Occupants [](Hourly)",'Eplus results'!$1:$1048576,ROW(),FALSE)</f>
        <v>0</v>
      </c>
      <c r="AC3512" s="580">
        <f>HLOOKUP("*"&amp;'Output annual'!$AC$2&amp;'Output annual'!$AD$2&amp;"*FangerPMV(Hourly)",'Eplus results'!$1:$1048576,ROW(),FALSE)</f>
        <v>0</v>
      </c>
      <c r="AD3512" s="580">
        <f t="shared" si="306"/>
        <v>5</v>
      </c>
      <c r="AE3512" s="580">
        <f t="shared" si="307"/>
        <v>2.5</v>
      </c>
      <c r="AF3512" s="580">
        <f t="shared" si="308"/>
        <v>2.5</v>
      </c>
      <c r="AG3512" s="580">
        <f t="shared" si="309"/>
        <v>0</v>
      </c>
      <c r="AH3512" s="580">
        <f t="shared" si="310"/>
        <v>0</v>
      </c>
    </row>
    <row r="3513" spans="28:34">
      <c r="AB3513" s="580">
        <f>HLOOKUP("*"&amp;'Output annual'!$AC$2&amp;'Output annual'!$AD$2&amp;"*Zone People Number Of Occupants [](Hourly)",'Eplus results'!$1:$1048576,ROW(),FALSE)</f>
        <v>0</v>
      </c>
      <c r="AC3513" s="580">
        <f>HLOOKUP("*"&amp;'Output annual'!$AC$2&amp;'Output annual'!$AD$2&amp;"*FangerPMV(Hourly)",'Eplus results'!$1:$1048576,ROW(),FALSE)</f>
        <v>0</v>
      </c>
      <c r="AD3513" s="580">
        <f t="shared" si="306"/>
        <v>5</v>
      </c>
      <c r="AE3513" s="580">
        <f t="shared" si="307"/>
        <v>2.5</v>
      </c>
      <c r="AF3513" s="580">
        <f t="shared" si="308"/>
        <v>2.5</v>
      </c>
      <c r="AG3513" s="580">
        <f t="shared" si="309"/>
        <v>0</v>
      </c>
      <c r="AH3513" s="580">
        <f t="shared" si="310"/>
        <v>0</v>
      </c>
    </row>
    <row r="3514" spans="28:34">
      <c r="AB3514" s="580">
        <f>HLOOKUP("*"&amp;'Output annual'!$AC$2&amp;'Output annual'!$AD$2&amp;"*Zone People Number Of Occupants [](Hourly)",'Eplus results'!$1:$1048576,ROW(),FALSE)</f>
        <v>0</v>
      </c>
      <c r="AC3514" s="580">
        <f>HLOOKUP("*"&amp;'Output annual'!$AC$2&amp;'Output annual'!$AD$2&amp;"*FangerPMV(Hourly)",'Eplus results'!$1:$1048576,ROW(),FALSE)</f>
        <v>0</v>
      </c>
      <c r="AD3514" s="580">
        <f t="shared" si="306"/>
        <v>5</v>
      </c>
      <c r="AE3514" s="580">
        <f t="shared" si="307"/>
        <v>2.5</v>
      </c>
      <c r="AF3514" s="580">
        <f t="shared" si="308"/>
        <v>2.5</v>
      </c>
      <c r="AG3514" s="580">
        <f t="shared" si="309"/>
        <v>0</v>
      </c>
      <c r="AH3514" s="580">
        <f t="shared" si="310"/>
        <v>0</v>
      </c>
    </row>
    <row r="3515" spans="28:34">
      <c r="AB3515" s="580">
        <f>HLOOKUP("*"&amp;'Output annual'!$AC$2&amp;'Output annual'!$AD$2&amp;"*Zone People Number Of Occupants [](Hourly)",'Eplus results'!$1:$1048576,ROW(),FALSE)</f>
        <v>0</v>
      </c>
      <c r="AC3515" s="580">
        <f>HLOOKUP("*"&amp;'Output annual'!$AC$2&amp;'Output annual'!$AD$2&amp;"*FangerPMV(Hourly)",'Eplus results'!$1:$1048576,ROW(),FALSE)</f>
        <v>0</v>
      </c>
      <c r="AD3515" s="580">
        <f t="shared" si="306"/>
        <v>5</v>
      </c>
      <c r="AE3515" s="580">
        <f t="shared" si="307"/>
        <v>2.5</v>
      </c>
      <c r="AF3515" s="580">
        <f t="shared" si="308"/>
        <v>2.5</v>
      </c>
      <c r="AG3515" s="580">
        <f t="shared" si="309"/>
        <v>0</v>
      </c>
      <c r="AH3515" s="580">
        <f t="shared" si="310"/>
        <v>0</v>
      </c>
    </row>
    <row r="3516" spans="28:34">
      <c r="AB3516" s="580">
        <f>HLOOKUP("*"&amp;'Output annual'!$AC$2&amp;'Output annual'!$AD$2&amp;"*Zone People Number Of Occupants [](Hourly)",'Eplus results'!$1:$1048576,ROW(),FALSE)</f>
        <v>0</v>
      </c>
      <c r="AC3516" s="580">
        <f>HLOOKUP("*"&amp;'Output annual'!$AC$2&amp;'Output annual'!$AD$2&amp;"*FangerPMV(Hourly)",'Eplus results'!$1:$1048576,ROW(),FALSE)</f>
        <v>0</v>
      </c>
      <c r="AD3516" s="580">
        <f t="shared" si="306"/>
        <v>5</v>
      </c>
      <c r="AE3516" s="580">
        <f t="shared" si="307"/>
        <v>2.5</v>
      </c>
      <c r="AF3516" s="580">
        <f t="shared" si="308"/>
        <v>2.5</v>
      </c>
      <c r="AG3516" s="580">
        <f t="shared" si="309"/>
        <v>0</v>
      </c>
      <c r="AH3516" s="580">
        <f t="shared" si="310"/>
        <v>0</v>
      </c>
    </row>
    <row r="3517" spans="28:34">
      <c r="AB3517" s="580">
        <f>HLOOKUP("*"&amp;'Output annual'!$AC$2&amp;'Output annual'!$AD$2&amp;"*Zone People Number Of Occupants [](Hourly)",'Eplus results'!$1:$1048576,ROW(),FALSE)</f>
        <v>0</v>
      </c>
      <c r="AC3517" s="580">
        <f>HLOOKUP("*"&amp;'Output annual'!$AC$2&amp;'Output annual'!$AD$2&amp;"*FangerPMV(Hourly)",'Eplus results'!$1:$1048576,ROW(),FALSE)</f>
        <v>0</v>
      </c>
      <c r="AD3517" s="580">
        <f t="shared" si="306"/>
        <v>5</v>
      </c>
      <c r="AE3517" s="580">
        <f t="shared" si="307"/>
        <v>2.5</v>
      </c>
      <c r="AF3517" s="580">
        <f t="shared" si="308"/>
        <v>2.5</v>
      </c>
      <c r="AG3517" s="580">
        <f t="shared" si="309"/>
        <v>0</v>
      </c>
      <c r="AH3517" s="580">
        <f t="shared" si="310"/>
        <v>0</v>
      </c>
    </row>
    <row r="3518" spans="28:34">
      <c r="AB3518" s="580">
        <f>HLOOKUP("*"&amp;'Output annual'!$AC$2&amp;'Output annual'!$AD$2&amp;"*Zone People Number Of Occupants [](Hourly)",'Eplus results'!$1:$1048576,ROW(),FALSE)</f>
        <v>0</v>
      </c>
      <c r="AC3518" s="580">
        <f>HLOOKUP("*"&amp;'Output annual'!$AC$2&amp;'Output annual'!$AD$2&amp;"*FangerPMV(Hourly)",'Eplus results'!$1:$1048576,ROW(),FALSE)</f>
        <v>0</v>
      </c>
      <c r="AD3518" s="580">
        <f t="shared" si="306"/>
        <v>5</v>
      </c>
      <c r="AE3518" s="580">
        <f t="shared" si="307"/>
        <v>2.5</v>
      </c>
      <c r="AF3518" s="580">
        <f t="shared" si="308"/>
        <v>2.5</v>
      </c>
      <c r="AG3518" s="580">
        <f t="shared" si="309"/>
        <v>0</v>
      </c>
      <c r="AH3518" s="580">
        <f t="shared" si="310"/>
        <v>0</v>
      </c>
    </row>
    <row r="3519" spans="28:34">
      <c r="AB3519" s="580">
        <f>HLOOKUP("*"&amp;'Output annual'!$AC$2&amp;'Output annual'!$AD$2&amp;"*Zone People Number Of Occupants [](Hourly)",'Eplus results'!$1:$1048576,ROW(),FALSE)</f>
        <v>0</v>
      </c>
      <c r="AC3519" s="580">
        <f>HLOOKUP("*"&amp;'Output annual'!$AC$2&amp;'Output annual'!$AD$2&amp;"*FangerPMV(Hourly)",'Eplus results'!$1:$1048576,ROW(),FALSE)</f>
        <v>0</v>
      </c>
      <c r="AD3519" s="580">
        <f t="shared" si="306"/>
        <v>5</v>
      </c>
      <c r="AE3519" s="580">
        <f t="shared" si="307"/>
        <v>2.5</v>
      </c>
      <c r="AF3519" s="580">
        <f t="shared" si="308"/>
        <v>2.5</v>
      </c>
      <c r="AG3519" s="580">
        <f t="shared" si="309"/>
        <v>0</v>
      </c>
      <c r="AH3519" s="580">
        <f t="shared" si="310"/>
        <v>0</v>
      </c>
    </row>
    <row r="3520" spans="28:34">
      <c r="AB3520" s="580">
        <f>HLOOKUP("*"&amp;'Output annual'!$AC$2&amp;'Output annual'!$AD$2&amp;"*Zone People Number Of Occupants [](Hourly)",'Eplus results'!$1:$1048576,ROW(),FALSE)</f>
        <v>0</v>
      </c>
      <c r="AC3520" s="580">
        <f>HLOOKUP("*"&amp;'Output annual'!$AC$2&amp;'Output annual'!$AD$2&amp;"*FangerPMV(Hourly)",'Eplus results'!$1:$1048576,ROW(),FALSE)</f>
        <v>0</v>
      </c>
      <c r="AD3520" s="580">
        <f t="shared" si="306"/>
        <v>5</v>
      </c>
      <c r="AE3520" s="580">
        <f t="shared" si="307"/>
        <v>2.5</v>
      </c>
      <c r="AF3520" s="580">
        <f t="shared" si="308"/>
        <v>2.5</v>
      </c>
      <c r="AG3520" s="580">
        <f t="shared" si="309"/>
        <v>0</v>
      </c>
      <c r="AH3520" s="580">
        <f t="shared" si="310"/>
        <v>0</v>
      </c>
    </row>
    <row r="3521" spans="28:34">
      <c r="AB3521" s="580">
        <f>HLOOKUP("*"&amp;'Output annual'!$AC$2&amp;'Output annual'!$AD$2&amp;"*Zone People Number Of Occupants [](Hourly)",'Eplus results'!$1:$1048576,ROW(),FALSE)</f>
        <v>0</v>
      </c>
      <c r="AC3521" s="580">
        <f>HLOOKUP("*"&amp;'Output annual'!$AC$2&amp;'Output annual'!$AD$2&amp;"*FangerPMV(Hourly)",'Eplus results'!$1:$1048576,ROW(),FALSE)</f>
        <v>0</v>
      </c>
      <c r="AD3521" s="580">
        <f t="shared" si="306"/>
        <v>5</v>
      </c>
      <c r="AE3521" s="580">
        <f t="shared" si="307"/>
        <v>2.5</v>
      </c>
      <c r="AF3521" s="580">
        <f t="shared" si="308"/>
        <v>2.5</v>
      </c>
      <c r="AG3521" s="580">
        <f t="shared" si="309"/>
        <v>0</v>
      </c>
      <c r="AH3521" s="580">
        <f t="shared" si="310"/>
        <v>0</v>
      </c>
    </row>
    <row r="3522" spans="28:34">
      <c r="AB3522" s="580">
        <f>HLOOKUP("*"&amp;'Output annual'!$AC$2&amp;'Output annual'!$AD$2&amp;"*Zone People Number Of Occupants [](Hourly)",'Eplus results'!$1:$1048576,ROW(),FALSE)</f>
        <v>0</v>
      </c>
      <c r="AC3522" s="580">
        <f>HLOOKUP("*"&amp;'Output annual'!$AC$2&amp;'Output annual'!$AD$2&amp;"*FangerPMV(Hourly)",'Eplus results'!$1:$1048576,ROW(),FALSE)</f>
        <v>0</v>
      </c>
      <c r="AD3522" s="580">
        <f t="shared" si="306"/>
        <v>5</v>
      </c>
      <c r="AE3522" s="580">
        <f t="shared" si="307"/>
        <v>2.5</v>
      </c>
      <c r="AF3522" s="580">
        <f t="shared" si="308"/>
        <v>2.5</v>
      </c>
      <c r="AG3522" s="580">
        <f t="shared" si="309"/>
        <v>0</v>
      </c>
      <c r="AH3522" s="580">
        <f t="shared" si="310"/>
        <v>0</v>
      </c>
    </row>
    <row r="3523" spans="28:34">
      <c r="AB3523" s="580">
        <f>HLOOKUP("*"&amp;'Output annual'!$AC$2&amp;'Output annual'!$AD$2&amp;"*Zone People Number Of Occupants [](Hourly)",'Eplus results'!$1:$1048576,ROW(),FALSE)</f>
        <v>0</v>
      </c>
      <c r="AC3523" s="580">
        <f>HLOOKUP("*"&amp;'Output annual'!$AC$2&amp;'Output annual'!$AD$2&amp;"*FangerPMV(Hourly)",'Eplus results'!$1:$1048576,ROW(),FALSE)</f>
        <v>0</v>
      </c>
      <c r="AD3523" s="580">
        <f t="shared" ref="AD3523:AD3586" si="311">100-95*EXP(-0.03353*AC3523^4-0.2179*AC3523^2)</f>
        <v>5</v>
      </c>
      <c r="AE3523" s="580">
        <f t="shared" ref="AE3523:AE3586" si="312">AD3523*(1/(1+EXP(-6.3*$AC3523)))</f>
        <v>2.5</v>
      </c>
      <c r="AF3523" s="580">
        <f t="shared" ref="AF3523:AF3586" si="313">(AD3523-AE3523)</f>
        <v>2.5</v>
      </c>
      <c r="AG3523" s="580">
        <f t="shared" ref="AG3523:AG3586" si="314">AE3523*AB3523</f>
        <v>0</v>
      </c>
      <c r="AH3523" s="580">
        <f t="shared" ref="AH3523:AH3586" si="315">AF3523*AB3523</f>
        <v>0</v>
      </c>
    </row>
    <row r="3524" spans="28:34">
      <c r="AB3524" s="580">
        <f>HLOOKUP("*"&amp;'Output annual'!$AC$2&amp;'Output annual'!$AD$2&amp;"*Zone People Number Of Occupants [](Hourly)",'Eplus results'!$1:$1048576,ROW(),FALSE)</f>
        <v>0</v>
      </c>
      <c r="AC3524" s="580">
        <f>HLOOKUP("*"&amp;'Output annual'!$AC$2&amp;'Output annual'!$AD$2&amp;"*FangerPMV(Hourly)",'Eplus results'!$1:$1048576,ROW(),FALSE)</f>
        <v>0</v>
      </c>
      <c r="AD3524" s="580">
        <f t="shared" si="311"/>
        <v>5</v>
      </c>
      <c r="AE3524" s="580">
        <f t="shared" si="312"/>
        <v>2.5</v>
      </c>
      <c r="AF3524" s="580">
        <f t="shared" si="313"/>
        <v>2.5</v>
      </c>
      <c r="AG3524" s="580">
        <f t="shared" si="314"/>
        <v>0</v>
      </c>
      <c r="AH3524" s="580">
        <f t="shared" si="315"/>
        <v>0</v>
      </c>
    </row>
    <row r="3525" spans="28:34">
      <c r="AB3525" s="580">
        <f>HLOOKUP("*"&amp;'Output annual'!$AC$2&amp;'Output annual'!$AD$2&amp;"*Zone People Number Of Occupants [](Hourly)",'Eplus results'!$1:$1048576,ROW(),FALSE)</f>
        <v>0</v>
      </c>
      <c r="AC3525" s="580">
        <f>HLOOKUP("*"&amp;'Output annual'!$AC$2&amp;'Output annual'!$AD$2&amp;"*FangerPMV(Hourly)",'Eplus results'!$1:$1048576,ROW(),FALSE)</f>
        <v>0</v>
      </c>
      <c r="AD3525" s="580">
        <f t="shared" si="311"/>
        <v>5</v>
      </c>
      <c r="AE3525" s="580">
        <f t="shared" si="312"/>
        <v>2.5</v>
      </c>
      <c r="AF3525" s="580">
        <f t="shared" si="313"/>
        <v>2.5</v>
      </c>
      <c r="AG3525" s="580">
        <f t="shared" si="314"/>
        <v>0</v>
      </c>
      <c r="AH3525" s="580">
        <f t="shared" si="315"/>
        <v>0</v>
      </c>
    </row>
    <row r="3526" spans="28:34">
      <c r="AB3526" s="580">
        <f>HLOOKUP("*"&amp;'Output annual'!$AC$2&amp;'Output annual'!$AD$2&amp;"*Zone People Number Of Occupants [](Hourly)",'Eplus results'!$1:$1048576,ROW(),FALSE)</f>
        <v>0</v>
      </c>
      <c r="AC3526" s="580">
        <f>HLOOKUP("*"&amp;'Output annual'!$AC$2&amp;'Output annual'!$AD$2&amp;"*FangerPMV(Hourly)",'Eplus results'!$1:$1048576,ROW(),FALSE)</f>
        <v>0</v>
      </c>
      <c r="AD3526" s="580">
        <f t="shared" si="311"/>
        <v>5</v>
      </c>
      <c r="AE3526" s="580">
        <f t="shared" si="312"/>
        <v>2.5</v>
      </c>
      <c r="AF3526" s="580">
        <f t="shared" si="313"/>
        <v>2.5</v>
      </c>
      <c r="AG3526" s="580">
        <f t="shared" si="314"/>
        <v>0</v>
      </c>
      <c r="AH3526" s="580">
        <f t="shared" si="315"/>
        <v>0</v>
      </c>
    </row>
    <row r="3527" spans="28:34">
      <c r="AB3527" s="580">
        <f>HLOOKUP("*"&amp;'Output annual'!$AC$2&amp;'Output annual'!$AD$2&amp;"*Zone People Number Of Occupants [](Hourly)",'Eplus results'!$1:$1048576,ROW(),FALSE)</f>
        <v>0</v>
      </c>
      <c r="AC3527" s="580">
        <f>HLOOKUP("*"&amp;'Output annual'!$AC$2&amp;'Output annual'!$AD$2&amp;"*FangerPMV(Hourly)",'Eplus results'!$1:$1048576,ROW(),FALSE)</f>
        <v>0</v>
      </c>
      <c r="AD3527" s="580">
        <f t="shared" si="311"/>
        <v>5</v>
      </c>
      <c r="AE3527" s="580">
        <f t="shared" si="312"/>
        <v>2.5</v>
      </c>
      <c r="AF3527" s="580">
        <f t="shared" si="313"/>
        <v>2.5</v>
      </c>
      <c r="AG3527" s="580">
        <f t="shared" si="314"/>
        <v>0</v>
      </c>
      <c r="AH3527" s="580">
        <f t="shared" si="315"/>
        <v>0</v>
      </c>
    </row>
    <row r="3528" spans="28:34">
      <c r="AB3528" s="580">
        <f>HLOOKUP("*"&amp;'Output annual'!$AC$2&amp;'Output annual'!$AD$2&amp;"*Zone People Number Of Occupants [](Hourly)",'Eplus results'!$1:$1048576,ROW(),FALSE)</f>
        <v>0</v>
      </c>
      <c r="AC3528" s="580">
        <f>HLOOKUP("*"&amp;'Output annual'!$AC$2&amp;'Output annual'!$AD$2&amp;"*FangerPMV(Hourly)",'Eplus results'!$1:$1048576,ROW(),FALSE)</f>
        <v>0</v>
      </c>
      <c r="AD3528" s="580">
        <f t="shared" si="311"/>
        <v>5</v>
      </c>
      <c r="AE3528" s="580">
        <f t="shared" si="312"/>
        <v>2.5</v>
      </c>
      <c r="AF3528" s="580">
        <f t="shared" si="313"/>
        <v>2.5</v>
      </c>
      <c r="AG3528" s="580">
        <f t="shared" si="314"/>
        <v>0</v>
      </c>
      <c r="AH3528" s="580">
        <f t="shared" si="315"/>
        <v>0</v>
      </c>
    </row>
    <row r="3529" spans="28:34">
      <c r="AB3529" s="580">
        <f>HLOOKUP("*"&amp;'Output annual'!$AC$2&amp;'Output annual'!$AD$2&amp;"*Zone People Number Of Occupants [](Hourly)",'Eplus results'!$1:$1048576,ROW(),FALSE)</f>
        <v>0</v>
      </c>
      <c r="AC3529" s="580">
        <f>HLOOKUP("*"&amp;'Output annual'!$AC$2&amp;'Output annual'!$AD$2&amp;"*FangerPMV(Hourly)",'Eplus results'!$1:$1048576,ROW(),FALSE)</f>
        <v>0</v>
      </c>
      <c r="AD3529" s="580">
        <f t="shared" si="311"/>
        <v>5</v>
      </c>
      <c r="AE3529" s="580">
        <f t="shared" si="312"/>
        <v>2.5</v>
      </c>
      <c r="AF3529" s="580">
        <f t="shared" si="313"/>
        <v>2.5</v>
      </c>
      <c r="AG3529" s="580">
        <f t="shared" si="314"/>
        <v>0</v>
      </c>
      <c r="AH3529" s="580">
        <f t="shared" si="315"/>
        <v>0</v>
      </c>
    </row>
    <row r="3530" spans="28:34">
      <c r="AB3530" s="580">
        <f>HLOOKUP("*"&amp;'Output annual'!$AC$2&amp;'Output annual'!$AD$2&amp;"*Zone People Number Of Occupants [](Hourly)",'Eplus results'!$1:$1048576,ROW(),FALSE)</f>
        <v>0</v>
      </c>
      <c r="AC3530" s="580">
        <f>HLOOKUP("*"&amp;'Output annual'!$AC$2&amp;'Output annual'!$AD$2&amp;"*FangerPMV(Hourly)",'Eplus results'!$1:$1048576,ROW(),FALSE)</f>
        <v>0</v>
      </c>
      <c r="AD3530" s="580">
        <f t="shared" si="311"/>
        <v>5</v>
      </c>
      <c r="AE3530" s="580">
        <f t="shared" si="312"/>
        <v>2.5</v>
      </c>
      <c r="AF3530" s="580">
        <f t="shared" si="313"/>
        <v>2.5</v>
      </c>
      <c r="AG3530" s="580">
        <f t="shared" si="314"/>
        <v>0</v>
      </c>
      <c r="AH3530" s="580">
        <f t="shared" si="315"/>
        <v>0</v>
      </c>
    </row>
    <row r="3531" spans="28:34">
      <c r="AB3531" s="580">
        <f>HLOOKUP("*"&amp;'Output annual'!$AC$2&amp;'Output annual'!$AD$2&amp;"*Zone People Number Of Occupants [](Hourly)",'Eplus results'!$1:$1048576,ROW(),FALSE)</f>
        <v>0</v>
      </c>
      <c r="AC3531" s="580">
        <f>HLOOKUP("*"&amp;'Output annual'!$AC$2&amp;'Output annual'!$AD$2&amp;"*FangerPMV(Hourly)",'Eplus results'!$1:$1048576,ROW(),FALSE)</f>
        <v>0</v>
      </c>
      <c r="AD3531" s="580">
        <f t="shared" si="311"/>
        <v>5</v>
      </c>
      <c r="AE3531" s="580">
        <f t="shared" si="312"/>
        <v>2.5</v>
      </c>
      <c r="AF3531" s="580">
        <f t="shared" si="313"/>
        <v>2.5</v>
      </c>
      <c r="AG3531" s="580">
        <f t="shared" si="314"/>
        <v>0</v>
      </c>
      <c r="AH3531" s="580">
        <f t="shared" si="315"/>
        <v>0</v>
      </c>
    </row>
    <row r="3532" spans="28:34">
      <c r="AB3532" s="580">
        <f>HLOOKUP("*"&amp;'Output annual'!$AC$2&amp;'Output annual'!$AD$2&amp;"*Zone People Number Of Occupants [](Hourly)",'Eplus results'!$1:$1048576,ROW(),FALSE)</f>
        <v>0</v>
      </c>
      <c r="AC3532" s="580">
        <f>HLOOKUP("*"&amp;'Output annual'!$AC$2&amp;'Output annual'!$AD$2&amp;"*FangerPMV(Hourly)",'Eplus results'!$1:$1048576,ROW(),FALSE)</f>
        <v>0</v>
      </c>
      <c r="AD3532" s="580">
        <f t="shared" si="311"/>
        <v>5</v>
      </c>
      <c r="AE3532" s="580">
        <f t="shared" si="312"/>
        <v>2.5</v>
      </c>
      <c r="AF3532" s="580">
        <f t="shared" si="313"/>
        <v>2.5</v>
      </c>
      <c r="AG3532" s="580">
        <f t="shared" si="314"/>
        <v>0</v>
      </c>
      <c r="AH3532" s="580">
        <f t="shared" si="315"/>
        <v>0</v>
      </c>
    </row>
    <row r="3533" spans="28:34">
      <c r="AB3533" s="580">
        <f>HLOOKUP("*"&amp;'Output annual'!$AC$2&amp;'Output annual'!$AD$2&amp;"*Zone People Number Of Occupants [](Hourly)",'Eplus results'!$1:$1048576,ROW(),FALSE)</f>
        <v>0</v>
      </c>
      <c r="AC3533" s="580">
        <f>HLOOKUP("*"&amp;'Output annual'!$AC$2&amp;'Output annual'!$AD$2&amp;"*FangerPMV(Hourly)",'Eplus results'!$1:$1048576,ROW(),FALSE)</f>
        <v>0</v>
      </c>
      <c r="AD3533" s="580">
        <f t="shared" si="311"/>
        <v>5</v>
      </c>
      <c r="AE3533" s="580">
        <f t="shared" si="312"/>
        <v>2.5</v>
      </c>
      <c r="AF3533" s="580">
        <f t="shared" si="313"/>
        <v>2.5</v>
      </c>
      <c r="AG3533" s="580">
        <f t="shared" si="314"/>
        <v>0</v>
      </c>
      <c r="AH3533" s="580">
        <f t="shared" si="315"/>
        <v>0</v>
      </c>
    </row>
    <row r="3534" spans="28:34">
      <c r="AB3534" s="580">
        <f>HLOOKUP("*"&amp;'Output annual'!$AC$2&amp;'Output annual'!$AD$2&amp;"*Zone People Number Of Occupants [](Hourly)",'Eplus results'!$1:$1048576,ROW(),FALSE)</f>
        <v>0</v>
      </c>
      <c r="AC3534" s="580">
        <f>HLOOKUP("*"&amp;'Output annual'!$AC$2&amp;'Output annual'!$AD$2&amp;"*FangerPMV(Hourly)",'Eplus results'!$1:$1048576,ROW(),FALSE)</f>
        <v>0</v>
      </c>
      <c r="AD3534" s="580">
        <f t="shared" si="311"/>
        <v>5</v>
      </c>
      <c r="AE3534" s="580">
        <f t="shared" si="312"/>
        <v>2.5</v>
      </c>
      <c r="AF3534" s="580">
        <f t="shared" si="313"/>
        <v>2.5</v>
      </c>
      <c r="AG3534" s="580">
        <f t="shared" si="314"/>
        <v>0</v>
      </c>
      <c r="AH3534" s="580">
        <f t="shared" si="315"/>
        <v>0</v>
      </c>
    </row>
    <row r="3535" spans="28:34">
      <c r="AB3535" s="580">
        <f>HLOOKUP("*"&amp;'Output annual'!$AC$2&amp;'Output annual'!$AD$2&amp;"*Zone People Number Of Occupants [](Hourly)",'Eplus results'!$1:$1048576,ROW(),FALSE)</f>
        <v>0</v>
      </c>
      <c r="AC3535" s="580">
        <f>HLOOKUP("*"&amp;'Output annual'!$AC$2&amp;'Output annual'!$AD$2&amp;"*FangerPMV(Hourly)",'Eplus results'!$1:$1048576,ROW(),FALSE)</f>
        <v>0</v>
      </c>
      <c r="AD3535" s="580">
        <f t="shared" si="311"/>
        <v>5</v>
      </c>
      <c r="AE3535" s="580">
        <f t="shared" si="312"/>
        <v>2.5</v>
      </c>
      <c r="AF3535" s="580">
        <f t="shared" si="313"/>
        <v>2.5</v>
      </c>
      <c r="AG3535" s="580">
        <f t="shared" si="314"/>
        <v>0</v>
      </c>
      <c r="AH3535" s="580">
        <f t="shared" si="315"/>
        <v>0</v>
      </c>
    </row>
    <row r="3536" spans="28:34">
      <c r="AB3536" s="580">
        <f>HLOOKUP("*"&amp;'Output annual'!$AC$2&amp;'Output annual'!$AD$2&amp;"*Zone People Number Of Occupants [](Hourly)",'Eplus results'!$1:$1048576,ROW(),FALSE)</f>
        <v>0</v>
      </c>
      <c r="AC3536" s="580">
        <f>HLOOKUP("*"&amp;'Output annual'!$AC$2&amp;'Output annual'!$AD$2&amp;"*FangerPMV(Hourly)",'Eplus results'!$1:$1048576,ROW(),FALSE)</f>
        <v>0</v>
      </c>
      <c r="AD3536" s="580">
        <f t="shared" si="311"/>
        <v>5</v>
      </c>
      <c r="AE3536" s="580">
        <f t="shared" si="312"/>
        <v>2.5</v>
      </c>
      <c r="AF3536" s="580">
        <f t="shared" si="313"/>
        <v>2.5</v>
      </c>
      <c r="AG3536" s="580">
        <f t="shared" si="314"/>
        <v>0</v>
      </c>
      <c r="AH3536" s="580">
        <f t="shared" si="315"/>
        <v>0</v>
      </c>
    </row>
    <row r="3537" spans="28:34">
      <c r="AB3537" s="580">
        <f>HLOOKUP("*"&amp;'Output annual'!$AC$2&amp;'Output annual'!$AD$2&amp;"*Zone People Number Of Occupants [](Hourly)",'Eplus results'!$1:$1048576,ROW(),FALSE)</f>
        <v>0</v>
      </c>
      <c r="AC3537" s="580">
        <f>HLOOKUP("*"&amp;'Output annual'!$AC$2&amp;'Output annual'!$AD$2&amp;"*FangerPMV(Hourly)",'Eplus results'!$1:$1048576,ROW(),FALSE)</f>
        <v>0</v>
      </c>
      <c r="AD3537" s="580">
        <f t="shared" si="311"/>
        <v>5</v>
      </c>
      <c r="AE3537" s="580">
        <f t="shared" si="312"/>
        <v>2.5</v>
      </c>
      <c r="AF3537" s="580">
        <f t="shared" si="313"/>
        <v>2.5</v>
      </c>
      <c r="AG3537" s="580">
        <f t="shared" si="314"/>
        <v>0</v>
      </c>
      <c r="AH3537" s="580">
        <f t="shared" si="315"/>
        <v>0</v>
      </c>
    </row>
    <row r="3538" spans="28:34">
      <c r="AB3538" s="580">
        <f>HLOOKUP("*"&amp;'Output annual'!$AC$2&amp;'Output annual'!$AD$2&amp;"*Zone People Number Of Occupants [](Hourly)",'Eplus results'!$1:$1048576,ROW(),FALSE)</f>
        <v>0</v>
      </c>
      <c r="AC3538" s="580">
        <f>HLOOKUP("*"&amp;'Output annual'!$AC$2&amp;'Output annual'!$AD$2&amp;"*FangerPMV(Hourly)",'Eplus results'!$1:$1048576,ROW(),FALSE)</f>
        <v>0</v>
      </c>
      <c r="AD3538" s="580">
        <f t="shared" si="311"/>
        <v>5</v>
      </c>
      <c r="AE3538" s="580">
        <f t="shared" si="312"/>
        <v>2.5</v>
      </c>
      <c r="AF3538" s="580">
        <f t="shared" si="313"/>
        <v>2.5</v>
      </c>
      <c r="AG3538" s="580">
        <f t="shared" si="314"/>
        <v>0</v>
      </c>
      <c r="AH3538" s="580">
        <f t="shared" si="315"/>
        <v>0</v>
      </c>
    </row>
    <row r="3539" spans="28:34">
      <c r="AB3539" s="580">
        <f>HLOOKUP("*"&amp;'Output annual'!$AC$2&amp;'Output annual'!$AD$2&amp;"*Zone People Number Of Occupants [](Hourly)",'Eplus results'!$1:$1048576,ROW(),FALSE)</f>
        <v>0</v>
      </c>
      <c r="AC3539" s="580">
        <f>HLOOKUP("*"&amp;'Output annual'!$AC$2&amp;'Output annual'!$AD$2&amp;"*FangerPMV(Hourly)",'Eplus results'!$1:$1048576,ROW(),FALSE)</f>
        <v>0</v>
      </c>
      <c r="AD3539" s="580">
        <f t="shared" si="311"/>
        <v>5</v>
      </c>
      <c r="AE3539" s="580">
        <f t="shared" si="312"/>
        <v>2.5</v>
      </c>
      <c r="AF3539" s="580">
        <f t="shared" si="313"/>
        <v>2.5</v>
      </c>
      <c r="AG3539" s="580">
        <f t="shared" si="314"/>
        <v>0</v>
      </c>
      <c r="AH3539" s="580">
        <f t="shared" si="315"/>
        <v>0</v>
      </c>
    </row>
    <row r="3540" spans="28:34">
      <c r="AB3540" s="580">
        <f>HLOOKUP("*"&amp;'Output annual'!$AC$2&amp;'Output annual'!$AD$2&amp;"*Zone People Number Of Occupants [](Hourly)",'Eplus results'!$1:$1048576,ROW(),FALSE)</f>
        <v>0</v>
      </c>
      <c r="AC3540" s="580">
        <f>HLOOKUP("*"&amp;'Output annual'!$AC$2&amp;'Output annual'!$AD$2&amp;"*FangerPMV(Hourly)",'Eplus results'!$1:$1048576,ROW(),FALSE)</f>
        <v>0</v>
      </c>
      <c r="AD3540" s="580">
        <f t="shared" si="311"/>
        <v>5</v>
      </c>
      <c r="AE3540" s="580">
        <f t="shared" si="312"/>
        <v>2.5</v>
      </c>
      <c r="AF3540" s="580">
        <f t="shared" si="313"/>
        <v>2.5</v>
      </c>
      <c r="AG3540" s="580">
        <f t="shared" si="314"/>
        <v>0</v>
      </c>
      <c r="AH3540" s="580">
        <f t="shared" si="315"/>
        <v>0</v>
      </c>
    </row>
    <row r="3541" spans="28:34">
      <c r="AB3541" s="580">
        <f>HLOOKUP("*"&amp;'Output annual'!$AC$2&amp;'Output annual'!$AD$2&amp;"*Zone People Number Of Occupants [](Hourly)",'Eplus results'!$1:$1048576,ROW(),FALSE)</f>
        <v>0</v>
      </c>
      <c r="AC3541" s="580">
        <f>HLOOKUP("*"&amp;'Output annual'!$AC$2&amp;'Output annual'!$AD$2&amp;"*FangerPMV(Hourly)",'Eplus results'!$1:$1048576,ROW(),FALSE)</f>
        <v>0</v>
      </c>
      <c r="AD3541" s="580">
        <f t="shared" si="311"/>
        <v>5</v>
      </c>
      <c r="AE3541" s="580">
        <f t="shared" si="312"/>
        <v>2.5</v>
      </c>
      <c r="AF3541" s="580">
        <f t="shared" si="313"/>
        <v>2.5</v>
      </c>
      <c r="AG3541" s="580">
        <f t="shared" si="314"/>
        <v>0</v>
      </c>
      <c r="AH3541" s="580">
        <f t="shared" si="315"/>
        <v>0</v>
      </c>
    </row>
    <row r="3542" spans="28:34">
      <c r="AB3542" s="580">
        <f>HLOOKUP("*"&amp;'Output annual'!$AC$2&amp;'Output annual'!$AD$2&amp;"*Zone People Number Of Occupants [](Hourly)",'Eplus results'!$1:$1048576,ROW(),FALSE)</f>
        <v>0</v>
      </c>
      <c r="AC3542" s="580">
        <f>HLOOKUP("*"&amp;'Output annual'!$AC$2&amp;'Output annual'!$AD$2&amp;"*FangerPMV(Hourly)",'Eplus results'!$1:$1048576,ROW(),FALSE)</f>
        <v>0</v>
      </c>
      <c r="AD3542" s="580">
        <f t="shared" si="311"/>
        <v>5</v>
      </c>
      <c r="AE3542" s="580">
        <f t="shared" si="312"/>
        <v>2.5</v>
      </c>
      <c r="AF3542" s="580">
        <f t="shared" si="313"/>
        <v>2.5</v>
      </c>
      <c r="AG3542" s="580">
        <f t="shared" si="314"/>
        <v>0</v>
      </c>
      <c r="AH3542" s="580">
        <f t="shared" si="315"/>
        <v>0</v>
      </c>
    </row>
    <row r="3543" spans="28:34">
      <c r="AB3543" s="580">
        <f>HLOOKUP("*"&amp;'Output annual'!$AC$2&amp;'Output annual'!$AD$2&amp;"*Zone People Number Of Occupants [](Hourly)",'Eplus results'!$1:$1048576,ROW(),FALSE)</f>
        <v>0</v>
      </c>
      <c r="AC3543" s="580">
        <f>HLOOKUP("*"&amp;'Output annual'!$AC$2&amp;'Output annual'!$AD$2&amp;"*FangerPMV(Hourly)",'Eplus results'!$1:$1048576,ROW(),FALSE)</f>
        <v>0</v>
      </c>
      <c r="AD3543" s="580">
        <f t="shared" si="311"/>
        <v>5</v>
      </c>
      <c r="AE3543" s="580">
        <f t="shared" si="312"/>
        <v>2.5</v>
      </c>
      <c r="AF3543" s="580">
        <f t="shared" si="313"/>
        <v>2.5</v>
      </c>
      <c r="AG3543" s="580">
        <f t="shared" si="314"/>
        <v>0</v>
      </c>
      <c r="AH3543" s="580">
        <f t="shared" si="315"/>
        <v>0</v>
      </c>
    </row>
    <row r="3544" spans="28:34">
      <c r="AB3544" s="580">
        <f>HLOOKUP("*"&amp;'Output annual'!$AC$2&amp;'Output annual'!$AD$2&amp;"*Zone People Number Of Occupants [](Hourly)",'Eplus results'!$1:$1048576,ROW(),FALSE)</f>
        <v>0</v>
      </c>
      <c r="AC3544" s="580">
        <f>HLOOKUP("*"&amp;'Output annual'!$AC$2&amp;'Output annual'!$AD$2&amp;"*FangerPMV(Hourly)",'Eplus results'!$1:$1048576,ROW(),FALSE)</f>
        <v>0</v>
      </c>
      <c r="AD3544" s="580">
        <f t="shared" si="311"/>
        <v>5</v>
      </c>
      <c r="AE3544" s="580">
        <f t="shared" si="312"/>
        <v>2.5</v>
      </c>
      <c r="AF3544" s="580">
        <f t="shared" si="313"/>
        <v>2.5</v>
      </c>
      <c r="AG3544" s="580">
        <f t="shared" si="314"/>
        <v>0</v>
      </c>
      <c r="AH3544" s="580">
        <f t="shared" si="315"/>
        <v>0</v>
      </c>
    </row>
    <row r="3545" spans="28:34">
      <c r="AB3545" s="580">
        <f>HLOOKUP("*"&amp;'Output annual'!$AC$2&amp;'Output annual'!$AD$2&amp;"*Zone People Number Of Occupants [](Hourly)",'Eplus results'!$1:$1048576,ROW(),FALSE)</f>
        <v>0</v>
      </c>
      <c r="AC3545" s="580">
        <f>HLOOKUP("*"&amp;'Output annual'!$AC$2&amp;'Output annual'!$AD$2&amp;"*FangerPMV(Hourly)",'Eplus results'!$1:$1048576,ROW(),FALSE)</f>
        <v>0</v>
      </c>
      <c r="AD3545" s="580">
        <f t="shared" si="311"/>
        <v>5</v>
      </c>
      <c r="AE3545" s="580">
        <f t="shared" si="312"/>
        <v>2.5</v>
      </c>
      <c r="AF3545" s="580">
        <f t="shared" si="313"/>
        <v>2.5</v>
      </c>
      <c r="AG3545" s="580">
        <f t="shared" si="314"/>
        <v>0</v>
      </c>
      <c r="AH3545" s="580">
        <f t="shared" si="315"/>
        <v>0</v>
      </c>
    </row>
    <row r="3546" spans="28:34">
      <c r="AB3546" s="580">
        <f>HLOOKUP("*"&amp;'Output annual'!$AC$2&amp;'Output annual'!$AD$2&amp;"*Zone People Number Of Occupants [](Hourly)",'Eplus results'!$1:$1048576,ROW(),FALSE)</f>
        <v>0</v>
      </c>
      <c r="AC3546" s="580">
        <f>HLOOKUP("*"&amp;'Output annual'!$AC$2&amp;'Output annual'!$AD$2&amp;"*FangerPMV(Hourly)",'Eplus results'!$1:$1048576,ROW(),FALSE)</f>
        <v>0</v>
      </c>
      <c r="AD3546" s="580">
        <f t="shared" si="311"/>
        <v>5</v>
      </c>
      <c r="AE3546" s="580">
        <f t="shared" si="312"/>
        <v>2.5</v>
      </c>
      <c r="AF3546" s="580">
        <f t="shared" si="313"/>
        <v>2.5</v>
      </c>
      <c r="AG3546" s="580">
        <f t="shared" si="314"/>
        <v>0</v>
      </c>
      <c r="AH3546" s="580">
        <f t="shared" si="315"/>
        <v>0</v>
      </c>
    </row>
    <row r="3547" spans="28:34">
      <c r="AB3547" s="580">
        <f>HLOOKUP("*"&amp;'Output annual'!$AC$2&amp;'Output annual'!$AD$2&amp;"*Zone People Number Of Occupants [](Hourly)",'Eplus results'!$1:$1048576,ROW(),FALSE)</f>
        <v>0</v>
      </c>
      <c r="AC3547" s="580">
        <f>HLOOKUP("*"&amp;'Output annual'!$AC$2&amp;'Output annual'!$AD$2&amp;"*FangerPMV(Hourly)",'Eplus results'!$1:$1048576,ROW(),FALSE)</f>
        <v>0</v>
      </c>
      <c r="AD3547" s="580">
        <f t="shared" si="311"/>
        <v>5</v>
      </c>
      <c r="AE3547" s="580">
        <f t="shared" si="312"/>
        <v>2.5</v>
      </c>
      <c r="AF3547" s="580">
        <f t="shared" si="313"/>
        <v>2.5</v>
      </c>
      <c r="AG3547" s="580">
        <f t="shared" si="314"/>
        <v>0</v>
      </c>
      <c r="AH3547" s="580">
        <f t="shared" si="315"/>
        <v>0</v>
      </c>
    </row>
    <row r="3548" spans="28:34">
      <c r="AB3548" s="580">
        <f>HLOOKUP("*"&amp;'Output annual'!$AC$2&amp;'Output annual'!$AD$2&amp;"*Zone People Number Of Occupants [](Hourly)",'Eplus results'!$1:$1048576,ROW(),FALSE)</f>
        <v>0</v>
      </c>
      <c r="AC3548" s="580">
        <f>HLOOKUP("*"&amp;'Output annual'!$AC$2&amp;'Output annual'!$AD$2&amp;"*FangerPMV(Hourly)",'Eplus results'!$1:$1048576,ROW(),FALSE)</f>
        <v>0</v>
      </c>
      <c r="AD3548" s="580">
        <f t="shared" si="311"/>
        <v>5</v>
      </c>
      <c r="AE3548" s="580">
        <f t="shared" si="312"/>
        <v>2.5</v>
      </c>
      <c r="AF3548" s="580">
        <f t="shared" si="313"/>
        <v>2.5</v>
      </c>
      <c r="AG3548" s="580">
        <f t="shared" si="314"/>
        <v>0</v>
      </c>
      <c r="AH3548" s="580">
        <f t="shared" si="315"/>
        <v>0</v>
      </c>
    </row>
    <row r="3549" spans="28:34">
      <c r="AB3549" s="580">
        <f>HLOOKUP("*"&amp;'Output annual'!$AC$2&amp;'Output annual'!$AD$2&amp;"*Zone People Number Of Occupants [](Hourly)",'Eplus results'!$1:$1048576,ROW(),FALSE)</f>
        <v>0</v>
      </c>
      <c r="AC3549" s="580">
        <f>HLOOKUP("*"&amp;'Output annual'!$AC$2&amp;'Output annual'!$AD$2&amp;"*FangerPMV(Hourly)",'Eplus results'!$1:$1048576,ROW(),FALSE)</f>
        <v>0</v>
      </c>
      <c r="AD3549" s="580">
        <f t="shared" si="311"/>
        <v>5</v>
      </c>
      <c r="AE3549" s="580">
        <f t="shared" si="312"/>
        <v>2.5</v>
      </c>
      <c r="AF3549" s="580">
        <f t="shared" si="313"/>
        <v>2.5</v>
      </c>
      <c r="AG3549" s="580">
        <f t="shared" si="314"/>
        <v>0</v>
      </c>
      <c r="AH3549" s="580">
        <f t="shared" si="315"/>
        <v>0</v>
      </c>
    </row>
    <row r="3550" spans="28:34">
      <c r="AB3550" s="580">
        <f>HLOOKUP("*"&amp;'Output annual'!$AC$2&amp;'Output annual'!$AD$2&amp;"*Zone People Number Of Occupants [](Hourly)",'Eplus results'!$1:$1048576,ROW(),FALSE)</f>
        <v>0</v>
      </c>
      <c r="AC3550" s="580">
        <f>HLOOKUP("*"&amp;'Output annual'!$AC$2&amp;'Output annual'!$AD$2&amp;"*FangerPMV(Hourly)",'Eplus results'!$1:$1048576,ROW(),FALSE)</f>
        <v>0</v>
      </c>
      <c r="AD3550" s="580">
        <f t="shared" si="311"/>
        <v>5</v>
      </c>
      <c r="AE3550" s="580">
        <f t="shared" si="312"/>
        <v>2.5</v>
      </c>
      <c r="AF3550" s="580">
        <f t="shared" si="313"/>
        <v>2.5</v>
      </c>
      <c r="AG3550" s="580">
        <f t="shared" si="314"/>
        <v>0</v>
      </c>
      <c r="AH3550" s="580">
        <f t="shared" si="315"/>
        <v>0</v>
      </c>
    </row>
    <row r="3551" spans="28:34">
      <c r="AB3551" s="580">
        <f>HLOOKUP("*"&amp;'Output annual'!$AC$2&amp;'Output annual'!$AD$2&amp;"*Zone People Number Of Occupants [](Hourly)",'Eplus results'!$1:$1048576,ROW(),FALSE)</f>
        <v>0</v>
      </c>
      <c r="AC3551" s="580">
        <f>HLOOKUP("*"&amp;'Output annual'!$AC$2&amp;'Output annual'!$AD$2&amp;"*FangerPMV(Hourly)",'Eplus results'!$1:$1048576,ROW(),FALSE)</f>
        <v>0</v>
      </c>
      <c r="AD3551" s="580">
        <f t="shared" si="311"/>
        <v>5</v>
      </c>
      <c r="AE3551" s="580">
        <f t="shared" si="312"/>
        <v>2.5</v>
      </c>
      <c r="AF3551" s="580">
        <f t="shared" si="313"/>
        <v>2.5</v>
      </c>
      <c r="AG3551" s="580">
        <f t="shared" si="314"/>
        <v>0</v>
      </c>
      <c r="AH3551" s="580">
        <f t="shared" si="315"/>
        <v>0</v>
      </c>
    </row>
    <row r="3552" spans="28:34">
      <c r="AB3552" s="580">
        <f>HLOOKUP("*"&amp;'Output annual'!$AC$2&amp;'Output annual'!$AD$2&amp;"*Zone People Number Of Occupants [](Hourly)",'Eplus results'!$1:$1048576,ROW(),FALSE)</f>
        <v>0</v>
      </c>
      <c r="AC3552" s="580">
        <f>HLOOKUP("*"&amp;'Output annual'!$AC$2&amp;'Output annual'!$AD$2&amp;"*FangerPMV(Hourly)",'Eplus results'!$1:$1048576,ROW(),FALSE)</f>
        <v>0</v>
      </c>
      <c r="AD3552" s="580">
        <f t="shared" si="311"/>
        <v>5</v>
      </c>
      <c r="AE3552" s="580">
        <f t="shared" si="312"/>
        <v>2.5</v>
      </c>
      <c r="AF3552" s="580">
        <f t="shared" si="313"/>
        <v>2.5</v>
      </c>
      <c r="AG3552" s="580">
        <f t="shared" si="314"/>
        <v>0</v>
      </c>
      <c r="AH3552" s="580">
        <f t="shared" si="315"/>
        <v>0</v>
      </c>
    </row>
    <row r="3553" spans="28:34">
      <c r="AB3553" s="580">
        <f>HLOOKUP("*"&amp;'Output annual'!$AC$2&amp;'Output annual'!$AD$2&amp;"*Zone People Number Of Occupants [](Hourly)",'Eplus results'!$1:$1048576,ROW(),FALSE)</f>
        <v>0</v>
      </c>
      <c r="AC3553" s="580">
        <f>HLOOKUP("*"&amp;'Output annual'!$AC$2&amp;'Output annual'!$AD$2&amp;"*FangerPMV(Hourly)",'Eplus results'!$1:$1048576,ROW(),FALSE)</f>
        <v>0</v>
      </c>
      <c r="AD3553" s="580">
        <f t="shared" si="311"/>
        <v>5</v>
      </c>
      <c r="AE3553" s="580">
        <f t="shared" si="312"/>
        <v>2.5</v>
      </c>
      <c r="AF3553" s="580">
        <f t="shared" si="313"/>
        <v>2.5</v>
      </c>
      <c r="AG3553" s="580">
        <f t="shared" si="314"/>
        <v>0</v>
      </c>
      <c r="AH3553" s="580">
        <f t="shared" si="315"/>
        <v>0</v>
      </c>
    </row>
    <row r="3554" spans="28:34">
      <c r="AB3554" s="580">
        <f>HLOOKUP("*"&amp;'Output annual'!$AC$2&amp;'Output annual'!$AD$2&amp;"*Zone People Number Of Occupants [](Hourly)",'Eplus results'!$1:$1048576,ROW(),FALSE)</f>
        <v>0</v>
      </c>
      <c r="AC3554" s="580">
        <f>HLOOKUP("*"&amp;'Output annual'!$AC$2&amp;'Output annual'!$AD$2&amp;"*FangerPMV(Hourly)",'Eplus results'!$1:$1048576,ROW(),FALSE)</f>
        <v>0</v>
      </c>
      <c r="AD3554" s="580">
        <f t="shared" si="311"/>
        <v>5</v>
      </c>
      <c r="AE3554" s="580">
        <f t="shared" si="312"/>
        <v>2.5</v>
      </c>
      <c r="AF3554" s="580">
        <f t="shared" si="313"/>
        <v>2.5</v>
      </c>
      <c r="AG3554" s="580">
        <f t="shared" si="314"/>
        <v>0</v>
      </c>
      <c r="AH3554" s="580">
        <f t="shared" si="315"/>
        <v>0</v>
      </c>
    </row>
    <row r="3555" spans="28:34">
      <c r="AB3555" s="580">
        <f>HLOOKUP("*"&amp;'Output annual'!$AC$2&amp;'Output annual'!$AD$2&amp;"*Zone People Number Of Occupants [](Hourly)",'Eplus results'!$1:$1048576,ROW(),FALSE)</f>
        <v>0</v>
      </c>
      <c r="AC3555" s="580">
        <f>HLOOKUP("*"&amp;'Output annual'!$AC$2&amp;'Output annual'!$AD$2&amp;"*FangerPMV(Hourly)",'Eplus results'!$1:$1048576,ROW(),FALSE)</f>
        <v>0</v>
      </c>
      <c r="AD3555" s="580">
        <f t="shared" si="311"/>
        <v>5</v>
      </c>
      <c r="AE3555" s="580">
        <f t="shared" si="312"/>
        <v>2.5</v>
      </c>
      <c r="AF3555" s="580">
        <f t="shared" si="313"/>
        <v>2.5</v>
      </c>
      <c r="AG3555" s="580">
        <f t="shared" si="314"/>
        <v>0</v>
      </c>
      <c r="AH3555" s="580">
        <f t="shared" si="315"/>
        <v>0</v>
      </c>
    </row>
    <row r="3556" spans="28:34">
      <c r="AB3556" s="580">
        <f>HLOOKUP("*"&amp;'Output annual'!$AC$2&amp;'Output annual'!$AD$2&amp;"*Zone People Number Of Occupants [](Hourly)",'Eplus results'!$1:$1048576,ROW(),FALSE)</f>
        <v>0</v>
      </c>
      <c r="AC3556" s="580">
        <f>HLOOKUP("*"&amp;'Output annual'!$AC$2&amp;'Output annual'!$AD$2&amp;"*FangerPMV(Hourly)",'Eplus results'!$1:$1048576,ROW(),FALSE)</f>
        <v>0</v>
      </c>
      <c r="AD3556" s="580">
        <f t="shared" si="311"/>
        <v>5</v>
      </c>
      <c r="AE3556" s="580">
        <f t="shared" si="312"/>
        <v>2.5</v>
      </c>
      <c r="AF3556" s="580">
        <f t="shared" si="313"/>
        <v>2.5</v>
      </c>
      <c r="AG3556" s="580">
        <f t="shared" si="314"/>
        <v>0</v>
      </c>
      <c r="AH3556" s="580">
        <f t="shared" si="315"/>
        <v>0</v>
      </c>
    </row>
    <row r="3557" spans="28:34">
      <c r="AB3557" s="580">
        <f>HLOOKUP("*"&amp;'Output annual'!$AC$2&amp;'Output annual'!$AD$2&amp;"*Zone People Number Of Occupants [](Hourly)",'Eplus results'!$1:$1048576,ROW(),FALSE)</f>
        <v>0</v>
      </c>
      <c r="AC3557" s="580">
        <f>HLOOKUP("*"&amp;'Output annual'!$AC$2&amp;'Output annual'!$AD$2&amp;"*FangerPMV(Hourly)",'Eplus results'!$1:$1048576,ROW(),FALSE)</f>
        <v>0</v>
      </c>
      <c r="AD3557" s="580">
        <f t="shared" si="311"/>
        <v>5</v>
      </c>
      <c r="AE3557" s="580">
        <f t="shared" si="312"/>
        <v>2.5</v>
      </c>
      <c r="AF3557" s="580">
        <f t="shared" si="313"/>
        <v>2.5</v>
      </c>
      <c r="AG3557" s="580">
        <f t="shared" si="314"/>
        <v>0</v>
      </c>
      <c r="AH3557" s="580">
        <f t="shared" si="315"/>
        <v>0</v>
      </c>
    </row>
    <row r="3558" spans="28:34">
      <c r="AB3558" s="580">
        <f>HLOOKUP("*"&amp;'Output annual'!$AC$2&amp;'Output annual'!$AD$2&amp;"*Zone People Number Of Occupants [](Hourly)",'Eplus results'!$1:$1048576,ROW(),FALSE)</f>
        <v>0</v>
      </c>
      <c r="AC3558" s="580">
        <f>HLOOKUP("*"&amp;'Output annual'!$AC$2&amp;'Output annual'!$AD$2&amp;"*FangerPMV(Hourly)",'Eplus results'!$1:$1048576,ROW(),FALSE)</f>
        <v>0</v>
      </c>
      <c r="AD3558" s="580">
        <f t="shared" si="311"/>
        <v>5</v>
      </c>
      <c r="AE3558" s="580">
        <f t="shared" si="312"/>
        <v>2.5</v>
      </c>
      <c r="AF3558" s="580">
        <f t="shared" si="313"/>
        <v>2.5</v>
      </c>
      <c r="AG3558" s="580">
        <f t="shared" si="314"/>
        <v>0</v>
      </c>
      <c r="AH3558" s="580">
        <f t="shared" si="315"/>
        <v>0</v>
      </c>
    </row>
    <row r="3559" spans="28:34">
      <c r="AB3559" s="580">
        <f>HLOOKUP("*"&amp;'Output annual'!$AC$2&amp;'Output annual'!$AD$2&amp;"*Zone People Number Of Occupants [](Hourly)",'Eplus results'!$1:$1048576,ROW(),FALSE)</f>
        <v>0</v>
      </c>
      <c r="AC3559" s="580">
        <f>HLOOKUP("*"&amp;'Output annual'!$AC$2&amp;'Output annual'!$AD$2&amp;"*FangerPMV(Hourly)",'Eplus results'!$1:$1048576,ROW(),FALSE)</f>
        <v>0</v>
      </c>
      <c r="AD3559" s="580">
        <f t="shared" si="311"/>
        <v>5</v>
      </c>
      <c r="AE3559" s="580">
        <f t="shared" si="312"/>
        <v>2.5</v>
      </c>
      <c r="AF3559" s="580">
        <f t="shared" si="313"/>
        <v>2.5</v>
      </c>
      <c r="AG3559" s="580">
        <f t="shared" si="314"/>
        <v>0</v>
      </c>
      <c r="AH3559" s="580">
        <f t="shared" si="315"/>
        <v>0</v>
      </c>
    </row>
    <row r="3560" spans="28:34">
      <c r="AB3560" s="580">
        <f>HLOOKUP("*"&amp;'Output annual'!$AC$2&amp;'Output annual'!$AD$2&amp;"*Zone People Number Of Occupants [](Hourly)",'Eplus results'!$1:$1048576,ROW(),FALSE)</f>
        <v>0</v>
      </c>
      <c r="AC3560" s="580">
        <f>HLOOKUP("*"&amp;'Output annual'!$AC$2&amp;'Output annual'!$AD$2&amp;"*FangerPMV(Hourly)",'Eplus results'!$1:$1048576,ROW(),FALSE)</f>
        <v>0</v>
      </c>
      <c r="AD3560" s="580">
        <f t="shared" si="311"/>
        <v>5</v>
      </c>
      <c r="AE3560" s="580">
        <f t="shared" si="312"/>
        <v>2.5</v>
      </c>
      <c r="AF3560" s="580">
        <f t="shared" si="313"/>
        <v>2.5</v>
      </c>
      <c r="AG3560" s="580">
        <f t="shared" si="314"/>
        <v>0</v>
      </c>
      <c r="AH3560" s="580">
        <f t="shared" si="315"/>
        <v>0</v>
      </c>
    </row>
    <row r="3561" spans="28:34">
      <c r="AB3561" s="580">
        <f>HLOOKUP("*"&amp;'Output annual'!$AC$2&amp;'Output annual'!$AD$2&amp;"*Zone People Number Of Occupants [](Hourly)",'Eplus results'!$1:$1048576,ROW(),FALSE)</f>
        <v>0</v>
      </c>
      <c r="AC3561" s="580">
        <f>HLOOKUP("*"&amp;'Output annual'!$AC$2&amp;'Output annual'!$AD$2&amp;"*FangerPMV(Hourly)",'Eplus results'!$1:$1048576,ROW(),FALSE)</f>
        <v>0</v>
      </c>
      <c r="AD3561" s="580">
        <f t="shared" si="311"/>
        <v>5</v>
      </c>
      <c r="AE3561" s="580">
        <f t="shared" si="312"/>
        <v>2.5</v>
      </c>
      <c r="AF3561" s="580">
        <f t="shared" si="313"/>
        <v>2.5</v>
      </c>
      <c r="AG3561" s="580">
        <f t="shared" si="314"/>
        <v>0</v>
      </c>
      <c r="AH3561" s="580">
        <f t="shared" si="315"/>
        <v>0</v>
      </c>
    </row>
    <row r="3562" spans="28:34">
      <c r="AB3562" s="580">
        <f>HLOOKUP("*"&amp;'Output annual'!$AC$2&amp;'Output annual'!$AD$2&amp;"*Zone People Number Of Occupants [](Hourly)",'Eplus results'!$1:$1048576,ROW(),FALSE)</f>
        <v>0</v>
      </c>
      <c r="AC3562" s="580">
        <f>HLOOKUP("*"&amp;'Output annual'!$AC$2&amp;'Output annual'!$AD$2&amp;"*FangerPMV(Hourly)",'Eplus results'!$1:$1048576,ROW(),FALSE)</f>
        <v>0</v>
      </c>
      <c r="AD3562" s="580">
        <f t="shared" si="311"/>
        <v>5</v>
      </c>
      <c r="AE3562" s="580">
        <f t="shared" si="312"/>
        <v>2.5</v>
      </c>
      <c r="AF3562" s="580">
        <f t="shared" si="313"/>
        <v>2.5</v>
      </c>
      <c r="AG3562" s="580">
        <f t="shared" si="314"/>
        <v>0</v>
      </c>
      <c r="AH3562" s="580">
        <f t="shared" si="315"/>
        <v>0</v>
      </c>
    </row>
    <row r="3563" spans="28:34">
      <c r="AB3563" s="580">
        <f>HLOOKUP("*"&amp;'Output annual'!$AC$2&amp;'Output annual'!$AD$2&amp;"*Zone People Number Of Occupants [](Hourly)",'Eplus results'!$1:$1048576,ROW(),FALSE)</f>
        <v>0</v>
      </c>
      <c r="AC3563" s="580">
        <f>HLOOKUP("*"&amp;'Output annual'!$AC$2&amp;'Output annual'!$AD$2&amp;"*FangerPMV(Hourly)",'Eplus results'!$1:$1048576,ROW(),FALSE)</f>
        <v>0</v>
      </c>
      <c r="AD3563" s="580">
        <f t="shared" si="311"/>
        <v>5</v>
      </c>
      <c r="AE3563" s="580">
        <f t="shared" si="312"/>
        <v>2.5</v>
      </c>
      <c r="AF3563" s="580">
        <f t="shared" si="313"/>
        <v>2.5</v>
      </c>
      <c r="AG3563" s="580">
        <f t="shared" si="314"/>
        <v>0</v>
      </c>
      <c r="AH3563" s="580">
        <f t="shared" si="315"/>
        <v>0</v>
      </c>
    </row>
    <row r="3564" spans="28:34">
      <c r="AB3564" s="580">
        <f>HLOOKUP("*"&amp;'Output annual'!$AC$2&amp;'Output annual'!$AD$2&amp;"*Zone People Number Of Occupants [](Hourly)",'Eplus results'!$1:$1048576,ROW(),FALSE)</f>
        <v>0</v>
      </c>
      <c r="AC3564" s="580">
        <f>HLOOKUP("*"&amp;'Output annual'!$AC$2&amp;'Output annual'!$AD$2&amp;"*FangerPMV(Hourly)",'Eplus results'!$1:$1048576,ROW(),FALSE)</f>
        <v>0</v>
      </c>
      <c r="AD3564" s="580">
        <f t="shared" si="311"/>
        <v>5</v>
      </c>
      <c r="AE3564" s="580">
        <f t="shared" si="312"/>
        <v>2.5</v>
      </c>
      <c r="AF3564" s="580">
        <f t="shared" si="313"/>
        <v>2.5</v>
      </c>
      <c r="AG3564" s="580">
        <f t="shared" si="314"/>
        <v>0</v>
      </c>
      <c r="AH3564" s="580">
        <f t="shared" si="315"/>
        <v>0</v>
      </c>
    </row>
    <row r="3565" spans="28:34">
      <c r="AB3565" s="580">
        <f>HLOOKUP("*"&amp;'Output annual'!$AC$2&amp;'Output annual'!$AD$2&amp;"*Zone People Number Of Occupants [](Hourly)",'Eplus results'!$1:$1048576,ROW(),FALSE)</f>
        <v>0</v>
      </c>
      <c r="AC3565" s="580">
        <f>HLOOKUP("*"&amp;'Output annual'!$AC$2&amp;'Output annual'!$AD$2&amp;"*FangerPMV(Hourly)",'Eplus results'!$1:$1048576,ROW(),FALSE)</f>
        <v>0</v>
      </c>
      <c r="AD3565" s="580">
        <f t="shared" si="311"/>
        <v>5</v>
      </c>
      <c r="AE3565" s="580">
        <f t="shared" si="312"/>
        <v>2.5</v>
      </c>
      <c r="AF3565" s="580">
        <f t="shared" si="313"/>
        <v>2.5</v>
      </c>
      <c r="AG3565" s="580">
        <f t="shared" si="314"/>
        <v>0</v>
      </c>
      <c r="AH3565" s="580">
        <f t="shared" si="315"/>
        <v>0</v>
      </c>
    </row>
    <row r="3566" spans="28:34">
      <c r="AB3566" s="580">
        <f>HLOOKUP("*"&amp;'Output annual'!$AC$2&amp;'Output annual'!$AD$2&amp;"*Zone People Number Of Occupants [](Hourly)",'Eplus results'!$1:$1048576,ROW(),FALSE)</f>
        <v>0</v>
      </c>
      <c r="AC3566" s="580">
        <f>HLOOKUP("*"&amp;'Output annual'!$AC$2&amp;'Output annual'!$AD$2&amp;"*FangerPMV(Hourly)",'Eplus results'!$1:$1048576,ROW(),FALSE)</f>
        <v>0</v>
      </c>
      <c r="AD3566" s="580">
        <f t="shared" si="311"/>
        <v>5</v>
      </c>
      <c r="AE3566" s="580">
        <f t="shared" si="312"/>
        <v>2.5</v>
      </c>
      <c r="AF3566" s="580">
        <f t="shared" si="313"/>
        <v>2.5</v>
      </c>
      <c r="AG3566" s="580">
        <f t="shared" si="314"/>
        <v>0</v>
      </c>
      <c r="AH3566" s="580">
        <f t="shared" si="315"/>
        <v>0</v>
      </c>
    </row>
    <row r="3567" spans="28:34">
      <c r="AB3567" s="580">
        <f>HLOOKUP("*"&amp;'Output annual'!$AC$2&amp;'Output annual'!$AD$2&amp;"*Zone People Number Of Occupants [](Hourly)",'Eplus results'!$1:$1048576,ROW(),FALSE)</f>
        <v>0</v>
      </c>
      <c r="AC3567" s="580">
        <f>HLOOKUP("*"&amp;'Output annual'!$AC$2&amp;'Output annual'!$AD$2&amp;"*FangerPMV(Hourly)",'Eplus results'!$1:$1048576,ROW(),FALSE)</f>
        <v>0</v>
      </c>
      <c r="AD3567" s="580">
        <f t="shared" si="311"/>
        <v>5</v>
      </c>
      <c r="AE3567" s="580">
        <f t="shared" si="312"/>
        <v>2.5</v>
      </c>
      <c r="AF3567" s="580">
        <f t="shared" si="313"/>
        <v>2.5</v>
      </c>
      <c r="AG3567" s="580">
        <f t="shared" si="314"/>
        <v>0</v>
      </c>
      <c r="AH3567" s="580">
        <f t="shared" si="315"/>
        <v>0</v>
      </c>
    </row>
    <row r="3568" spans="28:34">
      <c r="AB3568" s="580">
        <f>HLOOKUP("*"&amp;'Output annual'!$AC$2&amp;'Output annual'!$AD$2&amp;"*Zone People Number Of Occupants [](Hourly)",'Eplus results'!$1:$1048576,ROW(),FALSE)</f>
        <v>0</v>
      </c>
      <c r="AC3568" s="580">
        <f>HLOOKUP("*"&amp;'Output annual'!$AC$2&amp;'Output annual'!$AD$2&amp;"*FangerPMV(Hourly)",'Eplus results'!$1:$1048576,ROW(),FALSE)</f>
        <v>0</v>
      </c>
      <c r="AD3568" s="580">
        <f t="shared" si="311"/>
        <v>5</v>
      </c>
      <c r="AE3568" s="580">
        <f t="shared" si="312"/>
        <v>2.5</v>
      </c>
      <c r="AF3568" s="580">
        <f t="shared" si="313"/>
        <v>2.5</v>
      </c>
      <c r="AG3568" s="580">
        <f t="shared" si="314"/>
        <v>0</v>
      </c>
      <c r="AH3568" s="580">
        <f t="shared" si="315"/>
        <v>0</v>
      </c>
    </row>
    <row r="3569" spans="28:34">
      <c r="AB3569" s="580">
        <f>HLOOKUP("*"&amp;'Output annual'!$AC$2&amp;'Output annual'!$AD$2&amp;"*Zone People Number Of Occupants [](Hourly)",'Eplus results'!$1:$1048576,ROW(),FALSE)</f>
        <v>0</v>
      </c>
      <c r="AC3569" s="580">
        <f>HLOOKUP("*"&amp;'Output annual'!$AC$2&amp;'Output annual'!$AD$2&amp;"*FangerPMV(Hourly)",'Eplus results'!$1:$1048576,ROW(),FALSE)</f>
        <v>0</v>
      </c>
      <c r="AD3569" s="580">
        <f t="shared" si="311"/>
        <v>5</v>
      </c>
      <c r="AE3569" s="580">
        <f t="shared" si="312"/>
        <v>2.5</v>
      </c>
      <c r="AF3569" s="580">
        <f t="shared" si="313"/>
        <v>2.5</v>
      </c>
      <c r="AG3569" s="580">
        <f t="shared" si="314"/>
        <v>0</v>
      </c>
      <c r="AH3569" s="580">
        <f t="shared" si="315"/>
        <v>0</v>
      </c>
    </row>
    <row r="3570" spans="28:34">
      <c r="AB3570" s="580">
        <f>HLOOKUP("*"&amp;'Output annual'!$AC$2&amp;'Output annual'!$AD$2&amp;"*Zone People Number Of Occupants [](Hourly)",'Eplus results'!$1:$1048576,ROW(),FALSE)</f>
        <v>0</v>
      </c>
      <c r="AC3570" s="580">
        <f>HLOOKUP("*"&amp;'Output annual'!$AC$2&amp;'Output annual'!$AD$2&amp;"*FangerPMV(Hourly)",'Eplus results'!$1:$1048576,ROW(),FALSE)</f>
        <v>0</v>
      </c>
      <c r="AD3570" s="580">
        <f t="shared" si="311"/>
        <v>5</v>
      </c>
      <c r="AE3570" s="580">
        <f t="shared" si="312"/>
        <v>2.5</v>
      </c>
      <c r="AF3570" s="580">
        <f t="shared" si="313"/>
        <v>2.5</v>
      </c>
      <c r="AG3570" s="580">
        <f t="shared" si="314"/>
        <v>0</v>
      </c>
      <c r="AH3570" s="580">
        <f t="shared" si="315"/>
        <v>0</v>
      </c>
    </row>
    <row r="3571" spans="28:34">
      <c r="AB3571" s="580">
        <f>HLOOKUP("*"&amp;'Output annual'!$AC$2&amp;'Output annual'!$AD$2&amp;"*Zone People Number Of Occupants [](Hourly)",'Eplus results'!$1:$1048576,ROW(),FALSE)</f>
        <v>0</v>
      </c>
      <c r="AC3571" s="580">
        <f>HLOOKUP("*"&amp;'Output annual'!$AC$2&amp;'Output annual'!$AD$2&amp;"*FangerPMV(Hourly)",'Eplus results'!$1:$1048576,ROW(),FALSE)</f>
        <v>0</v>
      </c>
      <c r="AD3571" s="580">
        <f t="shared" si="311"/>
        <v>5</v>
      </c>
      <c r="AE3571" s="580">
        <f t="shared" si="312"/>
        <v>2.5</v>
      </c>
      <c r="AF3571" s="580">
        <f t="shared" si="313"/>
        <v>2.5</v>
      </c>
      <c r="AG3571" s="580">
        <f t="shared" si="314"/>
        <v>0</v>
      </c>
      <c r="AH3571" s="580">
        <f t="shared" si="315"/>
        <v>0</v>
      </c>
    </row>
    <row r="3572" spans="28:34">
      <c r="AB3572" s="580">
        <f>HLOOKUP("*"&amp;'Output annual'!$AC$2&amp;'Output annual'!$AD$2&amp;"*Zone People Number Of Occupants [](Hourly)",'Eplus results'!$1:$1048576,ROW(),FALSE)</f>
        <v>0</v>
      </c>
      <c r="AC3572" s="580">
        <f>HLOOKUP("*"&amp;'Output annual'!$AC$2&amp;'Output annual'!$AD$2&amp;"*FangerPMV(Hourly)",'Eplus results'!$1:$1048576,ROW(),FALSE)</f>
        <v>0</v>
      </c>
      <c r="AD3572" s="580">
        <f t="shared" si="311"/>
        <v>5</v>
      </c>
      <c r="AE3572" s="580">
        <f t="shared" si="312"/>
        <v>2.5</v>
      </c>
      <c r="AF3572" s="580">
        <f t="shared" si="313"/>
        <v>2.5</v>
      </c>
      <c r="AG3572" s="580">
        <f t="shared" si="314"/>
        <v>0</v>
      </c>
      <c r="AH3572" s="580">
        <f t="shared" si="315"/>
        <v>0</v>
      </c>
    </row>
    <row r="3573" spans="28:34">
      <c r="AB3573" s="580">
        <f>HLOOKUP("*"&amp;'Output annual'!$AC$2&amp;'Output annual'!$AD$2&amp;"*Zone People Number Of Occupants [](Hourly)",'Eplus results'!$1:$1048576,ROW(),FALSE)</f>
        <v>0</v>
      </c>
      <c r="AC3573" s="580">
        <f>HLOOKUP("*"&amp;'Output annual'!$AC$2&amp;'Output annual'!$AD$2&amp;"*FangerPMV(Hourly)",'Eplus results'!$1:$1048576,ROW(),FALSE)</f>
        <v>0</v>
      </c>
      <c r="AD3573" s="580">
        <f t="shared" si="311"/>
        <v>5</v>
      </c>
      <c r="AE3573" s="580">
        <f t="shared" si="312"/>
        <v>2.5</v>
      </c>
      <c r="AF3573" s="580">
        <f t="shared" si="313"/>
        <v>2.5</v>
      </c>
      <c r="AG3573" s="580">
        <f t="shared" si="314"/>
        <v>0</v>
      </c>
      <c r="AH3573" s="580">
        <f t="shared" si="315"/>
        <v>0</v>
      </c>
    </row>
    <row r="3574" spans="28:34">
      <c r="AB3574" s="580">
        <f>HLOOKUP("*"&amp;'Output annual'!$AC$2&amp;'Output annual'!$AD$2&amp;"*Zone People Number Of Occupants [](Hourly)",'Eplus results'!$1:$1048576,ROW(),FALSE)</f>
        <v>0</v>
      </c>
      <c r="AC3574" s="580">
        <f>HLOOKUP("*"&amp;'Output annual'!$AC$2&amp;'Output annual'!$AD$2&amp;"*FangerPMV(Hourly)",'Eplus results'!$1:$1048576,ROW(),FALSE)</f>
        <v>0</v>
      </c>
      <c r="AD3574" s="580">
        <f t="shared" si="311"/>
        <v>5</v>
      </c>
      <c r="AE3574" s="580">
        <f t="shared" si="312"/>
        <v>2.5</v>
      </c>
      <c r="AF3574" s="580">
        <f t="shared" si="313"/>
        <v>2.5</v>
      </c>
      <c r="AG3574" s="580">
        <f t="shared" si="314"/>
        <v>0</v>
      </c>
      <c r="AH3574" s="580">
        <f t="shared" si="315"/>
        <v>0</v>
      </c>
    </row>
    <row r="3575" spans="28:34">
      <c r="AB3575" s="580">
        <f>HLOOKUP("*"&amp;'Output annual'!$AC$2&amp;'Output annual'!$AD$2&amp;"*Zone People Number Of Occupants [](Hourly)",'Eplus results'!$1:$1048576,ROW(),FALSE)</f>
        <v>0</v>
      </c>
      <c r="AC3575" s="580">
        <f>HLOOKUP("*"&amp;'Output annual'!$AC$2&amp;'Output annual'!$AD$2&amp;"*FangerPMV(Hourly)",'Eplus results'!$1:$1048576,ROW(),FALSE)</f>
        <v>0</v>
      </c>
      <c r="AD3575" s="580">
        <f t="shared" si="311"/>
        <v>5</v>
      </c>
      <c r="AE3575" s="580">
        <f t="shared" si="312"/>
        <v>2.5</v>
      </c>
      <c r="AF3575" s="580">
        <f t="shared" si="313"/>
        <v>2.5</v>
      </c>
      <c r="AG3575" s="580">
        <f t="shared" si="314"/>
        <v>0</v>
      </c>
      <c r="AH3575" s="580">
        <f t="shared" si="315"/>
        <v>0</v>
      </c>
    </row>
    <row r="3576" spans="28:34">
      <c r="AB3576" s="580">
        <f>HLOOKUP("*"&amp;'Output annual'!$AC$2&amp;'Output annual'!$AD$2&amp;"*Zone People Number Of Occupants [](Hourly)",'Eplus results'!$1:$1048576,ROW(),FALSE)</f>
        <v>0</v>
      </c>
      <c r="AC3576" s="580">
        <f>HLOOKUP("*"&amp;'Output annual'!$AC$2&amp;'Output annual'!$AD$2&amp;"*FangerPMV(Hourly)",'Eplus results'!$1:$1048576,ROW(),FALSE)</f>
        <v>0</v>
      </c>
      <c r="AD3576" s="580">
        <f t="shared" si="311"/>
        <v>5</v>
      </c>
      <c r="AE3576" s="580">
        <f t="shared" si="312"/>
        <v>2.5</v>
      </c>
      <c r="AF3576" s="580">
        <f t="shared" si="313"/>
        <v>2.5</v>
      </c>
      <c r="AG3576" s="580">
        <f t="shared" si="314"/>
        <v>0</v>
      </c>
      <c r="AH3576" s="580">
        <f t="shared" si="315"/>
        <v>0</v>
      </c>
    </row>
    <row r="3577" spans="28:34">
      <c r="AB3577" s="580">
        <f>HLOOKUP("*"&amp;'Output annual'!$AC$2&amp;'Output annual'!$AD$2&amp;"*Zone People Number Of Occupants [](Hourly)",'Eplus results'!$1:$1048576,ROW(),FALSE)</f>
        <v>0</v>
      </c>
      <c r="AC3577" s="580">
        <f>HLOOKUP("*"&amp;'Output annual'!$AC$2&amp;'Output annual'!$AD$2&amp;"*FangerPMV(Hourly)",'Eplus results'!$1:$1048576,ROW(),FALSE)</f>
        <v>0</v>
      </c>
      <c r="AD3577" s="580">
        <f t="shared" si="311"/>
        <v>5</v>
      </c>
      <c r="AE3577" s="580">
        <f t="shared" si="312"/>
        <v>2.5</v>
      </c>
      <c r="AF3577" s="580">
        <f t="shared" si="313"/>
        <v>2.5</v>
      </c>
      <c r="AG3577" s="580">
        <f t="shared" si="314"/>
        <v>0</v>
      </c>
      <c r="AH3577" s="580">
        <f t="shared" si="315"/>
        <v>0</v>
      </c>
    </row>
    <row r="3578" spans="28:34">
      <c r="AB3578" s="580">
        <f>HLOOKUP("*"&amp;'Output annual'!$AC$2&amp;'Output annual'!$AD$2&amp;"*Zone People Number Of Occupants [](Hourly)",'Eplus results'!$1:$1048576,ROW(),FALSE)</f>
        <v>0</v>
      </c>
      <c r="AC3578" s="580">
        <f>HLOOKUP("*"&amp;'Output annual'!$AC$2&amp;'Output annual'!$AD$2&amp;"*FangerPMV(Hourly)",'Eplus results'!$1:$1048576,ROW(),FALSE)</f>
        <v>0</v>
      </c>
      <c r="AD3578" s="580">
        <f t="shared" si="311"/>
        <v>5</v>
      </c>
      <c r="AE3578" s="580">
        <f t="shared" si="312"/>
        <v>2.5</v>
      </c>
      <c r="AF3578" s="580">
        <f t="shared" si="313"/>
        <v>2.5</v>
      </c>
      <c r="AG3578" s="580">
        <f t="shared" si="314"/>
        <v>0</v>
      </c>
      <c r="AH3578" s="580">
        <f t="shared" si="315"/>
        <v>0</v>
      </c>
    </row>
    <row r="3579" spans="28:34">
      <c r="AB3579" s="580">
        <f>HLOOKUP("*"&amp;'Output annual'!$AC$2&amp;'Output annual'!$AD$2&amp;"*Zone People Number Of Occupants [](Hourly)",'Eplus results'!$1:$1048576,ROW(),FALSE)</f>
        <v>0</v>
      </c>
      <c r="AC3579" s="580">
        <f>HLOOKUP("*"&amp;'Output annual'!$AC$2&amp;'Output annual'!$AD$2&amp;"*FangerPMV(Hourly)",'Eplus results'!$1:$1048576,ROW(),FALSE)</f>
        <v>0</v>
      </c>
      <c r="AD3579" s="580">
        <f t="shared" si="311"/>
        <v>5</v>
      </c>
      <c r="AE3579" s="580">
        <f t="shared" si="312"/>
        <v>2.5</v>
      </c>
      <c r="AF3579" s="580">
        <f t="shared" si="313"/>
        <v>2.5</v>
      </c>
      <c r="AG3579" s="580">
        <f t="shared" si="314"/>
        <v>0</v>
      </c>
      <c r="AH3579" s="580">
        <f t="shared" si="315"/>
        <v>0</v>
      </c>
    </row>
    <row r="3580" spans="28:34">
      <c r="AB3580" s="580">
        <f>HLOOKUP("*"&amp;'Output annual'!$AC$2&amp;'Output annual'!$AD$2&amp;"*Zone People Number Of Occupants [](Hourly)",'Eplus results'!$1:$1048576,ROW(),FALSE)</f>
        <v>0</v>
      </c>
      <c r="AC3580" s="580">
        <f>HLOOKUP("*"&amp;'Output annual'!$AC$2&amp;'Output annual'!$AD$2&amp;"*FangerPMV(Hourly)",'Eplus results'!$1:$1048576,ROW(),FALSE)</f>
        <v>0</v>
      </c>
      <c r="AD3580" s="580">
        <f t="shared" si="311"/>
        <v>5</v>
      </c>
      <c r="AE3580" s="580">
        <f t="shared" si="312"/>
        <v>2.5</v>
      </c>
      <c r="AF3580" s="580">
        <f t="shared" si="313"/>
        <v>2.5</v>
      </c>
      <c r="AG3580" s="580">
        <f t="shared" si="314"/>
        <v>0</v>
      </c>
      <c r="AH3580" s="580">
        <f t="shared" si="315"/>
        <v>0</v>
      </c>
    </row>
    <row r="3581" spans="28:34">
      <c r="AB3581" s="580">
        <f>HLOOKUP("*"&amp;'Output annual'!$AC$2&amp;'Output annual'!$AD$2&amp;"*Zone People Number Of Occupants [](Hourly)",'Eplus results'!$1:$1048576,ROW(),FALSE)</f>
        <v>0</v>
      </c>
      <c r="AC3581" s="580">
        <f>HLOOKUP("*"&amp;'Output annual'!$AC$2&amp;'Output annual'!$AD$2&amp;"*FangerPMV(Hourly)",'Eplus results'!$1:$1048576,ROW(),FALSE)</f>
        <v>0</v>
      </c>
      <c r="AD3581" s="580">
        <f t="shared" si="311"/>
        <v>5</v>
      </c>
      <c r="AE3581" s="580">
        <f t="shared" si="312"/>
        <v>2.5</v>
      </c>
      <c r="AF3581" s="580">
        <f t="shared" si="313"/>
        <v>2.5</v>
      </c>
      <c r="AG3581" s="580">
        <f t="shared" si="314"/>
        <v>0</v>
      </c>
      <c r="AH3581" s="580">
        <f t="shared" si="315"/>
        <v>0</v>
      </c>
    </row>
    <row r="3582" spans="28:34">
      <c r="AB3582" s="580">
        <f>HLOOKUP("*"&amp;'Output annual'!$AC$2&amp;'Output annual'!$AD$2&amp;"*Zone People Number Of Occupants [](Hourly)",'Eplus results'!$1:$1048576,ROW(),FALSE)</f>
        <v>0</v>
      </c>
      <c r="AC3582" s="580">
        <f>HLOOKUP("*"&amp;'Output annual'!$AC$2&amp;'Output annual'!$AD$2&amp;"*FangerPMV(Hourly)",'Eplus results'!$1:$1048576,ROW(),FALSE)</f>
        <v>0</v>
      </c>
      <c r="AD3582" s="580">
        <f t="shared" si="311"/>
        <v>5</v>
      </c>
      <c r="AE3582" s="580">
        <f t="shared" si="312"/>
        <v>2.5</v>
      </c>
      <c r="AF3582" s="580">
        <f t="shared" si="313"/>
        <v>2.5</v>
      </c>
      <c r="AG3582" s="580">
        <f t="shared" si="314"/>
        <v>0</v>
      </c>
      <c r="AH3582" s="580">
        <f t="shared" si="315"/>
        <v>0</v>
      </c>
    </row>
    <row r="3583" spans="28:34">
      <c r="AB3583" s="580">
        <f>HLOOKUP("*"&amp;'Output annual'!$AC$2&amp;'Output annual'!$AD$2&amp;"*Zone People Number Of Occupants [](Hourly)",'Eplus results'!$1:$1048576,ROW(),FALSE)</f>
        <v>0</v>
      </c>
      <c r="AC3583" s="580">
        <f>HLOOKUP("*"&amp;'Output annual'!$AC$2&amp;'Output annual'!$AD$2&amp;"*FangerPMV(Hourly)",'Eplus results'!$1:$1048576,ROW(),FALSE)</f>
        <v>0</v>
      </c>
      <c r="AD3583" s="580">
        <f t="shared" si="311"/>
        <v>5</v>
      </c>
      <c r="AE3583" s="580">
        <f t="shared" si="312"/>
        <v>2.5</v>
      </c>
      <c r="AF3583" s="580">
        <f t="shared" si="313"/>
        <v>2.5</v>
      </c>
      <c r="AG3583" s="580">
        <f t="shared" si="314"/>
        <v>0</v>
      </c>
      <c r="AH3583" s="580">
        <f t="shared" si="315"/>
        <v>0</v>
      </c>
    </row>
    <row r="3584" spans="28:34">
      <c r="AB3584" s="580">
        <f>HLOOKUP("*"&amp;'Output annual'!$AC$2&amp;'Output annual'!$AD$2&amp;"*Zone People Number Of Occupants [](Hourly)",'Eplus results'!$1:$1048576,ROW(),FALSE)</f>
        <v>0</v>
      </c>
      <c r="AC3584" s="580">
        <f>HLOOKUP("*"&amp;'Output annual'!$AC$2&amp;'Output annual'!$AD$2&amp;"*FangerPMV(Hourly)",'Eplus results'!$1:$1048576,ROW(),FALSE)</f>
        <v>0</v>
      </c>
      <c r="AD3584" s="580">
        <f t="shared" si="311"/>
        <v>5</v>
      </c>
      <c r="AE3584" s="580">
        <f t="shared" si="312"/>
        <v>2.5</v>
      </c>
      <c r="AF3584" s="580">
        <f t="shared" si="313"/>
        <v>2.5</v>
      </c>
      <c r="AG3584" s="580">
        <f t="shared" si="314"/>
        <v>0</v>
      </c>
      <c r="AH3584" s="580">
        <f t="shared" si="315"/>
        <v>0</v>
      </c>
    </row>
    <row r="3585" spans="28:34">
      <c r="AB3585" s="580">
        <f>HLOOKUP("*"&amp;'Output annual'!$AC$2&amp;'Output annual'!$AD$2&amp;"*Zone People Number Of Occupants [](Hourly)",'Eplus results'!$1:$1048576,ROW(),FALSE)</f>
        <v>0</v>
      </c>
      <c r="AC3585" s="580">
        <f>HLOOKUP("*"&amp;'Output annual'!$AC$2&amp;'Output annual'!$AD$2&amp;"*FangerPMV(Hourly)",'Eplus results'!$1:$1048576,ROW(),FALSE)</f>
        <v>0</v>
      </c>
      <c r="AD3585" s="580">
        <f t="shared" si="311"/>
        <v>5</v>
      </c>
      <c r="AE3585" s="580">
        <f t="shared" si="312"/>
        <v>2.5</v>
      </c>
      <c r="AF3585" s="580">
        <f t="shared" si="313"/>
        <v>2.5</v>
      </c>
      <c r="AG3585" s="580">
        <f t="shared" si="314"/>
        <v>0</v>
      </c>
      <c r="AH3585" s="580">
        <f t="shared" si="315"/>
        <v>0</v>
      </c>
    </row>
    <row r="3586" spans="28:34">
      <c r="AB3586" s="580">
        <f>HLOOKUP("*"&amp;'Output annual'!$AC$2&amp;'Output annual'!$AD$2&amp;"*Zone People Number Of Occupants [](Hourly)",'Eplus results'!$1:$1048576,ROW(),FALSE)</f>
        <v>0</v>
      </c>
      <c r="AC3586" s="580">
        <f>HLOOKUP("*"&amp;'Output annual'!$AC$2&amp;'Output annual'!$AD$2&amp;"*FangerPMV(Hourly)",'Eplus results'!$1:$1048576,ROW(),FALSE)</f>
        <v>0</v>
      </c>
      <c r="AD3586" s="580">
        <f t="shared" si="311"/>
        <v>5</v>
      </c>
      <c r="AE3586" s="580">
        <f t="shared" si="312"/>
        <v>2.5</v>
      </c>
      <c r="AF3586" s="580">
        <f t="shared" si="313"/>
        <v>2.5</v>
      </c>
      <c r="AG3586" s="580">
        <f t="shared" si="314"/>
        <v>0</v>
      </c>
      <c r="AH3586" s="580">
        <f t="shared" si="315"/>
        <v>0</v>
      </c>
    </row>
    <row r="3587" spans="28:34">
      <c r="AB3587" s="580">
        <f>HLOOKUP("*"&amp;'Output annual'!$AC$2&amp;'Output annual'!$AD$2&amp;"*Zone People Number Of Occupants [](Hourly)",'Eplus results'!$1:$1048576,ROW(),FALSE)</f>
        <v>0</v>
      </c>
      <c r="AC3587" s="580">
        <f>HLOOKUP("*"&amp;'Output annual'!$AC$2&amp;'Output annual'!$AD$2&amp;"*FangerPMV(Hourly)",'Eplus results'!$1:$1048576,ROW(),FALSE)</f>
        <v>0</v>
      </c>
      <c r="AD3587" s="580">
        <f t="shared" ref="AD3587:AD3650" si="316">100-95*EXP(-0.03353*AC3587^4-0.2179*AC3587^2)</f>
        <v>5</v>
      </c>
      <c r="AE3587" s="580">
        <f t="shared" ref="AE3587:AE3650" si="317">AD3587*(1/(1+EXP(-6.3*$AC3587)))</f>
        <v>2.5</v>
      </c>
      <c r="AF3587" s="580">
        <f t="shared" ref="AF3587:AF3650" si="318">(AD3587-AE3587)</f>
        <v>2.5</v>
      </c>
      <c r="AG3587" s="580">
        <f t="shared" ref="AG3587:AG3650" si="319">AE3587*AB3587</f>
        <v>0</v>
      </c>
      <c r="AH3587" s="580">
        <f t="shared" ref="AH3587:AH3650" si="320">AF3587*AB3587</f>
        <v>0</v>
      </c>
    </row>
    <row r="3588" spans="28:34">
      <c r="AB3588" s="580">
        <f>HLOOKUP("*"&amp;'Output annual'!$AC$2&amp;'Output annual'!$AD$2&amp;"*Zone People Number Of Occupants [](Hourly)",'Eplus results'!$1:$1048576,ROW(),FALSE)</f>
        <v>0</v>
      </c>
      <c r="AC3588" s="580">
        <f>HLOOKUP("*"&amp;'Output annual'!$AC$2&amp;'Output annual'!$AD$2&amp;"*FangerPMV(Hourly)",'Eplus results'!$1:$1048576,ROW(),FALSE)</f>
        <v>0</v>
      </c>
      <c r="AD3588" s="580">
        <f t="shared" si="316"/>
        <v>5</v>
      </c>
      <c r="AE3588" s="580">
        <f t="shared" si="317"/>
        <v>2.5</v>
      </c>
      <c r="AF3588" s="580">
        <f t="shared" si="318"/>
        <v>2.5</v>
      </c>
      <c r="AG3588" s="580">
        <f t="shared" si="319"/>
        <v>0</v>
      </c>
      <c r="AH3588" s="580">
        <f t="shared" si="320"/>
        <v>0</v>
      </c>
    </row>
    <row r="3589" spans="28:34">
      <c r="AB3589" s="580">
        <f>HLOOKUP("*"&amp;'Output annual'!$AC$2&amp;'Output annual'!$AD$2&amp;"*Zone People Number Of Occupants [](Hourly)",'Eplus results'!$1:$1048576,ROW(),FALSE)</f>
        <v>0</v>
      </c>
      <c r="AC3589" s="580">
        <f>HLOOKUP("*"&amp;'Output annual'!$AC$2&amp;'Output annual'!$AD$2&amp;"*FangerPMV(Hourly)",'Eplus results'!$1:$1048576,ROW(),FALSE)</f>
        <v>0</v>
      </c>
      <c r="AD3589" s="580">
        <f t="shared" si="316"/>
        <v>5</v>
      </c>
      <c r="AE3589" s="580">
        <f t="shared" si="317"/>
        <v>2.5</v>
      </c>
      <c r="AF3589" s="580">
        <f t="shared" si="318"/>
        <v>2.5</v>
      </c>
      <c r="AG3589" s="580">
        <f t="shared" si="319"/>
        <v>0</v>
      </c>
      <c r="AH3589" s="580">
        <f t="shared" si="320"/>
        <v>0</v>
      </c>
    </row>
    <row r="3590" spans="28:34">
      <c r="AB3590" s="580">
        <f>HLOOKUP("*"&amp;'Output annual'!$AC$2&amp;'Output annual'!$AD$2&amp;"*Zone People Number Of Occupants [](Hourly)",'Eplus results'!$1:$1048576,ROW(),FALSE)</f>
        <v>0</v>
      </c>
      <c r="AC3590" s="580">
        <f>HLOOKUP("*"&amp;'Output annual'!$AC$2&amp;'Output annual'!$AD$2&amp;"*FangerPMV(Hourly)",'Eplus results'!$1:$1048576,ROW(),FALSE)</f>
        <v>0</v>
      </c>
      <c r="AD3590" s="580">
        <f t="shared" si="316"/>
        <v>5</v>
      </c>
      <c r="AE3590" s="580">
        <f t="shared" si="317"/>
        <v>2.5</v>
      </c>
      <c r="AF3590" s="580">
        <f t="shared" si="318"/>
        <v>2.5</v>
      </c>
      <c r="AG3590" s="580">
        <f t="shared" si="319"/>
        <v>0</v>
      </c>
      <c r="AH3590" s="580">
        <f t="shared" si="320"/>
        <v>0</v>
      </c>
    </row>
    <row r="3591" spans="28:34">
      <c r="AB3591" s="580">
        <f>HLOOKUP("*"&amp;'Output annual'!$AC$2&amp;'Output annual'!$AD$2&amp;"*Zone People Number Of Occupants [](Hourly)",'Eplus results'!$1:$1048576,ROW(),FALSE)</f>
        <v>0</v>
      </c>
      <c r="AC3591" s="580">
        <f>HLOOKUP("*"&amp;'Output annual'!$AC$2&amp;'Output annual'!$AD$2&amp;"*FangerPMV(Hourly)",'Eplus results'!$1:$1048576,ROW(),FALSE)</f>
        <v>0</v>
      </c>
      <c r="AD3591" s="580">
        <f t="shared" si="316"/>
        <v>5</v>
      </c>
      <c r="AE3591" s="580">
        <f t="shared" si="317"/>
        <v>2.5</v>
      </c>
      <c r="AF3591" s="580">
        <f t="shared" si="318"/>
        <v>2.5</v>
      </c>
      <c r="AG3591" s="580">
        <f t="shared" si="319"/>
        <v>0</v>
      </c>
      <c r="AH3591" s="580">
        <f t="shared" si="320"/>
        <v>0</v>
      </c>
    </row>
    <row r="3592" spans="28:34">
      <c r="AB3592" s="580">
        <f>HLOOKUP("*"&amp;'Output annual'!$AC$2&amp;'Output annual'!$AD$2&amp;"*Zone People Number Of Occupants [](Hourly)",'Eplus results'!$1:$1048576,ROW(),FALSE)</f>
        <v>0</v>
      </c>
      <c r="AC3592" s="580">
        <f>HLOOKUP("*"&amp;'Output annual'!$AC$2&amp;'Output annual'!$AD$2&amp;"*FangerPMV(Hourly)",'Eplus results'!$1:$1048576,ROW(),FALSE)</f>
        <v>0</v>
      </c>
      <c r="AD3592" s="580">
        <f t="shared" si="316"/>
        <v>5</v>
      </c>
      <c r="AE3592" s="580">
        <f t="shared" si="317"/>
        <v>2.5</v>
      </c>
      <c r="AF3592" s="580">
        <f t="shared" si="318"/>
        <v>2.5</v>
      </c>
      <c r="AG3592" s="580">
        <f t="shared" si="319"/>
        <v>0</v>
      </c>
      <c r="AH3592" s="580">
        <f t="shared" si="320"/>
        <v>0</v>
      </c>
    </row>
    <row r="3593" spans="28:34">
      <c r="AB3593" s="580">
        <f>HLOOKUP("*"&amp;'Output annual'!$AC$2&amp;'Output annual'!$AD$2&amp;"*Zone People Number Of Occupants [](Hourly)",'Eplus results'!$1:$1048576,ROW(),FALSE)</f>
        <v>0</v>
      </c>
      <c r="AC3593" s="580">
        <f>HLOOKUP("*"&amp;'Output annual'!$AC$2&amp;'Output annual'!$AD$2&amp;"*FangerPMV(Hourly)",'Eplus results'!$1:$1048576,ROW(),FALSE)</f>
        <v>0</v>
      </c>
      <c r="AD3593" s="580">
        <f t="shared" si="316"/>
        <v>5</v>
      </c>
      <c r="AE3593" s="580">
        <f t="shared" si="317"/>
        <v>2.5</v>
      </c>
      <c r="AF3593" s="580">
        <f t="shared" si="318"/>
        <v>2.5</v>
      </c>
      <c r="AG3593" s="580">
        <f t="shared" si="319"/>
        <v>0</v>
      </c>
      <c r="AH3593" s="580">
        <f t="shared" si="320"/>
        <v>0</v>
      </c>
    </row>
    <row r="3594" spans="28:34">
      <c r="AB3594" s="580">
        <f>HLOOKUP("*"&amp;'Output annual'!$AC$2&amp;'Output annual'!$AD$2&amp;"*Zone People Number Of Occupants [](Hourly)",'Eplus results'!$1:$1048576,ROW(),FALSE)</f>
        <v>0</v>
      </c>
      <c r="AC3594" s="580">
        <f>HLOOKUP("*"&amp;'Output annual'!$AC$2&amp;'Output annual'!$AD$2&amp;"*FangerPMV(Hourly)",'Eplus results'!$1:$1048576,ROW(),FALSE)</f>
        <v>0</v>
      </c>
      <c r="AD3594" s="580">
        <f t="shared" si="316"/>
        <v>5</v>
      </c>
      <c r="AE3594" s="580">
        <f t="shared" si="317"/>
        <v>2.5</v>
      </c>
      <c r="AF3594" s="580">
        <f t="shared" si="318"/>
        <v>2.5</v>
      </c>
      <c r="AG3594" s="580">
        <f t="shared" si="319"/>
        <v>0</v>
      </c>
      <c r="AH3594" s="580">
        <f t="shared" si="320"/>
        <v>0</v>
      </c>
    </row>
    <row r="3595" spans="28:34">
      <c r="AB3595" s="580">
        <f>HLOOKUP("*"&amp;'Output annual'!$AC$2&amp;'Output annual'!$AD$2&amp;"*Zone People Number Of Occupants [](Hourly)",'Eplus results'!$1:$1048576,ROW(),FALSE)</f>
        <v>0</v>
      </c>
      <c r="AC3595" s="580">
        <f>HLOOKUP("*"&amp;'Output annual'!$AC$2&amp;'Output annual'!$AD$2&amp;"*FangerPMV(Hourly)",'Eplus results'!$1:$1048576,ROW(),FALSE)</f>
        <v>0</v>
      </c>
      <c r="AD3595" s="580">
        <f t="shared" si="316"/>
        <v>5</v>
      </c>
      <c r="AE3595" s="580">
        <f t="shared" si="317"/>
        <v>2.5</v>
      </c>
      <c r="AF3595" s="580">
        <f t="shared" si="318"/>
        <v>2.5</v>
      </c>
      <c r="AG3595" s="580">
        <f t="shared" si="319"/>
        <v>0</v>
      </c>
      <c r="AH3595" s="580">
        <f t="shared" si="320"/>
        <v>0</v>
      </c>
    </row>
    <row r="3596" spans="28:34">
      <c r="AB3596" s="580">
        <f>HLOOKUP("*"&amp;'Output annual'!$AC$2&amp;'Output annual'!$AD$2&amp;"*Zone People Number Of Occupants [](Hourly)",'Eplus results'!$1:$1048576,ROW(),FALSE)</f>
        <v>0</v>
      </c>
      <c r="AC3596" s="580">
        <f>HLOOKUP("*"&amp;'Output annual'!$AC$2&amp;'Output annual'!$AD$2&amp;"*FangerPMV(Hourly)",'Eplus results'!$1:$1048576,ROW(),FALSE)</f>
        <v>0</v>
      </c>
      <c r="AD3596" s="580">
        <f t="shared" si="316"/>
        <v>5</v>
      </c>
      <c r="AE3596" s="580">
        <f t="shared" si="317"/>
        <v>2.5</v>
      </c>
      <c r="AF3596" s="580">
        <f t="shared" si="318"/>
        <v>2.5</v>
      </c>
      <c r="AG3596" s="580">
        <f t="shared" si="319"/>
        <v>0</v>
      </c>
      <c r="AH3596" s="580">
        <f t="shared" si="320"/>
        <v>0</v>
      </c>
    </row>
    <row r="3597" spans="28:34">
      <c r="AB3597" s="580">
        <f>HLOOKUP("*"&amp;'Output annual'!$AC$2&amp;'Output annual'!$AD$2&amp;"*Zone People Number Of Occupants [](Hourly)",'Eplus results'!$1:$1048576,ROW(),FALSE)</f>
        <v>0</v>
      </c>
      <c r="AC3597" s="580">
        <f>HLOOKUP("*"&amp;'Output annual'!$AC$2&amp;'Output annual'!$AD$2&amp;"*FangerPMV(Hourly)",'Eplus results'!$1:$1048576,ROW(),FALSE)</f>
        <v>0</v>
      </c>
      <c r="AD3597" s="580">
        <f t="shared" si="316"/>
        <v>5</v>
      </c>
      <c r="AE3597" s="580">
        <f t="shared" si="317"/>
        <v>2.5</v>
      </c>
      <c r="AF3597" s="580">
        <f t="shared" si="318"/>
        <v>2.5</v>
      </c>
      <c r="AG3597" s="580">
        <f t="shared" si="319"/>
        <v>0</v>
      </c>
      <c r="AH3597" s="580">
        <f t="shared" si="320"/>
        <v>0</v>
      </c>
    </row>
    <row r="3598" spans="28:34">
      <c r="AB3598" s="580">
        <f>HLOOKUP("*"&amp;'Output annual'!$AC$2&amp;'Output annual'!$AD$2&amp;"*Zone People Number Of Occupants [](Hourly)",'Eplus results'!$1:$1048576,ROW(),FALSE)</f>
        <v>0</v>
      </c>
      <c r="AC3598" s="580">
        <f>HLOOKUP("*"&amp;'Output annual'!$AC$2&amp;'Output annual'!$AD$2&amp;"*FangerPMV(Hourly)",'Eplus results'!$1:$1048576,ROW(),FALSE)</f>
        <v>0</v>
      </c>
      <c r="AD3598" s="580">
        <f t="shared" si="316"/>
        <v>5</v>
      </c>
      <c r="AE3598" s="580">
        <f t="shared" si="317"/>
        <v>2.5</v>
      </c>
      <c r="AF3598" s="580">
        <f t="shared" si="318"/>
        <v>2.5</v>
      </c>
      <c r="AG3598" s="580">
        <f t="shared" si="319"/>
        <v>0</v>
      </c>
      <c r="AH3598" s="580">
        <f t="shared" si="320"/>
        <v>0</v>
      </c>
    </row>
    <row r="3599" spans="28:34">
      <c r="AB3599" s="580">
        <f>HLOOKUP("*"&amp;'Output annual'!$AC$2&amp;'Output annual'!$AD$2&amp;"*Zone People Number Of Occupants [](Hourly)",'Eplus results'!$1:$1048576,ROW(),FALSE)</f>
        <v>0</v>
      </c>
      <c r="AC3599" s="580">
        <f>HLOOKUP("*"&amp;'Output annual'!$AC$2&amp;'Output annual'!$AD$2&amp;"*FangerPMV(Hourly)",'Eplus results'!$1:$1048576,ROW(),FALSE)</f>
        <v>0</v>
      </c>
      <c r="AD3599" s="580">
        <f t="shared" si="316"/>
        <v>5</v>
      </c>
      <c r="AE3599" s="580">
        <f t="shared" si="317"/>
        <v>2.5</v>
      </c>
      <c r="AF3599" s="580">
        <f t="shared" si="318"/>
        <v>2.5</v>
      </c>
      <c r="AG3599" s="580">
        <f t="shared" si="319"/>
        <v>0</v>
      </c>
      <c r="AH3599" s="580">
        <f t="shared" si="320"/>
        <v>0</v>
      </c>
    </row>
    <row r="3600" spans="28:34">
      <c r="AB3600" s="580">
        <f>HLOOKUP("*"&amp;'Output annual'!$AC$2&amp;'Output annual'!$AD$2&amp;"*Zone People Number Of Occupants [](Hourly)",'Eplus results'!$1:$1048576,ROW(),FALSE)</f>
        <v>0</v>
      </c>
      <c r="AC3600" s="580">
        <f>HLOOKUP("*"&amp;'Output annual'!$AC$2&amp;'Output annual'!$AD$2&amp;"*FangerPMV(Hourly)",'Eplus results'!$1:$1048576,ROW(),FALSE)</f>
        <v>0</v>
      </c>
      <c r="AD3600" s="580">
        <f t="shared" si="316"/>
        <v>5</v>
      </c>
      <c r="AE3600" s="580">
        <f t="shared" si="317"/>
        <v>2.5</v>
      </c>
      <c r="AF3600" s="580">
        <f t="shared" si="318"/>
        <v>2.5</v>
      </c>
      <c r="AG3600" s="580">
        <f t="shared" si="319"/>
        <v>0</v>
      </c>
      <c r="AH3600" s="580">
        <f t="shared" si="320"/>
        <v>0</v>
      </c>
    </row>
    <row r="3601" spans="28:34">
      <c r="AB3601" s="580">
        <f>HLOOKUP("*"&amp;'Output annual'!$AC$2&amp;'Output annual'!$AD$2&amp;"*Zone People Number Of Occupants [](Hourly)",'Eplus results'!$1:$1048576,ROW(),FALSE)</f>
        <v>0</v>
      </c>
      <c r="AC3601" s="580">
        <f>HLOOKUP("*"&amp;'Output annual'!$AC$2&amp;'Output annual'!$AD$2&amp;"*FangerPMV(Hourly)",'Eplus results'!$1:$1048576,ROW(),FALSE)</f>
        <v>0</v>
      </c>
      <c r="AD3601" s="580">
        <f t="shared" si="316"/>
        <v>5</v>
      </c>
      <c r="AE3601" s="580">
        <f t="shared" si="317"/>
        <v>2.5</v>
      </c>
      <c r="AF3601" s="580">
        <f t="shared" si="318"/>
        <v>2.5</v>
      </c>
      <c r="AG3601" s="580">
        <f t="shared" si="319"/>
        <v>0</v>
      </c>
      <c r="AH3601" s="580">
        <f t="shared" si="320"/>
        <v>0</v>
      </c>
    </row>
    <row r="3602" spans="28:34">
      <c r="AB3602" s="580">
        <f>HLOOKUP("*"&amp;'Output annual'!$AC$2&amp;'Output annual'!$AD$2&amp;"*Zone People Number Of Occupants [](Hourly)",'Eplus results'!$1:$1048576,ROW(),FALSE)</f>
        <v>0</v>
      </c>
      <c r="AC3602" s="580">
        <f>HLOOKUP("*"&amp;'Output annual'!$AC$2&amp;'Output annual'!$AD$2&amp;"*FangerPMV(Hourly)",'Eplus results'!$1:$1048576,ROW(),FALSE)</f>
        <v>0</v>
      </c>
      <c r="AD3602" s="580">
        <f t="shared" si="316"/>
        <v>5</v>
      </c>
      <c r="AE3602" s="580">
        <f t="shared" si="317"/>
        <v>2.5</v>
      </c>
      <c r="AF3602" s="580">
        <f t="shared" si="318"/>
        <v>2.5</v>
      </c>
      <c r="AG3602" s="580">
        <f t="shared" si="319"/>
        <v>0</v>
      </c>
      <c r="AH3602" s="580">
        <f t="shared" si="320"/>
        <v>0</v>
      </c>
    </row>
    <row r="3603" spans="28:34">
      <c r="AB3603" s="580">
        <f>HLOOKUP("*"&amp;'Output annual'!$AC$2&amp;'Output annual'!$AD$2&amp;"*Zone People Number Of Occupants [](Hourly)",'Eplus results'!$1:$1048576,ROW(),FALSE)</f>
        <v>0</v>
      </c>
      <c r="AC3603" s="580">
        <f>HLOOKUP("*"&amp;'Output annual'!$AC$2&amp;'Output annual'!$AD$2&amp;"*FangerPMV(Hourly)",'Eplus results'!$1:$1048576,ROW(),FALSE)</f>
        <v>0</v>
      </c>
      <c r="AD3603" s="580">
        <f t="shared" si="316"/>
        <v>5</v>
      </c>
      <c r="AE3603" s="580">
        <f t="shared" si="317"/>
        <v>2.5</v>
      </c>
      <c r="AF3603" s="580">
        <f t="shared" si="318"/>
        <v>2.5</v>
      </c>
      <c r="AG3603" s="580">
        <f t="shared" si="319"/>
        <v>0</v>
      </c>
      <c r="AH3603" s="580">
        <f t="shared" si="320"/>
        <v>0</v>
      </c>
    </row>
    <row r="3604" spans="28:34">
      <c r="AB3604" s="580">
        <f>HLOOKUP("*"&amp;'Output annual'!$AC$2&amp;'Output annual'!$AD$2&amp;"*Zone People Number Of Occupants [](Hourly)",'Eplus results'!$1:$1048576,ROW(),FALSE)</f>
        <v>0</v>
      </c>
      <c r="AC3604" s="580">
        <f>HLOOKUP("*"&amp;'Output annual'!$AC$2&amp;'Output annual'!$AD$2&amp;"*FangerPMV(Hourly)",'Eplus results'!$1:$1048576,ROW(),FALSE)</f>
        <v>0</v>
      </c>
      <c r="AD3604" s="580">
        <f t="shared" si="316"/>
        <v>5</v>
      </c>
      <c r="AE3604" s="580">
        <f t="shared" si="317"/>
        <v>2.5</v>
      </c>
      <c r="AF3604" s="580">
        <f t="shared" si="318"/>
        <v>2.5</v>
      </c>
      <c r="AG3604" s="580">
        <f t="shared" si="319"/>
        <v>0</v>
      </c>
      <c r="AH3604" s="580">
        <f t="shared" si="320"/>
        <v>0</v>
      </c>
    </row>
    <row r="3605" spans="28:34">
      <c r="AB3605" s="580">
        <f>HLOOKUP("*"&amp;'Output annual'!$AC$2&amp;'Output annual'!$AD$2&amp;"*Zone People Number Of Occupants [](Hourly)",'Eplus results'!$1:$1048576,ROW(),FALSE)</f>
        <v>0</v>
      </c>
      <c r="AC3605" s="580">
        <f>HLOOKUP("*"&amp;'Output annual'!$AC$2&amp;'Output annual'!$AD$2&amp;"*FangerPMV(Hourly)",'Eplus results'!$1:$1048576,ROW(),FALSE)</f>
        <v>0</v>
      </c>
      <c r="AD3605" s="580">
        <f t="shared" si="316"/>
        <v>5</v>
      </c>
      <c r="AE3605" s="580">
        <f t="shared" si="317"/>
        <v>2.5</v>
      </c>
      <c r="AF3605" s="580">
        <f t="shared" si="318"/>
        <v>2.5</v>
      </c>
      <c r="AG3605" s="580">
        <f t="shared" si="319"/>
        <v>0</v>
      </c>
      <c r="AH3605" s="580">
        <f t="shared" si="320"/>
        <v>0</v>
      </c>
    </row>
    <row r="3606" spans="28:34">
      <c r="AB3606" s="580">
        <f>HLOOKUP("*"&amp;'Output annual'!$AC$2&amp;'Output annual'!$AD$2&amp;"*Zone People Number Of Occupants [](Hourly)",'Eplus results'!$1:$1048576,ROW(),FALSE)</f>
        <v>0</v>
      </c>
      <c r="AC3606" s="580">
        <f>HLOOKUP("*"&amp;'Output annual'!$AC$2&amp;'Output annual'!$AD$2&amp;"*FangerPMV(Hourly)",'Eplus results'!$1:$1048576,ROW(),FALSE)</f>
        <v>0</v>
      </c>
      <c r="AD3606" s="580">
        <f t="shared" si="316"/>
        <v>5</v>
      </c>
      <c r="AE3606" s="580">
        <f t="shared" si="317"/>
        <v>2.5</v>
      </c>
      <c r="AF3606" s="580">
        <f t="shared" si="318"/>
        <v>2.5</v>
      </c>
      <c r="AG3606" s="580">
        <f t="shared" si="319"/>
        <v>0</v>
      </c>
      <c r="AH3606" s="580">
        <f t="shared" si="320"/>
        <v>0</v>
      </c>
    </row>
    <row r="3607" spans="28:34">
      <c r="AB3607" s="580">
        <f>HLOOKUP("*"&amp;'Output annual'!$AC$2&amp;'Output annual'!$AD$2&amp;"*Zone People Number Of Occupants [](Hourly)",'Eplus results'!$1:$1048576,ROW(),FALSE)</f>
        <v>0</v>
      </c>
      <c r="AC3607" s="580">
        <f>HLOOKUP("*"&amp;'Output annual'!$AC$2&amp;'Output annual'!$AD$2&amp;"*FangerPMV(Hourly)",'Eplus results'!$1:$1048576,ROW(),FALSE)</f>
        <v>0</v>
      </c>
      <c r="AD3607" s="580">
        <f t="shared" si="316"/>
        <v>5</v>
      </c>
      <c r="AE3607" s="580">
        <f t="shared" si="317"/>
        <v>2.5</v>
      </c>
      <c r="AF3607" s="580">
        <f t="shared" si="318"/>
        <v>2.5</v>
      </c>
      <c r="AG3607" s="580">
        <f t="shared" si="319"/>
        <v>0</v>
      </c>
      <c r="AH3607" s="580">
        <f t="shared" si="320"/>
        <v>0</v>
      </c>
    </row>
    <row r="3608" spans="28:34">
      <c r="AB3608" s="580">
        <f>HLOOKUP("*"&amp;'Output annual'!$AC$2&amp;'Output annual'!$AD$2&amp;"*Zone People Number Of Occupants [](Hourly)",'Eplus results'!$1:$1048576,ROW(),FALSE)</f>
        <v>0</v>
      </c>
      <c r="AC3608" s="580">
        <f>HLOOKUP("*"&amp;'Output annual'!$AC$2&amp;'Output annual'!$AD$2&amp;"*FangerPMV(Hourly)",'Eplus results'!$1:$1048576,ROW(),FALSE)</f>
        <v>0</v>
      </c>
      <c r="AD3608" s="580">
        <f t="shared" si="316"/>
        <v>5</v>
      </c>
      <c r="AE3608" s="580">
        <f t="shared" si="317"/>
        <v>2.5</v>
      </c>
      <c r="AF3608" s="580">
        <f t="shared" si="318"/>
        <v>2.5</v>
      </c>
      <c r="AG3608" s="580">
        <f t="shared" si="319"/>
        <v>0</v>
      </c>
      <c r="AH3608" s="580">
        <f t="shared" si="320"/>
        <v>0</v>
      </c>
    </row>
    <row r="3609" spans="28:34">
      <c r="AB3609" s="580">
        <f>HLOOKUP("*"&amp;'Output annual'!$AC$2&amp;'Output annual'!$AD$2&amp;"*Zone People Number Of Occupants [](Hourly)",'Eplus results'!$1:$1048576,ROW(),FALSE)</f>
        <v>0</v>
      </c>
      <c r="AC3609" s="580">
        <f>HLOOKUP("*"&amp;'Output annual'!$AC$2&amp;'Output annual'!$AD$2&amp;"*FangerPMV(Hourly)",'Eplus results'!$1:$1048576,ROW(),FALSE)</f>
        <v>0</v>
      </c>
      <c r="AD3609" s="580">
        <f t="shared" si="316"/>
        <v>5</v>
      </c>
      <c r="AE3609" s="580">
        <f t="shared" si="317"/>
        <v>2.5</v>
      </c>
      <c r="AF3609" s="580">
        <f t="shared" si="318"/>
        <v>2.5</v>
      </c>
      <c r="AG3609" s="580">
        <f t="shared" si="319"/>
        <v>0</v>
      </c>
      <c r="AH3609" s="580">
        <f t="shared" si="320"/>
        <v>0</v>
      </c>
    </row>
    <row r="3610" spans="28:34">
      <c r="AB3610" s="580">
        <f>HLOOKUP("*"&amp;'Output annual'!$AC$2&amp;'Output annual'!$AD$2&amp;"*Zone People Number Of Occupants [](Hourly)",'Eplus results'!$1:$1048576,ROW(),FALSE)</f>
        <v>0</v>
      </c>
      <c r="AC3610" s="580">
        <f>HLOOKUP("*"&amp;'Output annual'!$AC$2&amp;'Output annual'!$AD$2&amp;"*FangerPMV(Hourly)",'Eplus results'!$1:$1048576,ROW(),FALSE)</f>
        <v>0</v>
      </c>
      <c r="AD3610" s="580">
        <f t="shared" si="316"/>
        <v>5</v>
      </c>
      <c r="AE3610" s="580">
        <f t="shared" si="317"/>
        <v>2.5</v>
      </c>
      <c r="AF3610" s="580">
        <f t="shared" si="318"/>
        <v>2.5</v>
      </c>
      <c r="AG3610" s="580">
        <f t="shared" si="319"/>
        <v>0</v>
      </c>
      <c r="AH3610" s="580">
        <f t="shared" si="320"/>
        <v>0</v>
      </c>
    </row>
    <row r="3611" spans="28:34">
      <c r="AB3611" s="580">
        <f>HLOOKUP("*"&amp;'Output annual'!$AC$2&amp;'Output annual'!$AD$2&amp;"*Zone People Number Of Occupants [](Hourly)",'Eplus results'!$1:$1048576,ROW(),FALSE)</f>
        <v>0</v>
      </c>
      <c r="AC3611" s="580">
        <f>HLOOKUP("*"&amp;'Output annual'!$AC$2&amp;'Output annual'!$AD$2&amp;"*FangerPMV(Hourly)",'Eplus results'!$1:$1048576,ROW(),FALSE)</f>
        <v>0</v>
      </c>
      <c r="AD3611" s="580">
        <f t="shared" si="316"/>
        <v>5</v>
      </c>
      <c r="AE3611" s="580">
        <f t="shared" si="317"/>
        <v>2.5</v>
      </c>
      <c r="AF3611" s="580">
        <f t="shared" si="318"/>
        <v>2.5</v>
      </c>
      <c r="AG3611" s="580">
        <f t="shared" si="319"/>
        <v>0</v>
      </c>
      <c r="AH3611" s="580">
        <f t="shared" si="320"/>
        <v>0</v>
      </c>
    </row>
    <row r="3612" spans="28:34">
      <c r="AB3612" s="580">
        <f>HLOOKUP("*"&amp;'Output annual'!$AC$2&amp;'Output annual'!$AD$2&amp;"*Zone People Number Of Occupants [](Hourly)",'Eplus results'!$1:$1048576,ROW(),FALSE)</f>
        <v>0</v>
      </c>
      <c r="AC3612" s="580">
        <f>HLOOKUP("*"&amp;'Output annual'!$AC$2&amp;'Output annual'!$AD$2&amp;"*FangerPMV(Hourly)",'Eplus results'!$1:$1048576,ROW(),FALSE)</f>
        <v>0</v>
      </c>
      <c r="AD3612" s="580">
        <f t="shared" si="316"/>
        <v>5</v>
      </c>
      <c r="AE3612" s="580">
        <f t="shared" si="317"/>
        <v>2.5</v>
      </c>
      <c r="AF3612" s="580">
        <f t="shared" si="318"/>
        <v>2.5</v>
      </c>
      <c r="AG3612" s="580">
        <f t="shared" si="319"/>
        <v>0</v>
      </c>
      <c r="AH3612" s="580">
        <f t="shared" si="320"/>
        <v>0</v>
      </c>
    </row>
    <row r="3613" spans="28:34">
      <c r="AB3613" s="580">
        <f>HLOOKUP("*"&amp;'Output annual'!$AC$2&amp;'Output annual'!$AD$2&amp;"*Zone People Number Of Occupants [](Hourly)",'Eplus results'!$1:$1048576,ROW(),FALSE)</f>
        <v>0</v>
      </c>
      <c r="AC3613" s="580">
        <f>HLOOKUP("*"&amp;'Output annual'!$AC$2&amp;'Output annual'!$AD$2&amp;"*FangerPMV(Hourly)",'Eplus results'!$1:$1048576,ROW(),FALSE)</f>
        <v>0</v>
      </c>
      <c r="AD3613" s="580">
        <f t="shared" si="316"/>
        <v>5</v>
      </c>
      <c r="AE3613" s="580">
        <f t="shared" si="317"/>
        <v>2.5</v>
      </c>
      <c r="AF3613" s="580">
        <f t="shared" si="318"/>
        <v>2.5</v>
      </c>
      <c r="AG3613" s="580">
        <f t="shared" si="319"/>
        <v>0</v>
      </c>
      <c r="AH3613" s="580">
        <f t="shared" si="320"/>
        <v>0</v>
      </c>
    </row>
    <row r="3614" spans="28:34">
      <c r="AB3614" s="580">
        <f>HLOOKUP("*"&amp;'Output annual'!$AC$2&amp;'Output annual'!$AD$2&amp;"*Zone People Number Of Occupants [](Hourly)",'Eplus results'!$1:$1048576,ROW(),FALSE)</f>
        <v>0</v>
      </c>
      <c r="AC3614" s="580">
        <f>HLOOKUP("*"&amp;'Output annual'!$AC$2&amp;'Output annual'!$AD$2&amp;"*FangerPMV(Hourly)",'Eplus results'!$1:$1048576,ROW(),FALSE)</f>
        <v>0</v>
      </c>
      <c r="AD3614" s="580">
        <f t="shared" si="316"/>
        <v>5</v>
      </c>
      <c r="AE3614" s="580">
        <f t="shared" si="317"/>
        <v>2.5</v>
      </c>
      <c r="AF3614" s="580">
        <f t="shared" si="318"/>
        <v>2.5</v>
      </c>
      <c r="AG3614" s="580">
        <f t="shared" si="319"/>
        <v>0</v>
      </c>
      <c r="AH3614" s="580">
        <f t="shared" si="320"/>
        <v>0</v>
      </c>
    </row>
    <row r="3615" spans="28:34">
      <c r="AB3615" s="580">
        <f>HLOOKUP("*"&amp;'Output annual'!$AC$2&amp;'Output annual'!$AD$2&amp;"*Zone People Number Of Occupants [](Hourly)",'Eplus results'!$1:$1048576,ROW(),FALSE)</f>
        <v>0</v>
      </c>
      <c r="AC3615" s="580">
        <f>HLOOKUP("*"&amp;'Output annual'!$AC$2&amp;'Output annual'!$AD$2&amp;"*FangerPMV(Hourly)",'Eplus results'!$1:$1048576,ROW(),FALSE)</f>
        <v>0</v>
      </c>
      <c r="AD3615" s="580">
        <f t="shared" si="316"/>
        <v>5</v>
      </c>
      <c r="AE3615" s="580">
        <f t="shared" si="317"/>
        <v>2.5</v>
      </c>
      <c r="AF3615" s="580">
        <f t="shared" si="318"/>
        <v>2.5</v>
      </c>
      <c r="AG3615" s="580">
        <f t="shared" si="319"/>
        <v>0</v>
      </c>
      <c r="AH3615" s="580">
        <f t="shared" si="320"/>
        <v>0</v>
      </c>
    </row>
    <row r="3616" spans="28:34">
      <c r="AB3616" s="580">
        <f>HLOOKUP("*"&amp;'Output annual'!$AC$2&amp;'Output annual'!$AD$2&amp;"*Zone People Number Of Occupants [](Hourly)",'Eplus results'!$1:$1048576,ROW(),FALSE)</f>
        <v>0</v>
      </c>
      <c r="AC3616" s="580">
        <f>HLOOKUP("*"&amp;'Output annual'!$AC$2&amp;'Output annual'!$AD$2&amp;"*FangerPMV(Hourly)",'Eplus results'!$1:$1048576,ROW(),FALSE)</f>
        <v>0</v>
      </c>
      <c r="AD3616" s="580">
        <f t="shared" si="316"/>
        <v>5</v>
      </c>
      <c r="AE3616" s="580">
        <f t="shared" si="317"/>
        <v>2.5</v>
      </c>
      <c r="AF3616" s="580">
        <f t="shared" si="318"/>
        <v>2.5</v>
      </c>
      <c r="AG3616" s="580">
        <f t="shared" si="319"/>
        <v>0</v>
      </c>
      <c r="AH3616" s="580">
        <f t="shared" si="320"/>
        <v>0</v>
      </c>
    </row>
    <row r="3617" spans="28:34">
      <c r="AB3617" s="580">
        <f>HLOOKUP("*"&amp;'Output annual'!$AC$2&amp;'Output annual'!$AD$2&amp;"*Zone People Number Of Occupants [](Hourly)",'Eplus results'!$1:$1048576,ROW(),FALSE)</f>
        <v>0</v>
      </c>
      <c r="AC3617" s="580">
        <f>HLOOKUP("*"&amp;'Output annual'!$AC$2&amp;'Output annual'!$AD$2&amp;"*FangerPMV(Hourly)",'Eplus results'!$1:$1048576,ROW(),FALSE)</f>
        <v>0</v>
      </c>
      <c r="AD3617" s="580">
        <f t="shared" si="316"/>
        <v>5</v>
      </c>
      <c r="AE3617" s="580">
        <f t="shared" si="317"/>
        <v>2.5</v>
      </c>
      <c r="AF3617" s="580">
        <f t="shared" si="318"/>
        <v>2.5</v>
      </c>
      <c r="AG3617" s="580">
        <f t="shared" si="319"/>
        <v>0</v>
      </c>
      <c r="AH3617" s="580">
        <f t="shared" si="320"/>
        <v>0</v>
      </c>
    </row>
    <row r="3618" spans="28:34">
      <c r="AB3618" s="580">
        <f>HLOOKUP("*"&amp;'Output annual'!$AC$2&amp;'Output annual'!$AD$2&amp;"*Zone People Number Of Occupants [](Hourly)",'Eplus results'!$1:$1048576,ROW(),FALSE)</f>
        <v>0</v>
      </c>
      <c r="AC3618" s="580">
        <f>HLOOKUP("*"&amp;'Output annual'!$AC$2&amp;'Output annual'!$AD$2&amp;"*FangerPMV(Hourly)",'Eplus results'!$1:$1048576,ROW(),FALSE)</f>
        <v>0</v>
      </c>
      <c r="AD3618" s="580">
        <f t="shared" si="316"/>
        <v>5</v>
      </c>
      <c r="AE3618" s="580">
        <f t="shared" si="317"/>
        <v>2.5</v>
      </c>
      <c r="AF3618" s="580">
        <f t="shared" si="318"/>
        <v>2.5</v>
      </c>
      <c r="AG3618" s="580">
        <f t="shared" si="319"/>
        <v>0</v>
      </c>
      <c r="AH3618" s="580">
        <f t="shared" si="320"/>
        <v>0</v>
      </c>
    </row>
    <row r="3619" spans="28:34">
      <c r="AB3619" s="580">
        <f>HLOOKUP("*"&amp;'Output annual'!$AC$2&amp;'Output annual'!$AD$2&amp;"*Zone People Number Of Occupants [](Hourly)",'Eplus results'!$1:$1048576,ROW(),FALSE)</f>
        <v>0</v>
      </c>
      <c r="AC3619" s="580">
        <f>HLOOKUP("*"&amp;'Output annual'!$AC$2&amp;'Output annual'!$AD$2&amp;"*FangerPMV(Hourly)",'Eplus results'!$1:$1048576,ROW(),FALSE)</f>
        <v>0</v>
      </c>
      <c r="AD3619" s="580">
        <f t="shared" si="316"/>
        <v>5</v>
      </c>
      <c r="AE3619" s="580">
        <f t="shared" si="317"/>
        <v>2.5</v>
      </c>
      <c r="AF3619" s="580">
        <f t="shared" si="318"/>
        <v>2.5</v>
      </c>
      <c r="AG3619" s="580">
        <f t="shared" si="319"/>
        <v>0</v>
      </c>
      <c r="AH3619" s="580">
        <f t="shared" si="320"/>
        <v>0</v>
      </c>
    </row>
    <row r="3620" spans="28:34">
      <c r="AB3620" s="580">
        <f>HLOOKUP("*"&amp;'Output annual'!$AC$2&amp;'Output annual'!$AD$2&amp;"*Zone People Number Of Occupants [](Hourly)",'Eplus results'!$1:$1048576,ROW(),FALSE)</f>
        <v>0</v>
      </c>
      <c r="AC3620" s="580">
        <f>HLOOKUP("*"&amp;'Output annual'!$AC$2&amp;'Output annual'!$AD$2&amp;"*FangerPMV(Hourly)",'Eplus results'!$1:$1048576,ROW(),FALSE)</f>
        <v>0</v>
      </c>
      <c r="AD3620" s="580">
        <f t="shared" si="316"/>
        <v>5</v>
      </c>
      <c r="AE3620" s="580">
        <f t="shared" si="317"/>
        <v>2.5</v>
      </c>
      <c r="AF3620" s="580">
        <f t="shared" si="318"/>
        <v>2.5</v>
      </c>
      <c r="AG3620" s="580">
        <f t="shared" si="319"/>
        <v>0</v>
      </c>
      <c r="AH3620" s="580">
        <f t="shared" si="320"/>
        <v>0</v>
      </c>
    </row>
    <row r="3621" spans="28:34">
      <c r="AB3621" s="580">
        <f>HLOOKUP("*"&amp;'Output annual'!$AC$2&amp;'Output annual'!$AD$2&amp;"*Zone People Number Of Occupants [](Hourly)",'Eplus results'!$1:$1048576,ROW(),FALSE)</f>
        <v>0</v>
      </c>
      <c r="AC3621" s="580">
        <f>HLOOKUP("*"&amp;'Output annual'!$AC$2&amp;'Output annual'!$AD$2&amp;"*FangerPMV(Hourly)",'Eplus results'!$1:$1048576,ROW(),FALSE)</f>
        <v>0</v>
      </c>
      <c r="AD3621" s="580">
        <f t="shared" si="316"/>
        <v>5</v>
      </c>
      <c r="AE3621" s="580">
        <f t="shared" si="317"/>
        <v>2.5</v>
      </c>
      <c r="AF3621" s="580">
        <f t="shared" si="318"/>
        <v>2.5</v>
      </c>
      <c r="AG3621" s="580">
        <f t="shared" si="319"/>
        <v>0</v>
      </c>
      <c r="AH3621" s="580">
        <f t="shared" si="320"/>
        <v>0</v>
      </c>
    </row>
    <row r="3622" spans="28:34">
      <c r="AB3622" s="580">
        <f>HLOOKUP("*"&amp;'Output annual'!$AC$2&amp;'Output annual'!$AD$2&amp;"*Zone People Number Of Occupants [](Hourly)",'Eplus results'!$1:$1048576,ROW(),FALSE)</f>
        <v>0</v>
      </c>
      <c r="AC3622" s="580">
        <f>HLOOKUP("*"&amp;'Output annual'!$AC$2&amp;'Output annual'!$AD$2&amp;"*FangerPMV(Hourly)",'Eplus results'!$1:$1048576,ROW(),FALSE)</f>
        <v>0</v>
      </c>
      <c r="AD3622" s="580">
        <f t="shared" si="316"/>
        <v>5</v>
      </c>
      <c r="AE3622" s="580">
        <f t="shared" si="317"/>
        <v>2.5</v>
      </c>
      <c r="AF3622" s="580">
        <f t="shared" si="318"/>
        <v>2.5</v>
      </c>
      <c r="AG3622" s="580">
        <f t="shared" si="319"/>
        <v>0</v>
      </c>
      <c r="AH3622" s="580">
        <f t="shared" si="320"/>
        <v>0</v>
      </c>
    </row>
    <row r="3623" spans="28:34">
      <c r="AB3623" s="580">
        <f>HLOOKUP("*"&amp;'Output annual'!$AC$2&amp;'Output annual'!$AD$2&amp;"*Zone People Number Of Occupants [](Hourly)",'Eplus results'!$1:$1048576,ROW(),FALSE)</f>
        <v>0</v>
      </c>
      <c r="AC3623" s="580">
        <f>HLOOKUP("*"&amp;'Output annual'!$AC$2&amp;'Output annual'!$AD$2&amp;"*FangerPMV(Hourly)",'Eplus results'!$1:$1048576,ROW(),FALSE)</f>
        <v>0</v>
      </c>
      <c r="AD3623" s="580">
        <f t="shared" si="316"/>
        <v>5</v>
      </c>
      <c r="AE3623" s="580">
        <f t="shared" si="317"/>
        <v>2.5</v>
      </c>
      <c r="AF3623" s="580">
        <f t="shared" si="318"/>
        <v>2.5</v>
      </c>
      <c r="AG3623" s="580">
        <f t="shared" si="319"/>
        <v>0</v>
      </c>
      <c r="AH3623" s="580">
        <f t="shared" si="320"/>
        <v>0</v>
      </c>
    </row>
    <row r="3624" spans="28:34">
      <c r="AB3624" s="580">
        <f>HLOOKUP("*"&amp;'Output annual'!$AC$2&amp;'Output annual'!$AD$2&amp;"*Zone People Number Of Occupants [](Hourly)",'Eplus results'!$1:$1048576,ROW(),FALSE)</f>
        <v>0</v>
      </c>
      <c r="AC3624" s="580">
        <f>HLOOKUP("*"&amp;'Output annual'!$AC$2&amp;'Output annual'!$AD$2&amp;"*FangerPMV(Hourly)",'Eplus results'!$1:$1048576,ROW(),FALSE)</f>
        <v>0</v>
      </c>
      <c r="AD3624" s="580">
        <f t="shared" si="316"/>
        <v>5</v>
      </c>
      <c r="AE3624" s="580">
        <f t="shared" si="317"/>
        <v>2.5</v>
      </c>
      <c r="AF3624" s="580">
        <f t="shared" si="318"/>
        <v>2.5</v>
      </c>
      <c r="AG3624" s="580">
        <f t="shared" si="319"/>
        <v>0</v>
      </c>
      <c r="AH3624" s="580">
        <f t="shared" si="320"/>
        <v>0</v>
      </c>
    </row>
    <row r="3625" spans="28:34">
      <c r="AB3625" s="580">
        <f>HLOOKUP("*"&amp;'Output annual'!$AC$2&amp;'Output annual'!$AD$2&amp;"*Zone People Number Of Occupants [](Hourly)",'Eplus results'!$1:$1048576,ROW(),FALSE)</f>
        <v>0</v>
      </c>
      <c r="AC3625" s="580">
        <f>HLOOKUP("*"&amp;'Output annual'!$AC$2&amp;'Output annual'!$AD$2&amp;"*FangerPMV(Hourly)",'Eplus results'!$1:$1048576,ROW(),FALSE)</f>
        <v>0</v>
      </c>
      <c r="AD3625" s="580">
        <f t="shared" si="316"/>
        <v>5</v>
      </c>
      <c r="AE3625" s="580">
        <f t="shared" si="317"/>
        <v>2.5</v>
      </c>
      <c r="AF3625" s="580">
        <f t="shared" si="318"/>
        <v>2.5</v>
      </c>
      <c r="AG3625" s="580">
        <f t="shared" si="319"/>
        <v>0</v>
      </c>
      <c r="AH3625" s="580">
        <f t="shared" si="320"/>
        <v>0</v>
      </c>
    </row>
    <row r="3626" spans="28:34">
      <c r="AB3626" s="580">
        <f>HLOOKUP("*"&amp;'Output annual'!$AC$2&amp;'Output annual'!$AD$2&amp;"*Zone People Number Of Occupants [](Hourly)",'Eplus results'!$1:$1048576,ROW(),FALSE)</f>
        <v>0</v>
      </c>
      <c r="AC3626" s="580">
        <f>HLOOKUP("*"&amp;'Output annual'!$AC$2&amp;'Output annual'!$AD$2&amp;"*FangerPMV(Hourly)",'Eplus results'!$1:$1048576,ROW(),FALSE)</f>
        <v>0</v>
      </c>
      <c r="AD3626" s="580">
        <f t="shared" si="316"/>
        <v>5</v>
      </c>
      <c r="AE3626" s="580">
        <f t="shared" si="317"/>
        <v>2.5</v>
      </c>
      <c r="AF3626" s="580">
        <f t="shared" si="318"/>
        <v>2.5</v>
      </c>
      <c r="AG3626" s="580">
        <f t="shared" si="319"/>
        <v>0</v>
      </c>
      <c r="AH3626" s="580">
        <f t="shared" si="320"/>
        <v>0</v>
      </c>
    </row>
    <row r="3627" spans="28:34">
      <c r="AB3627" s="580">
        <f>HLOOKUP("*"&amp;'Output annual'!$AC$2&amp;'Output annual'!$AD$2&amp;"*Zone People Number Of Occupants [](Hourly)",'Eplus results'!$1:$1048576,ROW(),FALSE)</f>
        <v>0</v>
      </c>
      <c r="AC3627" s="580">
        <f>HLOOKUP("*"&amp;'Output annual'!$AC$2&amp;'Output annual'!$AD$2&amp;"*FangerPMV(Hourly)",'Eplus results'!$1:$1048576,ROW(),FALSE)</f>
        <v>0</v>
      </c>
      <c r="AD3627" s="580">
        <f t="shared" si="316"/>
        <v>5</v>
      </c>
      <c r="AE3627" s="580">
        <f t="shared" si="317"/>
        <v>2.5</v>
      </c>
      <c r="AF3627" s="580">
        <f t="shared" si="318"/>
        <v>2.5</v>
      </c>
      <c r="AG3627" s="580">
        <f t="shared" si="319"/>
        <v>0</v>
      </c>
      <c r="AH3627" s="580">
        <f t="shared" si="320"/>
        <v>0</v>
      </c>
    </row>
    <row r="3628" spans="28:34">
      <c r="AB3628" s="580">
        <f>HLOOKUP("*"&amp;'Output annual'!$AC$2&amp;'Output annual'!$AD$2&amp;"*Zone People Number Of Occupants [](Hourly)",'Eplus results'!$1:$1048576,ROW(),FALSE)</f>
        <v>0</v>
      </c>
      <c r="AC3628" s="580">
        <f>HLOOKUP("*"&amp;'Output annual'!$AC$2&amp;'Output annual'!$AD$2&amp;"*FangerPMV(Hourly)",'Eplus results'!$1:$1048576,ROW(),FALSE)</f>
        <v>0</v>
      </c>
      <c r="AD3628" s="580">
        <f t="shared" si="316"/>
        <v>5</v>
      </c>
      <c r="AE3628" s="580">
        <f t="shared" si="317"/>
        <v>2.5</v>
      </c>
      <c r="AF3628" s="580">
        <f t="shared" si="318"/>
        <v>2.5</v>
      </c>
      <c r="AG3628" s="580">
        <f t="shared" si="319"/>
        <v>0</v>
      </c>
      <c r="AH3628" s="580">
        <f t="shared" si="320"/>
        <v>0</v>
      </c>
    </row>
    <row r="3629" spans="28:34">
      <c r="AB3629" s="580">
        <f>HLOOKUP("*"&amp;'Output annual'!$AC$2&amp;'Output annual'!$AD$2&amp;"*Zone People Number Of Occupants [](Hourly)",'Eplus results'!$1:$1048576,ROW(),FALSE)</f>
        <v>0</v>
      </c>
      <c r="AC3629" s="580">
        <f>HLOOKUP("*"&amp;'Output annual'!$AC$2&amp;'Output annual'!$AD$2&amp;"*FangerPMV(Hourly)",'Eplus results'!$1:$1048576,ROW(),FALSE)</f>
        <v>0</v>
      </c>
      <c r="AD3629" s="580">
        <f t="shared" si="316"/>
        <v>5</v>
      </c>
      <c r="AE3629" s="580">
        <f t="shared" si="317"/>
        <v>2.5</v>
      </c>
      <c r="AF3629" s="580">
        <f t="shared" si="318"/>
        <v>2.5</v>
      </c>
      <c r="AG3629" s="580">
        <f t="shared" si="319"/>
        <v>0</v>
      </c>
      <c r="AH3629" s="580">
        <f t="shared" si="320"/>
        <v>0</v>
      </c>
    </row>
    <row r="3630" spans="28:34">
      <c r="AB3630" s="580">
        <f>HLOOKUP("*"&amp;'Output annual'!$AC$2&amp;'Output annual'!$AD$2&amp;"*Zone People Number Of Occupants [](Hourly)",'Eplus results'!$1:$1048576,ROW(),FALSE)</f>
        <v>0</v>
      </c>
      <c r="AC3630" s="580">
        <f>HLOOKUP("*"&amp;'Output annual'!$AC$2&amp;'Output annual'!$AD$2&amp;"*FangerPMV(Hourly)",'Eplus results'!$1:$1048576,ROW(),FALSE)</f>
        <v>0</v>
      </c>
      <c r="AD3630" s="580">
        <f t="shared" si="316"/>
        <v>5</v>
      </c>
      <c r="AE3630" s="580">
        <f t="shared" si="317"/>
        <v>2.5</v>
      </c>
      <c r="AF3630" s="580">
        <f t="shared" si="318"/>
        <v>2.5</v>
      </c>
      <c r="AG3630" s="580">
        <f t="shared" si="319"/>
        <v>0</v>
      </c>
      <c r="AH3630" s="580">
        <f t="shared" si="320"/>
        <v>0</v>
      </c>
    </row>
    <row r="3631" spans="28:34">
      <c r="AB3631" s="580">
        <f>HLOOKUP("*"&amp;'Output annual'!$AC$2&amp;'Output annual'!$AD$2&amp;"*Zone People Number Of Occupants [](Hourly)",'Eplus results'!$1:$1048576,ROW(),FALSE)</f>
        <v>0</v>
      </c>
      <c r="AC3631" s="580">
        <f>HLOOKUP("*"&amp;'Output annual'!$AC$2&amp;'Output annual'!$AD$2&amp;"*FangerPMV(Hourly)",'Eplus results'!$1:$1048576,ROW(),FALSE)</f>
        <v>0</v>
      </c>
      <c r="AD3631" s="580">
        <f t="shared" si="316"/>
        <v>5</v>
      </c>
      <c r="AE3631" s="580">
        <f t="shared" si="317"/>
        <v>2.5</v>
      </c>
      <c r="AF3631" s="580">
        <f t="shared" si="318"/>
        <v>2.5</v>
      </c>
      <c r="AG3631" s="580">
        <f t="shared" si="319"/>
        <v>0</v>
      </c>
      <c r="AH3631" s="580">
        <f t="shared" si="320"/>
        <v>0</v>
      </c>
    </row>
    <row r="3632" spans="28:34">
      <c r="AB3632" s="580">
        <f>HLOOKUP("*"&amp;'Output annual'!$AC$2&amp;'Output annual'!$AD$2&amp;"*Zone People Number Of Occupants [](Hourly)",'Eplus results'!$1:$1048576,ROW(),FALSE)</f>
        <v>0</v>
      </c>
      <c r="AC3632" s="580">
        <f>HLOOKUP("*"&amp;'Output annual'!$AC$2&amp;'Output annual'!$AD$2&amp;"*FangerPMV(Hourly)",'Eplus results'!$1:$1048576,ROW(),FALSE)</f>
        <v>0</v>
      </c>
      <c r="AD3632" s="580">
        <f t="shared" si="316"/>
        <v>5</v>
      </c>
      <c r="AE3632" s="580">
        <f t="shared" si="317"/>
        <v>2.5</v>
      </c>
      <c r="AF3632" s="580">
        <f t="shared" si="318"/>
        <v>2.5</v>
      </c>
      <c r="AG3632" s="580">
        <f t="shared" si="319"/>
        <v>0</v>
      </c>
      <c r="AH3632" s="580">
        <f t="shared" si="320"/>
        <v>0</v>
      </c>
    </row>
    <row r="3633" spans="28:34">
      <c r="AB3633" s="580">
        <f>HLOOKUP("*"&amp;'Output annual'!$AC$2&amp;'Output annual'!$AD$2&amp;"*Zone People Number Of Occupants [](Hourly)",'Eplus results'!$1:$1048576,ROW(),FALSE)</f>
        <v>0</v>
      </c>
      <c r="AC3633" s="580">
        <f>HLOOKUP("*"&amp;'Output annual'!$AC$2&amp;'Output annual'!$AD$2&amp;"*FangerPMV(Hourly)",'Eplus results'!$1:$1048576,ROW(),FALSE)</f>
        <v>0</v>
      </c>
      <c r="AD3633" s="580">
        <f t="shared" si="316"/>
        <v>5</v>
      </c>
      <c r="AE3633" s="580">
        <f t="shared" si="317"/>
        <v>2.5</v>
      </c>
      <c r="AF3633" s="580">
        <f t="shared" si="318"/>
        <v>2.5</v>
      </c>
      <c r="AG3633" s="580">
        <f t="shared" si="319"/>
        <v>0</v>
      </c>
      <c r="AH3633" s="580">
        <f t="shared" si="320"/>
        <v>0</v>
      </c>
    </row>
    <row r="3634" spans="28:34">
      <c r="AB3634" s="580">
        <f>HLOOKUP("*"&amp;'Output annual'!$AC$2&amp;'Output annual'!$AD$2&amp;"*Zone People Number Of Occupants [](Hourly)",'Eplus results'!$1:$1048576,ROW(),FALSE)</f>
        <v>0</v>
      </c>
      <c r="AC3634" s="580">
        <f>HLOOKUP("*"&amp;'Output annual'!$AC$2&amp;'Output annual'!$AD$2&amp;"*FangerPMV(Hourly)",'Eplus results'!$1:$1048576,ROW(),FALSE)</f>
        <v>0</v>
      </c>
      <c r="AD3634" s="580">
        <f t="shared" si="316"/>
        <v>5</v>
      </c>
      <c r="AE3634" s="580">
        <f t="shared" si="317"/>
        <v>2.5</v>
      </c>
      <c r="AF3634" s="580">
        <f t="shared" si="318"/>
        <v>2.5</v>
      </c>
      <c r="AG3634" s="580">
        <f t="shared" si="319"/>
        <v>0</v>
      </c>
      <c r="AH3634" s="580">
        <f t="shared" si="320"/>
        <v>0</v>
      </c>
    </row>
    <row r="3635" spans="28:34">
      <c r="AB3635" s="580">
        <f>HLOOKUP("*"&amp;'Output annual'!$AC$2&amp;'Output annual'!$AD$2&amp;"*Zone People Number Of Occupants [](Hourly)",'Eplus results'!$1:$1048576,ROW(),FALSE)</f>
        <v>0</v>
      </c>
      <c r="AC3635" s="580">
        <f>HLOOKUP("*"&amp;'Output annual'!$AC$2&amp;'Output annual'!$AD$2&amp;"*FangerPMV(Hourly)",'Eplus results'!$1:$1048576,ROW(),FALSE)</f>
        <v>0</v>
      </c>
      <c r="AD3635" s="580">
        <f t="shared" si="316"/>
        <v>5</v>
      </c>
      <c r="AE3635" s="580">
        <f t="shared" si="317"/>
        <v>2.5</v>
      </c>
      <c r="AF3635" s="580">
        <f t="shared" si="318"/>
        <v>2.5</v>
      </c>
      <c r="AG3635" s="580">
        <f t="shared" si="319"/>
        <v>0</v>
      </c>
      <c r="AH3635" s="580">
        <f t="shared" si="320"/>
        <v>0</v>
      </c>
    </row>
    <row r="3636" spans="28:34">
      <c r="AB3636" s="580">
        <f>HLOOKUP("*"&amp;'Output annual'!$AC$2&amp;'Output annual'!$AD$2&amp;"*Zone People Number Of Occupants [](Hourly)",'Eplus results'!$1:$1048576,ROW(),FALSE)</f>
        <v>0</v>
      </c>
      <c r="AC3636" s="580">
        <f>HLOOKUP("*"&amp;'Output annual'!$AC$2&amp;'Output annual'!$AD$2&amp;"*FangerPMV(Hourly)",'Eplus results'!$1:$1048576,ROW(),FALSE)</f>
        <v>0</v>
      </c>
      <c r="AD3636" s="580">
        <f t="shared" si="316"/>
        <v>5</v>
      </c>
      <c r="AE3636" s="580">
        <f t="shared" si="317"/>
        <v>2.5</v>
      </c>
      <c r="AF3636" s="580">
        <f t="shared" si="318"/>
        <v>2.5</v>
      </c>
      <c r="AG3636" s="580">
        <f t="shared" si="319"/>
        <v>0</v>
      </c>
      <c r="AH3636" s="580">
        <f t="shared" si="320"/>
        <v>0</v>
      </c>
    </row>
    <row r="3637" spans="28:34">
      <c r="AB3637" s="580">
        <f>HLOOKUP("*"&amp;'Output annual'!$AC$2&amp;'Output annual'!$AD$2&amp;"*Zone People Number Of Occupants [](Hourly)",'Eplus results'!$1:$1048576,ROW(),FALSE)</f>
        <v>0</v>
      </c>
      <c r="AC3637" s="580">
        <f>HLOOKUP("*"&amp;'Output annual'!$AC$2&amp;'Output annual'!$AD$2&amp;"*FangerPMV(Hourly)",'Eplus results'!$1:$1048576,ROW(),FALSE)</f>
        <v>0</v>
      </c>
      <c r="AD3637" s="580">
        <f t="shared" si="316"/>
        <v>5</v>
      </c>
      <c r="AE3637" s="580">
        <f t="shared" si="317"/>
        <v>2.5</v>
      </c>
      <c r="AF3637" s="580">
        <f t="shared" si="318"/>
        <v>2.5</v>
      </c>
      <c r="AG3637" s="580">
        <f t="shared" si="319"/>
        <v>0</v>
      </c>
      <c r="AH3637" s="580">
        <f t="shared" si="320"/>
        <v>0</v>
      </c>
    </row>
    <row r="3638" spans="28:34">
      <c r="AB3638" s="580">
        <f>HLOOKUP("*"&amp;'Output annual'!$AC$2&amp;'Output annual'!$AD$2&amp;"*Zone People Number Of Occupants [](Hourly)",'Eplus results'!$1:$1048576,ROW(),FALSE)</f>
        <v>0</v>
      </c>
      <c r="AC3638" s="580">
        <f>HLOOKUP("*"&amp;'Output annual'!$AC$2&amp;'Output annual'!$AD$2&amp;"*FangerPMV(Hourly)",'Eplus results'!$1:$1048576,ROW(),FALSE)</f>
        <v>0</v>
      </c>
      <c r="AD3638" s="580">
        <f t="shared" si="316"/>
        <v>5</v>
      </c>
      <c r="AE3638" s="580">
        <f t="shared" si="317"/>
        <v>2.5</v>
      </c>
      <c r="AF3638" s="580">
        <f t="shared" si="318"/>
        <v>2.5</v>
      </c>
      <c r="AG3638" s="580">
        <f t="shared" si="319"/>
        <v>0</v>
      </c>
      <c r="AH3638" s="580">
        <f t="shared" si="320"/>
        <v>0</v>
      </c>
    </row>
    <row r="3639" spans="28:34">
      <c r="AB3639" s="580">
        <f>HLOOKUP("*"&amp;'Output annual'!$AC$2&amp;'Output annual'!$AD$2&amp;"*Zone People Number Of Occupants [](Hourly)",'Eplus results'!$1:$1048576,ROW(),FALSE)</f>
        <v>0</v>
      </c>
      <c r="AC3639" s="580">
        <f>HLOOKUP("*"&amp;'Output annual'!$AC$2&amp;'Output annual'!$AD$2&amp;"*FangerPMV(Hourly)",'Eplus results'!$1:$1048576,ROW(),FALSE)</f>
        <v>0</v>
      </c>
      <c r="AD3639" s="580">
        <f t="shared" si="316"/>
        <v>5</v>
      </c>
      <c r="AE3639" s="580">
        <f t="shared" si="317"/>
        <v>2.5</v>
      </c>
      <c r="AF3639" s="580">
        <f t="shared" si="318"/>
        <v>2.5</v>
      </c>
      <c r="AG3639" s="580">
        <f t="shared" si="319"/>
        <v>0</v>
      </c>
      <c r="AH3639" s="580">
        <f t="shared" si="320"/>
        <v>0</v>
      </c>
    </row>
    <row r="3640" spans="28:34">
      <c r="AB3640" s="580">
        <f>HLOOKUP("*"&amp;'Output annual'!$AC$2&amp;'Output annual'!$AD$2&amp;"*Zone People Number Of Occupants [](Hourly)",'Eplus results'!$1:$1048576,ROW(),FALSE)</f>
        <v>0</v>
      </c>
      <c r="AC3640" s="580">
        <f>HLOOKUP("*"&amp;'Output annual'!$AC$2&amp;'Output annual'!$AD$2&amp;"*FangerPMV(Hourly)",'Eplus results'!$1:$1048576,ROW(),FALSE)</f>
        <v>0</v>
      </c>
      <c r="AD3640" s="580">
        <f t="shared" si="316"/>
        <v>5</v>
      </c>
      <c r="AE3640" s="580">
        <f t="shared" si="317"/>
        <v>2.5</v>
      </c>
      <c r="AF3640" s="580">
        <f t="shared" si="318"/>
        <v>2.5</v>
      </c>
      <c r="AG3640" s="580">
        <f t="shared" si="319"/>
        <v>0</v>
      </c>
      <c r="AH3640" s="580">
        <f t="shared" si="320"/>
        <v>0</v>
      </c>
    </row>
    <row r="3641" spans="28:34">
      <c r="AB3641" s="580">
        <f>HLOOKUP("*"&amp;'Output annual'!$AC$2&amp;'Output annual'!$AD$2&amp;"*Zone People Number Of Occupants [](Hourly)",'Eplus results'!$1:$1048576,ROW(),FALSE)</f>
        <v>0</v>
      </c>
      <c r="AC3641" s="580">
        <f>HLOOKUP("*"&amp;'Output annual'!$AC$2&amp;'Output annual'!$AD$2&amp;"*FangerPMV(Hourly)",'Eplus results'!$1:$1048576,ROW(),FALSE)</f>
        <v>0</v>
      </c>
      <c r="AD3641" s="580">
        <f t="shared" si="316"/>
        <v>5</v>
      </c>
      <c r="AE3641" s="580">
        <f t="shared" si="317"/>
        <v>2.5</v>
      </c>
      <c r="AF3641" s="580">
        <f t="shared" si="318"/>
        <v>2.5</v>
      </c>
      <c r="AG3641" s="580">
        <f t="shared" si="319"/>
        <v>0</v>
      </c>
      <c r="AH3641" s="580">
        <f t="shared" si="320"/>
        <v>0</v>
      </c>
    </row>
    <row r="3642" spans="28:34">
      <c r="AB3642" s="580">
        <f>HLOOKUP("*"&amp;'Output annual'!$AC$2&amp;'Output annual'!$AD$2&amp;"*Zone People Number Of Occupants [](Hourly)",'Eplus results'!$1:$1048576,ROW(),FALSE)</f>
        <v>0</v>
      </c>
      <c r="AC3642" s="580">
        <f>HLOOKUP("*"&amp;'Output annual'!$AC$2&amp;'Output annual'!$AD$2&amp;"*FangerPMV(Hourly)",'Eplus results'!$1:$1048576,ROW(),FALSE)</f>
        <v>0</v>
      </c>
      <c r="AD3642" s="580">
        <f t="shared" si="316"/>
        <v>5</v>
      </c>
      <c r="AE3642" s="580">
        <f t="shared" si="317"/>
        <v>2.5</v>
      </c>
      <c r="AF3642" s="580">
        <f t="shared" si="318"/>
        <v>2.5</v>
      </c>
      <c r="AG3642" s="580">
        <f t="shared" si="319"/>
        <v>0</v>
      </c>
      <c r="AH3642" s="580">
        <f t="shared" si="320"/>
        <v>0</v>
      </c>
    </row>
    <row r="3643" spans="28:34">
      <c r="AB3643" s="580">
        <f>HLOOKUP("*"&amp;'Output annual'!$AC$2&amp;'Output annual'!$AD$2&amp;"*Zone People Number Of Occupants [](Hourly)",'Eplus results'!$1:$1048576,ROW(),FALSE)</f>
        <v>0</v>
      </c>
      <c r="AC3643" s="580">
        <f>HLOOKUP("*"&amp;'Output annual'!$AC$2&amp;'Output annual'!$AD$2&amp;"*FangerPMV(Hourly)",'Eplus results'!$1:$1048576,ROW(),FALSE)</f>
        <v>0</v>
      </c>
      <c r="AD3643" s="580">
        <f t="shared" si="316"/>
        <v>5</v>
      </c>
      <c r="AE3643" s="580">
        <f t="shared" si="317"/>
        <v>2.5</v>
      </c>
      <c r="AF3643" s="580">
        <f t="shared" si="318"/>
        <v>2.5</v>
      </c>
      <c r="AG3643" s="580">
        <f t="shared" si="319"/>
        <v>0</v>
      </c>
      <c r="AH3643" s="580">
        <f t="shared" si="320"/>
        <v>0</v>
      </c>
    </row>
    <row r="3644" spans="28:34">
      <c r="AB3644" s="580">
        <f>HLOOKUP("*"&amp;'Output annual'!$AC$2&amp;'Output annual'!$AD$2&amp;"*Zone People Number Of Occupants [](Hourly)",'Eplus results'!$1:$1048576,ROW(),FALSE)</f>
        <v>0</v>
      </c>
      <c r="AC3644" s="580">
        <f>HLOOKUP("*"&amp;'Output annual'!$AC$2&amp;'Output annual'!$AD$2&amp;"*FangerPMV(Hourly)",'Eplus results'!$1:$1048576,ROW(),FALSE)</f>
        <v>0</v>
      </c>
      <c r="AD3644" s="580">
        <f t="shared" si="316"/>
        <v>5</v>
      </c>
      <c r="AE3644" s="580">
        <f t="shared" si="317"/>
        <v>2.5</v>
      </c>
      <c r="AF3644" s="580">
        <f t="shared" si="318"/>
        <v>2.5</v>
      </c>
      <c r="AG3644" s="580">
        <f t="shared" si="319"/>
        <v>0</v>
      </c>
      <c r="AH3644" s="580">
        <f t="shared" si="320"/>
        <v>0</v>
      </c>
    </row>
    <row r="3645" spans="28:34">
      <c r="AB3645" s="580">
        <f>HLOOKUP("*"&amp;'Output annual'!$AC$2&amp;'Output annual'!$AD$2&amp;"*Zone People Number Of Occupants [](Hourly)",'Eplus results'!$1:$1048576,ROW(),FALSE)</f>
        <v>0</v>
      </c>
      <c r="AC3645" s="580">
        <f>HLOOKUP("*"&amp;'Output annual'!$AC$2&amp;'Output annual'!$AD$2&amp;"*FangerPMV(Hourly)",'Eplus results'!$1:$1048576,ROW(),FALSE)</f>
        <v>0</v>
      </c>
      <c r="AD3645" s="580">
        <f t="shared" si="316"/>
        <v>5</v>
      </c>
      <c r="AE3645" s="580">
        <f t="shared" si="317"/>
        <v>2.5</v>
      </c>
      <c r="AF3645" s="580">
        <f t="shared" si="318"/>
        <v>2.5</v>
      </c>
      <c r="AG3645" s="580">
        <f t="shared" si="319"/>
        <v>0</v>
      </c>
      <c r="AH3645" s="580">
        <f t="shared" si="320"/>
        <v>0</v>
      </c>
    </row>
    <row r="3646" spans="28:34">
      <c r="AB3646" s="580">
        <f>HLOOKUP("*"&amp;'Output annual'!$AC$2&amp;'Output annual'!$AD$2&amp;"*Zone People Number Of Occupants [](Hourly)",'Eplus results'!$1:$1048576,ROW(),FALSE)</f>
        <v>0</v>
      </c>
      <c r="AC3646" s="580">
        <f>HLOOKUP("*"&amp;'Output annual'!$AC$2&amp;'Output annual'!$AD$2&amp;"*FangerPMV(Hourly)",'Eplus results'!$1:$1048576,ROW(),FALSE)</f>
        <v>0</v>
      </c>
      <c r="AD3646" s="580">
        <f t="shared" si="316"/>
        <v>5</v>
      </c>
      <c r="AE3646" s="580">
        <f t="shared" si="317"/>
        <v>2.5</v>
      </c>
      <c r="AF3646" s="580">
        <f t="shared" si="318"/>
        <v>2.5</v>
      </c>
      <c r="AG3646" s="580">
        <f t="shared" si="319"/>
        <v>0</v>
      </c>
      <c r="AH3646" s="580">
        <f t="shared" si="320"/>
        <v>0</v>
      </c>
    </row>
    <row r="3647" spans="28:34">
      <c r="AB3647" s="580">
        <f>HLOOKUP("*"&amp;'Output annual'!$AC$2&amp;'Output annual'!$AD$2&amp;"*Zone People Number Of Occupants [](Hourly)",'Eplus results'!$1:$1048576,ROW(),FALSE)</f>
        <v>0</v>
      </c>
      <c r="AC3647" s="580">
        <f>HLOOKUP("*"&amp;'Output annual'!$AC$2&amp;'Output annual'!$AD$2&amp;"*FangerPMV(Hourly)",'Eplus results'!$1:$1048576,ROW(),FALSE)</f>
        <v>0</v>
      </c>
      <c r="AD3647" s="580">
        <f t="shared" si="316"/>
        <v>5</v>
      </c>
      <c r="AE3647" s="580">
        <f t="shared" si="317"/>
        <v>2.5</v>
      </c>
      <c r="AF3647" s="580">
        <f t="shared" si="318"/>
        <v>2.5</v>
      </c>
      <c r="AG3647" s="580">
        <f t="shared" si="319"/>
        <v>0</v>
      </c>
      <c r="AH3647" s="580">
        <f t="shared" si="320"/>
        <v>0</v>
      </c>
    </row>
    <row r="3648" spans="28:34">
      <c r="AB3648" s="580">
        <f>HLOOKUP("*"&amp;'Output annual'!$AC$2&amp;'Output annual'!$AD$2&amp;"*Zone People Number Of Occupants [](Hourly)",'Eplus results'!$1:$1048576,ROW(),FALSE)</f>
        <v>0</v>
      </c>
      <c r="AC3648" s="580">
        <f>HLOOKUP("*"&amp;'Output annual'!$AC$2&amp;'Output annual'!$AD$2&amp;"*FangerPMV(Hourly)",'Eplus results'!$1:$1048576,ROW(),FALSE)</f>
        <v>0</v>
      </c>
      <c r="AD3648" s="580">
        <f t="shared" si="316"/>
        <v>5</v>
      </c>
      <c r="AE3648" s="580">
        <f t="shared" si="317"/>
        <v>2.5</v>
      </c>
      <c r="AF3648" s="580">
        <f t="shared" si="318"/>
        <v>2.5</v>
      </c>
      <c r="AG3648" s="580">
        <f t="shared" si="319"/>
        <v>0</v>
      </c>
      <c r="AH3648" s="580">
        <f t="shared" si="320"/>
        <v>0</v>
      </c>
    </row>
    <row r="3649" spans="28:34">
      <c r="AB3649" s="580">
        <f>HLOOKUP("*"&amp;'Output annual'!$AC$2&amp;'Output annual'!$AD$2&amp;"*Zone People Number Of Occupants [](Hourly)",'Eplus results'!$1:$1048576,ROW(),FALSE)</f>
        <v>0</v>
      </c>
      <c r="AC3649" s="580">
        <f>HLOOKUP("*"&amp;'Output annual'!$AC$2&amp;'Output annual'!$AD$2&amp;"*FangerPMV(Hourly)",'Eplus results'!$1:$1048576,ROW(),FALSE)</f>
        <v>0</v>
      </c>
      <c r="AD3649" s="580">
        <f t="shared" si="316"/>
        <v>5</v>
      </c>
      <c r="AE3649" s="580">
        <f t="shared" si="317"/>
        <v>2.5</v>
      </c>
      <c r="AF3649" s="580">
        <f t="shared" si="318"/>
        <v>2.5</v>
      </c>
      <c r="AG3649" s="580">
        <f t="shared" si="319"/>
        <v>0</v>
      </c>
      <c r="AH3649" s="580">
        <f t="shared" si="320"/>
        <v>0</v>
      </c>
    </row>
    <row r="3650" spans="28:34">
      <c r="AB3650" s="580">
        <f>HLOOKUP("*"&amp;'Output annual'!$AC$2&amp;'Output annual'!$AD$2&amp;"*Zone People Number Of Occupants [](Hourly)",'Eplus results'!$1:$1048576,ROW(),FALSE)</f>
        <v>0</v>
      </c>
      <c r="AC3650" s="580">
        <f>HLOOKUP("*"&amp;'Output annual'!$AC$2&amp;'Output annual'!$AD$2&amp;"*FangerPMV(Hourly)",'Eplus results'!$1:$1048576,ROW(),FALSE)</f>
        <v>0</v>
      </c>
      <c r="AD3650" s="580">
        <f t="shared" si="316"/>
        <v>5</v>
      </c>
      <c r="AE3650" s="580">
        <f t="shared" si="317"/>
        <v>2.5</v>
      </c>
      <c r="AF3650" s="580">
        <f t="shared" si="318"/>
        <v>2.5</v>
      </c>
      <c r="AG3650" s="580">
        <f t="shared" si="319"/>
        <v>0</v>
      </c>
      <c r="AH3650" s="580">
        <f t="shared" si="320"/>
        <v>0</v>
      </c>
    </row>
    <row r="3651" spans="28:34">
      <c r="AB3651" s="580">
        <f>HLOOKUP("*"&amp;'Output annual'!$AC$2&amp;'Output annual'!$AD$2&amp;"*Zone People Number Of Occupants [](Hourly)",'Eplus results'!$1:$1048576,ROW(),FALSE)</f>
        <v>0</v>
      </c>
      <c r="AC3651" s="580">
        <f>HLOOKUP("*"&amp;'Output annual'!$AC$2&amp;'Output annual'!$AD$2&amp;"*FangerPMV(Hourly)",'Eplus results'!$1:$1048576,ROW(),FALSE)</f>
        <v>0</v>
      </c>
      <c r="AD3651" s="580">
        <f t="shared" ref="AD3651:AD3714" si="321">100-95*EXP(-0.03353*AC3651^4-0.2179*AC3651^2)</f>
        <v>5</v>
      </c>
      <c r="AE3651" s="580">
        <f t="shared" ref="AE3651:AE3714" si="322">AD3651*(1/(1+EXP(-6.3*$AC3651)))</f>
        <v>2.5</v>
      </c>
      <c r="AF3651" s="580">
        <f t="shared" ref="AF3651:AF3714" si="323">(AD3651-AE3651)</f>
        <v>2.5</v>
      </c>
      <c r="AG3651" s="580">
        <f t="shared" ref="AG3651:AG3714" si="324">AE3651*AB3651</f>
        <v>0</v>
      </c>
      <c r="AH3651" s="580">
        <f t="shared" ref="AH3651:AH3714" si="325">AF3651*AB3651</f>
        <v>0</v>
      </c>
    </row>
    <row r="3652" spans="28:34">
      <c r="AB3652" s="580">
        <f>HLOOKUP("*"&amp;'Output annual'!$AC$2&amp;'Output annual'!$AD$2&amp;"*Zone People Number Of Occupants [](Hourly)",'Eplus results'!$1:$1048576,ROW(),FALSE)</f>
        <v>0</v>
      </c>
      <c r="AC3652" s="580">
        <f>HLOOKUP("*"&amp;'Output annual'!$AC$2&amp;'Output annual'!$AD$2&amp;"*FangerPMV(Hourly)",'Eplus results'!$1:$1048576,ROW(),FALSE)</f>
        <v>0</v>
      </c>
      <c r="AD3652" s="580">
        <f t="shared" si="321"/>
        <v>5</v>
      </c>
      <c r="AE3652" s="580">
        <f t="shared" si="322"/>
        <v>2.5</v>
      </c>
      <c r="AF3652" s="580">
        <f t="shared" si="323"/>
        <v>2.5</v>
      </c>
      <c r="AG3652" s="580">
        <f t="shared" si="324"/>
        <v>0</v>
      </c>
      <c r="AH3652" s="580">
        <f t="shared" si="325"/>
        <v>0</v>
      </c>
    </row>
    <row r="3653" spans="28:34">
      <c r="AB3653" s="580">
        <f>HLOOKUP("*"&amp;'Output annual'!$AC$2&amp;'Output annual'!$AD$2&amp;"*Zone People Number Of Occupants [](Hourly)",'Eplus results'!$1:$1048576,ROW(),FALSE)</f>
        <v>0</v>
      </c>
      <c r="AC3653" s="580">
        <f>HLOOKUP("*"&amp;'Output annual'!$AC$2&amp;'Output annual'!$AD$2&amp;"*FangerPMV(Hourly)",'Eplus results'!$1:$1048576,ROW(),FALSE)</f>
        <v>0</v>
      </c>
      <c r="AD3653" s="580">
        <f t="shared" si="321"/>
        <v>5</v>
      </c>
      <c r="AE3653" s="580">
        <f t="shared" si="322"/>
        <v>2.5</v>
      </c>
      <c r="AF3653" s="580">
        <f t="shared" si="323"/>
        <v>2.5</v>
      </c>
      <c r="AG3653" s="580">
        <f t="shared" si="324"/>
        <v>0</v>
      </c>
      <c r="AH3653" s="580">
        <f t="shared" si="325"/>
        <v>0</v>
      </c>
    </row>
    <row r="3654" spans="28:34">
      <c r="AB3654" s="580">
        <f>HLOOKUP("*"&amp;'Output annual'!$AC$2&amp;'Output annual'!$AD$2&amp;"*Zone People Number Of Occupants [](Hourly)",'Eplus results'!$1:$1048576,ROW(),FALSE)</f>
        <v>0</v>
      </c>
      <c r="AC3654" s="580">
        <f>HLOOKUP("*"&amp;'Output annual'!$AC$2&amp;'Output annual'!$AD$2&amp;"*FangerPMV(Hourly)",'Eplus results'!$1:$1048576,ROW(),FALSE)</f>
        <v>0</v>
      </c>
      <c r="AD3654" s="580">
        <f t="shared" si="321"/>
        <v>5</v>
      </c>
      <c r="AE3654" s="580">
        <f t="shared" si="322"/>
        <v>2.5</v>
      </c>
      <c r="AF3654" s="580">
        <f t="shared" si="323"/>
        <v>2.5</v>
      </c>
      <c r="AG3654" s="580">
        <f t="shared" si="324"/>
        <v>0</v>
      </c>
      <c r="AH3654" s="580">
        <f t="shared" si="325"/>
        <v>0</v>
      </c>
    </row>
    <row r="3655" spans="28:34">
      <c r="AB3655" s="580">
        <f>HLOOKUP("*"&amp;'Output annual'!$AC$2&amp;'Output annual'!$AD$2&amp;"*Zone People Number Of Occupants [](Hourly)",'Eplus results'!$1:$1048576,ROW(),FALSE)</f>
        <v>0</v>
      </c>
      <c r="AC3655" s="580">
        <f>HLOOKUP("*"&amp;'Output annual'!$AC$2&amp;'Output annual'!$AD$2&amp;"*FangerPMV(Hourly)",'Eplus results'!$1:$1048576,ROW(),FALSE)</f>
        <v>0</v>
      </c>
      <c r="AD3655" s="580">
        <f t="shared" si="321"/>
        <v>5</v>
      </c>
      <c r="AE3655" s="580">
        <f t="shared" si="322"/>
        <v>2.5</v>
      </c>
      <c r="AF3655" s="580">
        <f t="shared" si="323"/>
        <v>2.5</v>
      </c>
      <c r="AG3655" s="580">
        <f t="shared" si="324"/>
        <v>0</v>
      </c>
      <c r="AH3655" s="580">
        <f t="shared" si="325"/>
        <v>0</v>
      </c>
    </row>
    <row r="3656" spans="28:34">
      <c r="AB3656" s="580">
        <f>HLOOKUP("*"&amp;'Output annual'!$AC$2&amp;'Output annual'!$AD$2&amp;"*Zone People Number Of Occupants [](Hourly)",'Eplus results'!$1:$1048576,ROW(),FALSE)</f>
        <v>0</v>
      </c>
      <c r="AC3656" s="580">
        <f>HLOOKUP("*"&amp;'Output annual'!$AC$2&amp;'Output annual'!$AD$2&amp;"*FangerPMV(Hourly)",'Eplus results'!$1:$1048576,ROW(),FALSE)</f>
        <v>0</v>
      </c>
      <c r="AD3656" s="580">
        <f t="shared" si="321"/>
        <v>5</v>
      </c>
      <c r="AE3656" s="580">
        <f t="shared" si="322"/>
        <v>2.5</v>
      </c>
      <c r="AF3656" s="580">
        <f t="shared" si="323"/>
        <v>2.5</v>
      </c>
      <c r="AG3656" s="580">
        <f t="shared" si="324"/>
        <v>0</v>
      </c>
      <c r="AH3656" s="580">
        <f t="shared" si="325"/>
        <v>0</v>
      </c>
    </row>
    <row r="3657" spans="28:34">
      <c r="AB3657" s="580">
        <f>HLOOKUP("*"&amp;'Output annual'!$AC$2&amp;'Output annual'!$AD$2&amp;"*Zone People Number Of Occupants [](Hourly)",'Eplus results'!$1:$1048576,ROW(),FALSE)</f>
        <v>0</v>
      </c>
      <c r="AC3657" s="580">
        <f>HLOOKUP("*"&amp;'Output annual'!$AC$2&amp;'Output annual'!$AD$2&amp;"*FangerPMV(Hourly)",'Eplus results'!$1:$1048576,ROW(),FALSE)</f>
        <v>0</v>
      </c>
      <c r="AD3657" s="580">
        <f t="shared" si="321"/>
        <v>5</v>
      </c>
      <c r="AE3657" s="580">
        <f t="shared" si="322"/>
        <v>2.5</v>
      </c>
      <c r="AF3657" s="580">
        <f t="shared" si="323"/>
        <v>2.5</v>
      </c>
      <c r="AG3657" s="580">
        <f t="shared" si="324"/>
        <v>0</v>
      </c>
      <c r="AH3657" s="580">
        <f t="shared" si="325"/>
        <v>0</v>
      </c>
    </row>
    <row r="3658" spans="28:34">
      <c r="AB3658" s="580">
        <f>HLOOKUP("*"&amp;'Output annual'!$AC$2&amp;'Output annual'!$AD$2&amp;"*Zone People Number Of Occupants [](Hourly)",'Eplus results'!$1:$1048576,ROW(),FALSE)</f>
        <v>0</v>
      </c>
      <c r="AC3658" s="580">
        <f>HLOOKUP("*"&amp;'Output annual'!$AC$2&amp;'Output annual'!$AD$2&amp;"*FangerPMV(Hourly)",'Eplus results'!$1:$1048576,ROW(),FALSE)</f>
        <v>0</v>
      </c>
      <c r="AD3658" s="580">
        <f t="shared" si="321"/>
        <v>5</v>
      </c>
      <c r="AE3658" s="580">
        <f t="shared" si="322"/>
        <v>2.5</v>
      </c>
      <c r="AF3658" s="580">
        <f t="shared" si="323"/>
        <v>2.5</v>
      </c>
      <c r="AG3658" s="580">
        <f t="shared" si="324"/>
        <v>0</v>
      </c>
      <c r="AH3658" s="580">
        <f t="shared" si="325"/>
        <v>0</v>
      </c>
    </row>
    <row r="3659" spans="28:34">
      <c r="AB3659" s="580">
        <f>HLOOKUP("*"&amp;'Output annual'!$AC$2&amp;'Output annual'!$AD$2&amp;"*Zone People Number Of Occupants [](Hourly)",'Eplus results'!$1:$1048576,ROW(),FALSE)</f>
        <v>0</v>
      </c>
      <c r="AC3659" s="580">
        <f>HLOOKUP("*"&amp;'Output annual'!$AC$2&amp;'Output annual'!$AD$2&amp;"*FangerPMV(Hourly)",'Eplus results'!$1:$1048576,ROW(),FALSE)</f>
        <v>0</v>
      </c>
      <c r="AD3659" s="580">
        <f t="shared" si="321"/>
        <v>5</v>
      </c>
      <c r="AE3659" s="580">
        <f t="shared" si="322"/>
        <v>2.5</v>
      </c>
      <c r="AF3659" s="580">
        <f t="shared" si="323"/>
        <v>2.5</v>
      </c>
      <c r="AG3659" s="580">
        <f t="shared" si="324"/>
        <v>0</v>
      </c>
      <c r="AH3659" s="580">
        <f t="shared" si="325"/>
        <v>0</v>
      </c>
    </row>
    <row r="3660" spans="28:34">
      <c r="AB3660" s="580">
        <f>HLOOKUP("*"&amp;'Output annual'!$AC$2&amp;'Output annual'!$AD$2&amp;"*Zone People Number Of Occupants [](Hourly)",'Eplus results'!$1:$1048576,ROW(),FALSE)</f>
        <v>0</v>
      </c>
      <c r="AC3660" s="580">
        <f>HLOOKUP("*"&amp;'Output annual'!$AC$2&amp;'Output annual'!$AD$2&amp;"*FangerPMV(Hourly)",'Eplus results'!$1:$1048576,ROW(),FALSE)</f>
        <v>0</v>
      </c>
      <c r="AD3660" s="580">
        <f t="shared" si="321"/>
        <v>5</v>
      </c>
      <c r="AE3660" s="580">
        <f t="shared" si="322"/>
        <v>2.5</v>
      </c>
      <c r="AF3660" s="580">
        <f t="shared" si="323"/>
        <v>2.5</v>
      </c>
      <c r="AG3660" s="580">
        <f t="shared" si="324"/>
        <v>0</v>
      </c>
      <c r="AH3660" s="580">
        <f t="shared" si="325"/>
        <v>0</v>
      </c>
    </row>
    <row r="3661" spans="28:34">
      <c r="AB3661" s="580">
        <f>HLOOKUP("*"&amp;'Output annual'!$AC$2&amp;'Output annual'!$AD$2&amp;"*Zone People Number Of Occupants [](Hourly)",'Eplus results'!$1:$1048576,ROW(),FALSE)</f>
        <v>0</v>
      </c>
      <c r="AC3661" s="580">
        <f>HLOOKUP("*"&amp;'Output annual'!$AC$2&amp;'Output annual'!$AD$2&amp;"*FangerPMV(Hourly)",'Eplus results'!$1:$1048576,ROW(),FALSE)</f>
        <v>0</v>
      </c>
      <c r="AD3661" s="580">
        <f t="shared" si="321"/>
        <v>5</v>
      </c>
      <c r="AE3661" s="580">
        <f t="shared" si="322"/>
        <v>2.5</v>
      </c>
      <c r="AF3661" s="580">
        <f t="shared" si="323"/>
        <v>2.5</v>
      </c>
      <c r="AG3661" s="580">
        <f t="shared" si="324"/>
        <v>0</v>
      </c>
      <c r="AH3661" s="580">
        <f t="shared" si="325"/>
        <v>0</v>
      </c>
    </row>
    <row r="3662" spans="28:34">
      <c r="AB3662" s="580">
        <f>HLOOKUP("*"&amp;'Output annual'!$AC$2&amp;'Output annual'!$AD$2&amp;"*Zone People Number Of Occupants [](Hourly)",'Eplus results'!$1:$1048576,ROW(),FALSE)</f>
        <v>0</v>
      </c>
      <c r="AC3662" s="580">
        <f>HLOOKUP("*"&amp;'Output annual'!$AC$2&amp;'Output annual'!$AD$2&amp;"*FangerPMV(Hourly)",'Eplus results'!$1:$1048576,ROW(),FALSE)</f>
        <v>0</v>
      </c>
      <c r="AD3662" s="580">
        <f t="shared" si="321"/>
        <v>5</v>
      </c>
      <c r="AE3662" s="580">
        <f t="shared" si="322"/>
        <v>2.5</v>
      </c>
      <c r="AF3662" s="580">
        <f t="shared" si="323"/>
        <v>2.5</v>
      </c>
      <c r="AG3662" s="580">
        <f t="shared" si="324"/>
        <v>0</v>
      </c>
      <c r="AH3662" s="580">
        <f t="shared" si="325"/>
        <v>0</v>
      </c>
    </row>
    <row r="3663" spans="28:34">
      <c r="AB3663" s="580">
        <f>HLOOKUP("*"&amp;'Output annual'!$AC$2&amp;'Output annual'!$AD$2&amp;"*Zone People Number Of Occupants [](Hourly)",'Eplus results'!$1:$1048576,ROW(),FALSE)</f>
        <v>0</v>
      </c>
      <c r="AC3663" s="580">
        <f>HLOOKUP("*"&amp;'Output annual'!$AC$2&amp;'Output annual'!$AD$2&amp;"*FangerPMV(Hourly)",'Eplus results'!$1:$1048576,ROW(),FALSE)</f>
        <v>0</v>
      </c>
      <c r="AD3663" s="580">
        <f t="shared" si="321"/>
        <v>5</v>
      </c>
      <c r="AE3663" s="580">
        <f t="shared" si="322"/>
        <v>2.5</v>
      </c>
      <c r="AF3663" s="580">
        <f t="shared" si="323"/>
        <v>2.5</v>
      </c>
      <c r="AG3663" s="580">
        <f t="shared" si="324"/>
        <v>0</v>
      </c>
      <c r="AH3663" s="580">
        <f t="shared" si="325"/>
        <v>0</v>
      </c>
    </row>
    <row r="3664" spans="28:34">
      <c r="AB3664" s="580">
        <f>HLOOKUP("*"&amp;'Output annual'!$AC$2&amp;'Output annual'!$AD$2&amp;"*Zone People Number Of Occupants [](Hourly)",'Eplus results'!$1:$1048576,ROW(),FALSE)</f>
        <v>0</v>
      </c>
      <c r="AC3664" s="580">
        <f>HLOOKUP("*"&amp;'Output annual'!$AC$2&amp;'Output annual'!$AD$2&amp;"*FangerPMV(Hourly)",'Eplus results'!$1:$1048576,ROW(),FALSE)</f>
        <v>0</v>
      </c>
      <c r="AD3664" s="580">
        <f t="shared" si="321"/>
        <v>5</v>
      </c>
      <c r="AE3664" s="580">
        <f t="shared" si="322"/>
        <v>2.5</v>
      </c>
      <c r="AF3664" s="580">
        <f t="shared" si="323"/>
        <v>2.5</v>
      </c>
      <c r="AG3664" s="580">
        <f t="shared" si="324"/>
        <v>0</v>
      </c>
      <c r="AH3664" s="580">
        <f t="shared" si="325"/>
        <v>0</v>
      </c>
    </row>
    <row r="3665" spans="28:34">
      <c r="AB3665" s="580">
        <f>HLOOKUP("*"&amp;'Output annual'!$AC$2&amp;'Output annual'!$AD$2&amp;"*Zone People Number Of Occupants [](Hourly)",'Eplus results'!$1:$1048576,ROW(),FALSE)</f>
        <v>0</v>
      </c>
      <c r="AC3665" s="580">
        <f>HLOOKUP("*"&amp;'Output annual'!$AC$2&amp;'Output annual'!$AD$2&amp;"*FangerPMV(Hourly)",'Eplus results'!$1:$1048576,ROW(),FALSE)</f>
        <v>0</v>
      </c>
      <c r="AD3665" s="580">
        <f t="shared" si="321"/>
        <v>5</v>
      </c>
      <c r="AE3665" s="580">
        <f t="shared" si="322"/>
        <v>2.5</v>
      </c>
      <c r="AF3665" s="580">
        <f t="shared" si="323"/>
        <v>2.5</v>
      </c>
      <c r="AG3665" s="580">
        <f t="shared" si="324"/>
        <v>0</v>
      </c>
      <c r="AH3665" s="580">
        <f t="shared" si="325"/>
        <v>0</v>
      </c>
    </row>
    <row r="3666" spans="28:34">
      <c r="AB3666" s="580">
        <f>HLOOKUP("*"&amp;'Output annual'!$AC$2&amp;'Output annual'!$AD$2&amp;"*Zone People Number Of Occupants [](Hourly)",'Eplus results'!$1:$1048576,ROW(),FALSE)</f>
        <v>0</v>
      </c>
      <c r="AC3666" s="580">
        <f>HLOOKUP("*"&amp;'Output annual'!$AC$2&amp;'Output annual'!$AD$2&amp;"*FangerPMV(Hourly)",'Eplus results'!$1:$1048576,ROW(),FALSE)</f>
        <v>0</v>
      </c>
      <c r="AD3666" s="580">
        <f t="shared" si="321"/>
        <v>5</v>
      </c>
      <c r="AE3666" s="580">
        <f t="shared" si="322"/>
        <v>2.5</v>
      </c>
      <c r="AF3666" s="580">
        <f t="shared" si="323"/>
        <v>2.5</v>
      </c>
      <c r="AG3666" s="580">
        <f t="shared" si="324"/>
        <v>0</v>
      </c>
      <c r="AH3666" s="580">
        <f t="shared" si="325"/>
        <v>0</v>
      </c>
    </row>
    <row r="3667" spans="28:34">
      <c r="AB3667" s="580">
        <f>HLOOKUP("*"&amp;'Output annual'!$AC$2&amp;'Output annual'!$AD$2&amp;"*Zone People Number Of Occupants [](Hourly)",'Eplus results'!$1:$1048576,ROW(),FALSE)</f>
        <v>0</v>
      </c>
      <c r="AC3667" s="580">
        <f>HLOOKUP("*"&amp;'Output annual'!$AC$2&amp;'Output annual'!$AD$2&amp;"*FangerPMV(Hourly)",'Eplus results'!$1:$1048576,ROW(),FALSE)</f>
        <v>0</v>
      </c>
      <c r="AD3667" s="580">
        <f t="shared" si="321"/>
        <v>5</v>
      </c>
      <c r="AE3667" s="580">
        <f t="shared" si="322"/>
        <v>2.5</v>
      </c>
      <c r="AF3667" s="580">
        <f t="shared" si="323"/>
        <v>2.5</v>
      </c>
      <c r="AG3667" s="580">
        <f t="shared" si="324"/>
        <v>0</v>
      </c>
      <c r="AH3667" s="580">
        <f t="shared" si="325"/>
        <v>0</v>
      </c>
    </row>
    <row r="3668" spans="28:34">
      <c r="AB3668" s="580">
        <f>HLOOKUP("*"&amp;'Output annual'!$AC$2&amp;'Output annual'!$AD$2&amp;"*Zone People Number Of Occupants [](Hourly)",'Eplus results'!$1:$1048576,ROW(),FALSE)</f>
        <v>0</v>
      </c>
      <c r="AC3668" s="580">
        <f>HLOOKUP("*"&amp;'Output annual'!$AC$2&amp;'Output annual'!$AD$2&amp;"*FangerPMV(Hourly)",'Eplus results'!$1:$1048576,ROW(),FALSE)</f>
        <v>0</v>
      </c>
      <c r="AD3668" s="580">
        <f t="shared" si="321"/>
        <v>5</v>
      </c>
      <c r="AE3668" s="580">
        <f t="shared" si="322"/>
        <v>2.5</v>
      </c>
      <c r="AF3668" s="580">
        <f t="shared" si="323"/>
        <v>2.5</v>
      </c>
      <c r="AG3668" s="580">
        <f t="shared" si="324"/>
        <v>0</v>
      </c>
      <c r="AH3668" s="580">
        <f t="shared" si="325"/>
        <v>0</v>
      </c>
    </row>
    <row r="3669" spans="28:34">
      <c r="AB3669" s="580">
        <f>HLOOKUP("*"&amp;'Output annual'!$AC$2&amp;'Output annual'!$AD$2&amp;"*Zone People Number Of Occupants [](Hourly)",'Eplus results'!$1:$1048576,ROW(),FALSE)</f>
        <v>0</v>
      </c>
      <c r="AC3669" s="580">
        <f>HLOOKUP("*"&amp;'Output annual'!$AC$2&amp;'Output annual'!$AD$2&amp;"*FangerPMV(Hourly)",'Eplus results'!$1:$1048576,ROW(),FALSE)</f>
        <v>0</v>
      </c>
      <c r="AD3669" s="580">
        <f t="shared" si="321"/>
        <v>5</v>
      </c>
      <c r="AE3669" s="580">
        <f t="shared" si="322"/>
        <v>2.5</v>
      </c>
      <c r="AF3669" s="580">
        <f t="shared" si="323"/>
        <v>2.5</v>
      </c>
      <c r="AG3669" s="580">
        <f t="shared" si="324"/>
        <v>0</v>
      </c>
      <c r="AH3669" s="580">
        <f t="shared" si="325"/>
        <v>0</v>
      </c>
    </row>
    <row r="3670" spans="28:34">
      <c r="AB3670" s="580">
        <f>HLOOKUP("*"&amp;'Output annual'!$AC$2&amp;'Output annual'!$AD$2&amp;"*Zone People Number Of Occupants [](Hourly)",'Eplus results'!$1:$1048576,ROW(),FALSE)</f>
        <v>0</v>
      </c>
      <c r="AC3670" s="580">
        <f>HLOOKUP("*"&amp;'Output annual'!$AC$2&amp;'Output annual'!$AD$2&amp;"*FangerPMV(Hourly)",'Eplus results'!$1:$1048576,ROW(),FALSE)</f>
        <v>0</v>
      </c>
      <c r="AD3670" s="580">
        <f t="shared" si="321"/>
        <v>5</v>
      </c>
      <c r="AE3670" s="580">
        <f t="shared" si="322"/>
        <v>2.5</v>
      </c>
      <c r="AF3670" s="580">
        <f t="shared" si="323"/>
        <v>2.5</v>
      </c>
      <c r="AG3670" s="580">
        <f t="shared" si="324"/>
        <v>0</v>
      </c>
      <c r="AH3670" s="580">
        <f t="shared" si="325"/>
        <v>0</v>
      </c>
    </row>
    <row r="3671" spans="28:34">
      <c r="AB3671" s="580">
        <f>HLOOKUP("*"&amp;'Output annual'!$AC$2&amp;'Output annual'!$AD$2&amp;"*Zone People Number Of Occupants [](Hourly)",'Eplus results'!$1:$1048576,ROW(),FALSE)</f>
        <v>0</v>
      </c>
      <c r="AC3671" s="580">
        <f>HLOOKUP("*"&amp;'Output annual'!$AC$2&amp;'Output annual'!$AD$2&amp;"*FangerPMV(Hourly)",'Eplus results'!$1:$1048576,ROW(),FALSE)</f>
        <v>0</v>
      </c>
      <c r="AD3671" s="580">
        <f t="shared" si="321"/>
        <v>5</v>
      </c>
      <c r="AE3671" s="580">
        <f t="shared" si="322"/>
        <v>2.5</v>
      </c>
      <c r="AF3671" s="580">
        <f t="shared" si="323"/>
        <v>2.5</v>
      </c>
      <c r="AG3671" s="580">
        <f t="shared" si="324"/>
        <v>0</v>
      </c>
      <c r="AH3671" s="580">
        <f t="shared" si="325"/>
        <v>0</v>
      </c>
    </row>
    <row r="3672" spans="28:34">
      <c r="AB3672" s="580">
        <f>HLOOKUP("*"&amp;'Output annual'!$AC$2&amp;'Output annual'!$AD$2&amp;"*Zone People Number Of Occupants [](Hourly)",'Eplus results'!$1:$1048576,ROW(),FALSE)</f>
        <v>0</v>
      </c>
      <c r="AC3672" s="580">
        <f>HLOOKUP("*"&amp;'Output annual'!$AC$2&amp;'Output annual'!$AD$2&amp;"*FangerPMV(Hourly)",'Eplus results'!$1:$1048576,ROW(),FALSE)</f>
        <v>0</v>
      </c>
      <c r="AD3672" s="580">
        <f t="shared" si="321"/>
        <v>5</v>
      </c>
      <c r="AE3672" s="580">
        <f t="shared" si="322"/>
        <v>2.5</v>
      </c>
      <c r="AF3672" s="580">
        <f t="shared" si="323"/>
        <v>2.5</v>
      </c>
      <c r="AG3672" s="580">
        <f t="shared" si="324"/>
        <v>0</v>
      </c>
      <c r="AH3672" s="580">
        <f t="shared" si="325"/>
        <v>0</v>
      </c>
    </row>
    <row r="3673" spans="28:34">
      <c r="AB3673" s="580">
        <f>HLOOKUP("*"&amp;'Output annual'!$AC$2&amp;'Output annual'!$AD$2&amp;"*Zone People Number Of Occupants [](Hourly)",'Eplus results'!$1:$1048576,ROW(),FALSE)</f>
        <v>0</v>
      </c>
      <c r="AC3673" s="580">
        <f>HLOOKUP("*"&amp;'Output annual'!$AC$2&amp;'Output annual'!$AD$2&amp;"*FangerPMV(Hourly)",'Eplus results'!$1:$1048576,ROW(),FALSE)</f>
        <v>0</v>
      </c>
      <c r="AD3673" s="580">
        <f t="shared" si="321"/>
        <v>5</v>
      </c>
      <c r="AE3673" s="580">
        <f t="shared" si="322"/>
        <v>2.5</v>
      </c>
      <c r="AF3673" s="580">
        <f t="shared" si="323"/>
        <v>2.5</v>
      </c>
      <c r="AG3673" s="580">
        <f t="shared" si="324"/>
        <v>0</v>
      </c>
      <c r="AH3673" s="580">
        <f t="shared" si="325"/>
        <v>0</v>
      </c>
    </row>
    <row r="3674" spans="28:34">
      <c r="AB3674" s="580">
        <f>HLOOKUP("*"&amp;'Output annual'!$AC$2&amp;'Output annual'!$AD$2&amp;"*Zone People Number Of Occupants [](Hourly)",'Eplus results'!$1:$1048576,ROW(),FALSE)</f>
        <v>0</v>
      </c>
      <c r="AC3674" s="580">
        <f>HLOOKUP("*"&amp;'Output annual'!$AC$2&amp;'Output annual'!$AD$2&amp;"*FangerPMV(Hourly)",'Eplus results'!$1:$1048576,ROW(),FALSE)</f>
        <v>0</v>
      </c>
      <c r="AD3674" s="580">
        <f t="shared" si="321"/>
        <v>5</v>
      </c>
      <c r="AE3674" s="580">
        <f t="shared" si="322"/>
        <v>2.5</v>
      </c>
      <c r="AF3674" s="580">
        <f t="shared" si="323"/>
        <v>2.5</v>
      </c>
      <c r="AG3674" s="580">
        <f t="shared" si="324"/>
        <v>0</v>
      </c>
      <c r="AH3674" s="580">
        <f t="shared" si="325"/>
        <v>0</v>
      </c>
    </row>
    <row r="3675" spans="28:34">
      <c r="AB3675" s="580">
        <f>HLOOKUP("*"&amp;'Output annual'!$AC$2&amp;'Output annual'!$AD$2&amp;"*Zone People Number Of Occupants [](Hourly)",'Eplus results'!$1:$1048576,ROW(),FALSE)</f>
        <v>0</v>
      </c>
      <c r="AC3675" s="580">
        <f>HLOOKUP("*"&amp;'Output annual'!$AC$2&amp;'Output annual'!$AD$2&amp;"*FangerPMV(Hourly)",'Eplus results'!$1:$1048576,ROW(),FALSE)</f>
        <v>0</v>
      </c>
      <c r="AD3675" s="580">
        <f t="shared" si="321"/>
        <v>5</v>
      </c>
      <c r="AE3675" s="580">
        <f t="shared" si="322"/>
        <v>2.5</v>
      </c>
      <c r="AF3675" s="580">
        <f t="shared" si="323"/>
        <v>2.5</v>
      </c>
      <c r="AG3675" s="580">
        <f t="shared" si="324"/>
        <v>0</v>
      </c>
      <c r="AH3675" s="580">
        <f t="shared" si="325"/>
        <v>0</v>
      </c>
    </row>
    <row r="3676" spans="28:34">
      <c r="AB3676" s="580">
        <f>HLOOKUP("*"&amp;'Output annual'!$AC$2&amp;'Output annual'!$AD$2&amp;"*Zone People Number Of Occupants [](Hourly)",'Eplus results'!$1:$1048576,ROW(),FALSE)</f>
        <v>0</v>
      </c>
      <c r="AC3676" s="580">
        <f>HLOOKUP("*"&amp;'Output annual'!$AC$2&amp;'Output annual'!$AD$2&amp;"*FangerPMV(Hourly)",'Eplus results'!$1:$1048576,ROW(),FALSE)</f>
        <v>0</v>
      </c>
      <c r="AD3676" s="580">
        <f t="shared" si="321"/>
        <v>5</v>
      </c>
      <c r="AE3676" s="580">
        <f t="shared" si="322"/>
        <v>2.5</v>
      </c>
      <c r="AF3676" s="580">
        <f t="shared" si="323"/>
        <v>2.5</v>
      </c>
      <c r="AG3676" s="580">
        <f t="shared" si="324"/>
        <v>0</v>
      </c>
      <c r="AH3676" s="580">
        <f t="shared" si="325"/>
        <v>0</v>
      </c>
    </row>
    <row r="3677" spans="28:34">
      <c r="AB3677" s="580">
        <f>HLOOKUP("*"&amp;'Output annual'!$AC$2&amp;'Output annual'!$AD$2&amp;"*Zone People Number Of Occupants [](Hourly)",'Eplus results'!$1:$1048576,ROW(),FALSE)</f>
        <v>0</v>
      </c>
      <c r="AC3677" s="580">
        <f>HLOOKUP("*"&amp;'Output annual'!$AC$2&amp;'Output annual'!$AD$2&amp;"*FangerPMV(Hourly)",'Eplus results'!$1:$1048576,ROW(),FALSE)</f>
        <v>0</v>
      </c>
      <c r="AD3677" s="580">
        <f t="shared" si="321"/>
        <v>5</v>
      </c>
      <c r="AE3677" s="580">
        <f t="shared" si="322"/>
        <v>2.5</v>
      </c>
      <c r="AF3677" s="580">
        <f t="shared" si="323"/>
        <v>2.5</v>
      </c>
      <c r="AG3677" s="580">
        <f t="shared" si="324"/>
        <v>0</v>
      </c>
      <c r="AH3677" s="580">
        <f t="shared" si="325"/>
        <v>0</v>
      </c>
    </row>
    <row r="3678" spans="28:34">
      <c r="AB3678" s="580">
        <f>HLOOKUP("*"&amp;'Output annual'!$AC$2&amp;'Output annual'!$AD$2&amp;"*Zone People Number Of Occupants [](Hourly)",'Eplus results'!$1:$1048576,ROW(),FALSE)</f>
        <v>0</v>
      </c>
      <c r="AC3678" s="580">
        <f>HLOOKUP("*"&amp;'Output annual'!$AC$2&amp;'Output annual'!$AD$2&amp;"*FangerPMV(Hourly)",'Eplus results'!$1:$1048576,ROW(),FALSE)</f>
        <v>0</v>
      </c>
      <c r="AD3678" s="580">
        <f t="shared" si="321"/>
        <v>5</v>
      </c>
      <c r="AE3678" s="580">
        <f t="shared" si="322"/>
        <v>2.5</v>
      </c>
      <c r="AF3678" s="580">
        <f t="shared" si="323"/>
        <v>2.5</v>
      </c>
      <c r="AG3678" s="580">
        <f t="shared" si="324"/>
        <v>0</v>
      </c>
      <c r="AH3678" s="580">
        <f t="shared" si="325"/>
        <v>0</v>
      </c>
    </row>
    <row r="3679" spans="28:34">
      <c r="AB3679" s="580">
        <f>HLOOKUP("*"&amp;'Output annual'!$AC$2&amp;'Output annual'!$AD$2&amp;"*Zone People Number Of Occupants [](Hourly)",'Eplus results'!$1:$1048576,ROW(),FALSE)</f>
        <v>0</v>
      </c>
      <c r="AC3679" s="580">
        <f>HLOOKUP("*"&amp;'Output annual'!$AC$2&amp;'Output annual'!$AD$2&amp;"*FangerPMV(Hourly)",'Eplus results'!$1:$1048576,ROW(),FALSE)</f>
        <v>0</v>
      </c>
      <c r="AD3679" s="580">
        <f t="shared" si="321"/>
        <v>5</v>
      </c>
      <c r="AE3679" s="580">
        <f t="shared" si="322"/>
        <v>2.5</v>
      </c>
      <c r="AF3679" s="580">
        <f t="shared" si="323"/>
        <v>2.5</v>
      </c>
      <c r="AG3679" s="580">
        <f t="shared" si="324"/>
        <v>0</v>
      </c>
      <c r="AH3679" s="580">
        <f t="shared" si="325"/>
        <v>0</v>
      </c>
    </row>
    <row r="3680" spans="28:34">
      <c r="AB3680" s="580">
        <f>HLOOKUP("*"&amp;'Output annual'!$AC$2&amp;'Output annual'!$AD$2&amp;"*Zone People Number Of Occupants [](Hourly)",'Eplus results'!$1:$1048576,ROW(),FALSE)</f>
        <v>0</v>
      </c>
      <c r="AC3680" s="580">
        <f>HLOOKUP("*"&amp;'Output annual'!$AC$2&amp;'Output annual'!$AD$2&amp;"*FangerPMV(Hourly)",'Eplus results'!$1:$1048576,ROW(),FALSE)</f>
        <v>0</v>
      </c>
      <c r="AD3680" s="580">
        <f t="shared" si="321"/>
        <v>5</v>
      </c>
      <c r="AE3680" s="580">
        <f t="shared" si="322"/>
        <v>2.5</v>
      </c>
      <c r="AF3680" s="580">
        <f t="shared" si="323"/>
        <v>2.5</v>
      </c>
      <c r="AG3680" s="580">
        <f t="shared" si="324"/>
        <v>0</v>
      </c>
      <c r="AH3680" s="580">
        <f t="shared" si="325"/>
        <v>0</v>
      </c>
    </row>
    <row r="3681" spans="28:34">
      <c r="AB3681" s="580">
        <f>HLOOKUP("*"&amp;'Output annual'!$AC$2&amp;'Output annual'!$AD$2&amp;"*Zone People Number Of Occupants [](Hourly)",'Eplus results'!$1:$1048576,ROW(),FALSE)</f>
        <v>0</v>
      </c>
      <c r="AC3681" s="580">
        <f>HLOOKUP("*"&amp;'Output annual'!$AC$2&amp;'Output annual'!$AD$2&amp;"*FangerPMV(Hourly)",'Eplus results'!$1:$1048576,ROW(),FALSE)</f>
        <v>0</v>
      </c>
      <c r="AD3681" s="580">
        <f t="shared" si="321"/>
        <v>5</v>
      </c>
      <c r="AE3681" s="580">
        <f t="shared" si="322"/>
        <v>2.5</v>
      </c>
      <c r="AF3681" s="580">
        <f t="shared" si="323"/>
        <v>2.5</v>
      </c>
      <c r="AG3681" s="580">
        <f t="shared" si="324"/>
        <v>0</v>
      </c>
      <c r="AH3681" s="580">
        <f t="shared" si="325"/>
        <v>0</v>
      </c>
    </row>
    <row r="3682" spans="28:34">
      <c r="AB3682" s="580">
        <f>HLOOKUP("*"&amp;'Output annual'!$AC$2&amp;'Output annual'!$AD$2&amp;"*Zone People Number Of Occupants [](Hourly)",'Eplus results'!$1:$1048576,ROW(),FALSE)</f>
        <v>0</v>
      </c>
      <c r="AC3682" s="580">
        <f>HLOOKUP("*"&amp;'Output annual'!$AC$2&amp;'Output annual'!$AD$2&amp;"*FangerPMV(Hourly)",'Eplus results'!$1:$1048576,ROW(),FALSE)</f>
        <v>0</v>
      </c>
      <c r="AD3682" s="580">
        <f t="shared" si="321"/>
        <v>5</v>
      </c>
      <c r="AE3682" s="580">
        <f t="shared" si="322"/>
        <v>2.5</v>
      </c>
      <c r="AF3682" s="580">
        <f t="shared" si="323"/>
        <v>2.5</v>
      </c>
      <c r="AG3682" s="580">
        <f t="shared" si="324"/>
        <v>0</v>
      </c>
      <c r="AH3682" s="580">
        <f t="shared" si="325"/>
        <v>0</v>
      </c>
    </row>
    <row r="3683" spans="28:34">
      <c r="AB3683" s="580">
        <f>HLOOKUP("*"&amp;'Output annual'!$AC$2&amp;'Output annual'!$AD$2&amp;"*Zone People Number Of Occupants [](Hourly)",'Eplus results'!$1:$1048576,ROW(),FALSE)</f>
        <v>0</v>
      </c>
      <c r="AC3683" s="580">
        <f>HLOOKUP("*"&amp;'Output annual'!$AC$2&amp;'Output annual'!$AD$2&amp;"*FangerPMV(Hourly)",'Eplus results'!$1:$1048576,ROW(),FALSE)</f>
        <v>0</v>
      </c>
      <c r="AD3683" s="580">
        <f t="shared" si="321"/>
        <v>5</v>
      </c>
      <c r="AE3683" s="580">
        <f t="shared" si="322"/>
        <v>2.5</v>
      </c>
      <c r="AF3683" s="580">
        <f t="shared" si="323"/>
        <v>2.5</v>
      </c>
      <c r="AG3683" s="580">
        <f t="shared" si="324"/>
        <v>0</v>
      </c>
      <c r="AH3683" s="580">
        <f t="shared" si="325"/>
        <v>0</v>
      </c>
    </row>
    <row r="3684" spans="28:34">
      <c r="AB3684" s="580">
        <f>HLOOKUP("*"&amp;'Output annual'!$AC$2&amp;'Output annual'!$AD$2&amp;"*Zone People Number Of Occupants [](Hourly)",'Eplus results'!$1:$1048576,ROW(),FALSE)</f>
        <v>0</v>
      </c>
      <c r="AC3684" s="580">
        <f>HLOOKUP("*"&amp;'Output annual'!$AC$2&amp;'Output annual'!$AD$2&amp;"*FangerPMV(Hourly)",'Eplus results'!$1:$1048576,ROW(),FALSE)</f>
        <v>0</v>
      </c>
      <c r="AD3684" s="580">
        <f t="shared" si="321"/>
        <v>5</v>
      </c>
      <c r="AE3684" s="580">
        <f t="shared" si="322"/>
        <v>2.5</v>
      </c>
      <c r="AF3684" s="580">
        <f t="shared" si="323"/>
        <v>2.5</v>
      </c>
      <c r="AG3684" s="580">
        <f t="shared" si="324"/>
        <v>0</v>
      </c>
      <c r="AH3684" s="580">
        <f t="shared" si="325"/>
        <v>0</v>
      </c>
    </row>
    <row r="3685" spans="28:34">
      <c r="AB3685" s="580">
        <f>HLOOKUP("*"&amp;'Output annual'!$AC$2&amp;'Output annual'!$AD$2&amp;"*Zone People Number Of Occupants [](Hourly)",'Eplus results'!$1:$1048576,ROW(),FALSE)</f>
        <v>0</v>
      </c>
      <c r="AC3685" s="580">
        <f>HLOOKUP("*"&amp;'Output annual'!$AC$2&amp;'Output annual'!$AD$2&amp;"*FangerPMV(Hourly)",'Eplus results'!$1:$1048576,ROW(),FALSE)</f>
        <v>0</v>
      </c>
      <c r="AD3685" s="580">
        <f t="shared" si="321"/>
        <v>5</v>
      </c>
      <c r="AE3685" s="580">
        <f t="shared" si="322"/>
        <v>2.5</v>
      </c>
      <c r="AF3685" s="580">
        <f t="shared" si="323"/>
        <v>2.5</v>
      </c>
      <c r="AG3685" s="580">
        <f t="shared" si="324"/>
        <v>0</v>
      </c>
      <c r="AH3685" s="580">
        <f t="shared" si="325"/>
        <v>0</v>
      </c>
    </row>
    <row r="3686" spans="28:34">
      <c r="AB3686" s="580">
        <f>HLOOKUP("*"&amp;'Output annual'!$AC$2&amp;'Output annual'!$AD$2&amp;"*Zone People Number Of Occupants [](Hourly)",'Eplus results'!$1:$1048576,ROW(),FALSE)</f>
        <v>0</v>
      </c>
      <c r="AC3686" s="580">
        <f>HLOOKUP("*"&amp;'Output annual'!$AC$2&amp;'Output annual'!$AD$2&amp;"*FangerPMV(Hourly)",'Eplus results'!$1:$1048576,ROW(),FALSE)</f>
        <v>0</v>
      </c>
      <c r="AD3686" s="580">
        <f t="shared" si="321"/>
        <v>5</v>
      </c>
      <c r="AE3686" s="580">
        <f t="shared" si="322"/>
        <v>2.5</v>
      </c>
      <c r="AF3686" s="580">
        <f t="shared" si="323"/>
        <v>2.5</v>
      </c>
      <c r="AG3686" s="580">
        <f t="shared" si="324"/>
        <v>0</v>
      </c>
      <c r="AH3686" s="580">
        <f t="shared" si="325"/>
        <v>0</v>
      </c>
    </row>
    <row r="3687" spans="28:34">
      <c r="AB3687" s="580">
        <f>HLOOKUP("*"&amp;'Output annual'!$AC$2&amp;'Output annual'!$AD$2&amp;"*Zone People Number Of Occupants [](Hourly)",'Eplus results'!$1:$1048576,ROW(),FALSE)</f>
        <v>0</v>
      </c>
      <c r="AC3687" s="580">
        <f>HLOOKUP("*"&amp;'Output annual'!$AC$2&amp;'Output annual'!$AD$2&amp;"*FangerPMV(Hourly)",'Eplus results'!$1:$1048576,ROW(),FALSE)</f>
        <v>0</v>
      </c>
      <c r="AD3687" s="580">
        <f t="shared" si="321"/>
        <v>5</v>
      </c>
      <c r="AE3687" s="580">
        <f t="shared" si="322"/>
        <v>2.5</v>
      </c>
      <c r="AF3687" s="580">
        <f t="shared" si="323"/>
        <v>2.5</v>
      </c>
      <c r="AG3687" s="580">
        <f t="shared" si="324"/>
        <v>0</v>
      </c>
      <c r="AH3687" s="580">
        <f t="shared" si="325"/>
        <v>0</v>
      </c>
    </row>
    <row r="3688" spans="28:34">
      <c r="AB3688" s="580">
        <f>HLOOKUP("*"&amp;'Output annual'!$AC$2&amp;'Output annual'!$AD$2&amp;"*Zone People Number Of Occupants [](Hourly)",'Eplus results'!$1:$1048576,ROW(),FALSE)</f>
        <v>0</v>
      </c>
      <c r="AC3688" s="580">
        <f>HLOOKUP("*"&amp;'Output annual'!$AC$2&amp;'Output annual'!$AD$2&amp;"*FangerPMV(Hourly)",'Eplus results'!$1:$1048576,ROW(),FALSE)</f>
        <v>0</v>
      </c>
      <c r="AD3688" s="580">
        <f t="shared" si="321"/>
        <v>5</v>
      </c>
      <c r="AE3688" s="580">
        <f t="shared" si="322"/>
        <v>2.5</v>
      </c>
      <c r="AF3688" s="580">
        <f t="shared" si="323"/>
        <v>2.5</v>
      </c>
      <c r="AG3688" s="580">
        <f t="shared" si="324"/>
        <v>0</v>
      </c>
      <c r="AH3688" s="580">
        <f t="shared" si="325"/>
        <v>0</v>
      </c>
    </row>
    <row r="3689" spans="28:34">
      <c r="AB3689" s="580">
        <f>HLOOKUP("*"&amp;'Output annual'!$AC$2&amp;'Output annual'!$AD$2&amp;"*Zone People Number Of Occupants [](Hourly)",'Eplus results'!$1:$1048576,ROW(),FALSE)</f>
        <v>0</v>
      </c>
      <c r="AC3689" s="580">
        <f>HLOOKUP("*"&amp;'Output annual'!$AC$2&amp;'Output annual'!$AD$2&amp;"*FangerPMV(Hourly)",'Eplus results'!$1:$1048576,ROW(),FALSE)</f>
        <v>0</v>
      </c>
      <c r="AD3689" s="580">
        <f t="shared" si="321"/>
        <v>5</v>
      </c>
      <c r="AE3689" s="580">
        <f t="shared" si="322"/>
        <v>2.5</v>
      </c>
      <c r="AF3689" s="580">
        <f t="shared" si="323"/>
        <v>2.5</v>
      </c>
      <c r="AG3689" s="580">
        <f t="shared" si="324"/>
        <v>0</v>
      </c>
      <c r="AH3689" s="580">
        <f t="shared" si="325"/>
        <v>0</v>
      </c>
    </row>
    <row r="3690" spans="28:34">
      <c r="AB3690" s="580">
        <f>HLOOKUP("*"&amp;'Output annual'!$AC$2&amp;'Output annual'!$AD$2&amp;"*Zone People Number Of Occupants [](Hourly)",'Eplus results'!$1:$1048576,ROW(),FALSE)</f>
        <v>0</v>
      </c>
      <c r="AC3690" s="580">
        <f>HLOOKUP("*"&amp;'Output annual'!$AC$2&amp;'Output annual'!$AD$2&amp;"*FangerPMV(Hourly)",'Eplus results'!$1:$1048576,ROW(),FALSE)</f>
        <v>0</v>
      </c>
      <c r="AD3690" s="580">
        <f t="shared" si="321"/>
        <v>5</v>
      </c>
      <c r="AE3690" s="580">
        <f t="shared" si="322"/>
        <v>2.5</v>
      </c>
      <c r="AF3690" s="580">
        <f t="shared" si="323"/>
        <v>2.5</v>
      </c>
      <c r="AG3690" s="580">
        <f t="shared" si="324"/>
        <v>0</v>
      </c>
      <c r="AH3690" s="580">
        <f t="shared" si="325"/>
        <v>0</v>
      </c>
    </row>
    <row r="3691" spans="28:34">
      <c r="AB3691" s="580">
        <f>HLOOKUP("*"&amp;'Output annual'!$AC$2&amp;'Output annual'!$AD$2&amp;"*Zone People Number Of Occupants [](Hourly)",'Eplus results'!$1:$1048576,ROW(),FALSE)</f>
        <v>0</v>
      </c>
      <c r="AC3691" s="580">
        <f>HLOOKUP("*"&amp;'Output annual'!$AC$2&amp;'Output annual'!$AD$2&amp;"*FangerPMV(Hourly)",'Eplus results'!$1:$1048576,ROW(),FALSE)</f>
        <v>0</v>
      </c>
      <c r="AD3691" s="580">
        <f t="shared" si="321"/>
        <v>5</v>
      </c>
      <c r="AE3691" s="580">
        <f t="shared" si="322"/>
        <v>2.5</v>
      </c>
      <c r="AF3691" s="580">
        <f t="shared" si="323"/>
        <v>2.5</v>
      </c>
      <c r="AG3691" s="580">
        <f t="shared" si="324"/>
        <v>0</v>
      </c>
      <c r="AH3691" s="580">
        <f t="shared" si="325"/>
        <v>0</v>
      </c>
    </row>
    <row r="3692" spans="28:34">
      <c r="AB3692" s="580">
        <f>HLOOKUP("*"&amp;'Output annual'!$AC$2&amp;'Output annual'!$AD$2&amp;"*Zone People Number Of Occupants [](Hourly)",'Eplus results'!$1:$1048576,ROW(),FALSE)</f>
        <v>0</v>
      </c>
      <c r="AC3692" s="580">
        <f>HLOOKUP("*"&amp;'Output annual'!$AC$2&amp;'Output annual'!$AD$2&amp;"*FangerPMV(Hourly)",'Eplus results'!$1:$1048576,ROW(),FALSE)</f>
        <v>0</v>
      </c>
      <c r="AD3692" s="580">
        <f t="shared" si="321"/>
        <v>5</v>
      </c>
      <c r="AE3692" s="580">
        <f t="shared" si="322"/>
        <v>2.5</v>
      </c>
      <c r="AF3692" s="580">
        <f t="shared" si="323"/>
        <v>2.5</v>
      </c>
      <c r="AG3692" s="580">
        <f t="shared" si="324"/>
        <v>0</v>
      </c>
      <c r="AH3692" s="580">
        <f t="shared" si="325"/>
        <v>0</v>
      </c>
    </row>
    <row r="3693" spans="28:34">
      <c r="AB3693" s="580">
        <f>HLOOKUP("*"&amp;'Output annual'!$AC$2&amp;'Output annual'!$AD$2&amp;"*Zone People Number Of Occupants [](Hourly)",'Eplus results'!$1:$1048576,ROW(),FALSE)</f>
        <v>0</v>
      </c>
      <c r="AC3693" s="580">
        <f>HLOOKUP("*"&amp;'Output annual'!$AC$2&amp;'Output annual'!$AD$2&amp;"*FangerPMV(Hourly)",'Eplus results'!$1:$1048576,ROW(),FALSE)</f>
        <v>0</v>
      </c>
      <c r="AD3693" s="580">
        <f t="shared" si="321"/>
        <v>5</v>
      </c>
      <c r="AE3693" s="580">
        <f t="shared" si="322"/>
        <v>2.5</v>
      </c>
      <c r="AF3693" s="580">
        <f t="shared" si="323"/>
        <v>2.5</v>
      </c>
      <c r="AG3693" s="580">
        <f t="shared" si="324"/>
        <v>0</v>
      </c>
      <c r="AH3693" s="580">
        <f t="shared" si="325"/>
        <v>0</v>
      </c>
    </row>
    <row r="3694" spans="28:34">
      <c r="AB3694" s="580">
        <f>HLOOKUP("*"&amp;'Output annual'!$AC$2&amp;'Output annual'!$AD$2&amp;"*Zone People Number Of Occupants [](Hourly)",'Eplus results'!$1:$1048576,ROW(),FALSE)</f>
        <v>0</v>
      </c>
      <c r="AC3694" s="580">
        <f>HLOOKUP("*"&amp;'Output annual'!$AC$2&amp;'Output annual'!$AD$2&amp;"*FangerPMV(Hourly)",'Eplus results'!$1:$1048576,ROW(),FALSE)</f>
        <v>0</v>
      </c>
      <c r="AD3694" s="580">
        <f t="shared" si="321"/>
        <v>5</v>
      </c>
      <c r="AE3694" s="580">
        <f t="shared" si="322"/>
        <v>2.5</v>
      </c>
      <c r="AF3694" s="580">
        <f t="shared" si="323"/>
        <v>2.5</v>
      </c>
      <c r="AG3694" s="580">
        <f t="shared" si="324"/>
        <v>0</v>
      </c>
      <c r="AH3694" s="580">
        <f t="shared" si="325"/>
        <v>0</v>
      </c>
    </row>
    <row r="3695" spans="28:34">
      <c r="AB3695" s="580">
        <f>HLOOKUP("*"&amp;'Output annual'!$AC$2&amp;'Output annual'!$AD$2&amp;"*Zone People Number Of Occupants [](Hourly)",'Eplus results'!$1:$1048576,ROW(),FALSE)</f>
        <v>0</v>
      </c>
      <c r="AC3695" s="580">
        <f>HLOOKUP("*"&amp;'Output annual'!$AC$2&amp;'Output annual'!$AD$2&amp;"*FangerPMV(Hourly)",'Eplus results'!$1:$1048576,ROW(),FALSE)</f>
        <v>0</v>
      </c>
      <c r="AD3695" s="580">
        <f t="shared" si="321"/>
        <v>5</v>
      </c>
      <c r="AE3695" s="580">
        <f t="shared" si="322"/>
        <v>2.5</v>
      </c>
      <c r="AF3695" s="580">
        <f t="shared" si="323"/>
        <v>2.5</v>
      </c>
      <c r="AG3695" s="580">
        <f t="shared" si="324"/>
        <v>0</v>
      </c>
      <c r="AH3695" s="580">
        <f t="shared" si="325"/>
        <v>0</v>
      </c>
    </row>
    <row r="3696" spans="28:34">
      <c r="AB3696" s="580">
        <f>HLOOKUP("*"&amp;'Output annual'!$AC$2&amp;'Output annual'!$AD$2&amp;"*Zone People Number Of Occupants [](Hourly)",'Eplus results'!$1:$1048576,ROW(),FALSE)</f>
        <v>0</v>
      </c>
      <c r="AC3696" s="580">
        <f>HLOOKUP("*"&amp;'Output annual'!$AC$2&amp;'Output annual'!$AD$2&amp;"*FangerPMV(Hourly)",'Eplus results'!$1:$1048576,ROW(),FALSE)</f>
        <v>0</v>
      </c>
      <c r="AD3696" s="580">
        <f t="shared" si="321"/>
        <v>5</v>
      </c>
      <c r="AE3696" s="580">
        <f t="shared" si="322"/>
        <v>2.5</v>
      </c>
      <c r="AF3696" s="580">
        <f t="shared" si="323"/>
        <v>2.5</v>
      </c>
      <c r="AG3696" s="580">
        <f t="shared" si="324"/>
        <v>0</v>
      </c>
      <c r="AH3696" s="580">
        <f t="shared" si="325"/>
        <v>0</v>
      </c>
    </row>
    <row r="3697" spans="28:34">
      <c r="AB3697" s="580">
        <f>HLOOKUP("*"&amp;'Output annual'!$AC$2&amp;'Output annual'!$AD$2&amp;"*Zone People Number Of Occupants [](Hourly)",'Eplus results'!$1:$1048576,ROW(),FALSE)</f>
        <v>0</v>
      </c>
      <c r="AC3697" s="580">
        <f>HLOOKUP("*"&amp;'Output annual'!$AC$2&amp;'Output annual'!$AD$2&amp;"*FangerPMV(Hourly)",'Eplus results'!$1:$1048576,ROW(),FALSE)</f>
        <v>0</v>
      </c>
      <c r="AD3697" s="580">
        <f t="shared" si="321"/>
        <v>5</v>
      </c>
      <c r="AE3697" s="580">
        <f t="shared" si="322"/>
        <v>2.5</v>
      </c>
      <c r="AF3697" s="580">
        <f t="shared" si="323"/>
        <v>2.5</v>
      </c>
      <c r="AG3697" s="580">
        <f t="shared" si="324"/>
        <v>0</v>
      </c>
      <c r="AH3697" s="580">
        <f t="shared" si="325"/>
        <v>0</v>
      </c>
    </row>
    <row r="3698" spans="28:34">
      <c r="AB3698" s="580">
        <f>HLOOKUP("*"&amp;'Output annual'!$AC$2&amp;'Output annual'!$AD$2&amp;"*Zone People Number Of Occupants [](Hourly)",'Eplus results'!$1:$1048576,ROW(),FALSE)</f>
        <v>0</v>
      </c>
      <c r="AC3698" s="580">
        <f>HLOOKUP("*"&amp;'Output annual'!$AC$2&amp;'Output annual'!$AD$2&amp;"*FangerPMV(Hourly)",'Eplus results'!$1:$1048576,ROW(),FALSE)</f>
        <v>0</v>
      </c>
      <c r="AD3698" s="580">
        <f t="shared" si="321"/>
        <v>5</v>
      </c>
      <c r="AE3698" s="580">
        <f t="shared" si="322"/>
        <v>2.5</v>
      </c>
      <c r="AF3698" s="580">
        <f t="shared" si="323"/>
        <v>2.5</v>
      </c>
      <c r="AG3698" s="580">
        <f t="shared" si="324"/>
        <v>0</v>
      </c>
      <c r="AH3698" s="580">
        <f t="shared" si="325"/>
        <v>0</v>
      </c>
    </row>
    <row r="3699" spans="28:34">
      <c r="AB3699" s="580">
        <f>HLOOKUP("*"&amp;'Output annual'!$AC$2&amp;'Output annual'!$AD$2&amp;"*Zone People Number Of Occupants [](Hourly)",'Eplus results'!$1:$1048576,ROW(),FALSE)</f>
        <v>0</v>
      </c>
      <c r="AC3699" s="580">
        <f>HLOOKUP("*"&amp;'Output annual'!$AC$2&amp;'Output annual'!$AD$2&amp;"*FangerPMV(Hourly)",'Eplus results'!$1:$1048576,ROW(),FALSE)</f>
        <v>0</v>
      </c>
      <c r="AD3699" s="580">
        <f t="shared" si="321"/>
        <v>5</v>
      </c>
      <c r="AE3699" s="580">
        <f t="shared" si="322"/>
        <v>2.5</v>
      </c>
      <c r="AF3699" s="580">
        <f t="shared" si="323"/>
        <v>2.5</v>
      </c>
      <c r="AG3699" s="580">
        <f t="shared" si="324"/>
        <v>0</v>
      </c>
      <c r="AH3699" s="580">
        <f t="shared" si="325"/>
        <v>0</v>
      </c>
    </row>
    <row r="3700" spans="28:34">
      <c r="AB3700" s="580">
        <f>HLOOKUP("*"&amp;'Output annual'!$AC$2&amp;'Output annual'!$AD$2&amp;"*Zone People Number Of Occupants [](Hourly)",'Eplus results'!$1:$1048576,ROW(),FALSE)</f>
        <v>0</v>
      </c>
      <c r="AC3700" s="580">
        <f>HLOOKUP("*"&amp;'Output annual'!$AC$2&amp;'Output annual'!$AD$2&amp;"*FangerPMV(Hourly)",'Eplus results'!$1:$1048576,ROW(),FALSE)</f>
        <v>0</v>
      </c>
      <c r="AD3700" s="580">
        <f t="shared" si="321"/>
        <v>5</v>
      </c>
      <c r="AE3700" s="580">
        <f t="shared" si="322"/>
        <v>2.5</v>
      </c>
      <c r="AF3700" s="580">
        <f t="shared" si="323"/>
        <v>2.5</v>
      </c>
      <c r="AG3700" s="580">
        <f t="shared" si="324"/>
        <v>0</v>
      </c>
      <c r="AH3700" s="580">
        <f t="shared" si="325"/>
        <v>0</v>
      </c>
    </row>
    <row r="3701" spans="28:34">
      <c r="AB3701" s="580">
        <f>HLOOKUP("*"&amp;'Output annual'!$AC$2&amp;'Output annual'!$AD$2&amp;"*Zone People Number Of Occupants [](Hourly)",'Eplus results'!$1:$1048576,ROW(),FALSE)</f>
        <v>0</v>
      </c>
      <c r="AC3701" s="580">
        <f>HLOOKUP("*"&amp;'Output annual'!$AC$2&amp;'Output annual'!$AD$2&amp;"*FangerPMV(Hourly)",'Eplus results'!$1:$1048576,ROW(),FALSE)</f>
        <v>0</v>
      </c>
      <c r="AD3701" s="580">
        <f t="shared" si="321"/>
        <v>5</v>
      </c>
      <c r="AE3701" s="580">
        <f t="shared" si="322"/>
        <v>2.5</v>
      </c>
      <c r="AF3701" s="580">
        <f t="shared" si="323"/>
        <v>2.5</v>
      </c>
      <c r="AG3701" s="580">
        <f t="shared" si="324"/>
        <v>0</v>
      </c>
      <c r="AH3701" s="580">
        <f t="shared" si="325"/>
        <v>0</v>
      </c>
    </row>
    <row r="3702" spans="28:34">
      <c r="AB3702" s="580">
        <f>HLOOKUP("*"&amp;'Output annual'!$AC$2&amp;'Output annual'!$AD$2&amp;"*Zone People Number Of Occupants [](Hourly)",'Eplus results'!$1:$1048576,ROW(),FALSE)</f>
        <v>0</v>
      </c>
      <c r="AC3702" s="580">
        <f>HLOOKUP("*"&amp;'Output annual'!$AC$2&amp;'Output annual'!$AD$2&amp;"*FangerPMV(Hourly)",'Eplus results'!$1:$1048576,ROW(),FALSE)</f>
        <v>0</v>
      </c>
      <c r="AD3702" s="580">
        <f t="shared" si="321"/>
        <v>5</v>
      </c>
      <c r="AE3702" s="580">
        <f t="shared" si="322"/>
        <v>2.5</v>
      </c>
      <c r="AF3702" s="580">
        <f t="shared" si="323"/>
        <v>2.5</v>
      </c>
      <c r="AG3702" s="580">
        <f t="shared" si="324"/>
        <v>0</v>
      </c>
      <c r="AH3702" s="580">
        <f t="shared" si="325"/>
        <v>0</v>
      </c>
    </row>
    <row r="3703" spans="28:34">
      <c r="AB3703" s="580">
        <f>HLOOKUP("*"&amp;'Output annual'!$AC$2&amp;'Output annual'!$AD$2&amp;"*Zone People Number Of Occupants [](Hourly)",'Eplus results'!$1:$1048576,ROW(),FALSE)</f>
        <v>0</v>
      </c>
      <c r="AC3703" s="580">
        <f>HLOOKUP("*"&amp;'Output annual'!$AC$2&amp;'Output annual'!$AD$2&amp;"*FangerPMV(Hourly)",'Eplus results'!$1:$1048576,ROW(),FALSE)</f>
        <v>0</v>
      </c>
      <c r="AD3703" s="580">
        <f t="shared" si="321"/>
        <v>5</v>
      </c>
      <c r="AE3703" s="580">
        <f t="shared" si="322"/>
        <v>2.5</v>
      </c>
      <c r="AF3703" s="580">
        <f t="shared" si="323"/>
        <v>2.5</v>
      </c>
      <c r="AG3703" s="580">
        <f t="shared" si="324"/>
        <v>0</v>
      </c>
      <c r="AH3703" s="580">
        <f t="shared" si="325"/>
        <v>0</v>
      </c>
    </row>
    <row r="3704" spans="28:34">
      <c r="AB3704" s="580">
        <f>HLOOKUP("*"&amp;'Output annual'!$AC$2&amp;'Output annual'!$AD$2&amp;"*Zone People Number Of Occupants [](Hourly)",'Eplus results'!$1:$1048576,ROW(),FALSE)</f>
        <v>0</v>
      </c>
      <c r="AC3704" s="580">
        <f>HLOOKUP("*"&amp;'Output annual'!$AC$2&amp;'Output annual'!$AD$2&amp;"*FangerPMV(Hourly)",'Eplus results'!$1:$1048576,ROW(),FALSE)</f>
        <v>0</v>
      </c>
      <c r="AD3704" s="580">
        <f t="shared" si="321"/>
        <v>5</v>
      </c>
      <c r="AE3704" s="580">
        <f t="shared" si="322"/>
        <v>2.5</v>
      </c>
      <c r="AF3704" s="580">
        <f t="shared" si="323"/>
        <v>2.5</v>
      </c>
      <c r="AG3704" s="580">
        <f t="shared" si="324"/>
        <v>0</v>
      </c>
      <c r="AH3704" s="580">
        <f t="shared" si="325"/>
        <v>0</v>
      </c>
    </row>
    <row r="3705" spans="28:34">
      <c r="AB3705" s="580">
        <f>HLOOKUP("*"&amp;'Output annual'!$AC$2&amp;'Output annual'!$AD$2&amp;"*Zone People Number Of Occupants [](Hourly)",'Eplus results'!$1:$1048576,ROW(),FALSE)</f>
        <v>0</v>
      </c>
      <c r="AC3705" s="580">
        <f>HLOOKUP("*"&amp;'Output annual'!$AC$2&amp;'Output annual'!$AD$2&amp;"*FangerPMV(Hourly)",'Eplus results'!$1:$1048576,ROW(),FALSE)</f>
        <v>0</v>
      </c>
      <c r="AD3705" s="580">
        <f t="shared" si="321"/>
        <v>5</v>
      </c>
      <c r="AE3705" s="580">
        <f t="shared" si="322"/>
        <v>2.5</v>
      </c>
      <c r="AF3705" s="580">
        <f t="shared" si="323"/>
        <v>2.5</v>
      </c>
      <c r="AG3705" s="580">
        <f t="shared" si="324"/>
        <v>0</v>
      </c>
      <c r="AH3705" s="580">
        <f t="shared" si="325"/>
        <v>0</v>
      </c>
    </row>
    <row r="3706" spans="28:34">
      <c r="AB3706" s="580">
        <f>HLOOKUP("*"&amp;'Output annual'!$AC$2&amp;'Output annual'!$AD$2&amp;"*Zone People Number Of Occupants [](Hourly)",'Eplus results'!$1:$1048576,ROW(),FALSE)</f>
        <v>0</v>
      </c>
      <c r="AC3706" s="580">
        <f>HLOOKUP("*"&amp;'Output annual'!$AC$2&amp;'Output annual'!$AD$2&amp;"*FangerPMV(Hourly)",'Eplus results'!$1:$1048576,ROW(),FALSE)</f>
        <v>0</v>
      </c>
      <c r="AD3706" s="580">
        <f t="shared" si="321"/>
        <v>5</v>
      </c>
      <c r="AE3706" s="580">
        <f t="shared" si="322"/>
        <v>2.5</v>
      </c>
      <c r="AF3706" s="580">
        <f t="shared" si="323"/>
        <v>2.5</v>
      </c>
      <c r="AG3706" s="580">
        <f t="shared" si="324"/>
        <v>0</v>
      </c>
      <c r="AH3706" s="580">
        <f t="shared" si="325"/>
        <v>0</v>
      </c>
    </row>
    <row r="3707" spans="28:34">
      <c r="AB3707" s="580">
        <f>HLOOKUP("*"&amp;'Output annual'!$AC$2&amp;'Output annual'!$AD$2&amp;"*Zone People Number Of Occupants [](Hourly)",'Eplus results'!$1:$1048576,ROW(),FALSE)</f>
        <v>0</v>
      </c>
      <c r="AC3707" s="580">
        <f>HLOOKUP("*"&amp;'Output annual'!$AC$2&amp;'Output annual'!$AD$2&amp;"*FangerPMV(Hourly)",'Eplus results'!$1:$1048576,ROW(),FALSE)</f>
        <v>0</v>
      </c>
      <c r="AD3707" s="580">
        <f t="shared" si="321"/>
        <v>5</v>
      </c>
      <c r="AE3707" s="580">
        <f t="shared" si="322"/>
        <v>2.5</v>
      </c>
      <c r="AF3707" s="580">
        <f t="shared" si="323"/>
        <v>2.5</v>
      </c>
      <c r="AG3707" s="580">
        <f t="shared" si="324"/>
        <v>0</v>
      </c>
      <c r="AH3707" s="580">
        <f t="shared" si="325"/>
        <v>0</v>
      </c>
    </row>
    <row r="3708" spans="28:34">
      <c r="AB3708" s="580">
        <f>HLOOKUP("*"&amp;'Output annual'!$AC$2&amp;'Output annual'!$AD$2&amp;"*Zone People Number Of Occupants [](Hourly)",'Eplus results'!$1:$1048576,ROW(),FALSE)</f>
        <v>0</v>
      </c>
      <c r="AC3708" s="580">
        <f>HLOOKUP("*"&amp;'Output annual'!$AC$2&amp;'Output annual'!$AD$2&amp;"*FangerPMV(Hourly)",'Eplus results'!$1:$1048576,ROW(),FALSE)</f>
        <v>0</v>
      </c>
      <c r="AD3708" s="580">
        <f t="shared" si="321"/>
        <v>5</v>
      </c>
      <c r="AE3708" s="580">
        <f t="shared" si="322"/>
        <v>2.5</v>
      </c>
      <c r="AF3708" s="580">
        <f t="shared" si="323"/>
        <v>2.5</v>
      </c>
      <c r="AG3708" s="580">
        <f t="shared" si="324"/>
        <v>0</v>
      </c>
      <c r="AH3708" s="580">
        <f t="shared" si="325"/>
        <v>0</v>
      </c>
    </row>
    <row r="3709" spans="28:34">
      <c r="AB3709" s="580">
        <f>HLOOKUP("*"&amp;'Output annual'!$AC$2&amp;'Output annual'!$AD$2&amp;"*Zone People Number Of Occupants [](Hourly)",'Eplus results'!$1:$1048576,ROW(),FALSE)</f>
        <v>0</v>
      </c>
      <c r="AC3709" s="580">
        <f>HLOOKUP("*"&amp;'Output annual'!$AC$2&amp;'Output annual'!$AD$2&amp;"*FangerPMV(Hourly)",'Eplus results'!$1:$1048576,ROW(),FALSE)</f>
        <v>0</v>
      </c>
      <c r="AD3709" s="580">
        <f t="shared" si="321"/>
        <v>5</v>
      </c>
      <c r="AE3709" s="580">
        <f t="shared" si="322"/>
        <v>2.5</v>
      </c>
      <c r="AF3709" s="580">
        <f t="shared" si="323"/>
        <v>2.5</v>
      </c>
      <c r="AG3709" s="580">
        <f t="shared" si="324"/>
        <v>0</v>
      </c>
      <c r="AH3709" s="580">
        <f t="shared" si="325"/>
        <v>0</v>
      </c>
    </row>
    <row r="3710" spans="28:34">
      <c r="AB3710" s="580">
        <f>HLOOKUP("*"&amp;'Output annual'!$AC$2&amp;'Output annual'!$AD$2&amp;"*Zone People Number Of Occupants [](Hourly)",'Eplus results'!$1:$1048576,ROW(),FALSE)</f>
        <v>0</v>
      </c>
      <c r="AC3710" s="580">
        <f>HLOOKUP("*"&amp;'Output annual'!$AC$2&amp;'Output annual'!$AD$2&amp;"*FangerPMV(Hourly)",'Eplus results'!$1:$1048576,ROW(),FALSE)</f>
        <v>0</v>
      </c>
      <c r="AD3710" s="580">
        <f t="shared" si="321"/>
        <v>5</v>
      </c>
      <c r="AE3710" s="580">
        <f t="shared" si="322"/>
        <v>2.5</v>
      </c>
      <c r="AF3710" s="580">
        <f t="shared" si="323"/>
        <v>2.5</v>
      </c>
      <c r="AG3710" s="580">
        <f t="shared" si="324"/>
        <v>0</v>
      </c>
      <c r="AH3710" s="580">
        <f t="shared" si="325"/>
        <v>0</v>
      </c>
    </row>
    <row r="3711" spans="28:34">
      <c r="AB3711" s="580">
        <f>HLOOKUP("*"&amp;'Output annual'!$AC$2&amp;'Output annual'!$AD$2&amp;"*Zone People Number Of Occupants [](Hourly)",'Eplus results'!$1:$1048576,ROW(),FALSE)</f>
        <v>0</v>
      </c>
      <c r="AC3711" s="580">
        <f>HLOOKUP("*"&amp;'Output annual'!$AC$2&amp;'Output annual'!$AD$2&amp;"*FangerPMV(Hourly)",'Eplus results'!$1:$1048576,ROW(),FALSE)</f>
        <v>0</v>
      </c>
      <c r="AD3711" s="580">
        <f t="shared" si="321"/>
        <v>5</v>
      </c>
      <c r="AE3711" s="580">
        <f t="shared" si="322"/>
        <v>2.5</v>
      </c>
      <c r="AF3711" s="580">
        <f t="shared" si="323"/>
        <v>2.5</v>
      </c>
      <c r="AG3711" s="580">
        <f t="shared" si="324"/>
        <v>0</v>
      </c>
      <c r="AH3711" s="580">
        <f t="shared" si="325"/>
        <v>0</v>
      </c>
    </row>
    <row r="3712" spans="28:34">
      <c r="AB3712" s="580">
        <f>HLOOKUP("*"&amp;'Output annual'!$AC$2&amp;'Output annual'!$AD$2&amp;"*Zone People Number Of Occupants [](Hourly)",'Eplus results'!$1:$1048576,ROW(),FALSE)</f>
        <v>0</v>
      </c>
      <c r="AC3712" s="580">
        <f>HLOOKUP("*"&amp;'Output annual'!$AC$2&amp;'Output annual'!$AD$2&amp;"*FangerPMV(Hourly)",'Eplus results'!$1:$1048576,ROW(),FALSE)</f>
        <v>0</v>
      </c>
      <c r="AD3712" s="580">
        <f t="shared" si="321"/>
        <v>5</v>
      </c>
      <c r="AE3712" s="580">
        <f t="shared" si="322"/>
        <v>2.5</v>
      </c>
      <c r="AF3712" s="580">
        <f t="shared" si="323"/>
        <v>2.5</v>
      </c>
      <c r="AG3712" s="580">
        <f t="shared" si="324"/>
        <v>0</v>
      </c>
      <c r="AH3712" s="580">
        <f t="shared" si="325"/>
        <v>0</v>
      </c>
    </row>
    <row r="3713" spans="28:34">
      <c r="AB3713" s="580">
        <f>HLOOKUP("*"&amp;'Output annual'!$AC$2&amp;'Output annual'!$AD$2&amp;"*Zone People Number Of Occupants [](Hourly)",'Eplus results'!$1:$1048576,ROW(),FALSE)</f>
        <v>0</v>
      </c>
      <c r="AC3713" s="580">
        <f>HLOOKUP("*"&amp;'Output annual'!$AC$2&amp;'Output annual'!$AD$2&amp;"*FangerPMV(Hourly)",'Eplus results'!$1:$1048576,ROW(),FALSE)</f>
        <v>0</v>
      </c>
      <c r="AD3713" s="580">
        <f t="shared" si="321"/>
        <v>5</v>
      </c>
      <c r="AE3713" s="580">
        <f t="shared" si="322"/>
        <v>2.5</v>
      </c>
      <c r="AF3713" s="580">
        <f t="shared" si="323"/>
        <v>2.5</v>
      </c>
      <c r="AG3713" s="580">
        <f t="shared" si="324"/>
        <v>0</v>
      </c>
      <c r="AH3713" s="580">
        <f t="shared" si="325"/>
        <v>0</v>
      </c>
    </row>
    <row r="3714" spans="28:34">
      <c r="AB3714" s="580">
        <f>HLOOKUP("*"&amp;'Output annual'!$AC$2&amp;'Output annual'!$AD$2&amp;"*Zone People Number Of Occupants [](Hourly)",'Eplus results'!$1:$1048576,ROW(),FALSE)</f>
        <v>0</v>
      </c>
      <c r="AC3714" s="580">
        <f>HLOOKUP("*"&amp;'Output annual'!$AC$2&amp;'Output annual'!$AD$2&amp;"*FangerPMV(Hourly)",'Eplus results'!$1:$1048576,ROW(),FALSE)</f>
        <v>0</v>
      </c>
      <c r="AD3714" s="580">
        <f t="shared" si="321"/>
        <v>5</v>
      </c>
      <c r="AE3714" s="580">
        <f t="shared" si="322"/>
        <v>2.5</v>
      </c>
      <c r="AF3714" s="580">
        <f t="shared" si="323"/>
        <v>2.5</v>
      </c>
      <c r="AG3714" s="580">
        <f t="shared" si="324"/>
        <v>0</v>
      </c>
      <c r="AH3714" s="580">
        <f t="shared" si="325"/>
        <v>0</v>
      </c>
    </row>
    <row r="3715" spans="28:34">
      <c r="AB3715" s="580">
        <f>HLOOKUP("*"&amp;'Output annual'!$AC$2&amp;'Output annual'!$AD$2&amp;"*Zone People Number Of Occupants [](Hourly)",'Eplus results'!$1:$1048576,ROW(),FALSE)</f>
        <v>0</v>
      </c>
      <c r="AC3715" s="580">
        <f>HLOOKUP("*"&amp;'Output annual'!$AC$2&amp;'Output annual'!$AD$2&amp;"*FangerPMV(Hourly)",'Eplus results'!$1:$1048576,ROW(),FALSE)</f>
        <v>0</v>
      </c>
      <c r="AD3715" s="580">
        <f t="shared" ref="AD3715:AD3778" si="326">100-95*EXP(-0.03353*AC3715^4-0.2179*AC3715^2)</f>
        <v>5</v>
      </c>
      <c r="AE3715" s="580">
        <f t="shared" ref="AE3715:AE3778" si="327">AD3715*(1/(1+EXP(-6.3*$AC3715)))</f>
        <v>2.5</v>
      </c>
      <c r="AF3715" s="580">
        <f t="shared" ref="AF3715:AF3778" si="328">(AD3715-AE3715)</f>
        <v>2.5</v>
      </c>
      <c r="AG3715" s="580">
        <f t="shared" ref="AG3715:AG3778" si="329">AE3715*AB3715</f>
        <v>0</v>
      </c>
      <c r="AH3715" s="580">
        <f t="shared" ref="AH3715:AH3778" si="330">AF3715*AB3715</f>
        <v>0</v>
      </c>
    </row>
    <row r="3716" spans="28:34">
      <c r="AB3716" s="580">
        <f>HLOOKUP("*"&amp;'Output annual'!$AC$2&amp;'Output annual'!$AD$2&amp;"*Zone People Number Of Occupants [](Hourly)",'Eplus results'!$1:$1048576,ROW(),FALSE)</f>
        <v>0</v>
      </c>
      <c r="AC3716" s="580">
        <f>HLOOKUP("*"&amp;'Output annual'!$AC$2&amp;'Output annual'!$AD$2&amp;"*FangerPMV(Hourly)",'Eplus results'!$1:$1048576,ROW(),FALSE)</f>
        <v>0</v>
      </c>
      <c r="AD3716" s="580">
        <f t="shared" si="326"/>
        <v>5</v>
      </c>
      <c r="AE3716" s="580">
        <f t="shared" si="327"/>
        <v>2.5</v>
      </c>
      <c r="AF3716" s="580">
        <f t="shared" si="328"/>
        <v>2.5</v>
      </c>
      <c r="AG3716" s="580">
        <f t="shared" si="329"/>
        <v>0</v>
      </c>
      <c r="AH3716" s="580">
        <f t="shared" si="330"/>
        <v>0</v>
      </c>
    </row>
    <row r="3717" spans="28:34">
      <c r="AB3717" s="580">
        <f>HLOOKUP("*"&amp;'Output annual'!$AC$2&amp;'Output annual'!$AD$2&amp;"*Zone People Number Of Occupants [](Hourly)",'Eplus results'!$1:$1048576,ROW(),FALSE)</f>
        <v>0</v>
      </c>
      <c r="AC3717" s="580">
        <f>HLOOKUP("*"&amp;'Output annual'!$AC$2&amp;'Output annual'!$AD$2&amp;"*FangerPMV(Hourly)",'Eplus results'!$1:$1048576,ROW(),FALSE)</f>
        <v>0</v>
      </c>
      <c r="AD3717" s="580">
        <f t="shared" si="326"/>
        <v>5</v>
      </c>
      <c r="AE3717" s="580">
        <f t="shared" si="327"/>
        <v>2.5</v>
      </c>
      <c r="AF3717" s="580">
        <f t="shared" si="328"/>
        <v>2.5</v>
      </c>
      <c r="AG3717" s="580">
        <f t="shared" si="329"/>
        <v>0</v>
      </c>
      <c r="AH3717" s="580">
        <f t="shared" si="330"/>
        <v>0</v>
      </c>
    </row>
    <row r="3718" spans="28:34">
      <c r="AB3718" s="580">
        <f>HLOOKUP("*"&amp;'Output annual'!$AC$2&amp;'Output annual'!$AD$2&amp;"*Zone People Number Of Occupants [](Hourly)",'Eplus results'!$1:$1048576,ROW(),FALSE)</f>
        <v>0</v>
      </c>
      <c r="AC3718" s="580">
        <f>HLOOKUP("*"&amp;'Output annual'!$AC$2&amp;'Output annual'!$AD$2&amp;"*FangerPMV(Hourly)",'Eplus results'!$1:$1048576,ROW(),FALSE)</f>
        <v>0</v>
      </c>
      <c r="AD3718" s="580">
        <f t="shared" si="326"/>
        <v>5</v>
      </c>
      <c r="AE3718" s="580">
        <f t="shared" si="327"/>
        <v>2.5</v>
      </c>
      <c r="AF3718" s="580">
        <f t="shared" si="328"/>
        <v>2.5</v>
      </c>
      <c r="AG3718" s="580">
        <f t="shared" si="329"/>
        <v>0</v>
      </c>
      <c r="AH3718" s="580">
        <f t="shared" si="330"/>
        <v>0</v>
      </c>
    </row>
    <row r="3719" spans="28:34">
      <c r="AB3719" s="580">
        <f>HLOOKUP("*"&amp;'Output annual'!$AC$2&amp;'Output annual'!$AD$2&amp;"*Zone People Number Of Occupants [](Hourly)",'Eplus results'!$1:$1048576,ROW(),FALSE)</f>
        <v>0</v>
      </c>
      <c r="AC3719" s="580">
        <f>HLOOKUP("*"&amp;'Output annual'!$AC$2&amp;'Output annual'!$AD$2&amp;"*FangerPMV(Hourly)",'Eplus results'!$1:$1048576,ROW(),FALSE)</f>
        <v>0</v>
      </c>
      <c r="AD3719" s="580">
        <f t="shared" si="326"/>
        <v>5</v>
      </c>
      <c r="AE3719" s="580">
        <f t="shared" si="327"/>
        <v>2.5</v>
      </c>
      <c r="AF3719" s="580">
        <f t="shared" si="328"/>
        <v>2.5</v>
      </c>
      <c r="AG3719" s="580">
        <f t="shared" si="329"/>
        <v>0</v>
      </c>
      <c r="AH3719" s="580">
        <f t="shared" si="330"/>
        <v>0</v>
      </c>
    </row>
    <row r="3720" spans="28:34">
      <c r="AB3720" s="580">
        <f>HLOOKUP("*"&amp;'Output annual'!$AC$2&amp;'Output annual'!$AD$2&amp;"*Zone People Number Of Occupants [](Hourly)",'Eplus results'!$1:$1048576,ROW(),FALSE)</f>
        <v>0</v>
      </c>
      <c r="AC3720" s="580">
        <f>HLOOKUP("*"&amp;'Output annual'!$AC$2&amp;'Output annual'!$AD$2&amp;"*FangerPMV(Hourly)",'Eplus results'!$1:$1048576,ROW(),FALSE)</f>
        <v>0</v>
      </c>
      <c r="AD3720" s="580">
        <f t="shared" si="326"/>
        <v>5</v>
      </c>
      <c r="AE3720" s="580">
        <f t="shared" si="327"/>
        <v>2.5</v>
      </c>
      <c r="AF3720" s="580">
        <f t="shared" si="328"/>
        <v>2.5</v>
      </c>
      <c r="AG3720" s="580">
        <f t="shared" si="329"/>
        <v>0</v>
      </c>
      <c r="AH3720" s="580">
        <f t="shared" si="330"/>
        <v>0</v>
      </c>
    </row>
    <row r="3721" spans="28:34">
      <c r="AB3721" s="580">
        <f>HLOOKUP("*"&amp;'Output annual'!$AC$2&amp;'Output annual'!$AD$2&amp;"*Zone People Number Of Occupants [](Hourly)",'Eplus results'!$1:$1048576,ROW(),FALSE)</f>
        <v>0</v>
      </c>
      <c r="AC3721" s="580">
        <f>HLOOKUP("*"&amp;'Output annual'!$AC$2&amp;'Output annual'!$AD$2&amp;"*FangerPMV(Hourly)",'Eplus results'!$1:$1048576,ROW(),FALSE)</f>
        <v>0</v>
      </c>
      <c r="AD3721" s="580">
        <f t="shared" si="326"/>
        <v>5</v>
      </c>
      <c r="AE3721" s="580">
        <f t="shared" si="327"/>
        <v>2.5</v>
      </c>
      <c r="AF3721" s="580">
        <f t="shared" si="328"/>
        <v>2.5</v>
      </c>
      <c r="AG3721" s="580">
        <f t="shared" si="329"/>
        <v>0</v>
      </c>
      <c r="AH3721" s="580">
        <f t="shared" si="330"/>
        <v>0</v>
      </c>
    </row>
    <row r="3722" spans="28:34">
      <c r="AB3722" s="580">
        <f>HLOOKUP("*"&amp;'Output annual'!$AC$2&amp;'Output annual'!$AD$2&amp;"*Zone People Number Of Occupants [](Hourly)",'Eplus results'!$1:$1048576,ROW(),FALSE)</f>
        <v>0</v>
      </c>
      <c r="AC3722" s="580">
        <f>HLOOKUP("*"&amp;'Output annual'!$AC$2&amp;'Output annual'!$AD$2&amp;"*FangerPMV(Hourly)",'Eplus results'!$1:$1048576,ROW(),FALSE)</f>
        <v>0</v>
      </c>
      <c r="AD3722" s="580">
        <f t="shared" si="326"/>
        <v>5</v>
      </c>
      <c r="AE3722" s="580">
        <f t="shared" si="327"/>
        <v>2.5</v>
      </c>
      <c r="AF3722" s="580">
        <f t="shared" si="328"/>
        <v>2.5</v>
      </c>
      <c r="AG3722" s="580">
        <f t="shared" si="329"/>
        <v>0</v>
      </c>
      <c r="AH3722" s="580">
        <f t="shared" si="330"/>
        <v>0</v>
      </c>
    </row>
    <row r="3723" spans="28:34">
      <c r="AB3723" s="580">
        <f>HLOOKUP("*"&amp;'Output annual'!$AC$2&amp;'Output annual'!$AD$2&amp;"*Zone People Number Of Occupants [](Hourly)",'Eplus results'!$1:$1048576,ROW(),FALSE)</f>
        <v>0</v>
      </c>
      <c r="AC3723" s="580">
        <f>HLOOKUP("*"&amp;'Output annual'!$AC$2&amp;'Output annual'!$AD$2&amp;"*FangerPMV(Hourly)",'Eplus results'!$1:$1048576,ROW(),FALSE)</f>
        <v>0</v>
      </c>
      <c r="AD3723" s="580">
        <f t="shared" si="326"/>
        <v>5</v>
      </c>
      <c r="AE3723" s="580">
        <f t="shared" si="327"/>
        <v>2.5</v>
      </c>
      <c r="AF3723" s="580">
        <f t="shared" si="328"/>
        <v>2.5</v>
      </c>
      <c r="AG3723" s="580">
        <f t="shared" si="329"/>
        <v>0</v>
      </c>
      <c r="AH3723" s="580">
        <f t="shared" si="330"/>
        <v>0</v>
      </c>
    </row>
    <row r="3724" spans="28:34">
      <c r="AB3724" s="580">
        <f>HLOOKUP("*"&amp;'Output annual'!$AC$2&amp;'Output annual'!$AD$2&amp;"*Zone People Number Of Occupants [](Hourly)",'Eplus results'!$1:$1048576,ROW(),FALSE)</f>
        <v>0</v>
      </c>
      <c r="AC3724" s="580">
        <f>HLOOKUP("*"&amp;'Output annual'!$AC$2&amp;'Output annual'!$AD$2&amp;"*FangerPMV(Hourly)",'Eplus results'!$1:$1048576,ROW(),FALSE)</f>
        <v>0</v>
      </c>
      <c r="AD3724" s="580">
        <f t="shared" si="326"/>
        <v>5</v>
      </c>
      <c r="AE3724" s="580">
        <f t="shared" si="327"/>
        <v>2.5</v>
      </c>
      <c r="AF3724" s="580">
        <f t="shared" si="328"/>
        <v>2.5</v>
      </c>
      <c r="AG3724" s="580">
        <f t="shared" si="329"/>
        <v>0</v>
      </c>
      <c r="AH3724" s="580">
        <f t="shared" si="330"/>
        <v>0</v>
      </c>
    </row>
    <row r="3725" spans="28:34">
      <c r="AB3725" s="580">
        <f>HLOOKUP("*"&amp;'Output annual'!$AC$2&amp;'Output annual'!$AD$2&amp;"*Zone People Number Of Occupants [](Hourly)",'Eplus results'!$1:$1048576,ROW(),FALSE)</f>
        <v>0</v>
      </c>
      <c r="AC3725" s="580">
        <f>HLOOKUP("*"&amp;'Output annual'!$AC$2&amp;'Output annual'!$AD$2&amp;"*FangerPMV(Hourly)",'Eplus results'!$1:$1048576,ROW(),FALSE)</f>
        <v>0</v>
      </c>
      <c r="AD3725" s="580">
        <f t="shared" si="326"/>
        <v>5</v>
      </c>
      <c r="AE3725" s="580">
        <f t="shared" si="327"/>
        <v>2.5</v>
      </c>
      <c r="AF3725" s="580">
        <f t="shared" si="328"/>
        <v>2.5</v>
      </c>
      <c r="AG3725" s="580">
        <f t="shared" si="329"/>
        <v>0</v>
      </c>
      <c r="AH3725" s="580">
        <f t="shared" si="330"/>
        <v>0</v>
      </c>
    </row>
    <row r="3726" spans="28:34">
      <c r="AB3726" s="580">
        <f>HLOOKUP("*"&amp;'Output annual'!$AC$2&amp;'Output annual'!$AD$2&amp;"*Zone People Number Of Occupants [](Hourly)",'Eplus results'!$1:$1048576,ROW(),FALSE)</f>
        <v>0</v>
      </c>
      <c r="AC3726" s="580">
        <f>HLOOKUP("*"&amp;'Output annual'!$AC$2&amp;'Output annual'!$AD$2&amp;"*FangerPMV(Hourly)",'Eplus results'!$1:$1048576,ROW(),FALSE)</f>
        <v>0</v>
      </c>
      <c r="AD3726" s="580">
        <f t="shared" si="326"/>
        <v>5</v>
      </c>
      <c r="AE3726" s="580">
        <f t="shared" si="327"/>
        <v>2.5</v>
      </c>
      <c r="AF3726" s="580">
        <f t="shared" si="328"/>
        <v>2.5</v>
      </c>
      <c r="AG3726" s="580">
        <f t="shared" si="329"/>
        <v>0</v>
      </c>
      <c r="AH3726" s="580">
        <f t="shared" si="330"/>
        <v>0</v>
      </c>
    </row>
    <row r="3727" spans="28:34">
      <c r="AB3727" s="580">
        <f>HLOOKUP("*"&amp;'Output annual'!$AC$2&amp;'Output annual'!$AD$2&amp;"*Zone People Number Of Occupants [](Hourly)",'Eplus results'!$1:$1048576,ROW(),FALSE)</f>
        <v>0</v>
      </c>
      <c r="AC3727" s="580">
        <f>HLOOKUP("*"&amp;'Output annual'!$AC$2&amp;'Output annual'!$AD$2&amp;"*FangerPMV(Hourly)",'Eplus results'!$1:$1048576,ROW(),FALSE)</f>
        <v>0</v>
      </c>
      <c r="AD3727" s="580">
        <f t="shared" si="326"/>
        <v>5</v>
      </c>
      <c r="AE3727" s="580">
        <f t="shared" si="327"/>
        <v>2.5</v>
      </c>
      <c r="AF3727" s="580">
        <f t="shared" si="328"/>
        <v>2.5</v>
      </c>
      <c r="AG3727" s="580">
        <f t="shared" si="329"/>
        <v>0</v>
      </c>
      <c r="AH3727" s="580">
        <f t="shared" si="330"/>
        <v>0</v>
      </c>
    </row>
    <row r="3728" spans="28:34">
      <c r="AB3728" s="580">
        <f>HLOOKUP("*"&amp;'Output annual'!$AC$2&amp;'Output annual'!$AD$2&amp;"*Zone People Number Of Occupants [](Hourly)",'Eplus results'!$1:$1048576,ROW(),FALSE)</f>
        <v>0</v>
      </c>
      <c r="AC3728" s="580">
        <f>HLOOKUP("*"&amp;'Output annual'!$AC$2&amp;'Output annual'!$AD$2&amp;"*FangerPMV(Hourly)",'Eplus results'!$1:$1048576,ROW(),FALSE)</f>
        <v>0</v>
      </c>
      <c r="AD3728" s="580">
        <f t="shared" si="326"/>
        <v>5</v>
      </c>
      <c r="AE3728" s="580">
        <f t="shared" si="327"/>
        <v>2.5</v>
      </c>
      <c r="AF3728" s="580">
        <f t="shared" si="328"/>
        <v>2.5</v>
      </c>
      <c r="AG3728" s="580">
        <f t="shared" si="329"/>
        <v>0</v>
      </c>
      <c r="AH3728" s="580">
        <f t="shared" si="330"/>
        <v>0</v>
      </c>
    </row>
    <row r="3729" spans="28:34">
      <c r="AB3729" s="580">
        <f>HLOOKUP("*"&amp;'Output annual'!$AC$2&amp;'Output annual'!$AD$2&amp;"*Zone People Number Of Occupants [](Hourly)",'Eplus results'!$1:$1048576,ROW(),FALSE)</f>
        <v>0</v>
      </c>
      <c r="AC3729" s="580">
        <f>HLOOKUP("*"&amp;'Output annual'!$AC$2&amp;'Output annual'!$AD$2&amp;"*FangerPMV(Hourly)",'Eplus results'!$1:$1048576,ROW(),FALSE)</f>
        <v>0</v>
      </c>
      <c r="AD3729" s="580">
        <f t="shared" si="326"/>
        <v>5</v>
      </c>
      <c r="AE3729" s="580">
        <f t="shared" si="327"/>
        <v>2.5</v>
      </c>
      <c r="AF3729" s="580">
        <f t="shared" si="328"/>
        <v>2.5</v>
      </c>
      <c r="AG3729" s="580">
        <f t="shared" si="329"/>
        <v>0</v>
      </c>
      <c r="AH3729" s="580">
        <f t="shared" si="330"/>
        <v>0</v>
      </c>
    </row>
    <row r="3730" spans="28:34">
      <c r="AB3730" s="580">
        <f>HLOOKUP("*"&amp;'Output annual'!$AC$2&amp;'Output annual'!$AD$2&amp;"*Zone People Number Of Occupants [](Hourly)",'Eplus results'!$1:$1048576,ROW(),FALSE)</f>
        <v>0</v>
      </c>
      <c r="AC3730" s="580">
        <f>HLOOKUP("*"&amp;'Output annual'!$AC$2&amp;'Output annual'!$AD$2&amp;"*FangerPMV(Hourly)",'Eplus results'!$1:$1048576,ROW(),FALSE)</f>
        <v>0</v>
      </c>
      <c r="AD3730" s="580">
        <f t="shared" si="326"/>
        <v>5</v>
      </c>
      <c r="AE3730" s="580">
        <f t="shared" si="327"/>
        <v>2.5</v>
      </c>
      <c r="AF3730" s="580">
        <f t="shared" si="328"/>
        <v>2.5</v>
      </c>
      <c r="AG3730" s="580">
        <f t="shared" si="329"/>
        <v>0</v>
      </c>
      <c r="AH3730" s="580">
        <f t="shared" si="330"/>
        <v>0</v>
      </c>
    </row>
    <row r="3731" spans="28:34">
      <c r="AB3731" s="580">
        <f>HLOOKUP("*"&amp;'Output annual'!$AC$2&amp;'Output annual'!$AD$2&amp;"*Zone People Number Of Occupants [](Hourly)",'Eplus results'!$1:$1048576,ROW(),FALSE)</f>
        <v>0</v>
      </c>
      <c r="AC3731" s="580">
        <f>HLOOKUP("*"&amp;'Output annual'!$AC$2&amp;'Output annual'!$AD$2&amp;"*FangerPMV(Hourly)",'Eplus results'!$1:$1048576,ROW(),FALSE)</f>
        <v>0</v>
      </c>
      <c r="AD3731" s="580">
        <f t="shared" si="326"/>
        <v>5</v>
      </c>
      <c r="AE3731" s="580">
        <f t="shared" si="327"/>
        <v>2.5</v>
      </c>
      <c r="AF3731" s="580">
        <f t="shared" si="328"/>
        <v>2.5</v>
      </c>
      <c r="AG3731" s="580">
        <f t="shared" si="329"/>
        <v>0</v>
      </c>
      <c r="AH3731" s="580">
        <f t="shared" si="330"/>
        <v>0</v>
      </c>
    </row>
    <row r="3732" spans="28:34">
      <c r="AB3732" s="580">
        <f>HLOOKUP("*"&amp;'Output annual'!$AC$2&amp;'Output annual'!$AD$2&amp;"*Zone People Number Of Occupants [](Hourly)",'Eplus results'!$1:$1048576,ROW(),FALSE)</f>
        <v>0</v>
      </c>
      <c r="AC3732" s="580">
        <f>HLOOKUP("*"&amp;'Output annual'!$AC$2&amp;'Output annual'!$AD$2&amp;"*FangerPMV(Hourly)",'Eplus results'!$1:$1048576,ROW(),FALSE)</f>
        <v>0</v>
      </c>
      <c r="AD3732" s="580">
        <f t="shared" si="326"/>
        <v>5</v>
      </c>
      <c r="AE3732" s="580">
        <f t="shared" si="327"/>
        <v>2.5</v>
      </c>
      <c r="AF3732" s="580">
        <f t="shared" si="328"/>
        <v>2.5</v>
      </c>
      <c r="AG3732" s="580">
        <f t="shared" si="329"/>
        <v>0</v>
      </c>
      <c r="AH3732" s="580">
        <f t="shared" si="330"/>
        <v>0</v>
      </c>
    </row>
    <row r="3733" spans="28:34">
      <c r="AB3733" s="580">
        <f>HLOOKUP("*"&amp;'Output annual'!$AC$2&amp;'Output annual'!$AD$2&amp;"*Zone People Number Of Occupants [](Hourly)",'Eplus results'!$1:$1048576,ROW(),FALSE)</f>
        <v>0</v>
      </c>
      <c r="AC3733" s="580">
        <f>HLOOKUP("*"&amp;'Output annual'!$AC$2&amp;'Output annual'!$AD$2&amp;"*FangerPMV(Hourly)",'Eplus results'!$1:$1048576,ROW(),FALSE)</f>
        <v>0</v>
      </c>
      <c r="AD3733" s="580">
        <f t="shared" si="326"/>
        <v>5</v>
      </c>
      <c r="AE3733" s="580">
        <f t="shared" si="327"/>
        <v>2.5</v>
      </c>
      <c r="AF3733" s="580">
        <f t="shared" si="328"/>
        <v>2.5</v>
      </c>
      <c r="AG3733" s="580">
        <f t="shared" si="329"/>
        <v>0</v>
      </c>
      <c r="AH3733" s="580">
        <f t="shared" si="330"/>
        <v>0</v>
      </c>
    </row>
    <row r="3734" spans="28:34">
      <c r="AB3734" s="580">
        <f>HLOOKUP("*"&amp;'Output annual'!$AC$2&amp;'Output annual'!$AD$2&amp;"*Zone People Number Of Occupants [](Hourly)",'Eplus results'!$1:$1048576,ROW(),FALSE)</f>
        <v>0</v>
      </c>
      <c r="AC3734" s="580">
        <f>HLOOKUP("*"&amp;'Output annual'!$AC$2&amp;'Output annual'!$AD$2&amp;"*FangerPMV(Hourly)",'Eplus results'!$1:$1048576,ROW(),FALSE)</f>
        <v>0</v>
      </c>
      <c r="AD3734" s="580">
        <f t="shared" si="326"/>
        <v>5</v>
      </c>
      <c r="AE3734" s="580">
        <f t="shared" si="327"/>
        <v>2.5</v>
      </c>
      <c r="AF3734" s="580">
        <f t="shared" si="328"/>
        <v>2.5</v>
      </c>
      <c r="AG3734" s="580">
        <f t="shared" si="329"/>
        <v>0</v>
      </c>
      <c r="AH3734" s="580">
        <f t="shared" si="330"/>
        <v>0</v>
      </c>
    </row>
    <row r="3735" spans="28:34">
      <c r="AB3735" s="580">
        <f>HLOOKUP("*"&amp;'Output annual'!$AC$2&amp;'Output annual'!$AD$2&amp;"*Zone People Number Of Occupants [](Hourly)",'Eplus results'!$1:$1048576,ROW(),FALSE)</f>
        <v>0</v>
      </c>
      <c r="AC3735" s="580">
        <f>HLOOKUP("*"&amp;'Output annual'!$AC$2&amp;'Output annual'!$AD$2&amp;"*FangerPMV(Hourly)",'Eplus results'!$1:$1048576,ROW(),FALSE)</f>
        <v>0</v>
      </c>
      <c r="AD3735" s="580">
        <f t="shared" si="326"/>
        <v>5</v>
      </c>
      <c r="AE3735" s="580">
        <f t="shared" si="327"/>
        <v>2.5</v>
      </c>
      <c r="AF3735" s="580">
        <f t="shared" si="328"/>
        <v>2.5</v>
      </c>
      <c r="AG3735" s="580">
        <f t="shared" si="329"/>
        <v>0</v>
      </c>
      <c r="AH3735" s="580">
        <f t="shared" si="330"/>
        <v>0</v>
      </c>
    </row>
    <row r="3736" spans="28:34">
      <c r="AB3736" s="580">
        <f>HLOOKUP("*"&amp;'Output annual'!$AC$2&amp;'Output annual'!$AD$2&amp;"*Zone People Number Of Occupants [](Hourly)",'Eplus results'!$1:$1048576,ROW(),FALSE)</f>
        <v>0</v>
      </c>
      <c r="AC3736" s="580">
        <f>HLOOKUP("*"&amp;'Output annual'!$AC$2&amp;'Output annual'!$AD$2&amp;"*FangerPMV(Hourly)",'Eplus results'!$1:$1048576,ROW(),FALSE)</f>
        <v>0</v>
      </c>
      <c r="AD3736" s="580">
        <f t="shared" si="326"/>
        <v>5</v>
      </c>
      <c r="AE3736" s="580">
        <f t="shared" si="327"/>
        <v>2.5</v>
      </c>
      <c r="AF3736" s="580">
        <f t="shared" si="328"/>
        <v>2.5</v>
      </c>
      <c r="AG3736" s="580">
        <f t="shared" si="329"/>
        <v>0</v>
      </c>
      <c r="AH3736" s="580">
        <f t="shared" si="330"/>
        <v>0</v>
      </c>
    </row>
    <row r="3737" spans="28:34">
      <c r="AB3737" s="580">
        <f>HLOOKUP("*"&amp;'Output annual'!$AC$2&amp;'Output annual'!$AD$2&amp;"*Zone People Number Of Occupants [](Hourly)",'Eplus results'!$1:$1048576,ROW(),FALSE)</f>
        <v>0</v>
      </c>
      <c r="AC3737" s="580">
        <f>HLOOKUP("*"&amp;'Output annual'!$AC$2&amp;'Output annual'!$AD$2&amp;"*FangerPMV(Hourly)",'Eplus results'!$1:$1048576,ROW(),FALSE)</f>
        <v>0</v>
      </c>
      <c r="AD3737" s="580">
        <f t="shared" si="326"/>
        <v>5</v>
      </c>
      <c r="AE3737" s="580">
        <f t="shared" si="327"/>
        <v>2.5</v>
      </c>
      <c r="AF3737" s="580">
        <f t="shared" si="328"/>
        <v>2.5</v>
      </c>
      <c r="AG3737" s="580">
        <f t="shared" si="329"/>
        <v>0</v>
      </c>
      <c r="AH3737" s="580">
        <f t="shared" si="330"/>
        <v>0</v>
      </c>
    </row>
    <row r="3738" spans="28:34">
      <c r="AB3738" s="580">
        <f>HLOOKUP("*"&amp;'Output annual'!$AC$2&amp;'Output annual'!$AD$2&amp;"*Zone People Number Of Occupants [](Hourly)",'Eplus results'!$1:$1048576,ROW(),FALSE)</f>
        <v>0</v>
      </c>
      <c r="AC3738" s="580">
        <f>HLOOKUP("*"&amp;'Output annual'!$AC$2&amp;'Output annual'!$AD$2&amp;"*FangerPMV(Hourly)",'Eplus results'!$1:$1048576,ROW(),FALSE)</f>
        <v>0</v>
      </c>
      <c r="AD3738" s="580">
        <f t="shared" si="326"/>
        <v>5</v>
      </c>
      <c r="AE3738" s="580">
        <f t="shared" si="327"/>
        <v>2.5</v>
      </c>
      <c r="AF3738" s="580">
        <f t="shared" si="328"/>
        <v>2.5</v>
      </c>
      <c r="AG3738" s="580">
        <f t="shared" si="329"/>
        <v>0</v>
      </c>
      <c r="AH3738" s="580">
        <f t="shared" si="330"/>
        <v>0</v>
      </c>
    </row>
    <row r="3739" spans="28:34">
      <c r="AB3739" s="580">
        <f>HLOOKUP("*"&amp;'Output annual'!$AC$2&amp;'Output annual'!$AD$2&amp;"*Zone People Number Of Occupants [](Hourly)",'Eplus results'!$1:$1048576,ROW(),FALSE)</f>
        <v>0</v>
      </c>
      <c r="AC3739" s="580">
        <f>HLOOKUP("*"&amp;'Output annual'!$AC$2&amp;'Output annual'!$AD$2&amp;"*FangerPMV(Hourly)",'Eplus results'!$1:$1048576,ROW(),FALSE)</f>
        <v>0</v>
      </c>
      <c r="AD3739" s="580">
        <f t="shared" si="326"/>
        <v>5</v>
      </c>
      <c r="AE3739" s="580">
        <f t="shared" si="327"/>
        <v>2.5</v>
      </c>
      <c r="AF3739" s="580">
        <f t="shared" si="328"/>
        <v>2.5</v>
      </c>
      <c r="AG3739" s="580">
        <f t="shared" si="329"/>
        <v>0</v>
      </c>
      <c r="AH3739" s="580">
        <f t="shared" si="330"/>
        <v>0</v>
      </c>
    </row>
    <row r="3740" spans="28:34">
      <c r="AB3740" s="580">
        <f>HLOOKUP("*"&amp;'Output annual'!$AC$2&amp;'Output annual'!$AD$2&amp;"*Zone People Number Of Occupants [](Hourly)",'Eplus results'!$1:$1048576,ROW(),FALSE)</f>
        <v>0</v>
      </c>
      <c r="AC3740" s="580">
        <f>HLOOKUP("*"&amp;'Output annual'!$AC$2&amp;'Output annual'!$AD$2&amp;"*FangerPMV(Hourly)",'Eplus results'!$1:$1048576,ROW(),FALSE)</f>
        <v>0</v>
      </c>
      <c r="AD3740" s="580">
        <f t="shared" si="326"/>
        <v>5</v>
      </c>
      <c r="AE3740" s="580">
        <f t="shared" si="327"/>
        <v>2.5</v>
      </c>
      <c r="AF3740" s="580">
        <f t="shared" si="328"/>
        <v>2.5</v>
      </c>
      <c r="AG3740" s="580">
        <f t="shared" si="329"/>
        <v>0</v>
      </c>
      <c r="AH3740" s="580">
        <f t="shared" si="330"/>
        <v>0</v>
      </c>
    </row>
    <row r="3741" spans="28:34">
      <c r="AB3741" s="580">
        <f>HLOOKUP("*"&amp;'Output annual'!$AC$2&amp;'Output annual'!$AD$2&amp;"*Zone People Number Of Occupants [](Hourly)",'Eplus results'!$1:$1048576,ROW(),FALSE)</f>
        <v>0</v>
      </c>
      <c r="AC3741" s="580">
        <f>HLOOKUP("*"&amp;'Output annual'!$AC$2&amp;'Output annual'!$AD$2&amp;"*FangerPMV(Hourly)",'Eplus results'!$1:$1048576,ROW(),FALSE)</f>
        <v>0</v>
      </c>
      <c r="AD3741" s="580">
        <f t="shared" si="326"/>
        <v>5</v>
      </c>
      <c r="AE3741" s="580">
        <f t="shared" si="327"/>
        <v>2.5</v>
      </c>
      <c r="AF3741" s="580">
        <f t="shared" si="328"/>
        <v>2.5</v>
      </c>
      <c r="AG3741" s="580">
        <f t="shared" si="329"/>
        <v>0</v>
      </c>
      <c r="AH3741" s="580">
        <f t="shared" si="330"/>
        <v>0</v>
      </c>
    </row>
    <row r="3742" spans="28:34">
      <c r="AB3742" s="580">
        <f>HLOOKUP("*"&amp;'Output annual'!$AC$2&amp;'Output annual'!$AD$2&amp;"*Zone People Number Of Occupants [](Hourly)",'Eplus results'!$1:$1048576,ROW(),FALSE)</f>
        <v>0</v>
      </c>
      <c r="AC3742" s="580">
        <f>HLOOKUP("*"&amp;'Output annual'!$AC$2&amp;'Output annual'!$AD$2&amp;"*FangerPMV(Hourly)",'Eplus results'!$1:$1048576,ROW(),FALSE)</f>
        <v>0</v>
      </c>
      <c r="AD3742" s="580">
        <f t="shared" si="326"/>
        <v>5</v>
      </c>
      <c r="AE3742" s="580">
        <f t="shared" si="327"/>
        <v>2.5</v>
      </c>
      <c r="AF3742" s="580">
        <f t="shared" si="328"/>
        <v>2.5</v>
      </c>
      <c r="AG3742" s="580">
        <f t="shared" si="329"/>
        <v>0</v>
      </c>
      <c r="AH3742" s="580">
        <f t="shared" si="330"/>
        <v>0</v>
      </c>
    </row>
    <row r="3743" spans="28:34">
      <c r="AB3743" s="580">
        <f>HLOOKUP("*"&amp;'Output annual'!$AC$2&amp;'Output annual'!$AD$2&amp;"*Zone People Number Of Occupants [](Hourly)",'Eplus results'!$1:$1048576,ROW(),FALSE)</f>
        <v>0</v>
      </c>
      <c r="AC3743" s="580">
        <f>HLOOKUP("*"&amp;'Output annual'!$AC$2&amp;'Output annual'!$AD$2&amp;"*FangerPMV(Hourly)",'Eplus results'!$1:$1048576,ROW(),FALSE)</f>
        <v>0</v>
      </c>
      <c r="AD3743" s="580">
        <f t="shared" si="326"/>
        <v>5</v>
      </c>
      <c r="AE3743" s="580">
        <f t="shared" si="327"/>
        <v>2.5</v>
      </c>
      <c r="AF3743" s="580">
        <f t="shared" si="328"/>
        <v>2.5</v>
      </c>
      <c r="AG3743" s="580">
        <f t="shared" si="329"/>
        <v>0</v>
      </c>
      <c r="AH3743" s="580">
        <f t="shared" si="330"/>
        <v>0</v>
      </c>
    </row>
    <row r="3744" spans="28:34">
      <c r="AB3744" s="580">
        <f>HLOOKUP("*"&amp;'Output annual'!$AC$2&amp;'Output annual'!$AD$2&amp;"*Zone People Number Of Occupants [](Hourly)",'Eplus results'!$1:$1048576,ROW(),FALSE)</f>
        <v>0</v>
      </c>
      <c r="AC3744" s="580">
        <f>HLOOKUP("*"&amp;'Output annual'!$AC$2&amp;'Output annual'!$AD$2&amp;"*FangerPMV(Hourly)",'Eplus results'!$1:$1048576,ROW(),FALSE)</f>
        <v>0</v>
      </c>
      <c r="AD3744" s="580">
        <f t="shared" si="326"/>
        <v>5</v>
      </c>
      <c r="AE3744" s="580">
        <f t="shared" si="327"/>
        <v>2.5</v>
      </c>
      <c r="AF3744" s="580">
        <f t="shared" si="328"/>
        <v>2.5</v>
      </c>
      <c r="AG3744" s="580">
        <f t="shared" si="329"/>
        <v>0</v>
      </c>
      <c r="AH3744" s="580">
        <f t="shared" si="330"/>
        <v>0</v>
      </c>
    </row>
    <row r="3745" spans="28:34">
      <c r="AB3745" s="580">
        <f>HLOOKUP("*"&amp;'Output annual'!$AC$2&amp;'Output annual'!$AD$2&amp;"*Zone People Number Of Occupants [](Hourly)",'Eplus results'!$1:$1048576,ROW(),FALSE)</f>
        <v>0</v>
      </c>
      <c r="AC3745" s="580">
        <f>HLOOKUP("*"&amp;'Output annual'!$AC$2&amp;'Output annual'!$AD$2&amp;"*FangerPMV(Hourly)",'Eplus results'!$1:$1048576,ROW(),FALSE)</f>
        <v>0</v>
      </c>
      <c r="AD3745" s="580">
        <f t="shared" si="326"/>
        <v>5</v>
      </c>
      <c r="AE3745" s="580">
        <f t="shared" si="327"/>
        <v>2.5</v>
      </c>
      <c r="AF3745" s="580">
        <f t="shared" si="328"/>
        <v>2.5</v>
      </c>
      <c r="AG3745" s="580">
        <f t="shared" si="329"/>
        <v>0</v>
      </c>
      <c r="AH3745" s="580">
        <f t="shared" si="330"/>
        <v>0</v>
      </c>
    </row>
    <row r="3746" spans="28:34">
      <c r="AB3746" s="580">
        <f>HLOOKUP("*"&amp;'Output annual'!$AC$2&amp;'Output annual'!$AD$2&amp;"*Zone People Number Of Occupants [](Hourly)",'Eplus results'!$1:$1048576,ROW(),FALSE)</f>
        <v>0</v>
      </c>
      <c r="AC3746" s="580">
        <f>HLOOKUP("*"&amp;'Output annual'!$AC$2&amp;'Output annual'!$AD$2&amp;"*FangerPMV(Hourly)",'Eplus results'!$1:$1048576,ROW(),FALSE)</f>
        <v>0</v>
      </c>
      <c r="AD3746" s="580">
        <f t="shared" si="326"/>
        <v>5</v>
      </c>
      <c r="AE3746" s="580">
        <f t="shared" si="327"/>
        <v>2.5</v>
      </c>
      <c r="AF3746" s="580">
        <f t="shared" si="328"/>
        <v>2.5</v>
      </c>
      <c r="AG3746" s="580">
        <f t="shared" si="329"/>
        <v>0</v>
      </c>
      <c r="AH3746" s="580">
        <f t="shared" si="330"/>
        <v>0</v>
      </c>
    </row>
    <row r="3747" spans="28:34">
      <c r="AB3747" s="580">
        <f>HLOOKUP("*"&amp;'Output annual'!$AC$2&amp;'Output annual'!$AD$2&amp;"*Zone People Number Of Occupants [](Hourly)",'Eplus results'!$1:$1048576,ROW(),FALSE)</f>
        <v>0</v>
      </c>
      <c r="AC3747" s="580">
        <f>HLOOKUP("*"&amp;'Output annual'!$AC$2&amp;'Output annual'!$AD$2&amp;"*FangerPMV(Hourly)",'Eplus results'!$1:$1048576,ROW(),FALSE)</f>
        <v>0</v>
      </c>
      <c r="AD3747" s="580">
        <f t="shared" si="326"/>
        <v>5</v>
      </c>
      <c r="AE3747" s="580">
        <f t="shared" si="327"/>
        <v>2.5</v>
      </c>
      <c r="AF3747" s="580">
        <f t="shared" si="328"/>
        <v>2.5</v>
      </c>
      <c r="AG3747" s="580">
        <f t="shared" si="329"/>
        <v>0</v>
      </c>
      <c r="AH3747" s="580">
        <f t="shared" si="330"/>
        <v>0</v>
      </c>
    </row>
    <row r="3748" spans="28:34">
      <c r="AB3748" s="580">
        <f>HLOOKUP("*"&amp;'Output annual'!$AC$2&amp;'Output annual'!$AD$2&amp;"*Zone People Number Of Occupants [](Hourly)",'Eplus results'!$1:$1048576,ROW(),FALSE)</f>
        <v>0</v>
      </c>
      <c r="AC3748" s="580">
        <f>HLOOKUP("*"&amp;'Output annual'!$AC$2&amp;'Output annual'!$AD$2&amp;"*FangerPMV(Hourly)",'Eplus results'!$1:$1048576,ROW(),FALSE)</f>
        <v>0</v>
      </c>
      <c r="AD3748" s="580">
        <f t="shared" si="326"/>
        <v>5</v>
      </c>
      <c r="AE3748" s="580">
        <f t="shared" si="327"/>
        <v>2.5</v>
      </c>
      <c r="AF3748" s="580">
        <f t="shared" si="328"/>
        <v>2.5</v>
      </c>
      <c r="AG3748" s="580">
        <f t="shared" si="329"/>
        <v>0</v>
      </c>
      <c r="AH3748" s="580">
        <f t="shared" si="330"/>
        <v>0</v>
      </c>
    </row>
    <row r="3749" spans="28:34">
      <c r="AB3749" s="580">
        <f>HLOOKUP("*"&amp;'Output annual'!$AC$2&amp;'Output annual'!$AD$2&amp;"*Zone People Number Of Occupants [](Hourly)",'Eplus results'!$1:$1048576,ROW(),FALSE)</f>
        <v>0</v>
      </c>
      <c r="AC3749" s="580">
        <f>HLOOKUP("*"&amp;'Output annual'!$AC$2&amp;'Output annual'!$AD$2&amp;"*FangerPMV(Hourly)",'Eplus results'!$1:$1048576,ROW(),FALSE)</f>
        <v>0</v>
      </c>
      <c r="AD3749" s="580">
        <f t="shared" si="326"/>
        <v>5</v>
      </c>
      <c r="AE3749" s="580">
        <f t="shared" si="327"/>
        <v>2.5</v>
      </c>
      <c r="AF3749" s="580">
        <f t="shared" si="328"/>
        <v>2.5</v>
      </c>
      <c r="AG3749" s="580">
        <f t="shared" si="329"/>
        <v>0</v>
      </c>
      <c r="AH3749" s="580">
        <f t="shared" si="330"/>
        <v>0</v>
      </c>
    </row>
    <row r="3750" spans="28:34">
      <c r="AB3750" s="580">
        <f>HLOOKUP("*"&amp;'Output annual'!$AC$2&amp;'Output annual'!$AD$2&amp;"*Zone People Number Of Occupants [](Hourly)",'Eplus results'!$1:$1048576,ROW(),FALSE)</f>
        <v>0</v>
      </c>
      <c r="AC3750" s="580">
        <f>HLOOKUP("*"&amp;'Output annual'!$AC$2&amp;'Output annual'!$AD$2&amp;"*FangerPMV(Hourly)",'Eplus results'!$1:$1048576,ROW(),FALSE)</f>
        <v>0</v>
      </c>
      <c r="AD3750" s="580">
        <f t="shared" si="326"/>
        <v>5</v>
      </c>
      <c r="AE3750" s="580">
        <f t="shared" si="327"/>
        <v>2.5</v>
      </c>
      <c r="AF3750" s="580">
        <f t="shared" si="328"/>
        <v>2.5</v>
      </c>
      <c r="AG3750" s="580">
        <f t="shared" si="329"/>
        <v>0</v>
      </c>
      <c r="AH3750" s="580">
        <f t="shared" si="330"/>
        <v>0</v>
      </c>
    </row>
    <row r="3751" spans="28:34">
      <c r="AB3751" s="580">
        <f>HLOOKUP("*"&amp;'Output annual'!$AC$2&amp;'Output annual'!$AD$2&amp;"*Zone People Number Of Occupants [](Hourly)",'Eplus results'!$1:$1048576,ROW(),FALSE)</f>
        <v>0</v>
      </c>
      <c r="AC3751" s="580">
        <f>HLOOKUP("*"&amp;'Output annual'!$AC$2&amp;'Output annual'!$AD$2&amp;"*FangerPMV(Hourly)",'Eplus results'!$1:$1048576,ROW(),FALSE)</f>
        <v>0</v>
      </c>
      <c r="AD3751" s="580">
        <f t="shared" si="326"/>
        <v>5</v>
      </c>
      <c r="AE3751" s="580">
        <f t="shared" si="327"/>
        <v>2.5</v>
      </c>
      <c r="AF3751" s="580">
        <f t="shared" si="328"/>
        <v>2.5</v>
      </c>
      <c r="AG3751" s="580">
        <f t="shared" si="329"/>
        <v>0</v>
      </c>
      <c r="AH3751" s="580">
        <f t="shared" si="330"/>
        <v>0</v>
      </c>
    </row>
    <row r="3752" spans="28:34">
      <c r="AB3752" s="580">
        <f>HLOOKUP("*"&amp;'Output annual'!$AC$2&amp;'Output annual'!$AD$2&amp;"*Zone People Number Of Occupants [](Hourly)",'Eplus results'!$1:$1048576,ROW(),FALSE)</f>
        <v>0</v>
      </c>
      <c r="AC3752" s="580">
        <f>HLOOKUP("*"&amp;'Output annual'!$AC$2&amp;'Output annual'!$AD$2&amp;"*FangerPMV(Hourly)",'Eplus results'!$1:$1048576,ROW(),FALSE)</f>
        <v>0</v>
      </c>
      <c r="AD3752" s="580">
        <f t="shared" si="326"/>
        <v>5</v>
      </c>
      <c r="AE3752" s="580">
        <f t="shared" si="327"/>
        <v>2.5</v>
      </c>
      <c r="AF3752" s="580">
        <f t="shared" si="328"/>
        <v>2.5</v>
      </c>
      <c r="AG3752" s="580">
        <f t="shared" si="329"/>
        <v>0</v>
      </c>
      <c r="AH3752" s="580">
        <f t="shared" si="330"/>
        <v>0</v>
      </c>
    </row>
    <row r="3753" spans="28:34">
      <c r="AB3753" s="580">
        <f>HLOOKUP("*"&amp;'Output annual'!$AC$2&amp;'Output annual'!$AD$2&amp;"*Zone People Number Of Occupants [](Hourly)",'Eplus results'!$1:$1048576,ROW(),FALSE)</f>
        <v>0</v>
      </c>
      <c r="AC3753" s="580">
        <f>HLOOKUP("*"&amp;'Output annual'!$AC$2&amp;'Output annual'!$AD$2&amp;"*FangerPMV(Hourly)",'Eplus results'!$1:$1048576,ROW(),FALSE)</f>
        <v>0</v>
      </c>
      <c r="AD3753" s="580">
        <f t="shared" si="326"/>
        <v>5</v>
      </c>
      <c r="AE3753" s="580">
        <f t="shared" si="327"/>
        <v>2.5</v>
      </c>
      <c r="AF3753" s="580">
        <f t="shared" si="328"/>
        <v>2.5</v>
      </c>
      <c r="AG3753" s="580">
        <f t="shared" si="329"/>
        <v>0</v>
      </c>
      <c r="AH3753" s="580">
        <f t="shared" si="330"/>
        <v>0</v>
      </c>
    </row>
    <row r="3754" spans="28:34">
      <c r="AB3754" s="580">
        <f>HLOOKUP("*"&amp;'Output annual'!$AC$2&amp;'Output annual'!$AD$2&amp;"*Zone People Number Of Occupants [](Hourly)",'Eplus results'!$1:$1048576,ROW(),FALSE)</f>
        <v>0</v>
      </c>
      <c r="AC3754" s="580">
        <f>HLOOKUP("*"&amp;'Output annual'!$AC$2&amp;'Output annual'!$AD$2&amp;"*FangerPMV(Hourly)",'Eplus results'!$1:$1048576,ROW(),FALSE)</f>
        <v>0</v>
      </c>
      <c r="AD3754" s="580">
        <f t="shared" si="326"/>
        <v>5</v>
      </c>
      <c r="AE3754" s="580">
        <f t="shared" si="327"/>
        <v>2.5</v>
      </c>
      <c r="AF3754" s="580">
        <f t="shared" si="328"/>
        <v>2.5</v>
      </c>
      <c r="AG3754" s="580">
        <f t="shared" si="329"/>
        <v>0</v>
      </c>
      <c r="AH3754" s="580">
        <f t="shared" si="330"/>
        <v>0</v>
      </c>
    </row>
    <row r="3755" spans="28:34">
      <c r="AB3755" s="580">
        <f>HLOOKUP("*"&amp;'Output annual'!$AC$2&amp;'Output annual'!$AD$2&amp;"*Zone People Number Of Occupants [](Hourly)",'Eplus results'!$1:$1048576,ROW(),FALSE)</f>
        <v>0</v>
      </c>
      <c r="AC3755" s="580">
        <f>HLOOKUP("*"&amp;'Output annual'!$AC$2&amp;'Output annual'!$AD$2&amp;"*FangerPMV(Hourly)",'Eplus results'!$1:$1048576,ROW(),FALSE)</f>
        <v>0</v>
      </c>
      <c r="AD3755" s="580">
        <f t="shared" si="326"/>
        <v>5</v>
      </c>
      <c r="AE3755" s="580">
        <f t="shared" si="327"/>
        <v>2.5</v>
      </c>
      <c r="AF3755" s="580">
        <f t="shared" si="328"/>
        <v>2.5</v>
      </c>
      <c r="AG3755" s="580">
        <f t="shared" si="329"/>
        <v>0</v>
      </c>
      <c r="AH3755" s="580">
        <f t="shared" si="330"/>
        <v>0</v>
      </c>
    </row>
    <row r="3756" spans="28:34">
      <c r="AB3756" s="580">
        <f>HLOOKUP("*"&amp;'Output annual'!$AC$2&amp;'Output annual'!$AD$2&amp;"*Zone People Number Of Occupants [](Hourly)",'Eplus results'!$1:$1048576,ROW(),FALSE)</f>
        <v>0</v>
      </c>
      <c r="AC3756" s="580">
        <f>HLOOKUP("*"&amp;'Output annual'!$AC$2&amp;'Output annual'!$AD$2&amp;"*FangerPMV(Hourly)",'Eplus results'!$1:$1048576,ROW(),FALSE)</f>
        <v>0</v>
      </c>
      <c r="AD3756" s="580">
        <f t="shared" si="326"/>
        <v>5</v>
      </c>
      <c r="AE3756" s="580">
        <f t="shared" si="327"/>
        <v>2.5</v>
      </c>
      <c r="AF3756" s="580">
        <f t="shared" si="328"/>
        <v>2.5</v>
      </c>
      <c r="AG3756" s="580">
        <f t="shared" si="329"/>
        <v>0</v>
      </c>
      <c r="AH3756" s="580">
        <f t="shared" si="330"/>
        <v>0</v>
      </c>
    </row>
    <row r="3757" spans="28:34">
      <c r="AB3757" s="580">
        <f>HLOOKUP("*"&amp;'Output annual'!$AC$2&amp;'Output annual'!$AD$2&amp;"*Zone People Number Of Occupants [](Hourly)",'Eplus results'!$1:$1048576,ROW(),FALSE)</f>
        <v>0</v>
      </c>
      <c r="AC3757" s="580">
        <f>HLOOKUP("*"&amp;'Output annual'!$AC$2&amp;'Output annual'!$AD$2&amp;"*FangerPMV(Hourly)",'Eplus results'!$1:$1048576,ROW(),FALSE)</f>
        <v>0</v>
      </c>
      <c r="AD3757" s="580">
        <f t="shared" si="326"/>
        <v>5</v>
      </c>
      <c r="AE3757" s="580">
        <f t="shared" si="327"/>
        <v>2.5</v>
      </c>
      <c r="AF3757" s="580">
        <f t="shared" si="328"/>
        <v>2.5</v>
      </c>
      <c r="AG3757" s="580">
        <f t="shared" si="329"/>
        <v>0</v>
      </c>
      <c r="AH3757" s="580">
        <f t="shared" si="330"/>
        <v>0</v>
      </c>
    </row>
    <row r="3758" spans="28:34">
      <c r="AB3758" s="580">
        <f>HLOOKUP("*"&amp;'Output annual'!$AC$2&amp;'Output annual'!$AD$2&amp;"*Zone People Number Of Occupants [](Hourly)",'Eplus results'!$1:$1048576,ROW(),FALSE)</f>
        <v>0</v>
      </c>
      <c r="AC3758" s="580">
        <f>HLOOKUP("*"&amp;'Output annual'!$AC$2&amp;'Output annual'!$AD$2&amp;"*FangerPMV(Hourly)",'Eplus results'!$1:$1048576,ROW(),FALSE)</f>
        <v>0</v>
      </c>
      <c r="AD3758" s="580">
        <f t="shared" si="326"/>
        <v>5</v>
      </c>
      <c r="AE3758" s="580">
        <f t="shared" si="327"/>
        <v>2.5</v>
      </c>
      <c r="AF3758" s="580">
        <f t="shared" si="328"/>
        <v>2.5</v>
      </c>
      <c r="AG3758" s="580">
        <f t="shared" si="329"/>
        <v>0</v>
      </c>
      <c r="AH3758" s="580">
        <f t="shared" si="330"/>
        <v>0</v>
      </c>
    </row>
    <row r="3759" spans="28:34">
      <c r="AB3759" s="580">
        <f>HLOOKUP("*"&amp;'Output annual'!$AC$2&amp;'Output annual'!$AD$2&amp;"*Zone People Number Of Occupants [](Hourly)",'Eplus results'!$1:$1048576,ROW(),FALSE)</f>
        <v>0</v>
      </c>
      <c r="AC3759" s="580">
        <f>HLOOKUP("*"&amp;'Output annual'!$AC$2&amp;'Output annual'!$AD$2&amp;"*FangerPMV(Hourly)",'Eplus results'!$1:$1048576,ROW(),FALSE)</f>
        <v>0</v>
      </c>
      <c r="AD3759" s="580">
        <f t="shared" si="326"/>
        <v>5</v>
      </c>
      <c r="AE3759" s="580">
        <f t="shared" si="327"/>
        <v>2.5</v>
      </c>
      <c r="AF3759" s="580">
        <f t="shared" si="328"/>
        <v>2.5</v>
      </c>
      <c r="AG3759" s="580">
        <f t="shared" si="329"/>
        <v>0</v>
      </c>
      <c r="AH3759" s="580">
        <f t="shared" si="330"/>
        <v>0</v>
      </c>
    </row>
    <row r="3760" spans="28:34">
      <c r="AB3760" s="580">
        <f>HLOOKUP("*"&amp;'Output annual'!$AC$2&amp;'Output annual'!$AD$2&amp;"*Zone People Number Of Occupants [](Hourly)",'Eplus results'!$1:$1048576,ROW(),FALSE)</f>
        <v>0</v>
      </c>
      <c r="AC3760" s="580">
        <f>HLOOKUP("*"&amp;'Output annual'!$AC$2&amp;'Output annual'!$AD$2&amp;"*FangerPMV(Hourly)",'Eplus results'!$1:$1048576,ROW(),FALSE)</f>
        <v>0</v>
      </c>
      <c r="AD3760" s="580">
        <f t="shared" si="326"/>
        <v>5</v>
      </c>
      <c r="AE3760" s="580">
        <f t="shared" si="327"/>
        <v>2.5</v>
      </c>
      <c r="AF3760" s="580">
        <f t="shared" si="328"/>
        <v>2.5</v>
      </c>
      <c r="AG3760" s="580">
        <f t="shared" si="329"/>
        <v>0</v>
      </c>
      <c r="AH3760" s="580">
        <f t="shared" si="330"/>
        <v>0</v>
      </c>
    </row>
    <row r="3761" spans="28:34">
      <c r="AB3761" s="580">
        <f>HLOOKUP("*"&amp;'Output annual'!$AC$2&amp;'Output annual'!$AD$2&amp;"*Zone People Number Of Occupants [](Hourly)",'Eplus results'!$1:$1048576,ROW(),FALSE)</f>
        <v>0</v>
      </c>
      <c r="AC3761" s="580">
        <f>HLOOKUP("*"&amp;'Output annual'!$AC$2&amp;'Output annual'!$AD$2&amp;"*FangerPMV(Hourly)",'Eplus results'!$1:$1048576,ROW(),FALSE)</f>
        <v>0</v>
      </c>
      <c r="AD3761" s="580">
        <f t="shared" si="326"/>
        <v>5</v>
      </c>
      <c r="AE3761" s="580">
        <f t="shared" si="327"/>
        <v>2.5</v>
      </c>
      <c r="AF3761" s="580">
        <f t="shared" si="328"/>
        <v>2.5</v>
      </c>
      <c r="AG3761" s="580">
        <f t="shared" si="329"/>
        <v>0</v>
      </c>
      <c r="AH3761" s="580">
        <f t="shared" si="330"/>
        <v>0</v>
      </c>
    </row>
    <row r="3762" spans="28:34">
      <c r="AB3762" s="580">
        <f>HLOOKUP("*"&amp;'Output annual'!$AC$2&amp;'Output annual'!$AD$2&amp;"*Zone People Number Of Occupants [](Hourly)",'Eplus results'!$1:$1048576,ROW(),FALSE)</f>
        <v>0</v>
      </c>
      <c r="AC3762" s="580">
        <f>HLOOKUP("*"&amp;'Output annual'!$AC$2&amp;'Output annual'!$AD$2&amp;"*FangerPMV(Hourly)",'Eplus results'!$1:$1048576,ROW(),FALSE)</f>
        <v>0</v>
      </c>
      <c r="AD3762" s="580">
        <f t="shared" si="326"/>
        <v>5</v>
      </c>
      <c r="AE3762" s="580">
        <f t="shared" si="327"/>
        <v>2.5</v>
      </c>
      <c r="AF3762" s="580">
        <f t="shared" si="328"/>
        <v>2.5</v>
      </c>
      <c r="AG3762" s="580">
        <f t="shared" si="329"/>
        <v>0</v>
      </c>
      <c r="AH3762" s="580">
        <f t="shared" si="330"/>
        <v>0</v>
      </c>
    </row>
    <row r="3763" spans="28:34">
      <c r="AB3763" s="580">
        <f>HLOOKUP("*"&amp;'Output annual'!$AC$2&amp;'Output annual'!$AD$2&amp;"*Zone People Number Of Occupants [](Hourly)",'Eplus results'!$1:$1048576,ROW(),FALSE)</f>
        <v>0</v>
      </c>
      <c r="AC3763" s="580">
        <f>HLOOKUP("*"&amp;'Output annual'!$AC$2&amp;'Output annual'!$AD$2&amp;"*FangerPMV(Hourly)",'Eplus results'!$1:$1048576,ROW(),FALSE)</f>
        <v>0</v>
      </c>
      <c r="AD3763" s="580">
        <f t="shared" si="326"/>
        <v>5</v>
      </c>
      <c r="AE3763" s="580">
        <f t="shared" si="327"/>
        <v>2.5</v>
      </c>
      <c r="AF3763" s="580">
        <f t="shared" si="328"/>
        <v>2.5</v>
      </c>
      <c r="AG3763" s="580">
        <f t="shared" si="329"/>
        <v>0</v>
      </c>
      <c r="AH3763" s="580">
        <f t="shared" si="330"/>
        <v>0</v>
      </c>
    </row>
    <row r="3764" spans="28:34">
      <c r="AB3764" s="580">
        <f>HLOOKUP("*"&amp;'Output annual'!$AC$2&amp;'Output annual'!$AD$2&amp;"*Zone People Number Of Occupants [](Hourly)",'Eplus results'!$1:$1048576,ROW(),FALSE)</f>
        <v>0</v>
      </c>
      <c r="AC3764" s="580">
        <f>HLOOKUP("*"&amp;'Output annual'!$AC$2&amp;'Output annual'!$AD$2&amp;"*FangerPMV(Hourly)",'Eplus results'!$1:$1048576,ROW(),FALSE)</f>
        <v>0</v>
      </c>
      <c r="AD3764" s="580">
        <f t="shared" si="326"/>
        <v>5</v>
      </c>
      <c r="AE3764" s="580">
        <f t="shared" si="327"/>
        <v>2.5</v>
      </c>
      <c r="AF3764" s="580">
        <f t="shared" si="328"/>
        <v>2.5</v>
      </c>
      <c r="AG3764" s="580">
        <f t="shared" si="329"/>
        <v>0</v>
      </c>
      <c r="AH3764" s="580">
        <f t="shared" si="330"/>
        <v>0</v>
      </c>
    </row>
    <row r="3765" spans="28:34">
      <c r="AB3765" s="580">
        <f>HLOOKUP("*"&amp;'Output annual'!$AC$2&amp;'Output annual'!$AD$2&amp;"*Zone People Number Of Occupants [](Hourly)",'Eplus results'!$1:$1048576,ROW(),FALSE)</f>
        <v>0</v>
      </c>
      <c r="AC3765" s="580">
        <f>HLOOKUP("*"&amp;'Output annual'!$AC$2&amp;'Output annual'!$AD$2&amp;"*FangerPMV(Hourly)",'Eplus results'!$1:$1048576,ROW(),FALSE)</f>
        <v>0</v>
      </c>
      <c r="AD3765" s="580">
        <f t="shared" si="326"/>
        <v>5</v>
      </c>
      <c r="AE3765" s="580">
        <f t="shared" si="327"/>
        <v>2.5</v>
      </c>
      <c r="AF3765" s="580">
        <f t="shared" si="328"/>
        <v>2.5</v>
      </c>
      <c r="AG3765" s="580">
        <f t="shared" si="329"/>
        <v>0</v>
      </c>
      <c r="AH3765" s="580">
        <f t="shared" si="330"/>
        <v>0</v>
      </c>
    </row>
    <row r="3766" spans="28:34">
      <c r="AB3766" s="580">
        <f>HLOOKUP("*"&amp;'Output annual'!$AC$2&amp;'Output annual'!$AD$2&amp;"*Zone People Number Of Occupants [](Hourly)",'Eplus results'!$1:$1048576,ROW(),FALSE)</f>
        <v>0</v>
      </c>
      <c r="AC3766" s="580">
        <f>HLOOKUP("*"&amp;'Output annual'!$AC$2&amp;'Output annual'!$AD$2&amp;"*FangerPMV(Hourly)",'Eplus results'!$1:$1048576,ROW(),FALSE)</f>
        <v>0</v>
      </c>
      <c r="AD3766" s="580">
        <f t="shared" si="326"/>
        <v>5</v>
      </c>
      <c r="AE3766" s="580">
        <f t="shared" si="327"/>
        <v>2.5</v>
      </c>
      <c r="AF3766" s="580">
        <f t="shared" si="328"/>
        <v>2.5</v>
      </c>
      <c r="AG3766" s="580">
        <f t="shared" si="329"/>
        <v>0</v>
      </c>
      <c r="AH3766" s="580">
        <f t="shared" si="330"/>
        <v>0</v>
      </c>
    </row>
    <row r="3767" spans="28:34">
      <c r="AB3767" s="580">
        <f>HLOOKUP("*"&amp;'Output annual'!$AC$2&amp;'Output annual'!$AD$2&amp;"*Zone People Number Of Occupants [](Hourly)",'Eplus results'!$1:$1048576,ROW(),FALSE)</f>
        <v>0</v>
      </c>
      <c r="AC3767" s="580">
        <f>HLOOKUP("*"&amp;'Output annual'!$AC$2&amp;'Output annual'!$AD$2&amp;"*FangerPMV(Hourly)",'Eplus results'!$1:$1048576,ROW(),FALSE)</f>
        <v>0</v>
      </c>
      <c r="AD3767" s="580">
        <f t="shared" si="326"/>
        <v>5</v>
      </c>
      <c r="AE3767" s="580">
        <f t="shared" si="327"/>
        <v>2.5</v>
      </c>
      <c r="AF3767" s="580">
        <f t="shared" si="328"/>
        <v>2.5</v>
      </c>
      <c r="AG3767" s="580">
        <f t="shared" si="329"/>
        <v>0</v>
      </c>
      <c r="AH3767" s="580">
        <f t="shared" si="330"/>
        <v>0</v>
      </c>
    </row>
    <row r="3768" spans="28:34">
      <c r="AB3768" s="580">
        <f>HLOOKUP("*"&amp;'Output annual'!$AC$2&amp;'Output annual'!$AD$2&amp;"*Zone People Number Of Occupants [](Hourly)",'Eplus results'!$1:$1048576,ROW(),FALSE)</f>
        <v>0</v>
      </c>
      <c r="AC3768" s="580">
        <f>HLOOKUP("*"&amp;'Output annual'!$AC$2&amp;'Output annual'!$AD$2&amp;"*FangerPMV(Hourly)",'Eplus results'!$1:$1048576,ROW(),FALSE)</f>
        <v>0</v>
      </c>
      <c r="AD3768" s="580">
        <f t="shared" si="326"/>
        <v>5</v>
      </c>
      <c r="AE3768" s="580">
        <f t="shared" si="327"/>
        <v>2.5</v>
      </c>
      <c r="AF3768" s="580">
        <f t="shared" si="328"/>
        <v>2.5</v>
      </c>
      <c r="AG3768" s="580">
        <f t="shared" si="329"/>
        <v>0</v>
      </c>
      <c r="AH3768" s="580">
        <f t="shared" si="330"/>
        <v>0</v>
      </c>
    </row>
    <row r="3769" spans="28:34">
      <c r="AB3769" s="580">
        <f>HLOOKUP("*"&amp;'Output annual'!$AC$2&amp;'Output annual'!$AD$2&amp;"*Zone People Number Of Occupants [](Hourly)",'Eplus results'!$1:$1048576,ROW(),FALSE)</f>
        <v>0</v>
      </c>
      <c r="AC3769" s="580">
        <f>HLOOKUP("*"&amp;'Output annual'!$AC$2&amp;'Output annual'!$AD$2&amp;"*FangerPMV(Hourly)",'Eplus results'!$1:$1048576,ROW(),FALSE)</f>
        <v>0</v>
      </c>
      <c r="AD3769" s="580">
        <f t="shared" si="326"/>
        <v>5</v>
      </c>
      <c r="AE3769" s="580">
        <f t="shared" si="327"/>
        <v>2.5</v>
      </c>
      <c r="AF3769" s="580">
        <f t="shared" si="328"/>
        <v>2.5</v>
      </c>
      <c r="AG3769" s="580">
        <f t="shared" si="329"/>
        <v>0</v>
      </c>
      <c r="AH3769" s="580">
        <f t="shared" si="330"/>
        <v>0</v>
      </c>
    </row>
    <row r="3770" spans="28:34">
      <c r="AB3770" s="580">
        <f>HLOOKUP("*"&amp;'Output annual'!$AC$2&amp;'Output annual'!$AD$2&amp;"*Zone People Number Of Occupants [](Hourly)",'Eplus results'!$1:$1048576,ROW(),FALSE)</f>
        <v>0</v>
      </c>
      <c r="AC3770" s="580">
        <f>HLOOKUP("*"&amp;'Output annual'!$AC$2&amp;'Output annual'!$AD$2&amp;"*FangerPMV(Hourly)",'Eplus results'!$1:$1048576,ROW(),FALSE)</f>
        <v>0</v>
      </c>
      <c r="AD3770" s="580">
        <f t="shared" si="326"/>
        <v>5</v>
      </c>
      <c r="AE3770" s="580">
        <f t="shared" si="327"/>
        <v>2.5</v>
      </c>
      <c r="AF3770" s="580">
        <f t="shared" si="328"/>
        <v>2.5</v>
      </c>
      <c r="AG3770" s="580">
        <f t="shared" si="329"/>
        <v>0</v>
      </c>
      <c r="AH3770" s="580">
        <f t="shared" si="330"/>
        <v>0</v>
      </c>
    </row>
    <row r="3771" spans="28:34">
      <c r="AB3771" s="580">
        <f>HLOOKUP("*"&amp;'Output annual'!$AC$2&amp;'Output annual'!$AD$2&amp;"*Zone People Number Of Occupants [](Hourly)",'Eplus results'!$1:$1048576,ROW(),FALSE)</f>
        <v>0</v>
      </c>
      <c r="AC3771" s="580">
        <f>HLOOKUP("*"&amp;'Output annual'!$AC$2&amp;'Output annual'!$AD$2&amp;"*FangerPMV(Hourly)",'Eplus results'!$1:$1048576,ROW(),FALSE)</f>
        <v>0</v>
      </c>
      <c r="AD3771" s="580">
        <f t="shared" si="326"/>
        <v>5</v>
      </c>
      <c r="AE3771" s="580">
        <f t="shared" si="327"/>
        <v>2.5</v>
      </c>
      <c r="AF3771" s="580">
        <f t="shared" si="328"/>
        <v>2.5</v>
      </c>
      <c r="AG3771" s="580">
        <f t="shared" si="329"/>
        <v>0</v>
      </c>
      <c r="AH3771" s="580">
        <f t="shared" si="330"/>
        <v>0</v>
      </c>
    </row>
    <row r="3772" spans="28:34">
      <c r="AB3772" s="580">
        <f>HLOOKUP("*"&amp;'Output annual'!$AC$2&amp;'Output annual'!$AD$2&amp;"*Zone People Number Of Occupants [](Hourly)",'Eplus results'!$1:$1048576,ROW(),FALSE)</f>
        <v>0</v>
      </c>
      <c r="AC3772" s="580">
        <f>HLOOKUP("*"&amp;'Output annual'!$AC$2&amp;'Output annual'!$AD$2&amp;"*FangerPMV(Hourly)",'Eplus results'!$1:$1048576,ROW(),FALSE)</f>
        <v>0</v>
      </c>
      <c r="AD3772" s="580">
        <f t="shared" si="326"/>
        <v>5</v>
      </c>
      <c r="AE3772" s="580">
        <f t="shared" si="327"/>
        <v>2.5</v>
      </c>
      <c r="AF3772" s="580">
        <f t="shared" si="328"/>
        <v>2.5</v>
      </c>
      <c r="AG3772" s="580">
        <f t="shared" si="329"/>
        <v>0</v>
      </c>
      <c r="AH3772" s="580">
        <f t="shared" si="330"/>
        <v>0</v>
      </c>
    </row>
    <row r="3773" spans="28:34">
      <c r="AB3773" s="580">
        <f>HLOOKUP("*"&amp;'Output annual'!$AC$2&amp;'Output annual'!$AD$2&amp;"*Zone People Number Of Occupants [](Hourly)",'Eplus results'!$1:$1048576,ROW(),FALSE)</f>
        <v>0</v>
      </c>
      <c r="AC3773" s="580">
        <f>HLOOKUP("*"&amp;'Output annual'!$AC$2&amp;'Output annual'!$AD$2&amp;"*FangerPMV(Hourly)",'Eplus results'!$1:$1048576,ROW(),FALSE)</f>
        <v>0</v>
      </c>
      <c r="AD3773" s="580">
        <f t="shared" si="326"/>
        <v>5</v>
      </c>
      <c r="AE3773" s="580">
        <f t="shared" si="327"/>
        <v>2.5</v>
      </c>
      <c r="AF3773" s="580">
        <f t="shared" si="328"/>
        <v>2.5</v>
      </c>
      <c r="AG3773" s="580">
        <f t="shared" si="329"/>
        <v>0</v>
      </c>
      <c r="AH3773" s="580">
        <f t="shared" si="330"/>
        <v>0</v>
      </c>
    </row>
    <row r="3774" spans="28:34">
      <c r="AB3774" s="580">
        <f>HLOOKUP("*"&amp;'Output annual'!$AC$2&amp;'Output annual'!$AD$2&amp;"*Zone People Number Of Occupants [](Hourly)",'Eplus results'!$1:$1048576,ROW(),FALSE)</f>
        <v>0</v>
      </c>
      <c r="AC3774" s="580">
        <f>HLOOKUP("*"&amp;'Output annual'!$AC$2&amp;'Output annual'!$AD$2&amp;"*FangerPMV(Hourly)",'Eplus results'!$1:$1048576,ROW(),FALSE)</f>
        <v>0</v>
      </c>
      <c r="AD3774" s="580">
        <f t="shared" si="326"/>
        <v>5</v>
      </c>
      <c r="AE3774" s="580">
        <f t="shared" si="327"/>
        <v>2.5</v>
      </c>
      <c r="AF3774" s="580">
        <f t="shared" si="328"/>
        <v>2.5</v>
      </c>
      <c r="AG3774" s="580">
        <f t="shared" si="329"/>
        <v>0</v>
      </c>
      <c r="AH3774" s="580">
        <f t="shared" si="330"/>
        <v>0</v>
      </c>
    </row>
    <row r="3775" spans="28:34">
      <c r="AB3775" s="580">
        <f>HLOOKUP("*"&amp;'Output annual'!$AC$2&amp;'Output annual'!$AD$2&amp;"*Zone People Number Of Occupants [](Hourly)",'Eplus results'!$1:$1048576,ROW(),FALSE)</f>
        <v>0</v>
      </c>
      <c r="AC3775" s="580">
        <f>HLOOKUP("*"&amp;'Output annual'!$AC$2&amp;'Output annual'!$AD$2&amp;"*FangerPMV(Hourly)",'Eplus results'!$1:$1048576,ROW(),FALSE)</f>
        <v>0</v>
      </c>
      <c r="AD3775" s="580">
        <f t="shared" si="326"/>
        <v>5</v>
      </c>
      <c r="AE3775" s="580">
        <f t="shared" si="327"/>
        <v>2.5</v>
      </c>
      <c r="AF3775" s="580">
        <f t="shared" si="328"/>
        <v>2.5</v>
      </c>
      <c r="AG3775" s="580">
        <f t="shared" si="329"/>
        <v>0</v>
      </c>
      <c r="AH3775" s="580">
        <f t="shared" si="330"/>
        <v>0</v>
      </c>
    </row>
    <row r="3776" spans="28:34">
      <c r="AB3776" s="580">
        <f>HLOOKUP("*"&amp;'Output annual'!$AC$2&amp;'Output annual'!$AD$2&amp;"*Zone People Number Of Occupants [](Hourly)",'Eplus results'!$1:$1048576,ROW(),FALSE)</f>
        <v>0</v>
      </c>
      <c r="AC3776" s="580">
        <f>HLOOKUP("*"&amp;'Output annual'!$AC$2&amp;'Output annual'!$AD$2&amp;"*FangerPMV(Hourly)",'Eplus results'!$1:$1048576,ROW(),FALSE)</f>
        <v>0</v>
      </c>
      <c r="AD3776" s="580">
        <f t="shared" si="326"/>
        <v>5</v>
      </c>
      <c r="AE3776" s="580">
        <f t="shared" si="327"/>
        <v>2.5</v>
      </c>
      <c r="AF3776" s="580">
        <f t="shared" si="328"/>
        <v>2.5</v>
      </c>
      <c r="AG3776" s="580">
        <f t="shared" si="329"/>
        <v>0</v>
      </c>
      <c r="AH3776" s="580">
        <f t="shared" si="330"/>
        <v>0</v>
      </c>
    </row>
    <row r="3777" spans="28:34">
      <c r="AB3777" s="580">
        <f>HLOOKUP("*"&amp;'Output annual'!$AC$2&amp;'Output annual'!$AD$2&amp;"*Zone People Number Of Occupants [](Hourly)",'Eplus results'!$1:$1048576,ROW(),FALSE)</f>
        <v>0</v>
      </c>
      <c r="AC3777" s="580">
        <f>HLOOKUP("*"&amp;'Output annual'!$AC$2&amp;'Output annual'!$AD$2&amp;"*FangerPMV(Hourly)",'Eplus results'!$1:$1048576,ROW(),FALSE)</f>
        <v>0</v>
      </c>
      <c r="AD3777" s="580">
        <f t="shared" si="326"/>
        <v>5</v>
      </c>
      <c r="AE3777" s="580">
        <f t="shared" si="327"/>
        <v>2.5</v>
      </c>
      <c r="AF3777" s="580">
        <f t="shared" si="328"/>
        <v>2.5</v>
      </c>
      <c r="AG3777" s="580">
        <f t="shared" si="329"/>
        <v>0</v>
      </c>
      <c r="AH3777" s="580">
        <f t="shared" si="330"/>
        <v>0</v>
      </c>
    </row>
    <row r="3778" spans="28:34">
      <c r="AB3778" s="580">
        <f>HLOOKUP("*"&amp;'Output annual'!$AC$2&amp;'Output annual'!$AD$2&amp;"*Zone People Number Of Occupants [](Hourly)",'Eplus results'!$1:$1048576,ROW(),FALSE)</f>
        <v>0</v>
      </c>
      <c r="AC3778" s="580">
        <f>HLOOKUP("*"&amp;'Output annual'!$AC$2&amp;'Output annual'!$AD$2&amp;"*FangerPMV(Hourly)",'Eplus results'!$1:$1048576,ROW(),FALSE)</f>
        <v>0</v>
      </c>
      <c r="AD3778" s="580">
        <f t="shared" si="326"/>
        <v>5</v>
      </c>
      <c r="AE3778" s="580">
        <f t="shared" si="327"/>
        <v>2.5</v>
      </c>
      <c r="AF3778" s="580">
        <f t="shared" si="328"/>
        <v>2.5</v>
      </c>
      <c r="AG3778" s="580">
        <f t="shared" si="329"/>
        <v>0</v>
      </c>
      <c r="AH3778" s="580">
        <f t="shared" si="330"/>
        <v>0</v>
      </c>
    </row>
    <row r="3779" spans="28:34">
      <c r="AB3779" s="580">
        <f>HLOOKUP("*"&amp;'Output annual'!$AC$2&amp;'Output annual'!$AD$2&amp;"*Zone People Number Of Occupants [](Hourly)",'Eplus results'!$1:$1048576,ROW(),FALSE)</f>
        <v>0</v>
      </c>
      <c r="AC3779" s="580">
        <f>HLOOKUP("*"&amp;'Output annual'!$AC$2&amp;'Output annual'!$AD$2&amp;"*FangerPMV(Hourly)",'Eplus results'!$1:$1048576,ROW(),FALSE)</f>
        <v>0</v>
      </c>
      <c r="AD3779" s="580">
        <f t="shared" ref="AD3779:AD3842" si="331">100-95*EXP(-0.03353*AC3779^4-0.2179*AC3779^2)</f>
        <v>5</v>
      </c>
      <c r="AE3779" s="580">
        <f t="shared" ref="AE3779:AE3842" si="332">AD3779*(1/(1+EXP(-6.3*$AC3779)))</f>
        <v>2.5</v>
      </c>
      <c r="AF3779" s="580">
        <f t="shared" ref="AF3779:AF3842" si="333">(AD3779-AE3779)</f>
        <v>2.5</v>
      </c>
      <c r="AG3779" s="580">
        <f t="shared" ref="AG3779:AG3842" si="334">AE3779*AB3779</f>
        <v>0</v>
      </c>
      <c r="AH3779" s="580">
        <f t="shared" ref="AH3779:AH3842" si="335">AF3779*AB3779</f>
        <v>0</v>
      </c>
    </row>
    <row r="3780" spans="28:34">
      <c r="AB3780" s="580">
        <f>HLOOKUP("*"&amp;'Output annual'!$AC$2&amp;'Output annual'!$AD$2&amp;"*Zone People Number Of Occupants [](Hourly)",'Eplus results'!$1:$1048576,ROW(),FALSE)</f>
        <v>0</v>
      </c>
      <c r="AC3780" s="580">
        <f>HLOOKUP("*"&amp;'Output annual'!$AC$2&amp;'Output annual'!$AD$2&amp;"*FangerPMV(Hourly)",'Eplus results'!$1:$1048576,ROW(),FALSE)</f>
        <v>0</v>
      </c>
      <c r="AD3780" s="580">
        <f t="shared" si="331"/>
        <v>5</v>
      </c>
      <c r="AE3780" s="580">
        <f t="shared" si="332"/>
        <v>2.5</v>
      </c>
      <c r="AF3780" s="580">
        <f t="shared" si="333"/>
        <v>2.5</v>
      </c>
      <c r="AG3780" s="580">
        <f t="shared" si="334"/>
        <v>0</v>
      </c>
      <c r="AH3780" s="580">
        <f t="shared" si="335"/>
        <v>0</v>
      </c>
    </row>
    <row r="3781" spans="28:34">
      <c r="AB3781" s="580">
        <f>HLOOKUP("*"&amp;'Output annual'!$AC$2&amp;'Output annual'!$AD$2&amp;"*Zone People Number Of Occupants [](Hourly)",'Eplus results'!$1:$1048576,ROW(),FALSE)</f>
        <v>0</v>
      </c>
      <c r="AC3781" s="580">
        <f>HLOOKUP("*"&amp;'Output annual'!$AC$2&amp;'Output annual'!$AD$2&amp;"*FangerPMV(Hourly)",'Eplus results'!$1:$1048576,ROW(),FALSE)</f>
        <v>0</v>
      </c>
      <c r="AD3781" s="580">
        <f t="shared" si="331"/>
        <v>5</v>
      </c>
      <c r="AE3781" s="580">
        <f t="shared" si="332"/>
        <v>2.5</v>
      </c>
      <c r="AF3781" s="580">
        <f t="shared" si="333"/>
        <v>2.5</v>
      </c>
      <c r="AG3781" s="580">
        <f t="shared" si="334"/>
        <v>0</v>
      </c>
      <c r="AH3781" s="580">
        <f t="shared" si="335"/>
        <v>0</v>
      </c>
    </row>
    <row r="3782" spans="28:34">
      <c r="AB3782" s="580">
        <f>HLOOKUP("*"&amp;'Output annual'!$AC$2&amp;'Output annual'!$AD$2&amp;"*Zone People Number Of Occupants [](Hourly)",'Eplus results'!$1:$1048576,ROW(),FALSE)</f>
        <v>0</v>
      </c>
      <c r="AC3782" s="580">
        <f>HLOOKUP("*"&amp;'Output annual'!$AC$2&amp;'Output annual'!$AD$2&amp;"*FangerPMV(Hourly)",'Eplus results'!$1:$1048576,ROW(),FALSE)</f>
        <v>0</v>
      </c>
      <c r="AD3782" s="580">
        <f t="shared" si="331"/>
        <v>5</v>
      </c>
      <c r="AE3782" s="580">
        <f t="shared" si="332"/>
        <v>2.5</v>
      </c>
      <c r="AF3782" s="580">
        <f t="shared" si="333"/>
        <v>2.5</v>
      </c>
      <c r="AG3782" s="580">
        <f t="shared" si="334"/>
        <v>0</v>
      </c>
      <c r="AH3782" s="580">
        <f t="shared" si="335"/>
        <v>0</v>
      </c>
    </row>
    <row r="3783" spans="28:34">
      <c r="AB3783" s="580">
        <f>HLOOKUP("*"&amp;'Output annual'!$AC$2&amp;'Output annual'!$AD$2&amp;"*Zone People Number Of Occupants [](Hourly)",'Eplus results'!$1:$1048576,ROW(),FALSE)</f>
        <v>0</v>
      </c>
      <c r="AC3783" s="580">
        <f>HLOOKUP("*"&amp;'Output annual'!$AC$2&amp;'Output annual'!$AD$2&amp;"*FangerPMV(Hourly)",'Eplus results'!$1:$1048576,ROW(),FALSE)</f>
        <v>0</v>
      </c>
      <c r="AD3783" s="580">
        <f t="shared" si="331"/>
        <v>5</v>
      </c>
      <c r="AE3783" s="580">
        <f t="shared" si="332"/>
        <v>2.5</v>
      </c>
      <c r="AF3783" s="580">
        <f t="shared" si="333"/>
        <v>2.5</v>
      </c>
      <c r="AG3783" s="580">
        <f t="shared" si="334"/>
        <v>0</v>
      </c>
      <c r="AH3783" s="580">
        <f t="shared" si="335"/>
        <v>0</v>
      </c>
    </row>
    <row r="3784" spans="28:34">
      <c r="AB3784" s="580">
        <f>HLOOKUP("*"&amp;'Output annual'!$AC$2&amp;'Output annual'!$AD$2&amp;"*Zone People Number Of Occupants [](Hourly)",'Eplus results'!$1:$1048576,ROW(),FALSE)</f>
        <v>0</v>
      </c>
      <c r="AC3784" s="580">
        <f>HLOOKUP("*"&amp;'Output annual'!$AC$2&amp;'Output annual'!$AD$2&amp;"*FangerPMV(Hourly)",'Eplus results'!$1:$1048576,ROW(),FALSE)</f>
        <v>0</v>
      </c>
      <c r="AD3784" s="580">
        <f t="shared" si="331"/>
        <v>5</v>
      </c>
      <c r="AE3784" s="580">
        <f t="shared" si="332"/>
        <v>2.5</v>
      </c>
      <c r="AF3784" s="580">
        <f t="shared" si="333"/>
        <v>2.5</v>
      </c>
      <c r="AG3784" s="580">
        <f t="shared" si="334"/>
        <v>0</v>
      </c>
      <c r="AH3784" s="580">
        <f t="shared" si="335"/>
        <v>0</v>
      </c>
    </row>
    <row r="3785" spans="28:34">
      <c r="AB3785" s="580">
        <f>HLOOKUP("*"&amp;'Output annual'!$AC$2&amp;'Output annual'!$AD$2&amp;"*Zone People Number Of Occupants [](Hourly)",'Eplus results'!$1:$1048576,ROW(),FALSE)</f>
        <v>0</v>
      </c>
      <c r="AC3785" s="580">
        <f>HLOOKUP("*"&amp;'Output annual'!$AC$2&amp;'Output annual'!$AD$2&amp;"*FangerPMV(Hourly)",'Eplus results'!$1:$1048576,ROW(),FALSE)</f>
        <v>0</v>
      </c>
      <c r="AD3785" s="580">
        <f t="shared" si="331"/>
        <v>5</v>
      </c>
      <c r="AE3785" s="580">
        <f t="shared" si="332"/>
        <v>2.5</v>
      </c>
      <c r="AF3785" s="580">
        <f t="shared" si="333"/>
        <v>2.5</v>
      </c>
      <c r="AG3785" s="580">
        <f t="shared" si="334"/>
        <v>0</v>
      </c>
      <c r="AH3785" s="580">
        <f t="shared" si="335"/>
        <v>0</v>
      </c>
    </row>
    <row r="3786" spans="28:34">
      <c r="AB3786" s="580">
        <f>HLOOKUP("*"&amp;'Output annual'!$AC$2&amp;'Output annual'!$AD$2&amp;"*Zone People Number Of Occupants [](Hourly)",'Eplus results'!$1:$1048576,ROW(),FALSE)</f>
        <v>0</v>
      </c>
      <c r="AC3786" s="580">
        <f>HLOOKUP("*"&amp;'Output annual'!$AC$2&amp;'Output annual'!$AD$2&amp;"*FangerPMV(Hourly)",'Eplus results'!$1:$1048576,ROW(),FALSE)</f>
        <v>0</v>
      </c>
      <c r="AD3786" s="580">
        <f t="shared" si="331"/>
        <v>5</v>
      </c>
      <c r="AE3786" s="580">
        <f t="shared" si="332"/>
        <v>2.5</v>
      </c>
      <c r="AF3786" s="580">
        <f t="shared" si="333"/>
        <v>2.5</v>
      </c>
      <c r="AG3786" s="580">
        <f t="shared" si="334"/>
        <v>0</v>
      </c>
      <c r="AH3786" s="580">
        <f t="shared" si="335"/>
        <v>0</v>
      </c>
    </row>
    <row r="3787" spans="28:34">
      <c r="AB3787" s="580">
        <f>HLOOKUP("*"&amp;'Output annual'!$AC$2&amp;'Output annual'!$AD$2&amp;"*Zone People Number Of Occupants [](Hourly)",'Eplus results'!$1:$1048576,ROW(),FALSE)</f>
        <v>0</v>
      </c>
      <c r="AC3787" s="580">
        <f>HLOOKUP("*"&amp;'Output annual'!$AC$2&amp;'Output annual'!$AD$2&amp;"*FangerPMV(Hourly)",'Eplus results'!$1:$1048576,ROW(),FALSE)</f>
        <v>0</v>
      </c>
      <c r="AD3787" s="580">
        <f t="shared" si="331"/>
        <v>5</v>
      </c>
      <c r="AE3787" s="580">
        <f t="shared" si="332"/>
        <v>2.5</v>
      </c>
      <c r="AF3787" s="580">
        <f t="shared" si="333"/>
        <v>2.5</v>
      </c>
      <c r="AG3787" s="580">
        <f t="shared" si="334"/>
        <v>0</v>
      </c>
      <c r="AH3787" s="580">
        <f t="shared" si="335"/>
        <v>0</v>
      </c>
    </row>
    <row r="3788" spans="28:34">
      <c r="AB3788" s="580">
        <f>HLOOKUP("*"&amp;'Output annual'!$AC$2&amp;'Output annual'!$AD$2&amp;"*Zone People Number Of Occupants [](Hourly)",'Eplus results'!$1:$1048576,ROW(),FALSE)</f>
        <v>0</v>
      </c>
      <c r="AC3788" s="580">
        <f>HLOOKUP("*"&amp;'Output annual'!$AC$2&amp;'Output annual'!$AD$2&amp;"*FangerPMV(Hourly)",'Eplus results'!$1:$1048576,ROW(),FALSE)</f>
        <v>0</v>
      </c>
      <c r="AD3788" s="580">
        <f t="shared" si="331"/>
        <v>5</v>
      </c>
      <c r="AE3788" s="580">
        <f t="shared" si="332"/>
        <v>2.5</v>
      </c>
      <c r="AF3788" s="580">
        <f t="shared" si="333"/>
        <v>2.5</v>
      </c>
      <c r="AG3788" s="580">
        <f t="shared" si="334"/>
        <v>0</v>
      </c>
      <c r="AH3788" s="580">
        <f t="shared" si="335"/>
        <v>0</v>
      </c>
    </row>
    <row r="3789" spans="28:34">
      <c r="AB3789" s="580">
        <f>HLOOKUP("*"&amp;'Output annual'!$AC$2&amp;'Output annual'!$AD$2&amp;"*Zone People Number Of Occupants [](Hourly)",'Eplus results'!$1:$1048576,ROW(),FALSE)</f>
        <v>0</v>
      </c>
      <c r="AC3789" s="580">
        <f>HLOOKUP("*"&amp;'Output annual'!$AC$2&amp;'Output annual'!$AD$2&amp;"*FangerPMV(Hourly)",'Eplus results'!$1:$1048576,ROW(),FALSE)</f>
        <v>0</v>
      </c>
      <c r="AD3789" s="580">
        <f t="shared" si="331"/>
        <v>5</v>
      </c>
      <c r="AE3789" s="580">
        <f t="shared" si="332"/>
        <v>2.5</v>
      </c>
      <c r="AF3789" s="580">
        <f t="shared" si="333"/>
        <v>2.5</v>
      </c>
      <c r="AG3789" s="580">
        <f t="shared" si="334"/>
        <v>0</v>
      </c>
      <c r="AH3789" s="580">
        <f t="shared" si="335"/>
        <v>0</v>
      </c>
    </row>
    <row r="3790" spans="28:34">
      <c r="AB3790" s="580">
        <f>HLOOKUP("*"&amp;'Output annual'!$AC$2&amp;'Output annual'!$AD$2&amp;"*Zone People Number Of Occupants [](Hourly)",'Eplus results'!$1:$1048576,ROW(),FALSE)</f>
        <v>0</v>
      </c>
      <c r="AC3790" s="580">
        <f>HLOOKUP("*"&amp;'Output annual'!$AC$2&amp;'Output annual'!$AD$2&amp;"*FangerPMV(Hourly)",'Eplus results'!$1:$1048576,ROW(),FALSE)</f>
        <v>0</v>
      </c>
      <c r="AD3790" s="580">
        <f t="shared" si="331"/>
        <v>5</v>
      </c>
      <c r="AE3790" s="580">
        <f t="shared" si="332"/>
        <v>2.5</v>
      </c>
      <c r="AF3790" s="580">
        <f t="shared" si="333"/>
        <v>2.5</v>
      </c>
      <c r="AG3790" s="580">
        <f t="shared" si="334"/>
        <v>0</v>
      </c>
      <c r="AH3790" s="580">
        <f t="shared" si="335"/>
        <v>0</v>
      </c>
    </row>
    <row r="3791" spans="28:34">
      <c r="AB3791" s="580">
        <f>HLOOKUP("*"&amp;'Output annual'!$AC$2&amp;'Output annual'!$AD$2&amp;"*Zone People Number Of Occupants [](Hourly)",'Eplus results'!$1:$1048576,ROW(),FALSE)</f>
        <v>0</v>
      </c>
      <c r="AC3791" s="580">
        <f>HLOOKUP("*"&amp;'Output annual'!$AC$2&amp;'Output annual'!$AD$2&amp;"*FangerPMV(Hourly)",'Eplus results'!$1:$1048576,ROW(),FALSE)</f>
        <v>0</v>
      </c>
      <c r="AD3791" s="580">
        <f t="shared" si="331"/>
        <v>5</v>
      </c>
      <c r="AE3791" s="580">
        <f t="shared" si="332"/>
        <v>2.5</v>
      </c>
      <c r="AF3791" s="580">
        <f t="shared" si="333"/>
        <v>2.5</v>
      </c>
      <c r="AG3791" s="580">
        <f t="shared" si="334"/>
        <v>0</v>
      </c>
      <c r="AH3791" s="580">
        <f t="shared" si="335"/>
        <v>0</v>
      </c>
    </row>
    <row r="3792" spans="28:34">
      <c r="AB3792" s="580">
        <f>HLOOKUP("*"&amp;'Output annual'!$AC$2&amp;'Output annual'!$AD$2&amp;"*Zone People Number Of Occupants [](Hourly)",'Eplus results'!$1:$1048576,ROW(),FALSE)</f>
        <v>0</v>
      </c>
      <c r="AC3792" s="580">
        <f>HLOOKUP("*"&amp;'Output annual'!$AC$2&amp;'Output annual'!$AD$2&amp;"*FangerPMV(Hourly)",'Eplus results'!$1:$1048576,ROW(),FALSE)</f>
        <v>0</v>
      </c>
      <c r="AD3792" s="580">
        <f t="shared" si="331"/>
        <v>5</v>
      </c>
      <c r="AE3792" s="580">
        <f t="shared" si="332"/>
        <v>2.5</v>
      </c>
      <c r="AF3792" s="580">
        <f t="shared" si="333"/>
        <v>2.5</v>
      </c>
      <c r="AG3792" s="580">
        <f t="shared" si="334"/>
        <v>0</v>
      </c>
      <c r="AH3792" s="580">
        <f t="shared" si="335"/>
        <v>0</v>
      </c>
    </row>
    <row r="3793" spans="28:34">
      <c r="AB3793" s="580">
        <f>HLOOKUP("*"&amp;'Output annual'!$AC$2&amp;'Output annual'!$AD$2&amp;"*Zone People Number Of Occupants [](Hourly)",'Eplus results'!$1:$1048576,ROW(),FALSE)</f>
        <v>0</v>
      </c>
      <c r="AC3793" s="580">
        <f>HLOOKUP("*"&amp;'Output annual'!$AC$2&amp;'Output annual'!$AD$2&amp;"*FangerPMV(Hourly)",'Eplus results'!$1:$1048576,ROW(),FALSE)</f>
        <v>0</v>
      </c>
      <c r="AD3793" s="580">
        <f t="shared" si="331"/>
        <v>5</v>
      </c>
      <c r="AE3793" s="580">
        <f t="shared" si="332"/>
        <v>2.5</v>
      </c>
      <c r="AF3793" s="580">
        <f t="shared" si="333"/>
        <v>2.5</v>
      </c>
      <c r="AG3793" s="580">
        <f t="shared" si="334"/>
        <v>0</v>
      </c>
      <c r="AH3793" s="580">
        <f t="shared" si="335"/>
        <v>0</v>
      </c>
    </row>
    <row r="3794" spans="28:34">
      <c r="AB3794" s="580">
        <f>HLOOKUP("*"&amp;'Output annual'!$AC$2&amp;'Output annual'!$AD$2&amp;"*Zone People Number Of Occupants [](Hourly)",'Eplus results'!$1:$1048576,ROW(),FALSE)</f>
        <v>0</v>
      </c>
      <c r="AC3794" s="580">
        <f>HLOOKUP("*"&amp;'Output annual'!$AC$2&amp;'Output annual'!$AD$2&amp;"*FangerPMV(Hourly)",'Eplus results'!$1:$1048576,ROW(),FALSE)</f>
        <v>0</v>
      </c>
      <c r="AD3794" s="580">
        <f t="shared" si="331"/>
        <v>5</v>
      </c>
      <c r="AE3794" s="580">
        <f t="shared" si="332"/>
        <v>2.5</v>
      </c>
      <c r="AF3794" s="580">
        <f t="shared" si="333"/>
        <v>2.5</v>
      </c>
      <c r="AG3794" s="580">
        <f t="shared" si="334"/>
        <v>0</v>
      </c>
      <c r="AH3794" s="580">
        <f t="shared" si="335"/>
        <v>0</v>
      </c>
    </row>
    <row r="3795" spans="28:34">
      <c r="AB3795" s="580">
        <f>HLOOKUP("*"&amp;'Output annual'!$AC$2&amp;'Output annual'!$AD$2&amp;"*Zone People Number Of Occupants [](Hourly)",'Eplus results'!$1:$1048576,ROW(),FALSE)</f>
        <v>0</v>
      </c>
      <c r="AC3795" s="580">
        <f>HLOOKUP("*"&amp;'Output annual'!$AC$2&amp;'Output annual'!$AD$2&amp;"*FangerPMV(Hourly)",'Eplus results'!$1:$1048576,ROW(),FALSE)</f>
        <v>0</v>
      </c>
      <c r="AD3795" s="580">
        <f t="shared" si="331"/>
        <v>5</v>
      </c>
      <c r="AE3795" s="580">
        <f t="shared" si="332"/>
        <v>2.5</v>
      </c>
      <c r="AF3795" s="580">
        <f t="shared" si="333"/>
        <v>2.5</v>
      </c>
      <c r="AG3795" s="580">
        <f t="shared" si="334"/>
        <v>0</v>
      </c>
      <c r="AH3795" s="580">
        <f t="shared" si="335"/>
        <v>0</v>
      </c>
    </row>
    <row r="3796" spans="28:34">
      <c r="AB3796" s="580">
        <f>HLOOKUP("*"&amp;'Output annual'!$AC$2&amp;'Output annual'!$AD$2&amp;"*Zone People Number Of Occupants [](Hourly)",'Eplus results'!$1:$1048576,ROW(),FALSE)</f>
        <v>0</v>
      </c>
      <c r="AC3796" s="580">
        <f>HLOOKUP("*"&amp;'Output annual'!$AC$2&amp;'Output annual'!$AD$2&amp;"*FangerPMV(Hourly)",'Eplus results'!$1:$1048576,ROW(),FALSE)</f>
        <v>0</v>
      </c>
      <c r="AD3796" s="580">
        <f t="shared" si="331"/>
        <v>5</v>
      </c>
      <c r="AE3796" s="580">
        <f t="shared" si="332"/>
        <v>2.5</v>
      </c>
      <c r="AF3796" s="580">
        <f t="shared" si="333"/>
        <v>2.5</v>
      </c>
      <c r="AG3796" s="580">
        <f t="shared" si="334"/>
        <v>0</v>
      </c>
      <c r="AH3796" s="580">
        <f t="shared" si="335"/>
        <v>0</v>
      </c>
    </row>
    <row r="3797" spans="28:34">
      <c r="AB3797" s="580">
        <f>HLOOKUP("*"&amp;'Output annual'!$AC$2&amp;'Output annual'!$AD$2&amp;"*Zone People Number Of Occupants [](Hourly)",'Eplus results'!$1:$1048576,ROW(),FALSE)</f>
        <v>0</v>
      </c>
      <c r="AC3797" s="580">
        <f>HLOOKUP("*"&amp;'Output annual'!$AC$2&amp;'Output annual'!$AD$2&amp;"*FangerPMV(Hourly)",'Eplus results'!$1:$1048576,ROW(),FALSE)</f>
        <v>0</v>
      </c>
      <c r="AD3797" s="580">
        <f t="shared" si="331"/>
        <v>5</v>
      </c>
      <c r="AE3797" s="580">
        <f t="shared" si="332"/>
        <v>2.5</v>
      </c>
      <c r="AF3797" s="580">
        <f t="shared" si="333"/>
        <v>2.5</v>
      </c>
      <c r="AG3797" s="580">
        <f t="shared" si="334"/>
        <v>0</v>
      </c>
      <c r="AH3797" s="580">
        <f t="shared" si="335"/>
        <v>0</v>
      </c>
    </row>
    <row r="3798" spans="28:34">
      <c r="AB3798" s="580">
        <f>HLOOKUP("*"&amp;'Output annual'!$AC$2&amp;'Output annual'!$AD$2&amp;"*Zone People Number Of Occupants [](Hourly)",'Eplus results'!$1:$1048576,ROW(),FALSE)</f>
        <v>0</v>
      </c>
      <c r="AC3798" s="580">
        <f>HLOOKUP("*"&amp;'Output annual'!$AC$2&amp;'Output annual'!$AD$2&amp;"*FangerPMV(Hourly)",'Eplus results'!$1:$1048576,ROW(),FALSE)</f>
        <v>0</v>
      </c>
      <c r="AD3798" s="580">
        <f t="shared" si="331"/>
        <v>5</v>
      </c>
      <c r="AE3798" s="580">
        <f t="shared" si="332"/>
        <v>2.5</v>
      </c>
      <c r="AF3798" s="580">
        <f t="shared" si="333"/>
        <v>2.5</v>
      </c>
      <c r="AG3798" s="580">
        <f t="shared" si="334"/>
        <v>0</v>
      </c>
      <c r="AH3798" s="580">
        <f t="shared" si="335"/>
        <v>0</v>
      </c>
    </row>
    <row r="3799" spans="28:34">
      <c r="AB3799" s="580">
        <f>HLOOKUP("*"&amp;'Output annual'!$AC$2&amp;'Output annual'!$AD$2&amp;"*Zone People Number Of Occupants [](Hourly)",'Eplus results'!$1:$1048576,ROW(),FALSE)</f>
        <v>0</v>
      </c>
      <c r="AC3799" s="580">
        <f>HLOOKUP("*"&amp;'Output annual'!$AC$2&amp;'Output annual'!$AD$2&amp;"*FangerPMV(Hourly)",'Eplus results'!$1:$1048576,ROW(),FALSE)</f>
        <v>0</v>
      </c>
      <c r="AD3799" s="580">
        <f t="shared" si="331"/>
        <v>5</v>
      </c>
      <c r="AE3799" s="580">
        <f t="shared" si="332"/>
        <v>2.5</v>
      </c>
      <c r="AF3799" s="580">
        <f t="shared" si="333"/>
        <v>2.5</v>
      </c>
      <c r="AG3799" s="580">
        <f t="shared" si="334"/>
        <v>0</v>
      </c>
      <c r="AH3799" s="580">
        <f t="shared" si="335"/>
        <v>0</v>
      </c>
    </row>
    <row r="3800" spans="28:34">
      <c r="AB3800" s="580">
        <f>HLOOKUP("*"&amp;'Output annual'!$AC$2&amp;'Output annual'!$AD$2&amp;"*Zone People Number Of Occupants [](Hourly)",'Eplus results'!$1:$1048576,ROW(),FALSE)</f>
        <v>0</v>
      </c>
      <c r="AC3800" s="580">
        <f>HLOOKUP("*"&amp;'Output annual'!$AC$2&amp;'Output annual'!$AD$2&amp;"*FangerPMV(Hourly)",'Eplus results'!$1:$1048576,ROW(),FALSE)</f>
        <v>0</v>
      </c>
      <c r="AD3800" s="580">
        <f t="shared" si="331"/>
        <v>5</v>
      </c>
      <c r="AE3800" s="580">
        <f t="shared" si="332"/>
        <v>2.5</v>
      </c>
      <c r="AF3800" s="580">
        <f t="shared" si="333"/>
        <v>2.5</v>
      </c>
      <c r="AG3800" s="580">
        <f t="shared" si="334"/>
        <v>0</v>
      </c>
      <c r="AH3800" s="580">
        <f t="shared" si="335"/>
        <v>0</v>
      </c>
    </row>
    <row r="3801" spans="28:34">
      <c r="AB3801" s="580">
        <f>HLOOKUP("*"&amp;'Output annual'!$AC$2&amp;'Output annual'!$AD$2&amp;"*Zone People Number Of Occupants [](Hourly)",'Eplus results'!$1:$1048576,ROW(),FALSE)</f>
        <v>0</v>
      </c>
      <c r="AC3801" s="580">
        <f>HLOOKUP("*"&amp;'Output annual'!$AC$2&amp;'Output annual'!$AD$2&amp;"*FangerPMV(Hourly)",'Eplus results'!$1:$1048576,ROW(),FALSE)</f>
        <v>0</v>
      </c>
      <c r="AD3801" s="580">
        <f t="shared" si="331"/>
        <v>5</v>
      </c>
      <c r="AE3801" s="580">
        <f t="shared" si="332"/>
        <v>2.5</v>
      </c>
      <c r="AF3801" s="580">
        <f t="shared" si="333"/>
        <v>2.5</v>
      </c>
      <c r="AG3801" s="580">
        <f t="shared" si="334"/>
        <v>0</v>
      </c>
      <c r="AH3801" s="580">
        <f t="shared" si="335"/>
        <v>0</v>
      </c>
    </row>
    <row r="3802" spans="28:34">
      <c r="AB3802" s="580">
        <f>HLOOKUP("*"&amp;'Output annual'!$AC$2&amp;'Output annual'!$AD$2&amp;"*Zone People Number Of Occupants [](Hourly)",'Eplus results'!$1:$1048576,ROW(),FALSE)</f>
        <v>0</v>
      </c>
      <c r="AC3802" s="580">
        <f>HLOOKUP("*"&amp;'Output annual'!$AC$2&amp;'Output annual'!$AD$2&amp;"*FangerPMV(Hourly)",'Eplus results'!$1:$1048576,ROW(),FALSE)</f>
        <v>0</v>
      </c>
      <c r="AD3802" s="580">
        <f t="shared" si="331"/>
        <v>5</v>
      </c>
      <c r="AE3802" s="580">
        <f t="shared" si="332"/>
        <v>2.5</v>
      </c>
      <c r="AF3802" s="580">
        <f t="shared" si="333"/>
        <v>2.5</v>
      </c>
      <c r="AG3802" s="580">
        <f t="shared" si="334"/>
        <v>0</v>
      </c>
      <c r="AH3802" s="580">
        <f t="shared" si="335"/>
        <v>0</v>
      </c>
    </row>
    <row r="3803" spans="28:34">
      <c r="AB3803" s="580">
        <f>HLOOKUP("*"&amp;'Output annual'!$AC$2&amp;'Output annual'!$AD$2&amp;"*Zone People Number Of Occupants [](Hourly)",'Eplus results'!$1:$1048576,ROW(),FALSE)</f>
        <v>0</v>
      </c>
      <c r="AC3803" s="580">
        <f>HLOOKUP("*"&amp;'Output annual'!$AC$2&amp;'Output annual'!$AD$2&amp;"*FangerPMV(Hourly)",'Eplus results'!$1:$1048576,ROW(),FALSE)</f>
        <v>0</v>
      </c>
      <c r="AD3803" s="580">
        <f t="shared" si="331"/>
        <v>5</v>
      </c>
      <c r="AE3803" s="580">
        <f t="shared" si="332"/>
        <v>2.5</v>
      </c>
      <c r="AF3803" s="580">
        <f t="shared" si="333"/>
        <v>2.5</v>
      </c>
      <c r="AG3803" s="580">
        <f t="shared" si="334"/>
        <v>0</v>
      </c>
      <c r="AH3803" s="580">
        <f t="shared" si="335"/>
        <v>0</v>
      </c>
    </row>
    <row r="3804" spans="28:34">
      <c r="AB3804" s="580">
        <f>HLOOKUP("*"&amp;'Output annual'!$AC$2&amp;'Output annual'!$AD$2&amp;"*Zone People Number Of Occupants [](Hourly)",'Eplus results'!$1:$1048576,ROW(),FALSE)</f>
        <v>0</v>
      </c>
      <c r="AC3804" s="580">
        <f>HLOOKUP("*"&amp;'Output annual'!$AC$2&amp;'Output annual'!$AD$2&amp;"*FangerPMV(Hourly)",'Eplus results'!$1:$1048576,ROW(),FALSE)</f>
        <v>0</v>
      </c>
      <c r="AD3804" s="580">
        <f t="shared" si="331"/>
        <v>5</v>
      </c>
      <c r="AE3804" s="580">
        <f t="shared" si="332"/>
        <v>2.5</v>
      </c>
      <c r="AF3804" s="580">
        <f t="shared" si="333"/>
        <v>2.5</v>
      </c>
      <c r="AG3804" s="580">
        <f t="shared" si="334"/>
        <v>0</v>
      </c>
      <c r="AH3804" s="580">
        <f t="shared" si="335"/>
        <v>0</v>
      </c>
    </row>
    <row r="3805" spans="28:34">
      <c r="AB3805" s="580">
        <f>HLOOKUP("*"&amp;'Output annual'!$AC$2&amp;'Output annual'!$AD$2&amp;"*Zone People Number Of Occupants [](Hourly)",'Eplus results'!$1:$1048576,ROW(),FALSE)</f>
        <v>0</v>
      </c>
      <c r="AC3805" s="580">
        <f>HLOOKUP("*"&amp;'Output annual'!$AC$2&amp;'Output annual'!$AD$2&amp;"*FangerPMV(Hourly)",'Eplus results'!$1:$1048576,ROW(),FALSE)</f>
        <v>0</v>
      </c>
      <c r="AD3805" s="580">
        <f t="shared" si="331"/>
        <v>5</v>
      </c>
      <c r="AE3805" s="580">
        <f t="shared" si="332"/>
        <v>2.5</v>
      </c>
      <c r="AF3805" s="580">
        <f t="shared" si="333"/>
        <v>2.5</v>
      </c>
      <c r="AG3805" s="580">
        <f t="shared" si="334"/>
        <v>0</v>
      </c>
      <c r="AH3805" s="580">
        <f t="shared" si="335"/>
        <v>0</v>
      </c>
    </row>
    <row r="3806" spans="28:34">
      <c r="AB3806" s="580">
        <f>HLOOKUP("*"&amp;'Output annual'!$AC$2&amp;'Output annual'!$AD$2&amp;"*Zone People Number Of Occupants [](Hourly)",'Eplus results'!$1:$1048576,ROW(),FALSE)</f>
        <v>0</v>
      </c>
      <c r="AC3806" s="580">
        <f>HLOOKUP("*"&amp;'Output annual'!$AC$2&amp;'Output annual'!$AD$2&amp;"*FangerPMV(Hourly)",'Eplus results'!$1:$1048576,ROW(),FALSE)</f>
        <v>0</v>
      </c>
      <c r="AD3806" s="580">
        <f t="shared" si="331"/>
        <v>5</v>
      </c>
      <c r="AE3806" s="580">
        <f t="shared" si="332"/>
        <v>2.5</v>
      </c>
      <c r="AF3806" s="580">
        <f t="shared" si="333"/>
        <v>2.5</v>
      </c>
      <c r="AG3806" s="580">
        <f t="shared" si="334"/>
        <v>0</v>
      </c>
      <c r="AH3806" s="580">
        <f t="shared" si="335"/>
        <v>0</v>
      </c>
    </row>
    <row r="3807" spans="28:34">
      <c r="AB3807" s="580">
        <f>HLOOKUP("*"&amp;'Output annual'!$AC$2&amp;'Output annual'!$AD$2&amp;"*Zone People Number Of Occupants [](Hourly)",'Eplus results'!$1:$1048576,ROW(),FALSE)</f>
        <v>0</v>
      </c>
      <c r="AC3807" s="580">
        <f>HLOOKUP("*"&amp;'Output annual'!$AC$2&amp;'Output annual'!$AD$2&amp;"*FangerPMV(Hourly)",'Eplus results'!$1:$1048576,ROW(),FALSE)</f>
        <v>0</v>
      </c>
      <c r="AD3807" s="580">
        <f t="shared" si="331"/>
        <v>5</v>
      </c>
      <c r="AE3807" s="580">
        <f t="shared" si="332"/>
        <v>2.5</v>
      </c>
      <c r="AF3807" s="580">
        <f t="shared" si="333"/>
        <v>2.5</v>
      </c>
      <c r="AG3807" s="580">
        <f t="shared" si="334"/>
        <v>0</v>
      </c>
      <c r="AH3807" s="580">
        <f t="shared" si="335"/>
        <v>0</v>
      </c>
    </row>
    <row r="3808" spans="28:34">
      <c r="AB3808" s="580">
        <f>HLOOKUP("*"&amp;'Output annual'!$AC$2&amp;'Output annual'!$AD$2&amp;"*Zone People Number Of Occupants [](Hourly)",'Eplus results'!$1:$1048576,ROW(),FALSE)</f>
        <v>0</v>
      </c>
      <c r="AC3808" s="580">
        <f>HLOOKUP("*"&amp;'Output annual'!$AC$2&amp;'Output annual'!$AD$2&amp;"*FangerPMV(Hourly)",'Eplus results'!$1:$1048576,ROW(),FALSE)</f>
        <v>0</v>
      </c>
      <c r="AD3808" s="580">
        <f t="shared" si="331"/>
        <v>5</v>
      </c>
      <c r="AE3808" s="580">
        <f t="shared" si="332"/>
        <v>2.5</v>
      </c>
      <c r="AF3808" s="580">
        <f t="shared" si="333"/>
        <v>2.5</v>
      </c>
      <c r="AG3808" s="580">
        <f t="shared" si="334"/>
        <v>0</v>
      </c>
      <c r="AH3808" s="580">
        <f t="shared" si="335"/>
        <v>0</v>
      </c>
    </row>
    <row r="3809" spans="28:34">
      <c r="AB3809" s="580">
        <f>HLOOKUP("*"&amp;'Output annual'!$AC$2&amp;'Output annual'!$AD$2&amp;"*Zone People Number Of Occupants [](Hourly)",'Eplus results'!$1:$1048576,ROW(),FALSE)</f>
        <v>0</v>
      </c>
      <c r="AC3809" s="580">
        <f>HLOOKUP("*"&amp;'Output annual'!$AC$2&amp;'Output annual'!$AD$2&amp;"*FangerPMV(Hourly)",'Eplus results'!$1:$1048576,ROW(),FALSE)</f>
        <v>0</v>
      </c>
      <c r="AD3809" s="580">
        <f t="shared" si="331"/>
        <v>5</v>
      </c>
      <c r="AE3809" s="580">
        <f t="shared" si="332"/>
        <v>2.5</v>
      </c>
      <c r="AF3809" s="580">
        <f t="shared" si="333"/>
        <v>2.5</v>
      </c>
      <c r="AG3809" s="580">
        <f t="shared" si="334"/>
        <v>0</v>
      </c>
      <c r="AH3809" s="580">
        <f t="shared" si="335"/>
        <v>0</v>
      </c>
    </row>
    <row r="3810" spans="28:34">
      <c r="AB3810" s="580">
        <f>HLOOKUP("*"&amp;'Output annual'!$AC$2&amp;'Output annual'!$AD$2&amp;"*Zone People Number Of Occupants [](Hourly)",'Eplus results'!$1:$1048576,ROW(),FALSE)</f>
        <v>0</v>
      </c>
      <c r="AC3810" s="580">
        <f>HLOOKUP("*"&amp;'Output annual'!$AC$2&amp;'Output annual'!$AD$2&amp;"*FangerPMV(Hourly)",'Eplus results'!$1:$1048576,ROW(),FALSE)</f>
        <v>0</v>
      </c>
      <c r="AD3810" s="580">
        <f t="shared" si="331"/>
        <v>5</v>
      </c>
      <c r="AE3810" s="580">
        <f t="shared" si="332"/>
        <v>2.5</v>
      </c>
      <c r="AF3810" s="580">
        <f t="shared" si="333"/>
        <v>2.5</v>
      </c>
      <c r="AG3810" s="580">
        <f t="shared" si="334"/>
        <v>0</v>
      </c>
      <c r="AH3810" s="580">
        <f t="shared" si="335"/>
        <v>0</v>
      </c>
    </row>
    <row r="3811" spans="28:34">
      <c r="AB3811" s="580">
        <f>HLOOKUP("*"&amp;'Output annual'!$AC$2&amp;'Output annual'!$AD$2&amp;"*Zone People Number Of Occupants [](Hourly)",'Eplus results'!$1:$1048576,ROW(),FALSE)</f>
        <v>0</v>
      </c>
      <c r="AC3811" s="580">
        <f>HLOOKUP("*"&amp;'Output annual'!$AC$2&amp;'Output annual'!$AD$2&amp;"*FangerPMV(Hourly)",'Eplus results'!$1:$1048576,ROW(),FALSE)</f>
        <v>0</v>
      </c>
      <c r="AD3811" s="580">
        <f t="shared" si="331"/>
        <v>5</v>
      </c>
      <c r="AE3811" s="580">
        <f t="shared" si="332"/>
        <v>2.5</v>
      </c>
      <c r="AF3811" s="580">
        <f t="shared" si="333"/>
        <v>2.5</v>
      </c>
      <c r="AG3811" s="580">
        <f t="shared" si="334"/>
        <v>0</v>
      </c>
      <c r="AH3811" s="580">
        <f t="shared" si="335"/>
        <v>0</v>
      </c>
    </row>
    <row r="3812" spans="28:34">
      <c r="AB3812" s="580">
        <f>HLOOKUP("*"&amp;'Output annual'!$AC$2&amp;'Output annual'!$AD$2&amp;"*Zone People Number Of Occupants [](Hourly)",'Eplus results'!$1:$1048576,ROW(),FALSE)</f>
        <v>0</v>
      </c>
      <c r="AC3812" s="580">
        <f>HLOOKUP("*"&amp;'Output annual'!$AC$2&amp;'Output annual'!$AD$2&amp;"*FangerPMV(Hourly)",'Eplus results'!$1:$1048576,ROW(),FALSE)</f>
        <v>0</v>
      </c>
      <c r="AD3812" s="580">
        <f t="shared" si="331"/>
        <v>5</v>
      </c>
      <c r="AE3812" s="580">
        <f t="shared" si="332"/>
        <v>2.5</v>
      </c>
      <c r="AF3812" s="580">
        <f t="shared" si="333"/>
        <v>2.5</v>
      </c>
      <c r="AG3812" s="580">
        <f t="shared" si="334"/>
        <v>0</v>
      </c>
      <c r="AH3812" s="580">
        <f t="shared" si="335"/>
        <v>0</v>
      </c>
    </row>
    <row r="3813" spans="28:34">
      <c r="AB3813" s="580">
        <f>HLOOKUP("*"&amp;'Output annual'!$AC$2&amp;'Output annual'!$AD$2&amp;"*Zone People Number Of Occupants [](Hourly)",'Eplus results'!$1:$1048576,ROW(),FALSE)</f>
        <v>0</v>
      </c>
      <c r="AC3813" s="580">
        <f>HLOOKUP("*"&amp;'Output annual'!$AC$2&amp;'Output annual'!$AD$2&amp;"*FangerPMV(Hourly)",'Eplus results'!$1:$1048576,ROW(),FALSE)</f>
        <v>0</v>
      </c>
      <c r="AD3813" s="580">
        <f t="shared" si="331"/>
        <v>5</v>
      </c>
      <c r="AE3813" s="580">
        <f t="shared" si="332"/>
        <v>2.5</v>
      </c>
      <c r="AF3813" s="580">
        <f t="shared" si="333"/>
        <v>2.5</v>
      </c>
      <c r="AG3813" s="580">
        <f t="shared" si="334"/>
        <v>0</v>
      </c>
      <c r="AH3813" s="580">
        <f t="shared" si="335"/>
        <v>0</v>
      </c>
    </row>
    <row r="3814" spans="28:34">
      <c r="AB3814" s="580">
        <f>HLOOKUP("*"&amp;'Output annual'!$AC$2&amp;'Output annual'!$AD$2&amp;"*Zone People Number Of Occupants [](Hourly)",'Eplus results'!$1:$1048576,ROW(),FALSE)</f>
        <v>0</v>
      </c>
      <c r="AC3814" s="580">
        <f>HLOOKUP("*"&amp;'Output annual'!$AC$2&amp;'Output annual'!$AD$2&amp;"*FangerPMV(Hourly)",'Eplus results'!$1:$1048576,ROW(),FALSE)</f>
        <v>0</v>
      </c>
      <c r="AD3814" s="580">
        <f t="shared" si="331"/>
        <v>5</v>
      </c>
      <c r="AE3814" s="580">
        <f t="shared" si="332"/>
        <v>2.5</v>
      </c>
      <c r="AF3814" s="580">
        <f t="shared" si="333"/>
        <v>2.5</v>
      </c>
      <c r="AG3814" s="580">
        <f t="shared" si="334"/>
        <v>0</v>
      </c>
      <c r="AH3814" s="580">
        <f t="shared" si="335"/>
        <v>0</v>
      </c>
    </row>
    <row r="3815" spans="28:34">
      <c r="AB3815" s="580">
        <f>HLOOKUP("*"&amp;'Output annual'!$AC$2&amp;'Output annual'!$AD$2&amp;"*Zone People Number Of Occupants [](Hourly)",'Eplus results'!$1:$1048576,ROW(),FALSE)</f>
        <v>0</v>
      </c>
      <c r="AC3815" s="580">
        <f>HLOOKUP("*"&amp;'Output annual'!$AC$2&amp;'Output annual'!$AD$2&amp;"*FangerPMV(Hourly)",'Eplus results'!$1:$1048576,ROW(),FALSE)</f>
        <v>0</v>
      </c>
      <c r="AD3815" s="580">
        <f t="shared" si="331"/>
        <v>5</v>
      </c>
      <c r="AE3815" s="580">
        <f t="shared" si="332"/>
        <v>2.5</v>
      </c>
      <c r="AF3815" s="580">
        <f t="shared" si="333"/>
        <v>2.5</v>
      </c>
      <c r="AG3815" s="580">
        <f t="shared" si="334"/>
        <v>0</v>
      </c>
      <c r="AH3815" s="580">
        <f t="shared" si="335"/>
        <v>0</v>
      </c>
    </row>
    <row r="3816" spans="28:34">
      <c r="AB3816" s="580">
        <f>HLOOKUP("*"&amp;'Output annual'!$AC$2&amp;'Output annual'!$AD$2&amp;"*Zone People Number Of Occupants [](Hourly)",'Eplus results'!$1:$1048576,ROW(),FALSE)</f>
        <v>0</v>
      </c>
      <c r="AC3816" s="580">
        <f>HLOOKUP("*"&amp;'Output annual'!$AC$2&amp;'Output annual'!$AD$2&amp;"*FangerPMV(Hourly)",'Eplus results'!$1:$1048576,ROW(),FALSE)</f>
        <v>0</v>
      </c>
      <c r="AD3816" s="580">
        <f t="shared" si="331"/>
        <v>5</v>
      </c>
      <c r="AE3816" s="580">
        <f t="shared" si="332"/>
        <v>2.5</v>
      </c>
      <c r="AF3816" s="580">
        <f t="shared" si="333"/>
        <v>2.5</v>
      </c>
      <c r="AG3816" s="580">
        <f t="shared" si="334"/>
        <v>0</v>
      </c>
      <c r="AH3816" s="580">
        <f t="shared" si="335"/>
        <v>0</v>
      </c>
    </row>
    <row r="3817" spans="28:34">
      <c r="AB3817" s="580">
        <f>HLOOKUP("*"&amp;'Output annual'!$AC$2&amp;'Output annual'!$AD$2&amp;"*Zone People Number Of Occupants [](Hourly)",'Eplus results'!$1:$1048576,ROW(),FALSE)</f>
        <v>0</v>
      </c>
      <c r="AC3817" s="580">
        <f>HLOOKUP("*"&amp;'Output annual'!$AC$2&amp;'Output annual'!$AD$2&amp;"*FangerPMV(Hourly)",'Eplus results'!$1:$1048576,ROW(),FALSE)</f>
        <v>0</v>
      </c>
      <c r="AD3817" s="580">
        <f t="shared" si="331"/>
        <v>5</v>
      </c>
      <c r="AE3817" s="580">
        <f t="shared" si="332"/>
        <v>2.5</v>
      </c>
      <c r="AF3817" s="580">
        <f t="shared" si="333"/>
        <v>2.5</v>
      </c>
      <c r="AG3817" s="580">
        <f t="shared" si="334"/>
        <v>0</v>
      </c>
      <c r="AH3817" s="580">
        <f t="shared" si="335"/>
        <v>0</v>
      </c>
    </row>
    <row r="3818" spans="28:34">
      <c r="AB3818" s="580">
        <f>HLOOKUP("*"&amp;'Output annual'!$AC$2&amp;'Output annual'!$AD$2&amp;"*Zone People Number Of Occupants [](Hourly)",'Eplus results'!$1:$1048576,ROW(),FALSE)</f>
        <v>0</v>
      </c>
      <c r="AC3818" s="580">
        <f>HLOOKUP("*"&amp;'Output annual'!$AC$2&amp;'Output annual'!$AD$2&amp;"*FangerPMV(Hourly)",'Eplus results'!$1:$1048576,ROW(),FALSE)</f>
        <v>0</v>
      </c>
      <c r="AD3818" s="580">
        <f t="shared" si="331"/>
        <v>5</v>
      </c>
      <c r="AE3818" s="580">
        <f t="shared" si="332"/>
        <v>2.5</v>
      </c>
      <c r="AF3818" s="580">
        <f t="shared" si="333"/>
        <v>2.5</v>
      </c>
      <c r="AG3818" s="580">
        <f t="shared" si="334"/>
        <v>0</v>
      </c>
      <c r="AH3818" s="580">
        <f t="shared" si="335"/>
        <v>0</v>
      </c>
    </row>
    <row r="3819" spans="28:34">
      <c r="AB3819" s="580">
        <f>HLOOKUP("*"&amp;'Output annual'!$AC$2&amp;'Output annual'!$AD$2&amp;"*Zone People Number Of Occupants [](Hourly)",'Eplus results'!$1:$1048576,ROW(),FALSE)</f>
        <v>0</v>
      </c>
      <c r="AC3819" s="580">
        <f>HLOOKUP("*"&amp;'Output annual'!$AC$2&amp;'Output annual'!$AD$2&amp;"*FangerPMV(Hourly)",'Eplus results'!$1:$1048576,ROW(),FALSE)</f>
        <v>0</v>
      </c>
      <c r="AD3819" s="580">
        <f t="shared" si="331"/>
        <v>5</v>
      </c>
      <c r="AE3819" s="580">
        <f t="shared" si="332"/>
        <v>2.5</v>
      </c>
      <c r="AF3819" s="580">
        <f t="shared" si="333"/>
        <v>2.5</v>
      </c>
      <c r="AG3819" s="580">
        <f t="shared" si="334"/>
        <v>0</v>
      </c>
      <c r="AH3819" s="580">
        <f t="shared" si="335"/>
        <v>0</v>
      </c>
    </row>
    <row r="3820" spans="28:34">
      <c r="AB3820" s="580">
        <f>HLOOKUP("*"&amp;'Output annual'!$AC$2&amp;'Output annual'!$AD$2&amp;"*Zone People Number Of Occupants [](Hourly)",'Eplus results'!$1:$1048576,ROW(),FALSE)</f>
        <v>0</v>
      </c>
      <c r="AC3820" s="580">
        <f>HLOOKUP("*"&amp;'Output annual'!$AC$2&amp;'Output annual'!$AD$2&amp;"*FangerPMV(Hourly)",'Eplus results'!$1:$1048576,ROW(),FALSE)</f>
        <v>0</v>
      </c>
      <c r="AD3820" s="580">
        <f t="shared" si="331"/>
        <v>5</v>
      </c>
      <c r="AE3820" s="580">
        <f t="shared" si="332"/>
        <v>2.5</v>
      </c>
      <c r="AF3820" s="580">
        <f t="shared" si="333"/>
        <v>2.5</v>
      </c>
      <c r="AG3820" s="580">
        <f t="shared" si="334"/>
        <v>0</v>
      </c>
      <c r="AH3820" s="580">
        <f t="shared" si="335"/>
        <v>0</v>
      </c>
    </row>
    <row r="3821" spans="28:34">
      <c r="AB3821" s="580">
        <f>HLOOKUP("*"&amp;'Output annual'!$AC$2&amp;'Output annual'!$AD$2&amp;"*Zone People Number Of Occupants [](Hourly)",'Eplus results'!$1:$1048576,ROW(),FALSE)</f>
        <v>0</v>
      </c>
      <c r="AC3821" s="580">
        <f>HLOOKUP("*"&amp;'Output annual'!$AC$2&amp;'Output annual'!$AD$2&amp;"*FangerPMV(Hourly)",'Eplus results'!$1:$1048576,ROW(),FALSE)</f>
        <v>0</v>
      </c>
      <c r="AD3821" s="580">
        <f t="shared" si="331"/>
        <v>5</v>
      </c>
      <c r="AE3821" s="580">
        <f t="shared" si="332"/>
        <v>2.5</v>
      </c>
      <c r="AF3821" s="580">
        <f t="shared" si="333"/>
        <v>2.5</v>
      </c>
      <c r="AG3821" s="580">
        <f t="shared" si="334"/>
        <v>0</v>
      </c>
      <c r="AH3821" s="580">
        <f t="shared" si="335"/>
        <v>0</v>
      </c>
    </row>
    <row r="3822" spans="28:34">
      <c r="AB3822" s="580">
        <f>HLOOKUP("*"&amp;'Output annual'!$AC$2&amp;'Output annual'!$AD$2&amp;"*Zone People Number Of Occupants [](Hourly)",'Eplus results'!$1:$1048576,ROW(),FALSE)</f>
        <v>0</v>
      </c>
      <c r="AC3822" s="580">
        <f>HLOOKUP("*"&amp;'Output annual'!$AC$2&amp;'Output annual'!$AD$2&amp;"*FangerPMV(Hourly)",'Eplus results'!$1:$1048576,ROW(),FALSE)</f>
        <v>0</v>
      </c>
      <c r="AD3822" s="580">
        <f t="shared" si="331"/>
        <v>5</v>
      </c>
      <c r="AE3822" s="580">
        <f t="shared" si="332"/>
        <v>2.5</v>
      </c>
      <c r="AF3822" s="580">
        <f t="shared" si="333"/>
        <v>2.5</v>
      </c>
      <c r="AG3822" s="580">
        <f t="shared" si="334"/>
        <v>0</v>
      </c>
      <c r="AH3822" s="580">
        <f t="shared" si="335"/>
        <v>0</v>
      </c>
    </row>
    <row r="3823" spans="28:34">
      <c r="AB3823" s="580">
        <f>HLOOKUP("*"&amp;'Output annual'!$AC$2&amp;'Output annual'!$AD$2&amp;"*Zone People Number Of Occupants [](Hourly)",'Eplus results'!$1:$1048576,ROW(),FALSE)</f>
        <v>0</v>
      </c>
      <c r="AC3823" s="580">
        <f>HLOOKUP("*"&amp;'Output annual'!$AC$2&amp;'Output annual'!$AD$2&amp;"*FangerPMV(Hourly)",'Eplus results'!$1:$1048576,ROW(),FALSE)</f>
        <v>0</v>
      </c>
      <c r="AD3823" s="580">
        <f t="shared" si="331"/>
        <v>5</v>
      </c>
      <c r="AE3823" s="580">
        <f t="shared" si="332"/>
        <v>2.5</v>
      </c>
      <c r="AF3823" s="580">
        <f t="shared" si="333"/>
        <v>2.5</v>
      </c>
      <c r="AG3823" s="580">
        <f t="shared" si="334"/>
        <v>0</v>
      </c>
      <c r="AH3823" s="580">
        <f t="shared" si="335"/>
        <v>0</v>
      </c>
    </row>
    <row r="3824" spans="28:34">
      <c r="AB3824" s="580">
        <f>HLOOKUP("*"&amp;'Output annual'!$AC$2&amp;'Output annual'!$AD$2&amp;"*Zone People Number Of Occupants [](Hourly)",'Eplus results'!$1:$1048576,ROW(),FALSE)</f>
        <v>0</v>
      </c>
      <c r="AC3824" s="580">
        <f>HLOOKUP("*"&amp;'Output annual'!$AC$2&amp;'Output annual'!$AD$2&amp;"*FangerPMV(Hourly)",'Eplus results'!$1:$1048576,ROW(),FALSE)</f>
        <v>0</v>
      </c>
      <c r="AD3824" s="580">
        <f t="shared" si="331"/>
        <v>5</v>
      </c>
      <c r="AE3824" s="580">
        <f t="shared" si="332"/>
        <v>2.5</v>
      </c>
      <c r="AF3824" s="580">
        <f t="shared" si="333"/>
        <v>2.5</v>
      </c>
      <c r="AG3824" s="580">
        <f t="shared" si="334"/>
        <v>0</v>
      </c>
      <c r="AH3824" s="580">
        <f t="shared" si="335"/>
        <v>0</v>
      </c>
    </row>
    <row r="3825" spans="28:34">
      <c r="AB3825" s="580">
        <f>HLOOKUP("*"&amp;'Output annual'!$AC$2&amp;'Output annual'!$AD$2&amp;"*Zone People Number Of Occupants [](Hourly)",'Eplus results'!$1:$1048576,ROW(),FALSE)</f>
        <v>0</v>
      </c>
      <c r="AC3825" s="580">
        <f>HLOOKUP("*"&amp;'Output annual'!$AC$2&amp;'Output annual'!$AD$2&amp;"*FangerPMV(Hourly)",'Eplus results'!$1:$1048576,ROW(),FALSE)</f>
        <v>0</v>
      </c>
      <c r="AD3825" s="580">
        <f t="shared" si="331"/>
        <v>5</v>
      </c>
      <c r="AE3825" s="580">
        <f t="shared" si="332"/>
        <v>2.5</v>
      </c>
      <c r="AF3825" s="580">
        <f t="shared" si="333"/>
        <v>2.5</v>
      </c>
      <c r="AG3825" s="580">
        <f t="shared" si="334"/>
        <v>0</v>
      </c>
      <c r="AH3825" s="580">
        <f t="shared" si="335"/>
        <v>0</v>
      </c>
    </row>
    <row r="3826" spans="28:34">
      <c r="AB3826" s="580">
        <f>HLOOKUP("*"&amp;'Output annual'!$AC$2&amp;'Output annual'!$AD$2&amp;"*Zone People Number Of Occupants [](Hourly)",'Eplus results'!$1:$1048576,ROW(),FALSE)</f>
        <v>0</v>
      </c>
      <c r="AC3826" s="580">
        <f>HLOOKUP("*"&amp;'Output annual'!$AC$2&amp;'Output annual'!$AD$2&amp;"*FangerPMV(Hourly)",'Eplus results'!$1:$1048576,ROW(),FALSE)</f>
        <v>0</v>
      </c>
      <c r="AD3826" s="580">
        <f t="shared" si="331"/>
        <v>5</v>
      </c>
      <c r="AE3826" s="580">
        <f t="shared" si="332"/>
        <v>2.5</v>
      </c>
      <c r="AF3826" s="580">
        <f t="shared" si="333"/>
        <v>2.5</v>
      </c>
      <c r="AG3826" s="580">
        <f t="shared" si="334"/>
        <v>0</v>
      </c>
      <c r="AH3826" s="580">
        <f t="shared" si="335"/>
        <v>0</v>
      </c>
    </row>
    <row r="3827" spans="28:34">
      <c r="AB3827" s="580">
        <f>HLOOKUP("*"&amp;'Output annual'!$AC$2&amp;'Output annual'!$AD$2&amp;"*Zone People Number Of Occupants [](Hourly)",'Eplus results'!$1:$1048576,ROW(),FALSE)</f>
        <v>0</v>
      </c>
      <c r="AC3827" s="580">
        <f>HLOOKUP("*"&amp;'Output annual'!$AC$2&amp;'Output annual'!$AD$2&amp;"*FangerPMV(Hourly)",'Eplus results'!$1:$1048576,ROW(),FALSE)</f>
        <v>0</v>
      </c>
      <c r="AD3827" s="580">
        <f t="shared" si="331"/>
        <v>5</v>
      </c>
      <c r="AE3827" s="580">
        <f t="shared" si="332"/>
        <v>2.5</v>
      </c>
      <c r="AF3827" s="580">
        <f t="shared" si="333"/>
        <v>2.5</v>
      </c>
      <c r="AG3827" s="580">
        <f t="shared" si="334"/>
        <v>0</v>
      </c>
      <c r="AH3827" s="580">
        <f t="shared" si="335"/>
        <v>0</v>
      </c>
    </row>
    <row r="3828" spans="28:34">
      <c r="AB3828" s="580">
        <f>HLOOKUP("*"&amp;'Output annual'!$AC$2&amp;'Output annual'!$AD$2&amp;"*Zone People Number Of Occupants [](Hourly)",'Eplus results'!$1:$1048576,ROW(),FALSE)</f>
        <v>0</v>
      </c>
      <c r="AC3828" s="580">
        <f>HLOOKUP("*"&amp;'Output annual'!$AC$2&amp;'Output annual'!$AD$2&amp;"*FangerPMV(Hourly)",'Eplus results'!$1:$1048576,ROW(),FALSE)</f>
        <v>0</v>
      </c>
      <c r="AD3828" s="580">
        <f t="shared" si="331"/>
        <v>5</v>
      </c>
      <c r="AE3828" s="580">
        <f t="shared" si="332"/>
        <v>2.5</v>
      </c>
      <c r="AF3828" s="580">
        <f t="shared" si="333"/>
        <v>2.5</v>
      </c>
      <c r="AG3828" s="580">
        <f t="shared" si="334"/>
        <v>0</v>
      </c>
      <c r="AH3828" s="580">
        <f t="shared" si="335"/>
        <v>0</v>
      </c>
    </row>
    <row r="3829" spans="28:34">
      <c r="AB3829" s="580">
        <f>HLOOKUP("*"&amp;'Output annual'!$AC$2&amp;'Output annual'!$AD$2&amp;"*Zone People Number Of Occupants [](Hourly)",'Eplus results'!$1:$1048576,ROW(),FALSE)</f>
        <v>0</v>
      </c>
      <c r="AC3829" s="580">
        <f>HLOOKUP("*"&amp;'Output annual'!$AC$2&amp;'Output annual'!$AD$2&amp;"*FangerPMV(Hourly)",'Eplus results'!$1:$1048576,ROW(),FALSE)</f>
        <v>0</v>
      </c>
      <c r="AD3829" s="580">
        <f t="shared" si="331"/>
        <v>5</v>
      </c>
      <c r="AE3829" s="580">
        <f t="shared" si="332"/>
        <v>2.5</v>
      </c>
      <c r="AF3829" s="580">
        <f t="shared" si="333"/>
        <v>2.5</v>
      </c>
      <c r="AG3829" s="580">
        <f t="shared" si="334"/>
        <v>0</v>
      </c>
      <c r="AH3829" s="580">
        <f t="shared" si="335"/>
        <v>0</v>
      </c>
    </row>
    <row r="3830" spans="28:34">
      <c r="AB3830" s="580">
        <f>HLOOKUP("*"&amp;'Output annual'!$AC$2&amp;'Output annual'!$AD$2&amp;"*Zone People Number Of Occupants [](Hourly)",'Eplus results'!$1:$1048576,ROW(),FALSE)</f>
        <v>0</v>
      </c>
      <c r="AC3830" s="580">
        <f>HLOOKUP("*"&amp;'Output annual'!$AC$2&amp;'Output annual'!$AD$2&amp;"*FangerPMV(Hourly)",'Eplus results'!$1:$1048576,ROW(),FALSE)</f>
        <v>0</v>
      </c>
      <c r="AD3830" s="580">
        <f t="shared" si="331"/>
        <v>5</v>
      </c>
      <c r="AE3830" s="580">
        <f t="shared" si="332"/>
        <v>2.5</v>
      </c>
      <c r="AF3830" s="580">
        <f t="shared" si="333"/>
        <v>2.5</v>
      </c>
      <c r="AG3830" s="580">
        <f t="shared" si="334"/>
        <v>0</v>
      </c>
      <c r="AH3830" s="580">
        <f t="shared" si="335"/>
        <v>0</v>
      </c>
    </row>
    <row r="3831" spans="28:34">
      <c r="AB3831" s="580">
        <f>HLOOKUP("*"&amp;'Output annual'!$AC$2&amp;'Output annual'!$AD$2&amp;"*Zone People Number Of Occupants [](Hourly)",'Eplus results'!$1:$1048576,ROW(),FALSE)</f>
        <v>0</v>
      </c>
      <c r="AC3831" s="580">
        <f>HLOOKUP("*"&amp;'Output annual'!$AC$2&amp;'Output annual'!$AD$2&amp;"*FangerPMV(Hourly)",'Eplus results'!$1:$1048576,ROW(),FALSE)</f>
        <v>0</v>
      </c>
      <c r="AD3831" s="580">
        <f t="shared" si="331"/>
        <v>5</v>
      </c>
      <c r="AE3831" s="580">
        <f t="shared" si="332"/>
        <v>2.5</v>
      </c>
      <c r="AF3831" s="580">
        <f t="shared" si="333"/>
        <v>2.5</v>
      </c>
      <c r="AG3831" s="580">
        <f t="shared" si="334"/>
        <v>0</v>
      </c>
      <c r="AH3831" s="580">
        <f t="shared" si="335"/>
        <v>0</v>
      </c>
    </row>
    <row r="3832" spans="28:34">
      <c r="AB3832" s="580">
        <f>HLOOKUP("*"&amp;'Output annual'!$AC$2&amp;'Output annual'!$AD$2&amp;"*Zone People Number Of Occupants [](Hourly)",'Eplus results'!$1:$1048576,ROW(),FALSE)</f>
        <v>0</v>
      </c>
      <c r="AC3832" s="580">
        <f>HLOOKUP("*"&amp;'Output annual'!$AC$2&amp;'Output annual'!$AD$2&amp;"*FangerPMV(Hourly)",'Eplus results'!$1:$1048576,ROW(),FALSE)</f>
        <v>0</v>
      </c>
      <c r="AD3832" s="580">
        <f t="shared" si="331"/>
        <v>5</v>
      </c>
      <c r="AE3832" s="580">
        <f t="shared" si="332"/>
        <v>2.5</v>
      </c>
      <c r="AF3832" s="580">
        <f t="shared" si="333"/>
        <v>2.5</v>
      </c>
      <c r="AG3832" s="580">
        <f t="shared" si="334"/>
        <v>0</v>
      </c>
      <c r="AH3832" s="580">
        <f t="shared" si="335"/>
        <v>0</v>
      </c>
    </row>
    <row r="3833" spans="28:34">
      <c r="AB3833" s="580">
        <f>HLOOKUP("*"&amp;'Output annual'!$AC$2&amp;'Output annual'!$AD$2&amp;"*Zone People Number Of Occupants [](Hourly)",'Eplus results'!$1:$1048576,ROW(),FALSE)</f>
        <v>0</v>
      </c>
      <c r="AC3833" s="580">
        <f>HLOOKUP("*"&amp;'Output annual'!$AC$2&amp;'Output annual'!$AD$2&amp;"*FangerPMV(Hourly)",'Eplus results'!$1:$1048576,ROW(),FALSE)</f>
        <v>0</v>
      </c>
      <c r="AD3833" s="580">
        <f t="shared" si="331"/>
        <v>5</v>
      </c>
      <c r="AE3833" s="580">
        <f t="shared" si="332"/>
        <v>2.5</v>
      </c>
      <c r="AF3833" s="580">
        <f t="shared" si="333"/>
        <v>2.5</v>
      </c>
      <c r="AG3833" s="580">
        <f t="shared" si="334"/>
        <v>0</v>
      </c>
      <c r="AH3833" s="580">
        <f t="shared" si="335"/>
        <v>0</v>
      </c>
    </row>
    <row r="3834" spans="28:34">
      <c r="AB3834" s="580">
        <f>HLOOKUP("*"&amp;'Output annual'!$AC$2&amp;'Output annual'!$AD$2&amp;"*Zone People Number Of Occupants [](Hourly)",'Eplus results'!$1:$1048576,ROW(),FALSE)</f>
        <v>0</v>
      </c>
      <c r="AC3834" s="580">
        <f>HLOOKUP("*"&amp;'Output annual'!$AC$2&amp;'Output annual'!$AD$2&amp;"*FangerPMV(Hourly)",'Eplus results'!$1:$1048576,ROW(),FALSE)</f>
        <v>0</v>
      </c>
      <c r="AD3834" s="580">
        <f t="shared" si="331"/>
        <v>5</v>
      </c>
      <c r="AE3834" s="580">
        <f t="shared" si="332"/>
        <v>2.5</v>
      </c>
      <c r="AF3834" s="580">
        <f t="shared" si="333"/>
        <v>2.5</v>
      </c>
      <c r="AG3834" s="580">
        <f t="shared" si="334"/>
        <v>0</v>
      </c>
      <c r="AH3834" s="580">
        <f t="shared" si="335"/>
        <v>0</v>
      </c>
    </row>
    <row r="3835" spans="28:34">
      <c r="AB3835" s="580">
        <f>HLOOKUP("*"&amp;'Output annual'!$AC$2&amp;'Output annual'!$AD$2&amp;"*Zone People Number Of Occupants [](Hourly)",'Eplus results'!$1:$1048576,ROW(),FALSE)</f>
        <v>0</v>
      </c>
      <c r="AC3835" s="580">
        <f>HLOOKUP("*"&amp;'Output annual'!$AC$2&amp;'Output annual'!$AD$2&amp;"*FangerPMV(Hourly)",'Eplus results'!$1:$1048576,ROW(),FALSE)</f>
        <v>0</v>
      </c>
      <c r="AD3835" s="580">
        <f t="shared" si="331"/>
        <v>5</v>
      </c>
      <c r="AE3835" s="580">
        <f t="shared" si="332"/>
        <v>2.5</v>
      </c>
      <c r="AF3835" s="580">
        <f t="shared" si="333"/>
        <v>2.5</v>
      </c>
      <c r="AG3835" s="580">
        <f t="shared" si="334"/>
        <v>0</v>
      </c>
      <c r="AH3835" s="580">
        <f t="shared" si="335"/>
        <v>0</v>
      </c>
    </row>
    <row r="3836" spans="28:34">
      <c r="AB3836" s="580">
        <f>HLOOKUP("*"&amp;'Output annual'!$AC$2&amp;'Output annual'!$AD$2&amp;"*Zone People Number Of Occupants [](Hourly)",'Eplus results'!$1:$1048576,ROW(),FALSE)</f>
        <v>0</v>
      </c>
      <c r="AC3836" s="580">
        <f>HLOOKUP("*"&amp;'Output annual'!$AC$2&amp;'Output annual'!$AD$2&amp;"*FangerPMV(Hourly)",'Eplus results'!$1:$1048576,ROW(),FALSE)</f>
        <v>0</v>
      </c>
      <c r="AD3836" s="580">
        <f t="shared" si="331"/>
        <v>5</v>
      </c>
      <c r="AE3836" s="580">
        <f t="shared" si="332"/>
        <v>2.5</v>
      </c>
      <c r="AF3836" s="580">
        <f t="shared" si="333"/>
        <v>2.5</v>
      </c>
      <c r="AG3836" s="580">
        <f t="shared" si="334"/>
        <v>0</v>
      </c>
      <c r="AH3836" s="580">
        <f t="shared" si="335"/>
        <v>0</v>
      </c>
    </row>
    <row r="3837" spans="28:34">
      <c r="AB3837" s="580">
        <f>HLOOKUP("*"&amp;'Output annual'!$AC$2&amp;'Output annual'!$AD$2&amp;"*Zone People Number Of Occupants [](Hourly)",'Eplus results'!$1:$1048576,ROW(),FALSE)</f>
        <v>0</v>
      </c>
      <c r="AC3837" s="580">
        <f>HLOOKUP("*"&amp;'Output annual'!$AC$2&amp;'Output annual'!$AD$2&amp;"*FangerPMV(Hourly)",'Eplus results'!$1:$1048576,ROW(),FALSE)</f>
        <v>0</v>
      </c>
      <c r="AD3837" s="580">
        <f t="shared" si="331"/>
        <v>5</v>
      </c>
      <c r="AE3837" s="580">
        <f t="shared" si="332"/>
        <v>2.5</v>
      </c>
      <c r="AF3837" s="580">
        <f t="shared" si="333"/>
        <v>2.5</v>
      </c>
      <c r="AG3837" s="580">
        <f t="shared" si="334"/>
        <v>0</v>
      </c>
      <c r="AH3837" s="580">
        <f t="shared" si="335"/>
        <v>0</v>
      </c>
    </row>
    <row r="3838" spans="28:34">
      <c r="AB3838" s="580">
        <f>HLOOKUP("*"&amp;'Output annual'!$AC$2&amp;'Output annual'!$AD$2&amp;"*Zone People Number Of Occupants [](Hourly)",'Eplus results'!$1:$1048576,ROW(),FALSE)</f>
        <v>0</v>
      </c>
      <c r="AC3838" s="580">
        <f>HLOOKUP("*"&amp;'Output annual'!$AC$2&amp;'Output annual'!$AD$2&amp;"*FangerPMV(Hourly)",'Eplus results'!$1:$1048576,ROW(),FALSE)</f>
        <v>0</v>
      </c>
      <c r="AD3838" s="580">
        <f t="shared" si="331"/>
        <v>5</v>
      </c>
      <c r="AE3838" s="580">
        <f t="shared" si="332"/>
        <v>2.5</v>
      </c>
      <c r="AF3838" s="580">
        <f t="shared" si="333"/>
        <v>2.5</v>
      </c>
      <c r="AG3838" s="580">
        <f t="shared" si="334"/>
        <v>0</v>
      </c>
      <c r="AH3838" s="580">
        <f t="shared" si="335"/>
        <v>0</v>
      </c>
    </row>
    <row r="3839" spans="28:34">
      <c r="AB3839" s="580">
        <f>HLOOKUP("*"&amp;'Output annual'!$AC$2&amp;'Output annual'!$AD$2&amp;"*Zone People Number Of Occupants [](Hourly)",'Eplus results'!$1:$1048576,ROW(),FALSE)</f>
        <v>0</v>
      </c>
      <c r="AC3839" s="580">
        <f>HLOOKUP("*"&amp;'Output annual'!$AC$2&amp;'Output annual'!$AD$2&amp;"*FangerPMV(Hourly)",'Eplus results'!$1:$1048576,ROW(),FALSE)</f>
        <v>0</v>
      </c>
      <c r="AD3839" s="580">
        <f t="shared" si="331"/>
        <v>5</v>
      </c>
      <c r="AE3839" s="580">
        <f t="shared" si="332"/>
        <v>2.5</v>
      </c>
      <c r="AF3839" s="580">
        <f t="shared" si="333"/>
        <v>2.5</v>
      </c>
      <c r="AG3839" s="580">
        <f t="shared" si="334"/>
        <v>0</v>
      </c>
      <c r="AH3839" s="580">
        <f t="shared" si="335"/>
        <v>0</v>
      </c>
    </row>
    <row r="3840" spans="28:34">
      <c r="AB3840" s="580">
        <f>HLOOKUP("*"&amp;'Output annual'!$AC$2&amp;'Output annual'!$AD$2&amp;"*Zone People Number Of Occupants [](Hourly)",'Eplus results'!$1:$1048576,ROW(),FALSE)</f>
        <v>0</v>
      </c>
      <c r="AC3840" s="580">
        <f>HLOOKUP("*"&amp;'Output annual'!$AC$2&amp;'Output annual'!$AD$2&amp;"*FangerPMV(Hourly)",'Eplus results'!$1:$1048576,ROW(),FALSE)</f>
        <v>0</v>
      </c>
      <c r="AD3840" s="580">
        <f t="shared" si="331"/>
        <v>5</v>
      </c>
      <c r="AE3840" s="580">
        <f t="shared" si="332"/>
        <v>2.5</v>
      </c>
      <c r="AF3840" s="580">
        <f t="shared" si="333"/>
        <v>2.5</v>
      </c>
      <c r="AG3840" s="580">
        <f t="shared" si="334"/>
        <v>0</v>
      </c>
      <c r="AH3840" s="580">
        <f t="shared" si="335"/>
        <v>0</v>
      </c>
    </row>
    <row r="3841" spans="28:34">
      <c r="AB3841" s="580">
        <f>HLOOKUP("*"&amp;'Output annual'!$AC$2&amp;'Output annual'!$AD$2&amp;"*Zone People Number Of Occupants [](Hourly)",'Eplus results'!$1:$1048576,ROW(),FALSE)</f>
        <v>0</v>
      </c>
      <c r="AC3841" s="580">
        <f>HLOOKUP("*"&amp;'Output annual'!$AC$2&amp;'Output annual'!$AD$2&amp;"*FangerPMV(Hourly)",'Eplus results'!$1:$1048576,ROW(),FALSE)</f>
        <v>0</v>
      </c>
      <c r="AD3841" s="580">
        <f t="shared" si="331"/>
        <v>5</v>
      </c>
      <c r="AE3841" s="580">
        <f t="shared" si="332"/>
        <v>2.5</v>
      </c>
      <c r="AF3841" s="580">
        <f t="shared" si="333"/>
        <v>2.5</v>
      </c>
      <c r="AG3841" s="580">
        <f t="shared" si="334"/>
        <v>0</v>
      </c>
      <c r="AH3841" s="580">
        <f t="shared" si="335"/>
        <v>0</v>
      </c>
    </row>
    <row r="3842" spans="28:34">
      <c r="AB3842" s="580">
        <f>HLOOKUP("*"&amp;'Output annual'!$AC$2&amp;'Output annual'!$AD$2&amp;"*Zone People Number Of Occupants [](Hourly)",'Eplus results'!$1:$1048576,ROW(),FALSE)</f>
        <v>0</v>
      </c>
      <c r="AC3842" s="580">
        <f>HLOOKUP("*"&amp;'Output annual'!$AC$2&amp;'Output annual'!$AD$2&amp;"*FangerPMV(Hourly)",'Eplus results'!$1:$1048576,ROW(),FALSE)</f>
        <v>0</v>
      </c>
      <c r="AD3842" s="580">
        <f t="shared" si="331"/>
        <v>5</v>
      </c>
      <c r="AE3842" s="580">
        <f t="shared" si="332"/>
        <v>2.5</v>
      </c>
      <c r="AF3842" s="580">
        <f t="shared" si="333"/>
        <v>2.5</v>
      </c>
      <c r="AG3842" s="580">
        <f t="shared" si="334"/>
        <v>0</v>
      </c>
      <c r="AH3842" s="580">
        <f t="shared" si="335"/>
        <v>0</v>
      </c>
    </row>
    <row r="3843" spans="28:34">
      <c r="AB3843" s="580">
        <f>HLOOKUP("*"&amp;'Output annual'!$AC$2&amp;'Output annual'!$AD$2&amp;"*Zone People Number Of Occupants [](Hourly)",'Eplus results'!$1:$1048576,ROW(),FALSE)</f>
        <v>0</v>
      </c>
      <c r="AC3843" s="580">
        <f>HLOOKUP("*"&amp;'Output annual'!$AC$2&amp;'Output annual'!$AD$2&amp;"*FangerPMV(Hourly)",'Eplus results'!$1:$1048576,ROW(),FALSE)</f>
        <v>0</v>
      </c>
      <c r="AD3843" s="580">
        <f t="shared" ref="AD3843:AD3906" si="336">100-95*EXP(-0.03353*AC3843^4-0.2179*AC3843^2)</f>
        <v>5</v>
      </c>
      <c r="AE3843" s="580">
        <f t="shared" ref="AE3843:AE3906" si="337">AD3843*(1/(1+EXP(-6.3*$AC3843)))</f>
        <v>2.5</v>
      </c>
      <c r="AF3843" s="580">
        <f t="shared" ref="AF3843:AF3906" si="338">(AD3843-AE3843)</f>
        <v>2.5</v>
      </c>
      <c r="AG3843" s="580">
        <f t="shared" ref="AG3843:AG3906" si="339">AE3843*AB3843</f>
        <v>0</v>
      </c>
      <c r="AH3843" s="580">
        <f t="shared" ref="AH3843:AH3906" si="340">AF3843*AB3843</f>
        <v>0</v>
      </c>
    </row>
    <row r="3844" spans="28:34">
      <c r="AB3844" s="580">
        <f>HLOOKUP("*"&amp;'Output annual'!$AC$2&amp;'Output annual'!$AD$2&amp;"*Zone People Number Of Occupants [](Hourly)",'Eplus results'!$1:$1048576,ROW(),FALSE)</f>
        <v>0</v>
      </c>
      <c r="AC3844" s="580">
        <f>HLOOKUP("*"&amp;'Output annual'!$AC$2&amp;'Output annual'!$AD$2&amp;"*FangerPMV(Hourly)",'Eplus results'!$1:$1048576,ROW(),FALSE)</f>
        <v>0</v>
      </c>
      <c r="AD3844" s="580">
        <f t="shared" si="336"/>
        <v>5</v>
      </c>
      <c r="AE3844" s="580">
        <f t="shared" si="337"/>
        <v>2.5</v>
      </c>
      <c r="AF3844" s="580">
        <f t="shared" si="338"/>
        <v>2.5</v>
      </c>
      <c r="AG3844" s="580">
        <f t="shared" si="339"/>
        <v>0</v>
      </c>
      <c r="AH3844" s="580">
        <f t="shared" si="340"/>
        <v>0</v>
      </c>
    </row>
    <row r="3845" spans="28:34">
      <c r="AB3845" s="580">
        <f>HLOOKUP("*"&amp;'Output annual'!$AC$2&amp;'Output annual'!$AD$2&amp;"*Zone People Number Of Occupants [](Hourly)",'Eplus results'!$1:$1048576,ROW(),FALSE)</f>
        <v>0</v>
      </c>
      <c r="AC3845" s="580">
        <f>HLOOKUP("*"&amp;'Output annual'!$AC$2&amp;'Output annual'!$AD$2&amp;"*FangerPMV(Hourly)",'Eplus results'!$1:$1048576,ROW(),FALSE)</f>
        <v>0</v>
      </c>
      <c r="AD3845" s="580">
        <f t="shared" si="336"/>
        <v>5</v>
      </c>
      <c r="AE3845" s="580">
        <f t="shared" si="337"/>
        <v>2.5</v>
      </c>
      <c r="AF3845" s="580">
        <f t="shared" si="338"/>
        <v>2.5</v>
      </c>
      <c r="AG3845" s="580">
        <f t="shared" si="339"/>
        <v>0</v>
      </c>
      <c r="AH3845" s="580">
        <f t="shared" si="340"/>
        <v>0</v>
      </c>
    </row>
    <row r="3846" spans="28:34">
      <c r="AB3846" s="580">
        <f>HLOOKUP("*"&amp;'Output annual'!$AC$2&amp;'Output annual'!$AD$2&amp;"*Zone People Number Of Occupants [](Hourly)",'Eplus results'!$1:$1048576,ROW(),FALSE)</f>
        <v>0</v>
      </c>
      <c r="AC3846" s="580">
        <f>HLOOKUP("*"&amp;'Output annual'!$AC$2&amp;'Output annual'!$AD$2&amp;"*FangerPMV(Hourly)",'Eplus results'!$1:$1048576,ROW(),FALSE)</f>
        <v>0</v>
      </c>
      <c r="AD3846" s="580">
        <f t="shared" si="336"/>
        <v>5</v>
      </c>
      <c r="AE3846" s="580">
        <f t="shared" si="337"/>
        <v>2.5</v>
      </c>
      <c r="AF3846" s="580">
        <f t="shared" si="338"/>
        <v>2.5</v>
      </c>
      <c r="AG3846" s="580">
        <f t="shared" si="339"/>
        <v>0</v>
      </c>
      <c r="AH3846" s="580">
        <f t="shared" si="340"/>
        <v>0</v>
      </c>
    </row>
    <row r="3847" spans="28:34">
      <c r="AB3847" s="580">
        <f>HLOOKUP("*"&amp;'Output annual'!$AC$2&amp;'Output annual'!$AD$2&amp;"*Zone People Number Of Occupants [](Hourly)",'Eplus results'!$1:$1048576,ROW(),FALSE)</f>
        <v>0</v>
      </c>
      <c r="AC3847" s="580">
        <f>HLOOKUP("*"&amp;'Output annual'!$AC$2&amp;'Output annual'!$AD$2&amp;"*FangerPMV(Hourly)",'Eplus results'!$1:$1048576,ROW(),FALSE)</f>
        <v>0</v>
      </c>
      <c r="AD3847" s="580">
        <f t="shared" si="336"/>
        <v>5</v>
      </c>
      <c r="AE3847" s="580">
        <f t="shared" si="337"/>
        <v>2.5</v>
      </c>
      <c r="AF3847" s="580">
        <f t="shared" si="338"/>
        <v>2.5</v>
      </c>
      <c r="AG3847" s="580">
        <f t="shared" si="339"/>
        <v>0</v>
      </c>
      <c r="AH3847" s="580">
        <f t="shared" si="340"/>
        <v>0</v>
      </c>
    </row>
    <row r="3848" spans="28:34">
      <c r="AB3848" s="580">
        <f>HLOOKUP("*"&amp;'Output annual'!$AC$2&amp;'Output annual'!$AD$2&amp;"*Zone People Number Of Occupants [](Hourly)",'Eplus results'!$1:$1048576,ROW(),FALSE)</f>
        <v>0</v>
      </c>
      <c r="AC3848" s="580">
        <f>HLOOKUP("*"&amp;'Output annual'!$AC$2&amp;'Output annual'!$AD$2&amp;"*FangerPMV(Hourly)",'Eplus results'!$1:$1048576,ROW(),FALSE)</f>
        <v>0</v>
      </c>
      <c r="AD3848" s="580">
        <f t="shared" si="336"/>
        <v>5</v>
      </c>
      <c r="AE3848" s="580">
        <f t="shared" si="337"/>
        <v>2.5</v>
      </c>
      <c r="AF3848" s="580">
        <f t="shared" si="338"/>
        <v>2.5</v>
      </c>
      <c r="AG3848" s="580">
        <f t="shared" si="339"/>
        <v>0</v>
      </c>
      <c r="AH3848" s="580">
        <f t="shared" si="340"/>
        <v>0</v>
      </c>
    </row>
    <row r="3849" spans="28:34">
      <c r="AB3849" s="580">
        <f>HLOOKUP("*"&amp;'Output annual'!$AC$2&amp;'Output annual'!$AD$2&amp;"*Zone People Number Of Occupants [](Hourly)",'Eplus results'!$1:$1048576,ROW(),FALSE)</f>
        <v>0</v>
      </c>
      <c r="AC3849" s="580">
        <f>HLOOKUP("*"&amp;'Output annual'!$AC$2&amp;'Output annual'!$AD$2&amp;"*FangerPMV(Hourly)",'Eplus results'!$1:$1048576,ROW(),FALSE)</f>
        <v>0</v>
      </c>
      <c r="AD3849" s="580">
        <f t="shared" si="336"/>
        <v>5</v>
      </c>
      <c r="AE3849" s="580">
        <f t="shared" si="337"/>
        <v>2.5</v>
      </c>
      <c r="AF3849" s="580">
        <f t="shared" si="338"/>
        <v>2.5</v>
      </c>
      <c r="AG3849" s="580">
        <f t="shared" si="339"/>
        <v>0</v>
      </c>
      <c r="AH3849" s="580">
        <f t="shared" si="340"/>
        <v>0</v>
      </c>
    </row>
    <row r="3850" spans="28:34">
      <c r="AB3850" s="580">
        <f>HLOOKUP("*"&amp;'Output annual'!$AC$2&amp;'Output annual'!$AD$2&amp;"*Zone People Number Of Occupants [](Hourly)",'Eplus results'!$1:$1048576,ROW(),FALSE)</f>
        <v>0</v>
      </c>
      <c r="AC3850" s="580">
        <f>HLOOKUP("*"&amp;'Output annual'!$AC$2&amp;'Output annual'!$AD$2&amp;"*FangerPMV(Hourly)",'Eplus results'!$1:$1048576,ROW(),FALSE)</f>
        <v>0</v>
      </c>
      <c r="AD3850" s="580">
        <f t="shared" si="336"/>
        <v>5</v>
      </c>
      <c r="AE3850" s="580">
        <f t="shared" si="337"/>
        <v>2.5</v>
      </c>
      <c r="AF3850" s="580">
        <f t="shared" si="338"/>
        <v>2.5</v>
      </c>
      <c r="AG3850" s="580">
        <f t="shared" si="339"/>
        <v>0</v>
      </c>
      <c r="AH3850" s="580">
        <f t="shared" si="340"/>
        <v>0</v>
      </c>
    </row>
    <row r="3851" spans="28:34">
      <c r="AB3851" s="580">
        <f>HLOOKUP("*"&amp;'Output annual'!$AC$2&amp;'Output annual'!$AD$2&amp;"*Zone People Number Of Occupants [](Hourly)",'Eplus results'!$1:$1048576,ROW(),FALSE)</f>
        <v>0</v>
      </c>
      <c r="AC3851" s="580">
        <f>HLOOKUP("*"&amp;'Output annual'!$AC$2&amp;'Output annual'!$AD$2&amp;"*FangerPMV(Hourly)",'Eplus results'!$1:$1048576,ROW(),FALSE)</f>
        <v>0</v>
      </c>
      <c r="AD3851" s="580">
        <f t="shared" si="336"/>
        <v>5</v>
      </c>
      <c r="AE3851" s="580">
        <f t="shared" si="337"/>
        <v>2.5</v>
      </c>
      <c r="AF3851" s="580">
        <f t="shared" si="338"/>
        <v>2.5</v>
      </c>
      <c r="AG3851" s="580">
        <f t="shared" si="339"/>
        <v>0</v>
      </c>
      <c r="AH3851" s="580">
        <f t="shared" si="340"/>
        <v>0</v>
      </c>
    </row>
    <row r="3852" spans="28:34">
      <c r="AB3852" s="580">
        <f>HLOOKUP("*"&amp;'Output annual'!$AC$2&amp;'Output annual'!$AD$2&amp;"*Zone People Number Of Occupants [](Hourly)",'Eplus results'!$1:$1048576,ROW(),FALSE)</f>
        <v>0</v>
      </c>
      <c r="AC3852" s="580">
        <f>HLOOKUP("*"&amp;'Output annual'!$AC$2&amp;'Output annual'!$AD$2&amp;"*FangerPMV(Hourly)",'Eplus results'!$1:$1048576,ROW(),FALSE)</f>
        <v>0</v>
      </c>
      <c r="AD3852" s="580">
        <f t="shared" si="336"/>
        <v>5</v>
      </c>
      <c r="AE3852" s="580">
        <f t="shared" si="337"/>
        <v>2.5</v>
      </c>
      <c r="AF3852" s="580">
        <f t="shared" si="338"/>
        <v>2.5</v>
      </c>
      <c r="AG3852" s="580">
        <f t="shared" si="339"/>
        <v>0</v>
      </c>
      <c r="AH3852" s="580">
        <f t="shared" si="340"/>
        <v>0</v>
      </c>
    </row>
    <row r="3853" spans="28:34">
      <c r="AB3853" s="580">
        <f>HLOOKUP("*"&amp;'Output annual'!$AC$2&amp;'Output annual'!$AD$2&amp;"*Zone People Number Of Occupants [](Hourly)",'Eplus results'!$1:$1048576,ROW(),FALSE)</f>
        <v>0</v>
      </c>
      <c r="AC3853" s="580">
        <f>HLOOKUP("*"&amp;'Output annual'!$AC$2&amp;'Output annual'!$AD$2&amp;"*FangerPMV(Hourly)",'Eplus results'!$1:$1048576,ROW(),FALSE)</f>
        <v>0</v>
      </c>
      <c r="AD3853" s="580">
        <f t="shared" si="336"/>
        <v>5</v>
      </c>
      <c r="AE3853" s="580">
        <f t="shared" si="337"/>
        <v>2.5</v>
      </c>
      <c r="AF3853" s="580">
        <f t="shared" si="338"/>
        <v>2.5</v>
      </c>
      <c r="AG3853" s="580">
        <f t="shared" si="339"/>
        <v>0</v>
      </c>
      <c r="AH3853" s="580">
        <f t="shared" si="340"/>
        <v>0</v>
      </c>
    </row>
    <row r="3854" spans="28:34">
      <c r="AB3854" s="580">
        <f>HLOOKUP("*"&amp;'Output annual'!$AC$2&amp;'Output annual'!$AD$2&amp;"*Zone People Number Of Occupants [](Hourly)",'Eplus results'!$1:$1048576,ROW(),FALSE)</f>
        <v>0</v>
      </c>
      <c r="AC3854" s="580">
        <f>HLOOKUP("*"&amp;'Output annual'!$AC$2&amp;'Output annual'!$AD$2&amp;"*FangerPMV(Hourly)",'Eplus results'!$1:$1048576,ROW(),FALSE)</f>
        <v>0</v>
      </c>
      <c r="AD3854" s="580">
        <f t="shared" si="336"/>
        <v>5</v>
      </c>
      <c r="AE3854" s="580">
        <f t="shared" si="337"/>
        <v>2.5</v>
      </c>
      <c r="AF3854" s="580">
        <f t="shared" si="338"/>
        <v>2.5</v>
      </c>
      <c r="AG3854" s="580">
        <f t="shared" si="339"/>
        <v>0</v>
      </c>
      <c r="AH3854" s="580">
        <f t="shared" si="340"/>
        <v>0</v>
      </c>
    </row>
    <row r="3855" spans="28:34">
      <c r="AB3855" s="580">
        <f>HLOOKUP("*"&amp;'Output annual'!$AC$2&amp;'Output annual'!$AD$2&amp;"*Zone People Number Of Occupants [](Hourly)",'Eplus results'!$1:$1048576,ROW(),FALSE)</f>
        <v>0</v>
      </c>
      <c r="AC3855" s="580">
        <f>HLOOKUP("*"&amp;'Output annual'!$AC$2&amp;'Output annual'!$AD$2&amp;"*FangerPMV(Hourly)",'Eplus results'!$1:$1048576,ROW(),FALSE)</f>
        <v>0</v>
      </c>
      <c r="AD3855" s="580">
        <f t="shared" si="336"/>
        <v>5</v>
      </c>
      <c r="AE3855" s="580">
        <f t="shared" si="337"/>
        <v>2.5</v>
      </c>
      <c r="AF3855" s="580">
        <f t="shared" si="338"/>
        <v>2.5</v>
      </c>
      <c r="AG3855" s="580">
        <f t="shared" si="339"/>
        <v>0</v>
      </c>
      <c r="AH3855" s="580">
        <f t="shared" si="340"/>
        <v>0</v>
      </c>
    </row>
    <row r="3856" spans="28:34">
      <c r="AB3856" s="580">
        <f>HLOOKUP("*"&amp;'Output annual'!$AC$2&amp;'Output annual'!$AD$2&amp;"*Zone People Number Of Occupants [](Hourly)",'Eplus results'!$1:$1048576,ROW(),FALSE)</f>
        <v>0</v>
      </c>
      <c r="AC3856" s="580">
        <f>HLOOKUP("*"&amp;'Output annual'!$AC$2&amp;'Output annual'!$AD$2&amp;"*FangerPMV(Hourly)",'Eplus results'!$1:$1048576,ROW(),FALSE)</f>
        <v>0</v>
      </c>
      <c r="AD3856" s="580">
        <f t="shared" si="336"/>
        <v>5</v>
      </c>
      <c r="AE3856" s="580">
        <f t="shared" si="337"/>
        <v>2.5</v>
      </c>
      <c r="AF3856" s="580">
        <f t="shared" si="338"/>
        <v>2.5</v>
      </c>
      <c r="AG3856" s="580">
        <f t="shared" si="339"/>
        <v>0</v>
      </c>
      <c r="AH3856" s="580">
        <f t="shared" si="340"/>
        <v>0</v>
      </c>
    </row>
    <row r="3857" spans="28:34">
      <c r="AB3857" s="580">
        <f>HLOOKUP("*"&amp;'Output annual'!$AC$2&amp;'Output annual'!$AD$2&amp;"*Zone People Number Of Occupants [](Hourly)",'Eplus results'!$1:$1048576,ROW(),FALSE)</f>
        <v>0</v>
      </c>
      <c r="AC3857" s="580">
        <f>HLOOKUP("*"&amp;'Output annual'!$AC$2&amp;'Output annual'!$AD$2&amp;"*FangerPMV(Hourly)",'Eplus results'!$1:$1048576,ROW(),FALSE)</f>
        <v>0</v>
      </c>
      <c r="AD3857" s="580">
        <f t="shared" si="336"/>
        <v>5</v>
      </c>
      <c r="AE3857" s="580">
        <f t="shared" si="337"/>
        <v>2.5</v>
      </c>
      <c r="AF3857" s="580">
        <f t="shared" si="338"/>
        <v>2.5</v>
      </c>
      <c r="AG3857" s="580">
        <f t="shared" si="339"/>
        <v>0</v>
      </c>
      <c r="AH3857" s="580">
        <f t="shared" si="340"/>
        <v>0</v>
      </c>
    </row>
    <row r="3858" spans="28:34">
      <c r="AB3858" s="580">
        <f>HLOOKUP("*"&amp;'Output annual'!$AC$2&amp;'Output annual'!$AD$2&amp;"*Zone People Number Of Occupants [](Hourly)",'Eplus results'!$1:$1048576,ROW(),FALSE)</f>
        <v>0</v>
      </c>
      <c r="AC3858" s="580">
        <f>HLOOKUP("*"&amp;'Output annual'!$AC$2&amp;'Output annual'!$AD$2&amp;"*FangerPMV(Hourly)",'Eplus results'!$1:$1048576,ROW(),FALSE)</f>
        <v>0</v>
      </c>
      <c r="AD3858" s="580">
        <f t="shared" si="336"/>
        <v>5</v>
      </c>
      <c r="AE3858" s="580">
        <f t="shared" si="337"/>
        <v>2.5</v>
      </c>
      <c r="AF3858" s="580">
        <f t="shared" si="338"/>
        <v>2.5</v>
      </c>
      <c r="AG3858" s="580">
        <f t="shared" si="339"/>
        <v>0</v>
      </c>
      <c r="AH3858" s="580">
        <f t="shared" si="340"/>
        <v>0</v>
      </c>
    </row>
    <row r="3859" spans="28:34">
      <c r="AB3859" s="580">
        <f>HLOOKUP("*"&amp;'Output annual'!$AC$2&amp;'Output annual'!$AD$2&amp;"*Zone People Number Of Occupants [](Hourly)",'Eplus results'!$1:$1048576,ROW(),FALSE)</f>
        <v>0</v>
      </c>
      <c r="AC3859" s="580">
        <f>HLOOKUP("*"&amp;'Output annual'!$AC$2&amp;'Output annual'!$AD$2&amp;"*FangerPMV(Hourly)",'Eplus results'!$1:$1048576,ROW(),FALSE)</f>
        <v>0</v>
      </c>
      <c r="AD3859" s="580">
        <f t="shared" si="336"/>
        <v>5</v>
      </c>
      <c r="AE3859" s="580">
        <f t="shared" si="337"/>
        <v>2.5</v>
      </c>
      <c r="AF3859" s="580">
        <f t="shared" si="338"/>
        <v>2.5</v>
      </c>
      <c r="AG3859" s="580">
        <f t="shared" si="339"/>
        <v>0</v>
      </c>
      <c r="AH3859" s="580">
        <f t="shared" si="340"/>
        <v>0</v>
      </c>
    </row>
    <row r="3860" spans="28:34">
      <c r="AB3860" s="580">
        <f>HLOOKUP("*"&amp;'Output annual'!$AC$2&amp;'Output annual'!$AD$2&amp;"*Zone People Number Of Occupants [](Hourly)",'Eplus results'!$1:$1048576,ROW(),FALSE)</f>
        <v>0</v>
      </c>
      <c r="AC3860" s="580">
        <f>HLOOKUP("*"&amp;'Output annual'!$AC$2&amp;'Output annual'!$AD$2&amp;"*FangerPMV(Hourly)",'Eplus results'!$1:$1048576,ROW(),FALSE)</f>
        <v>0</v>
      </c>
      <c r="AD3860" s="580">
        <f t="shared" si="336"/>
        <v>5</v>
      </c>
      <c r="AE3860" s="580">
        <f t="shared" si="337"/>
        <v>2.5</v>
      </c>
      <c r="AF3860" s="580">
        <f t="shared" si="338"/>
        <v>2.5</v>
      </c>
      <c r="AG3860" s="580">
        <f t="shared" si="339"/>
        <v>0</v>
      </c>
      <c r="AH3860" s="580">
        <f t="shared" si="340"/>
        <v>0</v>
      </c>
    </row>
    <row r="3861" spans="28:34">
      <c r="AB3861" s="580">
        <f>HLOOKUP("*"&amp;'Output annual'!$AC$2&amp;'Output annual'!$AD$2&amp;"*Zone People Number Of Occupants [](Hourly)",'Eplus results'!$1:$1048576,ROW(),FALSE)</f>
        <v>0</v>
      </c>
      <c r="AC3861" s="580">
        <f>HLOOKUP("*"&amp;'Output annual'!$AC$2&amp;'Output annual'!$AD$2&amp;"*FangerPMV(Hourly)",'Eplus results'!$1:$1048576,ROW(),FALSE)</f>
        <v>0</v>
      </c>
      <c r="AD3861" s="580">
        <f t="shared" si="336"/>
        <v>5</v>
      </c>
      <c r="AE3861" s="580">
        <f t="shared" si="337"/>
        <v>2.5</v>
      </c>
      <c r="AF3861" s="580">
        <f t="shared" si="338"/>
        <v>2.5</v>
      </c>
      <c r="AG3861" s="580">
        <f t="shared" si="339"/>
        <v>0</v>
      </c>
      <c r="AH3861" s="580">
        <f t="shared" si="340"/>
        <v>0</v>
      </c>
    </row>
    <row r="3862" spans="28:34">
      <c r="AB3862" s="580">
        <f>HLOOKUP("*"&amp;'Output annual'!$AC$2&amp;'Output annual'!$AD$2&amp;"*Zone People Number Of Occupants [](Hourly)",'Eplus results'!$1:$1048576,ROW(),FALSE)</f>
        <v>0</v>
      </c>
      <c r="AC3862" s="580">
        <f>HLOOKUP("*"&amp;'Output annual'!$AC$2&amp;'Output annual'!$AD$2&amp;"*FangerPMV(Hourly)",'Eplus results'!$1:$1048576,ROW(),FALSE)</f>
        <v>0</v>
      </c>
      <c r="AD3862" s="580">
        <f t="shared" si="336"/>
        <v>5</v>
      </c>
      <c r="AE3862" s="580">
        <f t="shared" si="337"/>
        <v>2.5</v>
      </c>
      <c r="AF3862" s="580">
        <f t="shared" si="338"/>
        <v>2.5</v>
      </c>
      <c r="AG3862" s="580">
        <f t="shared" si="339"/>
        <v>0</v>
      </c>
      <c r="AH3862" s="580">
        <f t="shared" si="340"/>
        <v>0</v>
      </c>
    </row>
    <row r="3863" spans="28:34">
      <c r="AB3863" s="580">
        <f>HLOOKUP("*"&amp;'Output annual'!$AC$2&amp;'Output annual'!$AD$2&amp;"*Zone People Number Of Occupants [](Hourly)",'Eplus results'!$1:$1048576,ROW(),FALSE)</f>
        <v>0</v>
      </c>
      <c r="AC3863" s="580">
        <f>HLOOKUP("*"&amp;'Output annual'!$AC$2&amp;'Output annual'!$AD$2&amp;"*FangerPMV(Hourly)",'Eplus results'!$1:$1048576,ROW(),FALSE)</f>
        <v>0</v>
      </c>
      <c r="AD3863" s="580">
        <f t="shared" si="336"/>
        <v>5</v>
      </c>
      <c r="AE3863" s="580">
        <f t="shared" si="337"/>
        <v>2.5</v>
      </c>
      <c r="AF3863" s="580">
        <f t="shared" si="338"/>
        <v>2.5</v>
      </c>
      <c r="AG3863" s="580">
        <f t="shared" si="339"/>
        <v>0</v>
      </c>
      <c r="AH3863" s="580">
        <f t="shared" si="340"/>
        <v>0</v>
      </c>
    </row>
    <row r="3864" spans="28:34">
      <c r="AB3864" s="580">
        <f>HLOOKUP("*"&amp;'Output annual'!$AC$2&amp;'Output annual'!$AD$2&amp;"*Zone People Number Of Occupants [](Hourly)",'Eplus results'!$1:$1048576,ROW(),FALSE)</f>
        <v>0</v>
      </c>
      <c r="AC3864" s="580">
        <f>HLOOKUP("*"&amp;'Output annual'!$AC$2&amp;'Output annual'!$AD$2&amp;"*FangerPMV(Hourly)",'Eplus results'!$1:$1048576,ROW(),FALSE)</f>
        <v>0</v>
      </c>
      <c r="AD3864" s="580">
        <f t="shared" si="336"/>
        <v>5</v>
      </c>
      <c r="AE3864" s="580">
        <f t="shared" si="337"/>
        <v>2.5</v>
      </c>
      <c r="AF3864" s="580">
        <f t="shared" si="338"/>
        <v>2.5</v>
      </c>
      <c r="AG3864" s="580">
        <f t="shared" si="339"/>
        <v>0</v>
      </c>
      <c r="AH3864" s="580">
        <f t="shared" si="340"/>
        <v>0</v>
      </c>
    </row>
    <row r="3865" spans="28:34">
      <c r="AB3865" s="580">
        <f>HLOOKUP("*"&amp;'Output annual'!$AC$2&amp;'Output annual'!$AD$2&amp;"*Zone People Number Of Occupants [](Hourly)",'Eplus results'!$1:$1048576,ROW(),FALSE)</f>
        <v>0</v>
      </c>
      <c r="AC3865" s="580">
        <f>HLOOKUP("*"&amp;'Output annual'!$AC$2&amp;'Output annual'!$AD$2&amp;"*FangerPMV(Hourly)",'Eplus results'!$1:$1048576,ROW(),FALSE)</f>
        <v>0</v>
      </c>
      <c r="AD3865" s="580">
        <f t="shared" si="336"/>
        <v>5</v>
      </c>
      <c r="AE3865" s="580">
        <f t="shared" si="337"/>
        <v>2.5</v>
      </c>
      <c r="AF3865" s="580">
        <f t="shared" si="338"/>
        <v>2.5</v>
      </c>
      <c r="AG3865" s="580">
        <f t="shared" si="339"/>
        <v>0</v>
      </c>
      <c r="AH3865" s="580">
        <f t="shared" si="340"/>
        <v>0</v>
      </c>
    </row>
    <row r="3866" spans="28:34">
      <c r="AB3866" s="580">
        <f>HLOOKUP("*"&amp;'Output annual'!$AC$2&amp;'Output annual'!$AD$2&amp;"*Zone People Number Of Occupants [](Hourly)",'Eplus results'!$1:$1048576,ROW(),FALSE)</f>
        <v>0</v>
      </c>
      <c r="AC3866" s="580">
        <f>HLOOKUP("*"&amp;'Output annual'!$AC$2&amp;'Output annual'!$AD$2&amp;"*FangerPMV(Hourly)",'Eplus results'!$1:$1048576,ROW(),FALSE)</f>
        <v>0</v>
      </c>
      <c r="AD3866" s="580">
        <f t="shared" si="336"/>
        <v>5</v>
      </c>
      <c r="AE3866" s="580">
        <f t="shared" si="337"/>
        <v>2.5</v>
      </c>
      <c r="AF3866" s="580">
        <f t="shared" si="338"/>
        <v>2.5</v>
      </c>
      <c r="AG3866" s="580">
        <f t="shared" si="339"/>
        <v>0</v>
      </c>
      <c r="AH3866" s="580">
        <f t="shared" si="340"/>
        <v>0</v>
      </c>
    </row>
    <row r="3867" spans="28:34">
      <c r="AB3867" s="580">
        <f>HLOOKUP("*"&amp;'Output annual'!$AC$2&amp;'Output annual'!$AD$2&amp;"*Zone People Number Of Occupants [](Hourly)",'Eplus results'!$1:$1048576,ROW(),FALSE)</f>
        <v>0</v>
      </c>
      <c r="AC3867" s="580">
        <f>HLOOKUP("*"&amp;'Output annual'!$AC$2&amp;'Output annual'!$AD$2&amp;"*FangerPMV(Hourly)",'Eplus results'!$1:$1048576,ROW(),FALSE)</f>
        <v>0</v>
      </c>
      <c r="AD3867" s="580">
        <f t="shared" si="336"/>
        <v>5</v>
      </c>
      <c r="AE3867" s="580">
        <f t="shared" si="337"/>
        <v>2.5</v>
      </c>
      <c r="AF3867" s="580">
        <f t="shared" si="338"/>
        <v>2.5</v>
      </c>
      <c r="AG3867" s="580">
        <f t="shared" si="339"/>
        <v>0</v>
      </c>
      <c r="AH3867" s="580">
        <f t="shared" si="340"/>
        <v>0</v>
      </c>
    </row>
    <row r="3868" spans="28:34">
      <c r="AB3868" s="580">
        <f>HLOOKUP("*"&amp;'Output annual'!$AC$2&amp;'Output annual'!$AD$2&amp;"*Zone People Number Of Occupants [](Hourly)",'Eplus results'!$1:$1048576,ROW(),FALSE)</f>
        <v>0</v>
      </c>
      <c r="AC3868" s="580">
        <f>HLOOKUP("*"&amp;'Output annual'!$AC$2&amp;'Output annual'!$AD$2&amp;"*FangerPMV(Hourly)",'Eplus results'!$1:$1048576,ROW(),FALSE)</f>
        <v>0</v>
      </c>
      <c r="AD3868" s="580">
        <f t="shared" si="336"/>
        <v>5</v>
      </c>
      <c r="AE3868" s="580">
        <f t="shared" si="337"/>
        <v>2.5</v>
      </c>
      <c r="AF3868" s="580">
        <f t="shared" si="338"/>
        <v>2.5</v>
      </c>
      <c r="AG3868" s="580">
        <f t="shared" si="339"/>
        <v>0</v>
      </c>
      <c r="AH3868" s="580">
        <f t="shared" si="340"/>
        <v>0</v>
      </c>
    </row>
    <row r="3869" spans="28:34">
      <c r="AB3869" s="580">
        <f>HLOOKUP("*"&amp;'Output annual'!$AC$2&amp;'Output annual'!$AD$2&amp;"*Zone People Number Of Occupants [](Hourly)",'Eplus results'!$1:$1048576,ROW(),FALSE)</f>
        <v>0</v>
      </c>
      <c r="AC3869" s="580">
        <f>HLOOKUP("*"&amp;'Output annual'!$AC$2&amp;'Output annual'!$AD$2&amp;"*FangerPMV(Hourly)",'Eplus results'!$1:$1048576,ROW(),FALSE)</f>
        <v>0</v>
      </c>
      <c r="AD3869" s="580">
        <f t="shared" si="336"/>
        <v>5</v>
      </c>
      <c r="AE3869" s="580">
        <f t="shared" si="337"/>
        <v>2.5</v>
      </c>
      <c r="AF3869" s="580">
        <f t="shared" si="338"/>
        <v>2.5</v>
      </c>
      <c r="AG3869" s="580">
        <f t="shared" si="339"/>
        <v>0</v>
      </c>
      <c r="AH3869" s="580">
        <f t="shared" si="340"/>
        <v>0</v>
      </c>
    </row>
    <row r="3870" spans="28:34">
      <c r="AB3870" s="580">
        <f>HLOOKUP("*"&amp;'Output annual'!$AC$2&amp;'Output annual'!$AD$2&amp;"*Zone People Number Of Occupants [](Hourly)",'Eplus results'!$1:$1048576,ROW(),FALSE)</f>
        <v>0</v>
      </c>
      <c r="AC3870" s="580">
        <f>HLOOKUP("*"&amp;'Output annual'!$AC$2&amp;'Output annual'!$AD$2&amp;"*FangerPMV(Hourly)",'Eplus results'!$1:$1048576,ROW(),FALSE)</f>
        <v>0</v>
      </c>
      <c r="AD3870" s="580">
        <f t="shared" si="336"/>
        <v>5</v>
      </c>
      <c r="AE3870" s="580">
        <f t="shared" si="337"/>
        <v>2.5</v>
      </c>
      <c r="AF3870" s="580">
        <f t="shared" si="338"/>
        <v>2.5</v>
      </c>
      <c r="AG3870" s="580">
        <f t="shared" si="339"/>
        <v>0</v>
      </c>
      <c r="AH3870" s="580">
        <f t="shared" si="340"/>
        <v>0</v>
      </c>
    </row>
    <row r="3871" spans="28:34">
      <c r="AB3871" s="580">
        <f>HLOOKUP("*"&amp;'Output annual'!$AC$2&amp;'Output annual'!$AD$2&amp;"*Zone People Number Of Occupants [](Hourly)",'Eplus results'!$1:$1048576,ROW(),FALSE)</f>
        <v>0</v>
      </c>
      <c r="AC3871" s="580">
        <f>HLOOKUP("*"&amp;'Output annual'!$AC$2&amp;'Output annual'!$AD$2&amp;"*FangerPMV(Hourly)",'Eplus results'!$1:$1048576,ROW(),FALSE)</f>
        <v>0</v>
      </c>
      <c r="AD3871" s="580">
        <f t="shared" si="336"/>
        <v>5</v>
      </c>
      <c r="AE3871" s="580">
        <f t="shared" si="337"/>
        <v>2.5</v>
      </c>
      <c r="AF3871" s="580">
        <f t="shared" si="338"/>
        <v>2.5</v>
      </c>
      <c r="AG3871" s="580">
        <f t="shared" si="339"/>
        <v>0</v>
      </c>
      <c r="AH3871" s="580">
        <f t="shared" si="340"/>
        <v>0</v>
      </c>
    </row>
    <row r="3872" spans="28:34">
      <c r="AB3872" s="580">
        <f>HLOOKUP("*"&amp;'Output annual'!$AC$2&amp;'Output annual'!$AD$2&amp;"*Zone People Number Of Occupants [](Hourly)",'Eplus results'!$1:$1048576,ROW(),FALSE)</f>
        <v>0</v>
      </c>
      <c r="AC3872" s="580">
        <f>HLOOKUP("*"&amp;'Output annual'!$AC$2&amp;'Output annual'!$AD$2&amp;"*FangerPMV(Hourly)",'Eplus results'!$1:$1048576,ROW(),FALSE)</f>
        <v>0</v>
      </c>
      <c r="AD3872" s="580">
        <f t="shared" si="336"/>
        <v>5</v>
      </c>
      <c r="AE3872" s="580">
        <f t="shared" si="337"/>
        <v>2.5</v>
      </c>
      <c r="AF3872" s="580">
        <f t="shared" si="338"/>
        <v>2.5</v>
      </c>
      <c r="AG3872" s="580">
        <f t="shared" si="339"/>
        <v>0</v>
      </c>
      <c r="AH3872" s="580">
        <f t="shared" si="340"/>
        <v>0</v>
      </c>
    </row>
    <row r="3873" spans="28:34">
      <c r="AB3873" s="580">
        <f>HLOOKUP("*"&amp;'Output annual'!$AC$2&amp;'Output annual'!$AD$2&amp;"*Zone People Number Of Occupants [](Hourly)",'Eplus results'!$1:$1048576,ROW(),FALSE)</f>
        <v>0</v>
      </c>
      <c r="AC3873" s="580">
        <f>HLOOKUP("*"&amp;'Output annual'!$AC$2&amp;'Output annual'!$AD$2&amp;"*FangerPMV(Hourly)",'Eplus results'!$1:$1048576,ROW(),FALSE)</f>
        <v>0</v>
      </c>
      <c r="AD3873" s="580">
        <f t="shared" si="336"/>
        <v>5</v>
      </c>
      <c r="AE3873" s="580">
        <f t="shared" si="337"/>
        <v>2.5</v>
      </c>
      <c r="AF3873" s="580">
        <f t="shared" si="338"/>
        <v>2.5</v>
      </c>
      <c r="AG3873" s="580">
        <f t="shared" si="339"/>
        <v>0</v>
      </c>
      <c r="AH3873" s="580">
        <f t="shared" si="340"/>
        <v>0</v>
      </c>
    </row>
    <row r="3874" spans="28:34">
      <c r="AB3874" s="580">
        <f>HLOOKUP("*"&amp;'Output annual'!$AC$2&amp;'Output annual'!$AD$2&amp;"*Zone People Number Of Occupants [](Hourly)",'Eplus results'!$1:$1048576,ROW(),FALSE)</f>
        <v>0</v>
      </c>
      <c r="AC3874" s="580">
        <f>HLOOKUP("*"&amp;'Output annual'!$AC$2&amp;'Output annual'!$AD$2&amp;"*FangerPMV(Hourly)",'Eplus results'!$1:$1048576,ROW(),FALSE)</f>
        <v>0</v>
      </c>
      <c r="AD3874" s="580">
        <f t="shared" si="336"/>
        <v>5</v>
      </c>
      <c r="AE3874" s="580">
        <f t="shared" si="337"/>
        <v>2.5</v>
      </c>
      <c r="AF3874" s="580">
        <f t="shared" si="338"/>
        <v>2.5</v>
      </c>
      <c r="AG3874" s="580">
        <f t="shared" si="339"/>
        <v>0</v>
      </c>
      <c r="AH3874" s="580">
        <f t="shared" si="340"/>
        <v>0</v>
      </c>
    </row>
    <row r="3875" spans="28:34">
      <c r="AB3875" s="580">
        <f>HLOOKUP("*"&amp;'Output annual'!$AC$2&amp;'Output annual'!$AD$2&amp;"*Zone People Number Of Occupants [](Hourly)",'Eplus results'!$1:$1048576,ROW(),FALSE)</f>
        <v>0</v>
      </c>
      <c r="AC3875" s="580">
        <f>HLOOKUP("*"&amp;'Output annual'!$AC$2&amp;'Output annual'!$AD$2&amp;"*FangerPMV(Hourly)",'Eplus results'!$1:$1048576,ROW(),FALSE)</f>
        <v>0</v>
      </c>
      <c r="AD3875" s="580">
        <f t="shared" si="336"/>
        <v>5</v>
      </c>
      <c r="AE3875" s="580">
        <f t="shared" si="337"/>
        <v>2.5</v>
      </c>
      <c r="AF3875" s="580">
        <f t="shared" si="338"/>
        <v>2.5</v>
      </c>
      <c r="AG3875" s="580">
        <f t="shared" si="339"/>
        <v>0</v>
      </c>
      <c r="AH3875" s="580">
        <f t="shared" si="340"/>
        <v>0</v>
      </c>
    </row>
    <row r="3876" spans="28:34">
      <c r="AB3876" s="580">
        <f>HLOOKUP("*"&amp;'Output annual'!$AC$2&amp;'Output annual'!$AD$2&amp;"*Zone People Number Of Occupants [](Hourly)",'Eplus results'!$1:$1048576,ROW(),FALSE)</f>
        <v>0</v>
      </c>
      <c r="AC3876" s="580">
        <f>HLOOKUP("*"&amp;'Output annual'!$AC$2&amp;'Output annual'!$AD$2&amp;"*FangerPMV(Hourly)",'Eplus results'!$1:$1048576,ROW(),FALSE)</f>
        <v>0</v>
      </c>
      <c r="AD3876" s="580">
        <f t="shared" si="336"/>
        <v>5</v>
      </c>
      <c r="AE3876" s="580">
        <f t="shared" si="337"/>
        <v>2.5</v>
      </c>
      <c r="AF3876" s="580">
        <f t="shared" si="338"/>
        <v>2.5</v>
      </c>
      <c r="AG3876" s="580">
        <f t="shared" si="339"/>
        <v>0</v>
      </c>
      <c r="AH3876" s="580">
        <f t="shared" si="340"/>
        <v>0</v>
      </c>
    </row>
    <row r="3877" spans="28:34">
      <c r="AB3877" s="580">
        <f>HLOOKUP("*"&amp;'Output annual'!$AC$2&amp;'Output annual'!$AD$2&amp;"*Zone People Number Of Occupants [](Hourly)",'Eplus results'!$1:$1048576,ROW(),FALSE)</f>
        <v>0</v>
      </c>
      <c r="AC3877" s="580">
        <f>HLOOKUP("*"&amp;'Output annual'!$AC$2&amp;'Output annual'!$AD$2&amp;"*FangerPMV(Hourly)",'Eplus results'!$1:$1048576,ROW(),FALSE)</f>
        <v>0</v>
      </c>
      <c r="AD3877" s="580">
        <f t="shared" si="336"/>
        <v>5</v>
      </c>
      <c r="AE3877" s="580">
        <f t="shared" si="337"/>
        <v>2.5</v>
      </c>
      <c r="AF3877" s="580">
        <f t="shared" si="338"/>
        <v>2.5</v>
      </c>
      <c r="AG3877" s="580">
        <f t="shared" si="339"/>
        <v>0</v>
      </c>
      <c r="AH3877" s="580">
        <f t="shared" si="340"/>
        <v>0</v>
      </c>
    </row>
    <row r="3878" spans="28:34">
      <c r="AB3878" s="580">
        <f>HLOOKUP("*"&amp;'Output annual'!$AC$2&amp;'Output annual'!$AD$2&amp;"*Zone People Number Of Occupants [](Hourly)",'Eplus results'!$1:$1048576,ROW(),FALSE)</f>
        <v>0</v>
      </c>
      <c r="AC3878" s="580">
        <f>HLOOKUP("*"&amp;'Output annual'!$AC$2&amp;'Output annual'!$AD$2&amp;"*FangerPMV(Hourly)",'Eplus results'!$1:$1048576,ROW(),FALSE)</f>
        <v>0</v>
      </c>
      <c r="AD3878" s="580">
        <f t="shared" si="336"/>
        <v>5</v>
      </c>
      <c r="AE3878" s="580">
        <f t="shared" si="337"/>
        <v>2.5</v>
      </c>
      <c r="AF3878" s="580">
        <f t="shared" si="338"/>
        <v>2.5</v>
      </c>
      <c r="AG3878" s="580">
        <f t="shared" si="339"/>
        <v>0</v>
      </c>
      <c r="AH3878" s="580">
        <f t="shared" si="340"/>
        <v>0</v>
      </c>
    </row>
    <row r="3879" spans="28:34">
      <c r="AB3879" s="580">
        <f>HLOOKUP("*"&amp;'Output annual'!$AC$2&amp;'Output annual'!$AD$2&amp;"*Zone People Number Of Occupants [](Hourly)",'Eplus results'!$1:$1048576,ROW(),FALSE)</f>
        <v>0</v>
      </c>
      <c r="AC3879" s="580">
        <f>HLOOKUP("*"&amp;'Output annual'!$AC$2&amp;'Output annual'!$AD$2&amp;"*FangerPMV(Hourly)",'Eplus results'!$1:$1048576,ROW(),FALSE)</f>
        <v>0</v>
      </c>
      <c r="AD3879" s="580">
        <f t="shared" si="336"/>
        <v>5</v>
      </c>
      <c r="AE3879" s="580">
        <f t="shared" si="337"/>
        <v>2.5</v>
      </c>
      <c r="AF3879" s="580">
        <f t="shared" si="338"/>
        <v>2.5</v>
      </c>
      <c r="AG3879" s="580">
        <f t="shared" si="339"/>
        <v>0</v>
      </c>
      <c r="AH3879" s="580">
        <f t="shared" si="340"/>
        <v>0</v>
      </c>
    </row>
    <row r="3880" spans="28:34">
      <c r="AB3880" s="580">
        <f>HLOOKUP("*"&amp;'Output annual'!$AC$2&amp;'Output annual'!$AD$2&amp;"*Zone People Number Of Occupants [](Hourly)",'Eplus results'!$1:$1048576,ROW(),FALSE)</f>
        <v>0</v>
      </c>
      <c r="AC3880" s="580">
        <f>HLOOKUP("*"&amp;'Output annual'!$AC$2&amp;'Output annual'!$AD$2&amp;"*FangerPMV(Hourly)",'Eplus results'!$1:$1048576,ROW(),FALSE)</f>
        <v>0</v>
      </c>
      <c r="AD3880" s="580">
        <f t="shared" si="336"/>
        <v>5</v>
      </c>
      <c r="AE3880" s="580">
        <f t="shared" si="337"/>
        <v>2.5</v>
      </c>
      <c r="AF3880" s="580">
        <f t="shared" si="338"/>
        <v>2.5</v>
      </c>
      <c r="AG3880" s="580">
        <f t="shared" si="339"/>
        <v>0</v>
      </c>
      <c r="AH3880" s="580">
        <f t="shared" si="340"/>
        <v>0</v>
      </c>
    </row>
    <row r="3881" spans="28:34">
      <c r="AB3881" s="580">
        <f>HLOOKUP("*"&amp;'Output annual'!$AC$2&amp;'Output annual'!$AD$2&amp;"*Zone People Number Of Occupants [](Hourly)",'Eplus results'!$1:$1048576,ROW(),FALSE)</f>
        <v>0</v>
      </c>
      <c r="AC3881" s="580">
        <f>HLOOKUP("*"&amp;'Output annual'!$AC$2&amp;'Output annual'!$AD$2&amp;"*FangerPMV(Hourly)",'Eplus results'!$1:$1048576,ROW(),FALSE)</f>
        <v>0</v>
      </c>
      <c r="AD3881" s="580">
        <f t="shared" si="336"/>
        <v>5</v>
      </c>
      <c r="AE3881" s="580">
        <f t="shared" si="337"/>
        <v>2.5</v>
      </c>
      <c r="AF3881" s="580">
        <f t="shared" si="338"/>
        <v>2.5</v>
      </c>
      <c r="AG3881" s="580">
        <f t="shared" si="339"/>
        <v>0</v>
      </c>
      <c r="AH3881" s="580">
        <f t="shared" si="340"/>
        <v>0</v>
      </c>
    </row>
    <row r="3882" spans="28:34">
      <c r="AB3882" s="580">
        <f>HLOOKUP("*"&amp;'Output annual'!$AC$2&amp;'Output annual'!$AD$2&amp;"*Zone People Number Of Occupants [](Hourly)",'Eplus results'!$1:$1048576,ROW(),FALSE)</f>
        <v>0</v>
      </c>
      <c r="AC3882" s="580">
        <f>HLOOKUP("*"&amp;'Output annual'!$AC$2&amp;'Output annual'!$AD$2&amp;"*FangerPMV(Hourly)",'Eplus results'!$1:$1048576,ROW(),FALSE)</f>
        <v>0</v>
      </c>
      <c r="AD3882" s="580">
        <f t="shared" si="336"/>
        <v>5</v>
      </c>
      <c r="AE3882" s="580">
        <f t="shared" si="337"/>
        <v>2.5</v>
      </c>
      <c r="AF3882" s="580">
        <f t="shared" si="338"/>
        <v>2.5</v>
      </c>
      <c r="AG3882" s="580">
        <f t="shared" si="339"/>
        <v>0</v>
      </c>
      <c r="AH3882" s="580">
        <f t="shared" si="340"/>
        <v>0</v>
      </c>
    </row>
    <row r="3883" spans="28:34">
      <c r="AB3883" s="580">
        <f>HLOOKUP("*"&amp;'Output annual'!$AC$2&amp;'Output annual'!$AD$2&amp;"*Zone People Number Of Occupants [](Hourly)",'Eplus results'!$1:$1048576,ROW(),FALSE)</f>
        <v>0</v>
      </c>
      <c r="AC3883" s="580">
        <f>HLOOKUP("*"&amp;'Output annual'!$AC$2&amp;'Output annual'!$AD$2&amp;"*FangerPMV(Hourly)",'Eplus results'!$1:$1048576,ROW(),FALSE)</f>
        <v>0</v>
      </c>
      <c r="AD3883" s="580">
        <f t="shared" si="336"/>
        <v>5</v>
      </c>
      <c r="AE3883" s="580">
        <f t="shared" si="337"/>
        <v>2.5</v>
      </c>
      <c r="AF3883" s="580">
        <f t="shared" si="338"/>
        <v>2.5</v>
      </c>
      <c r="AG3883" s="580">
        <f t="shared" si="339"/>
        <v>0</v>
      </c>
      <c r="AH3883" s="580">
        <f t="shared" si="340"/>
        <v>0</v>
      </c>
    </row>
    <row r="3884" spans="28:34">
      <c r="AB3884" s="580">
        <f>HLOOKUP("*"&amp;'Output annual'!$AC$2&amp;'Output annual'!$AD$2&amp;"*Zone People Number Of Occupants [](Hourly)",'Eplus results'!$1:$1048576,ROW(),FALSE)</f>
        <v>0</v>
      </c>
      <c r="AC3884" s="580">
        <f>HLOOKUP("*"&amp;'Output annual'!$AC$2&amp;'Output annual'!$AD$2&amp;"*FangerPMV(Hourly)",'Eplus results'!$1:$1048576,ROW(),FALSE)</f>
        <v>0</v>
      </c>
      <c r="AD3884" s="580">
        <f t="shared" si="336"/>
        <v>5</v>
      </c>
      <c r="AE3884" s="580">
        <f t="shared" si="337"/>
        <v>2.5</v>
      </c>
      <c r="AF3884" s="580">
        <f t="shared" si="338"/>
        <v>2.5</v>
      </c>
      <c r="AG3884" s="580">
        <f t="shared" si="339"/>
        <v>0</v>
      </c>
      <c r="AH3884" s="580">
        <f t="shared" si="340"/>
        <v>0</v>
      </c>
    </row>
    <row r="3885" spans="28:34">
      <c r="AB3885" s="580">
        <f>HLOOKUP("*"&amp;'Output annual'!$AC$2&amp;'Output annual'!$AD$2&amp;"*Zone People Number Of Occupants [](Hourly)",'Eplus results'!$1:$1048576,ROW(),FALSE)</f>
        <v>0</v>
      </c>
      <c r="AC3885" s="580">
        <f>HLOOKUP("*"&amp;'Output annual'!$AC$2&amp;'Output annual'!$AD$2&amp;"*FangerPMV(Hourly)",'Eplus results'!$1:$1048576,ROW(),FALSE)</f>
        <v>0</v>
      </c>
      <c r="AD3885" s="580">
        <f t="shared" si="336"/>
        <v>5</v>
      </c>
      <c r="AE3885" s="580">
        <f t="shared" si="337"/>
        <v>2.5</v>
      </c>
      <c r="AF3885" s="580">
        <f t="shared" si="338"/>
        <v>2.5</v>
      </c>
      <c r="AG3885" s="580">
        <f t="shared" si="339"/>
        <v>0</v>
      </c>
      <c r="AH3885" s="580">
        <f t="shared" si="340"/>
        <v>0</v>
      </c>
    </row>
    <row r="3886" spans="28:34">
      <c r="AB3886" s="580">
        <f>HLOOKUP("*"&amp;'Output annual'!$AC$2&amp;'Output annual'!$AD$2&amp;"*Zone People Number Of Occupants [](Hourly)",'Eplus results'!$1:$1048576,ROW(),FALSE)</f>
        <v>0</v>
      </c>
      <c r="AC3886" s="580">
        <f>HLOOKUP("*"&amp;'Output annual'!$AC$2&amp;'Output annual'!$AD$2&amp;"*FangerPMV(Hourly)",'Eplus results'!$1:$1048576,ROW(),FALSE)</f>
        <v>0</v>
      </c>
      <c r="AD3886" s="580">
        <f t="shared" si="336"/>
        <v>5</v>
      </c>
      <c r="AE3886" s="580">
        <f t="shared" si="337"/>
        <v>2.5</v>
      </c>
      <c r="AF3886" s="580">
        <f t="shared" si="338"/>
        <v>2.5</v>
      </c>
      <c r="AG3886" s="580">
        <f t="shared" si="339"/>
        <v>0</v>
      </c>
      <c r="AH3886" s="580">
        <f t="shared" si="340"/>
        <v>0</v>
      </c>
    </row>
    <row r="3887" spans="28:34">
      <c r="AB3887" s="580">
        <f>HLOOKUP("*"&amp;'Output annual'!$AC$2&amp;'Output annual'!$AD$2&amp;"*Zone People Number Of Occupants [](Hourly)",'Eplus results'!$1:$1048576,ROW(),FALSE)</f>
        <v>0</v>
      </c>
      <c r="AC3887" s="580">
        <f>HLOOKUP("*"&amp;'Output annual'!$AC$2&amp;'Output annual'!$AD$2&amp;"*FangerPMV(Hourly)",'Eplus results'!$1:$1048576,ROW(),FALSE)</f>
        <v>0</v>
      </c>
      <c r="AD3887" s="580">
        <f t="shared" si="336"/>
        <v>5</v>
      </c>
      <c r="AE3887" s="580">
        <f t="shared" si="337"/>
        <v>2.5</v>
      </c>
      <c r="AF3887" s="580">
        <f t="shared" si="338"/>
        <v>2.5</v>
      </c>
      <c r="AG3887" s="580">
        <f t="shared" si="339"/>
        <v>0</v>
      </c>
      <c r="AH3887" s="580">
        <f t="shared" si="340"/>
        <v>0</v>
      </c>
    </row>
    <row r="3888" spans="28:34">
      <c r="AB3888" s="580">
        <f>HLOOKUP("*"&amp;'Output annual'!$AC$2&amp;'Output annual'!$AD$2&amp;"*Zone People Number Of Occupants [](Hourly)",'Eplus results'!$1:$1048576,ROW(),FALSE)</f>
        <v>0</v>
      </c>
      <c r="AC3888" s="580">
        <f>HLOOKUP("*"&amp;'Output annual'!$AC$2&amp;'Output annual'!$AD$2&amp;"*FangerPMV(Hourly)",'Eplus results'!$1:$1048576,ROW(),FALSE)</f>
        <v>0</v>
      </c>
      <c r="AD3888" s="580">
        <f t="shared" si="336"/>
        <v>5</v>
      </c>
      <c r="AE3888" s="580">
        <f t="shared" si="337"/>
        <v>2.5</v>
      </c>
      <c r="AF3888" s="580">
        <f t="shared" si="338"/>
        <v>2.5</v>
      </c>
      <c r="AG3888" s="580">
        <f t="shared" si="339"/>
        <v>0</v>
      </c>
      <c r="AH3888" s="580">
        <f t="shared" si="340"/>
        <v>0</v>
      </c>
    </row>
    <row r="3889" spans="28:34">
      <c r="AB3889" s="580">
        <f>HLOOKUP("*"&amp;'Output annual'!$AC$2&amp;'Output annual'!$AD$2&amp;"*Zone People Number Of Occupants [](Hourly)",'Eplus results'!$1:$1048576,ROW(),FALSE)</f>
        <v>0</v>
      </c>
      <c r="AC3889" s="580">
        <f>HLOOKUP("*"&amp;'Output annual'!$AC$2&amp;'Output annual'!$AD$2&amp;"*FangerPMV(Hourly)",'Eplus results'!$1:$1048576,ROW(),FALSE)</f>
        <v>0</v>
      </c>
      <c r="AD3889" s="580">
        <f t="shared" si="336"/>
        <v>5</v>
      </c>
      <c r="AE3889" s="580">
        <f t="shared" si="337"/>
        <v>2.5</v>
      </c>
      <c r="AF3889" s="580">
        <f t="shared" si="338"/>
        <v>2.5</v>
      </c>
      <c r="AG3889" s="580">
        <f t="shared" si="339"/>
        <v>0</v>
      </c>
      <c r="AH3889" s="580">
        <f t="shared" si="340"/>
        <v>0</v>
      </c>
    </row>
    <row r="3890" spans="28:34">
      <c r="AB3890" s="580">
        <f>HLOOKUP("*"&amp;'Output annual'!$AC$2&amp;'Output annual'!$AD$2&amp;"*Zone People Number Of Occupants [](Hourly)",'Eplus results'!$1:$1048576,ROW(),FALSE)</f>
        <v>0</v>
      </c>
      <c r="AC3890" s="580">
        <f>HLOOKUP("*"&amp;'Output annual'!$AC$2&amp;'Output annual'!$AD$2&amp;"*FangerPMV(Hourly)",'Eplus results'!$1:$1048576,ROW(),FALSE)</f>
        <v>0</v>
      </c>
      <c r="AD3890" s="580">
        <f t="shared" si="336"/>
        <v>5</v>
      </c>
      <c r="AE3890" s="580">
        <f t="shared" si="337"/>
        <v>2.5</v>
      </c>
      <c r="AF3890" s="580">
        <f t="shared" si="338"/>
        <v>2.5</v>
      </c>
      <c r="AG3890" s="580">
        <f t="shared" si="339"/>
        <v>0</v>
      </c>
      <c r="AH3890" s="580">
        <f t="shared" si="340"/>
        <v>0</v>
      </c>
    </row>
    <row r="3891" spans="28:34">
      <c r="AB3891" s="580">
        <f>HLOOKUP("*"&amp;'Output annual'!$AC$2&amp;'Output annual'!$AD$2&amp;"*Zone People Number Of Occupants [](Hourly)",'Eplus results'!$1:$1048576,ROW(),FALSE)</f>
        <v>0</v>
      </c>
      <c r="AC3891" s="580">
        <f>HLOOKUP("*"&amp;'Output annual'!$AC$2&amp;'Output annual'!$AD$2&amp;"*FangerPMV(Hourly)",'Eplus results'!$1:$1048576,ROW(),FALSE)</f>
        <v>0</v>
      </c>
      <c r="AD3891" s="580">
        <f t="shared" si="336"/>
        <v>5</v>
      </c>
      <c r="AE3891" s="580">
        <f t="shared" si="337"/>
        <v>2.5</v>
      </c>
      <c r="AF3891" s="580">
        <f t="shared" si="338"/>
        <v>2.5</v>
      </c>
      <c r="AG3891" s="580">
        <f t="shared" si="339"/>
        <v>0</v>
      </c>
      <c r="AH3891" s="580">
        <f t="shared" si="340"/>
        <v>0</v>
      </c>
    </row>
    <row r="3892" spans="28:34">
      <c r="AB3892" s="580">
        <f>HLOOKUP("*"&amp;'Output annual'!$AC$2&amp;'Output annual'!$AD$2&amp;"*Zone People Number Of Occupants [](Hourly)",'Eplus results'!$1:$1048576,ROW(),FALSE)</f>
        <v>0</v>
      </c>
      <c r="AC3892" s="580">
        <f>HLOOKUP("*"&amp;'Output annual'!$AC$2&amp;'Output annual'!$AD$2&amp;"*FangerPMV(Hourly)",'Eplus results'!$1:$1048576,ROW(),FALSE)</f>
        <v>0</v>
      </c>
      <c r="AD3892" s="580">
        <f t="shared" si="336"/>
        <v>5</v>
      </c>
      <c r="AE3892" s="580">
        <f t="shared" si="337"/>
        <v>2.5</v>
      </c>
      <c r="AF3892" s="580">
        <f t="shared" si="338"/>
        <v>2.5</v>
      </c>
      <c r="AG3892" s="580">
        <f t="shared" si="339"/>
        <v>0</v>
      </c>
      <c r="AH3892" s="580">
        <f t="shared" si="340"/>
        <v>0</v>
      </c>
    </row>
    <row r="3893" spans="28:34">
      <c r="AB3893" s="580">
        <f>HLOOKUP("*"&amp;'Output annual'!$AC$2&amp;'Output annual'!$AD$2&amp;"*Zone People Number Of Occupants [](Hourly)",'Eplus results'!$1:$1048576,ROW(),FALSE)</f>
        <v>0</v>
      </c>
      <c r="AC3893" s="580">
        <f>HLOOKUP("*"&amp;'Output annual'!$AC$2&amp;'Output annual'!$AD$2&amp;"*FangerPMV(Hourly)",'Eplus results'!$1:$1048576,ROW(),FALSE)</f>
        <v>0</v>
      </c>
      <c r="AD3893" s="580">
        <f t="shared" si="336"/>
        <v>5</v>
      </c>
      <c r="AE3893" s="580">
        <f t="shared" si="337"/>
        <v>2.5</v>
      </c>
      <c r="AF3893" s="580">
        <f t="shared" si="338"/>
        <v>2.5</v>
      </c>
      <c r="AG3893" s="580">
        <f t="shared" si="339"/>
        <v>0</v>
      </c>
      <c r="AH3893" s="580">
        <f t="shared" si="340"/>
        <v>0</v>
      </c>
    </row>
    <row r="3894" spans="28:34">
      <c r="AB3894" s="580">
        <f>HLOOKUP("*"&amp;'Output annual'!$AC$2&amp;'Output annual'!$AD$2&amp;"*Zone People Number Of Occupants [](Hourly)",'Eplus results'!$1:$1048576,ROW(),FALSE)</f>
        <v>0</v>
      </c>
      <c r="AC3894" s="580">
        <f>HLOOKUP("*"&amp;'Output annual'!$AC$2&amp;'Output annual'!$AD$2&amp;"*FangerPMV(Hourly)",'Eplus results'!$1:$1048576,ROW(),FALSE)</f>
        <v>0</v>
      </c>
      <c r="AD3894" s="580">
        <f t="shared" si="336"/>
        <v>5</v>
      </c>
      <c r="AE3894" s="580">
        <f t="shared" si="337"/>
        <v>2.5</v>
      </c>
      <c r="AF3894" s="580">
        <f t="shared" si="338"/>
        <v>2.5</v>
      </c>
      <c r="AG3894" s="580">
        <f t="shared" si="339"/>
        <v>0</v>
      </c>
      <c r="AH3894" s="580">
        <f t="shared" si="340"/>
        <v>0</v>
      </c>
    </row>
    <row r="3895" spans="28:34">
      <c r="AB3895" s="580">
        <f>HLOOKUP("*"&amp;'Output annual'!$AC$2&amp;'Output annual'!$AD$2&amp;"*Zone People Number Of Occupants [](Hourly)",'Eplus results'!$1:$1048576,ROW(),FALSE)</f>
        <v>0</v>
      </c>
      <c r="AC3895" s="580">
        <f>HLOOKUP("*"&amp;'Output annual'!$AC$2&amp;'Output annual'!$AD$2&amp;"*FangerPMV(Hourly)",'Eplus results'!$1:$1048576,ROW(),FALSE)</f>
        <v>0</v>
      </c>
      <c r="AD3895" s="580">
        <f t="shared" si="336"/>
        <v>5</v>
      </c>
      <c r="AE3895" s="580">
        <f t="shared" si="337"/>
        <v>2.5</v>
      </c>
      <c r="AF3895" s="580">
        <f t="shared" si="338"/>
        <v>2.5</v>
      </c>
      <c r="AG3895" s="580">
        <f t="shared" si="339"/>
        <v>0</v>
      </c>
      <c r="AH3895" s="580">
        <f t="shared" si="340"/>
        <v>0</v>
      </c>
    </row>
    <row r="3896" spans="28:34">
      <c r="AB3896" s="580">
        <f>HLOOKUP("*"&amp;'Output annual'!$AC$2&amp;'Output annual'!$AD$2&amp;"*Zone People Number Of Occupants [](Hourly)",'Eplus results'!$1:$1048576,ROW(),FALSE)</f>
        <v>0</v>
      </c>
      <c r="AC3896" s="580">
        <f>HLOOKUP("*"&amp;'Output annual'!$AC$2&amp;'Output annual'!$AD$2&amp;"*FangerPMV(Hourly)",'Eplus results'!$1:$1048576,ROW(),FALSE)</f>
        <v>0</v>
      </c>
      <c r="AD3896" s="580">
        <f t="shared" si="336"/>
        <v>5</v>
      </c>
      <c r="AE3896" s="580">
        <f t="shared" si="337"/>
        <v>2.5</v>
      </c>
      <c r="AF3896" s="580">
        <f t="shared" si="338"/>
        <v>2.5</v>
      </c>
      <c r="AG3896" s="580">
        <f t="shared" si="339"/>
        <v>0</v>
      </c>
      <c r="AH3896" s="580">
        <f t="shared" si="340"/>
        <v>0</v>
      </c>
    </row>
    <row r="3897" spans="28:34">
      <c r="AB3897" s="580">
        <f>HLOOKUP("*"&amp;'Output annual'!$AC$2&amp;'Output annual'!$AD$2&amp;"*Zone People Number Of Occupants [](Hourly)",'Eplus results'!$1:$1048576,ROW(),FALSE)</f>
        <v>0</v>
      </c>
      <c r="AC3897" s="580">
        <f>HLOOKUP("*"&amp;'Output annual'!$AC$2&amp;'Output annual'!$AD$2&amp;"*FangerPMV(Hourly)",'Eplus results'!$1:$1048576,ROW(),FALSE)</f>
        <v>0</v>
      </c>
      <c r="AD3897" s="580">
        <f t="shared" si="336"/>
        <v>5</v>
      </c>
      <c r="AE3897" s="580">
        <f t="shared" si="337"/>
        <v>2.5</v>
      </c>
      <c r="AF3897" s="580">
        <f t="shared" si="338"/>
        <v>2.5</v>
      </c>
      <c r="AG3897" s="580">
        <f t="shared" si="339"/>
        <v>0</v>
      </c>
      <c r="AH3897" s="580">
        <f t="shared" si="340"/>
        <v>0</v>
      </c>
    </row>
    <row r="3898" spans="28:34">
      <c r="AB3898" s="580">
        <f>HLOOKUP("*"&amp;'Output annual'!$AC$2&amp;'Output annual'!$AD$2&amp;"*Zone People Number Of Occupants [](Hourly)",'Eplus results'!$1:$1048576,ROW(),FALSE)</f>
        <v>0</v>
      </c>
      <c r="AC3898" s="580">
        <f>HLOOKUP("*"&amp;'Output annual'!$AC$2&amp;'Output annual'!$AD$2&amp;"*FangerPMV(Hourly)",'Eplus results'!$1:$1048576,ROW(),FALSE)</f>
        <v>0</v>
      </c>
      <c r="AD3898" s="580">
        <f t="shared" si="336"/>
        <v>5</v>
      </c>
      <c r="AE3898" s="580">
        <f t="shared" si="337"/>
        <v>2.5</v>
      </c>
      <c r="AF3898" s="580">
        <f t="shared" si="338"/>
        <v>2.5</v>
      </c>
      <c r="AG3898" s="580">
        <f t="shared" si="339"/>
        <v>0</v>
      </c>
      <c r="AH3898" s="580">
        <f t="shared" si="340"/>
        <v>0</v>
      </c>
    </row>
    <row r="3899" spans="28:34">
      <c r="AB3899" s="580">
        <f>HLOOKUP("*"&amp;'Output annual'!$AC$2&amp;'Output annual'!$AD$2&amp;"*Zone People Number Of Occupants [](Hourly)",'Eplus results'!$1:$1048576,ROW(),FALSE)</f>
        <v>0</v>
      </c>
      <c r="AC3899" s="580">
        <f>HLOOKUP("*"&amp;'Output annual'!$AC$2&amp;'Output annual'!$AD$2&amp;"*FangerPMV(Hourly)",'Eplus results'!$1:$1048576,ROW(),FALSE)</f>
        <v>0</v>
      </c>
      <c r="AD3899" s="580">
        <f t="shared" si="336"/>
        <v>5</v>
      </c>
      <c r="AE3899" s="580">
        <f t="shared" si="337"/>
        <v>2.5</v>
      </c>
      <c r="AF3899" s="580">
        <f t="shared" si="338"/>
        <v>2.5</v>
      </c>
      <c r="AG3899" s="580">
        <f t="shared" si="339"/>
        <v>0</v>
      </c>
      <c r="AH3899" s="580">
        <f t="shared" si="340"/>
        <v>0</v>
      </c>
    </row>
    <row r="3900" spans="28:34">
      <c r="AB3900" s="580">
        <f>HLOOKUP("*"&amp;'Output annual'!$AC$2&amp;'Output annual'!$AD$2&amp;"*Zone People Number Of Occupants [](Hourly)",'Eplus results'!$1:$1048576,ROW(),FALSE)</f>
        <v>0</v>
      </c>
      <c r="AC3900" s="580">
        <f>HLOOKUP("*"&amp;'Output annual'!$AC$2&amp;'Output annual'!$AD$2&amp;"*FangerPMV(Hourly)",'Eplus results'!$1:$1048576,ROW(),FALSE)</f>
        <v>0</v>
      </c>
      <c r="AD3900" s="580">
        <f t="shared" si="336"/>
        <v>5</v>
      </c>
      <c r="AE3900" s="580">
        <f t="shared" si="337"/>
        <v>2.5</v>
      </c>
      <c r="AF3900" s="580">
        <f t="shared" si="338"/>
        <v>2.5</v>
      </c>
      <c r="AG3900" s="580">
        <f t="shared" si="339"/>
        <v>0</v>
      </c>
      <c r="AH3900" s="580">
        <f t="shared" si="340"/>
        <v>0</v>
      </c>
    </row>
    <row r="3901" spans="28:34">
      <c r="AB3901" s="580">
        <f>HLOOKUP("*"&amp;'Output annual'!$AC$2&amp;'Output annual'!$AD$2&amp;"*Zone People Number Of Occupants [](Hourly)",'Eplus results'!$1:$1048576,ROW(),FALSE)</f>
        <v>0</v>
      </c>
      <c r="AC3901" s="580">
        <f>HLOOKUP("*"&amp;'Output annual'!$AC$2&amp;'Output annual'!$AD$2&amp;"*FangerPMV(Hourly)",'Eplus results'!$1:$1048576,ROW(),FALSE)</f>
        <v>0</v>
      </c>
      <c r="AD3901" s="580">
        <f t="shared" si="336"/>
        <v>5</v>
      </c>
      <c r="AE3901" s="580">
        <f t="shared" si="337"/>
        <v>2.5</v>
      </c>
      <c r="AF3901" s="580">
        <f t="shared" si="338"/>
        <v>2.5</v>
      </c>
      <c r="AG3901" s="580">
        <f t="shared" si="339"/>
        <v>0</v>
      </c>
      <c r="AH3901" s="580">
        <f t="shared" si="340"/>
        <v>0</v>
      </c>
    </row>
    <row r="3902" spans="28:34">
      <c r="AB3902" s="580">
        <f>HLOOKUP("*"&amp;'Output annual'!$AC$2&amp;'Output annual'!$AD$2&amp;"*Zone People Number Of Occupants [](Hourly)",'Eplus results'!$1:$1048576,ROW(),FALSE)</f>
        <v>0</v>
      </c>
      <c r="AC3902" s="580">
        <f>HLOOKUP("*"&amp;'Output annual'!$AC$2&amp;'Output annual'!$AD$2&amp;"*FangerPMV(Hourly)",'Eplus results'!$1:$1048576,ROW(),FALSE)</f>
        <v>0</v>
      </c>
      <c r="AD3902" s="580">
        <f t="shared" si="336"/>
        <v>5</v>
      </c>
      <c r="AE3902" s="580">
        <f t="shared" si="337"/>
        <v>2.5</v>
      </c>
      <c r="AF3902" s="580">
        <f t="shared" si="338"/>
        <v>2.5</v>
      </c>
      <c r="AG3902" s="580">
        <f t="shared" si="339"/>
        <v>0</v>
      </c>
      <c r="AH3902" s="580">
        <f t="shared" si="340"/>
        <v>0</v>
      </c>
    </row>
    <row r="3903" spans="28:34">
      <c r="AB3903" s="580">
        <f>HLOOKUP("*"&amp;'Output annual'!$AC$2&amp;'Output annual'!$AD$2&amp;"*Zone People Number Of Occupants [](Hourly)",'Eplus results'!$1:$1048576,ROW(),FALSE)</f>
        <v>0</v>
      </c>
      <c r="AC3903" s="580">
        <f>HLOOKUP("*"&amp;'Output annual'!$AC$2&amp;'Output annual'!$AD$2&amp;"*FangerPMV(Hourly)",'Eplus results'!$1:$1048576,ROW(),FALSE)</f>
        <v>0</v>
      </c>
      <c r="AD3903" s="580">
        <f t="shared" si="336"/>
        <v>5</v>
      </c>
      <c r="AE3903" s="580">
        <f t="shared" si="337"/>
        <v>2.5</v>
      </c>
      <c r="AF3903" s="580">
        <f t="shared" si="338"/>
        <v>2.5</v>
      </c>
      <c r="AG3903" s="580">
        <f t="shared" si="339"/>
        <v>0</v>
      </c>
      <c r="AH3903" s="580">
        <f t="shared" si="340"/>
        <v>0</v>
      </c>
    </row>
    <row r="3904" spans="28:34">
      <c r="AB3904" s="580">
        <f>HLOOKUP("*"&amp;'Output annual'!$AC$2&amp;'Output annual'!$AD$2&amp;"*Zone People Number Of Occupants [](Hourly)",'Eplus results'!$1:$1048576,ROW(),FALSE)</f>
        <v>0</v>
      </c>
      <c r="AC3904" s="580">
        <f>HLOOKUP("*"&amp;'Output annual'!$AC$2&amp;'Output annual'!$AD$2&amp;"*FangerPMV(Hourly)",'Eplus results'!$1:$1048576,ROW(),FALSE)</f>
        <v>0</v>
      </c>
      <c r="AD3904" s="580">
        <f t="shared" si="336"/>
        <v>5</v>
      </c>
      <c r="AE3904" s="580">
        <f t="shared" si="337"/>
        <v>2.5</v>
      </c>
      <c r="AF3904" s="580">
        <f t="shared" si="338"/>
        <v>2.5</v>
      </c>
      <c r="AG3904" s="580">
        <f t="shared" si="339"/>
        <v>0</v>
      </c>
      <c r="AH3904" s="580">
        <f t="shared" si="340"/>
        <v>0</v>
      </c>
    </row>
    <row r="3905" spans="28:34">
      <c r="AB3905" s="580">
        <f>HLOOKUP("*"&amp;'Output annual'!$AC$2&amp;'Output annual'!$AD$2&amp;"*Zone People Number Of Occupants [](Hourly)",'Eplus results'!$1:$1048576,ROW(),FALSE)</f>
        <v>0</v>
      </c>
      <c r="AC3905" s="580">
        <f>HLOOKUP("*"&amp;'Output annual'!$AC$2&amp;'Output annual'!$AD$2&amp;"*FangerPMV(Hourly)",'Eplus results'!$1:$1048576,ROW(),FALSE)</f>
        <v>0</v>
      </c>
      <c r="AD3905" s="580">
        <f t="shared" si="336"/>
        <v>5</v>
      </c>
      <c r="AE3905" s="580">
        <f t="shared" si="337"/>
        <v>2.5</v>
      </c>
      <c r="AF3905" s="580">
        <f t="shared" si="338"/>
        <v>2.5</v>
      </c>
      <c r="AG3905" s="580">
        <f t="shared" si="339"/>
        <v>0</v>
      </c>
      <c r="AH3905" s="580">
        <f t="shared" si="340"/>
        <v>0</v>
      </c>
    </row>
    <row r="3906" spans="28:34">
      <c r="AB3906" s="580">
        <f>HLOOKUP("*"&amp;'Output annual'!$AC$2&amp;'Output annual'!$AD$2&amp;"*Zone People Number Of Occupants [](Hourly)",'Eplus results'!$1:$1048576,ROW(),FALSE)</f>
        <v>0</v>
      </c>
      <c r="AC3906" s="580">
        <f>HLOOKUP("*"&amp;'Output annual'!$AC$2&amp;'Output annual'!$AD$2&amp;"*FangerPMV(Hourly)",'Eplus results'!$1:$1048576,ROW(),FALSE)</f>
        <v>0</v>
      </c>
      <c r="AD3906" s="580">
        <f t="shared" si="336"/>
        <v>5</v>
      </c>
      <c r="AE3906" s="580">
        <f t="shared" si="337"/>
        <v>2.5</v>
      </c>
      <c r="AF3906" s="580">
        <f t="shared" si="338"/>
        <v>2.5</v>
      </c>
      <c r="AG3906" s="580">
        <f t="shared" si="339"/>
        <v>0</v>
      </c>
      <c r="AH3906" s="580">
        <f t="shared" si="340"/>
        <v>0</v>
      </c>
    </row>
    <row r="3907" spans="28:34">
      <c r="AB3907" s="580">
        <f>HLOOKUP("*"&amp;'Output annual'!$AC$2&amp;'Output annual'!$AD$2&amp;"*Zone People Number Of Occupants [](Hourly)",'Eplus results'!$1:$1048576,ROW(),FALSE)</f>
        <v>0</v>
      </c>
      <c r="AC3907" s="580">
        <f>HLOOKUP("*"&amp;'Output annual'!$AC$2&amp;'Output annual'!$AD$2&amp;"*FangerPMV(Hourly)",'Eplus results'!$1:$1048576,ROW(),FALSE)</f>
        <v>0</v>
      </c>
      <c r="AD3907" s="580">
        <f t="shared" ref="AD3907:AD3970" si="341">100-95*EXP(-0.03353*AC3907^4-0.2179*AC3907^2)</f>
        <v>5</v>
      </c>
      <c r="AE3907" s="580">
        <f t="shared" ref="AE3907:AE3970" si="342">AD3907*(1/(1+EXP(-6.3*$AC3907)))</f>
        <v>2.5</v>
      </c>
      <c r="AF3907" s="580">
        <f t="shared" ref="AF3907:AF3970" si="343">(AD3907-AE3907)</f>
        <v>2.5</v>
      </c>
      <c r="AG3907" s="580">
        <f t="shared" ref="AG3907:AG3970" si="344">AE3907*AB3907</f>
        <v>0</v>
      </c>
      <c r="AH3907" s="580">
        <f t="shared" ref="AH3907:AH3970" si="345">AF3907*AB3907</f>
        <v>0</v>
      </c>
    </row>
    <row r="3908" spans="28:34">
      <c r="AB3908" s="580">
        <f>HLOOKUP("*"&amp;'Output annual'!$AC$2&amp;'Output annual'!$AD$2&amp;"*Zone People Number Of Occupants [](Hourly)",'Eplus results'!$1:$1048576,ROW(),FALSE)</f>
        <v>0</v>
      </c>
      <c r="AC3908" s="580">
        <f>HLOOKUP("*"&amp;'Output annual'!$AC$2&amp;'Output annual'!$AD$2&amp;"*FangerPMV(Hourly)",'Eplus results'!$1:$1048576,ROW(),FALSE)</f>
        <v>0</v>
      </c>
      <c r="AD3908" s="580">
        <f t="shared" si="341"/>
        <v>5</v>
      </c>
      <c r="AE3908" s="580">
        <f t="shared" si="342"/>
        <v>2.5</v>
      </c>
      <c r="AF3908" s="580">
        <f t="shared" si="343"/>
        <v>2.5</v>
      </c>
      <c r="AG3908" s="580">
        <f t="shared" si="344"/>
        <v>0</v>
      </c>
      <c r="AH3908" s="580">
        <f t="shared" si="345"/>
        <v>0</v>
      </c>
    </row>
    <row r="3909" spans="28:34">
      <c r="AB3909" s="580">
        <f>HLOOKUP("*"&amp;'Output annual'!$AC$2&amp;'Output annual'!$AD$2&amp;"*Zone People Number Of Occupants [](Hourly)",'Eplus results'!$1:$1048576,ROW(),FALSE)</f>
        <v>0</v>
      </c>
      <c r="AC3909" s="580">
        <f>HLOOKUP("*"&amp;'Output annual'!$AC$2&amp;'Output annual'!$AD$2&amp;"*FangerPMV(Hourly)",'Eplus results'!$1:$1048576,ROW(),FALSE)</f>
        <v>0</v>
      </c>
      <c r="AD3909" s="580">
        <f t="shared" si="341"/>
        <v>5</v>
      </c>
      <c r="AE3909" s="580">
        <f t="shared" si="342"/>
        <v>2.5</v>
      </c>
      <c r="AF3909" s="580">
        <f t="shared" si="343"/>
        <v>2.5</v>
      </c>
      <c r="AG3909" s="580">
        <f t="shared" si="344"/>
        <v>0</v>
      </c>
      <c r="AH3909" s="580">
        <f t="shared" si="345"/>
        <v>0</v>
      </c>
    </row>
    <row r="3910" spans="28:34">
      <c r="AB3910" s="580">
        <f>HLOOKUP("*"&amp;'Output annual'!$AC$2&amp;'Output annual'!$AD$2&amp;"*Zone People Number Of Occupants [](Hourly)",'Eplus results'!$1:$1048576,ROW(),FALSE)</f>
        <v>0</v>
      </c>
      <c r="AC3910" s="580">
        <f>HLOOKUP("*"&amp;'Output annual'!$AC$2&amp;'Output annual'!$AD$2&amp;"*FangerPMV(Hourly)",'Eplus results'!$1:$1048576,ROW(),FALSE)</f>
        <v>0</v>
      </c>
      <c r="AD3910" s="580">
        <f t="shared" si="341"/>
        <v>5</v>
      </c>
      <c r="AE3910" s="580">
        <f t="shared" si="342"/>
        <v>2.5</v>
      </c>
      <c r="AF3910" s="580">
        <f t="shared" si="343"/>
        <v>2.5</v>
      </c>
      <c r="AG3910" s="580">
        <f t="shared" si="344"/>
        <v>0</v>
      </c>
      <c r="AH3910" s="580">
        <f t="shared" si="345"/>
        <v>0</v>
      </c>
    </row>
    <row r="3911" spans="28:34">
      <c r="AB3911" s="580">
        <f>HLOOKUP("*"&amp;'Output annual'!$AC$2&amp;'Output annual'!$AD$2&amp;"*Zone People Number Of Occupants [](Hourly)",'Eplus results'!$1:$1048576,ROW(),FALSE)</f>
        <v>0</v>
      </c>
      <c r="AC3911" s="580">
        <f>HLOOKUP("*"&amp;'Output annual'!$AC$2&amp;'Output annual'!$AD$2&amp;"*FangerPMV(Hourly)",'Eplus results'!$1:$1048576,ROW(),FALSE)</f>
        <v>0</v>
      </c>
      <c r="AD3911" s="580">
        <f t="shared" si="341"/>
        <v>5</v>
      </c>
      <c r="AE3911" s="580">
        <f t="shared" si="342"/>
        <v>2.5</v>
      </c>
      <c r="AF3911" s="580">
        <f t="shared" si="343"/>
        <v>2.5</v>
      </c>
      <c r="AG3911" s="580">
        <f t="shared" si="344"/>
        <v>0</v>
      </c>
      <c r="AH3911" s="580">
        <f t="shared" si="345"/>
        <v>0</v>
      </c>
    </row>
    <row r="3912" spans="28:34">
      <c r="AB3912" s="580">
        <f>HLOOKUP("*"&amp;'Output annual'!$AC$2&amp;'Output annual'!$AD$2&amp;"*Zone People Number Of Occupants [](Hourly)",'Eplus results'!$1:$1048576,ROW(),FALSE)</f>
        <v>0</v>
      </c>
      <c r="AC3912" s="580">
        <f>HLOOKUP("*"&amp;'Output annual'!$AC$2&amp;'Output annual'!$AD$2&amp;"*FangerPMV(Hourly)",'Eplus results'!$1:$1048576,ROW(),FALSE)</f>
        <v>0</v>
      </c>
      <c r="AD3912" s="580">
        <f t="shared" si="341"/>
        <v>5</v>
      </c>
      <c r="AE3912" s="580">
        <f t="shared" si="342"/>
        <v>2.5</v>
      </c>
      <c r="AF3912" s="580">
        <f t="shared" si="343"/>
        <v>2.5</v>
      </c>
      <c r="AG3912" s="580">
        <f t="shared" si="344"/>
        <v>0</v>
      </c>
      <c r="AH3912" s="580">
        <f t="shared" si="345"/>
        <v>0</v>
      </c>
    </row>
    <row r="3913" spans="28:34">
      <c r="AB3913" s="580">
        <f>HLOOKUP("*"&amp;'Output annual'!$AC$2&amp;'Output annual'!$AD$2&amp;"*Zone People Number Of Occupants [](Hourly)",'Eplus results'!$1:$1048576,ROW(),FALSE)</f>
        <v>0</v>
      </c>
      <c r="AC3913" s="580">
        <f>HLOOKUP("*"&amp;'Output annual'!$AC$2&amp;'Output annual'!$AD$2&amp;"*FangerPMV(Hourly)",'Eplus results'!$1:$1048576,ROW(),FALSE)</f>
        <v>0</v>
      </c>
      <c r="AD3913" s="580">
        <f t="shared" si="341"/>
        <v>5</v>
      </c>
      <c r="AE3913" s="580">
        <f t="shared" si="342"/>
        <v>2.5</v>
      </c>
      <c r="AF3913" s="580">
        <f t="shared" si="343"/>
        <v>2.5</v>
      </c>
      <c r="AG3913" s="580">
        <f t="shared" si="344"/>
        <v>0</v>
      </c>
      <c r="AH3913" s="580">
        <f t="shared" si="345"/>
        <v>0</v>
      </c>
    </row>
    <row r="3914" spans="28:34">
      <c r="AB3914" s="580">
        <f>HLOOKUP("*"&amp;'Output annual'!$AC$2&amp;'Output annual'!$AD$2&amp;"*Zone People Number Of Occupants [](Hourly)",'Eplus results'!$1:$1048576,ROW(),FALSE)</f>
        <v>0</v>
      </c>
      <c r="AC3914" s="580">
        <f>HLOOKUP("*"&amp;'Output annual'!$AC$2&amp;'Output annual'!$AD$2&amp;"*FangerPMV(Hourly)",'Eplus results'!$1:$1048576,ROW(),FALSE)</f>
        <v>0</v>
      </c>
      <c r="AD3914" s="580">
        <f t="shared" si="341"/>
        <v>5</v>
      </c>
      <c r="AE3914" s="580">
        <f t="shared" si="342"/>
        <v>2.5</v>
      </c>
      <c r="AF3914" s="580">
        <f t="shared" si="343"/>
        <v>2.5</v>
      </c>
      <c r="AG3914" s="580">
        <f t="shared" si="344"/>
        <v>0</v>
      </c>
      <c r="AH3914" s="580">
        <f t="shared" si="345"/>
        <v>0</v>
      </c>
    </row>
    <row r="3915" spans="28:34">
      <c r="AB3915" s="580">
        <f>HLOOKUP("*"&amp;'Output annual'!$AC$2&amp;'Output annual'!$AD$2&amp;"*Zone People Number Of Occupants [](Hourly)",'Eplus results'!$1:$1048576,ROW(),FALSE)</f>
        <v>0</v>
      </c>
      <c r="AC3915" s="580">
        <f>HLOOKUP("*"&amp;'Output annual'!$AC$2&amp;'Output annual'!$AD$2&amp;"*FangerPMV(Hourly)",'Eplus results'!$1:$1048576,ROW(),FALSE)</f>
        <v>0</v>
      </c>
      <c r="AD3915" s="580">
        <f t="shared" si="341"/>
        <v>5</v>
      </c>
      <c r="AE3915" s="580">
        <f t="shared" si="342"/>
        <v>2.5</v>
      </c>
      <c r="AF3915" s="580">
        <f t="shared" si="343"/>
        <v>2.5</v>
      </c>
      <c r="AG3915" s="580">
        <f t="shared" si="344"/>
        <v>0</v>
      </c>
      <c r="AH3915" s="580">
        <f t="shared" si="345"/>
        <v>0</v>
      </c>
    </row>
    <row r="3916" spans="28:34">
      <c r="AB3916" s="580">
        <f>HLOOKUP("*"&amp;'Output annual'!$AC$2&amp;'Output annual'!$AD$2&amp;"*Zone People Number Of Occupants [](Hourly)",'Eplus results'!$1:$1048576,ROW(),FALSE)</f>
        <v>0</v>
      </c>
      <c r="AC3916" s="580">
        <f>HLOOKUP("*"&amp;'Output annual'!$AC$2&amp;'Output annual'!$AD$2&amp;"*FangerPMV(Hourly)",'Eplus results'!$1:$1048576,ROW(),FALSE)</f>
        <v>0</v>
      </c>
      <c r="AD3916" s="580">
        <f t="shared" si="341"/>
        <v>5</v>
      </c>
      <c r="AE3916" s="580">
        <f t="shared" si="342"/>
        <v>2.5</v>
      </c>
      <c r="AF3916" s="580">
        <f t="shared" si="343"/>
        <v>2.5</v>
      </c>
      <c r="AG3916" s="580">
        <f t="shared" si="344"/>
        <v>0</v>
      </c>
      <c r="AH3916" s="580">
        <f t="shared" si="345"/>
        <v>0</v>
      </c>
    </row>
    <row r="3917" spans="28:34">
      <c r="AB3917" s="580">
        <f>HLOOKUP("*"&amp;'Output annual'!$AC$2&amp;'Output annual'!$AD$2&amp;"*Zone People Number Of Occupants [](Hourly)",'Eplus results'!$1:$1048576,ROW(),FALSE)</f>
        <v>0</v>
      </c>
      <c r="AC3917" s="580">
        <f>HLOOKUP("*"&amp;'Output annual'!$AC$2&amp;'Output annual'!$AD$2&amp;"*FangerPMV(Hourly)",'Eplus results'!$1:$1048576,ROW(),FALSE)</f>
        <v>0</v>
      </c>
      <c r="AD3917" s="580">
        <f t="shared" si="341"/>
        <v>5</v>
      </c>
      <c r="AE3917" s="580">
        <f t="shared" si="342"/>
        <v>2.5</v>
      </c>
      <c r="AF3917" s="580">
        <f t="shared" si="343"/>
        <v>2.5</v>
      </c>
      <c r="AG3917" s="580">
        <f t="shared" si="344"/>
        <v>0</v>
      </c>
      <c r="AH3917" s="580">
        <f t="shared" si="345"/>
        <v>0</v>
      </c>
    </row>
    <row r="3918" spans="28:34">
      <c r="AB3918" s="580">
        <f>HLOOKUP("*"&amp;'Output annual'!$AC$2&amp;'Output annual'!$AD$2&amp;"*Zone People Number Of Occupants [](Hourly)",'Eplus results'!$1:$1048576,ROW(),FALSE)</f>
        <v>0</v>
      </c>
      <c r="AC3918" s="580">
        <f>HLOOKUP("*"&amp;'Output annual'!$AC$2&amp;'Output annual'!$AD$2&amp;"*FangerPMV(Hourly)",'Eplus results'!$1:$1048576,ROW(),FALSE)</f>
        <v>0</v>
      </c>
      <c r="AD3918" s="580">
        <f t="shared" si="341"/>
        <v>5</v>
      </c>
      <c r="AE3918" s="580">
        <f t="shared" si="342"/>
        <v>2.5</v>
      </c>
      <c r="AF3918" s="580">
        <f t="shared" si="343"/>
        <v>2.5</v>
      </c>
      <c r="AG3918" s="580">
        <f t="shared" si="344"/>
        <v>0</v>
      </c>
      <c r="AH3918" s="580">
        <f t="shared" si="345"/>
        <v>0</v>
      </c>
    </row>
    <row r="3919" spans="28:34">
      <c r="AB3919" s="580">
        <f>HLOOKUP("*"&amp;'Output annual'!$AC$2&amp;'Output annual'!$AD$2&amp;"*Zone People Number Of Occupants [](Hourly)",'Eplus results'!$1:$1048576,ROW(),FALSE)</f>
        <v>0</v>
      </c>
      <c r="AC3919" s="580">
        <f>HLOOKUP("*"&amp;'Output annual'!$AC$2&amp;'Output annual'!$AD$2&amp;"*FangerPMV(Hourly)",'Eplus results'!$1:$1048576,ROW(),FALSE)</f>
        <v>0</v>
      </c>
      <c r="AD3919" s="580">
        <f t="shared" si="341"/>
        <v>5</v>
      </c>
      <c r="AE3919" s="580">
        <f t="shared" si="342"/>
        <v>2.5</v>
      </c>
      <c r="AF3919" s="580">
        <f t="shared" si="343"/>
        <v>2.5</v>
      </c>
      <c r="AG3919" s="580">
        <f t="shared" si="344"/>
        <v>0</v>
      </c>
      <c r="AH3919" s="580">
        <f t="shared" si="345"/>
        <v>0</v>
      </c>
    </row>
    <row r="3920" spans="28:34">
      <c r="AB3920" s="580">
        <f>HLOOKUP("*"&amp;'Output annual'!$AC$2&amp;'Output annual'!$AD$2&amp;"*Zone People Number Of Occupants [](Hourly)",'Eplus results'!$1:$1048576,ROW(),FALSE)</f>
        <v>0</v>
      </c>
      <c r="AC3920" s="580">
        <f>HLOOKUP("*"&amp;'Output annual'!$AC$2&amp;'Output annual'!$AD$2&amp;"*FangerPMV(Hourly)",'Eplus results'!$1:$1048576,ROW(),FALSE)</f>
        <v>0</v>
      </c>
      <c r="AD3920" s="580">
        <f t="shared" si="341"/>
        <v>5</v>
      </c>
      <c r="AE3920" s="580">
        <f t="shared" si="342"/>
        <v>2.5</v>
      </c>
      <c r="AF3920" s="580">
        <f t="shared" si="343"/>
        <v>2.5</v>
      </c>
      <c r="AG3920" s="580">
        <f t="shared" si="344"/>
        <v>0</v>
      </c>
      <c r="AH3920" s="580">
        <f t="shared" si="345"/>
        <v>0</v>
      </c>
    </row>
    <row r="3921" spans="28:34">
      <c r="AB3921" s="580">
        <f>HLOOKUP("*"&amp;'Output annual'!$AC$2&amp;'Output annual'!$AD$2&amp;"*Zone People Number Of Occupants [](Hourly)",'Eplus results'!$1:$1048576,ROW(),FALSE)</f>
        <v>0</v>
      </c>
      <c r="AC3921" s="580">
        <f>HLOOKUP("*"&amp;'Output annual'!$AC$2&amp;'Output annual'!$AD$2&amp;"*FangerPMV(Hourly)",'Eplus results'!$1:$1048576,ROW(),FALSE)</f>
        <v>0</v>
      </c>
      <c r="AD3921" s="580">
        <f t="shared" si="341"/>
        <v>5</v>
      </c>
      <c r="AE3921" s="580">
        <f t="shared" si="342"/>
        <v>2.5</v>
      </c>
      <c r="AF3921" s="580">
        <f t="shared" si="343"/>
        <v>2.5</v>
      </c>
      <c r="AG3921" s="580">
        <f t="shared" si="344"/>
        <v>0</v>
      </c>
      <c r="AH3921" s="580">
        <f t="shared" si="345"/>
        <v>0</v>
      </c>
    </row>
    <row r="3922" spans="28:34">
      <c r="AB3922" s="580">
        <f>HLOOKUP("*"&amp;'Output annual'!$AC$2&amp;'Output annual'!$AD$2&amp;"*Zone People Number Of Occupants [](Hourly)",'Eplus results'!$1:$1048576,ROW(),FALSE)</f>
        <v>0</v>
      </c>
      <c r="AC3922" s="580">
        <f>HLOOKUP("*"&amp;'Output annual'!$AC$2&amp;'Output annual'!$AD$2&amp;"*FangerPMV(Hourly)",'Eplus results'!$1:$1048576,ROW(),FALSE)</f>
        <v>0</v>
      </c>
      <c r="AD3922" s="580">
        <f t="shared" si="341"/>
        <v>5</v>
      </c>
      <c r="AE3922" s="580">
        <f t="shared" si="342"/>
        <v>2.5</v>
      </c>
      <c r="AF3922" s="580">
        <f t="shared" si="343"/>
        <v>2.5</v>
      </c>
      <c r="AG3922" s="580">
        <f t="shared" si="344"/>
        <v>0</v>
      </c>
      <c r="AH3922" s="580">
        <f t="shared" si="345"/>
        <v>0</v>
      </c>
    </row>
    <row r="3923" spans="28:34">
      <c r="AB3923" s="580">
        <f>HLOOKUP("*"&amp;'Output annual'!$AC$2&amp;'Output annual'!$AD$2&amp;"*Zone People Number Of Occupants [](Hourly)",'Eplus results'!$1:$1048576,ROW(),FALSE)</f>
        <v>0</v>
      </c>
      <c r="AC3923" s="580">
        <f>HLOOKUP("*"&amp;'Output annual'!$AC$2&amp;'Output annual'!$AD$2&amp;"*FangerPMV(Hourly)",'Eplus results'!$1:$1048576,ROW(),FALSE)</f>
        <v>0</v>
      </c>
      <c r="AD3923" s="580">
        <f t="shared" si="341"/>
        <v>5</v>
      </c>
      <c r="AE3923" s="580">
        <f t="shared" si="342"/>
        <v>2.5</v>
      </c>
      <c r="AF3923" s="580">
        <f t="shared" si="343"/>
        <v>2.5</v>
      </c>
      <c r="AG3923" s="580">
        <f t="shared" si="344"/>
        <v>0</v>
      </c>
      <c r="AH3923" s="580">
        <f t="shared" si="345"/>
        <v>0</v>
      </c>
    </row>
    <row r="3924" spans="28:34">
      <c r="AB3924" s="580">
        <f>HLOOKUP("*"&amp;'Output annual'!$AC$2&amp;'Output annual'!$AD$2&amp;"*Zone People Number Of Occupants [](Hourly)",'Eplus results'!$1:$1048576,ROW(),FALSE)</f>
        <v>0</v>
      </c>
      <c r="AC3924" s="580">
        <f>HLOOKUP("*"&amp;'Output annual'!$AC$2&amp;'Output annual'!$AD$2&amp;"*FangerPMV(Hourly)",'Eplus results'!$1:$1048576,ROW(),FALSE)</f>
        <v>0</v>
      </c>
      <c r="AD3924" s="580">
        <f t="shared" si="341"/>
        <v>5</v>
      </c>
      <c r="AE3924" s="580">
        <f t="shared" si="342"/>
        <v>2.5</v>
      </c>
      <c r="AF3924" s="580">
        <f t="shared" si="343"/>
        <v>2.5</v>
      </c>
      <c r="AG3924" s="580">
        <f t="shared" si="344"/>
        <v>0</v>
      </c>
      <c r="AH3924" s="580">
        <f t="shared" si="345"/>
        <v>0</v>
      </c>
    </row>
    <row r="3925" spans="28:34">
      <c r="AB3925" s="580">
        <f>HLOOKUP("*"&amp;'Output annual'!$AC$2&amp;'Output annual'!$AD$2&amp;"*Zone People Number Of Occupants [](Hourly)",'Eplus results'!$1:$1048576,ROW(),FALSE)</f>
        <v>0</v>
      </c>
      <c r="AC3925" s="580">
        <f>HLOOKUP("*"&amp;'Output annual'!$AC$2&amp;'Output annual'!$AD$2&amp;"*FangerPMV(Hourly)",'Eplus results'!$1:$1048576,ROW(),FALSE)</f>
        <v>0</v>
      </c>
      <c r="AD3925" s="580">
        <f t="shared" si="341"/>
        <v>5</v>
      </c>
      <c r="AE3925" s="580">
        <f t="shared" si="342"/>
        <v>2.5</v>
      </c>
      <c r="AF3925" s="580">
        <f t="shared" si="343"/>
        <v>2.5</v>
      </c>
      <c r="AG3925" s="580">
        <f t="shared" si="344"/>
        <v>0</v>
      </c>
      <c r="AH3925" s="580">
        <f t="shared" si="345"/>
        <v>0</v>
      </c>
    </row>
    <row r="3926" spans="28:34">
      <c r="AB3926" s="580">
        <f>HLOOKUP("*"&amp;'Output annual'!$AC$2&amp;'Output annual'!$AD$2&amp;"*Zone People Number Of Occupants [](Hourly)",'Eplus results'!$1:$1048576,ROW(),FALSE)</f>
        <v>0</v>
      </c>
      <c r="AC3926" s="580">
        <f>HLOOKUP("*"&amp;'Output annual'!$AC$2&amp;'Output annual'!$AD$2&amp;"*FangerPMV(Hourly)",'Eplus results'!$1:$1048576,ROW(),FALSE)</f>
        <v>0</v>
      </c>
      <c r="AD3926" s="580">
        <f t="shared" si="341"/>
        <v>5</v>
      </c>
      <c r="AE3926" s="580">
        <f t="shared" si="342"/>
        <v>2.5</v>
      </c>
      <c r="AF3926" s="580">
        <f t="shared" si="343"/>
        <v>2.5</v>
      </c>
      <c r="AG3926" s="580">
        <f t="shared" si="344"/>
        <v>0</v>
      </c>
      <c r="AH3926" s="580">
        <f t="shared" si="345"/>
        <v>0</v>
      </c>
    </row>
    <row r="3927" spans="28:34">
      <c r="AB3927" s="580">
        <f>HLOOKUP("*"&amp;'Output annual'!$AC$2&amp;'Output annual'!$AD$2&amp;"*Zone People Number Of Occupants [](Hourly)",'Eplus results'!$1:$1048576,ROW(),FALSE)</f>
        <v>0</v>
      </c>
      <c r="AC3927" s="580">
        <f>HLOOKUP("*"&amp;'Output annual'!$AC$2&amp;'Output annual'!$AD$2&amp;"*FangerPMV(Hourly)",'Eplus results'!$1:$1048576,ROW(),FALSE)</f>
        <v>0</v>
      </c>
      <c r="AD3927" s="580">
        <f t="shared" si="341"/>
        <v>5</v>
      </c>
      <c r="AE3927" s="580">
        <f t="shared" si="342"/>
        <v>2.5</v>
      </c>
      <c r="AF3927" s="580">
        <f t="shared" si="343"/>
        <v>2.5</v>
      </c>
      <c r="AG3927" s="580">
        <f t="shared" si="344"/>
        <v>0</v>
      </c>
      <c r="AH3927" s="580">
        <f t="shared" si="345"/>
        <v>0</v>
      </c>
    </row>
    <row r="3928" spans="28:34">
      <c r="AB3928" s="580">
        <f>HLOOKUP("*"&amp;'Output annual'!$AC$2&amp;'Output annual'!$AD$2&amp;"*Zone People Number Of Occupants [](Hourly)",'Eplus results'!$1:$1048576,ROW(),FALSE)</f>
        <v>0</v>
      </c>
      <c r="AC3928" s="580">
        <f>HLOOKUP("*"&amp;'Output annual'!$AC$2&amp;'Output annual'!$AD$2&amp;"*FangerPMV(Hourly)",'Eplus results'!$1:$1048576,ROW(),FALSE)</f>
        <v>0</v>
      </c>
      <c r="AD3928" s="580">
        <f t="shared" si="341"/>
        <v>5</v>
      </c>
      <c r="AE3928" s="580">
        <f t="shared" si="342"/>
        <v>2.5</v>
      </c>
      <c r="AF3928" s="580">
        <f t="shared" si="343"/>
        <v>2.5</v>
      </c>
      <c r="AG3928" s="580">
        <f t="shared" si="344"/>
        <v>0</v>
      </c>
      <c r="AH3928" s="580">
        <f t="shared" si="345"/>
        <v>0</v>
      </c>
    </row>
    <row r="3929" spans="28:34">
      <c r="AB3929" s="580">
        <f>HLOOKUP("*"&amp;'Output annual'!$AC$2&amp;'Output annual'!$AD$2&amp;"*Zone People Number Of Occupants [](Hourly)",'Eplus results'!$1:$1048576,ROW(),FALSE)</f>
        <v>0</v>
      </c>
      <c r="AC3929" s="580">
        <f>HLOOKUP("*"&amp;'Output annual'!$AC$2&amp;'Output annual'!$AD$2&amp;"*FangerPMV(Hourly)",'Eplus results'!$1:$1048576,ROW(),FALSE)</f>
        <v>0</v>
      </c>
      <c r="AD3929" s="580">
        <f t="shared" si="341"/>
        <v>5</v>
      </c>
      <c r="AE3929" s="580">
        <f t="shared" si="342"/>
        <v>2.5</v>
      </c>
      <c r="AF3929" s="580">
        <f t="shared" si="343"/>
        <v>2.5</v>
      </c>
      <c r="AG3929" s="580">
        <f t="shared" si="344"/>
        <v>0</v>
      </c>
      <c r="AH3929" s="580">
        <f t="shared" si="345"/>
        <v>0</v>
      </c>
    </row>
    <row r="3930" spans="28:34">
      <c r="AB3930" s="580">
        <f>HLOOKUP("*"&amp;'Output annual'!$AC$2&amp;'Output annual'!$AD$2&amp;"*Zone People Number Of Occupants [](Hourly)",'Eplus results'!$1:$1048576,ROW(),FALSE)</f>
        <v>0</v>
      </c>
      <c r="AC3930" s="580">
        <f>HLOOKUP("*"&amp;'Output annual'!$AC$2&amp;'Output annual'!$AD$2&amp;"*FangerPMV(Hourly)",'Eplus results'!$1:$1048576,ROW(),FALSE)</f>
        <v>0</v>
      </c>
      <c r="AD3930" s="580">
        <f t="shared" si="341"/>
        <v>5</v>
      </c>
      <c r="AE3930" s="580">
        <f t="shared" si="342"/>
        <v>2.5</v>
      </c>
      <c r="AF3930" s="580">
        <f t="shared" si="343"/>
        <v>2.5</v>
      </c>
      <c r="AG3930" s="580">
        <f t="shared" si="344"/>
        <v>0</v>
      </c>
      <c r="AH3930" s="580">
        <f t="shared" si="345"/>
        <v>0</v>
      </c>
    </row>
    <row r="3931" spans="28:34">
      <c r="AB3931" s="580">
        <f>HLOOKUP("*"&amp;'Output annual'!$AC$2&amp;'Output annual'!$AD$2&amp;"*Zone People Number Of Occupants [](Hourly)",'Eplus results'!$1:$1048576,ROW(),FALSE)</f>
        <v>0</v>
      </c>
      <c r="AC3931" s="580">
        <f>HLOOKUP("*"&amp;'Output annual'!$AC$2&amp;'Output annual'!$AD$2&amp;"*FangerPMV(Hourly)",'Eplus results'!$1:$1048576,ROW(),FALSE)</f>
        <v>0</v>
      </c>
      <c r="AD3931" s="580">
        <f t="shared" si="341"/>
        <v>5</v>
      </c>
      <c r="AE3931" s="580">
        <f t="shared" si="342"/>
        <v>2.5</v>
      </c>
      <c r="AF3931" s="580">
        <f t="shared" si="343"/>
        <v>2.5</v>
      </c>
      <c r="AG3931" s="580">
        <f t="shared" si="344"/>
        <v>0</v>
      </c>
      <c r="AH3931" s="580">
        <f t="shared" si="345"/>
        <v>0</v>
      </c>
    </row>
    <row r="3932" spans="28:34">
      <c r="AB3932" s="580">
        <f>HLOOKUP("*"&amp;'Output annual'!$AC$2&amp;'Output annual'!$AD$2&amp;"*Zone People Number Of Occupants [](Hourly)",'Eplus results'!$1:$1048576,ROW(),FALSE)</f>
        <v>0</v>
      </c>
      <c r="AC3932" s="580">
        <f>HLOOKUP("*"&amp;'Output annual'!$AC$2&amp;'Output annual'!$AD$2&amp;"*FangerPMV(Hourly)",'Eplus results'!$1:$1048576,ROW(),FALSE)</f>
        <v>0</v>
      </c>
      <c r="AD3932" s="580">
        <f t="shared" si="341"/>
        <v>5</v>
      </c>
      <c r="AE3932" s="580">
        <f t="shared" si="342"/>
        <v>2.5</v>
      </c>
      <c r="AF3932" s="580">
        <f t="shared" si="343"/>
        <v>2.5</v>
      </c>
      <c r="AG3932" s="580">
        <f t="shared" si="344"/>
        <v>0</v>
      </c>
      <c r="AH3932" s="580">
        <f t="shared" si="345"/>
        <v>0</v>
      </c>
    </row>
    <row r="3933" spans="28:34">
      <c r="AB3933" s="580">
        <f>HLOOKUP("*"&amp;'Output annual'!$AC$2&amp;'Output annual'!$AD$2&amp;"*Zone People Number Of Occupants [](Hourly)",'Eplus results'!$1:$1048576,ROW(),FALSE)</f>
        <v>0</v>
      </c>
      <c r="AC3933" s="580">
        <f>HLOOKUP("*"&amp;'Output annual'!$AC$2&amp;'Output annual'!$AD$2&amp;"*FangerPMV(Hourly)",'Eplus results'!$1:$1048576,ROW(),FALSE)</f>
        <v>0</v>
      </c>
      <c r="AD3933" s="580">
        <f t="shared" si="341"/>
        <v>5</v>
      </c>
      <c r="AE3933" s="580">
        <f t="shared" si="342"/>
        <v>2.5</v>
      </c>
      <c r="AF3933" s="580">
        <f t="shared" si="343"/>
        <v>2.5</v>
      </c>
      <c r="AG3933" s="580">
        <f t="shared" si="344"/>
        <v>0</v>
      </c>
      <c r="AH3933" s="580">
        <f t="shared" si="345"/>
        <v>0</v>
      </c>
    </row>
    <row r="3934" spans="28:34">
      <c r="AB3934" s="580">
        <f>HLOOKUP("*"&amp;'Output annual'!$AC$2&amp;'Output annual'!$AD$2&amp;"*Zone People Number Of Occupants [](Hourly)",'Eplus results'!$1:$1048576,ROW(),FALSE)</f>
        <v>0</v>
      </c>
      <c r="AC3934" s="580">
        <f>HLOOKUP("*"&amp;'Output annual'!$AC$2&amp;'Output annual'!$AD$2&amp;"*FangerPMV(Hourly)",'Eplus results'!$1:$1048576,ROW(),FALSE)</f>
        <v>0</v>
      </c>
      <c r="AD3934" s="580">
        <f t="shared" si="341"/>
        <v>5</v>
      </c>
      <c r="AE3934" s="580">
        <f t="shared" si="342"/>
        <v>2.5</v>
      </c>
      <c r="AF3934" s="580">
        <f t="shared" si="343"/>
        <v>2.5</v>
      </c>
      <c r="AG3934" s="580">
        <f t="shared" si="344"/>
        <v>0</v>
      </c>
      <c r="AH3934" s="580">
        <f t="shared" si="345"/>
        <v>0</v>
      </c>
    </row>
    <row r="3935" spans="28:34">
      <c r="AB3935" s="580">
        <f>HLOOKUP("*"&amp;'Output annual'!$AC$2&amp;'Output annual'!$AD$2&amp;"*Zone People Number Of Occupants [](Hourly)",'Eplus results'!$1:$1048576,ROW(),FALSE)</f>
        <v>0</v>
      </c>
      <c r="AC3935" s="580">
        <f>HLOOKUP("*"&amp;'Output annual'!$AC$2&amp;'Output annual'!$AD$2&amp;"*FangerPMV(Hourly)",'Eplus results'!$1:$1048576,ROW(),FALSE)</f>
        <v>0</v>
      </c>
      <c r="AD3935" s="580">
        <f t="shared" si="341"/>
        <v>5</v>
      </c>
      <c r="AE3935" s="580">
        <f t="shared" si="342"/>
        <v>2.5</v>
      </c>
      <c r="AF3935" s="580">
        <f t="shared" si="343"/>
        <v>2.5</v>
      </c>
      <c r="AG3935" s="580">
        <f t="shared" si="344"/>
        <v>0</v>
      </c>
      <c r="AH3935" s="580">
        <f t="shared" si="345"/>
        <v>0</v>
      </c>
    </row>
    <row r="3936" spans="28:34">
      <c r="AB3936" s="580">
        <f>HLOOKUP("*"&amp;'Output annual'!$AC$2&amp;'Output annual'!$AD$2&amp;"*Zone People Number Of Occupants [](Hourly)",'Eplus results'!$1:$1048576,ROW(),FALSE)</f>
        <v>0</v>
      </c>
      <c r="AC3936" s="580">
        <f>HLOOKUP("*"&amp;'Output annual'!$AC$2&amp;'Output annual'!$AD$2&amp;"*FangerPMV(Hourly)",'Eplus results'!$1:$1048576,ROW(),FALSE)</f>
        <v>0</v>
      </c>
      <c r="AD3936" s="580">
        <f t="shared" si="341"/>
        <v>5</v>
      </c>
      <c r="AE3936" s="580">
        <f t="shared" si="342"/>
        <v>2.5</v>
      </c>
      <c r="AF3936" s="580">
        <f t="shared" si="343"/>
        <v>2.5</v>
      </c>
      <c r="AG3936" s="580">
        <f t="shared" si="344"/>
        <v>0</v>
      </c>
      <c r="AH3936" s="580">
        <f t="shared" si="345"/>
        <v>0</v>
      </c>
    </row>
    <row r="3937" spans="28:34">
      <c r="AB3937" s="580">
        <f>HLOOKUP("*"&amp;'Output annual'!$AC$2&amp;'Output annual'!$AD$2&amp;"*Zone People Number Of Occupants [](Hourly)",'Eplus results'!$1:$1048576,ROW(),FALSE)</f>
        <v>0</v>
      </c>
      <c r="AC3937" s="580">
        <f>HLOOKUP("*"&amp;'Output annual'!$AC$2&amp;'Output annual'!$AD$2&amp;"*FangerPMV(Hourly)",'Eplus results'!$1:$1048576,ROW(),FALSE)</f>
        <v>0</v>
      </c>
      <c r="AD3937" s="580">
        <f t="shared" si="341"/>
        <v>5</v>
      </c>
      <c r="AE3937" s="580">
        <f t="shared" si="342"/>
        <v>2.5</v>
      </c>
      <c r="AF3937" s="580">
        <f t="shared" si="343"/>
        <v>2.5</v>
      </c>
      <c r="AG3937" s="580">
        <f t="shared" si="344"/>
        <v>0</v>
      </c>
      <c r="AH3937" s="580">
        <f t="shared" si="345"/>
        <v>0</v>
      </c>
    </row>
    <row r="3938" spans="28:34">
      <c r="AB3938" s="580">
        <f>HLOOKUP("*"&amp;'Output annual'!$AC$2&amp;'Output annual'!$AD$2&amp;"*Zone People Number Of Occupants [](Hourly)",'Eplus results'!$1:$1048576,ROW(),FALSE)</f>
        <v>0</v>
      </c>
      <c r="AC3938" s="580">
        <f>HLOOKUP("*"&amp;'Output annual'!$AC$2&amp;'Output annual'!$AD$2&amp;"*FangerPMV(Hourly)",'Eplus results'!$1:$1048576,ROW(),FALSE)</f>
        <v>0</v>
      </c>
      <c r="AD3938" s="580">
        <f t="shared" si="341"/>
        <v>5</v>
      </c>
      <c r="AE3938" s="580">
        <f t="shared" si="342"/>
        <v>2.5</v>
      </c>
      <c r="AF3938" s="580">
        <f t="shared" si="343"/>
        <v>2.5</v>
      </c>
      <c r="AG3938" s="580">
        <f t="shared" si="344"/>
        <v>0</v>
      </c>
      <c r="AH3938" s="580">
        <f t="shared" si="345"/>
        <v>0</v>
      </c>
    </row>
    <row r="3939" spans="28:34">
      <c r="AB3939" s="580">
        <f>HLOOKUP("*"&amp;'Output annual'!$AC$2&amp;'Output annual'!$AD$2&amp;"*Zone People Number Of Occupants [](Hourly)",'Eplus results'!$1:$1048576,ROW(),FALSE)</f>
        <v>0</v>
      </c>
      <c r="AC3939" s="580">
        <f>HLOOKUP("*"&amp;'Output annual'!$AC$2&amp;'Output annual'!$AD$2&amp;"*FangerPMV(Hourly)",'Eplus results'!$1:$1048576,ROW(),FALSE)</f>
        <v>0</v>
      </c>
      <c r="AD3939" s="580">
        <f t="shared" si="341"/>
        <v>5</v>
      </c>
      <c r="AE3939" s="580">
        <f t="shared" si="342"/>
        <v>2.5</v>
      </c>
      <c r="AF3939" s="580">
        <f t="shared" si="343"/>
        <v>2.5</v>
      </c>
      <c r="AG3939" s="580">
        <f t="shared" si="344"/>
        <v>0</v>
      </c>
      <c r="AH3939" s="580">
        <f t="shared" si="345"/>
        <v>0</v>
      </c>
    </row>
    <row r="3940" spans="28:34">
      <c r="AB3940" s="580">
        <f>HLOOKUP("*"&amp;'Output annual'!$AC$2&amp;'Output annual'!$AD$2&amp;"*Zone People Number Of Occupants [](Hourly)",'Eplus results'!$1:$1048576,ROW(),FALSE)</f>
        <v>0</v>
      </c>
      <c r="AC3940" s="580">
        <f>HLOOKUP("*"&amp;'Output annual'!$AC$2&amp;'Output annual'!$AD$2&amp;"*FangerPMV(Hourly)",'Eplus results'!$1:$1048576,ROW(),FALSE)</f>
        <v>0</v>
      </c>
      <c r="AD3940" s="580">
        <f t="shared" si="341"/>
        <v>5</v>
      </c>
      <c r="AE3940" s="580">
        <f t="shared" si="342"/>
        <v>2.5</v>
      </c>
      <c r="AF3940" s="580">
        <f t="shared" si="343"/>
        <v>2.5</v>
      </c>
      <c r="AG3940" s="580">
        <f t="shared" si="344"/>
        <v>0</v>
      </c>
      <c r="AH3940" s="580">
        <f t="shared" si="345"/>
        <v>0</v>
      </c>
    </row>
    <row r="3941" spans="28:34">
      <c r="AB3941" s="580">
        <f>HLOOKUP("*"&amp;'Output annual'!$AC$2&amp;'Output annual'!$AD$2&amp;"*Zone People Number Of Occupants [](Hourly)",'Eplus results'!$1:$1048576,ROW(),FALSE)</f>
        <v>0</v>
      </c>
      <c r="AC3941" s="580">
        <f>HLOOKUP("*"&amp;'Output annual'!$AC$2&amp;'Output annual'!$AD$2&amp;"*FangerPMV(Hourly)",'Eplus results'!$1:$1048576,ROW(),FALSE)</f>
        <v>0</v>
      </c>
      <c r="AD3941" s="580">
        <f t="shared" si="341"/>
        <v>5</v>
      </c>
      <c r="AE3941" s="580">
        <f t="shared" si="342"/>
        <v>2.5</v>
      </c>
      <c r="AF3941" s="580">
        <f t="shared" si="343"/>
        <v>2.5</v>
      </c>
      <c r="AG3941" s="580">
        <f t="shared" si="344"/>
        <v>0</v>
      </c>
      <c r="AH3941" s="580">
        <f t="shared" si="345"/>
        <v>0</v>
      </c>
    </row>
    <row r="3942" spans="28:34">
      <c r="AB3942" s="580">
        <f>HLOOKUP("*"&amp;'Output annual'!$AC$2&amp;'Output annual'!$AD$2&amp;"*Zone People Number Of Occupants [](Hourly)",'Eplus results'!$1:$1048576,ROW(),FALSE)</f>
        <v>0</v>
      </c>
      <c r="AC3942" s="580">
        <f>HLOOKUP("*"&amp;'Output annual'!$AC$2&amp;'Output annual'!$AD$2&amp;"*FangerPMV(Hourly)",'Eplus results'!$1:$1048576,ROW(),FALSE)</f>
        <v>0</v>
      </c>
      <c r="AD3942" s="580">
        <f t="shared" si="341"/>
        <v>5</v>
      </c>
      <c r="AE3942" s="580">
        <f t="shared" si="342"/>
        <v>2.5</v>
      </c>
      <c r="AF3942" s="580">
        <f t="shared" si="343"/>
        <v>2.5</v>
      </c>
      <c r="AG3942" s="580">
        <f t="shared" si="344"/>
        <v>0</v>
      </c>
      <c r="AH3942" s="580">
        <f t="shared" si="345"/>
        <v>0</v>
      </c>
    </row>
    <row r="3943" spans="28:34">
      <c r="AB3943" s="580">
        <f>HLOOKUP("*"&amp;'Output annual'!$AC$2&amp;'Output annual'!$AD$2&amp;"*Zone People Number Of Occupants [](Hourly)",'Eplus results'!$1:$1048576,ROW(),FALSE)</f>
        <v>0</v>
      </c>
      <c r="AC3943" s="580">
        <f>HLOOKUP("*"&amp;'Output annual'!$AC$2&amp;'Output annual'!$AD$2&amp;"*FangerPMV(Hourly)",'Eplus results'!$1:$1048576,ROW(),FALSE)</f>
        <v>0</v>
      </c>
      <c r="AD3943" s="580">
        <f t="shared" si="341"/>
        <v>5</v>
      </c>
      <c r="AE3943" s="580">
        <f t="shared" si="342"/>
        <v>2.5</v>
      </c>
      <c r="AF3943" s="580">
        <f t="shared" si="343"/>
        <v>2.5</v>
      </c>
      <c r="AG3943" s="580">
        <f t="shared" si="344"/>
        <v>0</v>
      </c>
      <c r="AH3943" s="580">
        <f t="shared" si="345"/>
        <v>0</v>
      </c>
    </row>
    <row r="3944" spans="28:34">
      <c r="AB3944" s="580">
        <f>HLOOKUP("*"&amp;'Output annual'!$AC$2&amp;'Output annual'!$AD$2&amp;"*Zone People Number Of Occupants [](Hourly)",'Eplus results'!$1:$1048576,ROW(),FALSE)</f>
        <v>0</v>
      </c>
      <c r="AC3944" s="580">
        <f>HLOOKUP("*"&amp;'Output annual'!$AC$2&amp;'Output annual'!$AD$2&amp;"*FangerPMV(Hourly)",'Eplus results'!$1:$1048576,ROW(),FALSE)</f>
        <v>0</v>
      </c>
      <c r="AD3944" s="580">
        <f t="shared" si="341"/>
        <v>5</v>
      </c>
      <c r="AE3944" s="580">
        <f t="shared" si="342"/>
        <v>2.5</v>
      </c>
      <c r="AF3944" s="580">
        <f t="shared" si="343"/>
        <v>2.5</v>
      </c>
      <c r="AG3944" s="580">
        <f t="shared" si="344"/>
        <v>0</v>
      </c>
      <c r="AH3944" s="580">
        <f t="shared" si="345"/>
        <v>0</v>
      </c>
    </row>
    <row r="3945" spans="28:34">
      <c r="AB3945" s="580">
        <f>HLOOKUP("*"&amp;'Output annual'!$AC$2&amp;'Output annual'!$AD$2&amp;"*Zone People Number Of Occupants [](Hourly)",'Eplus results'!$1:$1048576,ROW(),FALSE)</f>
        <v>0</v>
      </c>
      <c r="AC3945" s="580">
        <f>HLOOKUP("*"&amp;'Output annual'!$AC$2&amp;'Output annual'!$AD$2&amp;"*FangerPMV(Hourly)",'Eplus results'!$1:$1048576,ROW(),FALSE)</f>
        <v>0</v>
      </c>
      <c r="AD3945" s="580">
        <f t="shared" si="341"/>
        <v>5</v>
      </c>
      <c r="AE3945" s="580">
        <f t="shared" si="342"/>
        <v>2.5</v>
      </c>
      <c r="AF3945" s="580">
        <f t="shared" si="343"/>
        <v>2.5</v>
      </c>
      <c r="AG3945" s="580">
        <f t="shared" si="344"/>
        <v>0</v>
      </c>
      <c r="AH3945" s="580">
        <f t="shared" si="345"/>
        <v>0</v>
      </c>
    </row>
    <row r="3946" spans="28:34">
      <c r="AB3946" s="580">
        <f>HLOOKUP("*"&amp;'Output annual'!$AC$2&amp;'Output annual'!$AD$2&amp;"*Zone People Number Of Occupants [](Hourly)",'Eplus results'!$1:$1048576,ROW(),FALSE)</f>
        <v>0</v>
      </c>
      <c r="AC3946" s="580">
        <f>HLOOKUP("*"&amp;'Output annual'!$AC$2&amp;'Output annual'!$AD$2&amp;"*FangerPMV(Hourly)",'Eplus results'!$1:$1048576,ROW(),FALSE)</f>
        <v>0</v>
      </c>
      <c r="AD3946" s="580">
        <f t="shared" si="341"/>
        <v>5</v>
      </c>
      <c r="AE3946" s="580">
        <f t="shared" si="342"/>
        <v>2.5</v>
      </c>
      <c r="AF3946" s="580">
        <f t="shared" si="343"/>
        <v>2.5</v>
      </c>
      <c r="AG3946" s="580">
        <f t="shared" si="344"/>
        <v>0</v>
      </c>
      <c r="AH3946" s="580">
        <f t="shared" si="345"/>
        <v>0</v>
      </c>
    </row>
    <row r="3947" spans="28:34">
      <c r="AB3947" s="580">
        <f>HLOOKUP("*"&amp;'Output annual'!$AC$2&amp;'Output annual'!$AD$2&amp;"*Zone People Number Of Occupants [](Hourly)",'Eplus results'!$1:$1048576,ROW(),FALSE)</f>
        <v>0</v>
      </c>
      <c r="AC3947" s="580">
        <f>HLOOKUP("*"&amp;'Output annual'!$AC$2&amp;'Output annual'!$AD$2&amp;"*FangerPMV(Hourly)",'Eplus results'!$1:$1048576,ROW(),FALSE)</f>
        <v>0</v>
      </c>
      <c r="AD3947" s="580">
        <f t="shared" si="341"/>
        <v>5</v>
      </c>
      <c r="AE3947" s="580">
        <f t="shared" si="342"/>
        <v>2.5</v>
      </c>
      <c r="AF3947" s="580">
        <f t="shared" si="343"/>
        <v>2.5</v>
      </c>
      <c r="AG3947" s="580">
        <f t="shared" si="344"/>
        <v>0</v>
      </c>
      <c r="AH3947" s="580">
        <f t="shared" si="345"/>
        <v>0</v>
      </c>
    </row>
    <row r="3948" spans="28:34">
      <c r="AB3948" s="580">
        <f>HLOOKUP("*"&amp;'Output annual'!$AC$2&amp;'Output annual'!$AD$2&amp;"*Zone People Number Of Occupants [](Hourly)",'Eplus results'!$1:$1048576,ROW(),FALSE)</f>
        <v>0</v>
      </c>
      <c r="AC3948" s="580">
        <f>HLOOKUP("*"&amp;'Output annual'!$AC$2&amp;'Output annual'!$AD$2&amp;"*FangerPMV(Hourly)",'Eplus results'!$1:$1048576,ROW(),FALSE)</f>
        <v>0</v>
      </c>
      <c r="AD3948" s="580">
        <f t="shared" si="341"/>
        <v>5</v>
      </c>
      <c r="AE3948" s="580">
        <f t="shared" si="342"/>
        <v>2.5</v>
      </c>
      <c r="AF3948" s="580">
        <f t="shared" si="343"/>
        <v>2.5</v>
      </c>
      <c r="AG3948" s="580">
        <f t="shared" si="344"/>
        <v>0</v>
      </c>
      <c r="AH3948" s="580">
        <f t="shared" si="345"/>
        <v>0</v>
      </c>
    </row>
    <row r="3949" spans="28:34">
      <c r="AB3949" s="580">
        <f>HLOOKUP("*"&amp;'Output annual'!$AC$2&amp;'Output annual'!$AD$2&amp;"*Zone People Number Of Occupants [](Hourly)",'Eplus results'!$1:$1048576,ROW(),FALSE)</f>
        <v>0</v>
      </c>
      <c r="AC3949" s="580">
        <f>HLOOKUP("*"&amp;'Output annual'!$AC$2&amp;'Output annual'!$AD$2&amp;"*FangerPMV(Hourly)",'Eplus results'!$1:$1048576,ROW(),FALSE)</f>
        <v>0</v>
      </c>
      <c r="AD3949" s="580">
        <f t="shared" si="341"/>
        <v>5</v>
      </c>
      <c r="AE3949" s="580">
        <f t="shared" si="342"/>
        <v>2.5</v>
      </c>
      <c r="AF3949" s="580">
        <f t="shared" si="343"/>
        <v>2.5</v>
      </c>
      <c r="AG3949" s="580">
        <f t="shared" si="344"/>
        <v>0</v>
      </c>
      <c r="AH3949" s="580">
        <f t="shared" si="345"/>
        <v>0</v>
      </c>
    </row>
    <row r="3950" spans="28:34">
      <c r="AB3950" s="580">
        <f>HLOOKUP("*"&amp;'Output annual'!$AC$2&amp;'Output annual'!$AD$2&amp;"*Zone People Number Of Occupants [](Hourly)",'Eplus results'!$1:$1048576,ROW(),FALSE)</f>
        <v>0</v>
      </c>
      <c r="AC3950" s="580">
        <f>HLOOKUP("*"&amp;'Output annual'!$AC$2&amp;'Output annual'!$AD$2&amp;"*FangerPMV(Hourly)",'Eplus results'!$1:$1048576,ROW(),FALSE)</f>
        <v>0</v>
      </c>
      <c r="AD3950" s="580">
        <f t="shared" si="341"/>
        <v>5</v>
      </c>
      <c r="AE3950" s="580">
        <f t="shared" si="342"/>
        <v>2.5</v>
      </c>
      <c r="AF3950" s="580">
        <f t="shared" si="343"/>
        <v>2.5</v>
      </c>
      <c r="AG3950" s="580">
        <f t="shared" si="344"/>
        <v>0</v>
      </c>
      <c r="AH3950" s="580">
        <f t="shared" si="345"/>
        <v>0</v>
      </c>
    </row>
    <row r="3951" spans="28:34">
      <c r="AB3951" s="580">
        <f>HLOOKUP("*"&amp;'Output annual'!$AC$2&amp;'Output annual'!$AD$2&amp;"*Zone People Number Of Occupants [](Hourly)",'Eplus results'!$1:$1048576,ROW(),FALSE)</f>
        <v>0</v>
      </c>
      <c r="AC3951" s="580">
        <f>HLOOKUP("*"&amp;'Output annual'!$AC$2&amp;'Output annual'!$AD$2&amp;"*FangerPMV(Hourly)",'Eplus results'!$1:$1048576,ROW(),FALSE)</f>
        <v>0</v>
      </c>
      <c r="AD3951" s="580">
        <f t="shared" si="341"/>
        <v>5</v>
      </c>
      <c r="AE3951" s="580">
        <f t="shared" si="342"/>
        <v>2.5</v>
      </c>
      <c r="AF3951" s="580">
        <f t="shared" si="343"/>
        <v>2.5</v>
      </c>
      <c r="AG3951" s="580">
        <f t="shared" si="344"/>
        <v>0</v>
      </c>
      <c r="AH3951" s="580">
        <f t="shared" si="345"/>
        <v>0</v>
      </c>
    </row>
    <row r="3952" spans="28:34">
      <c r="AB3952" s="580">
        <f>HLOOKUP("*"&amp;'Output annual'!$AC$2&amp;'Output annual'!$AD$2&amp;"*Zone People Number Of Occupants [](Hourly)",'Eplus results'!$1:$1048576,ROW(),FALSE)</f>
        <v>0</v>
      </c>
      <c r="AC3952" s="580">
        <f>HLOOKUP("*"&amp;'Output annual'!$AC$2&amp;'Output annual'!$AD$2&amp;"*FangerPMV(Hourly)",'Eplus results'!$1:$1048576,ROW(),FALSE)</f>
        <v>0</v>
      </c>
      <c r="AD3952" s="580">
        <f t="shared" si="341"/>
        <v>5</v>
      </c>
      <c r="AE3952" s="580">
        <f t="shared" si="342"/>
        <v>2.5</v>
      </c>
      <c r="AF3952" s="580">
        <f t="shared" si="343"/>
        <v>2.5</v>
      </c>
      <c r="AG3952" s="580">
        <f t="shared" si="344"/>
        <v>0</v>
      </c>
      <c r="AH3952" s="580">
        <f t="shared" si="345"/>
        <v>0</v>
      </c>
    </row>
    <row r="3953" spans="28:34">
      <c r="AB3953" s="580">
        <f>HLOOKUP("*"&amp;'Output annual'!$AC$2&amp;'Output annual'!$AD$2&amp;"*Zone People Number Of Occupants [](Hourly)",'Eplus results'!$1:$1048576,ROW(),FALSE)</f>
        <v>0</v>
      </c>
      <c r="AC3953" s="580">
        <f>HLOOKUP("*"&amp;'Output annual'!$AC$2&amp;'Output annual'!$AD$2&amp;"*FangerPMV(Hourly)",'Eplus results'!$1:$1048576,ROW(),FALSE)</f>
        <v>0</v>
      </c>
      <c r="AD3953" s="580">
        <f t="shared" si="341"/>
        <v>5</v>
      </c>
      <c r="AE3953" s="580">
        <f t="shared" si="342"/>
        <v>2.5</v>
      </c>
      <c r="AF3953" s="580">
        <f t="shared" si="343"/>
        <v>2.5</v>
      </c>
      <c r="AG3953" s="580">
        <f t="shared" si="344"/>
        <v>0</v>
      </c>
      <c r="AH3953" s="580">
        <f t="shared" si="345"/>
        <v>0</v>
      </c>
    </row>
    <row r="3954" spans="28:34">
      <c r="AB3954" s="580">
        <f>HLOOKUP("*"&amp;'Output annual'!$AC$2&amp;'Output annual'!$AD$2&amp;"*Zone People Number Of Occupants [](Hourly)",'Eplus results'!$1:$1048576,ROW(),FALSE)</f>
        <v>0</v>
      </c>
      <c r="AC3954" s="580">
        <f>HLOOKUP("*"&amp;'Output annual'!$AC$2&amp;'Output annual'!$AD$2&amp;"*FangerPMV(Hourly)",'Eplus results'!$1:$1048576,ROW(),FALSE)</f>
        <v>0</v>
      </c>
      <c r="AD3954" s="580">
        <f t="shared" si="341"/>
        <v>5</v>
      </c>
      <c r="AE3954" s="580">
        <f t="shared" si="342"/>
        <v>2.5</v>
      </c>
      <c r="AF3954" s="580">
        <f t="shared" si="343"/>
        <v>2.5</v>
      </c>
      <c r="AG3954" s="580">
        <f t="shared" si="344"/>
        <v>0</v>
      </c>
      <c r="AH3954" s="580">
        <f t="shared" si="345"/>
        <v>0</v>
      </c>
    </row>
    <row r="3955" spans="28:34">
      <c r="AB3955" s="580">
        <f>HLOOKUP("*"&amp;'Output annual'!$AC$2&amp;'Output annual'!$AD$2&amp;"*Zone People Number Of Occupants [](Hourly)",'Eplus results'!$1:$1048576,ROW(),FALSE)</f>
        <v>0</v>
      </c>
      <c r="AC3955" s="580">
        <f>HLOOKUP("*"&amp;'Output annual'!$AC$2&amp;'Output annual'!$AD$2&amp;"*FangerPMV(Hourly)",'Eplus results'!$1:$1048576,ROW(),FALSE)</f>
        <v>0</v>
      </c>
      <c r="AD3955" s="580">
        <f t="shared" si="341"/>
        <v>5</v>
      </c>
      <c r="AE3955" s="580">
        <f t="shared" si="342"/>
        <v>2.5</v>
      </c>
      <c r="AF3955" s="580">
        <f t="shared" si="343"/>
        <v>2.5</v>
      </c>
      <c r="AG3955" s="580">
        <f t="shared" si="344"/>
        <v>0</v>
      </c>
      <c r="AH3955" s="580">
        <f t="shared" si="345"/>
        <v>0</v>
      </c>
    </row>
    <row r="3956" spans="28:34">
      <c r="AB3956" s="580">
        <f>HLOOKUP("*"&amp;'Output annual'!$AC$2&amp;'Output annual'!$AD$2&amp;"*Zone People Number Of Occupants [](Hourly)",'Eplus results'!$1:$1048576,ROW(),FALSE)</f>
        <v>0</v>
      </c>
      <c r="AC3956" s="580">
        <f>HLOOKUP("*"&amp;'Output annual'!$AC$2&amp;'Output annual'!$AD$2&amp;"*FangerPMV(Hourly)",'Eplus results'!$1:$1048576,ROW(),FALSE)</f>
        <v>0</v>
      </c>
      <c r="AD3956" s="580">
        <f t="shared" si="341"/>
        <v>5</v>
      </c>
      <c r="AE3956" s="580">
        <f t="shared" si="342"/>
        <v>2.5</v>
      </c>
      <c r="AF3956" s="580">
        <f t="shared" si="343"/>
        <v>2.5</v>
      </c>
      <c r="AG3956" s="580">
        <f t="shared" si="344"/>
        <v>0</v>
      </c>
      <c r="AH3956" s="580">
        <f t="shared" si="345"/>
        <v>0</v>
      </c>
    </row>
    <row r="3957" spans="28:34">
      <c r="AB3957" s="580">
        <f>HLOOKUP("*"&amp;'Output annual'!$AC$2&amp;'Output annual'!$AD$2&amp;"*Zone People Number Of Occupants [](Hourly)",'Eplus results'!$1:$1048576,ROW(),FALSE)</f>
        <v>0</v>
      </c>
      <c r="AC3957" s="580">
        <f>HLOOKUP("*"&amp;'Output annual'!$AC$2&amp;'Output annual'!$AD$2&amp;"*FangerPMV(Hourly)",'Eplus results'!$1:$1048576,ROW(),FALSE)</f>
        <v>0</v>
      </c>
      <c r="AD3957" s="580">
        <f t="shared" si="341"/>
        <v>5</v>
      </c>
      <c r="AE3957" s="580">
        <f t="shared" si="342"/>
        <v>2.5</v>
      </c>
      <c r="AF3957" s="580">
        <f t="shared" si="343"/>
        <v>2.5</v>
      </c>
      <c r="AG3957" s="580">
        <f t="shared" si="344"/>
        <v>0</v>
      </c>
      <c r="AH3957" s="580">
        <f t="shared" si="345"/>
        <v>0</v>
      </c>
    </row>
    <row r="3958" spans="28:34">
      <c r="AB3958" s="580">
        <f>HLOOKUP("*"&amp;'Output annual'!$AC$2&amp;'Output annual'!$AD$2&amp;"*Zone People Number Of Occupants [](Hourly)",'Eplus results'!$1:$1048576,ROW(),FALSE)</f>
        <v>0</v>
      </c>
      <c r="AC3958" s="580">
        <f>HLOOKUP("*"&amp;'Output annual'!$AC$2&amp;'Output annual'!$AD$2&amp;"*FangerPMV(Hourly)",'Eplus results'!$1:$1048576,ROW(),FALSE)</f>
        <v>0</v>
      </c>
      <c r="AD3958" s="580">
        <f t="shared" si="341"/>
        <v>5</v>
      </c>
      <c r="AE3958" s="580">
        <f t="shared" si="342"/>
        <v>2.5</v>
      </c>
      <c r="AF3958" s="580">
        <f t="shared" si="343"/>
        <v>2.5</v>
      </c>
      <c r="AG3958" s="580">
        <f t="shared" si="344"/>
        <v>0</v>
      </c>
      <c r="AH3958" s="580">
        <f t="shared" si="345"/>
        <v>0</v>
      </c>
    </row>
    <row r="3959" spans="28:34">
      <c r="AB3959" s="580">
        <f>HLOOKUP("*"&amp;'Output annual'!$AC$2&amp;'Output annual'!$AD$2&amp;"*Zone People Number Of Occupants [](Hourly)",'Eplus results'!$1:$1048576,ROW(),FALSE)</f>
        <v>0</v>
      </c>
      <c r="AC3959" s="580">
        <f>HLOOKUP("*"&amp;'Output annual'!$AC$2&amp;'Output annual'!$AD$2&amp;"*FangerPMV(Hourly)",'Eplus results'!$1:$1048576,ROW(),FALSE)</f>
        <v>0</v>
      </c>
      <c r="AD3959" s="580">
        <f t="shared" si="341"/>
        <v>5</v>
      </c>
      <c r="AE3959" s="580">
        <f t="shared" si="342"/>
        <v>2.5</v>
      </c>
      <c r="AF3959" s="580">
        <f t="shared" si="343"/>
        <v>2.5</v>
      </c>
      <c r="AG3959" s="580">
        <f t="shared" si="344"/>
        <v>0</v>
      </c>
      <c r="AH3959" s="580">
        <f t="shared" si="345"/>
        <v>0</v>
      </c>
    </row>
    <row r="3960" spans="28:34">
      <c r="AB3960" s="580">
        <f>HLOOKUP("*"&amp;'Output annual'!$AC$2&amp;'Output annual'!$AD$2&amp;"*Zone People Number Of Occupants [](Hourly)",'Eplus results'!$1:$1048576,ROW(),FALSE)</f>
        <v>0</v>
      </c>
      <c r="AC3960" s="580">
        <f>HLOOKUP("*"&amp;'Output annual'!$AC$2&amp;'Output annual'!$AD$2&amp;"*FangerPMV(Hourly)",'Eplus results'!$1:$1048576,ROW(),FALSE)</f>
        <v>0</v>
      </c>
      <c r="AD3960" s="580">
        <f t="shared" si="341"/>
        <v>5</v>
      </c>
      <c r="AE3960" s="580">
        <f t="shared" si="342"/>
        <v>2.5</v>
      </c>
      <c r="AF3960" s="580">
        <f t="shared" si="343"/>
        <v>2.5</v>
      </c>
      <c r="AG3960" s="580">
        <f t="shared" si="344"/>
        <v>0</v>
      </c>
      <c r="AH3960" s="580">
        <f t="shared" si="345"/>
        <v>0</v>
      </c>
    </row>
    <row r="3961" spans="28:34">
      <c r="AB3961" s="580">
        <f>HLOOKUP("*"&amp;'Output annual'!$AC$2&amp;'Output annual'!$AD$2&amp;"*Zone People Number Of Occupants [](Hourly)",'Eplus results'!$1:$1048576,ROW(),FALSE)</f>
        <v>0</v>
      </c>
      <c r="AC3961" s="580">
        <f>HLOOKUP("*"&amp;'Output annual'!$AC$2&amp;'Output annual'!$AD$2&amp;"*FangerPMV(Hourly)",'Eplus results'!$1:$1048576,ROW(),FALSE)</f>
        <v>0</v>
      </c>
      <c r="AD3961" s="580">
        <f t="shared" si="341"/>
        <v>5</v>
      </c>
      <c r="AE3961" s="580">
        <f t="shared" si="342"/>
        <v>2.5</v>
      </c>
      <c r="AF3961" s="580">
        <f t="shared" si="343"/>
        <v>2.5</v>
      </c>
      <c r="AG3961" s="580">
        <f t="shared" si="344"/>
        <v>0</v>
      </c>
      <c r="AH3961" s="580">
        <f t="shared" si="345"/>
        <v>0</v>
      </c>
    </row>
    <row r="3962" spans="28:34">
      <c r="AB3962" s="580">
        <f>HLOOKUP("*"&amp;'Output annual'!$AC$2&amp;'Output annual'!$AD$2&amp;"*Zone People Number Of Occupants [](Hourly)",'Eplus results'!$1:$1048576,ROW(),FALSE)</f>
        <v>0</v>
      </c>
      <c r="AC3962" s="580">
        <f>HLOOKUP("*"&amp;'Output annual'!$AC$2&amp;'Output annual'!$AD$2&amp;"*FangerPMV(Hourly)",'Eplus results'!$1:$1048576,ROW(),FALSE)</f>
        <v>0</v>
      </c>
      <c r="AD3962" s="580">
        <f t="shared" si="341"/>
        <v>5</v>
      </c>
      <c r="AE3962" s="580">
        <f t="shared" si="342"/>
        <v>2.5</v>
      </c>
      <c r="AF3962" s="580">
        <f t="shared" si="343"/>
        <v>2.5</v>
      </c>
      <c r="AG3962" s="580">
        <f t="shared" si="344"/>
        <v>0</v>
      </c>
      <c r="AH3962" s="580">
        <f t="shared" si="345"/>
        <v>0</v>
      </c>
    </row>
    <row r="3963" spans="28:34">
      <c r="AB3963" s="580">
        <f>HLOOKUP("*"&amp;'Output annual'!$AC$2&amp;'Output annual'!$AD$2&amp;"*Zone People Number Of Occupants [](Hourly)",'Eplus results'!$1:$1048576,ROW(),FALSE)</f>
        <v>0</v>
      </c>
      <c r="AC3963" s="580">
        <f>HLOOKUP("*"&amp;'Output annual'!$AC$2&amp;'Output annual'!$AD$2&amp;"*FangerPMV(Hourly)",'Eplus results'!$1:$1048576,ROW(),FALSE)</f>
        <v>0</v>
      </c>
      <c r="AD3963" s="580">
        <f t="shared" si="341"/>
        <v>5</v>
      </c>
      <c r="AE3963" s="580">
        <f t="shared" si="342"/>
        <v>2.5</v>
      </c>
      <c r="AF3963" s="580">
        <f t="shared" si="343"/>
        <v>2.5</v>
      </c>
      <c r="AG3963" s="580">
        <f t="shared" si="344"/>
        <v>0</v>
      </c>
      <c r="AH3963" s="580">
        <f t="shared" si="345"/>
        <v>0</v>
      </c>
    </row>
    <row r="3964" spans="28:34">
      <c r="AB3964" s="580">
        <f>HLOOKUP("*"&amp;'Output annual'!$AC$2&amp;'Output annual'!$AD$2&amp;"*Zone People Number Of Occupants [](Hourly)",'Eplus results'!$1:$1048576,ROW(),FALSE)</f>
        <v>0</v>
      </c>
      <c r="AC3964" s="580">
        <f>HLOOKUP("*"&amp;'Output annual'!$AC$2&amp;'Output annual'!$AD$2&amp;"*FangerPMV(Hourly)",'Eplus results'!$1:$1048576,ROW(),FALSE)</f>
        <v>0</v>
      </c>
      <c r="AD3964" s="580">
        <f t="shared" si="341"/>
        <v>5</v>
      </c>
      <c r="AE3964" s="580">
        <f t="shared" si="342"/>
        <v>2.5</v>
      </c>
      <c r="AF3964" s="580">
        <f t="shared" si="343"/>
        <v>2.5</v>
      </c>
      <c r="AG3964" s="580">
        <f t="shared" si="344"/>
        <v>0</v>
      </c>
      <c r="AH3964" s="580">
        <f t="shared" si="345"/>
        <v>0</v>
      </c>
    </row>
    <row r="3965" spans="28:34">
      <c r="AB3965" s="580">
        <f>HLOOKUP("*"&amp;'Output annual'!$AC$2&amp;'Output annual'!$AD$2&amp;"*Zone People Number Of Occupants [](Hourly)",'Eplus results'!$1:$1048576,ROW(),FALSE)</f>
        <v>0</v>
      </c>
      <c r="AC3965" s="580">
        <f>HLOOKUP("*"&amp;'Output annual'!$AC$2&amp;'Output annual'!$AD$2&amp;"*FangerPMV(Hourly)",'Eplus results'!$1:$1048576,ROW(),FALSE)</f>
        <v>0</v>
      </c>
      <c r="AD3965" s="580">
        <f t="shared" si="341"/>
        <v>5</v>
      </c>
      <c r="AE3965" s="580">
        <f t="shared" si="342"/>
        <v>2.5</v>
      </c>
      <c r="AF3965" s="580">
        <f t="shared" si="343"/>
        <v>2.5</v>
      </c>
      <c r="AG3965" s="580">
        <f t="shared" si="344"/>
        <v>0</v>
      </c>
      <c r="AH3965" s="580">
        <f t="shared" si="345"/>
        <v>0</v>
      </c>
    </row>
    <row r="3966" spans="28:34">
      <c r="AB3966" s="580">
        <f>HLOOKUP("*"&amp;'Output annual'!$AC$2&amp;'Output annual'!$AD$2&amp;"*Zone People Number Of Occupants [](Hourly)",'Eplus results'!$1:$1048576,ROW(),FALSE)</f>
        <v>0</v>
      </c>
      <c r="AC3966" s="580">
        <f>HLOOKUP("*"&amp;'Output annual'!$AC$2&amp;'Output annual'!$AD$2&amp;"*FangerPMV(Hourly)",'Eplus results'!$1:$1048576,ROW(),FALSE)</f>
        <v>0</v>
      </c>
      <c r="AD3966" s="580">
        <f t="shared" si="341"/>
        <v>5</v>
      </c>
      <c r="AE3966" s="580">
        <f t="shared" si="342"/>
        <v>2.5</v>
      </c>
      <c r="AF3966" s="580">
        <f t="shared" si="343"/>
        <v>2.5</v>
      </c>
      <c r="AG3966" s="580">
        <f t="shared" si="344"/>
        <v>0</v>
      </c>
      <c r="AH3966" s="580">
        <f t="shared" si="345"/>
        <v>0</v>
      </c>
    </row>
    <row r="3967" spans="28:34">
      <c r="AB3967" s="580">
        <f>HLOOKUP("*"&amp;'Output annual'!$AC$2&amp;'Output annual'!$AD$2&amp;"*Zone People Number Of Occupants [](Hourly)",'Eplus results'!$1:$1048576,ROW(),FALSE)</f>
        <v>0</v>
      </c>
      <c r="AC3967" s="580">
        <f>HLOOKUP("*"&amp;'Output annual'!$AC$2&amp;'Output annual'!$AD$2&amp;"*FangerPMV(Hourly)",'Eplus results'!$1:$1048576,ROW(),FALSE)</f>
        <v>0</v>
      </c>
      <c r="AD3967" s="580">
        <f t="shared" si="341"/>
        <v>5</v>
      </c>
      <c r="AE3967" s="580">
        <f t="shared" si="342"/>
        <v>2.5</v>
      </c>
      <c r="AF3967" s="580">
        <f t="shared" si="343"/>
        <v>2.5</v>
      </c>
      <c r="AG3967" s="580">
        <f t="shared" si="344"/>
        <v>0</v>
      </c>
      <c r="AH3967" s="580">
        <f t="shared" si="345"/>
        <v>0</v>
      </c>
    </row>
    <row r="3968" spans="28:34">
      <c r="AB3968" s="580">
        <f>HLOOKUP("*"&amp;'Output annual'!$AC$2&amp;'Output annual'!$AD$2&amp;"*Zone People Number Of Occupants [](Hourly)",'Eplus results'!$1:$1048576,ROW(),FALSE)</f>
        <v>0</v>
      </c>
      <c r="AC3968" s="580">
        <f>HLOOKUP("*"&amp;'Output annual'!$AC$2&amp;'Output annual'!$AD$2&amp;"*FangerPMV(Hourly)",'Eplus results'!$1:$1048576,ROW(),FALSE)</f>
        <v>0</v>
      </c>
      <c r="AD3968" s="580">
        <f t="shared" si="341"/>
        <v>5</v>
      </c>
      <c r="AE3968" s="580">
        <f t="shared" si="342"/>
        <v>2.5</v>
      </c>
      <c r="AF3968" s="580">
        <f t="shared" si="343"/>
        <v>2.5</v>
      </c>
      <c r="AG3968" s="580">
        <f t="shared" si="344"/>
        <v>0</v>
      </c>
      <c r="AH3968" s="580">
        <f t="shared" si="345"/>
        <v>0</v>
      </c>
    </row>
    <row r="3969" spans="28:34">
      <c r="AB3969" s="580">
        <f>HLOOKUP("*"&amp;'Output annual'!$AC$2&amp;'Output annual'!$AD$2&amp;"*Zone People Number Of Occupants [](Hourly)",'Eplus results'!$1:$1048576,ROW(),FALSE)</f>
        <v>0</v>
      </c>
      <c r="AC3969" s="580">
        <f>HLOOKUP("*"&amp;'Output annual'!$AC$2&amp;'Output annual'!$AD$2&amp;"*FangerPMV(Hourly)",'Eplus results'!$1:$1048576,ROW(),FALSE)</f>
        <v>0</v>
      </c>
      <c r="AD3969" s="580">
        <f t="shared" si="341"/>
        <v>5</v>
      </c>
      <c r="AE3969" s="580">
        <f t="shared" si="342"/>
        <v>2.5</v>
      </c>
      <c r="AF3969" s="580">
        <f t="shared" si="343"/>
        <v>2.5</v>
      </c>
      <c r="AG3969" s="580">
        <f t="shared" si="344"/>
        <v>0</v>
      </c>
      <c r="AH3969" s="580">
        <f t="shared" si="345"/>
        <v>0</v>
      </c>
    </row>
    <row r="3970" spans="28:34">
      <c r="AB3970" s="580">
        <f>HLOOKUP("*"&amp;'Output annual'!$AC$2&amp;'Output annual'!$AD$2&amp;"*Zone People Number Of Occupants [](Hourly)",'Eplus results'!$1:$1048576,ROW(),FALSE)</f>
        <v>0</v>
      </c>
      <c r="AC3970" s="580">
        <f>HLOOKUP("*"&amp;'Output annual'!$AC$2&amp;'Output annual'!$AD$2&amp;"*FangerPMV(Hourly)",'Eplus results'!$1:$1048576,ROW(),FALSE)</f>
        <v>0</v>
      </c>
      <c r="AD3970" s="580">
        <f t="shared" si="341"/>
        <v>5</v>
      </c>
      <c r="AE3970" s="580">
        <f t="shared" si="342"/>
        <v>2.5</v>
      </c>
      <c r="AF3970" s="580">
        <f t="shared" si="343"/>
        <v>2.5</v>
      </c>
      <c r="AG3970" s="580">
        <f t="shared" si="344"/>
        <v>0</v>
      </c>
      <c r="AH3970" s="580">
        <f t="shared" si="345"/>
        <v>0</v>
      </c>
    </row>
    <row r="3971" spans="28:34">
      <c r="AB3971" s="580">
        <f>HLOOKUP("*"&amp;'Output annual'!$AC$2&amp;'Output annual'!$AD$2&amp;"*Zone People Number Of Occupants [](Hourly)",'Eplus results'!$1:$1048576,ROW(),FALSE)</f>
        <v>0</v>
      </c>
      <c r="AC3971" s="580">
        <f>HLOOKUP("*"&amp;'Output annual'!$AC$2&amp;'Output annual'!$AD$2&amp;"*FangerPMV(Hourly)",'Eplus results'!$1:$1048576,ROW(),FALSE)</f>
        <v>0</v>
      </c>
      <c r="AD3971" s="580">
        <f t="shared" ref="AD3971:AD4034" si="346">100-95*EXP(-0.03353*AC3971^4-0.2179*AC3971^2)</f>
        <v>5</v>
      </c>
      <c r="AE3971" s="580">
        <f t="shared" ref="AE3971:AE4034" si="347">AD3971*(1/(1+EXP(-6.3*$AC3971)))</f>
        <v>2.5</v>
      </c>
      <c r="AF3971" s="580">
        <f t="shared" ref="AF3971:AF4034" si="348">(AD3971-AE3971)</f>
        <v>2.5</v>
      </c>
      <c r="AG3971" s="580">
        <f t="shared" ref="AG3971:AG4034" si="349">AE3971*AB3971</f>
        <v>0</v>
      </c>
      <c r="AH3971" s="580">
        <f t="shared" ref="AH3971:AH4034" si="350">AF3971*AB3971</f>
        <v>0</v>
      </c>
    </row>
    <row r="3972" spans="28:34">
      <c r="AB3972" s="580">
        <f>HLOOKUP("*"&amp;'Output annual'!$AC$2&amp;'Output annual'!$AD$2&amp;"*Zone People Number Of Occupants [](Hourly)",'Eplus results'!$1:$1048576,ROW(),FALSE)</f>
        <v>0</v>
      </c>
      <c r="AC3972" s="580">
        <f>HLOOKUP("*"&amp;'Output annual'!$AC$2&amp;'Output annual'!$AD$2&amp;"*FangerPMV(Hourly)",'Eplus results'!$1:$1048576,ROW(),FALSE)</f>
        <v>0</v>
      </c>
      <c r="AD3972" s="580">
        <f t="shared" si="346"/>
        <v>5</v>
      </c>
      <c r="AE3972" s="580">
        <f t="shared" si="347"/>
        <v>2.5</v>
      </c>
      <c r="AF3972" s="580">
        <f t="shared" si="348"/>
        <v>2.5</v>
      </c>
      <c r="AG3972" s="580">
        <f t="shared" si="349"/>
        <v>0</v>
      </c>
      <c r="AH3972" s="580">
        <f t="shared" si="350"/>
        <v>0</v>
      </c>
    </row>
    <row r="3973" spans="28:34">
      <c r="AB3973" s="580">
        <f>HLOOKUP("*"&amp;'Output annual'!$AC$2&amp;'Output annual'!$AD$2&amp;"*Zone People Number Of Occupants [](Hourly)",'Eplus results'!$1:$1048576,ROW(),FALSE)</f>
        <v>0</v>
      </c>
      <c r="AC3973" s="580">
        <f>HLOOKUP("*"&amp;'Output annual'!$AC$2&amp;'Output annual'!$AD$2&amp;"*FangerPMV(Hourly)",'Eplus results'!$1:$1048576,ROW(),FALSE)</f>
        <v>0</v>
      </c>
      <c r="AD3973" s="580">
        <f t="shared" si="346"/>
        <v>5</v>
      </c>
      <c r="AE3973" s="580">
        <f t="shared" si="347"/>
        <v>2.5</v>
      </c>
      <c r="AF3973" s="580">
        <f t="shared" si="348"/>
        <v>2.5</v>
      </c>
      <c r="AG3973" s="580">
        <f t="shared" si="349"/>
        <v>0</v>
      </c>
      <c r="AH3973" s="580">
        <f t="shared" si="350"/>
        <v>0</v>
      </c>
    </row>
    <row r="3974" spans="28:34">
      <c r="AB3974" s="580">
        <f>HLOOKUP("*"&amp;'Output annual'!$AC$2&amp;'Output annual'!$AD$2&amp;"*Zone People Number Of Occupants [](Hourly)",'Eplus results'!$1:$1048576,ROW(),FALSE)</f>
        <v>0</v>
      </c>
      <c r="AC3974" s="580">
        <f>HLOOKUP("*"&amp;'Output annual'!$AC$2&amp;'Output annual'!$AD$2&amp;"*FangerPMV(Hourly)",'Eplus results'!$1:$1048576,ROW(),FALSE)</f>
        <v>0</v>
      </c>
      <c r="AD3974" s="580">
        <f t="shared" si="346"/>
        <v>5</v>
      </c>
      <c r="AE3974" s="580">
        <f t="shared" si="347"/>
        <v>2.5</v>
      </c>
      <c r="AF3974" s="580">
        <f t="shared" si="348"/>
        <v>2.5</v>
      </c>
      <c r="AG3974" s="580">
        <f t="shared" si="349"/>
        <v>0</v>
      </c>
      <c r="AH3974" s="580">
        <f t="shared" si="350"/>
        <v>0</v>
      </c>
    </row>
    <row r="3975" spans="28:34">
      <c r="AB3975" s="580">
        <f>HLOOKUP("*"&amp;'Output annual'!$AC$2&amp;'Output annual'!$AD$2&amp;"*Zone People Number Of Occupants [](Hourly)",'Eplus results'!$1:$1048576,ROW(),FALSE)</f>
        <v>0</v>
      </c>
      <c r="AC3975" s="580">
        <f>HLOOKUP("*"&amp;'Output annual'!$AC$2&amp;'Output annual'!$AD$2&amp;"*FangerPMV(Hourly)",'Eplus results'!$1:$1048576,ROW(),FALSE)</f>
        <v>0</v>
      </c>
      <c r="AD3975" s="580">
        <f t="shared" si="346"/>
        <v>5</v>
      </c>
      <c r="AE3975" s="580">
        <f t="shared" si="347"/>
        <v>2.5</v>
      </c>
      <c r="AF3975" s="580">
        <f t="shared" si="348"/>
        <v>2.5</v>
      </c>
      <c r="AG3975" s="580">
        <f t="shared" si="349"/>
        <v>0</v>
      </c>
      <c r="AH3975" s="580">
        <f t="shared" si="350"/>
        <v>0</v>
      </c>
    </row>
    <row r="3976" spans="28:34">
      <c r="AB3976" s="580">
        <f>HLOOKUP("*"&amp;'Output annual'!$AC$2&amp;'Output annual'!$AD$2&amp;"*Zone People Number Of Occupants [](Hourly)",'Eplus results'!$1:$1048576,ROW(),FALSE)</f>
        <v>0</v>
      </c>
      <c r="AC3976" s="580">
        <f>HLOOKUP("*"&amp;'Output annual'!$AC$2&amp;'Output annual'!$AD$2&amp;"*FangerPMV(Hourly)",'Eplus results'!$1:$1048576,ROW(),FALSE)</f>
        <v>0</v>
      </c>
      <c r="AD3976" s="580">
        <f t="shared" si="346"/>
        <v>5</v>
      </c>
      <c r="AE3976" s="580">
        <f t="shared" si="347"/>
        <v>2.5</v>
      </c>
      <c r="AF3976" s="580">
        <f t="shared" si="348"/>
        <v>2.5</v>
      </c>
      <c r="AG3976" s="580">
        <f t="shared" si="349"/>
        <v>0</v>
      </c>
      <c r="AH3976" s="580">
        <f t="shared" si="350"/>
        <v>0</v>
      </c>
    </row>
    <row r="3977" spans="28:34">
      <c r="AB3977" s="580">
        <f>HLOOKUP("*"&amp;'Output annual'!$AC$2&amp;'Output annual'!$AD$2&amp;"*Zone People Number Of Occupants [](Hourly)",'Eplus results'!$1:$1048576,ROW(),FALSE)</f>
        <v>0</v>
      </c>
      <c r="AC3977" s="580">
        <f>HLOOKUP("*"&amp;'Output annual'!$AC$2&amp;'Output annual'!$AD$2&amp;"*FangerPMV(Hourly)",'Eplus results'!$1:$1048576,ROW(),FALSE)</f>
        <v>0</v>
      </c>
      <c r="AD3977" s="580">
        <f t="shared" si="346"/>
        <v>5</v>
      </c>
      <c r="AE3977" s="580">
        <f t="shared" si="347"/>
        <v>2.5</v>
      </c>
      <c r="AF3977" s="580">
        <f t="shared" si="348"/>
        <v>2.5</v>
      </c>
      <c r="AG3977" s="580">
        <f t="shared" si="349"/>
        <v>0</v>
      </c>
      <c r="AH3977" s="580">
        <f t="shared" si="350"/>
        <v>0</v>
      </c>
    </row>
    <row r="3978" spans="28:34">
      <c r="AB3978" s="580">
        <f>HLOOKUP("*"&amp;'Output annual'!$AC$2&amp;'Output annual'!$AD$2&amp;"*Zone People Number Of Occupants [](Hourly)",'Eplus results'!$1:$1048576,ROW(),FALSE)</f>
        <v>0</v>
      </c>
      <c r="AC3978" s="580">
        <f>HLOOKUP("*"&amp;'Output annual'!$AC$2&amp;'Output annual'!$AD$2&amp;"*FangerPMV(Hourly)",'Eplus results'!$1:$1048576,ROW(),FALSE)</f>
        <v>0</v>
      </c>
      <c r="AD3978" s="580">
        <f t="shared" si="346"/>
        <v>5</v>
      </c>
      <c r="AE3978" s="580">
        <f t="shared" si="347"/>
        <v>2.5</v>
      </c>
      <c r="AF3978" s="580">
        <f t="shared" si="348"/>
        <v>2.5</v>
      </c>
      <c r="AG3978" s="580">
        <f t="shared" si="349"/>
        <v>0</v>
      </c>
      <c r="AH3978" s="580">
        <f t="shared" si="350"/>
        <v>0</v>
      </c>
    </row>
    <row r="3979" spans="28:34">
      <c r="AB3979" s="580">
        <f>HLOOKUP("*"&amp;'Output annual'!$AC$2&amp;'Output annual'!$AD$2&amp;"*Zone People Number Of Occupants [](Hourly)",'Eplus results'!$1:$1048576,ROW(),FALSE)</f>
        <v>0</v>
      </c>
      <c r="AC3979" s="580">
        <f>HLOOKUP("*"&amp;'Output annual'!$AC$2&amp;'Output annual'!$AD$2&amp;"*FangerPMV(Hourly)",'Eplus results'!$1:$1048576,ROW(),FALSE)</f>
        <v>0</v>
      </c>
      <c r="AD3979" s="580">
        <f t="shared" si="346"/>
        <v>5</v>
      </c>
      <c r="AE3979" s="580">
        <f t="shared" si="347"/>
        <v>2.5</v>
      </c>
      <c r="AF3979" s="580">
        <f t="shared" si="348"/>
        <v>2.5</v>
      </c>
      <c r="AG3979" s="580">
        <f t="shared" si="349"/>
        <v>0</v>
      </c>
      <c r="AH3979" s="580">
        <f t="shared" si="350"/>
        <v>0</v>
      </c>
    </row>
    <row r="3980" spans="28:34">
      <c r="AB3980" s="580">
        <f>HLOOKUP("*"&amp;'Output annual'!$AC$2&amp;'Output annual'!$AD$2&amp;"*Zone People Number Of Occupants [](Hourly)",'Eplus results'!$1:$1048576,ROW(),FALSE)</f>
        <v>0</v>
      </c>
      <c r="AC3980" s="580">
        <f>HLOOKUP("*"&amp;'Output annual'!$AC$2&amp;'Output annual'!$AD$2&amp;"*FangerPMV(Hourly)",'Eplus results'!$1:$1048576,ROW(),FALSE)</f>
        <v>0</v>
      </c>
      <c r="AD3980" s="580">
        <f t="shared" si="346"/>
        <v>5</v>
      </c>
      <c r="AE3980" s="580">
        <f t="shared" si="347"/>
        <v>2.5</v>
      </c>
      <c r="AF3980" s="580">
        <f t="shared" si="348"/>
        <v>2.5</v>
      </c>
      <c r="AG3980" s="580">
        <f t="shared" si="349"/>
        <v>0</v>
      </c>
      <c r="AH3980" s="580">
        <f t="shared" si="350"/>
        <v>0</v>
      </c>
    </row>
    <row r="3981" spans="28:34">
      <c r="AB3981" s="580">
        <f>HLOOKUP("*"&amp;'Output annual'!$AC$2&amp;'Output annual'!$AD$2&amp;"*Zone People Number Of Occupants [](Hourly)",'Eplus results'!$1:$1048576,ROW(),FALSE)</f>
        <v>0</v>
      </c>
      <c r="AC3981" s="580">
        <f>HLOOKUP("*"&amp;'Output annual'!$AC$2&amp;'Output annual'!$AD$2&amp;"*FangerPMV(Hourly)",'Eplus results'!$1:$1048576,ROW(),FALSE)</f>
        <v>0</v>
      </c>
      <c r="AD3981" s="580">
        <f t="shared" si="346"/>
        <v>5</v>
      </c>
      <c r="AE3981" s="580">
        <f t="shared" si="347"/>
        <v>2.5</v>
      </c>
      <c r="AF3981" s="580">
        <f t="shared" si="348"/>
        <v>2.5</v>
      </c>
      <c r="AG3981" s="580">
        <f t="shared" si="349"/>
        <v>0</v>
      </c>
      <c r="AH3981" s="580">
        <f t="shared" si="350"/>
        <v>0</v>
      </c>
    </row>
    <row r="3982" spans="28:34">
      <c r="AB3982" s="580">
        <f>HLOOKUP("*"&amp;'Output annual'!$AC$2&amp;'Output annual'!$AD$2&amp;"*Zone People Number Of Occupants [](Hourly)",'Eplus results'!$1:$1048576,ROW(),FALSE)</f>
        <v>0</v>
      </c>
      <c r="AC3982" s="580">
        <f>HLOOKUP("*"&amp;'Output annual'!$AC$2&amp;'Output annual'!$AD$2&amp;"*FangerPMV(Hourly)",'Eplus results'!$1:$1048576,ROW(),FALSE)</f>
        <v>0</v>
      </c>
      <c r="AD3982" s="580">
        <f t="shared" si="346"/>
        <v>5</v>
      </c>
      <c r="AE3982" s="580">
        <f t="shared" si="347"/>
        <v>2.5</v>
      </c>
      <c r="AF3982" s="580">
        <f t="shared" si="348"/>
        <v>2.5</v>
      </c>
      <c r="AG3982" s="580">
        <f t="shared" si="349"/>
        <v>0</v>
      </c>
      <c r="AH3982" s="580">
        <f t="shared" si="350"/>
        <v>0</v>
      </c>
    </row>
    <row r="3983" spans="28:34">
      <c r="AB3983" s="580">
        <f>HLOOKUP("*"&amp;'Output annual'!$AC$2&amp;'Output annual'!$AD$2&amp;"*Zone People Number Of Occupants [](Hourly)",'Eplus results'!$1:$1048576,ROW(),FALSE)</f>
        <v>0</v>
      </c>
      <c r="AC3983" s="580">
        <f>HLOOKUP("*"&amp;'Output annual'!$AC$2&amp;'Output annual'!$AD$2&amp;"*FangerPMV(Hourly)",'Eplus results'!$1:$1048576,ROW(),FALSE)</f>
        <v>0</v>
      </c>
      <c r="AD3983" s="580">
        <f t="shared" si="346"/>
        <v>5</v>
      </c>
      <c r="AE3983" s="580">
        <f t="shared" si="347"/>
        <v>2.5</v>
      </c>
      <c r="AF3983" s="580">
        <f t="shared" si="348"/>
        <v>2.5</v>
      </c>
      <c r="AG3983" s="580">
        <f t="shared" si="349"/>
        <v>0</v>
      </c>
      <c r="AH3983" s="580">
        <f t="shared" si="350"/>
        <v>0</v>
      </c>
    </row>
    <row r="3984" spans="28:34">
      <c r="AB3984" s="580">
        <f>HLOOKUP("*"&amp;'Output annual'!$AC$2&amp;'Output annual'!$AD$2&amp;"*Zone People Number Of Occupants [](Hourly)",'Eplus results'!$1:$1048576,ROW(),FALSE)</f>
        <v>0</v>
      </c>
      <c r="AC3984" s="580">
        <f>HLOOKUP("*"&amp;'Output annual'!$AC$2&amp;'Output annual'!$AD$2&amp;"*FangerPMV(Hourly)",'Eplus results'!$1:$1048576,ROW(),FALSE)</f>
        <v>0</v>
      </c>
      <c r="AD3984" s="580">
        <f t="shared" si="346"/>
        <v>5</v>
      </c>
      <c r="AE3984" s="580">
        <f t="shared" si="347"/>
        <v>2.5</v>
      </c>
      <c r="AF3984" s="580">
        <f t="shared" si="348"/>
        <v>2.5</v>
      </c>
      <c r="AG3984" s="580">
        <f t="shared" si="349"/>
        <v>0</v>
      </c>
      <c r="AH3984" s="580">
        <f t="shared" si="350"/>
        <v>0</v>
      </c>
    </row>
    <row r="3985" spans="28:34">
      <c r="AB3985" s="580">
        <f>HLOOKUP("*"&amp;'Output annual'!$AC$2&amp;'Output annual'!$AD$2&amp;"*Zone People Number Of Occupants [](Hourly)",'Eplus results'!$1:$1048576,ROW(),FALSE)</f>
        <v>0</v>
      </c>
      <c r="AC3985" s="580">
        <f>HLOOKUP("*"&amp;'Output annual'!$AC$2&amp;'Output annual'!$AD$2&amp;"*FangerPMV(Hourly)",'Eplus results'!$1:$1048576,ROW(),FALSE)</f>
        <v>0</v>
      </c>
      <c r="AD3985" s="580">
        <f t="shared" si="346"/>
        <v>5</v>
      </c>
      <c r="AE3985" s="580">
        <f t="shared" si="347"/>
        <v>2.5</v>
      </c>
      <c r="AF3985" s="580">
        <f t="shared" si="348"/>
        <v>2.5</v>
      </c>
      <c r="AG3985" s="580">
        <f t="shared" si="349"/>
        <v>0</v>
      </c>
      <c r="AH3985" s="580">
        <f t="shared" si="350"/>
        <v>0</v>
      </c>
    </row>
    <row r="3986" spans="28:34">
      <c r="AB3986" s="580">
        <f>HLOOKUP("*"&amp;'Output annual'!$AC$2&amp;'Output annual'!$AD$2&amp;"*Zone People Number Of Occupants [](Hourly)",'Eplus results'!$1:$1048576,ROW(),FALSE)</f>
        <v>0</v>
      </c>
      <c r="AC3986" s="580">
        <f>HLOOKUP("*"&amp;'Output annual'!$AC$2&amp;'Output annual'!$AD$2&amp;"*FangerPMV(Hourly)",'Eplus results'!$1:$1048576,ROW(),FALSE)</f>
        <v>0</v>
      </c>
      <c r="AD3986" s="580">
        <f t="shared" si="346"/>
        <v>5</v>
      </c>
      <c r="AE3986" s="580">
        <f t="shared" si="347"/>
        <v>2.5</v>
      </c>
      <c r="AF3986" s="580">
        <f t="shared" si="348"/>
        <v>2.5</v>
      </c>
      <c r="AG3986" s="580">
        <f t="shared" si="349"/>
        <v>0</v>
      </c>
      <c r="AH3986" s="580">
        <f t="shared" si="350"/>
        <v>0</v>
      </c>
    </row>
    <row r="3987" spans="28:34">
      <c r="AB3987" s="580">
        <f>HLOOKUP("*"&amp;'Output annual'!$AC$2&amp;'Output annual'!$AD$2&amp;"*Zone People Number Of Occupants [](Hourly)",'Eplus results'!$1:$1048576,ROW(),FALSE)</f>
        <v>0</v>
      </c>
      <c r="AC3987" s="580">
        <f>HLOOKUP("*"&amp;'Output annual'!$AC$2&amp;'Output annual'!$AD$2&amp;"*FangerPMV(Hourly)",'Eplus results'!$1:$1048576,ROW(),FALSE)</f>
        <v>0</v>
      </c>
      <c r="AD3987" s="580">
        <f t="shared" si="346"/>
        <v>5</v>
      </c>
      <c r="AE3987" s="580">
        <f t="shared" si="347"/>
        <v>2.5</v>
      </c>
      <c r="AF3987" s="580">
        <f t="shared" si="348"/>
        <v>2.5</v>
      </c>
      <c r="AG3987" s="580">
        <f t="shared" si="349"/>
        <v>0</v>
      </c>
      <c r="AH3987" s="580">
        <f t="shared" si="350"/>
        <v>0</v>
      </c>
    </row>
    <row r="3988" spans="28:34">
      <c r="AB3988" s="580">
        <f>HLOOKUP("*"&amp;'Output annual'!$AC$2&amp;'Output annual'!$AD$2&amp;"*Zone People Number Of Occupants [](Hourly)",'Eplus results'!$1:$1048576,ROW(),FALSE)</f>
        <v>0</v>
      </c>
      <c r="AC3988" s="580">
        <f>HLOOKUP("*"&amp;'Output annual'!$AC$2&amp;'Output annual'!$AD$2&amp;"*FangerPMV(Hourly)",'Eplus results'!$1:$1048576,ROW(),FALSE)</f>
        <v>0</v>
      </c>
      <c r="AD3988" s="580">
        <f t="shared" si="346"/>
        <v>5</v>
      </c>
      <c r="AE3988" s="580">
        <f t="shared" si="347"/>
        <v>2.5</v>
      </c>
      <c r="AF3988" s="580">
        <f t="shared" si="348"/>
        <v>2.5</v>
      </c>
      <c r="AG3988" s="580">
        <f t="shared" si="349"/>
        <v>0</v>
      </c>
      <c r="AH3988" s="580">
        <f t="shared" si="350"/>
        <v>0</v>
      </c>
    </row>
    <row r="3989" spans="28:34">
      <c r="AB3989" s="580">
        <f>HLOOKUP("*"&amp;'Output annual'!$AC$2&amp;'Output annual'!$AD$2&amp;"*Zone People Number Of Occupants [](Hourly)",'Eplus results'!$1:$1048576,ROW(),FALSE)</f>
        <v>0</v>
      </c>
      <c r="AC3989" s="580">
        <f>HLOOKUP("*"&amp;'Output annual'!$AC$2&amp;'Output annual'!$AD$2&amp;"*FangerPMV(Hourly)",'Eplus results'!$1:$1048576,ROW(),FALSE)</f>
        <v>0</v>
      </c>
      <c r="AD3989" s="580">
        <f t="shared" si="346"/>
        <v>5</v>
      </c>
      <c r="AE3989" s="580">
        <f t="shared" si="347"/>
        <v>2.5</v>
      </c>
      <c r="AF3989" s="580">
        <f t="shared" si="348"/>
        <v>2.5</v>
      </c>
      <c r="AG3989" s="580">
        <f t="shared" si="349"/>
        <v>0</v>
      </c>
      <c r="AH3989" s="580">
        <f t="shared" si="350"/>
        <v>0</v>
      </c>
    </row>
    <row r="3990" spans="28:34">
      <c r="AB3990" s="580">
        <f>HLOOKUP("*"&amp;'Output annual'!$AC$2&amp;'Output annual'!$AD$2&amp;"*Zone People Number Of Occupants [](Hourly)",'Eplus results'!$1:$1048576,ROW(),FALSE)</f>
        <v>0</v>
      </c>
      <c r="AC3990" s="580">
        <f>HLOOKUP("*"&amp;'Output annual'!$AC$2&amp;'Output annual'!$AD$2&amp;"*FangerPMV(Hourly)",'Eplus results'!$1:$1048576,ROW(),FALSE)</f>
        <v>0</v>
      </c>
      <c r="AD3990" s="580">
        <f t="shared" si="346"/>
        <v>5</v>
      </c>
      <c r="AE3990" s="580">
        <f t="shared" si="347"/>
        <v>2.5</v>
      </c>
      <c r="AF3990" s="580">
        <f t="shared" si="348"/>
        <v>2.5</v>
      </c>
      <c r="AG3990" s="580">
        <f t="shared" si="349"/>
        <v>0</v>
      </c>
      <c r="AH3990" s="580">
        <f t="shared" si="350"/>
        <v>0</v>
      </c>
    </row>
    <row r="3991" spans="28:34">
      <c r="AB3991" s="580">
        <f>HLOOKUP("*"&amp;'Output annual'!$AC$2&amp;'Output annual'!$AD$2&amp;"*Zone People Number Of Occupants [](Hourly)",'Eplus results'!$1:$1048576,ROW(),FALSE)</f>
        <v>0</v>
      </c>
      <c r="AC3991" s="580">
        <f>HLOOKUP("*"&amp;'Output annual'!$AC$2&amp;'Output annual'!$AD$2&amp;"*FangerPMV(Hourly)",'Eplus results'!$1:$1048576,ROW(),FALSE)</f>
        <v>0</v>
      </c>
      <c r="AD3991" s="580">
        <f t="shared" si="346"/>
        <v>5</v>
      </c>
      <c r="AE3991" s="580">
        <f t="shared" si="347"/>
        <v>2.5</v>
      </c>
      <c r="AF3991" s="580">
        <f t="shared" si="348"/>
        <v>2.5</v>
      </c>
      <c r="AG3991" s="580">
        <f t="shared" si="349"/>
        <v>0</v>
      </c>
      <c r="AH3991" s="580">
        <f t="shared" si="350"/>
        <v>0</v>
      </c>
    </row>
    <row r="3992" spans="28:34">
      <c r="AB3992" s="580">
        <f>HLOOKUP("*"&amp;'Output annual'!$AC$2&amp;'Output annual'!$AD$2&amp;"*Zone People Number Of Occupants [](Hourly)",'Eplus results'!$1:$1048576,ROW(),FALSE)</f>
        <v>0</v>
      </c>
      <c r="AC3992" s="580">
        <f>HLOOKUP("*"&amp;'Output annual'!$AC$2&amp;'Output annual'!$AD$2&amp;"*FangerPMV(Hourly)",'Eplus results'!$1:$1048576,ROW(),FALSE)</f>
        <v>0</v>
      </c>
      <c r="AD3992" s="580">
        <f t="shared" si="346"/>
        <v>5</v>
      </c>
      <c r="AE3992" s="580">
        <f t="shared" si="347"/>
        <v>2.5</v>
      </c>
      <c r="AF3992" s="580">
        <f t="shared" si="348"/>
        <v>2.5</v>
      </c>
      <c r="AG3992" s="580">
        <f t="shared" si="349"/>
        <v>0</v>
      </c>
      <c r="AH3992" s="580">
        <f t="shared" si="350"/>
        <v>0</v>
      </c>
    </row>
    <row r="3993" spans="28:34">
      <c r="AB3993" s="580">
        <f>HLOOKUP("*"&amp;'Output annual'!$AC$2&amp;'Output annual'!$AD$2&amp;"*Zone People Number Of Occupants [](Hourly)",'Eplus results'!$1:$1048576,ROW(),FALSE)</f>
        <v>0</v>
      </c>
      <c r="AC3993" s="580">
        <f>HLOOKUP("*"&amp;'Output annual'!$AC$2&amp;'Output annual'!$AD$2&amp;"*FangerPMV(Hourly)",'Eplus results'!$1:$1048576,ROW(),FALSE)</f>
        <v>0</v>
      </c>
      <c r="AD3993" s="580">
        <f t="shared" si="346"/>
        <v>5</v>
      </c>
      <c r="AE3993" s="580">
        <f t="shared" si="347"/>
        <v>2.5</v>
      </c>
      <c r="AF3993" s="580">
        <f t="shared" si="348"/>
        <v>2.5</v>
      </c>
      <c r="AG3993" s="580">
        <f t="shared" si="349"/>
        <v>0</v>
      </c>
      <c r="AH3993" s="580">
        <f t="shared" si="350"/>
        <v>0</v>
      </c>
    </row>
    <row r="3994" spans="28:34">
      <c r="AB3994" s="580">
        <f>HLOOKUP("*"&amp;'Output annual'!$AC$2&amp;'Output annual'!$AD$2&amp;"*Zone People Number Of Occupants [](Hourly)",'Eplus results'!$1:$1048576,ROW(),FALSE)</f>
        <v>0</v>
      </c>
      <c r="AC3994" s="580">
        <f>HLOOKUP("*"&amp;'Output annual'!$AC$2&amp;'Output annual'!$AD$2&amp;"*FangerPMV(Hourly)",'Eplus results'!$1:$1048576,ROW(),FALSE)</f>
        <v>0</v>
      </c>
      <c r="AD3994" s="580">
        <f t="shared" si="346"/>
        <v>5</v>
      </c>
      <c r="AE3994" s="580">
        <f t="shared" si="347"/>
        <v>2.5</v>
      </c>
      <c r="AF3994" s="580">
        <f t="shared" si="348"/>
        <v>2.5</v>
      </c>
      <c r="AG3994" s="580">
        <f t="shared" si="349"/>
        <v>0</v>
      </c>
      <c r="AH3994" s="580">
        <f t="shared" si="350"/>
        <v>0</v>
      </c>
    </row>
    <row r="3995" spans="28:34">
      <c r="AB3995" s="580">
        <f>HLOOKUP("*"&amp;'Output annual'!$AC$2&amp;'Output annual'!$AD$2&amp;"*Zone People Number Of Occupants [](Hourly)",'Eplus results'!$1:$1048576,ROW(),FALSE)</f>
        <v>0</v>
      </c>
      <c r="AC3995" s="580">
        <f>HLOOKUP("*"&amp;'Output annual'!$AC$2&amp;'Output annual'!$AD$2&amp;"*FangerPMV(Hourly)",'Eplus results'!$1:$1048576,ROW(),FALSE)</f>
        <v>0</v>
      </c>
      <c r="AD3995" s="580">
        <f t="shared" si="346"/>
        <v>5</v>
      </c>
      <c r="AE3995" s="580">
        <f t="shared" si="347"/>
        <v>2.5</v>
      </c>
      <c r="AF3995" s="580">
        <f t="shared" si="348"/>
        <v>2.5</v>
      </c>
      <c r="AG3995" s="580">
        <f t="shared" si="349"/>
        <v>0</v>
      </c>
      <c r="AH3995" s="580">
        <f t="shared" si="350"/>
        <v>0</v>
      </c>
    </row>
    <row r="3996" spans="28:34">
      <c r="AB3996" s="580">
        <f>HLOOKUP("*"&amp;'Output annual'!$AC$2&amp;'Output annual'!$AD$2&amp;"*Zone People Number Of Occupants [](Hourly)",'Eplus results'!$1:$1048576,ROW(),FALSE)</f>
        <v>0</v>
      </c>
      <c r="AC3996" s="580">
        <f>HLOOKUP("*"&amp;'Output annual'!$AC$2&amp;'Output annual'!$AD$2&amp;"*FangerPMV(Hourly)",'Eplus results'!$1:$1048576,ROW(),FALSE)</f>
        <v>0</v>
      </c>
      <c r="AD3996" s="580">
        <f t="shared" si="346"/>
        <v>5</v>
      </c>
      <c r="AE3996" s="580">
        <f t="shared" si="347"/>
        <v>2.5</v>
      </c>
      <c r="AF3996" s="580">
        <f t="shared" si="348"/>
        <v>2.5</v>
      </c>
      <c r="AG3996" s="580">
        <f t="shared" si="349"/>
        <v>0</v>
      </c>
      <c r="AH3996" s="580">
        <f t="shared" si="350"/>
        <v>0</v>
      </c>
    </row>
    <row r="3997" spans="28:34">
      <c r="AB3997" s="580">
        <f>HLOOKUP("*"&amp;'Output annual'!$AC$2&amp;'Output annual'!$AD$2&amp;"*Zone People Number Of Occupants [](Hourly)",'Eplus results'!$1:$1048576,ROW(),FALSE)</f>
        <v>0</v>
      </c>
      <c r="AC3997" s="580">
        <f>HLOOKUP("*"&amp;'Output annual'!$AC$2&amp;'Output annual'!$AD$2&amp;"*FangerPMV(Hourly)",'Eplus results'!$1:$1048576,ROW(),FALSE)</f>
        <v>0</v>
      </c>
      <c r="AD3997" s="580">
        <f t="shared" si="346"/>
        <v>5</v>
      </c>
      <c r="AE3997" s="580">
        <f t="shared" si="347"/>
        <v>2.5</v>
      </c>
      <c r="AF3997" s="580">
        <f t="shared" si="348"/>
        <v>2.5</v>
      </c>
      <c r="AG3997" s="580">
        <f t="shared" si="349"/>
        <v>0</v>
      </c>
      <c r="AH3997" s="580">
        <f t="shared" si="350"/>
        <v>0</v>
      </c>
    </row>
    <row r="3998" spans="28:34">
      <c r="AB3998" s="580">
        <f>HLOOKUP("*"&amp;'Output annual'!$AC$2&amp;'Output annual'!$AD$2&amp;"*Zone People Number Of Occupants [](Hourly)",'Eplus results'!$1:$1048576,ROW(),FALSE)</f>
        <v>0</v>
      </c>
      <c r="AC3998" s="580">
        <f>HLOOKUP("*"&amp;'Output annual'!$AC$2&amp;'Output annual'!$AD$2&amp;"*FangerPMV(Hourly)",'Eplus results'!$1:$1048576,ROW(),FALSE)</f>
        <v>0</v>
      </c>
      <c r="AD3998" s="580">
        <f t="shared" si="346"/>
        <v>5</v>
      </c>
      <c r="AE3998" s="580">
        <f t="shared" si="347"/>
        <v>2.5</v>
      </c>
      <c r="AF3998" s="580">
        <f t="shared" si="348"/>
        <v>2.5</v>
      </c>
      <c r="AG3998" s="580">
        <f t="shared" si="349"/>
        <v>0</v>
      </c>
      <c r="AH3998" s="580">
        <f t="shared" si="350"/>
        <v>0</v>
      </c>
    </row>
    <row r="3999" spans="28:34">
      <c r="AB3999" s="580">
        <f>HLOOKUP("*"&amp;'Output annual'!$AC$2&amp;'Output annual'!$AD$2&amp;"*Zone People Number Of Occupants [](Hourly)",'Eplus results'!$1:$1048576,ROW(),FALSE)</f>
        <v>0</v>
      </c>
      <c r="AC3999" s="580">
        <f>HLOOKUP("*"&amp;'Output annual'!$AC$2&amp;'Output annual'!$AD$2&amp;"*FangerPMV(Hourly)",'Eplus results'!$1:$1048576,ROW(),FALSE)</f>
        <v>0</v>
      </c>
      <c r="AD3999" s="580">
        <f t="shared" si="346"/>
        <v>5</v>
      </c>
      <c r="AE3999" s="580">
        <f t="shared" si="347"/>
        <v>2.5</v>
      </c>
      <c r="AF3999" s="580">
        <f t="shared" si="348"/>
        <v>2.5</v>
      </c>
      <c r="AG3999" s="580">
        <f t="shared" si="349"/>
        <v>0</v>
      </c>
      <c r="AH3999" s="580">
        <f t="shared" si="350"/>
        <v>0</v>
      </c>
    </row>
    <row r="4000" spans="28:34">
      <c r="AB4000" s="580">
        <f>HLOOKUP("*"&amp;'Output annual'!$AC$2&amp;'Output annual'!$AD$2&amp;"*Zone People Number Of Occupants [](Hourly)",'Eplus results'!$1:$1048576,ROW(),FALSE)</f>
        <v>0</v>
      </c>
      <c r="AC4000" s="580">
        <f>HLOOKUP("*"&amp;'Output annual'!$AC$2&amp;'Output annual'!$AD$2&amp;"*FangerPMV(Hourly)",'Eplus results'!$1:$1048576,ROW(),FALSE)</f>
        <v>0</v>
      </c>
      <c r="AD4000" s="580">
        <f t="shared" si="346"/>
        <v>5</v>
      </c>
      <c r="AE4000" s="580">
        <f t="shared" si="347"/>
        <v>2.5</v>
      </c>
      <c r="AF4000" s="580">
        <f t="shared" si="348"/>
        <v>2.5</v>
      </c>
      <c r="AG4000" s="580">
        <f t="shared" si="349"/>
        <v>0</v>
      </c>
      <c r="AH4000" s="580">
        <f t="shared" si="350"/>
        <v>0</v>
      </c>
    </row>
    <row r="4001" spans="28:34">
      <c r="AB4001" s="580">
        <f>HLOOKUP("*"&amp;'Output annual'!$AC$2&amp;'Output annual'!$AD$2&amp;"*Zone People Number Of Occupants [](Hourly)",'Eplus results'!$1:$1048576,ROW(),FALSE)</f>
        <v>0</v>
      </c>
      <c r="AC4001" s="580">
        <f>HLOOKUP("*"&amp;'Output annual'!$AC$2&amp;'Output annual'!$AD$2&amp;"*FangerPMV(Hourly)",'Eplus results'!$1:$1048576,ROW(),FALSE)</f>
        <v>0</v>
      </c>
      <c r="AD4001" s="580">
        <f t="shared" si="346"/>
        <v>5</v>
      </c>
      <c r="AE4001" s="580">
        <f t="shared" si="347"/>
        <v>2.5</v>
      </c>
      <c r="AF4001" s="580">
        <f t="shared" si="348"/>
        <v>2.5</v>
      </c>
      <c r="AG4001" s="580">
        <f t="shared" si="349"/>
        <v>0</v>
      </c>
      <c r="AH4001" s="580">
        <f t="shared" si="350"/>
        <v>0</v>
      </c>
    </row>
    <row r="4002" spans="28:34">
      <c r="AB4002" s="580">
        <f>HLOOKUP("*"&amp;'Output annual'!$AC$2&amp;'Output annual'!$AD$2&amp;"*Zone People Number Of Occupants [](Hourly)",'Eplus results'!$1:$1048576,ROW(),FALSE)</f>
        <v>0</v>
      </c>
      <c r="AC4002" s="580">
        <f>HLOOKUP("*"&amp;'Output annual'!$AC$2&amp;'Output annual'!$AD$2&amp;"*FangerPMV(Hourly)",'Eplus results'!$1:$1048576,ROW(),FALSE)</f>
        <v>0</v>
      </c>
      <c r="AD4002" s="580">
        <f t="shared" si="346"/>
        <v>5</v>
      </c>
      <c r="AE4002" s="580">
        <f t="shared" si="347"/>
        <v>2.5</v>
      </c>
      <c r="AF4002" s="580">
        <f t="shared" si="348"/>
        <v>2.5</v>
      </c>
      <c r="AG4002" s="580">
        <f t="shared" si="349"/>
        <v>0</v>
      </c>
      <c r="AH4002" s="580">
        <f t="shared" si="350"/>
        <v>0</v>
      </c>
    </row>
    <row r="4003" spans="28:34">
      <c r="AB4003" s="580">
        <f>HLOOKUP("*"&amp;'Output annual'!$AC$2&amp;'Output annual'!$AD$2&amp;"*Zone People Number Of Occupants [](Hourly)",'Eplus results'!$1:$1048576,ROW(),FALSE)</f>
        <v>0</v>
      </c>
      <c r="AC4003" s="580">
        <f>HLOOKUP("*"&amp;'Output annual'!$AC$2&amp;'Output annual'!$AD$2&amp;"*FangerPMV(Hourly)",'Eplus results'!$1:$1048576,ROW(),FALSE)</f>
        <v>0</v>
      </c>
      <c r="AD4003" s="580">
        <f t="shared" si="346"/>
        <v>5</v>
      </c>
      <c r="AE4003" s="580">
        <f t="shared" si="347"/>
        <v>2.5</v>
      </c>
      <c r="AF4003" s="580">
        <f t="shared" si="348"/>
        <v>2.5</v>
      </c>
      <c r="AG4003" s="580">
        <f t="shared" si="349"/>
        <v>0</v>
      </c>
      <c r="AH4003" s="580">
        <f t="shared" si="350"/>
        <v>0</v>
      </c>
    </row>
    <row r="4004" spans="28:34">
      <c r="AB4004" s="580">
        <f>HLOOKUP("*"&amp;'Output annual'!$AC$2&amp;'Output annual'!$AD$2&amp;"*Zone People Number Of Occupants [](Hourly)",'Eplus results'!$1:$1048576,ROW(),FALSE)</f>
        <v>0</v>
      </c>
      <c r="AC4004" s="580">
        <f>HLOOKUP("*"&amp;'Output annual'!$AC$2&amp;'Output annual'!$AD$2&amp;"*FangerPMV(Hourly)",'Eplus results'!$1:$1048576,ROW(),FALSE)</f>
        <v>0</v>
      </c>
      <c r="AD4004" s="580">
        <f t="shared" si="346"/>
        <v>5</v>
      </c>
      <c r="AE4004" s="580">
        <f t="shared" si="347"/>
        <v>2.5</v>
      </c>
      <c r="AF4004" s="580">
        <f t="shared" si="348"/>
        <v>2.5</v>
      </c>
      <c r="AG4004" s="580">
        <f t="shared" si="349"/>
        <v>0</v>
      </c>
      <c r="AH4004" s="580">
        <f t="shared" si="350"/>
        <v>0</v>
      </c>
    </row>
    <row r="4005" spans="28:34">
      <c r="AB4005" s="580">
        <f>HLOOKUP("*"&amp;'Output annual'!$AC$2&amp;'Output annual'!$AD$2&amp;"*Zone People Number Of Occupants [](Hourly)",'Eplus results'!$1:$1048576,ROW(),FALSE)</f>
        <v>0</v>
      </c>
      <c r="AC4005" s="580">
        <f>HLOOKUP("*"&amp;'Output annual'!$AC$2&amp;'Output annual'!$AD$2&amp;"*FangerPMV(Hourly)",'Eplus results'!$1:$1048576,ROW(),FALSE)</f>
        <v>0</v>
      </c>
      <c r="AD4005" s="580">
        <f t="shared" si="346"/>
        <v>5</v>
      </c>
      <c r="AE4005" s="580">
        <f t="shared" si="347"/>
        <v>2.5</v>
      </c>
      <c r="AF4005" s="580">
        <f t="shared" si="348"/>
        <v>2.5</v>
      </c>
      <c r="AG4005" s="580">
        <f t="shared" si="349"/>
        <v>0</v>
      </c>
      <c r="AH4005" s="580">
        <f t="shared" si="350"/>
        <v>0</v>
      </c>
    </row>
    <row r="4006" spans="28:34">
      <c r="AB4006" s="580">
        <f>HLOOKUP("*"&amp;'Output annual'!$AC$2&amp;'Output annual'!$AD$2&amp;"*Zone People Number Of Occupants [](Hourly)",'Eplus results'!$1:$1048576,ROW(),FALSE)</f>
        <v>0</v>
      </c>
      <c r="AC4006" s="580">
        <f>HLOOKUP("*"&amp;'Output annual'!$AC$2&amp;'Output annual'!$AD$2&amp;"*FangerPMV(Hourly)",'Eplus results'!$1:$1048576,ROW(),FALSE)</f>
        <v>0</v>
      </c>
      <c r="AD4006" s="580">
        <f t="shared" si="346"/>
        <v>5</v>
      </c>
      <c r="AE4006" s="580">
        <f t="shared" si="347"/>
        <v>2.5</v>
      </c>
      <c r="AF4006" s="580">
        <f t="shared" si="348"/>
        <v>2.5</v>
      </c>
      <c r="AG4006" s="580">
        <f t="shared" si="349"/>
        <v>0</v>
      </c>
      <c r="AH4006" s="580">
        <f t="shared" si="350"/>
        <v>0</v>
      </c>
    </row>
    <row r="4007" spans="28:34">
      <c r="AB4007" s="580">
        <f>HLOOKUP("*"&amp;'Output annual'!$AC$2&amp;'Output annual'!$AD$2&amp;"*Zone People Number Of Occupants [](Hourly)",'Eplus results'!$1:$1048576,ROW(),FALSE)</f>
        <v>0</v>
      </c>
      <c r="AC4007" s="580">
        <f>HLOOKUP("*"&amp;'Output annual'!$AC$2&amp;'Output annual'!$AD$2&amp;"*FangerPMV(Hourly)",'Eplus results'!$1:$1048576,ROW(),FALSE)</f>
        <v>0</v>
      </c>
      <c r="AD4007" s="580">
        <f t="shared" si="346"/>
        <v>5</v>
      </c>
      <c r="AE4007" s="580">
        <f t="shared" si="347"/>
        <v>2.5</v>
      </c>
      <c r="AF4007" s="580">
        <f t="shared" si="348"/>
        <v>2.5</v>
      </c>
      <c r="AG4007" s="580">
        <f t="shared" si="349"/>
        <v>0</v>
      </c>
      <c r="AH4007" s="580">
        <f t="shared" si="350"/>
        <v>0</v>
      </c>
    </row>
    <row r="4008" spans="28:34">
      <c r="AB4008" s="580">
        <f>HLOOKUP("*"&amp;'Output annual'!$AC$2&amp;'Output annual'!$AD$2&amp;"*Zone People Number Of Occupants [](Hourly)",'Eplus results'!$1:$1048576,ROW(),FALSE)</f>
        <v>0</v>
      </c>
      <c r="AC4008" s="580">
        <f>HLOOKUP("*"&amp;'Output annual'!$AC$2&amp;'Output annual'!$AD$2&amp;"*FangerPMV(Hourly)",'Eplus results'!$1:$1048576,ROW(),FALSE)</f>
        <v>0</v>
      </c>
      <c r="AD4008" s="580">
        <f t="shared" si="346"/>
        <v>5</v>
      </c>
      <c r="AE4008" s="580">
        <f t="shared" si="347"/>
        <v>2.5</v>
      </c>
      <c r="AF4008" s="580">
        <f t="shared" si="348"/>
        <v>2.5</v>
      </c>
      <c r="AG4008" s="580">
        <f t="shared" si="349"/>
        <v>0</v>
      </c>
      <c r="AH4008" s="580">
        <f t="shared" si="350"/>
        <v>0</v>
      </c>
    </row>
    <row r="4009" spans="28:34">
      <c r="AB4009" s="580">
        <f>HLOOKUP("*"&amp;'Output annual'!$AC$2&amp;'Output annual'!$AD$2&amp;"*Zone People Number Of Occupants [](Hourly)",'Eplus results'!$1:$1048576,ROW(),FALSE)</f>
        <v>0</v>
      </c>
      <c r="AC4009" s="580">
        <f>HLOOKUP("*"&amp;'Output annual'!$AC$2&amp;'Output annual'!$AD$2&amp;"*FangerPMV(Hourly)",'Eplus results'!$1:$1048576,ROW(),FALSE)</f>
        <v>0</v>
      </c>
      <c r="AD4009" s="580">
        <f t="shared" si="346"/>
        <v>5</v>
      </c>
      <c r="AE4009" s="580">
        <f t="shared" si="347"/>
        <v>2.5</v>
      </c>
      <c r="AF4009" s="580">
        <f t="shared" si="348"/>
        <v>2.5</v>
      </c>
      <c r="AG4009" s="580">
        <f t="shared" si="349"/>
        <v>0</v>
      </c>
      <c r="AH4009" s="580">
        <f t="shared" si="350"/>
        <v>0</v>
      </c>
    </row>
    <row r="4010" spans="28:34">
      <c r="AB4010" s="580">
        <f>HLOOKUP("*"&amp;'Output annual'!$AC$2&amp;'Output annual'!$AD$2&amp;"*Zone People Number Of Occupants [](Hourly)",'Eplus results'!$1:$1048576,ROW(),FALSE)</f>
        <v>0</v>
      </c>
      <c r="AC4010" s="580">
        <f>HLOOKUP("*"&amp;'Output annual'!$AC$2&amp;'Output annual'!$AD$2&amp;"*FangerPMV(Hourly)",'Eplus results'!$1:$1048576,ROW(),FALSE)</f>
        <v>0</v>
      </c>
      <c r="AD4010" s="580">
        <f t="shared" si="346"/>
        <v>5</v>
      </c>
      <c r="AE4010" s="580">
        <f t="shared" si="347"/>
        <v>2.5</v>
      </c>
      <c r="AF4010" s="580">
        <f t="shared" si="348"/>
        <v>2.5</v>
      </c>
      <c r="AG4010" s="580">
        <f t="shared" si="349"/>
        <v>0</v>
      </c>
      <c r="AH4010" s="580">
        <f t="shared" si="350"/>
        <v>0</v>
      </c>
    </row>
    <row r="4011" spans="28:34">
      <c r="AB4011" s="580">
        <f>HLOOKUP("*"&amp;'Output annual'!$AC$2&amp;'Output annual'!$AD$2&amp;"*Zone People Number Of Occupants [](Hourly)",'Eplus results'!$1:$1048576,ROW(),FALSE)</f>
        <v>0</v>
      </c>
      <c r="AC4011" s="580">
        <f>HLOOKUP("*"&amp;'Output annual'!$AC$2&amp;'Output annual'!$AD$2&amp;"*FangerPMV(Hourly)",'Eplus results'!$1:$1048576,ROW(),FALSE)</f>
        <v>0</v>
      </c>
      <c r="AD4011" s="580">
        <f t="shared" si="346"/>
        <v>5</v>
      </c>
      <c r="AE4011" s="580">
        <f t="shared" si="347"/>
        <v>2.5</v>
      </c>
      <c r="AF4011" s="580">
        <f t="shared" si="348"/>
        <v>2.5</v>
      </c>
      <c r="AG4011" s="580">
        <f t="shared" si="349"/>
        <v>0</v>
      </c>
      <c r="AH4011" s="580">
        <f t="shared" si="350"/>
        <v>0</v>
      </c>
    </row>
    <row r="4012" spans="28:34">
      <c r="AB4012" s="580">
        <f>HLOOKUP("*"&amp;'Output annual'!$AC$2&amp;'Output annual'!$AD$2&amp;"*Zone People Number Of Occupants [](Hourly)",'Eplus results'!$1:$1048576,ROW(),FALSE)</f>
        <v>0</v>
      </c>
      <c r="AC4012" s="580">
        <f>HLOOKUP("*"&amp;'Output annual'!$AC$2&amp;'Output annual'!$AD$2&amp;"*FangerPMV(Hourly)",'Eplus results'!$1:$1048576,ROW(),FALSE)</f>
        <v>0</v>
      </c>
      <c r="AD4012" s="580">
        <f t="shared" si="346"/>
        <v>5</v>
      </c>
      <c r="AE4012" s="580">
        <f t="shared" si="347"/>
        <v>2.5</v>
      </c>
      <c r="AF4012" s="580">
        <f t="shared" si="348"/>
        <v>2.5</v>
      </c>
      <c r="AG4012" s="580">
        <f t="shared" si="349"/>
        <v>0</v>
      </c>
      <c r="AH4012" s="580">
        <f t="shared" si="350"/>
        <v>0</v>
      </c>
    </row>
    <row r="4013" spans="28:34">
      <c r="AB4013" s="580">
        <f>HLOOKUP("*"&amp;'Output annual'!$AC$2&amp;'Output annual'!$AD$2&amp;"*Zone People Number Of Occupants [](Hourly)",'Eplus results'!$1:$1048576,ROW(),FALSE)</f>
        <v>0</v>
      </c>
      <c r="AC4013" s="580">
        <f>HLOOKUP("*"&amp;'Output annual'!$AC$2&amp;'Output annual'!$AD$2&amp;"*FangerPMV(Hourly)",'Eplus results'!$1:$1048576,ROW(),FALSE)</f>
        <v>0</v>
      </c>
      <c r="AD4013" s="580">
        <f t="shared" si="346"/>
        <v>5</v>
      </c>
      <c r="AE4013" s="580">
        <f t="shared" si="347"/>
        <v>2.5</v>
      </c>
      <c r="AF4013" s="580">
        <f t="shared" si="348"/>
        <v>2.5</v>
      </c>
      <c r="AG4013" s="580">
        <f t="shared" si="349"/>
        <v>0</v>
      </c>
      <c r="AH4013" s="580">
        <f t="shared" si="350"/>
        <v>0</v>
      </c>
    </row>
    <row r="4014" spans="28:34">
      <c r="AB4014" s="580">
        <f>HLOOKUP("*"&amp;'Output annual'!$AC$2&amp;'Output annual'!$AD$2&amp;"*Zone People Number Of Occupants [](Hourly)",'Eplus results'!$1:$1048576,ROW(),FALSE)</f>
        <v>0</v>
      </c>
      <c r="AC4014" s="580">
        <f>HLOOKUP("*"&amp;'Output annual'!$AC$2&amp;'Output annual'!$AD$2&amp;"*FangerPMV(Hourly)",'Eplus results'!$1:$1048576,ROW(),FALSE)</f>
        <v>0</v>
      </c>
      <c r="AD4014" s="580">
        <f t="shared" si="346"/>
        <v>5</v>
      </c>
      <c r="AE4014" s="580">
        <f t="shared" si="347"/>
        <v>2.5</v>
      </c>
      <c r="AF4014" s="580">
        <f t="shared" si="348"/>
        <v>2.5</v>
      </c>
      <c r="AG4014" s="580">
        <f t="shared" si="349"/>
        <v>0</v>
      </c>
      <c r="AH4014" s="580">
        <f t="shared" si="350"/>
        <v>0</v>
      </c>
    </row>
    <row r="4015" spans="28:34">
      <c r="AB4015" s="580">
        <f>HLOOKUP("*"&amp;'Output annual'!$AC$2&amp;'Output annual'!$AD$2&amp;"*Zone People Number Of Occupants [](Hourly)",'Eplus results'!$1:$1048576,ROW(),FALSE)</f>
        <v>0</v>
      </c>
      <c r="AC4015" s="580">
        <f>HLOOKUP("*"&amp;'Output annual'!$AC$2&amp;'Output annual'!$AD$2&amp;"*FangerPMV(Hourly)",'Eplus results'!$1:$1048576,ROW(),FALSE)</f>
        <v>0</v>
      </c>
      <c r="AD4015" s="580">
        <f t="shared" si="346"/>
        <v>5</v>
      </c>
      <c r="AE4015" s="580">
        <f t="shared" si="347"/>
        <v>2.5</v>
      </c>
      <c r="AF4015" s="580">
        <f t="shared" si="348"/>
        <v>2.5</v>
      </c>
      <c r="AG4015" s="580">
        <f t="shared" si="349"/>
        <v>0</v>
      </c>
      <c r="AH4015" s="580">
        <f t="shared" si="350"/>
        <v>0</v>
      </c>
    </row>
    <row r="4016" spans="28:34">
      <c r="AB4016" s="580">
        <f>HLOOKUP("*"&amp;'Output annual'!$AC$2&amp;'Output annual'!$AD$2&amp;"*Zone People Number Of Occupants [](Hourly)",'Eplus results'!$1:$1048576,ROW(),FALSE)</f>
        <v>0</v>
      </c>
      <c r="AC4016" s="580">
        <f>HLOOKUP("*"&amp;'Output annual'!$AC$2&amp;'Output annual'!$AD$2&amp;"*FangerPMV(Hourly)",'Eplus results'!$1:$1048576,ROW(),FALSE)</f>
        <v>0</v>
      </c>
      <c r="AD4016" s="580">
        <f t="shared" si="346"/>
        <v>5</v>
      </c>
      <c r="AE4016" s="580">
        <f t="shared" si="347"/>
        <v>2.5</v>
      </c>
      <c r="AF4016" s="580">
        <f t="shared" si="348"/>
        <v>2.5</v>
      </c>
      <c r="AG4016" s="580">
        <f t="shared" si="349"/>
        <v>0</v>
      </c>
      <c r="AH4016" s="580">
        <f t="shared" si="350"/>
        <v>0</v>
      </c>
    </row>
    <row r="4017" spans="28:34">
      <c r="AB4017" s="580">
        <f>HLOOKUP("*"&amp;'Output annual'!$AC$2&amp;'Output annual'!$AD$2&amp;"*Zone People Number Of Occupants [](Hourly)",'Eplus results'!$1:$1048576,ROW(),FALSE)</f>
        <v>0</v>
      </c>
      <c r="AC4017" s="580">
        <f>HLOOKUP("*"&amp;'Output annual'!$AC$2&amp;'Output annual'!$AD$2&amp;"*FangerPMV(Hourly)",'Eplus results'!$1:$1048576,ROW(),FALSE)</f>
        <v>0</v>
      </c>
      <c r="AD4017" s="580">
        <f t="shared" si="346"/>
        <v>5</v>
      </c>
      <c r="AE4017" s="580">
        <f t="shared" si="347"/>
        <v>2.5</v>
      </c>
      <c r="AF4017" s="580">
        <f t="shared" si="348"/>
        <v>2.5</v>
      </c>
      <c r="AG4017" s="580">
        <f t="shared" si="349"/>
        <v>0</v>
      </c>
      <c r="AH4017" s="580">
        <f t="shared" si="350"/>
        <v>0</v>
      </c>
    </row>
    <row r="4018" spans="28:34">
      <c r="AB4018" s="580">
        <f>HLOOKUP("*"&amp;'Output annual'!$AC$2&amp;'Output annual'!$AD$2&amp;"*Zone People Number Of Occupants [](Hourly)",'Eplus results'!$1:$1048576,ROW(),FALSE)</f>
        <v>0</v>
      </c>
      <c r="AC4018" s="580">
        <f>HLOOKUP("*"&amp;'Output annual'!$AC$2&amp;'Output annual'!$AD$2&amp;"*FangerPMV(Hourly)",'Eplus results'!$1:$1048576,ROW(),FALSE)</f>
        <v>0</v>
      </c>
      <c r="AD4018" s="580">
        <f t="shared" si="346"/>
        <v>5</v>
      </c>
      <c r="AE4018" s="580">
        <f t="shared" si="347"/>
        <v>2.5</v>
      </c>
      <c r="AF4018" s="580">
        <f t="shared" si="348"/>
        <v>2.5</v>
      </c>
      <c r="AG4018" s="580">
        <f t="shared" si="349"/>
        <v>0</v>
      </c>
      <c r="AH4018" s="580">
        <f t="shared" si="350"/>
        <v>0</v>
      </c>
    </row>
    <row r="4019" spans="28:34">
      <c r="AB4019" s="580">
        <f>HLOOKUP("*"&amp;'Output annual'!$AC$2&amp;'Output annual'!$AD$2&amp;"*Zone People Number Of Occupants [](Hourly)",'Eplus results'!$1:$1048576,ROW(),FALSE)</f>
        <v>0</v>
      </c>
      <c r="AC4019" s="580">
        <f>HLOOKUP("*"&amp;'Output annual'!$AC$2&amp;'Output annual'!$AD$2&amp;"*FangerPMV(Hourly)",'Eplus results'!$1:$1048576,ROW(),FALSE)</f>
        <v>0</v>
      </c>
      <c r="AD4019" s="580">
        <f t="shared" si="346"/>
        <v>5</v>
      </c>
      <c r="AE4019" s="580">
        <f t="shared" si="347"/>
        <v>2.5</v>
      </c>
      <c r="AF4019" s="580">
        <f t="shared" si="348"/>
        <v>2.5</v>
      </c>
      <c r="AG4019" s="580">
        <f t="shared" si="349"/>
        <v>0</v>
      </c>
      <c r="AH4019" s="580">
        <f t="shared" si="350"/>
        <v>0</v>
      </c>
    </row>
    <row r="4020" spans="28:34">
      <c r="AB4020" s="580">
        <f>HLOOKUP("*"&amp;'Output annual'!$AC$2&amp;'Output annual'!$AD$2&amp;"*Zone People Number Of Occupants [](Hourly)",'Eplus results'!$1:$1048576,ROW(),FALSE)</f>
        <v>0</v>
      </c>
      <c r="AC4020" s="580">
        <f>HLOOKUP("*"&amp;'Output annual'!$AC$2&amp;'Output annual'!$AD$2&amp;"*FangerPMV(Hourly)",'Eplus results'!$1:$1048576,ROW(),FALSE)</f>
        <v>0</v>
      </c>
      <c r="AD4020" s="580">
        <f t="shared" si="346"/>
        <v>5</v>
      </c>
      <c r="AE4020" s="580">
        <f t="shared" si="347"/>
        <v>2.5</v>
      </c>
      <c r="AF4020" s="580">
        <f t="shared" si="348"/>
        <v>2.5</v>
      </c>
      <c r="AG4020" s="580">
        <f t="shared" si="349"/>
        <v>0</v>
      </c>
      <c r="AH4020" s="580">
        <f t="shared" si="350"/>
        <v>0</v>
      </c>
    </row>
    <row r="4021" spans="28:34">
      <c r="AB4021" s="580">
        <f>HLOOKUP("*"&amp;'Output annual'!$AC$2&amp;'Output annual'!$AD$2&amp;"*Zone People Number Of Occupants [](Hourly)",'Eplus results'!$1:$1048576,ROW(),FALSE)</f>
        <v>0</v>
      </c>
      <c r="AC4021" s="580">
        <f>HLOOKUP("*"&amp;'Output annual'!$AC$2&amp;'Output annual'!$AD$2&amp;"*FangerPMV(Hourly)",'Eplus results'!$1:$1048576,ROW(),FALSE)</f>
        <v>0</v>
      </c>
      <c r="AD4021" s="580">
        <f t="shared" si="346"/>
        <v>5</v>
      </c>
      <c r="AE4021" s="580">
        <f t="shared" si="347"/>
        <v>2.5</v>
      </c>
      <c r="AF4021" s="580">
        <f t="shared" si="348"/>
        <v>2.5</v>
      </c>
      <c r="AG4021" s="580">
        <f t="shared" si="349"/>
        <v>0</v>
      </c>
      <c r="AH4021" s="580">
        <f t="shared" si="350"/>
        <v>0</v>
      </c>
    </row>
    <row r="4022" spans="28:34">
      <c r="AB4022" s="580">
        <f>HLOOKUP("*"&amp;'Output annual'!$AC$2&amp;'Output annual'!$AD$2&amp;"*Zone People Number Of Occupants [](Hourly)",'Eplus results'!$1:$1048576,ROW(),FALSE)</f>
        <v>0</v>
      </c>
      <c r="AC4022" s="580">
        <f>HLOOKUP("*"&amp;'Output annual'!$AC$2&amp;'Output annual'!$AD$2&amp;"*FangerPMV(Hourly)",'Eplus results'!$1:$1048576,ROW(),FALSE)</f>
        <v>0</v>
      </c>
      <c r="AD4022" s="580">
        <f t="shared" si="346"/>
        <v>5</v>
      </c>
      <c r="AE4022" s="580">
        <f t="shared" si="347"/>
        <v>2.5</v>
      </c>
      <c r="AF4022" s="580">
        <f t="shared" si="348"/>
        <v>2.5</v>
      </c>
      <c r="AG4022" s="580">
        <f t="shared" si="349"/>
        <v>0</v>
      </c>
      <c r="AH4022" s="580">
        <f t="shared" si="350"/>
        <v>0</v>
      </c>
    </row>
    <row r="4023" spans="28:34">
      <c r="AB4023" s="580">
        <f>HLOOKUP("*"&amp;'Output annual'!$AC$2&amp;'Output annual'!$AD$2&amp;"*Zone People Number Of Occupants [](Hourly)",'Eplus results'!$1:$1048576,ROW(),FALSE)</f>
        <v>0</v>
      </c>
      <c r="AC4023" s="580">
        <f>HLOOKUP("*"&amp;'Output annual'!$AC$2&amp;'Output annual'!$AD$2&amp;"*FangerPMV(Hourly)",'Eplus results'!$1:$1048576,ROW(),FALSE)</f>
        <v>0</v>
      </c>
      <c r="AD4023" s="580">
        <f t="shared" si="346"/>
        <v>5</v>
      </c>
      <c r="AE4023" s="580">
        <f t="shared" si="347"/>
        <v>2.5</v>
      </c>
      <c r="AF4023" s="580">
        <f t="shared" si="348"/>
        <v>2.5</v>
      </c>
      <c r="AG4023" s="580">
        <f t="shared" si="349"/>
        <v>0</v>
      </c>
      <c r="AH4023" s="580">
        <f t="shared" si="350"/>
        <v>0</v>
      </c>
    </row>
    <row r="4024" spans="28:34">
      <c r="AB4024" s="580">
        <f>HLOOKUP("*"&amp;'Output annual'!$AC$2&amp;'Output annual'!$AD$2&amp;"*Zone People Number Of Occupants [](Hourly)",'Eplus results'!$1:$1048576,ROW(),FALSE)</f>
        <v>0</v>
      </c>
      <c r="AC4024" s="580">
        <f>HLOOKUP("*"&amp;'Output annual'!$AC$2&amp;'Output annual'!$AD$2&amp;"*FangerPMV(Hourly)",'Eplus results'!$1:$1048576,ROW(),FALSE)</f>
        <v>0</v>
      </c>
      <c r="AD4024" s="580">
        <f t="shared" si="346"/>
        <v>5</v>
      </c>
      <c r="AE4024" s="580">
        <f t="shared" si="347"/>
        <v>2.5</v>
      </c>
      <c r="AF4024" s="580">
        <f t="shared" si="348"/>
        <v>2.5</v>
      </c>
      <c r="AG4024" s="580">
        <f t="shared" si="349"/>
        <v>0</v>
      </c>
      <c r="AH4024" s="580">
        <f t="shared" si="350"/>
        <v>0</v>
      </c>
    </row>
    <row r="4025" spans="28:34">
      <c r="AB4025" s="580">
        <f>HLOOKUP("*"&amp;'Output annual'!$AC$2&amp;'Output annual'!$AD$2&amp;"*Zone People Number Of Occupants [](Hourly)",'Eplus results'!$1:$1048576,ROW(),FALSE)</f>
        <v>0</v>
      </c>
      <c r="AC4025" s="580">
        <f>HLOOKUP("*"&amp;'Output annual'!$AC$2&amp;'Output annual'!$AD$2&amp;"*FangerPMV(Hourly)",'Eplus results'!$1:$1048576,ROW(),FALSE)</f>
        <v>0</v>
      </c>
      <c r="AD4025" s="580">
        <f t="shared" si="346"/>
        <v>5</v>
      </c>
      <c r="AE4025" s="580">
        <f t="shared" si="347"/>
        <v>2.5</v>
      </c>
      <c r="AF4025" s="580">
        <f t="shared" si="348"/>
        <v>2.5</v>
      </c>
      <c r="AG4025" s="580">
        <f t="shared" si="349"/>
        <v>0</v>
      </c>
      <c r="AH4025" s="580">
        <f t="shared" si="350"/>
        <v>0</v>
      </c>
    </row>
    <row r="4026" spans="28:34">
      <c r="AB4026" s="580">
        <f>HLOOKUP("*"&amp;'Output annual'!$AC$2&amp;'Output annual'!$AD$2&amp;"*Zone People Number Of Occupants [](Hourly)",'Eplus results'!$1:$1048576,ROW(),FALSE)</f>
        <v>0</v>
      </c>
      <c r="AC4026" s="580">
        <f>HLOOKUP("*"&amp;'Output annual'!$AC$2&amp;'Output annual'!$AD$2&amp;"*FangerPMV(Hourly)",'Eplus results'!$1:$1048576,ROW(),FALSE)</f>
        <v>0</v>
      </c>
      <c r="AD4026" s="580">
        <f t="shared" si="346"/>
        <v>5</v>
      </c>
      <c r="AE4026" s="580">
        <f t="shared" si="347"/>
        <v>2.5</v>
      </c>
      <c r="AF4026" s="580">
        <f t="shared" si="348"/>
        <v>2.5</v>
      </c>
      <c r="AG4026" s="580">
        <f t="shared" si="349"/>
        <v>0</v>
      </c>
      <c r="AH4026" s="580">
        <f t="shared" si="350"/>
        <v>0</v>
      </c>
    </row>
    <row r="4027" spans="28:34">
      <c r="AB4027" s="580">
        <f>HLOOKUP("*"&amp;'Output annual'!$AC$2&amp;'Output annual'!$AD$2&amp;"*Zone People Number Of Occupants [](Hourly)",'Eplus results'!$1:$1048576,ROW(),FALSE)</f>
        <v>0</v>
      </c>
      <c r="AC4027" s="580">
        <f>HLOOKUP("*"&amp;'Output annual'!$AC$2&amp;'Output annual'!$AD$2&amp;"*FangerPMV(Hourly)",'Eplus results'!$1:$1048576,ROW(),FALSE)</f>
        <v>0</v>
      </c>
      <c r="AD4027" s="580">
        <f t="shared" si="346"/>
        <v>5</v>
      </c>
      <c r="AE4027" s="580">
        <f t="shared" si="347"/>
        <v>2.5</v>
      </c>
      <c r="AF4027" s="580">
        <f t="shared" si="348"/>
        <v>2.5</v>
      </c>
      <c r="AG4027" s="580">
        <f t="shared" si="349"/>
        <v>0</v>
      </c>
      <c r="AH4027" s="580">
        <f t="shared" si="350"/>
        <v>0</v>
      </c>
    </row>
    <row r="4028" spans="28:34">
      <c r="AB4028" s="580">
        <f>HLOOKUP("*"&amp;'Output annual'!$AC$2&amp;'Output annual'!$AD$2&amp;"*Zone People Number Of Occupants [](Hourly)",'Eplus results'!$1:$1048576,ROW(),FALSE)</f>
        <v>0</v>
      </c>
      <c r="AC4028" s="580">
        <f>HLOOKUP("*"&amp;'Output annual'!$AC$2&amp;'Output annual'!$AD$2&amp;"*FangerPMV(Hourly)",'Eplus results'!$1:$1048576,ROW(),FALSE)</f>
        <v>0</v>
      </c>
      <c r="AD4028" s="580">
        <f t="shared" si="346"/>
        <v>5</v>
      </c>
      <c r="AE4028" s="580">
        <f t="shared" si="347"/>
        <v>2.5</v>
      </c>
      <c r="AF4028" s="580">
        <f t="shared" si="348"/>
        <v>2.5</v>
      </c>
      <c r="AG4028" s="580">
        <f t="shared" si="349"/>
        <v>0</v>
      </c>
      <c r="AH4028" s="580">
        <f t="shared" si="350"/>
        <v>0</v>
      </c>
    </row>
    <row r="4029" spans="28:34">
      <c r="AB4029" s="580">
        <f>HLOOKUP("*"&amp;'Output annual'!$AC$2&amp;'Output annual'!$AD$2&amp;"*Zone People Number Of Occupants [](Hourly)",'Eplus results'!$1:$1048576,ROW(),FALSE)</f>
        <v>0</v>
      </c>
      <c r="AC4029" s="580">
        <f>HLOOKUP("*"&amp;'Output annual'!$AC$2&amp;'Output annual'!$AD$2&amp;"*FangerPMV(Hourly)",'Eplus results'!$1:$1048576,ROW(),FALSE)</f>
        <v>0</v>
      </c>
      <c r="AD4029" s="580">
        <f t="shared" si="346"/>
        <v>5</v>
      </c>
      <c r="AE4029" s="580">
        <f t="shared" si="347"/>
        <v>2.5</v>
      </c>
      <c r="AF4029" s="580">
        <f t="shared" si="348"/>
        <v>2.5</v>
      </c>
      <c r="AG4029" s="580">
        <f t="shared" si="349"/>
        <v>0</v>
      </c>
      <c r="AH4029" s="580">
        <f t="shared" si="350"/>
        <v>0</v>
      </c>
    </row>
    <row r="4030" spans="28:34">
      <c r="AB4030" s="580">
        <f>HLOOKUP("*"&amp;'Output annual'!$AC$2&amp;'Output annual'!$AD$2&amp;"*Zone People Number Of Occupants [](Hourly)",'Eplus results'!$1:$1048576,ROW(),FALSE)</f>
        <v>0</v>
      </c>
      <c r="AC4030" s="580">
        <f>HLOOKUP("*"&amp;'Output annual'!$AC$2&amp;'Output annual'!$AD$2&amp;"*FangerPMV(Hourly)",'Eplus results'!$1:$1048576,ROW(),FALSE)</f>
        <v>0</v>
      </c>
      <c r="AD4030" s="580">
        <f t="shared" si="346"/>
        <v>5</v>
      </c>
      <c r="AE4030" s="580">
        <f t="shared" si="347"/>
        <v>2.5</v>
      </c>
      <c r="AF4030" s="580">
        <f t="shared" si="348"/>
        <v>2.5</v>
      </c>
      <c r="AG4030" s="580">
        <f t="shared" si="349"/>
        <v>0</v>
      </c>
      <c r="AH4030" s="580">
        <f t="shared" si="350"/>
        <v>0</v>
      </c>
    </row>
    <row r="4031" spans="28:34">
      <c r="AB4031" s="580">
        <f>HLOOKUP("*"&amp;'Output annual'!$AC$2&amp;'Output annual'!$AD$2&amp;"*Zone People Number Of Occupants [](Hourly)",'Eplus results'!$1:$1048576,ROW(),FALSE)</f>
        <v>0</v>
      </c>
      <c r="AC4031" s="580">
        <f>HLOOKUP("*"&amp;'Output annual'!$AC$2&amp;'Output annual'!$AD$2&amp;"*FangerPMV(Hourly)",'Eplus results'!$1:$1048576,ROW(),FALSE)</f>
        <v>0</v>
      </c>
      <c r="AD4031" s="580">
        <f t="shared" si="346"/>
        <v>5</v>
      </c>
      <c r="AE4031" s="580">
        <f t="shared" si="347"/>
        <v>2.5</v>
      </c>
      <c r="AF4031" s="580">
        <f t="shared" si="348"/>
        <v>2.5</v>
      </c>
      <c r="AG4031" s="580">
        <f t="shared" si="349"/>
        <v>0</v>
      </c>
      <c r="AH4031" s="580">
        <f t="shared" si="350"/>
        <v>0</v>
      </c>
    </row>
    <row r="4032" spans="28:34">
      <c r="AB4032" s="580">
        <f>HLOOKUP("*"&amp;'Output annual'!$AC$2&amp;'Output annual'!$AD$2&amp;"*Zone People Number Of Occupants [](Hourly)",'Eplus results'!$1:$1048576,ROW(),FALSE)</f>
        <v>0</v>
      </c>
      <c r="AC4032" s="580">
        <f>HLOOKUP("*"&amp;'Output annual'!$AC$2&amp;'Output annual'!$AD$2&amp;"*FangerPMV(Hourly)",'Eplus results'!$1:$1048576,ROW(),FALSE)</f>
        <v>0</v>
      </c>
      <c r="AD4032" s="580">
        <f t="shared" si="346"/>
        <v>5</v>
      </c>
      <c r="AE4032" s="580">
        <f t="shared" si="347"/>
        <v>2.5</v>
      </c>
      <c r="AF4032" s="580">
        <f t="shared" si="348"/>
        <v>2.5</v>
      </c>
      <c r="AG4032" s="580">
        <f t="shared" si="349"/>
        <v>0</v>
      </c>
      <c r="AH4032" s="580">
        <f t="shared" si="350"/>
        <v>0</v>
      </c>
    </row>
    <row r="4033" spans="28:34">
      <c r="AB4033" s="580">
        <f>HLOOKUP("*"&amp;'Output annual'!$AC$2&amp;'Output annual'!$AD$2&amp;"*Zone People Number Of Occupants [](Hourly)",'Eplus results'!$1:$1048576,ROW(),FALSE)</f>
        <v>0</v>
      </c>
      <c r="AC4033" s="580">
        <f>HLOOKUP("*"&amp;'Output annual'!$AC$2&amp;'Output annual'!$AD$2&amp;"*FangerPMV(Hourly)",'Eplus results'!$1:$1048576,ROW(),FALSE)</f>
        <v>0</v>
      </c>
      <c r="AD4033" s="580">
        <f t="shared" si="346"/>
        <v>5</v>
      </c>
      <c r="AE4033" s="580">
        <f t="shared" si="347"/>
        <v>2.5</v>
      </c>
      <c r="AF4033" s="580">
        <f t="shared" si="348"/>
        <v>2.5</v>
      </c>
      <c r="AG4033" s="580">
        <f t="shared" si="349"/>
        <v>0</v>
      </c>
      <c r="AH4033" s="580">
        <f t="shared" si="350"/>
        <v>0</v>
      </c>
    </row>
    <row r="4034" spans="28:34">
      <c r="AB4034" s="580">
        <f>HLOOKUP("*"&amp;'Output annual'!$AC$2&amp;'Output annual'!$AD$2&amp;"*Zone People Number Of Occupants [](Hourly)",'Eplus results'!$1:$1048576,ROW(),FALSE)</f>
        <v>0</v>
      </c>
      <c r="AC4034" s="580">
        <f>HLOOKUP("*"&amp;'Output annual'!$AC$2&amp;'Output annual'!$AD$2&amp;"*FangerPMV(Hourly)",'Eplus results'!$1:$1048576,ROW(),FALSE)</f>
        <v>0</v>
      </c>
      <c r="AD4034" s="580">
        <f t="shared" si="346"/>
        <v>5</v>
      </c>
      <c r="AE4034" s="580">
        <f t="shared" si="347"/>
        <v>2.5</v>
      </c>
      <c r="AF4034" s="580">
        <f t="shared" si="348"/>
        <v>2.5</v>
      </c>
      <c r="AG4034" s="580">
        <f t="shared" si="349"/>
        <v>0</v>
      </c>
      <c r="AH4034" s="580">
        <f t="shared" si="350"/>
        <v>0</v>
      </c>
    </row>
    <row r="4035" spans="28:34">
      <c r="AB4035" s="580">
        <f>HLOOKUP("*"&amp;'Output annual'!$AC$2&amp;'Output annual'!$AD$2&amp;"*Zone People Number Of Occupants [](Hourly)",'Eplus results'!$1:$1048576,ROW(),FALSE)</f>
        <v>0</v>
      </c>
      <c r="AC4035" s="580">
        <f>HLOOKUP("*"&amp;'Output annual'!$AC$2&amp;'Output annual'!$AD$2&amp;"*FangerPMV(Hourly)",'Eplus results'!$1:$1048576,ROW(),FALSE)</f>
        <v>0</v>
      </c>
      <c r="AD4035" s="580">
        <f t="shared" ref="AD4035:AD4098" si="351">100-95*EXP(-0.03353*AC4035^4-0.2179*AC4035^2)</f>
        <v>5</v>
      </c>
      <c r="AE4035" s="580">
        <f t="shared" ref="AE4035:AE4098" si="352">AD4035*(1/(1+EXP(-6.3*$AC4035)))</f>
        <v>2.5</v>
      </c>
      <c r="AF4035" s="580">
        <f t="shared" ref="AF4035:AF4098" si="353">(AD4035-AE4035)</f>
        <v>2.5</v>
      </c>
      <c r="AG4035" s="580">
        <f t="shared" ref="AG4035:AG4098" si="354">AE4035*AB4035</f>
        <v>0</v>
      </c>
      <c r="AH4035" s="580">
        <f t="shared" ref="AH4035:AH4098" si="355">AF4035*AB4035</f>
        <v>0</v>
      </c>
    </row>
    <row r="4036" spans="28:34">
      <c r="AB4036" s="580">
        <f>HLOOKUP("*"&amp;'Output annual'!$AC$2&amp;'Output annual'!$AD$2&amp;"*Zone People Number Of Occupants [](Hourly)",'Eplus results'!$1:$1048576,ROW(),FALSE)</f>
        <v>0</v>
      </c>
      <c r="AC4036" s="580">
        <f>HLOOKUP("*"&amp;'Output annual'!$AC$2&amp;'Output annual'!$AD$2&amp;"*FangerPMV(Hourly)",'Eplus results'!$1:$1048576,ROW(),FALSE)</f>
        <v>0</v>
      </c>
      <c r="AD4036" s="580">
        <f t="shared" si="351"/>
        <v>5</v>
      </c>
      <c r="AE4036" s="580">
        <f t="shared" si="352"/>
        <v>2.5</v>
      </c>
      <c r="AF4036" s="580">
        <f t="shared" si="353"/>
        <v>2.5</v>
      </c>
      <c r="AG4036" s="580">
        <f t="shared" si="354"/>
        <v>0</v>
      </c>
      <c r="AH4036" s="580">
        <f t="shared" si="355"/>
        <v>0</v>
      </c>
    </row>
    <row r="4037" spans="28:34">
      <c r="AB4037" s="580">
        <f>HLOOKUP("*"&amp;'Output annual'!$AC$2&amp;'Output annual'!$AD$2&amp;"*Zone People Number Of Occupants [](Hourly)",'Eplus results'!$1:$1048576,ROW(),FALSE)</f>
        <v>0</v>
      </c>
      <c r="AC4037" s="580">
        <f>HLOOKUP("*"&amp;'Output annual'!$AC$2&amp;'Output annual'!$AD$2&amp;"*FangerPMV(Hourly)",'Eplus results'!$1:$1048576,ROW(),FALSE)</f>
        <v>0</v>
      </c>
      <c r="AD4037" s="580">
        <f t="shared" si="351"/>
        <v>5</v>
      </c>
      <c r="AE4037" s="580">
        <f t="shared" si="352"/>
        <v>2.5</v>
      </c>
      <c r="AF4037" s="580">
        <f t="shared" si="353"/>
        <v>2.5</v>
      </c>
      <c r="AG4037" s="580">
        <f t="shared" si="354"/>
        <v>0</v>
      </c>
      <c r="AH4037" s="580">
        <f t="shared" si="355"/>
        <v>0</v>
      </c>
    </row>
    <row r="4038" spans="28:34">
      <c r="AB4038" s="580">
        <f>HLOOKUP("*"&amp;'Output annual'!$AC$2&amp;'Output annual'!$AD$2&amp;"*Zone People Number Of Occupants [](Hourly)",'Eplus results'!$1:$1048576,ROW(),FALSE)</f>
        <v>0</v>
      </c>
      <c r="AC4038" s="580">
        <f>HLOOKUP("*"&amp;'Output annual'!$AC$2&amp;'Output annual'!$AD$2&amp;"*FangerPMV(Hourly)",'Eplus results'!$1:$1048576,ROW(),FALSE)</f>
        <v>0</v>
      </c>
      <c r="AD4038" s="580">
        <f t="shared" si="351"/>
        <v>5</v>
      </c>
      <c r="AE4038" s="580">
        <f t="shared" si="352"/>
        <v>2.5</v>
      </c>
      <c r="AF4038" s="580">
        <f t="shared" si="353"/>
        <v>2.5</v>
      </c>
      <c r="AG4038" s="580">
        <f t="shared" si="354"/>
        <v>0</v>
      </c>
      <c r="AH4038" s="580">
        <f t="shared" si="355"/>
        <v>0</v>
      </c>
    </row>
    <row r="4039" spans="28:34">
      <c r="AB4039" s="580">
        <f>HLOOKUP("*"&amp;'Output annual'!$AC$2&amp;'Output annual'!$AD$2&amp;"*Zone People Number Of Occupants [](Hourly)",'Eplus results'!$1:$1048576,ROW(),FALSE)</f>
        <v>0</v>
      </c>
      <c r="AC4039" s="580">
        <f>HLOOKUP("*"&amp;'Output annual'!$AC$2&amp;'Output annual'!$AD$2&amp;"*FangerPMV(Hourly)",'Eplus results'!$1:$1048576,ROW(),FALSE)</f>
        <v>0</v>
      </c>
      <c r="AD4039" s="580">
        <f t="shared" si="351"/>
        <v>5</v>
      </c>
      <c r="AE4039" s="580">
        <f t="shared" si="352"/>
        <v>2.5</v>
      </c>
      <c r="AF4039" s="580">
        <f t="shared" si="353"/>
        <v>2.5</v>
      </c>
      <c r="AG4039" s="580">
        <f t="shared" si="354"/>
        <v>0</v>
      </c>
      <c r="AH4039" s="580">
        <f t="shared" si="355"/>
        <v>0</v>
      </c>
    </row>
    <row r="4040" spans="28:34">
      <c r="AB4040" s="580">
        <f>HLOOKUP("*"&amp;'Output annual'!$AC$2&amp;'Output annual'!$AD$2&amp;"*Zone People Number Of Occupants [](Hourly)",'Eplus results'!$1:$1048576,ROW(),FALSE)</f>
        <v>0</v>
      </c>
      <c r="AC4040" s="580">
        <f>HLOOKUP("*"&amp;'Output annual'!$AC$2&amp;'Output annual'!$AD$2&amp;"*FangerPMV(Hourly)",'Eplus results'!$1:$1048576,ROW(),FALSE)</f>
        <v>0</v>
      </c>
      <c r="AD4040" s="580">
        <f t="shared" si="351"/>
        <v>5</v>
      </c>
      <c r="AE4040" s="580">
        <f t="shared" si="352"/>
        <v>2.5</v>
      </c>
      <c r="AF4040" s="580">
        <f t="shared" si="353"/>
        <v>2.5</v>
      </c>
      <c r="AG4040" s="580">
        <f t="shared" si="354"/>
        <v>0</v>
      </c>
      <c r="AH4040" s="580">
        <f t="shared" si="355"/>
        <v>0</v>
      </c>
    </row>
    <row r="4041" spans="28:34">
      <c r="AB4041" s="580">
        <f>HLOOKUP("*"&amp;'Output annual'!$AC$2&amp;'Output annual'!$AD$2&amp;"*Zone People Number Of Occupants [](Hourly)",'Eplus results'!$1:$1048576,ROW(),FALSE)</f>
        <v>0</v>
      </c>
      <c r="AC4041" s="580">
        <f>HLOOKUP("*"&amp;'Output annual'!$AC$2&amp;'Output annual'!$AD$2&amp;"*FangerPMV(Hourly)",'Eplus results'!$1:$1048576,ROW(),FALSE)</f>
        <v>0</v>
      </c>
      <c r="AD4041" s="580">
        <f t="shared" si="351"/>
        <v>5</v>
      </c>
      <c r="AE4041" s="580">
        <f t="shared" si="352"/>
        <v>2.5</v>
      </c>
      <c r="AF4041" s="580">
        <f t="shared" si="353"/>
        <v>2.5</v>
      </c>
      <c r="AG4041" s="580">
        <f t="shared" si="354"/>
        <v>0</v>
      </c>
      <c r="AH4041" s="580">
        <f t="shared" si="355"/>
        <v>0</v>
      </c>
    </row>
    <row r="4042" spans="28:34">
      <c r="AB4042" s="580">
        <f>HLOOKUP("*"&amp;'Output annual'!$AC$2&amp;'Output annual'!$AD$2&amp;"*Zone People Number Of Occupants [](Hourly)",'Eplus results'!$1:$1048576,ROW(),FALSE)</f>
        <v>0</v>
      </c>
      <c r="AC4042" s="580">
        <f>HLOOKUP("*"&amp;'Output annual'!$AC$2&amp;'Output annual'!$AD$2&amp;"*FangerPMV(Hourly)",'Eplus results'!$1:$1048576,ROW(),FALSE)</f>
        <v>0</v>
      </c>
      <c r="AD4042" s="580">
        <f t="shared" si="351"/>
        <v>5</v>
      </c>
      <c r="AE4042" s="580">
        <f t="shared" si="352"/>
        <v>2.5</v>
      </c>
      <c r="AF4042" s="580">
        <f t="shared" si="353"/>
        <v>2.5</v>
      </c>
      <c r="AG4042" s="580">
        <f t="shared" si="354"/>
        <v>0</v>
      </c>
      <c r="AH4042" s="580">
        <f t="shared" si="355"/>
        <v>0</v>
      </c>
    </row>
    <row r="4043" spans="28:34">
      <c r="AB4043" s="580">
        <f>HLOOKUP("*"&amp;'Output annual'!$AC$2&amp;'Output annual'!$AD$2&amp;"*Zone People Number Of Occupants [](Hourly)",'Eplus results'!$1:$1048576,ROW(),FALSE)</f>
        <v>0</v>
      </c>
      <c r="AC4043" s="580">
        <f>HLOOKUP("*"&amp;'Output annual'!$AC$2&amp;'Output annual'!$AD$2&amp;"*FangerPMV(Hourly)",'Eplus results'!$1:$1048576,ROW(),FALSE)</f>
        <v>0</v>
      </c>
      <c r="AD4043" s="580">
        <f t="shared" si="351"/>
        <v>5</v>
      </c>
      <c r="AE4043" s="580">
        <f t="shared" si="352"/>
        <v>2.5</v>
      </c>
      <c r="AF4043" s="580">
        <f t="shared" si="353"/>
        <v>2.5</v>
      </c>
      <c r="AG4043" s="580">
        <f t="shared" si="354"/>
        <v>0</v>
      </c>
      <c r="AH4043" s="580">
        <f t="shared" si="355"/>
        <v>0</v>
      </c>
    </row>
    <row r="4044" spans="28:34">
      <c r="AB4044" s="580">
        <f>HLOOKUP("*"&amp;'Output annual'!$AC$2&amp;'Output annual'!$AD$2&amp;"*Zone People Number Of Occupants [](Hourly)",'Eplus results'!$1:$1048576,ROW(),FALSE)</f>
        <v>0</v>
      </c>
      <c r="AC4044" s="580">
        <f>HLOOKUP("*"&amp;'Output annual'!$AC$2&amp;'Output annual'!$AD$2&amp;"*FangerPMV(Hourly)",'Eplus results'!$1:$1048576,ROW(),FALSE)</f>
        <v>0</v>
      </c>
      <c r="AD4044" s="580">
        <f t="shared" si="351"/>
        <v>5</v>
      </c>
      <c r="AE4044" s="580">
        <f t="shared" si="352"/>
        <v>2.5</v>
      </c>
      <c r="AF4044" s="580">
        <f t="shared" si="353"/>
        <v>2.5</v>
      </c>
      <c r="AG4044" s="580">
        <f t="shared" si="354"/>
        <v>0</v>
      </c>
      <c r="AH4044" s="580">
        <f t="shared" si="355"/>
        <v>0</v>
      </c>
    </row>
    <row r="4045" spans="28:34">
      <c r="AB4045" s="580">
        <f>HLOOKUP("*"&amp;'Output annual'!$AC$2&amp;'Output annual'!$AD$2&amp;"*Zone People Number Of Occupants [](Hourly)",'Eplus results'!$1:$1048576,ROW(),FALSE)</f>
        <v>0</v>
      </c>
      <c r="AC4045" s="580">
        <f>HLOOKUP("*"&amp;'Output annual'!$AC$2&amp;'Output annual'!$AD$2&amp;"*FangerPMV(Hourly)",'Eplus results'!$1:$1048576,ROW(),FALSE)</f>
        <v>0</v>
      </c>
      <c r="AD4045" s="580">
        <f t="shared" si="351"/>
        <v>5</v>
      </c>
      <c r="AE4045" s="580">
        <f t="shared" si="352"/>
        <v>2.5</v>
      </c>
      <c r="AF4045" s="580">
        <f t="shared" si="353"/>
        <v>2.5</v>
      </c>
      <c r="AG4045" s="580">
        <f t="shared" si="354"/>
        <v>0</v>
      </c>
      <c r="AH4045" s="580">
        <f t="shared" si="355"/>
        <v>0</v>
      </c>
    </row>
    <row r="4046" spans="28:34">
      <c r="AB4046" s="580">
        <f>HLOOKUP("*"&amp;'Output annual'!$AC$2&amp;'Output annual'!$AD$2&amp;"*Zone People Number Of Occupants [](Hourly)",'Eplus results'!$1:$1048576,ROW(),FALSE)</f>
        <v>0</v>
      </c>
      <c r="AC4046" s="580">
        <f>HLOOKUP("*"&amp;'Output annual'!$AC$2&amp;'Output annual'!$AD$2&amp;"*FangerPMV(Hourly)",'Eplus results'!$1:$1048576,ROW(),FALSE)</f>
        <v>0</v>
      </c>
      <c r="AD4046" s="580">
        <f t="shared" si="351"/>
        <v>5</v>
      </c>
      <c r="AE4046" s="580">
        <f t="shared" si="352"/>
        <v>2.5</v>
      </c>
      <c r="AF4046" s="580">
        <f t="shared" si="353"/>
        <v>2.5</v>
      </c>
      <c r="AG4046" s="580">
        <f t="shared" si="354"/>
        <v>0</v>
      </c>
      <c r="AH4046" s="580">
        <f t="shared" si="355"/>
        <v>0</v>
      </c>
    </row>
    <row r="4047" spans="28:34">
      <c r="AB4047" s="580">
        <f>HLOOKUP("*"&amp;'Output annual'!$AC$2&amp;'Output annual'!$AD$2&amp;"*Zone People Number Of Occupants [](Hourly)",'Eplus results'!$1:$1048576,ROW(),FALSE)</f>
        <v>0</v>
      </c>
      <c r="AC4047" s="580">
        <f>HLOOKUP("*"&amp;'Output annual'!$AC$2&amp;'Output annual'!$AD$2&amp;"*FangerPMV(Hourly)",'Eplus results'!$1:$1048576,ROW(),FALSE)</f>
        <v>0</v>
      </c>
      <c r="AD4047" s="580">
        <f t="shared" si="351"/>
        <v>5</v>
      </c>
      <c r="AE4047" s="580">
        <f t="shared" si="352"/>
        <v>2.5</v>
      </c>
      <c r="AF4047" s="580">
        <f t="shared" si="353"/>
        <v>2.5</v>
      </c>
      <c r="AG4047" s="580">
        <f t="shared" si="354"/>
        <v>0</v>
      </c>
      <c r="AH4047" s="580">
        <f t="shared" si="355"/>
        <v>0</v>
      </c>
    </row>
    <row r="4048" spans="28:34">
      <c r="AB4048" s="580">
        <f>HLOOKUP("*"&amp;'Output annual'!$AC$2&amp;'Output annual'!$AD$2&amp;"*Zone People Number Of Occupants [](Hourly)",'Eplus results'!$1:$1048576,ROW(),FALSE)</f>
        <v>0</v>
      </c>
      <c r="AC4048" s="580">
        <f>HLOOKUP("*"&amp;'Output annual'!$AC$2&amp;'Output annual'!$AD$2&amp;"*FangerPMV(Hourly)",'Eplus results'!$1:$1048576,ROW(),FALSE)</f>
        <v>0</v>
      </c>
      <c r="AD4048" s="580">
        <f t="shared" si="351"/>
        <v>5</v>
      </c>
      <c r="AE4048" s="580">
        <f t="shared" si="352"/>
        <v>2.5</v>
      </c>
      <c r="AF4048" s="580">
        <f t="shared" si="353"/>
        <v>2.5</v>
      </c>
      <c r="AG4048" s="580">
        <f t="shared" si="354"/>
        <v>0</v>
      </c>
      <c r="AH4048" s="580">
        <f t="shared" si="355"/>
        <v>0</v>
      </c>
    </row>
    <row r="4049" spans="28:34">
      <c r="AB4049" s="580">
        <f>HLOOKUP("*"&amp;'Output annual'!$AC$2&amp;'Output annual'!$AD$2&amp;"*Zone People Number Of Occupants [](Hourly)",'Eplus results'!$1:$1048576,ROW(),FALSE)</f>
        <v>0</v>
      </c>
      <c r="AC4049" s="580">
        <f>HLOOKUP("*"&amp;'Output annual'!$AC$2&amp;'Output annual'!$AD$2&amp;"*FangerPMV(Hourly)",'Eplus results'!$1:$1048576,ROW(),FALSE)</f>
        <v>0</v>
      </c>
      <c r="AD4049" s="580">
        <f t="shared" si="351"/>
        <v>5</v>
      </c>
      <c r="AE4049" s="580">
        <f t="shared" si="352"/>
        <v>2.5</v>
      </c>
      <c r="AF4049" s="580">
        <f t="shared" si="353"/>
        <v>2.5</v>
      </c>
      <c r="AG4049" s="580">
        <f t="shared" si="354"/>
        <v>0</v>
      </c>
      <c r="AH4049" s="580">
        <f t="shared" si="355"/>
        <v>0</v>
      </c>
    </row>
    <row r="4050" spans="28:34">
      <c r="AB4050" s="580">
        <f>HLOOKUP("*"&amp;'Output annual'!$AC$2&amp;'Output annual'!$AD$2&amp;"*Zone People Number Of Occupants [](Hourly)",'Eplus results'!$1:$1048576,ROW(),FALSE)</f>
        <v>0</v>
      </c>
      <c r="AC4050" s="580">
        <f>HLOOKUP("*"&amp;'Output annual'!$AC$2&amp;'Output annual'!$AD$2&amp;"*FangerPMV(Hourly)",'Eplus results'!$1:$1048576,ROW(),FALSE)</f>
        <v>0</v>
      </c>
      <c r="AD4050" s="580">
        <f t="shared" si="351"/>
        <v>5</v>
      </c>
      <c r="AE4050" s="580">
        <f t="shared" si="352"/>
        <v>2.5</v>
      </c>
      <c r="AF4050" s="580">
        <f t="shared" si="353"/>
        <v>2.5</v>
      </c>
      <c r="AG4050" s="580">
        <f t="shared" si="354"/>
        <v>0</v>
      </c>
      <c r="AH4050" s="580">
        <f t="shared" si="355"/>
        <v>0</v>
      </c>
    </row>
    <row r="4051" spans="28:34">
      <c r="AB4051" s="580">
        <f>HLOOKUP("*"&amp;'Output annual'!$AC$2&amp;'Output annual'!$AD$2&amp;"*Zone People Number Of Occupants [](Hourly)",'Eplus results'!$1:$1048576,ROW(),FALSE)</f>
        <v>0</v>
      </c>
      <c r="AC4051" s="580">
        <f>HLOOKUP("*"&amp;'Output annual'!$AC$2&amp;'Output annual'!$AD$2&amp;"*FangerPMV(Hourly)",'Eplus results'!$1:$1048576,ROW(),FALSE)</f>
        <v>0</v>
      </c>
      <c r="AD4051" s="580">
        <f t="shared" si="351"/>
        <v>5</v>
      </c>
      <c r="AE4051" s="580">
        <f t="shared" si="352"/>
        <v>2.5</v>
      </c>
      <c r="AF4051" s="580">
        <f t="shared" si="353"/>
        <v>2.5</v>
      </c>
      <c r="AG4051" s="580">
        <f t="shared" si="354"/>
        <v>0</v>
      </c>
      <c r="AH4051" s="580">
        <f t="shared" si="355"/>
        <v>0</v>
      </c>
    </row>
    <row r="4052" spans="28:34">
      <c r="AB4052" s="580">
        <f>HLOOKUP("*"&amp;'Output annual'!$AC$2&amp;'Output annual'!$AD$2&amp;"*Zone People Number Of Occupants [](Hourly)",'Eplus results'!$1:$1048576,ROW(),FALSE)</f>
        <v>0</v>
      </c>
      <c r="AC4052" s="580">
        <f>HLOOKUP("*"&amp;'Output annual'!$AC$2&amp;'Output annual'!$AD$2&amp;"*FangerPMV(Hourly)",'Eplus results'!$1:$1048576,ROW(),FALSE)</f>
        <v>0</v>
      </c>
      <c r="AD4052" s="580">
        <f t="shared" si="351"/>
        <v>5</v>
      </c>
      <c r="AE4052" s="580">
        <f t="shared" si="352"/>
        <v>2.5</v>
      </c>
      <c r="AF4052" s="580">
        <f t="shared" si="353"/>
        <v>2.5</v>
      </c>
      <c r="AG4052" s="580">
        <f t="shared" si="354"/>
        <v>0</v>
      </c>
      <c r="AH4052" s="580">
        <f t="shared" si="355"/>
        <v>0</v>
      </c>
    </row>
    <row r="4053" spans="28:34">
      <c r="AB4053" s="580">
        <f>HLOOKUP("*"&amp;'Output annual'!$AC$2&amp;'Output annual'!$AD$2&amp;"*Zone People Number Of Occupants [](Hourly)",'Eplus results'!$1:$1048576,ROW(),FALSE)</f>
        <v>0</v>
      </c>
      <c r="AC4053" s="580">
        <f>HLOOKUP("*"&amp;'Output annual'!$AC$2&amp;'Output annual'!$AD$2&amp;"*FangerPMV(Hourly)",'Eplus results'!$1:$1048576,ROW(),FALSE)</f>
        <v>0</v>
      </c>
      <c r="AD4053" s="580">
        <f t="shared" si="351"/>
        <v>5</v>
      </c>
      <c r="AE4053" s="580">
        <f t="shared" si="352"/>
        <v>2.5</v>
      </c>
      <c r="AF4053" s="580">
        <f t="shared" si="353"/>
        <v>2.5</v>
      </c>
      <c r="AG4053" s="580">
        <f t="shared" si="354"/>
        <v>0</v>
      </c>
      <c r="AH4053" s="580">
        <f t="shared" si="355"/>
        <v>0</v>
      </c>
    </row>
    <row r="4054" spans="28:34">
      <c r="AB4054" s="580">
        <f>HLOOKUP("*"&amp;'Output annual'!$AC$2&amp;'Output annual'!$AD$2&amp;"*Zone People Number Of Occupants [](Hourly)",'Eplus results'!$1:$1048576,ROW(),FALSE)</f>
        <v>0</v>
      </c>
      <c r="AC4054" s="580">
        <f>HLOOKUP("*"&amp;'Output annual'!$AC$2&amp;'Output annual'!$AD$2&amp;"*FangerPMV(Hourly)",'Eplus results'!$1:$1048576,ROW(),FALSE)</f>
        <v>0</v>
      </c>
      <c r="AD4054" s="580">
        <f t="shared" si="351"/>
        <v>5</v>
      </c>
      <c r="AE4054" s="580">
        <f t="shared" si="352"/>
        <v>2.5</v>
      </c>
      <c r="AF4054" s="580">
        <f t="shared" si="353"/>
        <v>2.5</v>
      </c>
      <c r="AG4054" s="580">
        <f t="shared" si="354"/>
        <v>0</v>
      </c>
      <c r="AH4054" s="580">
        <f t="shared" si="355"/>
        <v>0</v>
      </c>
    </row>
    <row r="4055" spans="28:34">
      <c r="AB4055" s="580">
        <f>HLOOKUP("*"&amp;'Output annual'!$AC$2&amp;'Output annual'!$AD$2&amp;"*Zone People Number Of Occupants [](Hourly)",'Eplus results'!$1:$1048576,ROW(),FALSE)</f>
        <v>0</v>
      </c>
      <c r="AC4055" s="580">
        <f>HLOOKUP("*"&amp;'Output annual'!$AC$2&amp;'Output annual'!$AD$2&amp;"*FangerPMV(Hourly)",'Eplus results'!$1:$1048576,ROW(),FALSE)</f>
        <v>0</v>
      </c>
      <c r="AD4055" s="580">
        <f t="shared" si="351"/>
        <v>5</v>
      </c>
      <c r="AE4055" s="580">
        <f t="shared" si="352"/>
        <v>2.5</v>
      </c>
      <c r="AF4055" s="580">
        <f t="shared" si="353"/>
        <v>2.5</v>
      </c>
      <c r="AG4055" s="580">
        <f t="shared" si="354"/>
        <v>0</v>
      </c>
      <c r="AH4055" s="580">
        <f t="shared" si="355"/>
        <v>0</v>
      </c>
    </row>
    <row r="4056" spans="28:34">
      <c r="AB4056" s="580">
        <f>HLOOKUP("*"&amp;'Output annual'!$AC$2&amp;'Output annual'!$AD$2&amp;"*Zone People Number Of Occupants [](Hourly)",'Eplus results'!$1:$1048576,ROW(),FALSE)</f>
        <v>0</v>
      </c>
      <c r="AC4056" s="580">
        <f>HLOOKUP("*"&amp;'Output annual'!$AC$2&amp;'Output annual'!$AD$2&amp;"*FangerPMV(Hourly)",'Eplus results'!$1:$1048576,ROW(),FALSE)</f>
        <v>0</v>
      </c>
      <c r="AD4056" s="580">
        <f t="shared" si="351"/>
        <v>5</v>
      </c>
      <c r="AE4056" s="580">
        <f t="shared" si="352"/>
        <v>2.5</v>
      </c>
      <c r="AF4056" s="580">
        <f t="shared" si="353"/>
        <v>2.5</v>
      </c>
      <c r="AG4056" s="580">
        <f t="shared" si="354"/>
        <v>0</v>
      </c>
      <c r="AH4056" s="580">
        <f t="shared" si="355"/>
        <v>0</v>
      </c>
    </row>
    <row r="4057" spans="28:34">
      <c r="AB4057" s="580">
        <f>HLOOKUP("*"&amp;'Output annual'!$AC$2&amp;'Output annual'!$AD$2&amp;"*Zone People Number Of Occupants [](Hourly)",'Eplus results'!$1:$1048576,ROW(),FALSE)</f>
        <v>0</v>
      </c>
      <c r="AC4057" s="580">
        <f>HLOOKUP("*"&amp;'Output annual'!$AC$2&amp;'Output annual'!$AD$2&amp;"*FangerPMV(Hourly)",'Eplus results'!$1:$1048576,ROW(),FALSE)</f>
        <v>0</v>
      </c>
      <c r="AD4057" s="580">
        <f t="shared" si="351"/>
        <v>5</v>
      </c>
      <c r="AE4057" s="580">
        <f t="shared" si="352"/>
        <v>2.5</v>
      </c>
      <c r="AF4057" s="580">
        <f t="shared" si="353"/>
        <v>2.5</v>
      </c>
      <c r="AG4057" s="580">
        <f t="shared" si="354"/>
        <v>0</v>
      </c>
      <c r="AH4057" s="580">
        <f t="shared" si="355"/>
        <v>0</v>
      </c>
    </row>
    <row r="4058" spans="28:34">
      <c r="AB4058" s="580">
        <f>HLOOKUP("*"&amp;'Output annual'!$AC$2&amp;'Output annual'!$AD$2&amp;"*Zone People Number Of Occupants [](Hourly)",'Eplus results'!$1:$1048576,ROW(),FALSE)</f>
        <v>0</v>
      </c>
      <c r="AC4058" s="580">
        <f>HLOOKUP("*"&amp;'Output annual'!$AC$2&amp;'Output annual'!$AD$2&amp;"*FangerPMV(Hourly)",'Eplus results'!$1:$1048576,ROW(),FALSE)</f>
        <v>0</v>
      </c>
      <c r="AD4058" s="580">
        <f t="shared" si="351"/>
        <v>5</v>
      </c>
      <c r="AE4058" s="580">
        <f t="shared" si="352"/>
        <v>2.5</v>
      </c>
      <c r="AF4058" s="580">
        <f t="shared" si="353"/>
        <v>2.5</v>
      </c>
      <c r="AG4058" s="580">
        <f t="shared" si="354"/>
        <v>0</v>
      </c>
      <c r="AH4058" s="580">
        <f t="shared" si="355"/>
        <v>0</v>
      </c>
    </row>
    <row r="4059" spans="28:34">
      <c r="AB4059" s="580">
        <f>HLOOKUP("*"&amp;'Output annual'!$AC$2&amp;'Output annual'!$AD$2&amp;"*Zone People Number Of Occupants [](Hourly)",'Eplus results'!$1:$1048576,ROW(),FALSE)</f>
        <v>0</v>
      </c>
      <c r="AC4059" s="580">
        <f>HLOOKUP("*"&amp;'Output annual'!$AC$2&amp;'Output annual'!$AD$2&amp;"*FangerPMV(Hourly)",'Eplus results'!$1:$1048576,ROW(),FALSE)</f>
        <v>0</v>
      </c>
      <c r="AD4059" s="580">
        <f t="shared" si="351"/>
        <v>5</v>
      </c>
      <c r="AE4059" s="580">
        <f t="shared" si="352"/>
        <v>2.5</v>
      </c>
      <c r="AF4059" s="580">
        <f t="shared" si="353"/>
        <v>2.5</v>
      </c>
      <c r="AG4059" s="580">
        <f t="shared" si="354"/>
        <v>0</v>
      </c>
      <c r="AH4059" s="580">
        <f t="shared" si="355"/>
        <v>0</v>
      </c>
    </row>
    <row r="4060" spans="28:34">
      <c r="AB4060" s="580">
        <f>HLOOKUP("*"&amp;'Output annual'!$AC$2&amp;'Output annual'!$AD$2&amp;"*Zone People Number Of Occupants [](Hourly)",'Eplus results'!$1:$1048576,ROW(),FALSE)</f>
        <v>0</v>
      </c>
      <c r="AC4060" s="580">
        <f>HLOOKUP("*"&amp;'Output annual'!$AC$2&amp;'Output annual'!$AD$2&amp;"*FangerPMV(Hourly)",'Eplus results'!$1:$1048576,ROW(),FALSE)</f>
        <v>0</v>
      </c>
      <c r="AD4060" s="580">
        <f t="shared" si="351"/>
        <v>5</v>
      </c>
      <c r="AE4060" s="580">
        <f t="shared" si="352"/>
        <v>2.5</v>
      </c>
      <c r="AF4060" s="580">
        <f t="shared" si="353"/>
        <v>2.5</v>
      </c>
      <c r="AG4060" s="580">
        <f t="shared" si="354"/>
        <v>0</v>
      </c>
      <c r="AH4060" s="580">
        <f t="shared" si="355"/>
        <v>0</v>
      </c>
    </row>
    <row r="4061" spans="28:34">
      <c r="AB4061" s="580">
        <f>HLOOKUP("*"&amp;'Output annual'!$AC$2&amp;'Output annual'!$AD$2&amp;"*Zone People Number Of Occupants [](Hourly)",'Eplus results'!$1:$1048576,ROW(),FALSE)</f>
        <v>0</v>
      </c>
      <c r="AC4061" s="580">
        <f>HLOOKUP("*"&amp;'Output annual'!$AC$2&amp;'Output annual'!$AD$2&amp;"*FangerPMV(Hourly)",'Eplus results'!$1:$1048576,ROW(),FALSE)</f>
        <v>0</v>
      </c>
      <c r="AD4061" s="580">
        <f t="shared" si="351"/>
        <v>5</v>
      </c>
      <c r="AE4061" s="580">
        <f t="shared" si="352"/>
        <v>2.5</v>
      </c>
      <c r="AF4061" s="580">
        <f t="shared" si="353"/>
        <v>2.5</v>
      </c>
      <c r="AG4061" s="580">
        <f t="shared" si="354"/>
        <v>0</v>
      </c>
      <c r="AH4061" s="580">
        <f t="shared" si="355"/>
        <v>0</v>
      </c>
    </row>
    <row r="4062" spans="28:34">
      <c r="AB4062" s="580">
        <f>HLOOKUP("*"&amp;'Output annual'!$AC$2&amp;'Output annual'!$AD$2&amp;"*Zone People Number Of Occupants [](Hourly)",'Eplus results'!$1:$1048576,ROW(),FALSE)</f>
        <v>0</v>
      </c>
      <c r="AC4062" s="580">
        <f>HLOOKUP("*"&amp;'Output annual'!$AC$2&amp;'Output annual'!$AD$2&amp;"*FangerPMV(Hourly)",'Eplus results'!$1:$1048576,ROW(),FALSE)</f>
        <v>0</v>
      </c>
      <c r="AD4062" s="580">
        <f t="shared" si="351"/>
        <v>5</v>
      </c>
      <c r="AE4062" s="580">
        <f t="shared" si="352"/>
        <v>2.5</v>
      </c>
      <c r="AF4062" s="580">
        <f t="shared" si="353"/>
        <v>2.5</v>
      </c>
      <c r="AG4062" s="580">
        <f t="shared" si="354"/>
        <v>0</v>
      </c>
      <c r="AH4062" s="580">
        <f t="shared" si="355"/>
        <v>0</v>
      </c>
    </row>
    <row r="4063" spans="28:34">
      <c r="AB4063" s="580">
        <f>HLOOKUP("*"&amp;'Output annual'!$AC$2&amp;'Output annual'!$AD$2&amp;"*Zone People Number Of Occupants [](Hourly)",'Eplus results'!$1:$1048576,ROW(),FALSE)</f>
        <v>0</v>
      </c>
      <c r="AC4063" s="580">
        <f>HLOOKUP("*"&amp;'Output annual'!$AC$2&amp;'Output annual'!$AD$2&amp;"*FangerPMV(Hourly)",'Eplus results'!$1:$1048576,ROW(),FALSE)</f>
        <v>0</v>
      </c>
      <c r="AD4063" s="580">
        <f t="shared" si="351"/>
        <v>5</v>
      </c>
      <c r="AE4063" s="580">
        <f t="shared" si="352"/>
        <v>2.5</v>
      </c>
      <c r="AF4063" s="580">
        <f t="shared" si="353"/>
        <v>2.5</v>
      </c>
      <c r="AG4063" s="580">
        <f t="shared" si="354"/>
        <v>0</v>
      </c>
      <c r="AH4063" s="580">
        <f t="shared" si="355"/>
        <v>0</v>
      </c>
    </row>
    <row r="4064" spans="28:34">
      <c r="AB4064" s="580">
        <f>HLOOKUP("*"&amp;'Output annual'!$AC$2&amp;'Output annual'!$AD$2&amp;"*Zone People Number Of Occupants [](Hourly)",'Eplus results'!$1:$1048576,ROW(),FALSE)</f>
        <v>0</v>
      </c>
      <c r="AC4064" s="580">
        <f>HLOOKUP("*"&amp;'Output annual'!$AC$2&amp;'Output annual'!$AD$2&amp;"*FangerPMV(Hourly)",'Eplus results'!$1:$1048576,ROW(),FALSE)</f>
        <v>0</v>
      </c>
      <c r="AD4064" s="580">
        <f t="shared" si="351"/>
        <v>5</v>
      </c>
      <c r="AE4064" s="580">
        <f t="shared" si="352"/>
        <v>2.5</v>
      </c>
      <c r="AF4064" s="580">
        <f t="shared" si="353"/>
        <v>2.5</v>
      </c>
      <c r="AG4064" s="580">
        <f t="shared" si="354"/>
        <v>0</v>
      </c>
      <c r="AH4064" s="580">
        <f t="shared" si="355"/>
        <v>0</v>
      </c>
    </row>
    <row r="4065" spans="28:34">
      <c r="AB4065" s="580">
        <f>HLOOKUP("*"&amp;'Output annual'!$AC$2&amp;'Output annual'!$AD$2&amp;"*Zone People Number Of Occupants [](Hourly)",'Eplus results'!$1:$1048576,ROW(),FALSE)</f>
        <v>0</v>
      </c>
      <c r="AC4065" s="580">
        <f>HLOOKUP("*"&amp;'Output annual'!$AC$2&amp;'Output annual'!$AD$2&amp;"*FangerPMV(Hourly)",'Eplus results'!$1:$1048576,ROW(),FALSE)</f>
        <v>0</v>
      </c>
      <c r="AD4065" s="580">
        <f t="shared" si="351"/>
        <v>5</v>
      </c>
      <c r="AE4065" s="580">
        <f t="shared" si="352"/>
        <v>2.5</v>
      </c>
      <c r="AF4065" s="580">
        <f t="shared" si="353"/>
        <v>2.5</v>
      </c>
      <c r="AG4065" s="580">
        <f t="shared" si="354"/>
        <v>0</v>
      </c>
      <c r="AH4065" s="580">
        <f t="shared" si="355"/>
        <v>0</v>
      </c>
    </row>
    <row r="4066" spans="28:34">
      <c r="AB4066" s="580">
        <f>HLOOKUP("*"&amp;'Output annual'!$AC$2&amp;'Output annual'!$AD$2&amp;"*Zone People Number Of Occupants [](Hourly)",'Eplus results'!$1:$1048576,ROW(),FALSE)</f>
        <v>0</v>
      </c>
      <c r="AC4066" s="580">
        <f>HLOOKUP("*"&amp;'Output annual'!$AC$2&amp;'Output annual'!$AD$2&amp;"*FangerPMV(Hourly)",'Eplus results'!$1:$1048576,ROW(),FALSE)</f>
        <v>0</v>
      </c>
      <c r="AD4066" s="580">
        <f t="shared" si="351"/>
        <v>5</v>
      </c>
      <c r="AE4066" s="580">
        <f t="shared" si="352"/>
        <v>2.5</v>
      </c>
      <c r="AF4066" s="580">
        <f t="shared" si="353"/>
        <v>2.5</v>
      </c>
      <c r="AG4066" s="580">
        <f t="shared" si="354"/>
        <v>0</v>
      </c>
      <c r="AH4066" s="580">
        <f t="shared" si="355"/>
        <v>0</v>
      </c>
    </row>
    <row r="4067" spans="28:34">
      <c r="AB4067" s="580">
        <f>HLOOKUP("*"&amp;'Output annual'!$AC$2&amp;'Output annual'!$AD$2&amp;"*Zone People Number Of Occupants [](Hourly)",'Eplus results'!$1:$1048576,ROW(),FALSE)</f>
        <v>0</v>
      </c>
      <c r="AC4067" s="580">
        <f>HLOOKUP("*"&amp;'Output annual'!$AC$2&amp;'Output annual'!$AD$2&amp;"*FangerPMV(Hourly)",'Eplus results'!$1:$1048576,ROW(),FALSE)</f>
        <v>0</v>
      </c>
      <c r="AD4067" s="580">
        <f t="shared" si="351"/>
        <v>5</v>
      </c>
      <c r="AE4067" s="580">
        <f t="shared" si="352"/>
        <v>2.5</v>
      </c>
      <c r="AF4067" s="580">
        <f t="shared" si="353"/>
        <v>2.5</v>
      </c>
      <c r="AG4067" s="580">
        <f t="shared" si="354"/>
        <v>0</v>
      </c>
      <c r="AH4067" s="580">
        <f t="shared" si="355"/>
        <v>0</v>
      </c>
    </row>
    <row r="4068" spans="28:34">
      <c r="AB4068" s="580">
        <f>HLOOKUP("*"&amp;'Output annual'!$AC$2&amp;'Output annual'!$AD$2&amp;"*Zone People Number Of Occupants [](Hourly)",'Eplus results'!$1:$1048576,ROW(),FALSE)</f>
        <v>0</v>
      </c>
      <c r="AC4068" s="580">
        <f>HLOOKUP("*"&amp;'Output annual'!$AC$2&amp;'Output annual'!$AD$2&amp;"*FangerPMV(Hourly)",'Eplus results'!$1:$1048576,ROW(),FALSE)</f>
        <v>0</v>
      </c>
      <c r="AD4068" s="580">
        <f t="shared" si="351"/>
        <v>5</v>
      </c>
      <c r="AE4068" s="580">
        <f t="shared" si="352"/>
        <v>2.5</v>
      </c>
      <c r="AF4068" s="580">
        <f t="shared" si="353"/>
        <v>2.5</v>
      </c>
      <c r="AG4068" s="580">
        <f t="shared" si="354"/>
        <v>0</v>
      </c>
      <c r="AH4068" s="580">
        <f t="shared" si="355"/>
        <v>0</v>
      </c>
    </row>
    <row r="4069" spans="28:34">
      <c r="AB4069" s="580">
        <f>HLOOKUP("*"&amp;'Output annual'!$AC$2&amp;'Output annual'!$AD$2&amp;"*Zone People Number Of Occupants [](Hourly)",'Eplus results'!$1:$1048576,ROW(),FALSE)</f>
        <v>0</v>
      </c>
      <c r="AC4069" s="580">
        <f>HLOOKUP("*"&amp;'Output annual'!$AC$2&amp;'Output annual'!$AD$2&amp;"*FangerPMV(Hourly)",'Eplus results'!$1:$1048576,ROW(),FALSE)</f>
        <v>0</v>
      </c>
      <c r="AD4069" s="580">
        <f t="shared" si="351"/>
        <v>5</v>
      </c>
      <c r="AE4069" s="580">
        <f t="shared" si="352"/>
        <v>2.5</v>
      </c>
      <c r="AF4069" s="580">
        <f t="shared" si="353"/>
        <v>2.5</v>
      </c>
      <c r="AG4069" s="580">
        <f t="shared" si="354"/>
        <v>0</v>
      </c>
      <c r="AH4069" s="580">
        <f t="shared" si="355"/>
        <v>0</v>
      </c>
    </row>
    <row r="4070" spans="28:34">
      <c r="AB4070" s="580">
        <f>HLOOKUP("*"&amp;'Output annual'!$AC$2&amp;'Output annual'!$AD$2&amp;"*Zone People Number Of Occupants [](Hourly)",'Eplus results'!$1:$1048576,ROW(),FALSE)</f>
        <v>0</v>
      </c>
      <c r="AC4070" s="580">
        <f>HLOOKUP("*"&amp;'Output annual'!$AC$2&amp;'Output annual'!$AD$2&amp;"*FangerPMV(Hourly)",'Eplus results'!$1:$1048576,ROW(),FALSE)</f>
        <v>0</v>
      </c>
      <c r="AD4070" s="580">
        <f t="shared" si="351"/>
        <v>5</v>
      </c>
      <c r="AE4070" s="580">
        <f t="shared" si="352"/>
        <v>2.5</v>
      </c>
      <c r="AF4070" s="580">
        <f t="shared" si="353"/>
        <v>2.5</v>
      </c>
      <c r="AG4070" s="580">
        <f t="shared" si="354"/>
        <v>0</v>
      </c>
      <c r="AH4070" s="580">
        <f t="shared" si="355"/>
        <v>0</v>
      </c>
    </row>
    <row r="4071" spans="28:34">
      <c r="AB4071" s="580">
        <f>HLOOKUP("*"&amp;'Output annual'!$AC$2&amp;'Output annual'!$AD$2&amp;"*Zone People Number Of Occupants [](Hourly)",'Eplus results'!$1:$1048576,ROW(),FALSE)</f>
        <v>0</v>
      </c>
      <c r="AC4071" s="580">
        <f>HLOOKUP("*"&amp;'Output annual'!$AC$2&amp;'Output annual'!$AD$2&amp;"*FangerPMV(Hourly)",'Eplus results'!$1:$1048576,ROW(),FALSE)</f>
        <v>0</v>
      </c>
      <c r="AD4071" s="580">
        <f t="shared" si="351"/>
        <v>5</v>
      </c>
      <c r="AE4071" s="580">
        <f t="shared" si="352"/>
        <v>2.5</v>
      </c>
      <c r="AF4071" s="580">
        <f t="shared" si="353"/>
        <v>2.5</v>
      </c>
      <c r="AG4071" s="580">
        <f t="shared" si="354"/>
        <v>0</v>
      </c>
      <c r="AH4071" s="580">
        <f t="shared" si="355"/>
        <v>0</v>
      </c>
    </row>
    <row r="4072" spans="28:34">
      <c r="AB4072" s="580">
        <f>HLOOKUP("*"&amp;'Output annual'!$AC$2&amp;'Output annual'!$AD$2&amp;"*Zone People Number Of Occupants [](Hourly)",'Eplus results'!$1:$1048576,ROW(),FALSE)</f>
        <v>0</v>
      </c>
      <c r="AC4072" s="580">
        <f>HLOOKUP("*"&amp;'Output annual'!$AC$2&amp;'Output annual'!$AD$2&amp;"*FangerPMV(Hourly)",'Eplus results'!$1:$1048576,ROW(),FALSE)</f>
        <v>0</v>
      </c>
      <c r="AD4072" s="580">
        <f t="shared" si="351"/>
        <v>5</v>
      </c>
      <c r="AE4072" s="580">
        <f t="shared" si="352"/>
        <v>2.5</v>
      </c>
      <c r="AF4072" s="580">
        <f t="shared" si="353"/>
        <v>2.5</v>
      </c>
      <c r="AG4072" s="580">
        <f t="shared" si="354"/>
        <v>0</v>
      </c>
      <c r="AH4072" s="580">
        <f t="shared" si="355"/>
        <v>0</v>
      </c>
    </row>
    <row r="4073" spans="28:34">
      <c r="AB4073" s="580">
        <f>HLOOKUP("*"&amp;'Output annual'!$AC$2&amp;'Output annual'!$AD$2&amp;"*Zone People Number Of Occupants [](Hourly)",'Eplus results'!$1:$1048576,ROW(),FALSE)</f>
        <v>0</v>
      </c>
      <c r="AC4073" s="580">
        <f>HLOOKUP("*"&amp;'Output annual'!$AC$2&amp;'Output annual'!$AD$2&amp;"*FangerPMV(Hourly)",'Eplus results'!$1:$1048576,ROW(),FALSE)</f>
        <v>0</v>
      </c>
      <c r="AD4073" s="580">
        <f t="shared" si="351"/>
        <v>5</v>
      </c>
      <c r="AE4073" s="580">
        <f t="shared" si="352"/>
        <v>2.5</v>
      </c>
      <c r="AF4073" s="580">
        <f t="shared" si="353"/>
        <v>2.5</v>
      </c>
      <c r="AG4073" s="580">
        <f t="shared" si="354"/>
        <v>0</v>
      </c>
      <c r="AH4073" s="580">
        <f t="shared" si="355"/>
        <v>0</v>
      </c>
    </row>
    <row r="4074" spans="28:34">
      <c r="AB4074" s="580">
        <f>HLOOKUP("*"&amp;'Output annual'!$AC$2&amp;'Output annual'!$AD$2&amp;"*Zone People Number Of Occupants [](Hourly)",'Eplus results'!$1:$1048576,ROW(),FALSE)</f>
        <v>0</v>
      </c>
      <c r="AC4074" s="580">
        <f>HLOOKUP("*"&amp;'Output annual'!$AC$2&amp;'Output annual'!$AD$2&amp;"*FangerPMV(Hourly)",'Eplus results'!$1:$1048576,ROW(),FALSE)</f>
        <v>0</v>
      </c>
      <c r="AD4074" s="580">
        <f t="shared" si="351"/>
        <v>5</v>
      </c>
      <c r="AE4074" s="580">
        <f t="shared" si="352"/>
        <v>2.5</v>
      </c>
      <c r="AF4074" s="580">
        <f t="shared" si="353"/>
        <v>2.5</v>
      </c>
      <c r="AG4074" s="580">
        <f t="shared" si="354"/>
        <v>0</v>
      </c>
      <c r="AH4074" s="580">
        <f t="shared" si="355"/>
        <v>0</v>
      </c>
    </row>
    <row r="4075" spans="28:34">
      <c r="AB4075" s="580">
        <f>HLOOKUP("*"&amp;'Output annual'!$AC$2&amp;'Output annual'!$AD$2&amp;"*Zone People Number Of Occupants [](Hourly)",'Eplus results'!$1:$1048576,ROW(),FALSE)</f>
        <v>0</v>
      </c>
      <c r="AC4075" s="580">
        <f>HLOOKUP("*"&amp;'Output annual'!$AC$2&amp;'Output annual'!$AD$2&amp;"*FangerPMV(Hourly)",'Eplus results'!$1:$1048576,ROW(),FALSE)</f>
        <v>0</v>
      </c>
      <c r="AD4075" s="580">
        <f t="shared" si="351"/>
        <v>5</v>
      </c>
      <c r="AE4075" s="580">
        <f t="shared" si="352"/>
        <v>2.5</v>
      </c>
      <c r="AF4075" s="580">
        <f t="shared" si="353"/>
        <v>2.5</v>
      </c>
      <c r="AG4075" s="580">
        <f t="shared" si="354"/>
        <v>0</v>
      </c>
      <c r="AH4075" s="580">
        <f t="shared" si="355"/>
        <v>0</v>
      </c>
    </row>
    <row r="4076" spans="28:34">
      <c r="AB4076" s="580">
        <f>HLOOKUP("*"&amp;'Output annual'!$AC$2&amp;'Output annual'!$AD$2&amp;"*Zone People Number Of Occupants [](Hourly)",'Eplus results'!$1:$1048576,ROW(),FALSE)</f>
        <v>0</v>
      </c>
      <c r="AC4076" s="580">
        <f>HLOOKUP("*"&amp;'Output annual'!$AC$2&amp;'Output annual'!$AD$2&amp;"*FangerPMV(Hourly)",'Eplus results'!$1:$1048576,ROW(),FALSE)</f>
        <v>0</v>
      </c>
      <c r="AD4076" s="580">
        <f t="shared" si="351"/>
        <v>5</v>
      </c>
      <c r="AE4076" s="580">
        <f t="shared" si="352"/>
        <v>2.5</v>
      </c>
      <c r="AF4076" s="580">
        <f t="shared" si="353"/>
        <v>2.5</v>
      </c>
      <c r="AG4076" s="580">
        <f t="shared" si="354"/>
        <v>0</v>
      </c>
      <c r="AH4076" s="580">
        <f t="shared" si="355"/>
        <v>0</v>
      </c>
    </row>
    <row r="4077" spans="28:34">
      <c r="AB4077" s="580">
        <f>HLOOKUP("*"&amp;'Output annual'!$AC$2&amp;'Output annual'!$AD$2&amp;"*Zone People Number Of Occupants [](Hourly)",'Eplus results'!$1:$1048576,ROW(),FALSE)</f>
        <v>0</v>
      </c>
      <c r="AC4077" s="580">
        <f>HLOOKUP("*"&amp;'Output annual'!$AC$2&amp;'Output annual'!$AD$2&amp;"*FangerPMV(Hourly)",'Eplus results'!$1:$1048576,ROW(),FALSE)</f>
        <v>0</v>
      </c>
      <c r="AD4077" s="580">
        <f t="shared" si="351"/>
        <v>5</v>
      </c>
      <c r="AE4077" s="580">
        <f t="shared" si="352"/>
        <v>2.5</v>
      </c>
      <c r="AF4077" s="580">
        <f t="shared" si="353"/>
        <v>2.5</v>
      </c>
      <c r="AG4077" s="580">
        <f t="shared" si="354"/>
        <v>0</v>
      </c>
      <c r="AH4077" s="580">
        <f t="shared" si="355"/>
        <v>0</v>
      </c>
    </row>
    <row r="4078" spans="28:34">
      <c r="AB4078" s="580">
        <f>HLOOKUP("*"&amp;'Output annual'!$AC$2&amp;'Output annual'!$AD$2&amp;"*Zone People Number Of Occupants [](Hourly)",'Eplus results'!$1:$1048576,ROW(),FALSE)</f>
        <v>0</v>
      </c>
      <c r="AC4078" s="580">
        <f>HLOOKUP("*"&amp;'Output annual'!$AC$2&amp;'Output annual'!$AD$2&amp;"*FangerPMV(Hourly)",'Eplus results'!$1:$1048576,ROW(),FALSE)</f>
        <v>0</v>
      </c>
      <c r="AD4078" s="580">
        <f t="shared" si="351"/>
        <v>5</v>
      </c>
      <c r="AE4078" s="580">
        <f t="shared" si="352"/>
        <v>2.5</v>
      </c>
      <c r="AF4078" s="580">
        <f t="shared" si="353"/>
        <v>2.5</v>
      </c>
      <c r="AG4078" s="580">
        <f t="shared" si="354"/>
        <v>0</v>
      </c>
      <c r="AH4078" s="580">
        <f t="shared" si="355"/>
        <v>0</v>
      </c>
    </row>
    <row r="4079" spans="28:34">
      <c r="AB4079" s="580">
        <f>HLOOKUP("*"&amp;'Output annual'!$AC$2&amp;'Output annual'!$AD$2&amp;"*Zone People Number Of Occupants [](Hourly)",'Eplus results'!$1:$1048576,ROW(),FALSE)</f>
        <v>0</v>
      </c>
      <c r="AC4079" s="580">
        <f>HLOOKUP("*"&amp;'Output annual'!$AC$2&amp;'Output annual'!$AD$2&amp;"*FangerPMV(Hourly)",'Eplus results'!$1:$1048576,ROW(),FALSE)</f>
        <v>0</v>
      </c>
      <c r="AD4079" s="580">
        <f t="shared" si="351"/>
        <v>5</v>
      </c>
      <c r="AE4079" s="580">
        <f t="shared" si="352"/>
        <v>2.5</v>
      </c>
      <c r="AF4079" s="580">
        <f t="shared" si="353"/>
        <v>2.5</v>
      </c>
      <c r="AG4079" s="580">
        <f t="shared" si="354"/>
        <v>0</v>
      </c>
      <c r="AH4079" s="580">
        <f t="shared" si="355"/>
        <v>0</v>
      </c>
    </row>
    <row r="4080" spans="28:34">
      <c r="AB4080" s="580">
        <f>HLOOKUP("*"&amp;'Output annual'!$AC$2&amp;'Output annual'!$AD$2&amp;"*Zone People Number Of Occupants [](Hourly)",'Eplus results'!$1:$1048576,ROW(),FALSE)</f>
        <v>0</v>
      </c>
      <c r="AC4080" s="580">
        <f>HLOOKUP("*"&amp;'Output annual'!$AC$2&amp;'Output annual'!$AD$2&amp;"*FangerPMV(Hourly)",'Eplus results'!$1:$1048576,ROW(),FALSE)</f>
        <v>0</v>
      </c>
      <c r="AD4080" s="580">
        <f t="shared" si="351"/>
        <v>5</v>
      </c>
      <c r="AE4080" s="580">
        <f t="shared" si="352"/>
        <v>2.5</v>
      </c>
      <c r="AF4080" s="580">
        <f t="shared" si="353"/>
        <v>2.5</v>
      </c>
      <c r="AG4080" s="580">
        <f t="shared" si="354"/>
        <v>0</v>
      </c>
      <c r="AH4080" s="580">
        <f t="shared" si="355"/>
        <v>0</v>
      </c>
    </row>
    <row r="4081" spans="28:34">
      <c r="AB4081" s="580">
        <f>HLOOKUP("*"&amp;'Output annual'!$AC$2&amp;'Output annual'!$AD$2&amp;"*Zone People Number Of Occupants [](Hourly)",'Eplus results'!$1:$1048576,ROW(),FALSE)</f>
        <v>0</v>
      </c>
      <c r="AC4081" s="580">
        <f>HLOOKUP("*"&amp;'Output annual'!$AC$2&amp;'Output annual'!$AD$2&amp;"*FangerPMV(Hourly)",'Eplus results'!$1:$1048576,ROW(),FALSE)</f>
        <v>0</v>
      </c>
      <c r="AD4081" s="580">
        <f t="shared" si="351"/>
        <v>5</v>
      </c>
      <c r="AE4081" s="580">
        <f t="shared" si="352"/>
        <v>2.5</v>
      </c>
      <c r="AF4081" s="580">
        <f t="shared" si="353"/>
        <v>2.5</v>
      </c>
      <c r="AG4081" s="580">
        <f t="shared" si="354"/>
        <v>0</v>
      </c>
      <c r="AH4081" s="580">
        <f t="shared" si="355"/>
        <v>0</v>
      </c>
    </row>
    <row r="4082" spans="28:34">
      <c r="AB4082" s="580">
        <f>HLOOKUP("*"&amp;'Output annual'!$AC$2&amp;'Output annual'!$AD$2&amp;"*Zone People Number Of Occupants [](Hourly)",'Eplus results'!$1:$1048576,ROW(),FALSE)</f>
        <v>0</v>
      </c>
      <c r="AC4082" s="580">
        <f>HLOOKUP("*"&amp;'Output annual'!$AC$2&amp;'Output annual'!$AD$2&amp;"*FangerPMV(Hourly)",'Eplus results'!$1:$1048576,ROW(),FALSE)</f>
        <v>0</v>
      </c>
      <c r="AD4082" s="580">
        <f t="shared" si="351"/>
        <v>5</v>
      </c>
      <c r="AE4082" s="580">
        <f t="shared" si="352"/>
        <v>2.5</v>
      </c>
      <c r="AF4082" s="580">
        <f t="shared" si="353"/>
        <v>2.5</v>
      </c>
      <c r="AG4082" s="580">
        <f t="shared" si="354"/>
        <v>0</v>
      </c>
      <c r="AH4082" s="580">
        <f t="shared" si="355"/>
        <v>0</v>
      </c>
    </row>
    <row r="4083" spans="28:34">
      <c r="AB4083" s="580">
        <f>HLOOKUP("*"&amp;'Output annual'!$AC$2&amp;'Output annual'!$AD$2&amp;"*Zone People Number Of Occupants [](Hourly)",'Eplus results'!$1:$1048576,ROW(),FALSE)</f>
        <v>0</v>
      </c>
      <c r="AC4083" s="580">
        <f>HLOOKUP("*"&amp;'Output annual'!$AC$2&amp;'Output annual'!$AD$2&amp;"*FangerPMV(Hourly)",'Eplus results'!$1:$1048576,ROW(),FALSE)</f>
        <v>0</v>
      </c>
      <c r="AD4083" s="580">
        <f t="shared" si="351"/>
        <v>5</v>
      </c>
      <c r="AE4083" s="580">
        <f t="shared" si="352"/>
        <v>2.5</v>
      </c>
      <c r="AF4083" s="580">
        <f t="shared" si="353"/>
        <v>2.5</v>
      </c>
      <c r="AG4083" s="580">
        <f t="shared" si="354"/>
        <v>0</v>
      </c>
      <c r="AH4083" s="580">
        <f t="shared" si="355"/>
        <v>0</v>
      </c>
    </row>
    <row r="4084" spans="28:34">
      <c r="AB4084" s="580">
        <f>HLOOKUP("*"&amp;'Output annual'!$AC$2&amp;'Output annual'!$AD$2&amp;"*Zone People Number Of Occupants [](Hourly)",'Eplus results'!$1:$1048576,ROW(),FALSE)</f>
        <v>0</v>
      </c>
      <c r="AC4084" s="580">
        <f>HLOOKUP("*"&amp;'Output annual'!$AC$2&amp;'Output annual'!$AD$2&amp;"*FangerPMV(Hourly)",'Eplus results'!$1:$1048576,ROW(),FALSE)</f>
        <v>0</v>
      </c>
      <c r="AD4084" s="580">
        <f t="shared" si="351"/>
        <v>5</v>
      </c>
      <c r="AE4084" s="580">
        <f t="shared" si="352"/>
        <v>2.5</v>
      </c>
      <c r="AF4084" s="580">
        <f t="shared" si="353"/>
        <v>2.5</v>
      </c>
      <c r="AG4084" s="580">
        <f t="shared" si="354"/>
        <v>0</v>
      </c>
      <c r="AH4084" s="580">
        <f t="shared" si="355"/>
        <v>0</v>
      </c>
    </row>
    <row r="4085" spans="28:34">
      <c r="AB4085" s="580">
        <f>HLOOKUP("*"&amp;'Output annual'!$AC$2&amp;'Output annual'!$AD$2&amp;"*Zone People Number Of Occupants [](Hourly)",'Eplus results'!$1:$1048576,ROW(),FALSE)</f>
        <v>0</v>
      </c>
      <c r="AC4085" s="580">
        <f>HLOOKUP("*"&amp;'Output annual'!$AC$2&amp;'Output annual'!$AD$2&amp;"*FangerPMV(Hourly)",'Eplus results'!$1:$1048576,ROW(),FALSE)</f>
        <v>0</v>
      </c>
      <c r="AD4085" s="580">
        <f t="shared" si="351"/>
        <v>5</v>
      </c>
      <c r="AE4085" s="580">
        <f t="shared" si="352"/>
        <v>2.5</v>
      </c>
      <c r="AF4085" s="580">
        <f t="shared" si="353"/>
        <v>2.5</v>
      </c>
      <c r="AG4085" s="580">
        <f t="shared" si="354"/>
        <v>0</v>
      </c>
      <c r="AH4085" s="580">
        <f t="shared" si="355"/>
        <v>0</v>
      </c>
    </row>
    <row r="4086" spans="28:34">
      <c r="AB4086" s="580">
        <f>HLOOKUP("*"&amp;'Output annual'!$AC$2&amp;'Output annual'!$AD$2&amp;"*Zone People Number Of Occupants [](Hourly)",'Eplus results'!$1:$1048576,ROW(),FALSE)</f>
        <v>0</v>
      </c>
      <c r="AC4086" s="580">
        <f>HLOOKUP("*"&amp;'Output annual'!$AC$2&amp;'Output annual'!$AD$2&amp;"*FangerPMV(Hourly)",'Eplus results'!$1:$1048576,ROW(),FALSE)</f>
        <v>0</v>
      </c>
      <c r="AD4086" s="580">
        <f t="shared" si="351"/>
        <v>5</v>
      </c>
      <c r="AE4086" s="580">
        <f t="shared" si="352"/>
        <v>2.5</v>
      </c>
      <c r="AF4086" s="580">
        <f t="shared" si="353"/>
        <v>2.5</v>
      </c>
      <c r="AG4086" s="580">
        <f t="shared" si="354"/>
        <v>0</v>
      </c>
      <c r="AH4086" s="580">
        <f t="shared" si="355"/>
        <v>0</v>
      </c>
    </row>
    <row r="4087" spans="28:34">
      <c r="AB4087" s="580">
        <f>HLOOKUP("*"&amp;'Output annual'!$AC$2&amp;'Output annual'!$AD$2&amp;"*Zone People Number Of Occupants [](Hourly)",'Eplus results'!$1:$1048576,ROW(),FALSE)</f>
        <v>0</v>
      </c>
      <c r="AC4087" s="580">
        <f>HLOOKUP("*"&amp;'Output annual'!$AC$2&amp;'Output annual'!$AD$2&amp;"*FangerPMV(Hourly)",'Eplus results'!$1:$1048576,ROW(),FALSE)</f>
        <v>0</v>
      </c>
      <c r="AD4087" s="580">
        <f t="shared" si="351"/>
        <v>5</v>
      </c>
      <c r="AE4087" s="580">
        <f t="shared" si="352"/>
        <v>2.5</v>
      </c>
      <c r="AF4087" s="580">
        <f t="shared" si="353"/>
        <v>2.5</v>
      </c>
      <c r="AG4087" s="580">
        <f t="shared" si="354"/>
        <v>0</v>
      </c>
      <c r="AH4087" s="580">
        <f t="shared" si="355"/>
        <v>0</v>
      </c>
    </row>
    <row r="4088" spans="28:34">
      <c r="AB4088" s="580">
        <f>HLOOKUP("*"&amp;'Output annual'!$AC$2&amp;'Output annual'!$AD$2&amp;"*Zone People Number Of Occupants [](Hourly)",'Eplus results'!$1:$1048576,ROW(),FALSE)</f>
        <v>0</v>
      </c>
      <c r="AC4088" s="580">
        <f>HLOOKUP("*"&amp;'Output annual'!$AC$2&amp;'Output annual'!$AD$2&amp;"*FangerPMV(Hourly)",'Eplus results'!$1:$1048576,ROW(),FALSE)</f>
        <v>0</v>
      </c>
      <c r="AD4088" s="580">
        <f t="shared" si="351"/>
        <v>5</v>
      </c>
      <c r="AE4088" s="580">
        <f t="shared" si="352"/>
        <v>2.5</v>
      </c>
      <c r="AF4088" s="580">
        <f t="shared" si="353"/>
        <v>2.5</v>
      </c>
      <c r="AG4088" s="580">
        <f t="shared" si="354"/>
        <v>0</v>
      </c>
      <c r="AH4088" s="580">
        <f t="shared" si="355"/>
        <v>0</v>
      </c>
    </row>
    <row r="4089" spans="28:34">
      <c r="AB4089" s="580">
        <f>HLOOKUP("*"&amp;'Output annual'!$AC$2&amp;'Output annual'!$AD$2&amp;"*Zone People Number Of Occupants [](Hourly)",'Eplus results'!$1:$1048576,ROW(),FALSE)</f>
        <v>0</v>
      </c>
      <c r="AC4089" s="580">
        <f>HLOOKUP("*"&amp;'Output annual'!$AC$2&amp;'Output annual'!$AD$2&amp;"*FangerPMV(Hourly)",'Eplus results'!$1:$1048576,ROW(),FALSE)</f>
        <v>0</v>
      </c>
      <c r="AD4089" s="580">
        <f t="shared" si="351"/>
        <v>5</v>
      </c>
      <c r="AE4089" s="580">
        <f t="shared" si="352"/>
        <v>2.5</v>
      </c>
      <c r="AF4089" s="580">
        <f t="shared" si="353"/>
        <v>2.5</v>
      </c>
      <c r="AG4089" s="580">
        <f t="shared" si="354"/>
        <v>0</v>
      </c>
      <c r="AH4089" s="580">
        <f t="shared" si="355"/>
        <v>0</v>
      </c>
    </row>
    <row r="4090" spans="28:34">
      <c r="AB4090" s="580">
        <f>HLOOKUP("*"&amp;'Output annual'!$AC$2&amp;'Output annual'!$AD$2&amp;"*Zone People Number Of Occupants [](Hourly)",'Eplus results'!$1:$1048576,ROW(),FALSE)</f>
        <v>0</v>
      </c>
      <c r="AC4090" s="580">
        <f>HLOOKUP("*"&amp;'Output annual'!$AC$2&amp;'Output annual'!$AD$2&amp;"*FangerPMV(Hourly)",'Eplus results'!$1:$1048576,ROW(),FALSE)</f>
        <v>0</v>
      </c>
      <c r="AD4090" s="580">
        <f t="shared" si="351"/>
        <v>5</v>
      </c>
      <c r="AE4090" s="580">
        <f t="shared" si="352"/>
        <v>2.5</v>
      </c>
      <c r="AF4090" s="580">
        <f t="shared" si="353"/>
        <v>2.5</v>
      </c>
      <c r="AG4090" s="580">
        <f t="shared" si="354"/>
        <v>0</v>
      </c>
      <c r="AH4090" s="580">
        <f t="shared" si="355"/>
        <v>0</v>
      </c>
    </row>
    <row r="4091" spans="28:34">
      <c r="AB4091" s="580">
        <f>HLOOKUP("*"&amp;'Output annual'!$AC$2&amp;'Output annual'!$AD$2&amp;"*Zone People Number Of Occupants [](Hourly)",'Eplus results'!$1:$1048576,ROW(),FALSE)</f>
        <v>0</v>
      </c>
      <c r="AC4091" s="580">
        <f>HLOOKUP("*"&amp;'Output annual'!$AC$2&amp;'Output annual'!$AD$2&amp;"*FangerPMV(Hourly)",'Eplus results'!$1:$1048576,ROW(),FALSE)</f>
        <v>0</v>
      </c>
      <c r="AD4091" s="580">
        <f t="shared" si="351"/>
        <v>5</v>
      </c>
      <c r="AE4091" s="580">
        <f t="shared" si="352"/>
        <v>2.5</v>
      </c>
      <c r="AF4091" s="580">
        <f t="shared" si="353"/>
        <v>2.5</v>
      </c>
      <c r="AG4091" s="580">
        <f t="shared" si="354"/>
        <v>0</v>
      </c>
      <c r="AH4091" s="580">
        <f t="shared" si="355"/>
        <v>0</v>
      </c>
    </row>
    <row r="4092" spans="28:34">
      <c r="AB4092" s="580">
        <f>HLOOKUP("*"&amp;'Output annual'!$AC$2&amp;'Output annual'!$AD$2&amp;"*Zone People Number Of Occupants [](Hourly)",'Eplus results'!$1:$1048576,ROW(),FALSE)</f>
        <v>0</v>
      </c>
      <c r="AC4092" s="580">
        <f>HLOOKUP("*"&amp;'Output annual'!$AC$2&amp;'Output annual'!$AD$2&amp;"*FangerPMV(Hourly)",'Eplus results'!$1:$1048576,ROW(),FALSE)</f>
        <v>0</v>
      </c>
      <c r="AD4092" s="580">
        <f t="shared" si="351"/>
        <v>5</v>
      </c>
      <c r="AE4092" s="580">
        <f t="shared" si="352"/>
        <v>2.5</v>
      </c>
      <c r="AF4092" s="580">
        <f t="shared" si="353"/>
        <v>2.5</v>
      </c>
      <c r="AG4092" s="580">
        <f t="shared" si="354"/>
        <v>0</v>
      </c>
      <c r="AH4092" s="580">
        <f t="shared" si="355"/>
        <v>0</v>
      </c>
    </row>
    <row r="4093" spans="28:34">
      <c r="AB4093" s="580">
        <f>HLOOKUP("*"&amp;'Output annual'!$AC$2&amp;'Output annual'!$AD$2&amp;"*Zone People Number Of Occupants [](Hourly)",'Eplus results'!$1:$1048576,ROW(),FALSE)</f>
        <v>0</v>
      </c>
      <c r="AC4093" s="580">
        <f>HLOOKUP("*"&amp;'Output annual'!$AC$2&amp;'Output annual'!$AD$2&amp;"*FangerPMV(Hourly)",'Eplus results'!$1:$1048576,ROW(),FALSE)</f>
        <v>0</v>
      </c>
      <c r="AD4093" s="580">
        <f t="shared" si="351"/>
        <v>5</v>
      </c>
      <c r="AE4093" s="580">
        <f t="shared" si="352"/>
        <v>2.5</v>
      </c>
      <c r="AF4093" s="580">
        <f t="shared" si="353"/>
        <v>2.5</v>
      </c>
      <c r="AG4093" s="580">
        <f t="shared" si="354"/>
        <v>0</v>
      </c>
      <c r="AH4093" s="580">
        <f t="shared" si="355"/>
        <v>0</v>
      </c>
    </row>
    <row r="4094" spans="28:34">
      <c r="AB4094" s="580">
        <f>HLOOKUP("*"&amp;'Output annual'!$AC$2&amp;'Output annual'!$AD$2&amp;"*Zone People Number Of Occupants [](Hourly)",'Eplus results'!$1:$1048576,ROW(),FALSE)</f>
        <v>0</v>
      </c>
      <c r="AC4094" s="580">
        <f>HLOOKUP("*"&amp;'Output annual'!$AC$2&amp;'Output annual'!$AD$2&amp;"*FangerPMV(Hourly)",'Eplus results'!$1:$1048576,ROW(),FALSE)</f>
        <v>0</v>
      </c>
      <c r="AD4094" s="580">
        <f t="shared" si="351"/>
        <v>5</v>
      </c>
      <c r="AE4094" s="580">
        <f t="shared" si="352"/>
        <v>2.5</v>
      </c>
      <c r="AF4094" s="580">
        <f t="shared" si="353"/>
        <v>2.5</v>
      </c>
      <c r="AG4094" s="580">
        <f t="shared" si="354"/>
        <v>0</v>
      </c>
      <c r="AH4094" s="580">
        <f t="shared" si="355"/>
        <v>0</v>
      </c>
    </row>
    <row r="4095" spans="28:34">
      <c r="AB4095" s="580">
        <f>HLOOKUP("*"&amp;'Output annual'!$AC$2&amp;'Output annual'!$AD$2&amp;"*Zone People Number Of Occupants [](Hourly)",'Eplus results'!$1:$1048576,ROW(),FALSE)</f>
        <v>0</v>
      </c>
      <c r="AC4095" s="580">
        <f>HLOOKUP("*"&amp;'Output annual'!$AC$2&amp;'Output annual'!$AD$2&amp;"*FangerPMV(Hourly)",'Eplus results'!$1:$1048576,ROW(),FALSE)</f>
        <v>0</v>
      </c>
      <c r="AD4095" s="580">
        <f t="shared" si="351"/>
        <v>5</v>
      </c>
      <c r="AE4095" s="580">
        <f t="shared" si="352"/>
        <v>2.5</v>
      </c>
      <c r="AF4095" s="580">
        <f t="shared" si="353"/>
        <v>2.5</v>
      </c>
      <c r="AG4095" s="580">
        <f t="shared" si="354"/>
        <v>0</v>
      </c>
      <c r="AH4095" s="580">
        <f t="shared" si="355"/>
        <v>0</v>
      </c>
    </row>
    <row r="4096" spans="28:34">
      <c r="AB4096" s="580">
        <f>HLOOKUP("*"&amp;'Output annual'!$AC$2&amp;'Output annual'!$AD$2&amp;"*Zone People Number Of Occupants [](Hourly)",'Eplus results'!$1:$1048576,ROW(),FALSE)</f>
        <v>0</v>
      </c>
      <c r="AC4096" s="580">
        <f>HLOOKUP("*"&amp;'Output annual'!$AC$2&amp;'Output annual'!$AD$2&amp;"*FangerPMV(Hourly)",'Eplus results'!$1:$1048576,ROW(),FALSE)</f>
        <v>0</v>
      </c>
      <c r="AD4096" s="580">
        <f t="shared" si="351"/>
        <v>5</v>
      </c>
      <c r="AE4096" s="580">
        <f t="shared" si="352"/>
        <v>2.5</v>
      </c>
      <c r="AF4096" s="580">
        <f t="shared" si="353"/>
        <v>2.5</v>
      </c>
      <c r="AG4096" s="580">
        <f t="shared" si="354"/>
        <v>0</v>
      </c>
      <c r="AH4096" s="580">
        <f t="shared" si="355"/>
        <v>0</v>
      </c>
    </row>
    <row r="4097" spans="28:34">
      <c r="AB4097" s="580">
        <f>HLOOKUP("*"&amp;'Output annual'!$AC$2&amp;'Output annual'!$AD$2&amp;"*Zone People Number Of Occupants [](Hourly)",'Eplus results'!$1:$1048576,ROW(),FALSE)</f>
        <v>0</v>
      </c>
      <c r="AC4097" s="580">
        <f>HLOOKUP("*"&amp;'Output annual'!$AC$2&amp;'Output annual'!$AD$2&amp;"*FangerPMV(Hourly)",'Eplus results'!$1:$1048576,ROW(),FALSE)</f>
        <v>0</v>
      </c>
      <c r="AD4097" s="580">
        <f t="shared" si="351"/>
        <v>5</v>
      </c>
      <c r="AE4097" s="580">
        <f t="shared" si="352"/>
        <v>2.5</v>
      </c>
      <c r="AF4097" s="580">
        <f t="shared" si="353"/>
        <v>2.5</v>
      </c>
      <c r="AG4097" s="580">
        <f t="shared" si="354"/>
        <v>0</v>
      </c>
      <c r="AH4097" s="580">
        <f t="shared" si="355"/>
        <v>0</v>
      </c>
    </row>
    <row r="4098" spans="28:34">
      <c r="AB4098" s="580">
        <f>HLOOKUP("*"&amp;'Output annual'!$AC$2&amp;'Output annual'!$AD$2&amp;"*Zone People Number Of Occupants [](Hourly)",'Eplus results'!$1:$1048576,ROW(),FALSE)</f>
        <v>0</v>
      </c>
      <c r="AC4098" s="580">
        <f>HLOOKUP("*"&amp;'Output annual'!$AC$2&amp;'Output annual'!$AD$2&amp;"*FangerPMV(Hourly)",'Eplus results'!$1:$1048576,ROW(),FALSE)</f>
        <v>0</v>
      </c>
      <c r="AD4098" s="580">
        <f t="shared" si="351"/>
        <v>5</v>
      </c>
      <c r="AE4098" s="580">
        <f t="shared" si="352"/>
        <v>2.5</v>
      </c>
      <c r="AF4098" s="580">
        <f t="shared" si="353"/>
        <v>2.5</v>
      </c>
      <c r="AG4098" s="580">
        <f t="shared" si="354"/>
        <v>0</v>
      </c>
      <c r="AH4098" s="580">
        <f t="shared" si="355"/>
        <v>0</v>
      </c>
    </row>
    <row r="4099" spans="28:34">
      <c r="AB4099" s="580">
        <f>HLOOKUP("*"&amp;'Output annual'!$AC$2&amp;'Output annual'!$AD$2&amp;"*Zone People Number Of Occupants [](Hourly)",'Eplus results'!$1:$1048576,ROW(),FALSE)</f>
        <v>0</v>
      </c>
      <c r="AC4099" s="580">
        <f>HLOOKUP("*"&amp;'Output annual'!$AC$2&amp;'Output annual'!$AD$2&amp;"*FangerPMV(Hourly)",'Eplus results'!$1:$1048576,ROW(),FALSE)</f>
        <v>0</v>
      </c>
      <c r="AD4099" s="580">
        <f t="shared" ref="AD4099:AD4162" si="356">100-95*EXP(-0.03353*AC4099^4-0.2179*AC4099^2)</f>
        <v>5</v>
      </c>
      <c r="AE4099" s="580">
        <f t="shared" ref="AE4099:AE4162" si="357">AD4099*(1/(1+EXP(-6.3*$AC4099)))</f>
        <v>2.5</v>
      </c>
      <c r="AF4099" s="580">
        <f t="shared" ref="AF4099:AF4162" si="358">(AD4099-AE4099)</f>
        <v>2.5</v>
      </c>
      <c r="AG4099" s="580">
        <f t="shared" ref="AG4099:AG4162" si="359">AE4099*AB4099</f>
        <v>0</v>
      </c>
      <c r="AH4099" s="580">
        <f t="shared" ref="AH4099:AH4162" si="360">AF4099*AB4099</f>
        <v>0</v>
      </c>
    </row>
    <row r="4100" spans="28:34">
      <c r="AB4100" s="580">
        <f>HLOOKUP("*"&amp;'Output annual'!$AC$2&amp;'Output annual'!$AD$2&amp;"*Zone People Number Of Occupants [](Hourly)",'Eplus results'!$1:$1048576,ROW(),FALSE)</f>
        <v>0</v>
      </c>
      <c r="AC4100" s="580">
        <f>HLOOKUP("*"&amp;'Output annual'!$AC$2&amp;'Output annual'!$AD$2&amp;"*FangerPMV(Hourly)",'Eplus results'!$1:$1048576,ROW(),FALSE)</f>
        <v>0</v>
      </c>
      <c r="AD4100" s="580">
        <f t="shared" si="356"/>
        <v>5</v>
      </c>
      <c r="AE4100" s="580">
        <f t="shared" si="357"/>
        <v>2.5</v>
      </c>
      <c r="AF4100" s="580">
        <f t="shared" si="358"/>
        <v>2.5</v>
      </c>
      <c r="AG4100" s="580">
        <f t="shared" si="359"/>
        <v>0</v>
      </c>
      <c r="AH4100" s="580">
        <f t="shared" si="360"/>
        <v>0</v>
      </c>
    </row>
    <row r="4101" spans="28:34">
      <c r="AB4101" s="580">
        <f>HLOOKUP("*"&amp;'Output annual'!$AC$2&amp;'Output annual'!$AD$2&amp;"*Zone People Number Of Occupants [](Hourly)",'Eplus results'!$1:$1048576,ROW(),FALSE)</f>
        <v>0</v>
      </c>
      <c r="AC4101" s="580">
        <f>HLOOKUP("*"&amp;'Output annual'!$AC$2&amp;'Output annual'!$AD$2&amp;"*FangerPMV(Hourly)",'Eplus results'!$1:$1048576,ROW(),FALSE)</f>
        <v>0</v>
      </c>
      <c r="AD4101" s="580">
        <f t="shared" si="356"/>
        <v>5</v>
      </c>
      <c r="AE4101" s="580">
        <f t="shared" si="357"/>
        <v>2.5</v>
      </c>
      <c r="AF4101" s="580">
        <f t="shared" si="358"/>
        <v>2.5</v>
      </c>
      <c r="AG4101" s="580">
        <f t="shared" si="359"/>
        <v>0</v>
      </c>
      <c r="AH4101" s="580">
        <f t="shared" si="360"/>
        <v>0</v>
      </c>
    </row>
    <row r="4102" spans="28:34">
      <c r="AB4102" s="580">
        <f>HLOOKUP("*"&amp;'Output annual'!$AC$2&amp;'Output annual'!$AD$2&amp;"*Zone People Number Of Occupants [](Hourly)",'Eplus results'!$1:$1048576,ROW(),FALSE)</f>
        <v>0</v>
      </c>
      <c r="AC4102" s="580">
        <f>HLOOKUP("*"&amp;'Output annual'!$AC$2&amp;'Output annual'!$AD$2&amp;"*FangerPMV(Hourly)",'Eplus results'!$1:$1048576,ROW(),FALSE)</f>
        <v>0</v>
      </c>
      <c r="AD4102" s="580">
        <f t="shared" si="356"/>
        <v>5</v>
      </c>
      <c r="AE4102" s="580">
        <f t="shared" si="357"/>
        <v>2.5</v>
      </c>
      <c r="AF4102" s="580">
        <f t="shared" si="358"/>
        <v>2.5</v>
      </c>
      <c r="AG4102" s="580">
        <f t="shared" si="359"/>
        <v>0</v>
      </c>
      <c r="AH4102" s="580">
        <f t="shared" si="360"/>
        <v>0</v>
      </c>
    </row>
    <row r="4103" spans="28:34">
      <c r="AB4103" s="580">
        <f>HLOOKUP("*"&amp;'Output annual'!$AC$2&amp;'Output annual'!$AD$2&amp;"*Zone People Number Of Occupants [](Hourly)",'Eplus results'!$1:$1048576,ROW(),FALSE)</f>
        <v>0</v>
      </c>
      <c r="AC4103" s="580">
        <f>HLOOKUP("*"&amp;'Output annual'!$AC$2&amp;'Output annual'!$AD$2&amp;"*FangerPMV(Hourly)",'Eplus results'!$1:$1048576,ROW(),FALSE)</f>
        <v>0</v>
      </c>
      <c r="AD4103" s="580">
        <f t="shared" si="356"/>
        <v>5</v>
      </c>
      <c r="AE4103" s="580">
        <f t="shared" si="357"/>
        <v>2.5</v>
      </c>
      <c r="AF4103" s="580">
        <f t="shared" si="358"/>
        <v>2.5</v>
      </c>
      <c r="AG4103" s="580">
        <f t="shared" si="359"/>
        <v>0</v>
      </c>
      <c r="AH4103" s="580">
        <f t="shared" si="360"/>
        <v>0</v>
      </c>
    </row>
    <row r="4104" spans="28:34">
      <c r="AB4104" s="580">
        <f>HLOOKUP("*"&amp;'Output annual'!$AC$2&amp;'Output annual'!$AD$2&amp;"*Zone People Number Of Occupants [](Hourly)",'Eplus results'!$1:$1048576,ROW(),FALSE)</f>
        <v>0</v>
      </c>
      <c r="AC4104" s="580">
        <f>HLOOKUP("*"&amp;'Output annual'!$AC$2&amp;'Output annual'!$AD$2&amp;"*FangerPMV(Hourly)",'Eplus results'!$1:$1048576,ROW(),FALSE)</f>
        <v>0</v>
      </c>
      <c r="AD4104" s="580">
        <f t="shared" si="356"/>
        <v>5</v>
      </c>
      <c r="AE4104" s="580">
        <f t="shared" si="357"/>
        <v>2.5</v>
      </c>
      <c r="AF4104" s="580">
        <f t="shared" si="358"/>
        <v>2.5</v>
      </c>
      <c r="AG4104" s="580">
        <f t="shared" si="359"/>
        <v>0</v>
      </c>
      <c r="AH4104" s="580">
        <f t="shared" si="360"/>
        <v>0</v>
      </c>
    </row>
    <row r="4105" spans="28:34">
      <c r="AB4105" s="580">
        <f>HLOOKUP("*"&amp;'Output annual'!$AC$2&amp;'Output annual'!$AD$2&amp;"*Zone People Number Of Occupants [](Hourly)",'Eplus results'!$1:$1048576,ROW(),FALSE)</f>
        <v>0</v>
      </c>
      <c r="AC4105" s="580">
        <f>HLOOKUP("*"&amp;'Output annual'!$AC$2&amp;'Output annual'!$AD$2&amp;"*FangerPMV(Hourly)",'Eplus results'!$1:$1048576,ROW(),FALSE)</f>
        <v>0</v>
      </c>
      <c r="AD4105" s="580">
        <f t="shared" si="356"/>
        <v>5</v>
      </c>
      <c r="AE4105" s="580">
        <f t="shared" si="357"/>
        <v>2.5</v>
      </c>
      <c r="AF4105" s="580">
        <f t="shared" si="358"/>
        <v>2.5</v>
      </c>
      <c r="AG4105" s="580">
        <f t="shared" si="359"/>
        <v>0</v>
      </c>
      <c r="AH4105" s="580">
        <f t="shared" si="360"/>
        <v>0</v>
      </c>
    </row>
    <row r="4106" spans="28:34">
      <c r="AB4106" s="580">
        <f>HLOOKUP("*"&amp;'Output annual'!$AC$2&amp;'Output annual'!$AD$2&amp;"*Zone People Number Of Occupants [](Hourly)",'Eplus results'!$1:$1048576,ROW(),FALSE)</f>
        <v>0</v>
      </c>
      <c r="AC4106" s="580">
        <f>HLOOKUP("*"&amp;'Output annual'!$AC$2&amp;'Output annual'!$AD$2&amp;"*FangerPMV(Hourly)",'Eplus results'!$1:$1048576,ROW(),FALSE)</f>
        <v>0</v>
      </c>
      <c r="AD4106" s="580">
        <f t="shared" si="356"/>
        <v>5</v>
      </c>
      <c r="AE4106" s="580">
        <f t="shared" si="357"/>
        <v>2.5</v>
      </c>
      <c r="AF4106" s="580">
        <f t="shared" si="358"/>
        <v>2.5</v>
      </c>
      <c r="AG4106" s="580">
        <f t="shared" si="359"/>
        <v>0</v>
      </c>
      <c r="AH4106" s="580">
        <f t="shared" si="360"/>
        <v>0</v>
      </c>
    </row>
    <row r="4107" spans="28:34">
      <c r="AB4107" s="580">
        <f>HLOOKUP("*"&amp;'Output annual'!$AC$2&amp;'Output annual'!$AD$2&amp;"*Zone People Number Of Occupants [](Hourly)",'Eplus results'!$1:$1048576,ROW(),FALSE)</f>
        <v>0</v>
      </c>
      <c r="AC4107" s="580">
        <f>HLOOKUP("*"&amp;'Output annual'!$AC$2&amp;'Output annual'!$AD$2&amp;"*FangerPMV(Hourly)",'Eplus results'!$1:$1048576,ROW(),FALSE)</f>
        <v>0</v>
      </c>
      <c r="AD4107" s="580">
        <f t="shared" si="356"/>
        <v>5</v>
      </c>
      <c r="AE4107" s="580">
        <f t="shared" si="357"/>
        <v>2.5</v>
      </c>
      <c r="AF4107" s="580">
        <f t="shared" si="358"/>
        <v>2.5</v>
      </c>
      <c r="AG4107" s="580">
        <f t="shared" si="359"/>
        <v>0</v>
      </c>
      <c r="AH4107" s="580">
        <f t="shared" si="360"/>
        <v>0</v>
      </c>
    </row>
    <row r="4108" spans="28:34">
      <c r="AB4108" s="580">
        <f>HLOOKUP("*"&amp;'Output annual'!$AC$2&amp;'Output annual'!$AD$2&amp;"*Zone People Number Of Occupants [](Hourly)",'Eplus results'!$1:$1048576,ROW(),FALSE)</f>
        <v>0</v>
      </c>
      <c r="AC4108" s="580">
        <f>HLOOKUP("*"&amp;'Output annual'!$AC$2&amp;'Output annual'!$AD$2&amp;"*FangerPMV(Hourly)",'Eplus results'!$1:$1048576,ROW(),FALSE)</f>
        <v>0</v>
      </c>
      <c r="AD4108" s="580">
        <f t="shared" si="356"/>
        <v>5</v>
      </c>
      <c r="AE4108" s="580">
        <f t="shared" si="357"/>
        <v>2.5</v>
      </c>
      <c r="AF4108" s="580">
        <f t="shared" si="358"/>
        <v>2.5</v>
      </c>
      <c r="AG4108" s="580">
        <f t="shared" si="359"/>
        <v>0</v>
      </c>
      <c r="AH4108" s="580">
        <f t="shared" si="360"/>
        <v>0</v>
      </c>
    </row>
    <row r="4109" spans="28:34">
      <c r="AB4109" s="580">
        <f>HLOOKUP("*"&amp;'Output annual'!$AC$2&amp;'Output annual'!$AD$2&amp;"*Zone People Number Of Occupants [](Hourly)",'Eplus results'!$1:$1048576,ROW(),FALSE)</f>
        <v>0</v>
      </c>
      <c r="AC4109" s="580">
        <f>HLOOKUP("*"&amp;'Output annual'!$AC$2&amp;'Output annual'!$AD$2&amp;"*FangerPMV(Hourly)",'Eplus results'!$1:$1048576,ROW(),FALSE)</f>
        <v>0</v>
      </c>
      <c r="AD4109" s="580">
        <f t="shared" si="356"/>
        <v>5</v>
      </c>
      <c r="AE4109" s="580">
        <f t="shared" si="357"/>
        <v>2.5</v>
      </c>
      <c r="AF4109" s="580">
        <f t="shared" si="358"/>
        <v>2.5</v>
      </c>
      <c r="AG4109" s="580">
        <f t="shared" si="359"/>
        <v>0</v>
      </c>
      <c r="AH4109" s="580">
        <f t="shared" si="360"/>
        <v>0</v>
      </c>
    </row>
    <row r="4110" spans="28:34">
      <c r="AB4110" s="580">
        <f>HLOOKUP("*"&amp;'Output annual'!$AC$2&amp;'Output annual'!$AD$2&amp;"*Zone People Number Of Occupants [](Hourly)",'Eplus results'!$1:$1048576,ROW(),FALSE)</f>
        <v>0</v>
      </c>
      <c r="AC4110" s="580">
        <f>HLOOKUP("*"&amp;'Output annual'!$AC$2&amp;'Output annual'!$AD$2&amp;"*FangerPMV(Hourly)",'Eplus results'!$1:$1048576,ROW(),FALSE)</f>
        <v>0</v>
      </c>
      <c r="AD4110" s="580">
        <f t="shared" si="356"/>
        <v>5</v>
      </c>
      <c r="AE4110" s="580">
        <f t="shared" si="357"/>
        <v>2.5</v>
      </c>
      <c r="AF4110" s="580">
        <f t="shared" si="358"/>
        <v>2.5</v>
      </c>
      <c r="AG4110" s="580">
        <f t="shared" si="359"/>
        <v>0</v>
      </c>
      <c r="AH4110" s="580">
        <f t="shared" si="360"/>
        <v>0</v>
      </c>
    </row>
    <row r="4111" spans="28:34">
      <c r="AB4111" s="580">
        <f>HLOOKUP("*"&amp;'Output annual'!$AC$2&amp;'Output annual'!$AD$2&amp;"*Zone People Number Of Occupants [](Hourly)",'Eplus results'!$1:$1048576,ROW(),FALSE)</f>
        <v>0</v>
      </c>
      <c r="AC4111" s="580">
        <f>HLOOKUP("*"&amp;'Output annual'!$AC$2&amp;'Output annual'!$AD$2&amp;"*FangerPMV(Hourly)",'Eplus results'!$1:$1048576,ROW(),FALSE)</f>
        <v>0</v>
      </c>
      <c r="AD4111" s="580">
        <f t="shared" si="356"/>
        <v>5</v>
      </c>
      <c r="AE4111" s="580">
        <f t="shared" si="357"/>
        <v>2.5</v>
      </c>
      <c r="AF4111" s="580">
        <f t="shared" si="358"/>
        <v>2.5</v>
      </c>
      <c r="AG4111" s="580">
        <f t="shared" si="359"/>
        <v>0</v>
      </c>
      <c r="AH4111" s="580">
        <f t="shared" si="360"/>
        <v>0</v>
      </c>
    </row>
    <row r="4112" spans="28:34">
      <c r="AB4112" s="580">
        <f>HLOOKUP("*"&amp;'Output annual'!$AC$2&amp;'Output annual'!$AD$2&amp;"*Zone People Number Of Occupants [](Hourly)",'Eplus results'!$1:$1048576,ROW(),FALSE)</f>
        <v>0</v>
      </c>
      <c r="AC4112" s="580">
        <f>HLOOKUP("*"&amp;'Output annual'!$AC$2&amp;'Output annual'!$AD$2&amp;"*FangerPMV(Hourly)",'Eplus results'!$1:$1048576,ROW(),FALSE)</f>
        <v>0</v>
      </c>
      <c r="AD4112" s="580">
        <f t="shared" si="356"/>
        <v>5</v>
      </c>
      <c r="AE4112" s="580">
        <f t="shared" si="357"/>
        <v>2.5</v>
      </c>
      <c r="AF4112" s="580">
        <f t="shared" si="358"/>
        <v>2.5</v>
      </c>
      <c r="AG4112" s="580">
        <f t="shared" si="359"/>
        <v>0</v>
      </c>
      <c r="AH4112" s="580">
        <f t="shared" si="360"/>
        <v>0</v>
      </c>
    </row>
    <row r="4113" spans="28:34">
      <c r="AB4113" s="580">
        <f>HLOOKUP("*"&amp;'Output annual'!$AC$2&amp;'Output annual'!$AD$2&amp;"*Zone People Number Of Occupants [](Hourly)",'Eplus results'!$1:$1048576,ROW(),FALSE)</f>
        <v>0</v>
      </c>
      <c r="AC4113" s="580">
        <f>HLOOKUP("*"&amp;'Output annual'!$AC$2&amp;'Output annual'!$AD$2&amp;"*FangerPMV(Hourly)",'Eplus results'!$1:$1048576,ROW(),FALSE)</f>
        <v>0</v>
      </c>
      <c r="AD4113" s="580">
        <f t="shared" si="356"/>
        <v>5</v>
      </c>
      <c r="AE4113" s="580">
        <f t="shared" si="357"/>
        <v>2.5</v>
      </c>
      <c r="AF4113" s="580">
        <f t="shared" si="358"/>
        <v>2.5</v>
      </c>
      <c r="AG4113" s="580">
        <f t="shared" si="359"/>
        <v>0</v>
      </c>
      <c r="AH4113" s="580">
        <f t="shared" si="360"/>
        <v>0</v>
      </c>
    </row>
    <row r="4114" spans="28:34">
      <c r="AB4114" s="580">
        <f>HLOOKUP("*"&amp;'Output annual'!$AC$2&amp;'Output annual'!$AD$2&amp;"*Zone People Number Of Occupants [](Hourly)",'Eplus results'!$1:$1048576,ROW(),FALSE)</f>
        <v>0</v>
      </c>
      <c r="AC4114" s="580">
        <f>HLOOKUP("*"&amp;'Output annual'!$AC$2&amp;'Output annual'!$AD$2&amp;"*FangerPMV(Hourly)",'Eplus results'!$1:$1048576,ROW(),FALSE)</f>
        <v>0</v>
      </c>
      <c r="AD4114" s="580">
        <f t="shared" si="356"/>
        <v>5</v>
      </c>
      <c r="AE4114" s="580">
        <f t="shared" si="357"/>
        <v>2.5</v>
      </c>
      <c r="AF4114" s="580">
        <f t="shared" si="358"/>
        <v>2.5</v>
      </c>
      <c r="AG4114" s="580">
        <f t="shared" si="359"/>
        <v>0</v>
      </c>
      <c r="AH4114" s="580">
        <f t="shared" si="360"/>
        <v>0</v>
      </c>
    </row>
    <row r="4115" spans="28:34">
      <c r="AB4115" s="580">
        <f>HLOOKUP("*"&amp;'Output annual'!$AC$2&amp;'Output annual'!$AD$2&amp;"*Zone People Number Of Occupants [](Hourly)",'Eplus results'!$1:$1048576,ROW(),FALSE)</f>
        <v>0</v>
      </c>
      <c r="AC4115" s="580">
        <f>HLOOKUP("*"&amp;'Output annual'!$AC$2&amp;'Output annual'!$AD$2&amp;"*FangerPMV(Hourly)",'Eplus results'!$1:$1048576,ROW(),FALSE)</f>
        <v>0</v>
      </c>
      <c r="AD4115" s="580">
        <f t="shared" si="356"/>
        <v>5</v>
      </c>
      <c r="AE4115" s="580">
        <f t="shared" si="357"/>
        <v>2.5</v>
      </c>
      <c r="AF4115" s="580">
        <f t="shared" si="358"/>
        <v>2.5</v>
      </c>
      <c r="AG4115" s="580">
        <f t="shared" si="359"/>
        <v>0</v>
      </c>
      <c r="AH4115" s="580">
        <f t="shared" si="360"/>
        <v>0</v>
      </c>
    </row>
    <row r="4116" spans="28:34">
      <c r="AB4116" s="580">
        <f>HLOOKUP("*"&amp;'Output annual'!$AC$2&amp;'Output annual'!$AD$2&amp;"*Zone People Number Of Occupants [](Hourly)",'Eplus results'!$1:$1048576,ROW(),FALSE)</f>
        <v>0</v>
      </c>
      <c r="AC4116" s="580">
        <f>HLOOKUP("*"&amp;'Output annual'!$AC$2&amp;'Output annual'!$AD$2&amp;"*FangerPMV(Hourly)",'Eplus results'!$1:$1048576,ROW(),FALSE)</f>
        <v>0</v>
      </c>
      <c r="AD4116" s="580">
        <f t="shared" si="356"/>
        <v>5</v>
      </c>
      <c r="AE4116" s="580">
        <f t="shared" si="357"/>
        <v>2.5</v>
      </c>
      <c r="AF4116" s="580">
        <f t="shared" si="358"/>
        <v>2.5</v>
      </c>
      <c r="AG4116" s="580">
        <f t="shared" si="359"/>
        <v>0</v>
      </c>
      <c r="AH4116" s="580">
        <f t="shared" si="360"/>
        <v>0</v>
      </c>
    </row>
    <row r="4117" spans="28:34">
      <c r="AB4117" s="580">
        <f>HLOOKUP("*"&amp;'Output annual'!$AC$2&amp;'Output annual'!$AD$2&amp;"*Zone People Number Of Occupants [](Hourly)",'Eplus results'!$1:$1048576,ROW(),FALSE)</f>
        <v>0</v>
      </c>
      <c r="AC4117" s="580">
        <f>HLOOKUP("*"&amp;'Output annual'!$AC$2&amp;'Output annual'!$AD$2&amp;"*FangerPMV(Hourly)",'Eplus results'!$1:$1048576,ROW(),FALSE)</f>
        <v>0</v>
      </c>
      <c r="AD4117" s="580">
        <f t="shared" si="356"/>
        <v>5</v>
      </c>
      <c r="AE4117" s="580">
        <f t="shared" si="357"/>
        <v>2.5</v>
      </c>
      <c r="AF4117" s="580">
        <f t="shared" si="358"/>
        <v>2.5</v>
      </c>
      <c r="AG4117" s="580">
        <f t="shared" si="359"/>
        <v>0</v>
      </c>
      <c r="AH4117" s="580">
        <f t="shared" si="360"/>
        <v>0</v>
      </c>
    </row>
    <row r="4118" spans="28:34">
      <c r="AB4118" s="580">
        <f>HLOOKUP("*"&amp;'Output annual'!$AC$2&amp;'Output annual'!$AD$2&amp;"*Zone People Number Of Occupants [](Hourly)",'Eplus results'!$1:$1048576,ROW(),FALSE)</f>
        <v>0</v>
      </c>
      <c r="AC4118" s="580">
        <f>HLOOKUP("*"&amp;'Output annual'!$AC$2&amp;'Output annual'!$AD$2&amp;"*FangerPMV(Hourly)",'Eplus results'!$1:$1048576,ROW(),FALSE)</f>
        <v>0</v>
      </c>
      <c r="AD4118" s="580">
        <f t="shared" si="356"/>
        <v>5</v>
      </c>
      <c r="AE4118" s="580">
        <f t="shared" si="357"/>
        <v>2.5</v>
      </c>
      <c r="AF4118" s="580">
        <f t="shared" si="358"/>
        <v>2.5</v>
      </c>
      <c r="AG4118" s="580">
        <f t="shared" si="359"/>
        <v>0</v>
      </c>
      <c r="AH4118" s="580">
        <f t="shared" si="360"/>
        <v>0</v>
      </c>
    </row>
    <row r="4119" spans="28:34">
      <c r="AB4119" s="580">
        <f>HLOOKUP("*"&amp;'Output annual'!$AC$2&amp;'Output annual'!$AD$2&amp;"*Zone People Number Of Occupants [](Hourly)",'Eplus results'!$1:$1048576,ROW(),FALSE)</f>
        <v>0</v>
      </c>
      <c r="AC4119" s="580">
        <f>HLOOKUP("*"&amp;'Output annual'!$AC$2&amp;'Output annual'!$AD$2&amp;"*FangerPMV(Hourly)",'Eplus results'!$1:$1048576,ROW(),FALSE)</f>
        <v>0</v>
      </c>
      <c r="AD4119" s="580">
        <f t="shared" si="356"/>
        <v>5</v>
      </c>
      <c r="AE4119" s="580">
        <f t="shared" si="357"/>
        <v>2.5</v>
      </c>
      <c r="AF4119" s="580">
        <f t="shared" si="358"/>
        <v>2.5</v>
      </c>
      <c r="AG4119" s="580">
        <f t="shared" si="359"/>
        <v>0</v>
      </c>
      <c r="AH4119" s="580">
        <f t="shared" si="360"/>
        <v>0</v>
      </c>
    </row>
    <row r="4120" spans="28:34">
      <c r="AB4120" s="580">
        <f>HLOOKUP("*"&amp;'Output annual'!$AC$2&amp;'Output annual'!$AD$2&amp;"*Zone People Number Of Occupants [](Hourly)",'Eplus results'!$1:$1048576,ROW(),FALSE)</f>
        <v>0</v>
      </c>
      <c r="AC4120" s="580">
        <f>HLOOKUP("*"&amp;'Output annual'!$AC$2&amp;'Output annual'!$AD$2&amp;"*FangerPMV(Hourly)",'Eplus results'!$1:$1048576,ROW(),FALSE)</f>
        <v>0</v>
      </c>
      <c r="AD4120" s="580">
        <f t="shared" si="356"/>
        <v>5</v>
      </c>
      <c r="AE4120" s="580">
        <f t="shared" si="357"/>
        <v>2.5</v>
      </c>
      <c r="AF4120" s="580">
        <f t="shared" si="358"/>
        <v>2.5</v>
      </c>
      <c r="AG4120" s="580">
        <f t="shared" si="359"/>
        <v>0</v>
      </c>
      <c r="AH4120" s="580">
        <f t="shared" si="360"/>
        <v>0</v>
      </c>
    </row>
    <row r="4121" spans="28:34">
      <c r="AB4121" s="580">
        <f>HLOOKUP("*"&amp;'Output annual'!$AC$2&amp;'Output annual'!$AD$2&amp;"*Zone People Number Of Occupants [](Hourly)",'Eplus results'!$1:$1048576,ROW(),FALSE)</f>
        <v>0</v>
      </c>
      <c r="AC4121" s="580">
        <f>HLOOKUP("*"&amp;'Output annual'!$AC$2&amp;'Output annual'!$AD$2&amp;"*FangerPMV(Hourly)",'Eplus results'!$1:$1048576,ROW(),FALSE)</f>
        <v>0</v>
      </c>
      <c r="AD4121" s="580">
        <f t="shared" si="356"/>
        <v>5</v>
      </c>
      <c r="AE4121" s="580">
        <f t="shared" si="357"/>
        <v>2.5</v>
      </c>
      <c r="AF4121" s="580">
        <f t="shared" si="358"/>
        <v>2.5</v>
      </c>
      <c r="AG4121" s="580">
        <f t="shared" si="359"/>
        <v>0</v>
      </c>
      <c r="AH4121" s="580">
        <f t="shared" si="360"/>
        <v>0</v>
      </c>
    </row>
    <row r="4122" spans="28:34">
      <c r="AB4122" s="580">
        <f>HLOOKUP("*"&amp;'Output annual'!$AC$2&amp;'Output annual'!$AD$2&amp;"*Zone People Number Of Occupants [](Hourly)",'Eplus results'!$1:$1048576,ROW(),FALSE)</f>
        <v>0</v>
      </c>
      <c r="AC4122" s="580">
        <f>HLOOKUP("*"&amp;'Output annual'!$AC$2&amp;'Output annual'!$AD$2&amp;"*FangerPMV(Hourly)",'Eplus results'!$1:$1048576,ROW(),FALSE)</f>
        <v>0</v>
      </c>
      <c r="AD4122" s="580">
        <f t="shared" si="356"/>
        <v>5</v>
      </c>
      <c r="AE4122" s="580">
        <f t="shared" si="357"/>
        <v>2.5</v>
      </c>
      <c r="AF4122" s="580">
        <f t="shared" si="358"/>
        <v>2.5</v>
      </c>
      <c r="AG4122" s="580">
        <f t="shared" si="359"/>
        <v>0</v>
      </c>
      <c r="AH4122" s="580">
        <f t="shared" si="360"/>
        <v>0</v>
      </c>
    </row>
    <row r="4123" spans="28:34">
      <c r="AB4123" s="580">
        <f>HLOOKUP("*"&amp;'Output annual'!$AC$2&amp;'Output annual'!$AD$2&amp;"*Zone People Number Of Occupants [](Hourly)",'Eplus results'!$1:$1048576,ROW(),FALSE)</f>
        <v>0</v>
      </c>
      <c r="AC4123" s="580">
        <f>HLOOKUP("*"&amp;'Output annual'!$AC$2&amp;'Output annual'!$AD$2&amp;"*FangerPMV(Hourly)",'Eplus results'!$1:$1048576,ROW(),FALSE)</f>
        <v>0</v>
      </c>
      <c r="AD4123" s="580">
        <f t="shared" si="356"/>
        <v>5</v>
      </c>
      <c r="AE4123" s="580">
        <f t="shared" si="357"/>
        <v>2.5</v>
      </c>
      <c r="AF4123" s="580">
        <f t="shared" si="358"/>
        <v>2.5</v>
      </c>
      <c r="AG4123" s="580">
        <f t="shared" si="359"/>
        <v>0</v>
      </c>
      <c r="AH4123" s="580">
        <f t="shared" si="360"/>
        <v>0</v>
      </c>
    </row>
    <row r="4124" spans="28:34">
      <c r="AB4124" s="580">
        <f>HLOOKUP("*"&amp;'Output annual'!$AC$2&amp;'Output annual'!$AD$2&amp;"*Zone People Number Of Occupants [](Hourly)",'Eplus results'!$1:$1048576,ROW(),FALSE)</f>
        <v>0</v>
      </c>
      <c r="AC4124" s="580">
        <f>HLOOKUP("*"&amp;'Output annual'!$AC$2&amp;'Output annual'!$AD$2&amp;"*FangerPMV(Hourly)",'Eplus results'!$1:$1048576,ROW(),FALSE)</f>
        <v>0</v>
      </c>
      <c r="AD4124" s="580">
        <f t="shared" si="356"/>
        <v>5</v>
      </c>
      <c r="AE4124" s="580">
        <f t="shared" si="357"/>
        <v>2.5</v>
      </c>
      <c r="AF4124" s="580">
        <f t="shared" si="358"/>
        <v>2.5</v>
      </c>
      <c r="AG4124" s="580">
        <f t="shared" si="359"/>
        <v>0</v>
      </c>
      <c r="AH4124" s="580">
        <f t="shared" si="360"/>
        <v>0</v>
      </c>
    </row>
    <row r="4125" spans="28:34">
      <c r="AB4125" s="580">
        <f>HLOOKUP("*"&amp;'Output annual'!$AC$2&amp;'Output annual'!$AD$2&amp;"*Zone People Number Of Occupants [](Hourly)",'Eplus results'!$1:$1048576,ROW(),FALSE)</f>
        <v>0</v>
      </c>
      <c r="AC4125" s="580">
        <f>HLOOKUP("*"&amp;'Output annual'!$AC$2&amp;'Output annual'!$AD$2&amp;"*FangerPMV(Hourly)",'Eplus results'!$1:$1048576,ROW(),FALSE)</f>
        <v>0</v>
      </c>
      <c r="AD4125" s="580">
        <f t="shared" si="356"/>
        <v>5</v>
      </c>
      <c r="AE4125" s="580">
        <f t="shared" si="357"/>
        <v>2.5</v>
      </c>
      <c r="AF4125" s="580">
        <f t="shared" si="358"/>
        <v>2.5</v>
      </c>
      <c r="AG4125" s="580">
        <f t="shared" si="359"/>
        <v>0</v>
      </c>
      <c r="AH4125" s="580">
        <f t="shared" si="360"/>
        <v>0</v>
      </c>
    </row>
    <row r="4126" spans="28:34">
      <c r="AB4126" s="580">
        <f>HLOOKUP("*"&amp;'Output annual'!$AC$2&amp;'Output annual'!$AD$2&amp;"*Zone People Number Of Occupants [](Hourly)",'Eplus results'!$1:$1048576,ROW(),FALSE)</f>
        <v>0</v>
      </c>
      <c r="AC4126" s="580">
        <f>HLOOKUP("*"&amp;'Output annual'!$AC$2&amp;'Output annual'!$AD$2&amp;"*FangerPMV(Hourly)",'Eplus results'!$1:$1048576,ROW(),FALSE)</f>
        <v>0</v>
      </c>
      <c r="AD4126" s="580">
        <f t="shared" si="356"/>
        <v>5</v>
      </c>
      <c r="AE4126" s="580">
        <f t="shared" si="357"/>
        <v>2.5</v>
      </c>
      <c r="AF4126" s="580">
        <f t="shared" si="358"/>
        <v>2.5</v>
      </c>
      <c r="AG4126" s="580">
        <f t="shared" si="359"/>
        <v>0</v>
      </c>
      <c r="AH4126" s="580">
        <f t="shared" si="360"/>
        <v>0</v>
      </c>
    </row>
    <row r="4127" spans="28:34">
      <c r="AB4127" s="580">
        <f>HLOOKUP("*"&amp;'Output annual'!$AC$2&amp;'Output annual'!$AD$2&amp;"*Zone People Number Of Occupants [](Hourly)",'Eplus results'!$1:$1048576,ROW(),FALSE)</f>
        <v>0</v>
      </c>
      <c r="AC4127" s="580">
        <f>HLOOKUP("*"&amp;'Output annual'!$AC$2&amp;'Output annual'!$AD$2&amp;"*FangerPMV(Hourly)",'Eplus results'!$1:$1048576,ROW(),FALSE)</f>
        <v>0</v>
      </c>
      <c r="AD4127" s="580">
        <f t="shared" si="356"/>
        <v>5</v>
      </c>
      <c r="AE4127" s="580">
        <f t="shared" si="357"/>
        <v>2.5</v>
      </c>
      <c r="AF4127" s="580">
        <f t="shared" si="358"/>
        <v>2.5</v>
      </c>
      <c r="AG4127" s="580">
        <f t="shared" si="359"/>
        <v>0</v>
      </c>
      <c r="AH4127" s="580">
        <f t="shared" si="360"/>
        <v>0</v>
      </c>
    </row>
    <row r="4128" spans="28:34">
      <c r="AB4128" s="580">
        <f>HLOOKUP("*"&amp;'Output annual'!$AC$2&amp;'Output annual'!$AD$2&amp;"*Zone People Number Of Occupants [](Hourly)",'Eplus results'!$1:$1048576,ROW(),FALSE)</f>
        <v>0</v>
      </c>
      <c r="AC4128" s="580">
        <f>HLOOKUP("*"&amp;'Output annual'!$AC$2&amp;'Output annual'!$AD$2&amp;"*FangerPMV(Hourly)",'Eplus results'!$1:$1048576,ROW(),FALSE)</f>
        <v>0</v>
      </c>
      <c r="AD4128" s="580">
        <f t="shared" si="356"/>
        <v>5</v>
      </c>
      <c r="AE4128" s="580">
        <f t="shared" si="357"/>
        <v>2.5</v>
      </c>
      <c r="AF4128" s="580">
        <f t="shared" si="358"/>
        <v>2.5</v>
      </c>
      <c r="AG4128" s="580">
        <f t="shared" si="359"/>
        <v>0</v>
      </c>
      <c r="AH4128" s="580">
        <f t="shared" si="360"/>
        <v>0</v>
      </c>
    </row>
    <row r="4129" spans="28:34">
      <c r="AB4129" s="580">
        <f>HLOOKUP("*"&amp;'Output annual'!$AC$2&amp;'Output annual'!$AD$2&amp;"*Zone People Number Of Occupants [](Hourly)",'Eplus results'!$1:$1048576,ROW(),FALSE)</f>
        <v>0</v>
      </c>
      <c r="AC4129" s="580">
        <f>HLOOKUP("*"&amp;'Output annual'!$AC$2&amp;'Output annual'!$AD$2&amp;"*FangerPMV(Hourly)",'Eplus results'!$1:$1048576,ROW(),FALSE)</f>
        <v>0</v>
      </c>
      <c r="AD4129" s="580">
        <f t="shared" si="356"/>
        <v>5</v>
      </c>
      <c r="AE4129" s="580">
        <f t="shared" si="357"/>
        <v>2.5</v>
      </c>
      <c r="AF4129" s="580">
        <f t="shared" si="358"/>
        <v>2.5</v>
      </c>
      <c r="AG4129" s="580">
        <f t="shared" si="359"/>
        <v>0</v>
      </c>
      <c r="AH4129" s="580">
        <f t="shared" si="360"/>
        <v>0</v>
      </c>
    </row>
    <row r="4130" spans="28:34">
      <c r="AB4130" s="580">
        <f>HLOOKUP("*"&amp;'Output annual'!$AC$2&amp;'Output annual'!$AD$2&amp;"*Zone People Number Of Occupants [](Hourly)",'Eplus results'!$1:$1048576,ROW(),FALSE)</f>
        <v>0</v>
      </c>
      <c r="AC4130" s="580">
        <f>HLOOKUP("*"&amp;'Output annual'!$AC$2&amp;'Output annual'!$AD$2&amp;"*FangerPMV(Hourly)",'Eplus results'!$1:$1048576,ROW(),FALSE)</f>
        <v>0</v>
      </c>
      <c r="AD4130" s="580">
        <f t="shared" si="356"/>
        <v>5</v>
      </c>
      <c r="AE4130" s="580">
        <f t="shared" si="357"/>
        <v>2.5</v>
      </c>
      <c r="AF4130" s="580">
        <f t="shared" si="358"/>
        <v>2.5</v>
      </c>
      <c r="AG4130" s="580">
        <f t="shared" si="359"/>
        <v>0</v>
      </c>
      <c r="AH4130" s="580">
        <f t="shared" si="360"/>
        <v>0</v>
      </c>
    </row>
    <row r="4131" spans="28:34">
      <c r="AB4131" s="580">
        <f>HLOOKUP("*"&amp;'Output annual'!$AC$2&amp;'Output annual'!$AD$2&amp;"*Zone People Number Of Occupants [](Hourly)",'Eplus results'!$1:$1048576,ROW(),FALSE)</f>
        <v>0</v>
      </c>
      <c r="AC4131" s="580">
        <f>HLOOKUP("*"&amp;'Output annual'!$AC$2&amp;'Output annual'!$AD$2&amp;"*FangerPMV(Hourly)",'Eplus results'!$1:$1048576,ROW(),FALSE)</f>
        <v>0</v>
      </c>
      <c r="AD4131" s="580">
        <f t="shared" si="356"/>
        <v>5</v>
      </c>
      <c r="AE4131" s="580">
        <f t="shared" si="357"/>
        <v>2.5</v>
      </c>
      <c r="AF4131" s="580">
        <f t="shared" si="358"/>
        <v>2.5</v>
      </c>
      <c r="AG4131" s="580">
        <f t="shared" si="359"/>
        <v>0</v>
      </c>
      <c r="AH4131" s="580">
        <f t="shared" si="360"/>
        <v>0</v>
      </c>
    </row>
    <row r="4132" spans="28:34">
      <c r="AB4132" s="580">
        <f>HLOOKUP("*"&amp;'Output annual'!$AC$2&amp;'Output annual'!$AD$2&amp;"*Zone People Number Of Occupants [](Hourly)",'Eplus results'!$1:$1048576,ROW(),FALSE)</f>
        <v>0</v>
      </c>
      <c r="AC4132" s="580">
        <f>HLOOKUP("*"&amp;'Output annual'!$AC$2&amp;'Output annual'!$AD$2&amp;"*FangerPMV(Hourly)",'Eplus results'!$1:$1048576,ROW(),FALSE)</f>
        <v>0</v>
      </c>
      <c r="AD4132" s="580">
        <f t="shared" si="356"/>
        <v>5</v>
      </c>
      <c r="AE4132" s="580">
        <f t="shared" si="357"/>
        <v>2.5</v>
      </c>
      <c r="AF4132" s="580">
        <f t="shared" si="358"/>
        <v>2.5</v>
      </c>
      <c r="AG4132" s="580">
        <f t="shared" si="359"/>
        <v>0</v>
      </c>
      <c r="AH4132" s="580">
        <f t="shared" si="360"/>
        <v>0</v>
      </c>
    </row>
    <row r="4133" spans="28:34">
      <c r="AB4133" s="580">
        <f>HLOOKUP("*"&amp;'Output annual'!$AC$2&amp;'Output annual'!$AD$2&amp;"*Zone People Number Of Occupants [](Hourly)",'Eplus results'!$1:$1048576,ROW(),FALSE)</f>
        <v>0</v>
      </c>
      <c r="AC4133" s="580">
        <f>HLOOKUP("*"&amp;'Output annual'!$AC$2&amp;'Output annual'!$AD$2&amp;"*FangerPMV(Hourly)",'Eplus results'!$1:$1048576,ROW(),FALSE)</f>
        <v>0</v>
      </c>
      <c r="AD4133" s="580">
        <f t="shared" si="356"/>
        <v>5</v>
      </c>
      <c r="AE4133" s="580">
        <f t="shared" si="357"/>
        <v>2.5</v>
      </c>
      <c r="AF4133" s="580">
        <f t="shared" si="358"/>
        <v>2.5</v>
      </c>
      <c r="AG4133" s="580">
        <f t="shared" si="359"/>
        <v>0</v>
      </c>
      <c r="AH4133" s="580">
        <f t="shared" si="360"/>
        <v>0</v>
      </c>
    </row>
    <row r="4134" spans="28:34">
      <c r="AB4134" s="580">
        <f>HLOOKUP("*"&amp;'Output annual'!$AC$2&amp;'Output annual'!$AD$2&amp;"*Zone People Number Of Occupants [](Hourly)",'Eplus results'!$1:$1048576,ROW(),FALSE)</f>
        <v>0</v>
      </c>
      <c r="AC4134" s="580">
        <f>HLOOKUP("*"&amp;'Output annual'!$AC$2&amp;'Output annual'!$AD$2&amp;"*FangerPMV(Hourly)",'Eplus results'!$1:$1048576,ROW(),FALSE)</f>
        <v>0</v>
      </c>
      <c r="AD4134" s="580">
        <f t="shared" si="356"/>
        <v>5</v>
      </c>
      <c r="AE4134" s="580">
        <f t="shared" si="357"/>
        <v>2.5</v>
      </c>
      <c r="AF4134" s="580">
        <f t="shared" si="358"/>
        <v>2.5</v>
      </c>
      <c r="AG4134" s="580">
        <f t="shared" si="359"/>
        <v>0</v>
      </c>
      <c r="AH4134" s="580">
        <f t="shared" si="360"/>
        <v>0</v>
      </c>
    </row>
    <row r="4135" spans="28:34">
      <c r="AB4135" s="580">
        <f>HLOOKUP("*"&amp;'Output annual'!$AC$2&amp;'Output annual'!$AD$2&amp;"*Zone People Number Of Occupants [](Hourly)",'Eplus results'!$1:$1048576,ROW(),FALSE)</f>
        <v>0</v>
      </c>
      <c r="AC4135" s="580">
        <f>HLOOKUP("*"&amp;'Output annual'!$AC$2&amp;'Output annual'!$AD$2&amp;"*FangerPMV(Hourly)",'Eplus results'!$1:$1048576,ROW(),FALSE)</f>
        <v>0</v>
      </c>
      <c r="AD4135" s="580">
        <f t="shared" si="356"/>
        <v>5</v>
      </c>
      <c r="AE4135" s="580">
        <f t="shared" si="357"/>
        <v>2.5</v>
      </c>
      <c r="AF4135" s="580">
        <f t="shared" si="358"/>
        <v>2.5</v>
      </c>
      <c r="AG4135" s="580">
        <f t="shared" si="359"/>
        <v>0</v>
      </c>
      <c r="AH4135" s="580">
        <f t="shared" si="360"/>
        <v>0</v>
      </c>
    </row>
    <row r="4136" spans="28:34">
      <c r="AB4136" s="580">
        <f>HLOOKUP("*"&amp;'Output annual'!$AC$2&amp;'Output annual'!$AD$2&amp;"*Zone People Number Of Occupants [](Hourly)",'Eplus results'!$1:$1048576,ROW(),FALSE)</f>
        <v>0</v>
      </c>
      <c r="AC4136" s="580">
        <f>HLOOKUP("*"&amp;'Output annual'!$AC$2&amp;'Output annual'!$AD$2&amp;"*FangerPMV(Hourly)",'Eplus results'!$1:$1048576,ROW(),FALSE)</f>
        <v>0</v>
      </c>
      <c r="AD4136" s="580">
        <f t="shared" si="356"/>
        <v>5</v>
      </c>
      <c r="AE4136" s="580">
        <f t="shared" si="357"/>
        <v>2.5</v>
      </c>
      <c r="AF4136" s="580">
        <f t="shared" si="358"/>
        <v>2.5</v>
      </c>
      <c r="AG4136" s="580">
        <f t="shared" si="359"/>
        <v>0</v>
      </c>
      <c r="AH4136" s="580">
        <f t="shared" si="360"/>
        <v>0</v>
      </c>
    </row>
    <row r="4137" spans="28:34">
      <c r="AB4137" s="580">
        <f>HLOOKUP("*"&amp;'Output annual'!$AC$2&amp;'Output annual'!$AD$2&amp;"*Zone People Number Of Occupants [](Hourly)",'Eplus results'!$1:$1048576,ROW(),FALSE)</f>
        <v>0</v>
      </c>
      <c r="AC4137" s="580">
        <f>HLOOKUP("*"&amp;'Output annual'!$AC$2&amp;'Output annual'!$AD$2&amp;"*FangerPMV(Hourly)",'Eplus results'!$1:$1048576,ROW(),FALSE)</f>
        <v>0</v>
      </c>
      <c r="AD4137" s="580">
        <f t="shared" si="356"/>
        <v>5</v>
      </c>
      <c r="AE4137" s="580">
        <f t="shared" si="357"/>
        <v>2.5</v>
      </c>
      <c r="AF4137" s="580">
        <f t="shared" si="358"/>
        <v>2.5</v>
      </c>
      <c r="AG4137" s="580">
        <f t="shared" si="359"/>
        <v>0</v>
      </c>
      <c r="AH4137" s="580">
        <f t="shared" si="360"/>
        <v>0</v>
      </c>
    </row>
    <row r="4138" spans="28:34">
      <c r="AB4138" s="580">
        <f>HLOOKUP("*"&amp;'Output annual'!$AC$2&amp;'Output annual'!$AD$2&amp;"*Zone People Number Of Occupants [](Hourly)",'Eplus results'!$1:$1048576,ROW(),FALSE)</f>
        <v>0</v>
      </c>
      <c r="AC4138" s="580">
        <f>HLOOKUP("*"&amp;'Output annual'!$AC$2&amp;'Output annual'!$AD$2&amp;"*FangerPMV(Hourly)",'Eplus results'!$1:$1048576,ROW(),FALSE)</f>
        <v>0</v>
      </c>
      <c r="AD4138" s="580">
        <f t="shared" si="356"/>
        <v>5</v>
      </c>
      <c r="AE4138" s="580">
        <f t="shared" si="357"/>
        <v>2.5</v>
      </c>
      <c r="AF4138" s="580">
        <f t="shared" si="358"/>
        <v>2.5</v>
      </c>
      <c r="AG4138" s="580">
        <f t="shared" si="359"/>
        <v>0</v>
      </c>
      <c r="AH4138" s="580">
        <f t="shared" si="360"/>
        <v>0</v>
      </c>
    </row>
    <row r="4139" spans="28:34">
      <c r="AB4139" s="580">
        <f>HLOOKUP("*"&amp;'Output annual'!$AC$2&amp;'Output annual'!$AD$2&amp;"*Zone People Number Of Occupants [](Hourly)",'Eplus results'!$1:$1048576,ROW(),FALSE)</f>
        <v>0</v>
      </c>
      <c r="AC4139" s="580">
        <f>HLOOKUP("*"&amp;'Output annual'!$AC$2&amp;'Output annual'!$AD$2&amp;"*FangerPMV(Hourly)",'Eplus results'!$1:$1048576,ROW(),FALSE)</f>
        <v>0</v>
      </c>
      <c r="AD4139" s="580">
        <f t="shared" si="356"/>
        <v>5</v>
      </c>
      <c r="AE4139" s="580">
        <f t="shared" si="357"/>
        <v>2.5</v>
      </c>
      <c r="AF4139" s="580">
        <f t="shared" si="358"/>
        <v>2.5</v>
      </c>
      <c r="AG4139" s="580">
        <f t="shared" si="359"/>
        <v>0</v>
      </c>
      <c r="AH4139" s="580">
        <f t="shared" si="360"/>
        <v>0</v>
      </c>
    </row>
    <row r="4140" spans="28:34">
      <c r="AB4140" s="580">
        <f>HLOOKUP("*"&amp;'Output annual'!$AC$2&amp;'Output annual'!$AD$2&amp;"*Zone People Number Of Occupants [](Hourly)",'Eplus results'!$1:$1048576,ROW(),FALSE)</f>
        <v>0</v>
      </c>
      <c r="AC4140" s="580">
        <f>HLOOKUP("*"&amp;'Output annual'!$AC$2&amp;'Output annual'!$AD$2&amp;"*FangerPMV(Hourly)",'Eplus results'!$1:$1048576,ROW(),FALSE)</f>
        <v>0</v>
      </c>
      <c r="AD4140" s="580">
        <f t="shared" si="356"/>
        <v>5</v>
      </c>
      <c r="AE4140" s="580">
        <f t="shared" si="357"/>
        <v>2.5</v>
      </c>
      <c r="AF4140" s="580">
        <f t="shared" si="358"/>
        <v>2.5</v>
      </c>
      <c r="AG4140" s="580">
        <f t="shared" si="359"/>
        <v>0</v>
      </c>
      <c r="AH4140" s="580">
        <f t="shared" si="360"/>
        <v>0</v>
      </c>
    </row>
    <row r="4141" spans="28:34">
      <c r="AB4141" s="580">
        <f>HLOOKUP("*"&amp;'Output annual'!$AC$2&amp;'Output annual'!$AD$2&amp;"*Zone People Number Of Occupants [](Hourly)",'Eplus results'!$1:$1048576,ROW(),FALSE)</f>
        <v>0</v>
      </c>
      <c r="AC4141" s="580">
        <f>HLOOKUP("*"&amp;'Output annual'!$AC$2&amp;'Output annual'!$AD$2&amp;"*FangerPMV(Hourly)",'Eplus results'!$1:$1048576,ROW(),FALSE)</f>
        <v>0</v>
      </c>
      <c r="AD4141" s="580">
        <f t="shared" si="356"/>
        <v>5</v>
      </c>
      <c r="AE4141" s="580">
        <f t="shared" si="357"/>
        <v>2.5</v>
      </c>
      <c r="AF4141" s="580">
        <f t="shared" si="358"/>
        <v>2.5</v>
      </c>
      <c r="AG4141" s="580">
        <f t="shared" si="359"/>
        <v>0</v>
      </c>
      <c r="AH4141" s="580">
        <f t="shared" si="360"/>
        <v>0</v>
      </c>
    </row>
    <row r="4142" spans="28:34">
      <c r="AB4142" s="580">
        <f>HLOOKUP("*"&amp;'Output annual'!$AC$2&amp;'Output annual'!$AD$2&amp;"*Zone People Number Of Occupants [](Hourly)",'Eplus results'!$1:$1048576,ROW(),FALSE)</f>
        <v>0</v>
      </c>
      <c r="AC4142" s="580">
        <f>HLOOKUP("*"&amp;'Output annual'!$AC$2&amp;'Output annual'!$AD$2&amp;"*FangerPMV(Hourly)",'Eplus results'!$1:$1048576,ROW(),FALSE)</f>
        <v>0</v>
      </c>
      <c r="AD4142" s="580">
        <f t="shared" si="356"/>
        <v>5</v>
      </c>
      <c r="AE4142" s="580">
        <f t="shared" si="357"/>
        <v>2.5</v>
      </c>
      <c r="AF4142" s="580">
        <f t="shared" si="358"/>
        <v>2.5</v>
      </c>
      <c r="AG4142" s="580">
        <f t="shared" si="359"/>
        <v>0</v>
      </c>
      <c r="AH4142" s="580">
        <f t="shared" si="360"/>
        <v>0</v>
      </c>
    </row>
    <row r="4143" spans="28:34">
      <c r="AB4143" s="580">
        <f>HLOOKUP("*"&amp;'Output annual'!$AC$2&amp;'Output annual'!$AD$2&amp;"*Zone People Number Of Occupants [](Hourly)",'Eplus results'!$1:$1048576,ROW(),FALSE)</f>
        <v>0</v>
      </c>
      <c r="AC4143" s="580">
        <f>HLOOKUP("*"&amp;'Output annual'!$AC$2&amp;'Output annual'!$AD$2&amp;"*FangerPMV(Hourly)",'Eplus results'!$1:$1048576,ROW(),FALSE)</f>
        <v>0</v>
      </c>
      <c r="AD4143" s="580">
        <f t="shared" si="356"/>
        <v>5</v>
      </c>
      <c r="AE4143" s="580">
        <f t="shared" si="357"/>
        <v>2.5</v>
      </c>
      <c r="AF4143" s="580">
        <f t="shared" si="358"/>
        <v>2.5</v>
      </c>
      <c r="AG4143" s="580">
        <f t="shared" si="359"/>
        <v>0</v>
      </c>
      <c r="AH4143" s="580">
        <f t="shared" si="360"/>
        <v>0</v>
      </c>
    </row>
    <row r="4144" spans="28:34">
      <c r="AB4144" s="580">
        <f>HLOOKUP("*"&amp;'Output annual'!$AC$2&amp;'Output annual'!$AD$2&amp;"*Zone People Number Of Occupants [](Hourly)",'Eplus results'!$1:$1048576,ROW(),FALSE)</f>
        <v>0</v>
      </c>
      <c r="AC4144" s="580">
        <f>HLOOKUP("*"&amp;'Output annual'!$AC$2&amp;'Output annual'!$AD$2&amp;"*FangerPMV(Hourly)",'Eplus results'!$1:$1048576,ROW(),FALSE)</f>
        <v>0</v>
      </c>
      <c r="AD4144" s="580">
        <f t="shared" si="356"/>
        <v>5</v>
      </c>
      <c r="AE4144" s="580">
        <f t="shared" si="357"/>
        <v>2.5</v>
      </c>
      <c r="AF4144" s="580">
        <f t="shared" si="358"/>
        <v>2.5</v>
      </c>
      <c r="AG4144" s="580">
        <f t="shared" si="359"/>
        <v>0</v>
      </c>
      <c r="AH4144" s="580">
        <f t="shared" si="360"/>
        <v>0</v>
      </c>
    </row>
    <row r="4145" spans="28:34">
      <c r="AB4145" s="580">
        <f>HLOOKUP("*"&amp;'Output annual'!$AC$2&amp;'Output annual'!$AD$2&amp;"*Zone People Number Of Occupants [](Hourly)",'Eplus results'!$1:$1048576,ROW(),FALSE)</f>
        <v>0</v>
      </c>
      <c r="AC4145" s="580">
        <f>HLOOKUP("*"&amp;'Output annual'!$AC$2&amp;'Output annual'!$AD$2&amp;"*FangerPMV(Hourly)",'Eplus results'!$1:$1048576,ROW(),FALSE)</f>
        <v>0</v>
      </c>
      <c r="AD4145" s="580">
        <f t="shared" si="356"/>
        <v>5</v>
      </c>
      <c r="AE4145" s="580">
        <f t="shared" si="357"/>
        <v>2.5</v>
      </c>
      <c r="AF4145" s="580">
        <f t="shared" si="358"/>
        <v>2.5</v>
      </c>
      <c r="AG4145" s="580">
        <f t="shared" si="359"/>
        <v>0</v>
      </c>
      <c r="AH4145" s="580">
        <f t="shared" si="360"/>
        <v>0</v>
      </c>
    </row>
    <row r="4146" spans="28:34">
      <c r="AB4146" s="580">
        <f>HLOOKUP("*"&amp;'Output annual'!$AC$2&amp;'Output annual'!$AD$2&amp;"*Zone People Number Of Occupants [](Hourly)",'Eplus results'!$1:$1048576,ROW(),FALSE)</f>
        <v>0</v>
      </c>
      <c r="AC4146" s="580">
        <f>HLOOKUP("*"&amp;'Output annual'!$AC$2&amp;'Output annual'!$AD$2&amp;"*FangerPMV(Hourly)",'Eplus results'!$1:$1048576,ROW(),FALSE)</f>
        <v>0</v>
      </c>
      <c r="AD4146" s="580">
        <f t="shared" si="356"/>
        <v>5</v>
      </c>
      <c r="AE4146" s="580">
        <f t="shared" si="357"/>
        <v>2.5</v>
      </c>
      <c r="AF4146" s="580">
        <f t="shared" si="358"/>
        <v>2.5</v>
      </c>
      <c r="AG4146" s="580">
        <f t="shared" si="359"/>
        <v>0</v>
      </c>
      <c r="AH4146" s="580">
        <f t="shared" si="360"/>
        <v>0</v>
      </c>
    </row>
    <row r="4147" spans="28:34">
      <c r="AB4147" s="580">
        <f>HLOOKUP("*"&amp;'Output annual'!$AC$2&amp;'Output annual'!$AD$2&amp;"*Zone People Number Of Occupants [](Hourly)",'Eplus results'!$1:$1048576,ROW(),FALSE)</f>
        <v>0</v>
      </c>
      <c r="AC4147" s="580">
        <f>HLOOKUP("*"&amp;'Output annual'!$AC$2&amp;'Output annual'!$AD$2&amp;"*FangerPMV(Hourly)",'Eplus results'!$1:$1048576,ROW(),FALSE)</f>
        <v>0</v>
      </c>
      <c r="AD4147" s="580">
        <f t="shared" si="356"/>
        <v>5</v>
      </c>
      <c r="AE4147" s="580">
        <f t="shared" si="357"/>
        <v>2.5</v>
      </c>
      <c r="AF4147" s="580">
        <f t="shared" si="358"/>
        <v>2.5</v>
      </c>
      <c r="AG4147" s="580">
        <f t="shared" si="359"/>
        <v>0</v>
      </c>
      <c r="AH4147" s="580">
        <f t="shared" si="360"/>
        <v>0</v>
      </c>
    </row>
    <row r="4148" spans="28:34">
      <c r="AB4148" s="580">
        <f>HLOOKUP("*"&amp;'Output annual'!$AC$2&amp;'Output annual'!$AD$2&amp;"*Zone People Number Of Occupants [](Hourly)",'Eplus results'!$1:$1048576,ROW(),FALSE)</f>
        <v>0</v>
      </c>
      <c r="AC4148" s="580">
        <f>HLOOKUP("*"&amp;'Output annual'!$AC$2&amp;'Output annual'!$AD$2&amp;"*FangerPMV(Hourly)",'Eplus results'!$1:$1048576,ROW(),FALSE)</f>
        <v>0</v>
      </c>
      <c r="AD4148" s="580">
        <f t="shared" si="356"/>
        <v>5</v>
      </c>
      <c r="AE4148" s="580">
        <f t="shared" si="357"/>
        <v>2.5</v>
      </c>
      <c r="AF4148" s="580">
        <f t="shared" si="358"/>
        <v>2.5</v>
      </c>
      <c r="AG4148" s="580">
        <f t="shared" si="359"/>
        <v>0</v>
      </c>
      <c r="AH4148" s="580">
        <f t="shared" si="360"/>
        <v>0</v>
      </c>
    </row>
    <row r="4149" spans="28:34">
      <c r="AB4149" s="580">
        <f>HLOOKUP("*"&amp;'Output annual'!$AC$2&amp;'Output annual'!$AD$2&amp;"*Zone People Number Of Occupants [](Hourly)",'Eplus results'!$1:$1048576,ROW(),FALSE)</f>
        <v>0</v>
      </c>
      <c r="AC4149" s="580">
        <f>HLOOKUP("*"&amp;'Output annual'!$AC$2&amp;'Output annual'!$AD$2&amp;"*FangerPMV(Hourly)",'Eplus results'!$1:$1048576,ROW(),FALSE)</f>
        <v>0</v>
      </c>
      <c r="AD4149" s="580">
        <f t="shared" si="356"/>
        <v>5</v>
      </c>
      <c r="AE4149" s="580">
        <f t="shared" si="357"/>
        <v>2.5</v>
      </c>
      <c r="AF4149" s="580">
        <f t="shared" si="358"/>
        <v>2.5</v>
      </c>
      <c r="AG4149" s="580">
        <f t="shared" si="359"/>
        <v>0</v>
      </c>
      <c r="AH4149" s="580">
        <f t="shared" si="360"/>
        <v>0</v>
      </c>
    </row>
    <row r="4150" spans="28:34">
      <c r="AB4150" s="580">
        <f>HLOOKUP("*"&amp;'Output annual'!$AC$2&amp;'Output annual'!$AD$2&amp;"*Zone People Number Of Occupants [](Hourly)",'Eplus results'!$1:$1048576,ROW(),FALSE)</f>
        <v>0</v>
      </c>
      <c r="AC4150" s="580">
        <f>HLOOKUP("*"&amp;'Output annual'!$AC$2&amp;'Output annual'!$AD$2&amp;"*FangerPMV(Hourly)",'Eplus results'!$1:$1048576,ROW(),FALSE)</f>
        <v>0</v>
      </c>
      <c r="AD4150" s="580">
        <f t="shared" si="356"/>
        <v>5</v>
      </c>
      <c r="AE4150" s="580">
        <f t="shared" si="357"/>
        <v>2.5</v>
      </c>
      <c r="AF4150" s="580">
        <f t="shared" si="358"/>
        <v>2.5</v>
      </c>
      <c r="AG4150" s="580">
        <f t="shared" si="359"/>
        <v>0</v>
      </c>
      <c r="AH4150" s="580">
        <f t="shared" si="360"/>
        <v>0</v>
      </c>
    </row>
    <row r="4151" spans="28:34">
      <c r="AB4151" s="580">
        <f>HLOOKUP("*"&amp;'Output annual'!$AC$2&amp;'Output annual'!$AD$2&amp;"*Zone People Number Of Occupants [](Hourly)",'Eplus results'!$1:$1048576,ROW(),FALSE)</f>
        <v>0</v>
      </c>
      <c r="AC4151" s="580">
        <f>HLOOKUP("*"&amp;'Output annual'!$AC$2&amp;'Output annual'!$AD$2&amp;"*FangerPMV(Hourly)",'Eplus results'!$1:$1048576,ROW(),FALSE)</f>
        <v>0</v>
      </c>
      <c r="AD4151" s="580">
        <f t="shared" si="356"/>
        <v>5</v>
      </c>
      <c r="AE4151" s="580">
        <f t="shared" si="357"/>
        <v>2.5</v>
      </c>
      <c r="AF4151" s="580">
        <f t="shared" si="358"/>
        <v>2.5</v>
      </c>
      <c r="AG4151" s="580">
        <f t="shared" si="359"/>
        <v>0</v>
      </c>
      <c r="AH4151" s="580">
        <f t="shared" si="360"/>
        <v>0</v>
      </c>
    </row>
    <row r="4152" spans="28:34">
      <c r="AB4152" s="580">
        <f>HLOOKUP("*"&amp;'Output annual'!$AC$2&amp;'Output annual'!$AD$2&amp;"*Zone People Number Of Occupants [](Hourly)",'Eplus results'!$1:$1048576,ROW(),FALSE)</f>
        <v>0</v>
      </c>
      <c r="AC4152" s="580">
        <f>HLOOKUP("*"&amp;'Output annual'!$AC$2&amp;'Output annual'!$AD$2&amp;"*FangerPMV(Hourly)",'Eplus results'!$1:$1048576,ROW(),FALSE)</f>
        <v>0</v>
      </c>
      <c r="AD4152" s="580">
        <f t="shared" si="356"/>
        <v>5</v>
      </c>
      <c r="AE4152" s="580">
        <f t="shared" si="357"/>
        <v>2.5</v>
      </c>
      <c r="AF4152" s="580">
        <f t="shared" si="358"/>
        <v>2.5</v>
      </c>
      <c r="AG4152" s="580">
        <f t="shared" si="359"/>
        <v>0</v>
      </c>
      <c r="AH4152" s="580">
        <f t="shared" si="360"/>
        <v>0</v>
      </c>
    </row>
    <row r="4153" spans="28:34">
      <c r="AB4153" s="580">
        <f>HLOOKUP("*"&amp;'Output annual'!$AC$2&amp;'Output annual'!$AD$2&amp;"*Zone People Number Of Occupants [](Hourly)",'Eplus results'!$1:$1048576,ROW(),FALSE)</f>
        <v>0</v>
      </c>
      <c r="AC4153" s="580">
        <f>HLOOKUP("*"&amp;'Output annual'!$AC$2&amp;'Output annual'!$AD$2&amp;"*FangerPMV(Hourly)",'Eplus results'!$1:$1048576,ROW(),FALSE)</f>
        <v>0</v>
      </c>
      <c r="AD4153" s="580">
        <f t="shared" si="356"/>
        <v>5</v>
      </c>
      <c r="AE4153" s="580">
        <f t="shared" si="357"/>
        <v>2.5</v>
      </c>
      <c r="AF4153" s="580">
        <f t="shared" si="358"/>
        <v>2.5</v>
      </c>
      <c r="AG4153" s="580">
        <f t="shared" si="359"/>
        <v>0</v>
      </c>
      <c r="AH4153" s="580">
        <f t="shared" si="360"/>
        <v>0</v>
      </c>
    </row>
    <row r="4154" spans="28:34">
      <c r="AB4154" s="580">
        <f>HLOOKUP("*"&amp;'Output annual'!$AC$2&amp;'Output annual'!$AD$2&amp;"*Zone People Number Of Occupants [](Hourly)",'Eplus results'!$1:$1048576,ROW(),FALSE)</f>
        <v>0</v>
      </c>
      <c r="AC4154" s="580">
        <f>HLOOKUP("*"&amp;'Output annual'!$AC$2&amp;'Output annual'!$AD$2&amp;"*FangerPMV(Hourly)",'Eplus results'!$1:$1048576,ROW(),FALSE)</f>
        <v>0</v>
      </c>
      <c r="AD4154" s="580">
        <f t="shared" si="356"/>
        <v>5</v>
      </c>
      <c r="AE4154" s="580">
        <f t="shared" si="357"/>
        <v>2.5</v>
      </c>
      <c r="AF4154" s="580">
        <f t="shared" si="358"/>
        <v>2.5</v>
      </c>
      <c r="AG4154" s="580">
        <f t="shared" si="359"/>
        <v>0</v>
      </c>
      <c r="AH4154" s="580">
        <f t="shared" si="360"/>
        <v>0</v>
      </c>
    </row>
    <row r="4155" spans="28:34">
      <c r="AB4155" s="580">
        <f>HLOOKUP("*"&amp;'Output annual'!$AC$2&amp;'Output annual'!$AD$2&amp;"*Zone People Number Of Occupants [](Hourly)",'Eplus results'!$1:$1048576,ROW(),FALSE)</f>
        <v>0</v>
      </c>
      <c r="AC4155" s="580">
        <f>HLOOKUP("*"&amp;'Output annual'!$AC$2&amp;'Output annual'!$AD$2&amp;"*FangerPMV(Hourly)",'Eplus results'!$1:$1048576,ROW(),FALSE)</f>
        <v>0</v>
      </c>
      <c r="AD4155" s="580">
        <f t="shared" si="356"/>
        <v>5</v>
      </c>
      <c r="AE4155" s="580">
        <f t="shared" si="357"/>
        <v>2.5</v>
      </c>
      <c r="AF4155" s="580">
        <f t="shared" si="358"/>
        <v>2.5</v>
      </c>
      <c r="AG4155" s="580">
        <f t="shared" si="359"/>
        <v>0</v>
      </c>
      <c r="AH4155" s="580">
        <f t="shared" si="360"/>
        <v>0</v>
      </c>
    </row>
    <row r="4156" spans="28:34">
      <c r="AB4156" s="580">
        <f>HLOOKUP("*"&amp;'Output annual'!$AC$2&amp;'Output annual'!$AD$2&amp;"*Zone People Number Of Occupants [](Hourly)",'Eplus results'!$1:$1048576,ROW(),FALSE)</f>
        <v>0</v>
      </c>
      <c r="AC4156" s="580">
        <f>HLOOKUP("*"&amp;'Output annual'!$AC$2&amp;'Output annual'!$AD$2&amp;"*FangerPMV(Hourly)",'Eplus results'!$1:$1048576,ROW(),FALSE)</f>
        <v>0</v>
      </c>
      <c r="AD4156" s="580">
        <f t="shared" si="356"/>
        <v>5</v>
      </c>
      <c r="AE4156" s="580">
        <f t="shared" si="357"/>
        <v>2.5</v>
      </c>
      <c r="AF4156" s="580">
        <f t="shared" si="358"/>
        <v>2.5</v>
      </c>
      <c r="AG4156" s="580">
        <f t="shared" si="359"/>
        <v>0</v>
      </c>
      <c r="AH4156" s="580">
        <f t="shared" si="360"/>
        <v>0</v>
      </c>
    </row>
    <row r="4157" spans="28:34">
      <c r="AB4157" s="580">
        <f>HLOOKUP("*"&amp;'Output annual'!$AC$2&amp;'Output annual'!$AD$2&amp;"*Zone People Number Of Occupants [](Hourly)",'Eplus results'!$1:$1048576,ROW(),FALSE)</f>
        <v>0</v>
      </c>
      <c r="AC4157" s="580">
        <f>HLOOKUP("*"&amp;'Output annual'!$AC$2&amp;'Output annual'!$AD$2&amp;"*FangerPMV(Hourly)",'Eplus results'!$1:$1048576,ROW(),FALSE)</f>
        <v>0</v>
      </c>
      <c r="AD4157" s="580">
        <f t="shared" si="356"/>
        <v>5</v>
      </c>
      <c r="AE4157" s="580">
        <f t="shared" si="357"/>
        <v>2.5</v>
      </c>
      <c r="AF4157" s="580">
        <f t="shared" si="358"/>
        <v>2.5</v>
      </c>
      <c r="AG4157" s="580">
        <f t="shared" si="359"/>
        <v>0</v>
      </c>
      <c r="AH4157" s="580">
        <f t="shared" si="360"/>
        <v>0</v>
      </c>
    </row>
    <row r="4158" spans="28:34">
      <c r="AB4158" s="580">
        <f>HLOOKUP("*"&amp;'Output annual'!$AC$2&amp;'Output annual'!$AD$2&amp;"*Zone People Number Of Occupants [](Hourly)",'Eplus results'!$1:$1048576,ROW(),FALSE)</f>
        <v>0</v>
      </c>
      <c r="AC4158" s="580">
        <f>HLOOKUP("*"&amp;'Output annual'!$AC$2&amp;'Output annual'!$AD$2&amp;"*FangerPMV(Hourly)",'Eplus results'!$1:$1048576,ROW(),FALSE)</f>
        <v>0</v>
      </c>
      <c r="AD4158" s="580">
        <f t="shared" si="356"/>
        <v>5</v>
      </c>
      <c r="AE4158" s="580">
        <f t="shared" si="357"/>
        <v>2.5</v>
      </c>
      <c r="AF4158" s="580">
        <f t="shared" si="358"/>
        <v>2.5</v>
      </c>
      <c r="AG4158" s="580">
        <f t="shared" si="359"/>
        <v>0</v>
      </c>
      <c r="AH4158" s="580">
        <f t="shared" si="360"/>
        <v>0</v>
      </c>
    </row>
    <row r="4159" spans="28:34">
      <c r="AB4159" s="580">
        <f>HLOOKUP("*"&amp;'Output annual'!$AC$2&amp;'Output annual'!$AD$2&amp;"*Zone People Number Of Occupants [](Hourly)",'Eplus results'!$1:$1048576,ROW(),FALSE)</f>
        <v>0</v>
      </c>
      <c r="AC4159" s="580">
        <f>HLOOKUP("*"&amp;'Output annual'!$AC$2&amp;'Output annual'!$AD$2&amp;"*FangerPMV(Hourly)",'Eplus results'!$1:$1048576,ROW(),FALSE)</f>
        <v>0</v>
      </c>
      <c r="AD4159" s="580">
        <f t="shared" si="356"/>
        <v>5</v>
      </c>
      <c r="AE4159" s="580">
        <f t="shared" si="357"/>
        <v>2.5</v>
      </c>
      <c r="AF4159" s="580">
        <f t="shared" si="358"/>
        <v>2.5</v>
      </c>
      <c r="AG4159" s="580">
        <f t="shared" si="359"/>
        <v>0</v>
      </c>
      <c r="AH4159" s="580">
        <f t="shared" si="360"/>
        <v>0</v>
      </c>
    </row>
    <row r="4160" spans="28:34">
      <c r="AB4160" s="580">
        <f>HLOOKUP("*"&amp;'Output annual'!$AC$2&amp;'Output annual'!$AD$2&amp;"*Zone People Number Of Occupants [](Hourly)",'Eplus results'!$1:$1048576,ROW(),FALSE)</f>
        <v>0</v>
      </c>
      <c r="AC4160" s="580">
        <f>HLOOKUP("*"&amp;'Output annual'!$AC$2&amp;'Output annual'!$AD$2&amp;"*FangerPMV(Hourly)",'Eplus results'!$1:$1048576,ROW(),FALSE)</f>
        <v>0</v>
      </c>
      <c r="AD4160" s="580">
        <f t="shared" si="356"/>
        <v>5</v>
      </c>
      <c r="AE4160" s="580">
        <f t="shared" si="357"/>
        <v>2.5</v>
      </c>
      <c r="AF4160" s="580">
        <f t="shared" si="358"/>
        <v>2.5</v>
      </c>
      <c r="AG4160" s="580">
        <f t="shared" si="359"/>
        <v>0</v>
      </c>
      <c r="AH4160" s="580">
        <f t="shared" si="360"/>
        <v>0</v>
      </c>
    </row>
    <row r="4161" spans="28:34">
      <c r="AB4161" s="580">
        <f>HLOOKUP("*"&amp;'Output annual'!$AC$2&amp;'Output annual'!$AD$2&amp;"*Zone People Number Of Occupants [](Hourly)",'Eplus results'!$1:$1048576,ROW(),FALSE)</f>
        <v>0</v>
      </c>
      <c r="AC4161" s="580">
        <f>HLOOKUP("*"&amp;'Output annual'!$AC$2&amp;'Output annual'!$AD$2&amp;"*FangerPMV(Hourly)",'Eplus results'!$1:$1048576,ROW(),FALSE)</f>
        <v>0</v>
      </c>
      <c r="AD4161" s="580">
        <f t="shared" si="356"/>
        <v>5</v>
      </c>
      <c r="AE4161" s="580">
        <f t="shared" si="357"/>
        <v>2.5</v>
      </c>
      <c r="AF4161" s="580">
        <f t="shared" si="358"/>
        <v>2.5</v>
      </c>
      <c r="AG4161" s="580">
        <f t="shared" si="359"/>
        <v>0</v>
      </c>
      <c r="AH4161" s="580">
        <f t="shared" si="360"/>
        <v>0</v>
      </c>
    </row>
    <row r="4162" spans="28:34">
      <c r="AB4162" s="580">
        <f>HLOOKUP("*"&amp;'Output annual'!$AC$2&amp;'Output annual'!$AD$2&amp;"*Zone People Number Of Occupants [](Hourly)",'Eplus results'!$1:$1048576,ROW(),FALSE)</f>
        <v>0</v>
      </c>
      <c r="AC4162" s="580">
        <f>HLOOKUP("*"&amp;'Output annual'!$AC$2&amp;'Output annual'!$AD$2&amp;"*FangerPMV(Hourly)",'Eplus results'!$1:$1048576,ROW(),FALSE)</f>
        <v>0</v>
      </c>
      <c r="AD4162" s="580">
        <f t="shared" si="356"/>
        <v>5</v>
      </c>
      <c r="AE4162" s="580">
        <f t="shared" si="357"/>
        <v>2.5</v>
      </c>
      <c r="AF4162" s="580">
        <f t="shared" si="358"/>
        <v>2.5</v>
      </c>
      <c r="AG4162" s="580">
        <f t="shared" si="359"/>
        <v>0</v>
      </c>
      <c r="AH4162" s="580">
        <f t="shared" si="360"/>
        <v>0</v>
      </c>
    </row>
    <row r="4163" spans="28:34">
      <c r="AB4163" s="580">
        <f>HLOOKUP("*"&amp;'Output annual'!$AC$2&amp;'Output annual'!$AD$2&amp;"*Zone People Number Of Occupants [](Hourly)",'Eplus results'!$1:$1048576,ROW(),FALSE)</f>
        <v>0</v>
      </c>
      <c r="AC4163" s="580">
        <f>HLOOKUP("*"&amp;'Output annual'!$AC$2&amp;'Output annual'!$AD$2&amp;"*FangerPMV(Hourly)",'Eplus results'!$1:$1048576,ROW(),FALSE)</f>
        <v>0</v>
      </c>
      <c r="AD4163" s="580">
        <f t="shared" ref="AD4163:AD4226" si="361">100-95*EXP(-0.03353*AC4163^4-0.2179*AC4163^2)</f>
        <v>5</v>
      </c>
      <c r="AE4163" s="580">
        <f t="shared" ref="AE4163:AE4226" si="362">AD4163*(1/(1+EXP(-6.3*$AC4163)))</f>
        <v>2.5</v>
      </c>
      <c r="AF4163" s="580">
        <f t="shared" ref="AF4163:AF4226" si="363">(AD4163-AE4163)</f>
        <v>2.5</v>
      </c>
      <c r="AG4163" s="580">
        <f t="shared" ref="AG4163:AG4226" si="364">AE4163*AB4163</f>
        <v>0</v>
      </c>
      <c r="AH4163" s="580">
        <f t="shared" ref="AH4163:AH4226" si="365">AF4163*AB4163</f>
        <v>0</v>
      </c>
    </row>
    <row r="4164" spans="28:34">
      <c r="AB4164" s="580">
        <f>HLOOKUP("*"&amp;'Output annual'!$AC$2&amp;'Output annual'!$AD$2&amp;"*Zone People Number Of Occupants [](Hourly)",'Eplus results'!$1:$1048576,ROW(),FALSE)</f>
        <v>0</v>
      </c>
      <c r="AC4164" s="580">
        <f>HLOOKUP("*"&amp;'Output annual'!$AC$2&amp;'Output annual'!$AD$2&amp;"*FangerPMV(Hourly)",'Eplus results'!$1:$1048576,ROW(),FALSE)</f>
        <v>0</v>
      </c>
      <c r="AD4164" s="580">
        <f t="shared" si="361"/>
        <v>5</v>
      </c>
      <c r="AE4164" s="580">
        <f t="shared" si="362"/>
        <v>2.5</v>
      </c>
      <c r="AF4164" s="580">
        <f t="shared" si="363"/>
        <v>2.5</v>
      </c>
      <c r="AG4164" s="580">
        <f t="shared" si="364"/>
        <v>0</v>
      </c>
      <c r="AH4164" s="580">
        <f t="shared" si="365"/>
        <v>0</v>
      </c>
    </row>
    <row r="4165" spans="28:34">
      <c r="AB4165" s="580">
        <f>HLOOKUP("*"&amp;'Output annual'!$AC$2&amp;'Output annual'!$AD$2&amp;"*Zone People Number Of Occupants [](Hourly)",'Eplus results'!$1:$1048576,ROW(),FALSE)</f>
        <v>0</v>
      </c>
      <c r="AC4165" s="580">
        <f>HLOOKUP("*"&amp;'Output annual'!$AC$2&amp;'Output annual'!$AD$2&amp;"*FangerPMV(Hourly)",'Eplus results'!$1:$1048576,ROW(),FALSE)</f>
        <v>0</v>
      </c>
      <c r="AD4165" s="580">
        <f t="shared" si="361"/>
        <v>5</v>
      </c>
      <c r="AE4165" s="580">
        <f t="shared" si="362"/>
        <v>2.5</v>
      </c>
      <c r="AF4165" s="580">
        <f t="shared" si="363"/>
        <v>2.5</v>
      </c>
      <c r="AG4165" s="580">
        <f t="shared" si="364"/>
        <v>0</v>
      </c>
      <c r="AH4165" s="580">
        <f t="shared" si="365"/>
        <v>0</v>
      </c>
    </row>
    <row r="4166" spans="28:34">
      <c r="AB4166" s="580">
        <f>HLOOKUP("*"&amp;'Output annual'!$AC$2&amp;'Output annual'!$AD$2&amp;"*Zone People Number Of Occupants [](Hourly)",'Eplus results'!$1:$1048576,ROW(),FALSE)</f>
        <v>0</v>
      </c>
      <c r="AC4166" s="580">
        <f>HLOOKUP("*"&amp;'Output annual'!$AC$2&amp;'Output annual'!$AD$2&amp;"*FangerPMV(Hourly)",'Eplus results'!$1:$1048576,ROW(),FALSE)</f>
        <v>0</v>
      </c>
      <c r="AD4166" s="580">
        <f t="shared" si="361"/>
        <v>5</v>
      </c>
      <c r="AE4166" s="580">
        <f t="shared" si="362"/>
        <v>2.5</v>
      </c>
      <c r="AF4166" s="580">
        <f t="shared" si="363"/>
        <v>2.5</v>
      </c>
      <c r="AG4166" s="580">
        <f t="shared" si="364"/>
        <v>0</v>
      </c>
      <c r="AH4166" s="580">
        <f t="shared" si="365"/>
        <v>0</v>
      </c>
    </row>
    <row r="4167" spans="28:34">
      <c r="AB4167" s="580">
        <f>HLOOKUP("*"&amp;'Output annual'!$AC$2&amp;'Output annual'!$AD$2&amp;"*Zone People Number Of Occupants [](Hourly)",'Eplus results'!$1:$1048576,ROW(),FALSE)</f>
        <v>0</v>
      </c>
      <c r="AC4167" s="580">
        <f>HLOOKUP("*"&amp;'Output annual'!$AC$2&amp;'Output annual'!$AD$2&amp;"*FangerPMV(Hourly)",'Eplus results'!$1:$1048576,ROW(),FALSE)</f>
        <v>0</v>
      </c>
      <c r="AD4167" s="580">
        <f t="shared" si="361"/>
        <v>5</v>
      </c>
      <c r="AE4167" s="580">
        <f t="shared" si="362"/>
        <v>2.5</v>
      </c>
      <c r="AF4167" s="580">
        <f t="shared" si="363"/>
        <v>2.5</v>
      </c>
      <c r="AG4167" s="580">
        <f t="shared" si="364"/>
        <v>0</v>
      </c>
      <c r="AH4167" s="580">
        <f t="shared" si="365"/>
        <v>0</v>
      </c>
    </row>
    <row r="4168" spans="28:34">
      <c r="AB4168" s="580">
        <f>HLOOKUP("*"&amp;'Output annual'!$AC$2&amp;'Output annual'!$AD$2&amp;"*Zone People Number Of Occupants [](Hourly)",'Eplus results'!$1:$1048576,ROW(),FALSE)</f>
        <v>0</v>
      </c>
      <c r="AC4168" s="580">
        <f>HLOOKUP("*"&amp;'Output annual'!$AC$2&amp;'Output annual'!$AD$2&amp;"*FangerPMV(Hourly)",'Eplus results'!$1:$1048576,ROW(),FALSE)</f>
        <v>0</v>
      </c>
      <c r="AD4168" s="580">
        <f t="shared" si="361"/>
        <v>5</v>
      </c>
      <c r="AE4168" s="580">
        <f t="shared" si="362"/>
        <v>2.5</v>
      </c>
      <c r="AF4168" s="580">
        <f t="shared" si="363"/>
        <v>2.5</v>
      </c>
      <c r="AG4168" s="580">
        <f t="shared" si="364"/>
        <v>0</v>
      </c>
      <c r="AH4168" s="580">
        <f t="shared" si="365"/>
        <v>0</v>
      </c>
    </row>
    <row r="4169" spans="28:34">
      <c r="AB4169" s="580">
        <f>HLOOKUP("*"&amp;'Output annual'!$AC$2&amp;'Output annual'!$AD$2&amp;"*Zone People Number Of Occupants [](Hourly)",'Eplus results'!$1:$1048576,ROW(),FALSE)</f>
        <v>0</v>
      </c>
      <c r="AC4169" s="580">
        <f>HLOOKUP("*"&amp;'Output annual'!$AC$2&amp;'Output annual'!$AD$2&amp;"*FangerPMV(Hourly)",'Eplus results'!$1:$1048576,ROW(),FALSE)</f>
        <v>0</v>
      </c>
      <c r="AD4169" s="580">
        <f t="shared" si="361"/>
        <v>5</v>
      </c>
      <c r="AE4169" s="580">
        <f t="shared" si="362"/>
        <v>2.5</v>
      </c>
      <c r="AF4169" s="580">
        <f t="shared" si="363"/>
        <v>2.5</v>
      </c>
      <c r="AG4169" s="580">
        <f t="shared" si="364"/>
        <v>0</v>
      </c>
      <c r="AH4169" s="580">
        <f t="shared" si="365"/>
        <v>0</v>
      </c>
    </row>
    <row r="4170" spans="28:34">
      <c r="AB4170" s="580">
        <f>HLOOKUP("*"&amp;'Output annual'!$AC$2&amp;'Output annual'!$AD$2&amp;"*Zone People Number Of Occupants [](Hourly)",'Eplus results'!$1:$1048576,ROW(),FALSE)</f>
        <v>0</v>
      </c>
      <c r="AC4170" s="580">
        <f>HLOOKUP("*"&amp;'Output annual'!$AC$2&amp;'Output annual'!$AD$2&amp;"*FangerPMV(Hourly)",'Eplus results'!$1:$1048576,ROW(),FALSE)</f>
        <v>0</v>
      </c>
      <c r="AD4170" s="580">
        <f t="shared" si="361"/>
        <v>5</v>
      </c>
      <c r="AE4170" s="580">
        <f t="shared" si="362"/>
        <v>2.5</v>
      </c>
      <c r="AF4170" s="580">
        <f t="shared" si="363"/>
        <v>2.5</v>
      </c>
      <c r="AG4170" s="580">
        <f t="shared" si="364"/>
        <v>0</v>
      </c>
      <c r="AH4170" s="580">
        <f t="shared" si="365"/>
        <v>0</v>
      </c>
    </row>
    <row r="4171" spans="28:34">
      <c r="AB4171" s="580">
        <f>HLOOKUP("*"&amp;'Output annual'!$AC$2&amp;'Output annual'!$AD$2&amp;"*Zone People Number Of Occupants [](Hourly)",'Eplus results'!$1:$1048576,ROW(),FALSE)</f>
        <v>0</v>
      </c>
      <c r="AC4171" s="580">
        <f>HLOOKUP("*"&amp;'Output annual'!$AC$2&amp;'Output annual'!$AD$2&amp;"*FangerPMV(Hourly)",'Eplus results'!$1:$1048576,ROW(),FALSE)</f>
        <v>0</v>
      </c>
      <c r="AD4171" s="580">
        <f t="shared" si="361"/>
        <v>5</v>
      </c>
      <c r="AE4171" s="580">
        <f t="shared" si="362"/>
        <v>2.5</v>
      </c>
      <c r="AF4171" s="580">
        <f t="shared" si="363"/>
        <v>2.5</v>
      </c>
      <c r="AG4171" s="580">
        <f t="shared" si="364"/>
        <v>0</v>
      </c>
      <c r="AH4171" s="580">
        <f t="shared" si="365"/>
        <v>0</v>
      </c>
    </row>
    <row r="4172" spans="28:34">
      <c r="AB4172" s="580">
        <f>HLOOKUP("*"&amp;'Output annual'!$AC$2&amp;'Output annual'!$AD$2&amp;"*Zone People Number Of Occupants [](Hourly)",'Eplus results'!$1:$1048576,ROW(),FALSE)</f>
        <v>0</v>
      </c>
      <c r="AC4172" s="580">
        <f>HLOOKUP("*"&amp;'Output annual'!$AC$2&amp;'Output annual'!$AD$2&amp;"*FangerPMV(Hourly)",'Eplus results'!$1:$1048576,ROW(),FALSE)</f>
        <v>0</v>
      </c>
      <c r="AD4172" s="580">
        <f t="shared" si="361"/>
        <v>5</v>
      </c>
      <c r="AE4172" s="580">
        <f t="shared" si="362"/>
        <v>2.5</v>
      </c>
      <c r="AF4172" s="580">
        <f t="shared" si="363"/>
        <v>2.5</v>
      </c>
      <c r="AG4172" s="580">
        <f t="shared" si="364"/>
        <v>0</v>
      </c>
      <c r="AH4172" s="580">
        <f t="shared" si="365"/>
        <v>0</v>
      </c>
    </row>
    <row r="4173" spans="28:34">
      <c r="AB4173" s="580">
        <f>HLOOKUP("*"&amp;'Output annual'!$AC$2&amp;'Output annual'!$AD$2&amp;"*Zone People Number Of Occupants [](Hourly)",'Eplus results'!$1:$1048576,ROW(),FALSE)</f>
        <v>0</v>
      </c>
      <c r="AC4173" s="580">
        <f>HLOOKUP("*"&amp;'Output annual'!$AC$2&amp;'Output annual'!$AD$2&amp;"*FangerPMV(Hourly)",'Eplus results'!$1:$1048576,ROW(),FALSE)</f>
        <v>0</v>
      </c>
      <c r="AD4173" s="580">
        <f t="shared" si="361"/>
        <v>5</v>
      </c>
      <c r="AE4173" s="580">
        <f t="shared" si="362"/>
        <v>2.5</v>
      </c>
      <c r="AF4173" s="580">
        <f t="shared" si="363"/>
        <v>2.5</v>
      </c>
      <c r="AG4173" s="580">
        <f t="shared" si="364"/>
        <v>0</v>
      </c>
      <c r="AH4173" s="580">
        <f t="shared" si="365"/>
        <v>0</v>
      </c>
    </row>
    <row r="4174" spans="28:34">
      <c r="AB4174" s="580">
        <f>HLOOKUP("*"&amp;'Output annual'!$AC$2&amp;'Output annual'!$AD$2&amp;"*Zone People Number Of Occupants [](Hourly)",'Eplus results'!$1:$1048576,ROW(),FALSE)</f>
        <v>0</v>
      </c>
      <c r="AC4174" s="580">
        <f>HLOOKUP("*"&amp;'Output annual'!$AC$2&amp;'Output annual'!$AD$2&amp;"*FangerPMV(Hourly)",'Eplus results'!$1:$1048576,ROW(),FALSE)</f>
        <v>0</v>
      </c>
      <c r="AD4174" s="580">
        <f t="shared" si="361"/>
        <v>5</v>
      </c>
      <c r="AE4174" s="580">
        <f t="shared" si="362"/>
        <v>2.5</v>
      </c>
      <c r="AF4174" s="580">
        <f t="shared" si="363"/>
        <v>2.5</v>
      </c>
      <c r="AG4174" s="580">
        <f t="shared" si="364"/>
        <v>0</v>
      </c>
      <c r="AH4174" s="580">
        <f t="shared" si="365"/>
        <v>0</v>
      </c>
    </row>
    <row r="4175" spans="28:34">
      <c r="AB4175" s="580">
        <f>HLOOKUP("*"&amp;'Output annual'!$AC$2&amp;'Output annual'!$AD$2&amp;"*Zone People Number Of Occupants [](Hourly)",'Eplus results'!$1:$1048576,ROW(),FALSE)</f>
        <v>0</v>
      </c>
      <c r="AC4175" s="580">
        <f>HLOOKUP("*"&amp;'Output annual'!$AC$2&amp;'Output annual'!$AD$2&amp;"*FangerPMV(Hourly)",'Eplus results'!$1:$1048576,ROW(),FALSE)</f>
        <v>0</v>
      </c>
      <c r="AD4175" s="580">
        <f t="shared" si="361"/>
        <v>5</v>
      </c>
      <c r="AE4175" s="580">
        <f t="shared" si="362"/>
        <v>2.5</v>
      </c>
      <c r="AF4175" s="580">
        <f t="shared" si="363"/>
        <v>2.5</v>
      </c>
      <c r="AG4175" s="580">
        <f t="shared" si="364"/>
        <v>0</v>
      </c>
      <c r="AH4175" s="580">
        <f t="shared" si="365"/>
        <v>0</v>
      </c>
    </row>
    <row r="4176" spans="28:34">
      <c r="AB4176" s="580">
        <f>HLOOKUP("*"&amp;'Output annual'!$AC$2&amp;'Output annual'!$AD$2&amp;"*Zone People Number Of Occupants [](Hourly)",'Eplus results'!$1:$1048576,ROW(),FALSE)</f>
        <v>0</v>
      </c>
      <c r="AC4176" s="580">
        <f>HLOOKUP("*"&amp;'Output annual'!$AC$2&amp;'Output annual'!$AD$2&amp;"*FangerPMV(Hourly)",'Eplus results'!$1:$1048576,ROW(),FALSE)</f>
        <v>0</v>
      </c>
      <c r="AD4176" s="580">
        <f t="shared" si="361"/>
        <v>5</v>
      </c>
      <c r="AE4176" s="580">
        <f t="shared" si="362"/>
        <v>2.5</v>
      </c>
      <c r="AF4176" s="580">
        <f t="shared" si="363"/>
        <v>2.5</v>
      </c>
      <c r="AG4176" s="580">
        <f t="shared" si="364"/>
        <v>0</v>
      </c>
      <c r="AH4176" s="580">
        <f t="shared" si="365"/>
        <v>0</v>
      </c>
    </row>
    <row r="4177" spans="28:34">
      <c r="AB4177" s="580">
        <f>HLOOKUP("*"&amp;'Output annual'!$AC$2&amp;'Output annual'!$AD$2&amp;"*Zone People Number Of Occupants [](Hourly)",'Eplus results'!$1:$1048576,ROW(),FALSE)</f>
        <v>0</v>
      </c>
      <c r="AC4177" s="580">
        <f>HLOOKUP("*"&amp;'Output annual'!$AC$2&amp;'Output annual'!$AD$2&amp;"*FangerPMV(Hourly)",'Eplus results'!$1:$1048576,ROW(),FALSE)</f>
        <v>0</v>
      </c>
      <c r="AD4177" s="580">
        <f t="shared" si="361"/>
        <v>5</v>
      </c>
      <c r="AE4177" s="580">
        <f t="shared" si="362"/>
        <v>2.5</v>
      </c>
      <c r="AF4177" s="580">
        <f t="shared" si="363"/>
        <v>2.5</v>
      </c>
      <c r="AG4177" s="580">
        <f t="shared" si="364"/>
        <v>0</v>
      </c>
      <c r="AH4177" s="580">
        <f t="shared" si="365"/>
        <v>0</v>
      </c>
    </row>
    <row r="4178" spans="28:34">
      <c r="AB4178" s="580">
        <f>HLOOKUP("*"&amp;'Output annual'!$AC$2&amp;'Output annual'!$AD$2&amp;"*Zone People Number Of Occupants [](Hourly)",'Eplus results'!$1:$1048576,ROW(),FALSE)</f>
        <v>0</v>
      </c>
      <c r="AC4178" s="580">
        <f>HLOOKUP("*"&amp;'Output annual'!$AC$2&amp;'Output annual'!$AD$2&amp;"*FangerPMV(Hourly)",'Eplus results'!$1:$1048576,ROW(),FALSE)</f>
        <v>0</v>
      </c>
      <c r="AD4178" s="580">
        <f t="shared" si="361"/>
        <v>5</v>
      </c>
      <c r="AE4178" s="580">
        <f t="shared" si="362"/>
        <v>2.5</v>
      </c>
      <c r="AF4178" s="580">
        <f t="shared" si="363"/>
        <v>2.5</v>
      </c>
      <c r="AG4178" s="580">
        <f t="shared" si="364"/>
        <v>0</v>
      </c>
      <c r="AH4178" s="580">
        <f t="shared" si="365"/>
        <v>0</v>
      </c>
    </row>
    <row r="4179" spans="28:34">
      <c r="AB4179" s="580">
        <f>HLOOKUP("*"&amp;'Output annual'!$AC$2&amp;'Output annual'!$AD$2&amp;"*Zone People Number Of Occupants [](Hourly)",'Eplus results'!$1:$1048576,ROW(),FALSE)</f>
        <v>0</v>
      </c>
      <c r="AC4179" s="580">
        <f>HLOOKUP("*"&amp;'Output annual'!$AC$2&amp;'Output annual'!$AD$2&amp;"*FangerPMV(Hourly)",'Eplus results'!$1:$1048576,ROW(),FALSE)</f>
        <v>0</v>
      </c>
      <c r="AD4179" s="580">
        <f t="shared" si="361"/>
        <v>5</v>
      </c>
      <c r="AE4179" s="580">
        <f t="shared" si="362"/>
        <v>2.5</v>
      </c>
      <c r="AF4179" s="580">
        <f t="shared" si="363"/>
        <v>2.5</v>
      </c>
      <c r="AG4179" s="580">
        <f t="shared" si="364"/>
        <v>0</v>
      </c>
      <c r="AH4179" s="580">
        <f t="shared" si="365"/>
        <v>0</v>
      </c>
    </row>
    <row r="4180" spans="28:34">
      <c r="AB4180" s="580">
        <f>HLOOKUP("*"&amp;'Output annual'!$AC$2&amp;'Output annual'!$AD$2&amp;"*Zone People Number Of Occupants [](Hourly)",'Eplus results'!$1:$1048576,ROW(),FALSE)</f>
        <v>0</v>
      </c>
      <c r="AC4180" s="580">
        <f>HLOOKUP("*"&amp;'Output annual'!$AC$2&amp;'Output annual'!$AD$2&amp;"*FangerPMV(Hourly)",'Eplus results'!$1:$1048576,ROW(),FALSE)</f>
        <v>0</v>
      </c>
      <c r="AD4180" s="580">
        <f t="shared" si="361"/>
        <v>5</v>
      </c>
      <c r="AE4180" s="580">
        <f t="shared" si="362"/>
        <v>2.5</v>
      </c>
      <c r="AF4180" s="580">
        <f t="shared" si="363"/>
        <v>2.5</v>
      </c>
      <c r="AG4180" s="580">
        <f t="shared" si="364"/>
        <v>0</v>
      </c>
      <c r="AH4180" s="580">
        <f t="shared" si="365"/>
        <v>0</v>
      </c>
    </row>
    <row r="4181" spans="28:34">
      <c r="AB4181" s="580">
        <f>HLOOKUP("*"&amp;'Output annual'!$AC$2&amp;'Output annual'!$AD$2&amp;"*Zone People Number Of Occupants [](Hourly)",'Eplus results'!$1:$1048576,ROW(),FALSE)</f>
        <v>0</v>
      </c>
      <c r="AC4181" s="580">
        <f>HLOOKUP("*"&amp;'Output annual'!$AC$2&amp;'Output annual'!$AD$2&amp;"*FangerPMV(Hourly)",'Eplus results'!$1:$1048576,ROW(),FALSE)</f>
        <v>0</v>
      </c>
      <c r="AD4181" s="580">
        <f t="shared" si="361"/>
        <v>5</v>
      </c>
      <c r="AE4181" s="580">
        <f t="shared" si="362"/>
        <v>2.5</v>
      </c>
      <c r="AF4181" s="580">
        <f t="shared" si="363"/>
        <v>2.5</v>
      </c>
      <c r="AG4181" s="580">
        <f t="shared" si="364"/>
        <v>0</v>
      </c>
      <c r="AH4181" s="580">
        <f t="shared" si="365"/>
        <v>0</v>
      </c>
    </row>
    <row r="4182" spans="28:34">
      <c r="AB4182" s="580">
        <f>HLOOKUP("*"&amp;'Output annual'!$AC$2&amp;'Output annual'!$AD$2&amp;"*Zone People Number Of Occupants [](Hourly)",'Eplus results'!$1:$1048576,ROW(),FALSE)</f>
        <v>0</v>
      </c>
      <c r="AC4182" s="580">
        <f>HLOOKUP("*"&amp;'Output annual'!$AC$2&amp;'Output annual'!$AD$2&amp;"*FangerPMV(Hourly)",'Eplus results'!$1:$1048576,ROW(),FALSE)</f>
        <v>0</v>
      </c>
      <c r="AD4182" s="580">
        <f t="shared" si="361"/>
        <v>5</v>
      </c>
      <c r="AE4182" s="580">
        <f t="shared" si="362"/>
        <v>2.5</v>
      </c>
      <c r="AF4182" s="580">
        <f t="shared" si="363"/>
        <v>2.5</v>
      </c>
      <c r="AG4182" s="580">
        <f t="shared" si="364"/>
        <v>0</v>
      </c>
      <c r="AH4182" s="580">
        <f t="shared" si="365"/>
        <v>0</v>
      </c>
    </row>
    <row r="4183" spans="28:34">
      <c r="AB4183" s="580">
        <f>HLOOKUP("*"&amp;'Output annual'!$AC$2&amp;'Output annual'!$AD$2&amp;"*Zone People Number Of Occupants [](Hourly)",'Eplus results'!$1:$1048576,ROW(),FALSE)</f>
        <v>0</v>
      </c>
      <c r="AC4183" s="580">
        <f>HLOOKUP("*"&amp;'Output annual'!$AC$2&amp;'Output annual'!$AD$2&amp;"*FangerPMV(Hourly)",'Eplus results'!$1:$1048576,ROW(),FALSE)</f>
        <v>0</v>
      </c>
      <c r="AD4183" s="580">
        <f t="shared" si="361"/>
        <v>5</v>
      </c>
      <c r="AE4183" s="580">
        <f t="shared" si="362"/>
        <v>2.5</v>
      </c>
      <c r="AF4183" s="580">
        <f t="shared" si="363"/>
        <v>2.5</v>
      </c>
      <c r="AG4183" s="580">
        <f t="shared" si="364"/>
        <v>0</v>
      </c>
      <c r="AH4183" s="580">
        <f t="shared" si="365"/>
        <v>0</v>
      </c>
    </row>
    <row r="4184" spans="28:34">
      <c r="AB4184" s="580">
        <f>HLOOKUP("*"&amp;'Output annual'!$AC$2&amp;'Output annual'!$AD$2&amp;"*Zone People Number Of Occupants [](Hourly)",'Eplus results'!$1:$1048576,ROW(),FALSE)</f>
        <v>0</v>
      </c>
      <c r="AC4184" s="580">
        <f>HLOOKUP("*"&amp;'Output annual'!$AC$2&amp;'Output annual'!$AD$2&amp;"*FangerPMV(Hourly)",'Eplus results'!$1:$1048576,ROW(),FALSE)</f>
        <v>0</v>
      </c>
      <c r="AD4184" s="580">
        <f t="shared" si="361"/>
        <v>5</v>
      </c>
      <c r="AE4184" s="580">
        <f t="shared" si="362"/>
        <v>2.5</v>
      </c>
      <c r="AF4184" s="580">
        <f t="shared" si="363"/>
        <v>2.5</v>
      </c>
      <c r="AG4184" s="580">
        <f t="shared" si="364"/>
        <v>0</v>
      </c>
      <c r="AH4184" s="580">
        <f t="shared" si="365"/>
        <v>0</v>
      </c>
    </row>
    <row r="4185" spans="28:34">
      <c r="AB4185" s="580">
        <f>HLOOKUP("*"&amp;'Output annual'!$AC$2&amp;'Output annual'!$AD$2&amp;"*Zone People Number Of Occupants [](Hourly)",'Eplus results'!$1:$1048576,ROW(),FALSE)</f>
        <v>0</v>
      </c>
      <c r="AC4185" s="580">
        <f>HLOOKUP("*"&amp;'Output annual'!$AC$2&amp;'Output annual'!$AD$2&amp;"*FangerPMV(Hourly)",'Eplus results'!$1:$1048576,ROW(),FALSE)</f>
        <v>0</v>
      </c>
      <c r="AD4185" s="580">
        <f t="shared" si="361"/>
        <v>5</v>
      </c>
      <c r="AE4185" s="580">
        <f t="shared" si="362"/>
        <v>2.5</v>
      </c>
      <c r="AF4185" s="580">
        <f t="shared" si="363"/>
        <v>2.5</v>
      </c>
      <c r="AG4185" s="580">
        <f t="shared" si="364"/>
        <v>0</v>
      </c>
      <c r="AH4185" s="580">
        <f t="shared" si="365"/>
        <v>0</v>
      </c>
    </row>
    <row r="4186" spans="28:34">
      <c r="AB4186" s="580">
        <f>HLOOKUP("*"&amp;'Output annual'!$AC$2&amp;'Output annual'!$AD$2&amp;"*Zone People Number Of Occupants [](Hourly)",'Eplus results'!$1:$1048576,ROW(),FALSE)</f>
        <v>0</v>
      </c>
      <c r="AC4186" s="580">
        <f>HLOOKUP("*"&amp;'Output annual'!$AC$2&amp;'Output annual'!$AD$2&amp;"*FangerPMV(Hourly)",'Eplus results'!$1:$1048576,ROW(),FALSE)</f>
        <v>0</v>
      </c>
      <c r="AD4186" s="580">
        <f t="shared" si="361"/>
        <v>5</v>
      </c>
      <c r="AE4186" s="580">
        <f t="shared" si="362"/>
        <v>2.5</v>
      </c>
      <c r="AF4186" s="580">
        <f t="shared" si="363"/>
        <v>2.5</v>
      </c>
      <c r="AG4186" s="580">
        <f t="shared" si="364"/>
        <v>0</v>
      </c>
      <c r="AH4186" s="580">
        <f t="shared" si="365"/>
        <v>0</v>
      </c>
    </row>
    <row r="4187" spans="28:34">
      <c r="AB4187" s="580">
        <f>HLOOKUP("*"&amp;'Output annual'!$AC$2&amp;'Output annual'!$AD$2&amp;"*Zone People Number Of Occupants [](Hourly)",'Eplus results'!$1:$1048576,ROW(),FALSE)</f>
        <v>0</v>
      </c>
      <c r="AC4187" s="580">
        <f>HLOOKUP("*"&amp;'Output annual'!$AC$2&amp;'Output annual'!$AD$2&amp;"*FangerPMV(Hourly)",'Eplus results'!$1:$1048576,ROW(),FALSE)</f>
        <v>0</v>
      </c>
      <c r="AD4187" s="580">
        <f t="shared" si="361"/>
        <v>5</v>
      </c>
      <c r="AE4187" s="580">
        <f t="shared" si="362"/>
        <v>2.5</v>
      </c>
      <c r="AF4187" s="580">
        <f t="shared" si="363"/>
        <v>2.5</v>
      </c>
      <c r="AG4187" s="580">
        <f t="shared" si="364"/>
        <v>0</v>
      </c>
      <c r="AH4187" s="580">
        <f t="shared" si="365"/>
        <v>0</v>
      </c>
    </row>
    <row r="4188" spans="28:34">
      <c r="AB4188" s="580">
        <f>HLOOKUP("*"&amp;'Output annual'!$AC$2&amp;'Output annual'!$AD$2&amp;"*Zone People Number Of Occupants [](Hourly)",'Eplus results'!$1:$1048576,ROW(),FALSE)</f>
        <v>0</v>
      </c>
      <c r="AC4188" s="580">
        <f>HLOOKUP("*"&amp;'Output annual'!$AC$2&amp;'Output annual'!$AD$2&amp;"*FangerPMV(Hourly)",'Eplus results'!$1:$1048576,ROW(),FALSE)</f>
        <v>0</v>
      </c>
      <c r="AD4188" s="580">
        <f t="shared" si="361"/>
        <v>5</v>
      </c>
      <c r="AE4188" s="580">
        <f t="shared" si="362"/>
        <v>2.5</v>
      </c>
      <c r="AF4188" s="580">
        <f t="shared" si="363"/>
        <v>2.5</v>
      </c>
      <c r="AG4188" s="580">
        <f t="shared" si="364"/>
        <v>0</v>
      </c>
      <c r="AH4188" s="580">
        <f t="shared" si="365"/>
        <v>0</v>
      </c>
    </row>
    <row r="4189" spans="28:34">
      <c r="AB4189" s="580">
        <f>HLOOKUP("*"&amp;'Output annual'!$AC$2&amp;'Output annual'!$AD$2&amp;"*Zone People Number Of Occupants [](Hourly)",'Eplus results'!$1:$1048576,ROW(),FALSE)</f>
        <v>0</v>
      </c>
      <c r="AC4189" s="580">
        <f>HLOOKUP("*"&amp;'Output annual'!$AC$2&amp;'Output annual'!$AD$2&amp;"*FangerPMV(Hourly)",'Eplus results'!$1:$1048576,ROW(),FALSE)</f>
        <v>0</v>
      </c>
      <c r="AD4189" s="580">
        <f t="shared" si="361"/>
        <v>5</v>
      </c>
      <c r="AE4189" s="580">
        <f t="shared" si="362"/>
        <v>2.5</v>
      </c>
      <c r="AF4189" s="580">
        <f t="shared" si="363"/>
        <v>2.5</v>
      </c>
      <c r="AG4189" s="580">
        <f t="shared" si="364"/>
        <v>0</v>
      </c>
      <c r="AH4189" s="580">
        <f t="shared" si="365"/>
        <v>0</v>
      </c>
    </row>
    <row r="4190" spans="28:34">
      <c r="AB4190" s="580">
        <f>HLOOKUP("*"&amp;'Output annual'!$AC$2&amp;'Output annual'!$AD$2&amp;"*Zone People Number Of Occupants [](Hourly)",'Eplus results'!$1:$1048576,ROW(),FALSE)</f>
        <v>0</v>
      </c>
      <c r="AC4190" s="580">
        <f>HLOOKUP("*"&amp;'Output annual'!$AC$2&amp;'Output annual'!$AD$2&amp;"*FangerPMV(Hourly)",'Eplus results'!$1:$1048576,ROW(),FALSE)</f>
        <v>0</v>
      </c>
      <c r="AD4190" s="580">
        <f t="shared" si="361"/>
        <v>5</v>
      </c>
      <c r="AE4190" s="580">
        <f t="shared" si="362"/>
        <v>2.5</v>
      </c>
      <c r="AF4190" s="580">
        <f t="shared" si="363"/>
        <v>2.5</v>
      </c>
      <c r="AG4190" s="580">
        <f t="shared" si="364"/>
        <v>0</v>
      </c>
      <c r="AH4190" s="580">
        <f t="shared" si="365"/>
        <v>0</v>
      </c>
    </row>
    <row r="4191" spans="28:34">
      <c r="AB4191" s="580">
        <f>HLOOKUP("*"&amp;'Output annual'!$AC$2&amp;'Output annual'!$AD$2&amp;"*Zone People Number Of Occupants [](Hourly)",'Eplus results'!$1:$1048576,ROW(),FALSE)</f>
        <v>0</v>
      </c>
      <c r="AC4191" s="580">
        <f>HLOOKUP("*"&amp;'Output annual'!$AC$2&amp;'Output annual'!$AD$2&amp;"*FangerPMV(Hourly)",'Eplus results'!$1:$1048576,ROW(),FALSE)</f>
        <v>0</v>
      </c>
      <c r="AD4191" s="580">
        <f t="shared" si="361"/>
        <v>5</v>
      </c>
      <c r="AE4191" s="580">
        <f t="shared" si="362"/>
        <v>2.5</v>
      </c>
      <c r="AF4191" s="580">
        <f t="shared" si="363"/>
        <v>2.5</v>
      </c>
      <c r="AG4191" s="580">
        <f t="shared" si="364"/>
        <v>0</v>
      </c>
      <c r="AH4191" s="580">
        <f t="shared" si="365"/>
        <v>0</v>
      </c>
    </row>
    <row r="4192" spans="28:34">
      <c r="AB4192" s="580">
        <f>HLOOKUP("*"&amp;'Output annual'!$AC$2&amp;'Output annual'!$AD$2&amp;"*Zone People Number Of Occupants [](Hourly)",'Eplus results'!$1:$1048576,ROW(),FALSE)</f>
        <v>0</v>
      </c>
      <c r="AC4192" s="580">
        <f>HLOOKUP("*"&amp;'Output annual'!$AC$2&amp;'Output annual'!$AD$2&amp;"*FangerPMV(Hourly)",'Eplus results'!$1:$1048576,ROW(),FALSE)</f>
        <v>0</v>
      </c>
      <c r="AD4192" s="580">
        <f t="shared" si="361"/>
        <v>5</v>
      </c>
      <c r="AE4192" s="580">
        <f t="shared" si="362"/>
        <v>2.5</v>
      </c>
      <c r="AF4192" s="580">
        <f t="shared" si="363"/>
        <v>2.5</v>
      </c>
      <c r="AG4192" s="580">
        <f t="shared" si="364"/>
        <v>0</v>
      </c>
      <c r="AH4192" s="580">
        <f t="shared" si="365"/>
        <v>0</v>
      </c>
    </row>
    <row r="4193" spans="28:34">
      <c r="AB4193" s="580">
        <f>HLOOKUP("*"&amp;'Output annual'!$AC$2&amp;'Output annual'!$AD$2&amp;"*Zone People Number Of Occupants [](Hourly)",'Eplus results'!$1:$1048576,ROW(),FALSE)</f>
        <v>0</v>
      </c>
      <c r="AC4193" s="580">
        <f>HLOOKUP("*"&amp;'Output annual'!$AC$2&amp;'Output annual'!$AD$2&amp;"*FangerPMV(Hourly)",'Eplus results'!$1:$1048576,ROW(),FALSE)</f>
        <v>0</v>
      </c>
      <c r="AD4193" s="580">
        <f t="shared" si="361"/>
        <v>5</v>
      </c>
      <c r="AE4193" s="580">
        <f t="shared" si="362"/>
        <v>2.5</v>
      </c>
      <c r="AF4193" s="580">
        <f t="shared" si="363"/>
        <v>2.5</v>
      </c>
      <c r="AG4193" s="580">
        <f t="shared" si="364"/>
        <v>0</v>
      </c>
      <c r="AH4193" s="580">
        <f t="shared" si="365"/>
        <v>0</v>
      </c>
    </row>
    <row r="4194" spans="28:34">
      <c r="AB4194" s="580">
        <f>HLOOKUP("*"&amp;'Output annual'!$AC$2&amp;'Output annual'!$AD$2&amp;"*Zone People Number Of Occupants [](Hourly)",'Eplus results'!$1:$1048576,ROW(),FALSE)</f>
        <v>0</v>
      </c>
      <c r="AC4194" s="580">
        <f>HLOOKUP("*"&amp;'Output annual'!$AC$2&amp;'Output annual'!$AD$2&amp;"*FangerPMV(Hourly)",'Eplus results'!$1:$1048576,ROW(),FALSE)</f>
        <v>0</v>
      </c>
      <c r="AD4194" s="580">
        <f t="shared" si="361"/>
        <v>5</v>
      </c>
      <c r="AE4194" s="580">
        <f t="shared" si="362"/>
        <v>2.5</v>
      </c>
      <c r="AF4194" s="580">
        <f t="shared" si="363"/>
        <v>2.5</v>
      </c>
      <c r="AG4194" s="580">
        <f t="shared" si="364"/>
        <v>0</v>
      </c>
      <c r="AH4194" s="580">
        <f t="shared" si="365"/>
        <v>0</v>
      </c>
    </row>
    <row r="4195" spans="28:34">
      <c r="AB4195" s="580">
        <f>HLOOKUP("*"&amp;'Output annual'!$AC$2&amp;'Output annual'!$AD$2&amp;"*Zone People Number Of Occupants [](Hourly)",'Eplus results'!$1:$1048576,ROW(),FALSE)</f>
        <v>0</v>
      </c>
      <c r="AC4195" s="580">
        <f>HLOOKUP("*"&amp;'Output annual'!$AC$2&amp;'Output annual'!$AD$2&amp;"*FangerPMV(Hourly)",'Eplus results'!$1:$1048576,ROW(),FALSE)</f>
        <v>0</v>
      </c>
      <c r="AD4195" s="580">
        <f t="shared" si="361"/>
        <v>5</v>
      </c>
      <c r="AE4195" s="580">
        <f t="shared" si="362"/>
        <v>2.5</v>
      </c>
      <c r="AF4195" s="580">
        <f t="shared" si="363"/>
        <v>2.5</v>
      </c>
      <c r="AG4195" s="580">
        <f t="shared" si="364"/>
        <v>0</v>
      </c>
      <c r="AH4195" s="580">
        <f t="shared" si="365"/>
        <v>0</v>
      </c>
    </row>
    <row r="4196" spans="28:34">
      <c r="AB4196" s="580">
        <f>HLOOKUP("*"&amp;'Output annual'!$AC$2&amp;'Output annual'!$AD$2&amp;"*Zone People Number Of Occupants [](Hourly)",'Eplus results'!$1:$1048576,ROW(),FALSE)</f>
        <v>0</v>
      </c>
      <c r="AC4196" s="580">
        <f>HLOOKUP("*"&amp;'Output annual'!$AC$2&amp;'Output annual'!$AD$2&amp;"*FangerPMV(Hourly)",'Eplus results'!$1:$1048576,ROW(),FALSE)</f>
        <v>0</v>
      </c>
      <c r="AD4196" s="580">
        <f t="shared" si="361"/>
        <v>5</v>
      </c>
      <c r="AE4196" s="580">
        <f t="shared" si="362"/>
        <v>2.5</v>
      </c>
      <c r="AF4196" s="580">
        <f t="shared" si="363"/>
        <v>2.5</v>
      </c>
      <c r="AG4196" s="580">
        <f t="shared" si="364"/>
        <v>0</v>
      </c>
      <c r="AH4196" s="580">
        <f t="shared" si="365"/>
        <v>0</v>
      </c>
    </row>
    <row r="4197" spans="28:34">
      <c r="AB4197" s="580">
        <f>HLOOKUP("*"&amp;'Output annual'!$AC$2&amp;'Output annual'!$AD$2&amp;"*Zone People Number Of Occupants [](Hourly)",'Eplus results'!$1:$1048576,ROW(),FALSE)</f>
        <v>0</v>
      </c>
      <c r="AC4197" s="580">
        <f>HLOOKUP("*"&amp;'Output annual'!$AC$2&amp;'Output annual'!$AD$2&amp;"*FangerPMV(Hourly)",'Eplus results'!$1:$1048576,ROW(),FALSE)</f>
        <v>0</v>
      </c>
      <c r="AD4197" s="580">
        <f t="shared" si="361"/>
        <v>5</v>
      </c>
      <c r="AE4197" s="580">
        <f t="shared" si="362"/>
        <v>2.5</v>
      </c>
      <c r="AF4197" s="580">
        <f t="shared" si="363"/>
        <v>2.5</v>
      </c>
      <c r="AG4197" s="580">
        <f t="shared" si="364"/>
        <v>0</v>
      </c>
      <c r="AH4197" s="580">
        <f t="shared" si="365"/>
        <v>0</v>
      </c>
    </row>
    <row r="4198" spans="28:34">
      <c r="AB4198" s="580">
        <f>HLOOKUP("*"&amp;'Output annual'!$AC$2&amp;'Output annual'!$AD$2&amp;"*Zone People Number Of Occupants [](Hourly)",'Eplus results'!$1:$1048576,ROW(),FALSE)</f>
        <v>0</v>
      </c>
      <c r="AC4198" s="580">
        <f>HLOOKUP("*"&amp;'Output annual'!$AC$2&amp;'Output annual'!$AD$2&amp;"*FangerPMV(Hourly)",'Eplus results'!$1:$1048576,ROW(),FALSE)</f>
        <v>0</v>
      </c>
      <c r="AD4198" s="580">
        <f t="shared" si="361"/>
        <v>5</v>
      </c>
      <c r="AE4198" s="580">
        <f t="shared" si="362"/>
        <v>2.5</v>
      </c>
      <c r="AF4198" s="580">
        <f t="shared" si="363"/>
        <v>2.5</v>
      </c>
      <c r="AG4198" s="580">
        <f t="shared" si="364"/>
        <v>0</v>
      </c>
      <c r="AH4198" s="580">
        <f t="shared" si="365"/>
        <v>0</v>
      </c>
    </row>
    <row r="4199" spans="28:34">
      <c r="AB4199" s="580">
        <f>HLOOKUP("*"&amp;'Output annual'!$AC$2&amp;'Output annual'!$AD$2&amp;"*Zone People Number Of Occupants [](Hourly)",'Eplus results'!$1:$1048576,ROW(),FALSE)</f>
        <v>0</v>
      </c>
      <c r="AC4199" s="580">
        <f>HLOOKUP("*"&amp;'Output annual'!$AC$2&amp;'Output annual'!$AD$2&amp;"*FangerPMV(Hourly)",'Eplus results'!$1:$1048576,ROW(),FALSE)</f>
        <v>0</v>
      </c>
      <c r="AD4199" s="580">
        <f t="shared" si="361"/>
        <v>5</v>
      </c>
      <c r="AE4199" s="580">
        <f t="shared" si="362"/>
        <v>2.5</v>
      </c>
      <c r="AF4199" s="580">
        <f t="shared" si="363"/>
        <v>2.5</v>
      </c>
      <c r="AG4199" s="580">
        <f t="shared" si="364"/>
        <v>0</v>
      </c>
      <c r="AH4199" s="580">
        <f t="shared" si="365"/>
        <v>0</v>
      </c>
    </row>
    <row r="4200" spans="28:34">
      <c r="AB4200" s="580">
        <f>HLOOKUP("*"&amp;'Output annual'!$AC$2&amp;'Output annual'!$AD$2&amp;"*Zone People Number Of Occupants [](Hourly)",'Eplus results'!$1:$1048576,ROW(),FALSE)</f>
        <v>0</v>
      </c>
      <c r="AC4200" s="580">
        <f>HLOOKUP("*"&amp;'Output annual'!$AC$2&amp;'Output annual'!$AD$2&amp;"*FangerPMV(Hourly)",'Eplus results'!$1:$1048576,ROW(),FALSE)</f>
        <v>0</v>
      </c>
      <c r="AD4200" s="580">
        <f t="shared" si="361"/>
        <v>5</v>
      </c>
      <c r="AE4200" s="580">
        <f t="shared" si="362"/>
        <v>2.5</v>
      </c>
      <c r="AF4200" s="580">
        <f t="shared" si="363"/>
        <v>2.5</v>
      </c>
      <c r="AG4200" s="580">
        <f t="shared" si="364"/>
        <v>0</v>
      </c>
      <c r="AH4200" s="580">
        <f t="shared" si="365"/>
        <v>0</v>
      </c>
    </row>
    <row r="4201" spans="28:34">
      <c r="AB4201" s="580">
        <f>HLOOKUP("*"&amp;'Output annual'!$AC$2&amp;'Output annual'!$AD$2&amp;"*Zone People Number Of Occupants [](Hourly)",'Eplus results'!$1:$1048576,ROW(),FALSE)</f>
        <v>0</v>
      </c>
      <c r="AC4201" s="580">
        <f>HLOOKUP("*"&amp;'Output annual'!$AC$2&amp;'Output annual'!$AD$2&amp;"*FangerPMV(Hourly)",'Eplus results'!$1:$1048576,ROW(),FALSE)</f>
        <v>0</v>
      </c>
      <c r="AD4201" s="580">
        <f t="shared" si="361"/>
        <v>5</v>
      </c>
      <c r="AE4201" s="580">
        <f t="shared" si="362"/>
        <v>2.5</v>
      </c>
      <c r="AF4201" s="580">
        <f t="shared" si="363"/>
        <v>2.5</v>
      </c>
      <c r="AG4201" s="580">
        <f t="shared" si="364"/>
        <v>0</v>
      </c>
      <c r="AH4201" s="580">
        <f t="shared" si="365"/>
        <v>0</v>
      </c>
    </row>
    <row r="4202" spans="28:34">
      <c r="AB4202" s="580">
        <f>HLOOKUP("*"&amp;'Output annual'!$AC$2&amp;'Output annual'!$AD$2&amp;"*Zone People Number Of Occupants [](Hourly)",'Eplus results'!$1:$1048576,ROW(),FALSE)</f>
        <v>0</v>
      </c>
      <c r="AC4202" s="580">
        <f>HLOOKUP("*"&amp;'Output annual'!$AC$2&amp;'Output annual'!$AD$2&amp;"*FangerPMV(Hourly)",'Eplus results'!$1:$1048576,ROW(),FALSE)</f>
        <v>0</v>
      </c>
      <c r="AD4202" s="580">
        <f t="shared" si="361"/>
        <v>5</v>
      </c>
      <c r="AE4202" s="580">
        <f t="shared" si="362"/>
        <v>2.5</v>
      </c>
      <c r="AF4202" s="580">
        <f t="shared" si="363"/>
        <v>2.5</v>
      </c>
      <c r="AG4202" s="580">
        <f t="shared" si="364"/>
        <v>0</v>
      </c>
      <c r="AH4202" s="580">
        <f t="shared" si="365"/>
        <v>0</v>
      </c>
    </row>
    <row r="4203" spans="28:34">
      <c r="AB4203" s="580">
        <f>HLOOKUP("*"&amp;'Output annual'!$AC$2&amp;'Output annual'!$AD$2&amp;"*Zone People Number Of Occupants [](Hourly)",'Eplus results'!$1:$1048576,ROW(),FALSE)</f>
        <v>0</v>
      </c>
      <c r="AC4203" s="580">
        <f>HLOOKUP("*"&amp;'Output annual'!$AC$2&amp;'Output annual'!$AD$2&amp;"*FangerPMV(Hourly)",'Eplus results'!$1:$1048576,ROW(),FALSE)</f>
        <v>0</v>
      </c>
      <c r="AD4203" s="580">
        <f t="shared" si="361"/>
        <v>5</v>
      </c>
      <c r="AE4203" s="580">
        <f t="shared" si="362"/>
        <v>2.5</v>
      </c>
      <c r="AF4203" s="580">
        <f t="shared" si="363"/>
        <v>2.5</v>
      </c>
      <c r="AG4203" s="580">
        <f t="shared" si="364"/>
        <v>0</v>
      </c>
      <c r="AH4203" s="580">
        <f t="shared" si="365"/>
        <v>0</v>
      </c>
    </row>
    <row r="4204" spans="28:34">
      <c r="AB4204" s="580">
        <f>HLOOKUP("*"&amp;'Output annual'!$AC$2&amp;'Output annual'!$AD$2&amp;"*Zone People Number Of Occupants [](Hourly)",'Eplus results'!$1:$1048576,ROW(),FALSE)</f>
        <v>0</v>
      </c>
      <c r="AC4204" s="580">
        <f>HLOOKUP("*"&amp;'Output annual'!$AC$2&amp;'Output annual'!$AD$2&amp;"*FangerPMV(Hourly)",'Eplus results'!$1:$1048576,ROW(),FALSE)</f>
        <v>0</v>
      </c>
      <c r="AD4204" s="580">
        <f t="shared" si="361"/>
        <v>5</v>
      </c>
      <c r="AE4204" s="580">
        <f t="shared" si="362"/>
        <v>2.5</v>
      </c>
      <c r="AF4204" s="580">
        <f t="shared" si="363"/>
        <v>2.5</v>
      </c>
      <c r="AG4204" s="580">
        <f t="shared" si="364"/>
        <v>0</v>
      </c>
      <c r="AH4204" s="580">
        <f t="shared" si="365"/>
        <v>0</v>
      </c>
    </row>
    <row r="4205" spans="28:34">
      <c r="AB4205" s="580">
        <f>HLOOKUP("*"&amp;'Output annual'!$AC$2&amp;'Output annual'!$AD$2&amp;"*Zone People Number Of Occupants [](Hourly)",'Eplus results'!$1:$1048576,ROW(),FALSE)</f>
        <v>0</v>
      </c>
      <c r="AC4205" s="580">
        <f>HLOOKUP("*"&amp;'Output annual'!$AC$2&amp;'Output annual'!$AD$2&amp;"*FangerPMV(Hourly)",'Eplus results'!$1:$1048576,ROW(),FALSE)</f>
        <v>0</v>
      </c>
      <c r="AD4205" s="580">
        <f t="shared" si="361"/>
        <v>5</v>
      </c>
      <c r="AE4205" s="580">
        <f t="shared" si="362"/>
        <v>2.5</v>
      </c>
      <c r="AF4205" s="580">
        <f t="shared" si="363"/>
        <v>2.5</v>
      </c>
      <c r="AG4205" s="580">
        <f t="shared" si="364"/>
        <v>0</v>
      </c>
      <c r="AH4205" s="580">
        <f t="shared" si="365"/>
        <v>0</v>
      </c>
    </row>
    <row r="4206" spans="28:34">
      <c r="AB4206" s="580">
        <f>HLOOKUP("*"&amp;'Output annual'!$AC$2&amp;'Output annual'!$AD$2&amp;"*Zone People Number Of Occupants [](Hourly)",'Eplus results'!$1:$1048576,ROW(),FALSE)</f>
        <v>0</v>
      </c>
      <c r="AC4206" s="580">
        <f>HLOOKUP("*"&amp;'Output annual'!$AC$2&amp;'Output annual'!$AD$2&amp;"*FangerPMV(Hourly)",'Eplus results'!$1:$1048576,ROW(),FALSE)</f>
        <v>0</v>
      </c>
      <c r="AD4206" s="580">
        <f t="shared" si="361"/>
        <v>5</v>
      </c>
      <c r="AE4206" s="580">
        <f t="shared" si="362"/>
        <v>2.5</v>
      </c>
      <c r="AF4206" s="580">
        <f t="shared" si="363"/>
        <v>2.5</v>
      </c>
      <c r="AG4206" s="580">
        <f t="shared" si="364"/>
        <v>0</v>
      </c>
      <c r="AH4206" s="580">
        <f t="shared" si="365"/>
        <v>0</v>
      </c>
    </row>
    <row r="4207" spans="28:34">
      <c r="AB4207" s="580">
        <f>HLOOKUP("*"&amp;'Output annual'!$AC$2&amp;'Output annual'!$AD$2&amp;"*Zone People Number Of Occupants [](Hourly)",'Eplus results'!$1:$1048576,ROW(),FALSE)</f>
        <v>0</v>
      </c>
      <c r="AC4207" s="580">
        <f>HLOOKUP("*"&amp;'Output annual'!$AC$2&amp;'Output annual'!$AD$2&amp;"*FangerPMV(Hourly)",'Eplus results'!$1:$1048576,ROW(),FALSE)</f>
        <v>0</v>
      </c>
      <c r="AD4207" s="580">
        <f t="shared" si="361"/>
        <v>5</v>
      </c>
      <c r="AE4207" s="580">
        <f t="shared" si="362"/>
        <v>2.5</v>
      </c>
      <c r="AF4207" s="580">
        <f t="shared" si="363"/>
        <v>2.5</v>
      </c>
      <c r="AG4207" s="580">
        <f t="shared" si="364"/>
        <v>0</v>
      </c>
      <c r="AH4207" s="580">
        <f t="shared" si="365"/>
        <v>0</v>
      </c>
    </row>
    <row r="4208" spans="28:34">
      <c r="AB4208" s="580">
        <f>HLOOKUP("*"&amp;'Output annual'!$AC$2&amp;'Output annual'!$AD$2&amp;"*Zone People Number Of Occupants [](Hourly)",'Eplus results'!$1:$1048576,ROW(),FALSE)</f>
        <v>0</v>
      </c>
      <c r="AC4208" s="580">
        <f>HLOOKUP("*"&amp;'Output annual'!$AC$2&amp;'Output annual'!$AD$2&amp;"*FangerPMV(Hourly)",'Eplus results'!$1:$1048576,ROW(),FALSE)</f>
        <v>0</v>
      </c>
      <c r="AD4208" s="580">
        <f t="shared" si="361"/>
        <v>5</v>
      </c>
      <c r="AE4208" s="580">
        <f t="shared" si="362"/>
        <v>2.5</v>
      </c>
      <c r="AF4208" s="580">
        <f t="shared" si="363"/>
        <v>2.5</v>
      </c>
      <c r="AG4208" s="580">
        <f t="shared" si="364"/>
        <v>0</v>
      </c>
      <c r="AH4208" s="580">
        <f t="shared" si="365"/>
        <v>0</v>
      </c>
    </row>
    <row r="4209" spans="28:34">
      <c r="AB4209" s="580">
        <f>HLOOKUP("*"&amp;'Output annual'!$AC$2&amp;'Output annual'!$AD$2&amp;"*Zone People Number Of Occupants [](Hourly)",'Eplus results'!$1:$1048576,ROW(),FALSE)</f>
        <v>0</v>
      </c>
      <c r="AC4209" s="580">
        <f>HLOOKUP("*"&amp;'Output annual'!$AC$2&amp;'Output annual'!$AD$2&amp;"*FangerPMV(Hourly)",'Eplus results'!$1:$1048576,ROW(),FALSE)</f>
        <v>0</v>
      </c>
      <c r="AD4209" s="580">
        <f t="shared" si="361"/>
        <v>5</v>
      </c>
      <c r="AE4209" s="580">
        <f t="shared" si="362"/>
        <v>2.5</v>
      </c>
      <c r="AF4209" s="580">
        <f t="shared" si="363"/>
        <v>2.5</v>
      </c>
      <c r="AG4209" s="580">
        <f t="shared" si="364"/>
        <v>0</v>
      </c>
      <c r="AH4209" s="580">
        <f t="shared" si="365"/>
        <v>0</v>
      </c>
    </row>
    <row r="4210" spans="28:34">
      <c r="AB4210" s="580">
        <f>HLOOKUP("*"&amp;'Output annual'!$AC$2&amp;'Output annual'!$AD$2&amp;"*Zone People Number Of Occupants [](Hourly)",'Eplus results'!$1:$1048576,ROW(),FALSE)</f>
        <v>0</v>
      </c>
      <c r="AC4210" s="580">
        <f>HLOOKUP("*"&amp;'Output annual'!$AC$2&amp;'Output annual'!$AD$2&amp;"*FangerPMV(Hourly)",'Eplus results'!$1:$1048576,ROW(),FALSE)</f>
        <v>0</v>
      </c>
      <c r="AD4210" s="580">
        <f t="shared" si="361"/>
        <v>5</v>
      </c>
      <c r="AE4210" s="580">
        <f t="shared" si="362"/>
        <v>2.5</v>
      </c>
      <c r="AF4210" s="580">
        <f t="shared" si="363"/>
        <v>2.5</v>
      </c>
      <c r="AG4210" s="580">
        <f t="shared" si="364"/>
        <v>0</v>
      </c>
      <c r="AH4210" s="580">
        <f t="shared" si="365"/>
        <v>0</v>
      </c>
    </row>
    <row r="4211" spans="28:34">
      <c r="AB4211" s="580">
        <f>HLOOKUP("*"&amp;'Output annual'!$AC$2&amp;'Output annual'!$AD$2&amp;"*Zone People Number Of Occupants [](Hourly)",'Eplus results'!$1:$1048576,ROW(),FALSE)</f>
        <v>0</v>
      </c>
      <c r="AC4211" s="580">
        <f>HLOOKUP("*"&amp;'Output annual'!$AC$2&amp;'Output annual'!$AD$2&amp;"*FangerPMV(Hourly)",'Eplus results'!$1:$1048576,ROW(),FALSE)</f>
        <v>0</v>
      </c>
      <c r="AD4211" s="580">
        <f t="shared" si="361"/>
        <v>5</v>
      </c>
      <c r="AE4211" s="580">
        <f t="shared" si="362"/>
        <v>2.5</v>
      </c>
      <c r="AF4211" s="580">
        <f t="shared" si="363"/>
        <v>2.5</v>
      </c>
      <c r="AG4211" s="580">
        <f t="shared" si="364"/>
        <v>0</v>
      </c>
      <c r="AH4211" s="580">
        <f t="shared" si="365"/>
        <v>0</v>
      </c>
    </row>
    <row r="4212" spans="28:34">
      <c r="AB4212" s="580">
        <f>HLOOKUP("*"&amp;'Output annual'!$AC$2&amp;'Output annual'!$AD$2&amp;"*Zone People Number Of Occupants [](Hourly)",'Eplus results'!$1:$1048576,ROW(),FALSE)</f>
        <v>0</v>
      </c>
      <c r="AC4212" s="580">
        <f>HLOOKUP("*"&amp;'Output annual'!$AC$2&amp;'Output annual'!$AD$2&amp;"*FangerPMV(Hourly)",'Eplus results'!$1:$1048576,ROW(),FALSE)</f>
        <v>0</v>
      </c>
      <c r="AD4212" s="580">
        <f t="shared" si="361"/>
        <v>5</v>
      </c>
      <c r="AE4212" s="580">
        <f t="shared" si="362"/>
        <v>2.5</v>
      </c>
      <c r="AF4212" s="580">
        <f t="shared" si="363"/>
        <v>2.5</v>
      </c>
      <c r="AG4212" s="580">
        <f t="shared" si="364"/>
        <v>0</v>
      </c>
      <c r="AH4212" s="580">
        <f t="shared" si="365"/>
        <v>0</v>
      </c>
    </row>
    <row r="4213" spans="28:34">
      <c r="AB4213" s="580">
        <f>HLOOKUP("*"&amp;'Output annual'!$AC$2&amp;'Output annual'!$AD$2&amp;"*Zone People Number Of Occupants [](Hourly)",'Eplus results'!$1:$1048576,ROW(),FALSE)</f>
        <v>0</v>
      </c>
      <c r="AC4213" s="580">
        <f>HLOOKUP("*"&amp;'Output annual'!$AC$2&amp;'Output annual'!$AD$2&amp;"*FangerPMV(Hourly)",'Eplus results'!$1:$1048576,ROW(),FALSE)</f>
        <v>0</v>
      </c>
      <c r="AD4213" s="580">
        <f t="shared" si="361"/>
        <v>5</v>
      </c>
      <c r="AE4213" s="580">
        <f t="shared" si="362"/>
        <v>2.5</v>
      </c>
      <c r="AF4213" s="580">
        <f t="shared" si="363"/>
        <v>2.5</v>
      </c>
      <c r="AG4213" s="580">
        <f t="shared" si="364"/>
        <v>0</v>
      </c>
      <c r="AH4213" s="580">
        <f t="shared" si="365"/>
        <v>0</v>
      </c>
    </row>
    <row r="4214" spans="28:34">
      <c r="AB4214" s="580">
        <f>HLOOKUP("*"&amp;'Output annual'!$AC$2&amp;'Output annual'!$AD$2&amp;"*Zone People Number Of Occupants [](Hourly)",'Eplus results'!$1:$1048576,ROW(),FALSE)</f>
        <v>0</v>
      </c>
      <c r="AC4214" s="580">
        <f>HLOOKUP("*"&amp;'Output annual'!$AC$2&amp;'Output annual'!$AD$2&amp;"*FangerPMV(Hourly)",'Eplus results'!$1:$1048576,ROW(),FALSE)</f>
        <v>0</v>
      </c>
      <c r="AD4214" s="580">
        <f t="shared" si="361"/>
        <v>5</v>
      </c>
      <c r="AE4214" s="580">
        <f t="shared" si="362"/>
        <v>2.5</v>
      </c>
      <c r="AF4214" s="580">
        <f t="shared" si="363"/>
        <v>2.5</v>
      </c>
      <c r="AG4214" s="580">
        <f t="shared" si="364"/>
        <v>0</v>
      </c>
      <c r="AH4214" s="580">
        <f t="shared" si="365"/>
        <v>0</v>
      </c>
    </row>
    <row r="4215" spans="28:34">
      <c r="AB4215" s="580">
        <f>HLOOKUP("*"&amp;'Output annual'!$AC$2&amp;'Output annual'!$AD$2&amp;"*Zone People Number Of Occupants [](Hourly)",'Eplus results'!$1:$1048576,ROW(),FALSE)</f>
        <v>0</v>
      </c>
      <c r="AC4215" s="580">
        <f>HLOOKUP("*"&amp;'Output annual'!$AC$2&amp;'Output annual'!$AD$2&amp;"*FangerPMV(Hourly)",'Eplus results'!$1:$1048576,ROW(),FALSE)</f>
        <v>0</v>
      </c>
      <c r="AD4215" s="580">
        <f t="shared" si="361"/>
        <v>5</v>
      </c>
      <c r="AE4215" s="580">
        <f t="shared" si="362"/>
        <v>2.5</v>
      </c>
      <c r="AF4215" s="580">
        <f t="shared" si="363"/>
        <v>2.5</v>
      </c>
      <c r="AG4215" s="580">
        <f t="shared" si="364"/>
        <v>0</v>
      </c>
      <c r="AH4215" s="580">
        <f t="shared" si="365"/>
        <v>0</v>
      </c>
    </row>
    <row r="4216" spans="28:34">
      <c r="AB4216" s="580">
        <f>HLOOKUP("*"&amp;'Output annual'!$AC$2&amp;'Output annual'!$AD$2&amp;"*Zone People Number Of Occupants [](Hourly)",'Eplus results'!$1:$1048576,ROW(),FALSE)</f>
        <v>0</v>
      </c>
      <c r="AC4216" s="580">
        <f>HLOOKUP("*"&amp;'Output annual'!$AC$2&amp;'Output annual'!$AD$2&amp;"*FangerPMV(Hourly)",'Eplus results'!$1:$1048576,ROW(),FALSE)</f>
        <v>0</v>
      </c>
      <c r="AD4216" s="580">
        <f t="shared" si="361"/>
        <v>5</v>
      </c>
      <c r="AE4216" s="580">
        <f t="shared" si="362"/>
        <v>2.5</v>
      </c>
      <c r="AF4216" s="580">
        <f t="shared" si="363"/>
        <v>2.5</v>
      </c>
      <c r="AG4216" s="580">
        <f t="shared" si="364"/>
        <v>0</v>
      </c>
      <c r="AH4216" s="580">
        <f t="shared" si="365"/>
        <v>0</v>
      </c>
    </row>
    <row r="4217" spans="28:34">
      <c r="AB4217" s="580">
        <f>HLOOKUP("*"&amp;'Output annual'!$AC$2&amp;'Output annual'!$AD$2&amp;"*Zone People Number Of Occupants [](Hourly)",'Eplus results'!$1:$1048576,ROW(),FALSE)</f>
        <v>0</v>
      </c>
      <c r="AC4217" s="580">
        <f>HLOOKUP("*"&amp;'Output annual'!$AC$2&amp;'Output annual'!$AD$2&amp;"*FangerPMV(Hourly)",'Eplus results'!$1:$1048576,ROW(),FALSE)</f>
        <v>0</v>
      </c>
      <c r="AD4217" s="580">
        <f t="shared" si="361"/>
        <v>5</v>
      </c>
      <c r="AE4217" s="580">
        <f t="shared" si="362"/>
        <v>2.5</v>
      </c>
      <c r="AF4217" s="580">
        <f t="shared" si="363"/>
        <v>2.5</v>
      </c>
      <c r="AG4217" s="580">
        <f t="shared" si="364"/>
        <v>0</v>
      </c>
      <c r="AH4217" s="580">
        <f t="shared" si="365"/>
        <v>0</v>
      </c>
    </row>
    <row r="4218" spans="28:34">
      <c r="AB4218" s="580">
        <f>HLOOKUP("*"&amp;'Output annual'!$AC$2&amp;'Output annual'!$AD$2&amp;"*Zone People Number Of Occupants [](Hourly)",'Eplus results'!$1:$1048576,ROW(),FALSE)</f>
        <v>0</v>
      </c>
      <c r="AC4218" s="580">
        <f>HLOOKUP("*"&amp;'Output annual'!$AC$2&amp;'Output annual'!$AD$2&amp;"*FangerPMV(Hourly)",'Eplus results'!$1:$1048576,ROW(),FALSE)</f>
        <v>0</v>
      </c>
      <c r="AD4218" s="580">
        <f t="shared" si="361"/>
        <v>5</v>
      </c>
      <c r="AE4218" s="580">
        <f t="shared" si="362"/>
        <v>2.5</v>
      </c>
      <c r="AF4218" s="580">
        <f t="shared" si="363"/>
        <v>2.5</v>
      </c>
      <c r="AG4218" s="580">
        <f t="shared" si="364"/>
        <v>0</v>
      </c>
      <c r="AH4218" s="580">
        <f t="shared" si="365"/>
        <v>0</v>
      </c>
    </row>
    <row r="4219" spans="28:34">
      <c r="AB4219" s="580">
        <f>HLOOKUP("*"&amp;'Output annual'!$AC$2&amp;'Output annual'!$AD$2&amp;"*Zone People Number Of Occupants [](Hourly)",'Eplus results'!$1:$1048576,ROW(),FALSE)</f>
        <v>0</v>
      </c>
      <c r="AC4219" s="580">
        <f>HLOOKUP("*"&amp;'Output annual'!$AC$2&amp;'Output annual'!$AD$2&amp;"*FangerPMV(Hourly)",'Eplus results'!$1:$1048576,ROW(),FALSE)</f>
        <v>0</v>
      </c>
      <c r="AD4219" s="580">
        <f t="shared" si="361"/>
        <v>5</v>
      </c>
      <c r="AE4219" s="580">
        <f t="shared" si="362"/>
        <v>2.5</v>
      </c>
      <c r="AF4219" s="580">
        <f t="shared" si="363"/>
        <v>2.5</v>
      </c>
      <c r="AG4219" s="580">
        <f t="shared" si="364"/>
        <v>0</v>
      </c>
      <c r="AH4219" s="580">
        <f t="shared" si="365"/>
        <v>0</v>
      </c>
    </row>
    <row r="4220" spans="28:34">
      <c r="AB4220" s="580">
        <f>HLOOKUP("*"&amp;'Output annual'!$AC$2&amp;'Output annual'!$AD$2&amp;"*Zone People Number Of Occupants [](Hourly)",'Eplus results'!$1:$1048576,ROW(),FALSE)</f>
        <v>0</v>
      </c>
      <c r="AC4220" s="580">
        <f>HLOOKUP("*"&amp;'Output annual'!$AC$2&amp;'Output annual'!$AD$2&amp;"*FangerPMV(Hourly)",'Eplus results'!$1:$1048576,ROW(),FALSE)</f>
        <v>0</v>
      </c>
      <c r="AD4220" s="580">
        <f t="shared" si="361"/>
        <v>5</v>
      </c>
      <c r="AE4220" s="580">
        <f t="shared" si="362"/>
        <v>2.5</v>
      </c>
      <c r="AF4220" s="580">
        <f t="shared" si="363"/>
        <v>2.5</v>
      </c>
      <c r="AG4220" s="580">
        <f t="shared" si="364"/>
        <v>0</v>
      </c>
      <c r="AH4220" s="580">
        <f t="shared" si="365"/>
        <v>0</v>
      </c>
    </row>
    <row r="4221" spans="28:34">
      <c r="AB4221" s="580">
        <f>HLOOKUP("*"&amp;'Output annual'!$AC$2&amp;'Output annual'!$AD$2&amp;"*Zone People Number Of Occupants [](Hourly)",'Eplus results'!$1:$1048576,ROW(),FALSE)</f>
        <v>0</v>
      </c>
      <c r="AC4221" s="580">
        <f>HLOOKUP("*"&amp;'Output annual'!$AC$2&amp;'Output annual'!$AD$2&amp;"*FangerPMV(Hourly)",'Eplus results'!$1:$1048576,ROW(),FALSE)</f>
        <v>0</v>
      </c>
      <c r="AD4221" s="580">
        <f t="shared" si="361"/>
        <v>5</v>
      </c>
      <c r="AE4221" s="580">
        <f t="shared" si="362"/>
        <v>2.5</v>
      </c>
      <c r="AF4221" s="580">
        <f t="shared" si="363"/>
        <v>2.5</v>
      </c>
      <c r="AG4221" s="580">
        <f t="shared" si="364"/>
        <v>0</v>
      </c>
      <c r="AH4221" s="580">
        <f t="shared" si="365"/>
        <v>0</v>
      </c>
    </row>
    <row r="4222" spans="28:34">
      <c r="AB4222" s="580">
        <f>HLOOKUP("*"&amp;'Output annual'!$AC$2&amp;'Output annual'!$AD$2&amp;"*Zone People Number Of Occupants [](Hourly)",'Eplus results'!$1:$1048576,ROW(),FALSE)</f>
        <v>0</v>
      </c>
      <c r="AC4222" s="580">
        <f>HLOOKUP("*"&amp;'Output annual'!$AC$2&amp;'Output annual'!$AD$2&amp;"*FangerPMV(Hourly)",'Eplus results'!$1:$1048576,ROW(),FALSE)</f>
        <v>0</v>
      </c>
      <c r="AD4222" s="580">
        <f t="shared" si="361"/>
        <v>5</v>
      </c>
      <c r="AE4222" s="580">
        <f t="shared" si="362"/>
        <v>2.5</v>
      </c>
      <c r="AF4222" s="580">
        <f t="shared" si="363"/>
        <v>2.5</v>
      </c>
      <c r="AG4222" s="580">
        <f t="shared" si="364"/>
        <v>0</v>
      </c>
      <c r="AH4222" s="580">
        <f t="shared" si="365"/>
        <v>0</v>
      </c>
    </row>
    <row r="4223" spans="28:34">
      <c r="AB4223" s="580">
        <f>HLOOKUP("*"&amp;'Output annual'!$AC$2&amp;'Output annual'!$AD$2&amp;"*Zone People Number Of Occupants [](Hourly)",'Eplus results'!$1:$1048576,ROW(),FALSE)</f>
        <v>0</v>
      </c>
      <c r="AC4223" s="580">
        <f>HLOOKUP("*"&amp;'Output annual'!$AC$2&amp;'Output annual'!$AD$2&amp;"*FangerPMV(Hourly)",'Eplus results'!$1:$1048576,ROW(),FALSE)</f>
        <v>0</v>
      </c>
      <c r="AD4223" s="580">
        <f t="shared" si="361"/>
        <v>5</v>
      </c>
      <c r="AE4223" s="580">
        <f t="shared" si="362"/>
        <v>2.5</v>
      </c>
      <c r="AF4223" s="580">
        <f t="shared" si="363"/>
        <v>2.5</v>
      </c>
      <c r="AG4223" s="580">
        <f t="shared" si="364"/>
        <v>0</v>
      </c>
      <c r="AH4223" s="580">
        <f t="shared" si="365"/>
        <v>0</v>
      </c>
    </row>
    <row r="4224" spans="28:34">
      <c r="AB4224" s="580">
        <f>HLOOKUP("*"&amp;'Output annual'!$AC$2&amp;'Output annual'!$AD$2&amp;"*Zone People Number Of Occupants [](Hourly)",'Eplus results'!$1:$1048576,ROW(),FALSE)</f>
        <v>0</v>
      </c>
      <c r="AC4224" s="580">
        <f>HLOOKUP("*"&amp;'Output annual'!$AC$2&amp;'Output annual'!$AD$2&amp;"*FangerPMV(Hourly)",'Eplus results'!$1:$1048576,ROW(),FALSE)</f>
        <v>0</v>
      </c>
      <c r="AD4224" s="580">
        <f t="shared" si="361"/>
        <v>5</v>
      </c>
      <c r="AE4224" s="580">
        <f t="shared" si="362"/>
        <v>2.5</v>
      </c>
      <c r="AF4224" s="580">
        <f t="shared" si="363"/>
        <v>2.5</v>
      </c>
      <c r="AG4224" s="580">
        <f t="shared" si="364"/>
        <v>0</v>
      </c>
      <c r="AH4224" s="580">
        <f t="shared" si="365"/>
        <v>0</v>
      </c>
    </row>
    <row r="4225" spans="28:34">
      <c r="AB4225" s="580">
        <f>HLOOKUP("*"&amp;'Output annual'!$AC$2&amp;'Output annual'!$AD$2&amp;"*Zone People Number Of Occupants [](Hourly)",'Eplus results'!$1:$1048576,ROW(),FALSE)</f>
        <v>0</v>
      </c>
      <c r="AC4225" s="580">
        <f>HLOOKUP("*"&amp;'Output annual'!$AC$2&amp;'Output annual'!$AD$2&amp;"*FangerPMV(Hourly)",'Eplus results'!$1:$1048576,ROW(),FALSE)</f>
        <v>0</v>
      </c>
      <c r="AD4225" s="580">
        <f t="shared" si="361"/>
        <v>5</v>
      </c>
      <c r="AE4225" s="580">
        <f t="shared" si="362"/>
        <v>2.5</v>
      </c>
      <c r="AF4225" s="580">
        <f t="shared" si="363"/>
        <v>2.5</v>
      </c>
      <c r="AG4225" s="580">
        <f t="shared" si="364"/>
        <v>0</v>
      </c>
      <c r="AH4225" s="580">
        <f t="shared" si="365"/>
        <v>0</v>
      </c>
    </row>
    <row r="4226" spans="28:34">
      <c r="AB4226" s="580">
        <f>HLOOKUP("*"&amp;'Output annual'!$AC$2&amp;'Output annual'!$AD$2&amp;"*Zone People Number Of Occupants [](Hourly)",'Eplus results'!$1:$1048576,ROW(),FALSE)</f>
        <v>0</v>
      </c>
      <c r="AC4226" s="580">
        <f>HLOOKUP("*"&amp;'Output annual'!$AC$2&amp;'Output annual'!$AD$2&amp;"*FangerPMV(Hourly)",'Eplus results'!$1:$1048576,ROW(),FALSE)</f>
        <v>0</v>
      </c>
      <c r="AD4226" s="580">
        <f t="shared" si="361"/>
        <v>5</v>
      </c>
      <c r="AE4226" s="580">
        <f t="shared" si="362"/>
        <v>2.5</v>
      </c>
      <c r="AF4226" s="580">
        <f t="shared" si="363"/>
        <v>2.5</v>
      </c>
      <c r="AG4226" s="580">
        <f t="shared" si="364"/>
        <v>0</v>
      </c>
      <c r="AH4226" s="580">
        <f t="shared" si="365"/>
        <v>0</v>
      </c>
    </row>
    <row r="4227" spans="28:34">
      <c r="AB4227" s="580">
        <f>HLOOKUP("*"&amp;'Output annual'!$AC$2&amp;'Output annual'!$AD$2&amp;"*Zone People Number Of Occupants [](Hourly)",'Eplus results'!$1:$1048576,ROW(),FALSE)</f>
        <v>0</v>
      </c>
      <c r="AC4227" s="580">
        <f>HLOOKUP("*"&amp;'Output annual'!$AC$2&amp;'Output annual'!$AD$2&amp;"*FangerPMV(Hourly)",'Eplus results'!$1:$1048576,ROW(),FALSE)</f>
        <v>0</v>
      </c>
      <c r="AD4227" s="580">
        <f t="shared" ref="AD4227:AD4290" si="366">100-95*EXP(-0.03353*AC4227^4-0.2179*AC4227^2)</f>
        <v>5</v>
      </c>
      <c r="AE4227" s="580">
        <f t="shared" ref="AE4227:AE4290" si="367">AD4227*(1/(1+EXP(-6.3*$AC4227)))</f>
        <v>2.5</v>
      </c>
      <c r="AF4227" s="580">
        <f t="shared" ref="AF4227:AF4290" si="368">(AD4227-AE4227)</f>
        <v>2.5</v>
      </c>
      <c r="AG4227" s="580">
        <f t="shared" ref="AG4227:AG4290" si="369">AE4227*AB4227</f>
        <v>0</v>
      </c>
      <c r="AH4227" s="580">
        <f t="shared" ref="AH4227:AH4290" si="370">AF4227*AB4227</f>
        <v>0</v>
      </c>
    </row>
    <row r="4228" spans="28:34">
      <c r="AB4228" s="580">
        <f>HLOOKUP("*"&amp;'Output annual'!$AC$2&amp;'Output annual'!$AD$2&amp;"*Zone People Number Of Occupants [](Hourly)",'Eplus results'!$1:$1048576,ROW(),FALSE)</f>
        <v>0</v>
      </c>
      <c r="AC4228" s="580">
        <f>HLOOKUP("*"&amp;'Output annual'!$AC$2&amp;'Output annual'!$AD$2&amp;"*FangerPMV(Hourly)",'Eplus results'!$1:$1048576,ROW(),FALSE)</f>
        <v>0</v>
      </c>
      <c r="AD4228" s="580">
        <f t="shared" si="366"/>
        <v>5</v>
      </c>
      <c r="AE4228" s="580">
        <f t="shared" si="367"/>
        <v>2.5</v>
      </c>
      <c r="AF4228" s="580">
        <f t="shared" si="368"/>
        <v>2.5</v>
      </c>
      <c r="AG4228" s="580">
        <f t="shared" si="369"/>
        <v>0</v>
      </c>
      <c r="AH4228" s="580">
        <f t="shared" si="370"/>
        <v>0</v>
      </c>
    </row>
    <row r="4229" spans="28:34">
      <c r="AB4229" s="580">
        <f>HLOOKUP("*"&amp;'Output annual'!$AC$2&amp;'Output annual'!$AD$2&amp;"*Zone People Number Of Occupants [](Hourly)",'Eplus results'!$1:$1048576,ROW(),FALSE)</f>
        <v>0</v>
      </c>
      <c r="AC4229" s="580">
        <f>HLOOKUP("*"&amp;'Output annual'!$AC$2&amp;'Output annual'!$AD$2&amp;"*FangerPMV(Hourly)",'Eplus results'!$1:$1048576,ROW(),FALSE)</f>
        <v>0</v>
      </c>
      <c r="AD4229" s="580">
        <f t="shared" si="366"/>
        <v>5</v>
      </c>
      <c r="AE4229" s="580">
        <f t="shared" si="367"/>
        <v>2.5</v>
      </c>
      <c r="AF4229" s="580">
        <f t="shared" si="368"/>
        <v>2.5</v>
      </c>
      <c r="AG4229" s="580">
        <f t="shared" si="369"/>
        <v>0</v>
      </c>
      <c r="AH4229" s="580">
        <f t="shared" si="370"/>
        <v>0</v>
      </c>
    </row>
    <row r="4230" spans="28:34">
      <c r="AB4230" s="580">
        <f>HLOOKUP("*"&amp;'Output annual'!$AC$2&amp;'Output annual'!$AD$2&amp;"*Zone People Number Of Occupants [](Hourly)",'Eplus results'!$1:$1048576,ROW(),FALSE)</f>
        <v>0</v>
      </c>
      <c r="AC4230" s="580">
        <f>HLOOKUP("*"&amp;'Output annual'!$AC$2&amp;'Output annual'!$AD$2&amp;"*FangerPMV(Hourly)",'Eplus results'!$1:$1048576,ROW(),FALSE)</f>
        <v>0</v>
      </c>
      <c r="AD4230" s="580">
        <f t="shared" si="366"/>
        <v>5</v>
      </c>
      <c r="AE4230" s="580">
        <f t="shared" si="367"/>
        <v>2.5</v>
      </c>
      <c r="AF4230" s="580">
        <f t="shared" si="368"/>
        <v>2.5</v>
      </c>
      <c r="AG4230" s="580">
        <f t="shared" si="369"/>
        <v>0</v>
      </c>
      <c r="AH4230" s="580">
        <f t="shared" si="370"/>
        <v>0</v>
      </c>
    </row>
    <row r="4231" spans="28:34">
      <c r="AB4231" s="580">
        <f>HLOOKUP("*"&amp;'Output annual'!$AC$2&amp;'Output annual'!$AD$2&amp;"*Zone People Number Of Occupants [](Hourly)",'Eplus results'!$1:$1048576,ROW(),FALSE)</f>
        <v>0</v>
      </c>
      <c r="AC4231" s="580">
        <f>HLOOKUP("*"&amp;'Output annual'!$AC$2&amp;'Output annual'!$AD$2&amp;"*FangerPMV(Hourly)",'Eplus results'!$1:$1048576,ROW(),FALSE)</f>
        <v>0</v>
      </c>
      <c r="AD4231" s="580">
        <f t="shared" si="366"/>
        <v>5</v>
      </c>
      <c r="AE4231" s="580">
        <f t="shared" si="367"/>
        <v>2.5</v>
      </c>
      <c r="AF4231" s="580">
        <f t="shared" si="368"/>
        <v>2.5</v>
      </c>
      <c r="AG4231" s="580">
        <f t="shared" si="369"/>
        <v>0</v>
      </c>
      <c r="AH4231" s="580">
        <f t="shared" si="370"/>
        <v>0</v>
      </c>
    </row>
    <row r="4232" spans="28:34">
      <c r="AB4232" s="580">
        <f>HLOOKUP("*"&amp;'Output annual'!$AC$2&amp;'Output annual'!$AD$2&amp;"*Zone People Number Of Occupants [](Hourly)",'Eplus results'!$1:$1048576,ROW(),FALSE)</f>
        <v>0</v>
      </c>
      <c r="AC4232" s="580">
        <f>HLOOKUP("*"&amp;'Output annual'!$AC$2&amp;'Output annual'!$AD$2&amp;"*FangerPMV(Hourly)",'Eplus results'!$1:$1048576,ROW(),FALSE)</f>
        <v>0</v>
      </c>
      <c r="AD4232" s="580">
        <f t="shared" si="366"/>
        <v>5</v>
      </c>
      <c r="AE4232" s="580">
        <f t="shared" si="367"/>
        <v>2.5</v>
      </c>
      <c r="AF4232" s="580">
        <f t="shared" si="368"/>
        <v>2.5</v>
      </c>
      <c r="AG4232" s="580">
        <f t="shared" si="369"/>
        <v>0</v>
      </c>
      <c r="AH4232" s="580">
        <f t="shared" si="370"/>
        <v>0</v>
      </c>
    </row>
    <row r="4233" spans="28:34">
      <c r="AB4233" s="580">
        <f>HLOOKUP("*"&amp;'Output annual'!$AC$2&amp;'Output annual'!$AD$2&amp;"*Zone People Number Of Occupants [](Hourly)",'Eplus results'!$1:$1048576,ROW(),FALSE)</f>
        <v>0</v>
      </c>
      <c r="AC4233" s="580">
        <f>HLOOKUP("*"&amp;'Output annual'!$AC$2&amp;'Output annual'!$AD$2&amp;"*FangerPMV(Hourly)",'Eplus results'!$1:$1048576,ROW(),FALSE)</f>
        <v>0</v>
      </c>
      <c r="AD4233" s="580">
        <f t="shared" si="366"/>
        <v>5</v>
      </c>
      <c r="AE4233" s="580">
        <f t="shared" si="367"/>
        <v>2.5</v>
      </c>
      <c r="AF4233" s="580">
        <f t="shared" si="368"/>
        <v>2.5</v>
      </c>
      <c r="AG4233" s="580">
        <f t="shared" si="369"/>
        <v>0</v>
      </c>
      <c r="AH4233" s="580">
        <f t="shared" si="370"/>
        <v>0</v>
      </c>
    </row>
    <row r="4234" spans="28:34">
      <c r="AB4234" s="580">
        <f>HLOOKUP("*"&amp;'Output annual'!$AC$2&amp;'Output annual'!$AD$2&amp;"*Zone People Number Of Occupants [](Hourly)",'Eplus results'!$1:$1048576,ROW(),FALSE)</f>
        <v>0</v>
      </c>
      <c r="AC4234" s="580">
        <f>HLOOKUP("*"&amp;'Output annual'!$AC$2&amp;'Output annual'!$AD$2&amp;"*FangerPMV(Hourly)",'Eplus results'!$1:$1048576,ROW(),FALSE)</f>
        <v>0</v>
      </c>
      <c r="AD4234" s="580">
        <f t="shared" si="366"/>
        <v>5</v>
      </c>
      <c r="AE4234" s="580">
        <f t="shared" si="367"/>
        <v>2.5</v>
      </c>
      <c r="AF4234" s="580">
        <f t="shared" si="368"/>
        <v>2.5</v>
      </c>
      <c r="AG4234" s="580">
        <f t="shared" si="369"/>
        <v>0</v>
      </c>
      <c r="AH4234" s="580">
        <f t="shared" si="370"/>
        <v>0</v>
      </c>
    </row>
    <row r="4235" spans="28:34">
      <c r="AB4235" s="580">
        <f>HLOOKUP("*"&amp;'Output annual'!$AC$2&amp;'Output annual'!$AD$2&amp;"*Zone People Number Of Occupants [](Hourly)",'Eplus results'!$1:$1048576,ROW(),FALSE)</f>
        <v>0</v>
      </c>
      <c r="AC4235" s="580">
        <f>HLOOKUP("*"&amp;'Output annual'!$AC$2&amp;'Output annual'!$AD$2&amp;"*FangerPMV(Hourly)",'Eplus results'!$1:$1048576,ROW(),FALSE)</f>
        <v>0</v>
      </c>
      <c r="AD4235" s="580">
        <f t="shared" si="366"/>
        <v>5</v>
      </c>
      <c r="AE4235" s="580">
        <f t="shared" si="367"/>
        <v>2.5</v>
      </c>
      <c r="AF4235" s="580">
        <f t="shared" si="368"/>
        <v>2.5</v>
      </c>
      <c r="AG4235" s="580">
        <f t="shared" si="369"/>
        <v>0</v>
      </c>
      <c r="AH4235" s="580">
        <f t="shared" si="370"/>
        <v>0</v>
      </c>
    </row>
    <row r="4236" spans="28:34">
      <c r="AB4236" s="580">
        <f>HLOOKUP("*"&amp;'Output annual'!$AC$2&amp;'Output annual'!$AD$2&amp;"*Zone People Number Of Occupants [](Hourly)",'Eplus results'!$1:$1048576,ROW(),FALSE)</f>
        <v>0</v>
      </c>
      <c r="AC4236" s="580">
        <f>HLOOKUP("*"&amp;'Output annual'!$AC$2&amp;'Output annual'!$AD$2&amp;"*FangerPMV(Hourly)",'Eplus results'!$1:$1048576,ROW(),FALSE)</f>
        <v>0</v>
      </c>
      <c r="AD4236" s="580">
        <f t="shared" si="366"/>
        <v>5</v>
      </c>
      <c r="AE4236" s="580">
        <f t="shared" si="367"/>
        <v>2.5</v>
      </c>
      <c r="AF4236" s="580">
        <f t="shared" si="368"/>
        <v>2.5</v>
      </c>
      <c r="AG4236" s="580">
        <f t="shared" si="369"/>
        <v>0</v>
      </c>
      <c r="AH4236" s="580">
        <f t="shared" si="370"/>
        <v>0</v>
      </c>
    </row>
    <row r="4237" spans="28:34">
      <c r="AB4237" s="580">
        <f>HLOOKUP("*"&amp;'Output annual'!$AC$2&amp;'Output annual'!$AD$2&amp;"*Zone People Number Of Occupants [](Hourly)",'Eplus results'!$1:$1048576,ROW(),FALSE)</f>
        <v>0</v>
      </c>
      <c r="AC4237" s="580">
        <f>HLOOKUP("*"&amp;'Output annual'!$AC$2&amp;'Output annual'!$AD$2&amp;"*FangerPMV(Hourly)",'Eplus results'!$1:$1048576,ROW(),FALSE)</f>
        <v>0</v>
      </c>
      <c r="AD4237" s="580">
        <f t="shared" si="366"/>
        <v>5</v>
      </c>
      <c r="AE4237" s="580">
        <f t="shared" si="367"/>
        <v>2.5</v>
      </c>
      <c r="AF4237" s="580">
        <f t="shared" si="368"/>
        <v>2.5</v>
      </c>
      <c r="AG4237" s="580">
        <f t="shared" si="369"/>
        <v>0</v>
      </c>
      <c r="AH4237" s="580">
        <f t="shared" si="370"/>
        <v>0</v>
      </c>
    </row>
    <row r="4238" spans="28:34">
      <c r="AB4238" s="580">
        <f>HLOOKUP("*"&amp;'Output annual'!$AC$2&amp;'Output annual'!$AD$2&amp;"*Zone People Number Of Occupants [](Hourly)",'Eplus results'!$1:$1048576,ROW(),FALSE)</f>
        <v>0</v>
      </c>
      <c r="AC4238" s="580">
        <f>HLOOKUP("*"&amp;'Output annual'!$AC$2&amp;'Output annual'!$AD$2&amp;"*FangerPMV(Hourly)",'Eplus results'!$1:$1048576,ROW(),FALSE)</f>
        <v>0</v>
      </c>
      <c r="AD4238" s="580">
        <f t="shared" si="366"/>
        <v>5</v>
      </c>
      <c r="AE4238" s="580">
        <f t="shared" si="367"/>
        <v>2.5</v>
      </c>
      <c r="AF4238" s="580">
        <f t="shared" si="368"/>
        <v>2.5</v>
      </c>
      <c r="AG4238" s="580">
        <f t="shared" si="369"/>
        <v>0</v>
      </c>
      <c r="AH4238" s="580">
        <f t="shared" si="370"/>
        <v>0</v>
      </c>
    </row>
    <row r="4239" spans="28:34">
      <c r="AB4239" s="580">
        <f>HLOOKUP("*"&amp;'Output annual'!$AC$2&amp;'Output annual'!$AD$2&amp;"*Zone People Number Of Occupants [](Hourly)",'Eplus results'!$1:$1048576,ROW(),FALSE)</f>
        <v>0</v>
      </c>
      <c r="AC4239" s="580">
        <f>HLOOKUP("*"&amp;'Output annual'!$AC$2&amp;'Output annual'!$AD$2&amp;"*FangerPMV(Hourly)",'Eplus results'!$1:$1048576,ROW(),FALSE)</f>
        <v>0</v>
      </c>
      <c r="AD4239" s="580">
        <f t="shared" si="366"/>
        <v>5</v>
      </c>
      <c r="AE4239" s="580">
        <f t="shared" si="367"/>
        <v>2.5</v>
      </c>
      <c r="AF4239" s="580">
        <f t="shared" si="368"/>
        <v>2.5</v>
      </c>
      <c r="AG4239" s="580">
        <f t="shared" si="369"/>
        <v>0</v>
      </c>
      <c r="AH4239" s="580">
        <f t="shared" si="370"/>
        <v>0</v>
      </c>
    </row>
    <row r="4240" spans="28:34">
      <c r="AB4240" s="580">
        <f>HLOOKUP("*"&amp;'Output annual'!$AC$2&amp;'Output annual'!$AD$2&amp;"*Zone People Number Of Occupants [](Hourly)",'Eplus results'!$1:$1048576,ROW(),FALSE)</f>
        <v>0</v>
      </c>
      <c r="AC4240" s="580">
        <f>HLOOKUP("*"&amp;'Output annual'!$AC$2&amp;'Output annual'!$AD$2&amp;"*FangerPMV(Hourly)",'Eplus results'!$1:$1048576,ROW(),FALSE)</f>
        <v>0</v>
      </c>
      <c r="AD4240" s="580">
        <f t="shared" si="366"/>
        <v>5</v>
      </c>
      <c r="AE4240" s="580">
        <f t="shared" si="367"/>
        <v>2.5</v>
      </c>
      <c r="AF4240" s="580">
        <f t="shared" si="368"/>
        <v>2.5</v>
      </c>
      <c r="AG4240" s="580">
        <f t="shared" si="369"/>
        <v>0</v>
      </c>
      <c r="AH4240" s="580">
        <f t="shared" si="370"/>
        <v>0</v>
      </c>
    </row>
    <row r="4241" spans="28:34">
      <c r="AB4241" s="580">
        <f>HLOOKUP("*"&amp;'Output annual'!$AC$2&amp;'Output annual'!$AD$2&amp;"*Zone People Number Of Occupants [](Hourly)",'Eplus results'!$1:$1048576,ROW(),FALSE)</f>
        <v>0</v>
      </c>
      <c r="AC4241" s="580">
        <f>HLOOKUP("*"&amp;'Output annual'!$AC$2&amp;'Output annual'!$AD$2&amp;"*FangerPMV(Hourly)",'Eplus results'!$1:$1048576,ROW(),FALSE)</f>
        <v>0</v>
      </c>
      <c r="AD4241" s="580">
        <f t="shared" si="366"/>
        <v>5</v>
      </c>
      <c r="AE4241" s="580">
        <f t="shared" si="367"/>
        <v>2.5</v>
      </c>
      <c r="AF4241" s="580">
        <f t="shared" si="368"/>
        <v>2.5</v>
      </c>
      <c r="AG4241" s="580">
        <f t="shared" si="369"/>
        <v>0</v>
      </c>
      <c r="AH4241" s="580">
        <f t="shared" si="370"/>
        <v>0</v>
      </c>
    </row>
    <row r="4242" spans="28:34">
      <c r="AB4242" s="580">
        <f>HLOOKUP("*"&amp;'Output annual'!$AC$2&amp;'Output annual'!$AD$2&amp;"*Zone People Number Of Occupants [](Hourly)",'Eplus results'!$1:$1048576,ROW(),FALSE)</f>
        <v>0</v>
      </c>
      <c r="AC4242" s="580">
        <f>HLOOKUP("*"&amp;'Output annual'!$AC$2&amp;'Output annual'!$AD$2&amp;"*FangerPMV(Hourly)",'Eplus results'!$1:$1048576,ROW(),FALSE)</f>
        <v>0</v>
      </c>
      <c r="AD4242" s="580">
        <f t="shared" si="366"/>
        <v>5</v>
      </c>
      <c r="AE4242" s="580">
        <f t="shared" si="367"/>
        <v>2.5</v>
      </c>
      <c r="AF4242" s="580">
        <f t="shared" si="368"/>
        <v>2.5</v>
      </c>
      <c r="AG4242" s="580">
        <f t="shared" si="369"/>
        <v>0</v>
      </c>
      <c r="AH4242" s="580">
        <f t="shared" si="370"/>
        <v>0</v>
      </c>
    </row>
    <row r="4243" spans="28:34">
      <c r="AB4243" s="580">
        <f>HLOOKUP("*"&amp;'Output annual'!$AC$2&amp;'Output annual'!$AD$2&amp;"*Zone People Number Of Occupants [](Hourly)",'Eplus results'!$1:$1048576,ROW(),FALSE)</f>
        <v>0</v>
      </c>
      <c r="AC4243" s="580">
        <f>HLOOKUP("*"&amp;'Output annual'!$AC$2&amp;'Output annual'!$AD$2&amp;"*FangerPMV(Hourly)",'Eplus results'!$1:$1048576,ROW(),FALSE)</f>
        <v>0</v>
      </c>
      <c r="AD4243" s="580">
        <f t="shared" si="366"/>
        <v>5</v>
      </c>
      <c r="AE4243" s="580">
        <f t="shared" si="367"/>
        <v>2.5</v>
      </c>
      <c r="AF4243" s="580">
        <f t="shared" si="368"/>
        <v>2.5</v>
      </c>
      <c r="AG4243" s="580">
        <f t="shared" si="369"/>
        <v>0</v>
      </c>
      <c r="AH4243" s="580">
        <f t="shared" si="370"/>
        <v>0</v>
      </c>
    </row>
    <row r="4244" spans="28:34">
      <c r="AB4244" s="580">
        <f>HLOOKUP("*"&amp;'Output annual'!$AC$2&amp;'Output annual'!$AD$2&amp;"*Zone People Number Of Occupants [](Hourly)",'Eplus results'!$1:$1048576,ROW(),FALSE)</f>
        <v>0</v>
      </c>
      <c r="AC4244" s="580">
        <f>HLOOKUP("*"&amp;'Output annual'!$AC$2&amp;'Output annual'!$AD$2&amp;"*FangerPMV(Hourly)",'Eplus results'!$1:$1048576,ROW(),FALSE)</f>
        <v>0</v>
      </c>
      <c r="AD4244" s="580">
        <f t="shared" si="366"/>
        <v>5</v>
      </c>
      <c r="AE4244" s="580">
        <f t="shared" si="367"/>
        <v>2.5</v>
      </c>
      <c r="AF4244" s="580">
        <f t="shared" si="368"/>
        <v>2.5</v>
      </c>
      <c r="AG4244" s="580">
        <f t="shared" si="369"/>
        <v>0</v>
      </c>
      <c r="AH4244" s="580">
        <f t="shared" si="370"/>
        <v>0</v>
      </c>
    </row>
    <row r="4245" spans="28:34">
      <c r="AB4245" s="580">
        <f>HLOOKUP("*"&amp;'Output annual'!$AC$2&amp;'Output annual'!$AD$2&amp;"*Zone People Number Of Occupants [](Hourly)",'Eplus results'!$1:$1048576,ROW(),FALSE)</f>
        <v>0</v>
      </c>
      <c r="AC4245" s="580">
        <f>HLOOKUP("*"&amp;'Output annual'!$AC$2&amp;'Output annual'!$AD$2&amp;"*FangerPMV(Hourly)",'Eplus results'!$1:$1048576,ROW(),FALSE)</f>
        <v>0</v>
      </c>
      <c r="AD4245" s="580">
        <f t="shared" si="366"/>
        <v>5</v>
      </c>
      <c r="AE4245" s="580">
        <f t="shared" si="367"/>
        <v>2.5</v>
      </c>
      <c r="AF4245" s="580">
        <f t="shared" si="368"/>
        <v>2.5</v>
      </c>
      <c r="AG4245" s="580">
        <f t="shared" si="369"/>
        <v>0</v>
      </c>
      <c r="AH4245" s="580">
        <f t="shared" si="370"/>
        <v>0</v>
      </c>
    </row>
    <row r="4246" spans="28:34">
      <c r="AB4246" s="580">
        <f>HLOOKUP("*"&amp;'Output annual'!$AC$2&amp;'Output annual'!$AD$2&amp;"*Zone People Number Of Occupants [](Hourly)",'Eplus results'!$1:$1048576,ROW(),FALSE)</f>
        <v>0</v>
      </c>
      <c r="AC4246" s="580">
        <f>HLOOKUP("*"&amp;'Output annual'!$AC$2&amp;'Output annual'!$AD$2&amp;"*FangerPMV(Hourly)",'Eplus results'!$1:$1048576,ROW(),FALSE)</f>
        <v>0</v>
      </c>
      <c r="AD4246" s="580">
        <f t="shared" si="366"/>
        <v>5</v>
      </c>
      <c r="AE4246" s="580">
        <f t="shared" si="367"/>
        <v>2.5</v>
      </c>
      <c r="AF4246" s="580">
        <f t="shared" si="368"/>
        <v>2.5</v>
      </c>
      <c r="AG4246" s="580">
        <f t="shared" si="369"/>
        <v>0</v>
      </c>
      <c r="AH4246" s="580">
        <f t="shared" si="370"/>
        <v>0</v>
      </c>
    </row>
    <row r="4247" spans="28:34">
      <c r="AB4247" s="580">
        <f>HLOOKUP("*"&amp;'Output annual'!$AC$2&amp;'Output annual'!$AD$2&amp;"*Zone People Number Of Occupants [](Hourly)",'Eplus results'!$1:$1048576,ROW(),FALSE)</f>
        <v>0</v>
      </c>
      <c r="AC4247" s="580">
        <f>HLOOKUP("*"&amp;'Output annual'!$AC$2&amp;'Output annual'!$AD$2&amp;"*FangerPMV(Hourly)",'Eplus results'!$1:$1048576,ROW(),FALSE)</f>
        <v>0</v>
      </c>
      <c r="AD4247" s="580">
        <f t="shared" si="366"/>
        <v>5</v>
      </c>
      <c r="AE4247" s="580">
        <f t="shared" si="367"/>
        <v>2.5</v>
      </c>
      <c r="AF4247" s="580">
        <f t="shared" si="368"/>
        <v>2.5</v>
      </c>
      <c r="AG4247" s="580">
        <f t="shared" si="369"/>
        <v>0</v>
      </c>
      <c r="AH4247" s="580">
        <f t="shared" si="370"/>
        <v>0</v>
      </c>
    </row>
    <row r="4248" spans="28:34">
      <c r="AB4248" s="580">
        <f>HLOOKUP("*"&amp;'Output annual'!$AC$2&amp;'Output annual'!$AD$2&amp;"*Zone People Number Of Occupants [](Hourly)",'Eplus results'!$1:$1048576,ROW(),FALSE)</f>
        <v>0</v>
      </c>
      <c r="AC4248" s="580">
        <f>HLOOKUP("*"&amp;'Output annual'!$AC$2&amp;'Output annual'!$AD$2&amp;"*FangerPMV(Hourly)",'Eplus results'!$1:$1048576,ROW(),FALSE)</f>
        <v>0</v>
      </c>
      <c r="AD4248" s="580">
        <f t="shared" si="366"/>
        <v>5</v>
      </c>
      <c r="AE4248" s="580">
        <f t="shared" si="367"/>
        <v>2.5</v>
      </c>
      <c r="AF4248" s="580">
        <f t="shared" si="368"/>
        <v>2.5</v>
      </c>
      <c r="AG4248" s="580">
        <f t="shared" si="369"/>
        <v>0</v>
      </c>
      <c r="AH4248" s="580">
        <f t="shared" si="370"/>
        <v>0</v>
      </c>
    </row>
    <row r="4249" spans="28:34">
      <c r="AB4249" s="580">
        <f>HLOOKUP("*"&amp;'Output annual'!$AC$2&amp;'Output annual'!$AD$2&amp;"*Zone People Number Of Occupants [](Hourly)",'Eplus results'!$1:$1048576,ROW(),FALSE)</f>
        <v>0</v>
      </c>
      <c r="AC4249" s="580">
        <f>HLOOKUP("*"&amp;'Output annual'!$AC$2&amp;'Output annual'!$AD$2&amp;"*FangerPMV(Hourly)",'Eplus results'!$1:$1048576,ROW(),FALSE)</f>
        <v>0</v>
      </c>
      <c r="AD4249" s="580">
        <f t="shared" si="366"/>
        <v>5</v>
      </c>
      <c r="AE4249" s="580">
        <f t="shared" si="367"/>
        <v>2.5</v>
      </c>
      <c r="AF4249" s="580">
        <f t="shared" si="368"/>
        <v>2.5</v>
      </c>
      <c r="AG4249" s="580">
        <f t="shared" si="369"/>
        <v>0</v>
      </c>
      <c r="AH4249" s="580">
        <f t="shared" si="370"/>
        <v>0</v>
      </c>
    </row>
    <row r="4250" spans="28:34">
      <c r="AB4250" s="580">
        <f>HLOOKUP("*"&amp;'Output annual'!$AC$2&amp;'Output annual'!$AD$2&amp;"*Zone People Number Of Occupants [](Hourly)",'Eplus results'!$1:$1048576,ROW(),FALSE)</f>
        <v>0</v>
      </c>
      <c r="AC4250" s="580">
        <f>HLOOKUP("*"&amp;'Output annual'!$AC$2&amp;'Output annual'!$AD$2&amp;"*FangerPMV(Hourly)",'Eplus results'!$1:$1048576,ROW(),FALSE)</f>
        <v>0</v>
      </c>
      <c r="AD4250" s="580">
        <f t="shared" si="366"/>
        <v>5</v>
      </c>
      <c r="AE4250" s="580">
        <f t="shared" si="367"/>
        <v>2.5</v>
      </c>
      <c r="AF4250" s="580">
        <f t="shared" si="368"/>
        <v>2.5</v>
      </c>
      <c r="AG4250" s="580">
        <f t="shared" si="369"/>
        <v>0</v>
      </c>
      <c r="AH4250" s="580">
        <f t="shared" si="370"/>
        <v>0</v>
      </c>
    </row>
    <row r="4251" spans="28:34">
      <c r="AB4251" s="580">
        <f>HLOOKUP("*"&amp;'Output annual'!$AC$2&amp;'Output annual'!$AD$2&amp;"*Zone People Number Of Occupants [](Hourly)",'Eplus results'!$1:$1048576,ROW(),FALSE)</f>
        <v>0</v>
      </c>
      <c r="AC4251" s="580">
        <f>HLOOKUP("*"&amp;'Output annual'!$AC$2&amp;'Output annual'!$AD$2&amp;"*FangerPMV(Hourly)",'Eplus results'!$1:$1048576,ROW(),FALSE)</f>
        <v>0</v>
      </c>
      <c r="AD4251" s="580">
        <f t="shared" si="366"/>
        <v>5</v>
      </c>
      <c r="AE4251" s="580">
        <f t="shared" si="367"/>
        <v>2.5</v>
      </c>
      <c r="AF4251" s="580">
        <f t="shared" si="368"/>
        <v>2.5</v>
      </c>
      <c r="AG4251" s="580">
        <f t="shared" si="369"/>
        <v>0</v>
      </c>
      <c r="AH4251" s="580">
        <f t="shared" si="370"/>
        <v>0</v>
      </c>
    </row>
    <row r="4252" spans="28:34">
      <c r="AB4252" s="580">
        <f>HLOOKUP("*"&amp;'Output annual'!$AC$2&amp;'Output annual'!$AD$2&amp;"*Zone People Number Of Occupants [](Hourly)",'Eplus results'!$1:$1048576,ROW(),FALSE)</f>
        <v>0</v>
      </c>
      <c r="AC4252" s="580">
        <f>HLOOKUP("*"&amp;'Output annual'!$AC$2&amp;'Output annual'!$AD$2&amp;"*FangerPMV(Hourly)",'Eplus results'!$1:$1048576,ROW(),FALSE)</f>
        <v>0</v>
      </c>
      <c r="AD4252" s="580">
        <f t="shared" si="366"/>
        <v>5</v>
      </c>
      <c r="AE4252" s="580">
        <f t="shared" si="367"/>
        <v>2.5</v>
      </c>
      <c r="AF4252" s="580">
        <f t="shared" si="368"/>
        <v>2.5</v>
      </c>
      <c r="AG4252" s="580">
        <f t="shared" si="369"/>
        <v>0</v>
      </c>
      <c r="AH4252" s="580">
        <f t="shared" si="370"/>
        <v>0</v>
      </c>
    </row>
    <row r="4253" spans="28:34">
      <c r="AB4253" s="580">
        <f>HLOOKUP("*"&amp;'Output annual'!$AC$2&amp;'Output annual'!$AD$2&amp;"*Zone People Number Of Occupants [](Hourly)",'Eplus results'!$1:$1048576,ROW(),FALSE)</f>
        <v>0</v>
      </c>
      <c r="AC4253" s="580">
        <f>HLOOKUP("*"&amp;'Output annual'!$AC$2&amp;'Output annual'!$AD$2&amp;"*FangerPMV(Hourly)",'Eplus results'!$1:$1048576,ROW(),FALSE)</f>
        <v>0</v>
      </c>
      <c r="AD4253" s="580">
        <f t="shared" si="366"/>
        <v>5</v>
      </c>
      <c r="AE4253" s="580">
        <f t="shared" si="367"/>
        <v>2.5</v>
      </c>
      <c r="AF4253" s="580">
        <f t="shared" si="368"/>
        <v>2.5</v>
      </c>
      <c r="AG4253" s="580">
        <f t="shared" si="369"/>
        <v>0</v>
      </c>
      <c r="AH4253" s="580">
        <f t="shared" si="370"/>
        <v>0</v>
      </c>
    </row>
    <row r="4254" spans="28:34">
      <c r="AB4254" s="580">
        <f>HLOOKUP("*"&amp;'Output annual'!$AC$2&amp;'Output annual'!$AD$2&amp;"*Zone People Number Of Occupants [](Hourly)",'Eplus results'!$1:$1048576,ROW(),FALSE)</f>
        <v>0</v>
      </c>
      <c r="AC4254" s="580">
        <f>HLOOKUP("*"&amp;'Output annual'!$AC$2&amp;'Output annual'!$AD$2&amp;"*FangerPMV(Hourly)",'Eplus results'!$1:$1048576,ROW(),FALSE)</f>
        <v>0</v>
      </c>
      <c r="AD4254" s="580">
        <f t="shared" si="366"/>
        <v>5</v>
      </c>
      <c r="AE4254" s="580">
        <f t="shared" si="367"/>
        <v>2.5</v>
      </c>
      <c r="AF4254" s="580">
        <f t="shared" si="368"/>
        <v>2.5</v>
      </c>
      <c r="AG4254" s="580">
        <f t="shared" si="369"/>
        <v>0</v>
      </c>
      <c r="AH4254" s="580">
        <f t="shared" si="370"/>
        <v>0</v>
      </c>
    </row>
    <row r="4255" spans="28:34">
      <c r="AB4255" s="580">
        <f>HLOOKUP("*"&amp;'Output annual'!$AC$2&amp;'Output annual'!$AD$2&amp;"*Zone People Number Of Occupants [](Hourly)",'Eplus results'!$1:$1048576,ROW(),FALSE)</f>
        <v>0</v>
      </c>
      <c r="AC4255" s="580">
        <f>HLOOKUP("*"&amp;'Output annual'!$AC$2&amp;'Output annual'!$AD$2&amp;"*FangerPMV(Hourly)",'Eplus results'!$1:$1048576,ROW(),FALSE)</f>
        <v>0</v>
      </c>
      <c r="AD4255" s="580">
        <f t="shared" si="366"/>
        <v>5</v>
      </c>
      <c r="AE4255" s="580">
        <f t="shared" si="367"/>
        <v>2.5</v>
      </c>
      <c r="AF4255" s="580">
        <f t="shared" si="368"/>
        <v>2.5</v>
      </c>
      <c r="AG4255" s="580">
        <f t="shared" si="369"/>
        <v>0</v>
      </c>
      <c r="AH4255" s="580">
        <f t="shared" si="370"/>
        <v>0</v>
      </c>
    </row>
    <row r="4256" spans="28:34">
      <c r="AB4256" s="580">
        <f>HLOOKUP("*"&amp;'Output annual'!$AC$2&amp;'Output annual'!$AD$2&amp;"*Zone People Number Of Occupants [](Hourly)",'Eplus results'!$1:$1048576,ROW(),FALSE)</f>
        <v>0</v>
      </c>
      <c r="AC4256" s="580">
        <f>HLOOKUP("*"&amp;'Output annual'!$AC$2&amp;'Output annual'!$AD$2&amp;"*FangerPMV(Hourly)",'Eplus results'!$1:$1048576,ROW(),FALSE)</f>
        <v>0</v>
      </c>
      <c r="AD4256" s="580">
        <f t="shared" si="366"/>
        <v>5</v>
      </c>
      <c r="AE4256" s="580">
        <f t="shared" si="367"/>
        <v>2.5</v>
      </c>
      <c r="AF4256" s="580">
        <f t="shared" si="368"/>
        <v>2.5</v>
      </c>
      <c r="AG4256" s="580">
        <f t="shared" si="369"/>
        <v>0</v>
      </c>
      <c r="AH4256" s="580">
        <f t="shared" si="370"/>
        <v>0</v>
      </c>
    </row>
    <row r="4257" spans="28:34">
      <c r="AB4257" s="580">
        <f>HLOOKUP("*"&amp;'Output annual'!$AC$2&amp;'Output annual'!$AD$2&amp;"*Zone People Number Of Occupants [](Hourly)",'Eplus results'!$1:$1048576,ROW(),FALSE)</f>
        <v>0</v>
      </c>
      <c r="AC4257" s="580">
        <f>HLOOKUP("*"&amp;'Output annual'!$AC$2&amp;'Output annual'!$AD$2&amp;"*FangerPMV(Hourly)",'Eplus results'!$1:$1048576,ROW(),FALSE)</f>
        <v>0</v>
      </c>
      <c r="AD4257" s="580">
        <f t="shared" si="366"/>
        <v>5</v>
      </c>
      <c r="AE4257" s="580">
        <f t="shared" si="367"/>
        <v>2.5</v>
      </c>
      <c r="AF4257" s="580">
        <f t="shared" si="368"/>
        <v>2.5</v>
      </c>
      <c r="AG4257" s="580">
        <f t="shared" si="369"/>
        <v>0</v>
      </c>
      <c r="AH4257" s="580">
        <f t="shared" si="370"/>
        <v>0</v>
      </c>
    </row>
    <row r="4258" spans="28:34">
      <c r="AB4258" s="580">
        <f>HLOOKUP("*"&amp;'Output annual'!$AC$2&amp;'Output annual'!$AD$2&amp;"*Zone People Number Of Occupants [](Hourly)",'Eplus results'!$1:$1048576,ROW(),FALSE)</f>
        <v>0</v>
      </c>
      <c r="AC4258" s="580">
        <f>HLOOKUP("*"&amp;'Output annual'!$AC$2&amp;'Output annual'!$AD$2&amp;"*FangerPMV(Hourly)",'Eplus results'!$1:$1048576,ROW(),FALSE)</f>
        <v>0</v>
      </c>
      <c r="AD4258" s="580">
        <f t="shared" si="366"/>
        <v>5</v>
      </c>
      <c r="AE4258" s="580">
        <f t="shared" si="367"/>
        <v>2.5</v>
      </c>
      <c r="AF4258" s="580">
        <f t="shared" si="368"/>
        <v>2.5</v>
      </c>
      <c r="AG4258" s="580">
        <f t="shared" si="369"/>
        <v>0</v>
      </c>
      <c r="AH4258" s="580">
        <f t="shared" si="370"/>
        <v>0</v>
      </c>
    </row>
    <row r="4259" spans="28:34">
      <c r="AB4259" s="580">
        <f>HLOOKUP("*"&amp;'Output annual'!$AC$2&amp;'Output annual'!$AD$2&amp;"*Zone People Number Of Occupants [](Hourly)",'Eplus results'!$1:$1048576,ROW(),FALSE)</f>
        <v>0</v>
      </c>
      <c r="AC4259" s="580">
        <f>HLOOKUP("*"&amp;'Output annual'!$AC$2&amp;'Output annual'!$AD$2&amp;"*FangerPMV(Hourly)",'Eplus results'!$1:$1048576,ROW(),FALSE)</f>
        <v>0</v>
      </c>
      <c r="AD4259" s="580">
        <f t="shared" si="366"/>
        <v>5</v>
      </c>
      <c r="AE4259" s="580">
        <f t="shared" si="367"/>
        <v>2.5</v>
      </c>
      <c r="AF4259" s="580">
        <f t="shared" si="368"/>
        <v>2.5</v>
      </c>
      <c r="AG4259" s="580">
        <f t="shared" si="369"/>
        <v>0</v>
      </c>
      <c r="AH4259" s="580">
        <f t="shared" si="370"/>
        <v>0</v>
      </c>
    </row>
    <row r="4260" spans="28:34">
      <c r="AB4260" s="580">
        <f>HLOOKUP("*"&amp;'Output annual'!$AC$2&amp;'Output annual'!$AD$2&amp;"*Zone People Number Of Occupants [](Hourly)",'Eplus results'!$1:$1048576,ROW(),FALSE)</f>
        <v>0</v>
      </c>
      <c r="AC4260" s="580">
        <f>HLOOKUP("*"&amp;'Output annual'!$AC$2&amp;'Output annual'!$AD$2&amp;"*FangerPMV(Hourly)",'Eplus results'!$1:$1048576,ROW(),FALSE)</f>
        <v>0</v>
      </c>
      <c r="AD4260" s="580">
        <f t="shared" si="366"/>
        <v>5</v>
      </c>
      <c r="AE4260" s="580">
        <f t="shared" si="367"/>
        <v>2.5</v>
      </c>
      <c r="AF4260" s="580">
        <f t="shared" si="368"/>
        <v>2.5</v>
      </c>
      <c r="AG4260" s="580">
        <f t="shared" si="369"/>
        <v>0</v>
      </c>
      <c r="AH4260" s="580">
        <f t="shared" si="370"/>
        <v>0</v>
      </c>
    </row>
    <row r="4261" spans="28:34">
      <c r="AB4261" s="580">
        <f>HLOOKUP("*"&amp;'Output annual'!$AC$2&amp;'Output annual'!$AD$2&amp;"*Zone People Number Of Occupants [](Hourly)",'Eplus results'!$1:$1048576,ROW(),FALSE)</f>
        <v>0</v>
      </c>
      <c r="AC4261" s="580">
        <f>HLOOKUP("*"&amp;'Output annual'!$AC$2&amp;'Output annual'!$AD$2&amp;"*FangerPMV(Hourly)",'Eplus results'!$1:$1048576,ROW(),FALSE)</f>
        <v>0</v>
      </c>
      <c r="AD4261" s="580">
        <f t="shared" si="366"/>
        <v>5</v>
      </c>
      <c r="AE4261" s="580">
        <f t="shared" si="367"/>
        <v>2.5</v>
      </c>
      <c r="AF4261" s="580">
        <f t="shared" si="368"/>
        <v>2.5</v>
      </c>
      <c r="AG4261" s="580">
        <f t="shared" si="369"/>
        <v>0</v>
      </c>
      <c r="AH4261" s="580">
        <f t="shared" si="370"/>
        <v>0</v>
      </c>
    </row>
    <row r="4262" spans="28:34">
      <c r="AB4262" s="580">
        <f>HLOOKUP("*"&amp;'Output annual'!$AC$2&amp;'Output annual'!$AD$2&amp;"*Zone People Number Of Occupants [](Hourly)",'Eplus results'!$1:$1048576,ROW(),FALSE)</f>
        <v>0</v>
      </c>
      <c r="AC4262" s="580">
        <f>HLOOKUP("*"&amp;'Output annual'!$AC$2&amp;'Output annual'!$AD$2&amp;"*FangerPMV(Hourly)",'Eplus results'!$1:$1048576,ROW(),FALSE)</f>
        <v>0</v>
      </c>
      <c r="AD4262" s="580">
        <f t="shared" si="366"/>
        <v>5</v>
      </c>
      <c r="AE4262" s="580">
        <f t="shared" si="367"/>
        <v>2.5</v>
      </c>
      <c r="AF4262" s="580">
        <f t="shared" si="368"/>
        <v>2.5</v>
      </c>
      <c r="AG4262" s="580">
        <f t="shared" si="369"/>
        <v>0</v>
      </c>
      <c r="AH4262" s="580">
        <f t="shared" si="370"/>
        <v>0</v>
      </c>
    </row>
    <row r="4263" spans="28:34">
      <c r="AB4263" s="580">
        <f>HLOOKUP("*"&amp;'Output annual'!$AC$2&amp;'Output annual'!$AD$2&amp;"*Zone People Number Of Occupants [](Hourly)",'Eplus results'!$1:$1048576,ROW(),FALSE)</f>
        <v>0</v>
      </c>
      <c r="AC4263" s="580">
        <f>HLOOKUP("*"&amp;'Output annual'!$AC$2&amp;'Output annual'!$AD$2&amp;"*FangerPMV(Hourly)",'Eplus results'!$1:$1048576,ROW(),FALSE)</f>
        <v>0</v>
      </c>
      <c r="AD4263" s="580">
        <f t="shared" si="366"/>
        <v>5</v>
      </c>
      <c r="AE4263" s="580">
        <f t="shared" si="367"/>
        <v>2.5</v>
      </c>
      <c r="AF4263" s="580">
        <f t="shared" si="368"/>
        <v>2.5</v>
      </c>
      <c r="AG4263" s="580">
        <f t="shared" si="369"/>
        <v>0</v>
      </c>
      <c r="AH4263" s="580">
        <f t="shared" si="370"/>
        <v>0</v>
      </c>
    </row>
    <row r="4264" spans="28:34">
      <c r="AB4264" s="580">
        <f>HLOOKUP("*"&amp;'Output annual'!$AC$2&amp;'Output annual'!$AD$2&amp;"*Zone People Number Of Occupants [](Hourly)",'Eplus results'!$1:$1048576,ROW(),FALSE)</f>
        <v>0</v>
      </c>
      <c r="AC4264" s="580">
        <f>HLOOKUP("*"&amp;'Output annual'!$AC$2&amp;'Output annual'!$AD$2&amp;"*FangerPMV(Hourly)",'Eplus results'!$1:$1048576,ROW(),FALSE)</f>
        <v>0</v>
      </c>
      <c r="AD4264" s="580">
        <f t="shared" si="366"/>
        <v>5</v>
      </c>
      <c r="AE4264" s="580">
        <f t="shared" si="367"/>
        <v>2.5</v>
      </c>
      <c r="AF4264" s="580">
        <f t="shared" si="368"/>
        <v>2.5</v>
      </c>
      <c r="AG4264" s="580">
        <f t="shared" si="369"/>
        <v>0</v>
      </c>
      <c r="AH4264" s="580">
        <f t="shared" si="370"/>
        <v>0</v>
      </c>
    </row>
    <row r="4265" spans="28:34">
      <c r="AB4265" s="580">
        <f>HLOOKUP("*"&amp;'Output annual'!$AC$2&amp;'Output annual'!$AD$2&amp;"*Zone People Number Of Occupants [](Hourly)",'Eplus results'!$1:$1048576,ROW(),FALSE)</f>
        <v>0</v>
      </c>
      <c r="AC4265" s="580">
        <f>HLOOKUP("*"&amp;'Output annual'!$AC$2&amp;'Output annual'!$AD$2&amp;"*FangerPMV(Hourly)",'Eplus results'!$1:$1048576,ROW(),FALSE)</f>
        <v>0</v>
      </c>
      <c r="AD4265" s="580">
        <f t="shared" si="366"/>
        <v>5</v>
      </c>
      <c r="AE4265" s="580">
        <f t="shared" si="367"/>
        <v>2.5</v>
      </c>
      <c r="AF4265" s="580">
        <f t="shared" si="368"/>
        <v>2.5</v>
      </c>
      <c r="AG4265" s="580">
        <f t="shared" si="369"/>
        <v>0</v>
      </c>
      <c r="AH4265" s="580">
        <f t="shared" si="370"/>
        <v>0</v>
      </c>
    </row>
    <row r="4266" spans="28:34">
      <c r="AB4266" s="580">
        <f>HLOOKUP("*"&amp;'Output annual'!$AC$2&amp;'Output annual'!$AD$2&amp;"*Zone People Number Of Occupants [](Hourly)",'Eplus results'!$1:$1048576,ROW(),FALSE)</f>
        <v>0</v>
      </c>
      <c r="AC4266" s="580">
        <f>HLOOKUP("*"&amp;'Output annual'!$AC$2&amp;'Output annual'!$AD$2&amp;"*FangerPMV(Hourly)",'Eplus results'!$1:$1048576,ROW(),FALSE)</f>
        <v>0</v>
      </c>
      <c r="AD4266" s="580">
        <f t="shared" si="366"/>
        <v>5</v>
      </c>
      <c r="AE4266" s="580">
        <f t="shared" si="367"/>
        <v>2.5</v>
      </c>
      <c r="AF4266" s="580">
        <f t="shared" si="368"/>
        <v>2.5</v>
      </c>
      <c r="AG4266" s="580">
        <f t="shared" si="369"/>
        <v>0</v>
      </c>
      <c r="AH4266" s="580">
        <f t="shared" si="370"/>
        <v>0</v>
      </c>
    </row>
    <row r="4267" spans="28:34">
      <c r="AB4267" s="580">
        <f>HLOOKUP("*"&amp;'Output annual'!$AC$2&amp;'Output annual'!$AD$2&amp;"*Zone People Number Of Occupants [](Hourly)",'Eplus results'!$1:$1048576,ROW(),FALSE)</f>
        <v>0</v>
      </c>
      <c r="AC4267" s="580">
        <f>HLOOKUP("*"&amp;'Output annual'!$AC$2&amp;'Output annual'!$AD$2&amp;"*FangerPMV(Hourly)",'Eplus results'!$1:$1048576,ROW(),FALSE)</f>
        <v>0</v>
      </c>
      <c r="AD4267" s="580">
        <f t="shared" si="366"/>
        <v>5</v>
      </c>
      <c r="AE4267" s="580">
        <f t="shared" si="367"/>
        <v>2.5</v>
      </c>
      <c r="AF4267" s="580">
        <f t="shared" si="368"/>
        <v>2.5</v>
      </c>
      <c r="AG4267" s="580">
        <f t="shared" si="369"/>
        <v>0</v>
      </c>
      <c r="AH4267" s="580">
        <f t="shared" si="370"/>
        <v>0</v>
      </c>
    </row>
    <row r="4268" spans="28:34">
      <c r="AB4268" s="580">
        <f>HLOOKUP("*"&amp;'Output annual'!$AC$2&amp;'Output annual'!$AD$2&amp;"*Zone People Number Of Occupants [](Hourly)",'Eplus results'!$1:$1048576,ROW(),FALSE)</f>
        <v>0</v>
      </c>
      <c r="AC4268" s="580">
        <f>HLOOKUP("*"&amp;'Output annual'!$AC$2&amp;'Output annual'!$AD$2&amp;"*FangerPMV(Hourly)",'Eplus results'!$1:$1048576,ROW(),FALSE)</f>
        <v>0</v>
      </c>
      <c r="AD4268" s="580">
        <f t="shared" si="366"/>
        <v>5</v>
      </c>
      <c r="AE4268" s="580">
        <f t="shared" si="367"/>
        <v>2.5</v>
      </c>
      <c r="AF4268" s="580">
        <f t="shared" si="368"/>
        <v>2.5</v>
      </c>
      <c r="AG4268" s="580">
        <f t="shared" si="369"/>
        <v>0</v>
      </c>
      <c r="AH4268" s="580">
        <f t="shared" si="370"/>
        <v>0</v>
      </c>
    </row>
    <row r="4269" spans="28:34">
      <c r="AB4269" s="580">
        <f>HLOOKUP("*"&amp;'Output annual'!$AC$2&amp;'Output annual'!$AD$2&amp;"*Zone People Number Of Occupants [](Hourly)",'Eplus results'!$1:$1048576,ROW(),FALSE)</f>
        <v>0</v>
      </c>
      <c r="AC4269" s="580">
        <f>HLOOKUP("*"&amp;'Output annual'!$AC$2&amp;'Output annual'!$AD$2&amp;"*FangerPMV(Hourly)",'Eplus results'!$1:$1048576,ROW(),FALSE)</f>
        <v>0</v>
      </c>
      <c r="AD4269" s="580">
        <f t="shared" si="366"/>
        <v>5</v>
      </c>
      <c r="AE4269" s="580">
        <f t="shared" si="367"/>
        <v>2.5</v>
      </c>
      <c r="AF4269" s="580">
        <f t="shared" si="368"/>
        <v>2.5</v>
      </c>
      <c r="AG4269" s="580">
        <f t="shared" si="369"/>
        <v>0</v>
      </c>
      <c r="AH4269" s="580">
        <f t="shared" si="370"/>
        <v>0</v>
      </c>
    </row>
    <row r="4270" spans="28:34">
      <c r="AB4270" s="580">
        <f>HLOOKUP("*"&amp;'Output annual'!$AC$2&amp;'Output annual'!$AD$2&amp;"*Zone People Number Of Occupants [](Hourly)",'Eplus results'!$1:$1048576,ROW(),FALSE)</f>
        <v>0</v>
      </c>
      <c r="AC4270" s="580">
        <f>HLOOKUP("*"&amp;'Output annual'!$AC$2&amp;'Output annual'!$AD$2&amp;"*FangerPMV(Hourly)",'Eplus results'!$1:$1048576,ROW(),FALSE)</f>
        <v>0</v>
      </c>
      <c r="AD4270" s="580">
        <f t="shared" si="366"/>
        <v>5</v>
      </c>
      <c r="AE4270" s="580">
        <f t="shared" si="367"/>
        <v>2.5</v>
      </c>
      <c r="AF4270" s="580">
        <f t="shared" si="368"/>
        <v>2.5</v>
      </c>
      <c r="AG4270" s="580">
        <f t="shared" si="369"/>
        <v>0</v>
      </c>
      <c r="AH4270" s="580">
        <f t="shared" si="370"/>
        <v>0</v>
      </c>
    </row>
    <row r="4271" spans="28:34">
      <c r="AB4271" s="580">
        <f>HLOOKUP("*"&amp;'Output annual'!$AC$2&amp;'Output annual'!$AD$2&amp;"*Zone People Number Of Occupants [](Hourly)",'Eplus results'!$1:$1048576,ROW(),FALSE)</f>
        <v>0</v>
      </c>
      <c r="AC4271" s="580">
        <f>HLOOKUP("*"&amp;'Output annual'!$AC$2&amp;'Output annual'!$AD$2&amp;"*FangerPMV(Hourly)",'Eplus results'!$1:$1048576,ROW(),FALSE)</f>
        <v>0</v>
      </c>
      <c r="AD4271" s="580">
        <f t="shared" si="366"/>
        <v>5</v>
      </c>
      <c r="AE4271" s="580">
        <f t="shared" si="367"/>
        <v>2.5</v>
      </c>
      <c r="AF4271" s="580">
        <f t="shared" si="368"/>
        <v>2.5</v>
      </c>
      <c r="AG4271" s="580">
        <f t="shared" si="369"/>
        <v>0</v>
      </c>
      <c r="AH4271" s="580">
        <f t="shared" si="370"/>
        <v>0</v>
      </c>
    </row>
    <row r="4272" spans="28:34">
      <c r="AB4272" s="580">
        <f>HLOOKUP("*"&amp;'Output annual'!$AC$2&amp;'Output annual'!$AD$2&amp;"*Zone People Number Of Occupants [](Hourly)",'Eplus results'!$1:$1048576,ROW(),FALSE)</f>
        <v>0</v>
      </c>
      <c r="AC4272" s="580">
        <f>HLOOKUP("*"&amp;'Output annual'!$AC$2&amp;'Output annual'!$AD$2&amp;"*FangerPMV(Hourly)",'Eplus results'!$1:$1048576,ROW(),FALSE)</f>
        <v>0</v>
      </c>
      <c r="AD4272" s="580">
        <f t="shared" si="366"/>
        <v>5</v>
      </c>
      <c r="AE4272" s="580">
        <f t="shared" si="367"/>
        <v>2.5</v>
      </c>
      <c r="AF4272" s="580">
        <f t="shared" si="368"/>
        <v>2.5</v>
      </c>
      <c r="AG4272" s="580">
        <f t="shared" si="369"/>
        <v>0</v>
      </c>
      <c r="AH4272" s="580">
        <f t="shared" si="370"/>
        <v>0</v>
      </c>
    </row>
    <row r="4273" spans="28:34">
      <c r="AB4273" s="580">
        <f>HLOOKUP("*"&amp;'Output annual'!$AC$2&amp;'Output annual'!$AD$2&amp;"*Zone People Number Of Occupants [](Hourly)",'Eplus results'!$1:$1048576,ROW(),FALSE)</f>
        <v>0</v>
      </c>
      <c r="AC4273" s="580">
        <f>HLOOKUP("*"&amp;'Output annual'!$AC$2&amp;'Output annual'!$AD$2&amp;"*FangerPMV(Hourly)",'Eplus results'!$1:$1048576,ROW(),FALSE)</f>
        <v>0</v>
      </c>
      <c r="AD4273" s="580">
        <f t="shared" si="366"/>
        <v>5</v>
      </c>
      <c r="AE4273" s="580">
        <f t="shared" si="367"/>
        <v>2.5</v>
      </c>
      <c r="AF4273" s="580">
        <f t="shared" si="368"/>
        <v>2.5</v>
      </c>
      <c r="AG4273" s="580">
        <f t="shared" si="369"/>
        <v>0</v>
      </c>
      <c r="AH4273" s="580">
        <f t="shared" si="370"/>
        <v>0</v>
      </c>
    </row>
    <row r="4274" spans="28:34">
      <c r="AB4274" s="580">
        <f>HLOOKUP("*"&amp;'Output annual'!$AC$2&amp;'Output annual'!$AD$2&amp;"*Zone People Number Of Occupants [](Hourly)",'Eplus results'!$1:$1048576,ROW(),FALSE)</f>
        <v>0</v>
      </c>
      <c r="AC4274" s="580">
        <f>HLOOKUP("*"&amp;'Output annual'!$AC$2&amp;'Output annual'!$AD$2&amp;"*FangerPMV(Hourly)",'Eplus results'!$1:$1048576,ROW(),FALSE)</f>
        <v>0</v>
      </c>
      <c r="AD4274" s="580">
        <f t="shared" si="366"/>
        <v>5</v>
      </c>
      <c r="AE4274" s="580">
        <f t="shared" si="367"/>
        <v>2.5</v>
      </c>
      <c r="AF4274" s="580">
        <f t="shared" si="368"/>
        <v>2.5</v>
      </c>
      <c r="AG4274" s="580">
        <f t="shared" si="369"/>
        <v>0</v>
      </c>
      <c r="AH4274" s="580">
        <f t="shared" si="370"/>
        <v>0</v>
      </c>
    </row>
    <row r="4275" spans="28:34">
      <c r="AB4275" s="580">
        <f>HLOOKUP("*"&amp;'Output annual'!$AC$2&amp;'Output annual'!$AD$2&amp;"*Zone People Number Of Occupants [](Hourly)",'Eplus results'!$1:$1048576,ROW(),FALSE)</f>
        <v>0</v>
      </c>
      <c r="AC4275" s="580">
        <f>HLOOKUP("*"&amp;'Output annual'!$AC$2&amp;'Output annual'!$AD$2&amp;"*FangerPMV(Hourly)",'Eplus results'!$1:$1048576,ROW(),FALSE)</f>
        <v>0</v>
      </c>
      <c r="AD4275" s="580">
        <f t="shared" si="366"/>
        <v>5</v>
      </c>
      <c r="AE4275" s="580">
        <f t="shared" si="367"/>
        <v>2.5</v>
      </c>
      <c r="AF4275" s="580">
        <f t="shared" si="368"/>
        <v>2.5</v>
      </c>
      <c r="AG4275" s="580">
        <f t="shared" si="369"/>
        <v>0</v>
      </c>
      <c r="AH4275" s="580">
        <f t="shared" si="370"/>
        <v>0</v>
      </c>
    </row>
    <row r="4276" spans="28:34">
      <c r="AB4276" s="580">
        <f>HLOOKUP("*"&amp;'Output annual'!$AC$2&amp;'Output annual'!$AD$2&amp;"*Zone People Number Of Occupants [](Hourly)",'Eplus results'!$1:$1048576,ROW(),FALSE)</f>
        <v>0</v>
      </c>
      <c r="AC4276" s="580">
        <f>HLOOKUP("*"&amp;'Output annual'!$AC$2&amp;'Output annual'!$AD$2&amp;"*FangerPMV(Hourly)",'Eplus results'!$1:$1048576,ROW(),FALSE)</f>
        <v>0</v>
      </c>
      <c r="AD4276" s="580">
        <f t="shared" si="366"/>
        <v>5</v>
      </c>
      <c r="AE4276" s="580">
        <f t="shared" si="367"/>
        <v>2.5</v>
      </c>
      <c r="AF4276" s="580">
        <f t="shared" si="368"/>
        <v>2.5</v>
      </c>
      <c r="AG4276" s="580">
        <f t="shared" si="369"/>
        <v>0</v>
      </c>
      <c r="AH4276" s="580">
        <f t="shared" si="370"/>
        <v>0</v>
      </c>
    </row>
    <row r="4277" spans="28:34">
      <c r="AB4277" s="580">
        <f>HLOOKUP("*"&amp;'Output annual'!$AC$2&amp;'Output annual'!$AD$2&amp;"*Zone People Number Of Occupants [](Hourly)",'Eplus results'!$1:$1048576,ROW(),FALSE)</f>
        <v>0</v>
      </c>
      <c r="AC4277" s="580">
        <f>HLOOKUP("*"&amp;'Output annual'!$AC$2&amp;'Output annual'!$AD$2&amp;"*FangerPMV(Hourly)",'Eplus results'!$1:$1048576,ROW(),FALSE)</f>
        <v>0</v>
      </c>
      <c r="AD4277" s="580">
        <f t="shared" si="366"/>
        <v>5</v>
      </c>
      <c r="AE4277" s="580">
        <f t="shared" si="367"/>
        <v>2.5</v>
      </c>
      <c r="AF4277" s="580">
        <f t="shared" si="368"/>
        <v>2.5</v>
      </c>
      <c r="AG4277" s="580">
        <f t="shared" si="369"/>
        <v>0</v>
      </c>
      <c r="AH4277" s="580">
        <f t="shared" si="370"/>
        <v>0</v>
      </c>
    </row>
    <row r="4278" spans="28:34">
      <c r="AB4278" s="580">
        <f>HLOOKUP("*"&amp;'Output annual'!$AC$2&amp;'Output annual'!$AD$2&amp;"*Zone People Number Of Occupants [](Hourly)",'Eplus results'!$1:$1048576,ROW(),FALSE)</f>
        <v>0</v>
      </c>
      <c r="AC4278" s="580">
        <f>HLOOKUP("*"&amp;'Output annual'!$AC$2&amp;'Output annual'!$AD$2&amp;"*FangerPMV(Hourly)",'Eplus results'!$1:$1048576,ROW(),FALSE)</f>
        <v>0</v>
      </c>
      <c r="AD4278" s="580">
        <f t="shared" si="366"/>
        <v>5</v>
      </c>
      <c r="AE4278" s="580">
        <f t="shared" si="367"/>
        <v>2.5</v>
      </c>
      <c r="AF4278" s="580">
        <f t="shared" si="368"/>
        <v>2.5</v>
      </c>
      <c r="AG4278" s="580">
        <f t="shared" si="369"/>
        <v>0</v>
      </c>
      <c r="AH4278" s="580">
        <f t="shared" si="370"/>
        <v>0</v>
      </c>
    </row>
    <row r="4279" spans="28:34">
      <c r="AB4279" s="580">
        <f>HLOOKUP("*"&amp;'Output annual'!$AC$2&amp;'Output annual'!$AD$2&amp;"*Zone People Number Of Occupants [](Hourly)",'Eplus results'!$1:$1048576,ROW(),FALSE)</f>
        <v>0</v>
      </c>
      <c r="AC4279" s="580">
        <f>HLOOKUP("*"&amp;'Output annual'!$AC$2&amp;'Output annual'!$AD$2&amp;"*FangerPMV(Hourly)",'Eplus results'!$1:$1048576,ROW(),FALSE)</f>
        <v>0</v>
      </c>
      <c r="AD4279" s="580">
        <f t="shared" si="366"/>
        <v>5</v>
      </c>
      <c r="AE4279" s="580">
        <f t="shared" si="367"/>
        <v>2.5</v>
      </c>
      <c r="AF4279" s="580">
        <f t="shared" si="368"/>
        <v>2.5</v>
      </c>
      <c r="AG4279" s="580">
        <f t="shared" si="369"/>
        <v>0</v>
      </c>
      <c r="AH4279" s="580">
        <f t="shared" si="370"/>
        <v>0</v>
      </c>
    </row>
    <row r="4280" spans="28:34">
      <c r="AB4280" s="580">
        <f>HLOOKUP("*"&amp;'Output annual'!$AC$2&amp;'Output annual'!$AD$2&amp;"*Zone People Number Of Occupants [](Hourly)",'Eplus results'!$1:$1048576,ROW(),FALSE)</f>
        <v>0</v>
      </c>
      <c r="AC4280" s="580">
        <f>HLOOKUP("*"&amp;'Output annual'!$AC$2&amp;'Output annual'!$AD$2&amp;"*FangerPMV(Hourly)",'Eplus results'!$1:$1048576,ROW(),FALSE)</f>
        <v>0</v>
      </c>
      <c r="AD4280" s="580">
        <f t="shared" si="366"/>
        <v>5</v>
      </c>
      <c r="AE4280" s="580">
        <f t="shared" si="367"/>
        <v>2.5</v>
      </c>
      <c r="AF4280" s="580">
        <f t="shared" si="368"/>
        <v>2.5</v>
      </c>
      <c r="AG4280" s="580">
        <f t="shared" si="369"/>
        <v>0</v>
      </c>
      <c r="AH4280" s="580">
        <f t="shared" si="370"/>
        <v>0</v>
      </c>
    </row>
    <row r="4281" spans="28:34">
      <c r="AB4281" s="580">
        <f>HLOOKUP("*"&amp;'Output annual'!$AC$2&amp;'Output annual'!$AD$2&amp;"*Zone People Number Of Occupants [](Hourly)",'Eplus results'!$1:$1048576,ROW(),FALSE)</f>
        <v>0</v>
      </c>
      <c r="AC4281" s="580">
        <f>HLOOKUP("*"&amp;'Output annual'!$AC$2&amp;'Output annual'!$AD$2&amp;"*FangerPMV(Hourly)",'Eplus results'!$1:$1048576,ROW(),FALSE)</f>
        <v>0</v>
      </c>
      <c r="AD4281" s="580">
        <f t="shared" si="366"/>
        <v>5</v>
      </c>
      <c r="AE4281" s="580">
        <f t="shared" si="367"/>
        <v>2.5</v>
      </c>
      <c r="AF4281" s="580">
        <f t="shared" si="368"/>
        <v>2.5</v>
      </c>
      <c r="AG4281" s="580">
        <f t="shared" si="369"/>
        <v>0</v>
      </c>
      <c r="AH4281" s="580">
        <f t="shared" si="370"/>
        <v>0</v>
      </c>
    </row>
    <row r="4282" spans="28:34">
      <c r="AB4282" s="580">
        <f>HLOOKUP("*"&amp;'Output annual'!$AC$2&amp;'Output annual'!$AD$2&amp;"*Zone People Number Of Occupants [](Hourly)",'Eplus results'!$1:$1048576,ROW(),FALSE)</f>
        <v>0</v>
      </c>
      <c r="AC4282" s="580">
        <f>HLOOKUP("*"&amp;'Output annual'!$AC$2&amp;'Output annual'!$AD$2&amp;"*FangerPMV(Hourly)",'Eplus results'!$1:$1048576,ROW(),FALSE)</f>
        <v>0</v>
      </c>
      <c r="AD4282" s="580">
        <f t="shared" si="366"/>
        <v>5</v>
      </c>
      <c r="AE4282" s="580">
        <f t="shared" si="367"/>
        <v>2.5</v>
      </c>
      <c r="AF4282" s="580">
        <f t="shared" si="368"/>
        <v>2.5</v>
      </c>
      <c r="AG4282" s="580">
        <f t="shared" si="369"/>
        <v>0</v>
      </c>
      <c r="AH4282" s="580">
        <f t="shared" si="370"/>
        <v>0</v>
      </c>
    </row>
    <row r="4283" spans="28:34">
      <c r="AB4283" s="580">
        <f>HLOOKUP("*"&amp;'Output annual'!$AC$2&amp;'Output annual'!$AD$2&amp;"*Zone People Number Of Occupants [](Hourly)",'Eplus results'!$1:$1048576,ROW(),FALSE)</f>
        <v>0</v>
      </c>
      <c r="AC4283" s="580">
        <f>HLOOKUP("*"&amp;'Output annual'!$AC$2&amp;'Output annual'!$AD$2&amp;"*FangerPMV(Hourly)",'Eplus results'!$1:$1048576,ROW(),FALSE)</f>
        <v>0</v>
      </c>
      <c r="AD4283" s="580">
        <f t="shared" si="366"/>
        <v>5</v>
      </c>
      <c r="AE4283" s="580">
        <f t="shared" si="367"/>
        <v>2.5</v>
      </c>
      <c r="AF4283" s="580">
        <f t="shared" si="368"/>
        <v>2.5</v>
      </c>
      <c r="AG4283" s="580">
        <f t="shared" si="369"/>
        <v>0</v>
      </c>
      <c r="AH4283" s="580">
        <f t="shared" si="370"/>
        <v>0</v>
      </c>
    </row>
    <row r="4284" spans="28:34">
      <c r="AB4284" s="580">
        <f>HLOOKUP("*"&amp;'Output annual'!$AC$2&amp;'Output annual'!$AD$2&amp;"*Zone People Number Of Occupants [](Hourly)",'Eplus results'!$1:$1048576,ROW(),FALSE)</f>
        <v>0</v>
      </c>
      <c r="AC4284" s="580">
        <f>HLOOKUP("*"&amp;'Output annual'!$AC$2&amp;'Output annual'!$AD$2&amp;"*FangerPMV(Hourly)",'Eplus results'!$1:$1048576,ROW(),FALSE)</f>
        <v>0</v>
      </c>
      <c r="AD4284" s="580">
        <f t="shared" si="366"/>
        <v>5</v>
      </c>
      <c r="AE4284" s="580">
        <f t="shared" si="367"/>
        <v>2.5</v>
      </c>
      <c r="AF4284" s="580">
        <f t="shared" si="368"/>
        <v>2.5</v>
      </c>
      <c r="AG4284" s="580">
        <f t="shared" si="369"/>
        <v>0</v>
      </c>
      <c r="AH4284" s="580">
        <f t="shared" si="370"/>
        <v>0</v>
      </c>
    </row>
    <row r="4285" spans="28:34">
      <c r="AB4285" s="580">
        <f>HLOOKUP("*"&amp;'Output annual'!$AC$2&amp;'Output annual'!$AD$2&amp;"*Zone People Number Of Occupants [](Hourly)",'Eplus results'!$1:$1048576,ROW(),FALSE)</f>
        <v>0</v>
      </c>
      <c r="AC4285" s="580">
        <f>HLOOKUP("*"&amp;'Output annual'!$AC$2&amp;'Output annual'!$AD$2&amp;"*FangerPMV(Hourly)",'Eplus results'!$1:$1048576,ROW(),FALSE)</f>
        <v>0</v>
      </c>
      <c r="AD4285" s="580">
        <f t="shared" si="366"/>
        <v>5</v>
      </c>
      <c r="AE4285" s="580">
        <f t="shared" si="367"/>
        <v>2.5</v>
      </c>
      <c r="AF4285" s="580">
        <f t="shared" si="368"/>
        <v>2.5</v>
      </c>
      <c r="AG4285" s="580">
        <f t="shared" si="369"/>
        <v>0</v>
      </c>
      <c r="AH4285" s="580">
        <f t="shared" si="370"/>
        <v>0</v>
      </c>
    </row>
    <row r="4286" spans="28:34">
      <c r="AB4286" s="580">
        <f>HLOOKUP("*"&amp;'Output annual'!$AC$2&amp;'Output annual'!$AD$2&amp;"*Zone People Number Of Occupants [](Hourly)",'Eplus results'!$1:$1048576,ROW(),FALSE)</f>
        <v>0</v>
      </c>
      <c r="AC4286" s="580">
        <f>HLOOKUP("*"&amp;'Output annual'!$AC$2&amp;'Output annual'!$AD$2&amp;"*FangerPMV(Hourly)",'Eplus results'!$1:$1048576,ROW(),FALSE)</f>
        <v>0</v>
      </c>
      <c r="AD4286" s="580">
        <f t="shared" si="366"/>
        <v>5</v>
      </c>
      <c r="AE4286" s="580">
        <f t="shared" si="367"/>
        <v>2.5</v>
      </c>
      <c r="AF4286" s="580">
        <f t="shared" si="368"/>
        <v>2.5</v>
      </c>
      <c r="AG4286" s="580">
        <f t="shared" si="369"/>
        <v>0</v>
      </c>
      <c r="AH4286" s="580">
        <f t="shared" si="370"/>
        <v>0</v>
      </c>
    </row>
    <row r="4287" spans="28:34">
      <c r="AB4287" s="580">
        <f>HLOOKUP("*"&amp;'Output annual'!$AC$2&amp;'Output annual'!$AD$2&amp;"*Zone People Number Of Occupants [](Hourly)",'Eplus results'!$1:$1048576,ROW(),FALSE)</f>
        <v>0</v>
      </c>
      <c r="AC4287" s="580">
        <f>HLOOKUP("*"&amp;'Output annual'!$AC$2&amp;'Output annual'!$AD$2&amp;"*FangerPMV(Hourly)",'Eplus results'!$1:$1048576,ROW(),FALSE)</f>
        <v>0</v>
      </c>
      <c r="AD4287" s="580">
        <f t="shared" si="366"/>
        <v>5</v>
      </c>
      <c r="AE4287" s="580">
        <f t="shared" si="367"/>
        <v>2.5</v>
      </c>
      <c r="AF4287" s="580">
        <f t="shared" si="368"/>
        <v>2.5</v>
      </c>
      <c r="AG4287" s="580">
        <f t="shared" si="369"/>
        <v>0</v>
      </c>
      <c r="AH4287" s="580">
        <f t="shared" si="370"/>
        <v>0</v>
      </c>
    </row>
    <row r="4288" spans="28:34">
      <c r="AB4288" s="580">
        <f>HLOOKUP("*"&amp;'Output annual'!$AC$2&amp;'Output annual'!$AD$2&amp;"*Zone People Number Of Occupants [](Hourly)",'Eplus results'!$1:$1048576,ROW(),FALSE)</f>
        <v>0</v>
      </c>
      <c r="AC4288" s="580">
        <f>HLOOKUP("*"&amp;'Output annual'!$AC$2&amp;'Output annual'!$AD$2&amp;"*FangerPMV(Hourly)",'Eplus results'!$1:$1048576,ROW(),FALSE)</f>
        <v>0</v>
      </c>
      <c r="AD4288" s="580">
        <f t="shared" si="366"/>
        <v>5</v>
      </c>
      <c r="AE4288" s="580">
        <f t="shared" si="367"/>
        <v>2.5</v>
      </c>
      <c r="AF4288" s="580">
        <f t="shared" si="368"/>
        <v>2.5</v>
      </c>
      <c r="AG4288" s="580">
        <f t="shared" si="369"/>
        <v>0</v>
      </c>
      <c r="AH4288" s="580">
        <f t="shared" si="370"/>
        <v>0</v>
      </c>
    </row>
    <row r="4289" spans="28:34">
      <c r="AB4289" s="580">
        <f>HLOOKUP("*"&amp;'Output annual'!$AC$2&amp;'Output annual'!$AD$2&amp;"*Zone People Number Of Occupants [](Hourly)",'Eplus results'!$1:$1048576,ROW(),FALSE)</f>
        <v>0</v>
      </c>
      <c r="AC4289" s="580">
        <f>HLOOKUP("*"&amp;'Output annual'!$AC$2&amp;'Output annual'!$AD$2&amp;"*FangerPMV(Hourly)",'Eplus results'!$1:$1048576,ROW(),FALSE)</f>
        <v>0</v>
      </c>
      <c r="AD4289" s="580">
        <f t="shared" si="366"/>
        <v>5</v>
      </c>
      <c r="AE4289" s="580">
        <f t="shared" si="367"/>
        <v>2.5</v>
      </c>
      <c r="AF4289" s="580">
        <f t="shared" si="368"/>
        <v>2.5</v>
      </c>
      <c r="AG4289" s="580">
        <f t="shared" si="369"/>
        <v>0</v>
      </c>
      <c r="AH4289" s="580">
        <f t="shared" si="370"/>
        <v>0</v>
      </c>
    </row>
    <row r="4290" spans="28:34">
      <c r="AB4290" s="580">
        <f>HLOOKUP("*"&amp;'Output annual'!$AC$2&amp;'Output annual'!$AD$2&amp;"*Zone People Number Of Occupants [](Hourly)",'Eplus results'!$1:$1048576,ROW(),FALSE)</f>
        <v>0</v>
      </c>
      <c r="AC4290" s="580">
        <f>HLOOKUP("*"&amp;'Output annual'!$AC$2&amp;'Output annual'!$AD$2&amp;"*FangerPMV(Hourly)",'Eplus results'!$1:$1048576,ROW(),FALSE)</f>
        <v>0</v>
      </c>
      <c r="AD4290" s="580">
        <f t="shared" si="366"/>
        <v>5</v>
      </c>
      <c r="AE4290" s="580">
        <f t="shared" si="367"/>
        <v>2.5</v>
      </c>
      <c r="AF4290" s="580">
        <f t="shared" si="368"/>
        <v>2.5</v>
      </c>
      <c r="AG4290" s="580">
        <f t="shared" si="369"/>
        <v>0</v>
      </c>
      <c r="AH4290" s="580">
        <f t="shared" si="370"/>
        <v>0</v>
      </c>
    </row>
    <row r="4291" spans="28:34">
      <c r="AB4291" s="580">
        <f>HLOOKUP("*"&amp;'Output annual'!$AC$2&amp;'Output annual'!$AD$2&amp;"*Zone People Number Of Occupants [](Hourly)",'Eplus results'!$1:$1048576,ROW(),FALSE)</f>
        <v>0</v>
      </c>
      <c r="AC4291" s="580">
        <f>HLOOKUP("*"&amp;'Output annual'!$AC$2&amp;'Output annual'!$AD$2&amp;"*FangerPMV(Hourly)",'Eplus results'!$1:$1048576,ROW(),FALSE)</f>
        <v>0</v>
      </c>
      <c r="AD4291" s="580">
        <f t="shared" ref="AD4291:AD4354" si="371">100-95*EXP(-0.03353*AC4291^4-0.2179*AC4291^2)</f>
        <v>5</v>
      </c>
      <c r="AE4291" s="580">
        <f t="shared" ref="AE4291:AE4354" si="372">AD4291*(1/(1+EXP(-6.3*$AC4291)))</f>
        <v>2.5</v>
      </c>
      <c r="AF4291" s="580">
        <f t="shared" ref="AF4291:AF4354" si="373">(AD4291-AE4291)</f>
        <v>2.5</v>
      </c>
      <c r="AG4291" s="580">
        <f t="shared" ref="AG4291:AG4354" si="374">AE4291*AB4291</f>
        <v>0</v>
      </c>
      <c r="AH4291" s="580">
        <f t="shared" ref="AH4291:AH4354" si="375">AF4291*AB4291</f>
        <v>0</v>
      </c>
    </row>
    <row r="4292" spans="28:34">
      <c r="AB4292" s="580">
        <f>HLOOKUP("*"&amp;'Output annual'!$AC$2&amp;'Output annual'!$AD$2&amp;"*Zone People Number Of Occupants [](Hourly)",'Eplus results'!$1:$1048576,ROW(),FALSE)</f>
        <v>0</v>
      </c>
      <c r="AC4292" s="580">
        <f>HLOOKUP("*"&amp;'Output annual'!$AC$2&amp;'Output annual'!$AD$2&amp;"*FangerPMV(Hourly)",'Eplus results'!$1:$1048576,ROW(),FALSE)</f>
        <v>0</v>
      </c>
      <c r="AD4292" s="580">
        <f t="shared" si="371"/>
        <v>5</v>
      </c>
      <c r="AE4292" s="580">
        <f t="shared" si="372"/>
        <v>2.5</v>
      </c>
      <c r="AF4292" s="580">
        <f t="shared" si="373"/>
        <v>2.5</v>
      </c>
      <c r="AG4292" s="580">
        <f t="shared" si="374"/>
        <v>0</v>
      </c>
      <c r="AH4292" s="580">
        <f t="shared" si="375"/>
        <v>0</v>
      </c>
    </row>
    <row r="4293" spans="28:34">
      <c r="AB4293" s="580">
        <f>HLOOKUP("*"&amp;'Output annual'!$AC$2&amp;'Output annual'!$AD$2&amp;"*Zone People Number Of Occupants [](Hourly)",'Eplus results'!$1:$1048576,ROW(),FALSE)</f>
        <v>0</v>
      </c>
      <c r="AC4293" s="580">
        <f>HLOOKUP("*"&amp;'Output annual'!$AC$2&amp;'Output annual'!$AD$2&amp;"*FangerPMV(Hourly)",'Eplus results'!$1:$1048576,ROW(),FALSE)</f>
        <v>0</v>
      </c>
      <c r="AD4293" s="580">
        <f t="shared" si="371"/>
        <v>5</v>
      </c>
      <c r="AE4293" s="580">
        <f t="shared" si="372"/>
        <v>2.5</v>
      </c>
      <c r="AF4293" s="580">
        <f t="shared" si="373"/>
        <v>2.5</v>
      </c>
      <c r="AG4293" s="580">
        <f t="shared" si="374"/>
        <v>0</v>
      </c>
      <c r="AH4293" s="580">
        <f t="shared" si="375"/>
        <v>0</v>
      </c>
    </row>
    <row r="4294" spans="28:34">
      <c r="AB4294" s="580">
        <f>HLOOKUP("*"&amp;'Output annual'!$AC$2&amp;'Output annual'!$AD$2&amp;"*Zone People Number Of Occupants [](Hourly)",'Eplus results'!$1:$1048576,ROW(),FALSE)</f>
        <v>0</v>
      </c>
      <c r="AC4294" s="580">
        <f>HLOOKUP("*"&amp;'Output annual'!$AC$2&amp;'Output annual'!$AD$2&amp;"*FangerPMV(Hourly)",'Eplus results'!$1:$1048576,ROW(),FALSE)</f>
        <v>0</v>
      </c>
      <c r="AD4294" s="580">
        <f t="shared" si="371"/>
        <v>5</v>
      </c>
      <c r="AE4294" s="580">
        <f t="shared" si="372"/>
        <v>2.5</v>
      </c>
      <c r="AF4294" s="580">
        <f t="shared" si="373"/>
        <v>2.5</v>
      </c>
      <c r="AG4294" s="580">
        <f t="shared" si="374"/>
        <v>0</v>
      </c>
      <c r="AH4294" s="580">
        <f t="shared" si="375"/>
        <v>0</v>
      </c>
    </row>
    <row r="4295" spans="28:34">
      <c r="AB4295" s="580">
        <f>HLOOKUP("*"&amp;'Output annual'!$AC$2&amp;'Output annual'!$AD$2&amp;"*Zone People Number Of Occupants [](Hourly)",'Eplus results'!$1:$1048576,ROW(),FALSE)</f>
        <v>0</v>
      </c>
      <c r="AC4295" s="580">
        <f>HLOOKUP("*"&amp;'Output annual'!$AC$2&amp;'Output annual'!$AD$2&amp;"*FangerPMV(Hourly)",'Eplus results'!$1:$1048576,ROW(),FALSE)</f>
        <v>0</v>
      </c>
      <c r="AD4295" s="580">
        <f t="shared" si="371"/>
        <v>5</v>
      </c>
      <c r="AE4295" s="580">
        <f t="shared" si="372"/>
        <v>2.5</v>
      </c>
      <c r="AF4295" s="580">
        <f t="shared" si="373"/>
        <v>2.5</v>
      </c>
      <c r="AG4295" s="580">
        <f t="shared" si="374"/>
        <v>0</v>
      </c>
      <c r="AH4295" s="580">
        <f t="shared" si="375"/>
        <v>0</v>
      </c>
    </row>
    <row r="4296" spans="28:34">
      <c r="AB4296" s="580">
        <f>HLOOKUP("*"&amp;'Output annual'!$AC$2&amp;'Output annual'!$AD$2&amp;"*Zone People Number Of Occupants [](Hourly)",'Eplus results'!$1:$1048576,ROW(),FALSE)</f>
        <v>0</v>
      </c>
      <c r="AC4296" s="580">
        <f>HLOOKUP("*"&amp;'Output annual'!$AC$2&amp;'Output annual'!$AD$2&amp;"*FangerPMV(Hourly)",'Eplus results'!$1:$1048576,ROW(),FALSE)</f>
        <v>0</v>
      </c>
      <c r="AD4296" s="580">
        <f t="shared" si="371"/>
        <v>5</v>
      </c>
      <c r="AE4296" s="580">
        <f t="shared" si="372"/>
        <v>2.5</v>
      </c>
      <c r="AF4296" s="580">
        <f t="shared" si="373"/>
        <v>2.5</v>
      </c>
      <c r="AG4296" s="580">
        <f t="shared" si="374"/>
        <v>0</v>
      </c>
      <c r="AH4296" s="580">
        <f t="shared" si="375"/>
        <v>0</v>
      </c>
    </row>
    <row r="4297" spans="28:34">
      <c r="AB4297" s="580">
        <f>HLOOKUP("*"&amp;'Output annual'!$AC$2&amp;'Output annual'!$AD$2&amp;"*Zone People Number Of Occupants [](Hourly)",'Eplus results'!$1:$1048576,ROW(),FALSE)</f>
        <v>0</v>
      </c>
      <c r="AC4297" s="580">
        <f>HLOOKUP("*"&amp;'Output annual'!$AC$2&amp;'Output annual'!$AD$2&amp;"*FangerPMV(Hourly)",'Eplus results'!$1:$1048576,ROW(),FALSE)</f>
        <v>0</v>
      </c>
      <c r="AD4297" s="580">
        <f t="shared" si="371"/>
        <v>5</v>
      </c>
      <c r="AE4297" s="580">
        <f t="shared" si="372"/>
        <v>2.5</v>
      </c>
      <c r="AF4297" s="580">
        <f t="shared" si="373"/>
        <v>2.5</v>
      </c>
      <c r="AG4297" s="580">
        <f t="shared" si="374"/>
        <v>0</v>
      </c>
      <c r="AH4297" s="580">
        <f t="shared" si="375"/>
        <v>0</v>
      </c>
    </row>
    <row r="4298" spans="28:34">
      <c r="AB4298" s="580">
        <f>HLOOKUP("*"&amp;'Output annual'!$AC$2&amp;'Output annual'!$AD$2&amp;"*Zone People Number Of Occupants [](Hourly)",'Eplus results'!$1:$1048576,ROW(),FALSE)</f>
        <v>0</v>
      </c>
      <c r="AC4298" s="580">
        <f>HLOOKUP("*"&amp;'Output annual'!$AC$2&amp;'Output annual'!$AD$2&amp;"*FangerPMV(Hourly)",'Eplus results'!$1:$1048576,ROW(),FALSE)</f>
        <v>0</v>
      </c>
      <c r="AD4298" s="580">
        <f t="shared" si="371"/>
        <v>5</v>
      </c>
      <c r="AE4298" s="580">
        <f t="shared" si="372"/>
        <v>2.5</v>
      </c>
      <c r="AF4298" s="580">
        <f t="shared" si="373"/>
        <v>2.5</v>
      </c>
      <c r="AG4298" s="580">
        <f t="shared" si="374"/>
        <v>0</v>
      </c>
      <c r="AH4298" s="580">
        <f t="shared" si="375"/>
        <v>0</v>
      </c>
    </row>
    <row r="4299" spans="28:34">
      <c r="AB4299" s="580">
        <f>HLOOKUP("*"&amp;'Output annual'!$AC$2&amp;'Output annual'!$AD$2&amp;"*Zone People Number Of Occupants [](Hourly)",'Eplus results'!$1:$1048576,ROW(),FALSE)</f>
        <v>0</v>
      </c>
      <c r="AC4299" s="580">
        <f>HLOOKUP("*"&amp;'Output annual'!$AC$2&amp;'Output annual'!$AD$2&amp;"*FangerPMV(Hourly)",'Eplus results'!$1:$1048576,ROW(),FALSE)</f>
        <v>0</v>
      </c>
      <c r="AD4299" s="580">
        <f t="shared" si="371"/>
        <v>5</v>
      </c>
      <c r="AE4299" s="580">
        <f t="shared" si="372"/>
        <v>2.5</v>
      </c>
      <c r="AF4299" s="580">
        <f t="shared" si="373"/>
        <v>2.5</v>
      </c>
      <c r="AG4299" s="580">
        <f t="shared" si="374"/>
        <v>0</v>
      </c>
      <c r="AH4299" s="580">
        <f t="shared" si="375"/>
        <v>0</v>
      </c>
    </row>
    <row r="4300" spans="28:34">
      <c r="AB4300" s="580">
        <f>HLOOKUP("*"&amp;'Output annual'!$AC$2&amp;'Output annual'!$AD$2&amp;"*Zone People Number Of Occupants [](Hourly)",'Eplus results'!$1:$1048576,ROW(),FALSE)</f>
        <v>0</v>
      </c>
      <c r="AC4300" s="580">
        <f>HLOOKUP("*"&amp;'Output annual'!$AC$2&amp;'Output annual'!$AD$2&amp;"*FangerPMV(Hourly)",'Eplus results'!$1:$1048576,ROW(),FALSE)</f>
        <v>0</v>
      </c>
      <c r="AD4300" s="580">
        <f t="shared" si="371"/>
        <v>5</v>
      </c>
      <c r="AE4300" s="580">
        <f t="shared" si="372"/>
        <v>2.5</v>
      </c>
      <c r="AF4300" s="580">
        <f t="shared" si="373"/>
        <v>2.5</v>
      </c>
      <c r="AG4300" s="580">
        <f t="shared" si="374"/>
        <v>0</v>
      </c>
      <c r="AH4300" s="580">
        <f t="shared" si="375"/>
        <v>0</v>
      </c>
    </row>
    <row r="4301" spans="28:34">
      <c r="AB4301" s="580">
        <f>HLOOKUP("*"&amp;'Output annual'!$AC$2&amp;'Output annual'!$AD$2&amp;"*Zone People Number Of Occupants [](Hourly)",'Eplus results'!$1:$1048576,ROW(),FALSE)</f>
        <v>0</v>
      </c>
      <c r="AC4301" s="580">
        <f>HLOOKUP("*"&amp;'Output annual'!$AC$2&amp;'Output annual'!$AD$2&amp;"*FangerPMV(Hourly)",'Eplus results'!$1:$1048576,ROW(),FALSE)</f>
        <v>0</v>
      </c>
      <c r="AD4301" s="580">
        <f t="shared" si="371"/>
        <v>5</v>
      </c>
      <c r="AE4301" s="580">
        <f t="shared" si="372"/>
        <v>2.5</v>
      </c>
      <c r="AF4301" s="580">
        <f t="shared" si="373"/>
        <v>2.5</v>
      </c>
      <c r="AG4301" s="580">
        <f t="shared" si="374"/>
        <v>0</v>
      </c>
      <c r="AH4301" s="580">
        <f t="shared" si="375"/>
        <v>0</v>
      </c>
    </row>
    <row r="4302" spans="28:34">
      <c r="AB4302" s="580">
        <f>HLOOKUP("*"&amp;'Output annual'!$AC$2&amp;'Output annual'!$AD$2&amp;"*Zone People Number Of Occupants [](Hourly)",'Eplus results'!$1:$1048576,ROW(),FALSE)</f>
        <v>0</v>
      </c>
      <c r="AC4302" s="580">
        <f>HLOOKUP("*"&amp;'Output annual'!$AC$2&amp;'Output annual'!$AD$2&amp;"*FangerPMV(Hourly)",'Eplus results'!$1:$1048576,ROW(),FALSE)</f>
        <v>0</v>
      </c>
      <c r="AD4302" s="580">
        <f t="shared" si="371"/>
        <v>5</v>
      </c>
      <c r="AE4302" s="580">
        <f t="shared" si="372"/>
        <v>2.5</v>
      </c>
      <c r="AF4302" s="580">
        <f t="shared" si="373"/>
        <v>2.5</v>
      </c>
      <c r="AG4302" s="580">
        <f t="shared" si="374"/>
        <v>0</v>
      </c>
      <c r="AH4302" s="580">
        <f t="shared" si="375"/>
        <v>0</v>
      </c>
    </row>
    <row r="4303" spans="28:34">
      <c r="AB4303" s="580">
        <f>HLOOKUP("*"&amp;'Output annual'!$AC$2&amp;'Output annual'!$AD$2&amp;"*Zone People Number Of Occupants [](Hourly)",'Eplus results'!$1:$1048576,ROW(),FALSE)</f>
        <v>0</v>
      </c>
      <c r="AC4303" s="580">
        <f>HLOOKUP("*"&amp;'Output annual'!$AC$2&amp;'Output annual'!$AD$2&amp;"*FangerPMV(Hourly)",'Eplus results'!$1:$1048576,ROW(),FALSE)</f>
        <v>0</v>
      </c>
      <c r="AD4303" s="580">
        <f t="shared" si="371"/>
        <v>5</v>
      </c>
      <c r="AE4303" s="580">
        <f t="shared" si="372"/>
        <v>2.5</v>
      </c>
      <c r="AF4303" s="580">
        <f t="shared" si="373"/>
        <v>2.5</v>
      </c>
      <c r="AG4303" s="580">
        <f t="shared" si="374"/>
        <v>0</v>
      </c>
      <c r="AH4303" s="580">
        <f t="shared" si="375"/>
        <v>0</v>
      </c>
    </row>
    <row r="4304" spans="28:34">
      <c r="AB4304" s="580">
        <f>HLOOKUP("*"&amp;'Output annual'!$AC$2&amp;'Output annual'!$AD$2&amp;"*Zone People Number Of Occupants [](Hourly)",'Eplus results'!$1:$1048576,ROW(),FALSE)</f>
        <v>0</v>
      </c>
      <c r="AC4304" s="580">
        <f>HLOOKUP("*"&amp;'Output annual'!$AC$2&amp;'Output annual'!$AD$2&amp;"*FangerPMV(Hourly)",'Eplus results'!$1:$1048576,ROW(),FALSE)</f>
        <v>0</v>
      </c>
      <c r="AD4304" s="580">
        <f t="shared" si="371"/>
        <v>5</v>
      </c>
      <c r="AE4304" s="580">
        <f t="shared" si="372"/>
        <v>2.5</v>
      </c>
      <c r="AF4304" s="580">
        <f t="shared" si="373"/>
        <v>2.5</v>
      </c>
      <c r="AG4304" s="580">
        <f t="shared" si="374"/>
        <v>0</v>
      </c>
      <c r="AH4304" s="580">
        <f t="shared" si="375"/>
        <v>0</v>
      </c>
    </row>
    <row r="4305" spans="28:34">
      <c r="AB4305" s="580">
        <f>HLOOKUP("*"&amp;'Output annual'!$AC$2&amp;'Output annual'!$AD$2&amp;"*Zone People Number Of Occupants [](Hourly)",'Eplus results'!$1:$1048576,ROW(),FALSE)</f>
        <v>0</v>
      </c>
      <c r="AC4305" s="580">
        <f>HLOOKUP("*"&amp;'Output annual'!$AC$2&amp;'Output annual'!$AD$2&amp;"*FangerPMV(Hourly)",'Eplus results'!$1:$1048576,ROW(),FALSE)</f>
        <v>0</v>
      </c>
      <c r="AD4305" s="580">
        <f t="shared" si="371"/>
        <v>5</v>
      </c>
      <c r="AE4305" s="580">
        <f t="shared" si="372"/>
        <v>2.5</v>
      </c>
      <c r="AF4305" s="580">
        <f t="shared" si="373"/>
        <v>2.5</v>
      </c>
      <c r="AG4305" s="580">
        <f t="shared" si="374"/>
        <v>0</v>
      </c>
      <c r="AH4305" s="580">
        <f t="shared" si="375"/>
        <v>0</v>
      </c>
    </row>
    <row r="4306" spans="28:34">
      <c r="AB4306" s="580">
        <f>HLOOKUP("*"&amp;'Output annual'!$AC$2&amp;'Output annual'!$AD$2&amp;"*Zone People Number Of Occupants [](Hourly)",'Eplus results'!$1:$1048576,ROW(),FALSE)</f>
        <v>0</v>
      </c>
      <c r="AC4306" s="580">
        <f>HLOOKUP("*"&amp;'Output annual'!$AC$2&amp;'Output annual'!$AD$2&amp;"*FangerPMV(Hourly)",'Eplus results'!$1:$1048576,ROW(),FALSE)</f>
        <v>0</v>
      </c>
      <c r="AD4306" s="580">
        <f t="shared" si="371"/>
        <v>5</v>
      </c>
      <c r="AE4306" s="580">
        <f t="shared" si="372"/>
        <v>2.5</v>
      </c>
      <c r="AF4306" s="580">
        <f t="shared" si="373"/>
        <v>2.5</v>
      </c>
      <c r="AG4306" s="580">
        <f t="shared" si="374"/>
        <v>0</v>
      </c>
      <c r="AH4306" s="580">
        <f t="shared" si="375"/>
        <v>0</v>
      </c>
    </row>
    <row r="4307" spans="28:34">
      <c r="AB4307" s="580">
        <f>HLOOKUP("*"&amp;'Output annual'!$AC$2&amp;'Output annual'!$AD$2&amp;"*Zone People Number Of Occupants [](Hourly)",'Eplus results'!$1:$1048576,ROW(),FALSE)</f>
        <v>0</v>
      </c>
      <c r="AC4307" s="580">
        <f>HLOOKUP("*"&amp;'Output annual'!$AC$2&amp;'Output annual'!$AD$2&amp;"*FangerPMV(Hourly)",'Eplus results'!$1:$1048576,ROW(),FALSE)</f>
        <v>0</v>
      </c>
      <c r="AD4307" s="580">
        <f t="shared" si="371"/>
        <v>5</v>
      </c>
      <c r="AE4307" s="580">
        <f t="shared" si="372"/>
        <v>2.5</v>
      </c>
      <c r="AF4307" s="580">
        <f t="shared" si="373"/>
        <v>2.5</v>
      </c>
      <c r="AG4307" s="580">
        <f t="shared" si="374"/>
        <v>0</v>
      </c>
      <c r="AH4307" s="580">
        <f t="shared" si="375"/>
        <v>0</v>
      </c>
    </row>
    <row r="4308" spans="28:34">
      <c r="AB4308" s="580">
        <f>HLOOKUP("*"&amp;'Output annual'!$AC$2&amp;'Output annual'!$AD$2&amp;"*Zone People Number Of Occupants [](Hourly)",'Eplus results'!$1:$1048576,ROW(),FALSE)</f>
        <v>0</v>
      </c>
      <c r="AC4308" s="580">
        <f>HLOOKUP("*"&amp;'Output annual'!$AC$2&amp;'Output annual'!$AD$2&amp;"*FangerPMV(Hourly)",'Eplus results'!$1:$1048576,ROW(),FALSE)</f>
        <v>0</v>
      </c>
      <c r="AD4308" s="580">
        <f t="shared" si="371"/>
        <v>5</v>
      </c>
      <c r="AE4308" s="580">
        <f t="shared" si="372"/>
        <v>2.5</v>
      </c>
      <c r="AF4308" s="580">
        <f t="shared" si="373"/>
        <v>2.5</v>
      </c>
      <c r="AG4308" s="580">
        <f t="shared" si="374"/>
        <v>0</v>
      </c>
      <c r="AH4308" s="580">
        <f t="shared" si="375"/>
        <v>0</v>
      </c>
    </row>
    <row r="4309" spans="28:34">
      <c r="AB4309" s="580">
        <f>HLOOKUP("*"&amp;'Output annual'!$AC$2&amp;'Output annual'!$AD$2&amp;"*Zone People Number Of Occupants [](Hourly)",'Eplus results'!$1:$1048576,ROW(),FALSE)</f>
        <v>0</v>
      </c>
      <c r="AC4309" s="580">
        <f>HLOOKUP("*"&amp;'Output annual'!$AC$2&amp;'Output annual'!$AD$2&amp;"*FangerPMV(Hourly)",'Eplus results'!$1:$1048576,ROW(),FALSE)</f>
        <v>0</v>
      </c>
      <c r="AD4309" s="580">
        <f t="shared" si="371"/>
        <v>5</v>
      </c>
      <c r="AE4309" s="580">
        <f t="shared" si="372"/>
        <v>2.5</v>
      </c>
      <c r="AF4309" s="580">
        <f t="shared" si="373"/>
        <v>2.5</v>
      </c>
      <c r="AG4309" s="580">
        <f t="shared" si="374"/>
        <v>0</v>
      </c>
      <c r="AH4309" s="580">
        <f t="shared" si="375"/>
        <v>0</v>
      </c>
    </row>
    <row r="4310" spans="28:34">
      <c r="AB4310" s="580">
        <f>HLOOKUP("*"&amp;'Output annual'!$AC$2&amp;'Output annual'!$AD$2&amp;"*Zone People Number Of Occupants [](Hourly)",'Eplus results'!$1:$1048576,ROW(),FALSE)</f>
        <v>0</v>
      </c>
      <c r="AC4310" s="580">
        <f>HLOOKUP("*"&amp;'Output annual'!$AC$2&amp;'Output annual'!$AD$2&amp;"*FangerPMV(Hourly)",'Eplus results'!$1:$1048576,ROW(),FALSE)</f>
        <v>0</v>
      </c>
      <c r="AD4310" s="580">
        <f t="shared" si="371"/>
        <v>5</v>
      </c>
      <c r="AE4310" s="580">
        <f t="shared" si="372"/>
        <v>2.5</v>
      </c>
      <c r="AF4310" s="580">
        <f t="shared" si="373"/>
        <v>2.5</v>
      </c>
      <c r="AG4310" s="580">
        <f t="shared" si="374"/>
        <v>0</v>
      </c>
      <c r="AH4310" s="580">
        <f t="shared" si="375"/>
        <v>0</v>
      </c>
    </row>
    <row r="4311" spans="28:34">
      <c r="AB4311" s="580">
        <f>HLOOKUP("*"&amp;'Output annual'!$AC$2&amp;'Output annual'!$AD$2&amp;"*Zone People Number Of Occupants [](Hourly)",'Eplus results'!$1:$1048576,ROW(),FALSE)</f>
        <v>0</v>
      </c>
      <c r="AC4311" s="580">
        <f>HLOOKUP("*"&amp;'Output annual'!$AC$2&amp;'Output annual'!$AD$2&amp;"*FangerPMV(Hourly)",'Eplus results'!$1:$1048576,ROW(),FALSE)</f>
        <v>0</v>
      </c>
      <c r="AD4311" s="580">
        <f t="shared" si="371"/>
        <v>5</v>
      </c>
      <c r="AE4311" s="580">
        <f t="shared" si="372"/>
        <v>2.5</v>
      </c>
      <c r="AF4311" s="580">
        <f t="shared" si="373"/>
        <v>2.5</v>
      </c>
      <c r="AG4311" s="580">
        <f t="shared" si="374"/>
        <v>0</v>
      </c>
      <c r="AH4311" s="580">
        <f t="shared" si="375"/>
        <v>0</v>
      </c>
    </row>
    <row r="4312" spans="28:34">
      <c r="AB4312" s="580">
        <f>HLOOKUP("*"&amp;'Output annual'!$AC$2&amp;'Output annual'!$AD$2&amp;"*Zone People Number Of Occupants [](Hourly)",'Eplus results'!$1:$1048576,ROW(),FALSE)</f>
        <v>0</v>
      </c>
      <c r="AC4312" s="580">
        <f>HLOOKUP("*"&amp;'Output annual'!$AC$2&amp;'Output annual'!$AD$2&amp;"*FangerPMV(Hourly)",'Eplus results'!$1:$1048576,ROW(),FALSE)</f>
        <v>0</v>
      </c>
      <c r="AD4312" s="580">
        <f t="shared" si="371"/>
        <v>5</v>
      </c>
      <c r="AE4312" s="580">
        <f t="shared" si="372"/>
        <v>2.5</v>
      </c>
      <c r="AF4312" s="580">
        <f t="shared" si="373"/>
        <v>2.5</v>
      </c>
      <c r="AG4312" s="580">
        <f t="shared" si="374"/>
        <v>0</v>
      </c>
      <c r="AH4312" s="580">
        <f t="shared" si="375"/>
        <v>0</v>
      </c>
    </row>
    <row r="4313" spans="28:34">
      <c r="AB4313" s="580">
        <f>HLOOKUP("*"&amp;'Output annual'!$AC$2&amp;'Output annual'!$AD$2&amp;"*Zone People Number Of Occupants [](Hourly)",'Eplus results'!$1:$1048576,ROW(),FALSE)</f>
        <v>0</v>
      </c>
      <c r="AC4313" s="580">
        <f>HLOOKUP("*"&amp;'Output annual'!$AC$2&amp;'Output annual'!$AD$2&amp;"*FangerPMV(Hourly)",'Eplus results'!$1:$1048576,ROW(),FALSE)</f>
        <v>0</v>
      </c>
      <c r="AD4313" s="580">
        <f t="shared" si="371"/>
        <v>5</v>
      </c>
      <c r="AE4313" s="580">
        <f t="shared" si="372"/>
        <v>2.5</v>
      </c>
      <c r="AF4313" s="580">
        <f t="shared" si="373"/>
        <v>2.5</v>
      </c>
      <c r="AG4313" s="580">
        <f t="shared" si="374"/>
        <v>0</v>
      </c>
      <c r="AH4313" s="580">
        <f t="shared" si="375"/>
        <v>0</v>
      </c>
    </row>
    <row r="4314" spans="28:34">
      <c r="AB4314" s="580">
        <f>HLOOKUP("*"&amp;'Output annual'!$AC$2&amp;'Output annual'!$AD$2&amp;"*Zone People Number Of Occupants [](Hourly)",'Eplus results'!$1:$1048576,ROW(),FALSE)</f>
        <v>0</v>
      </c>
      <c r="AC4314" s="580">
        <f>HLOOKUP("*"&amp;'Output annual'!$AC$2&amp;'Output annual'!$AD$2&amp;"*FangerPMV(Hourly)",'Eplus results'!$1:$1048576,ROW(),FALSE)</f>
        <v>0</v>
      </c>
      <c r="AD4314" s="580">
        <f t="shared" si="371"/>
        <v>5</v>
      </c>
      <c r="AE4314" s="580">
        <f t="shared" si="372"/>
        <v>2.5</v>
      </c>
      <c r="AF4314" s="580">
        <f t="shared" si="373"/>
        <v>2.5</v>
      </c>
      <c r="AG4314" s="580">
        <f t="shared" si="374"/>
        <v>0</v>
      </c>
      <c r="AH4314" s="580">
        <f t="shared" si="375"/>
        <v>0</v>
      </c>
    </row>
    <row r="4315" spans="28:34">
      <c r="AB4315" s="580">
        <f>HLOOKUP("*"&amp;'Output annual'!$AC$2&amp;'Output annual'!$AD$2&amp;"*Zone People Number Of Occupants [](Hourly)",'Eplus results'!$1:$1048576,ROW(),FALSE)</f>
        <v>0</v>
      </c>
      <c r="AC4315" s="580">
        <f>HLOOKUP("*"&amp;'Output annual'!$AC$2&amp;'Output annual'!$AD$2&amp;"*FangerPMV(Hourly)",'Eplus results'!$1:$1048576,ROW(),FALSE)</f>
        <v>0</v>
      </c>
      <c r="AD4315" s="580">
        <f t="shared" si="371"/>
        <v>5</v>
      </c>
      <c r="AE4315" s="580">
        <f t="shared" si="372"/>
        <v>2.5</v>
      </c>
      <c r="AF4315" s="580">
        <f t="shared" si="373"/>
        <v>2.5</v>
      </c>
      <c r="AG4315" s="580">
        <f t="shared" si="374"/>
        <v>0</v>
      </c>
      <c r="AH4315" s="580">
        <f t="shared" si="375"/>
        <v>0</v>
      </c>
    </row>
    <row r="4316" spans="28:34">
      <c r="AB4316" s="580">
        <f>HLOOKUP("*"&amp;'Output annual'!$AC$2&amp;'Output annual'!$AD$2&amp;"*Zone People Number Of Occupants [](Hourly)",'Eplus results'!$1:$1048576,ROW(),FALSE)</f>
        <v>0</v>
      </c>
      <c r="AC4316" s="580">
        <f>HLOOKUP("*"&amp;'Output annual'!$AC$2&amp;'Output annual'!$AD$2&amp;"*FangerPMV(Hourly)",'Eplus results'!$1:$1048576,ROW(),FALSE)</f>
        <v>0</v>
      </c>
      <c r="AD4316" s="580">
        <f t="shared" si="371"/>
        <v>5</v>
      </c>
      <c r="AE4316" s="580">
        <f t="shared" si="372"/>
        <v>2.5</v>
      </c>
      <c r="AF4316" s="580">
        <f t="shared" si="373"/>
        <v>2.5</v>
      </c>
      <c r="AG4316" s="580">
        <f t="shared" si="374"/>
        <v>0</v>
      </c>
      <c r="AH4316" s="580">
        <f t="shared" si="375"/>
        <v>0</v>
      </c>
    </row>
    <row r="4317" spans="28:34">
      <c r="AB4317" s="580">
        <f>HLOOKUP("*"&amp;'Output annual'!$AC$2&amp;'Output annual'!$AD$2&amp;"*Zone People Number Of Occupants [](Hourly)",'Eplus results'!$1:$1048576,ROW(),FALSE)</f>
        <v>0</v>
      </c>
      <c r="AC4317" s="580">
        <f>HLOOKUP("*"&amp;'Output annual'!$AC$2&amp;'Output annual'!$AD$2&amp;"*FangerPMV(Hourly)",'Eplus results'!$1:$1048576,ROW(),FALSE)</f>
        <v>0</v>
      </c>
      <c r="AD4317" s="580">
        <f t="shared" si="371"/>
        <v>5</v>
      </c>
      <c r="AE4317" s="580">
        <f t="shared" si="372"/>
        <v>2.5</v>
      </c>
      <c r="AF4317" s="580">
        <f t="shared" si="373"/>
        <v>2.5</v>
      </c>
      <c r="AG4317" s="580">
        <f t="shared" si="374"/>
        <v>0</v>
      </c>
      <c r="AH4317" s="580">
        <f t="shared" si="375"/>
        <v>0</v>
      </c>
    </row>
    <row r="4318" spans="28:34">
      <c r="AB4318" s="580">
        <f>HLOOKUP("*"&amp;'Output annual'!$AC$2&amp;'Output annual'!$AD$2&amp;"*Zone People Number Of Occupants [](Hourly)",'Eplus results'!$1:$1048576,ROW(),FALSE)</f>
        <v>0</v>
      </c>
      <c r="AC4318" s="580">
        <f>HLOOKUP("*"&amp;'Output annual'!$AC$2&amp;'Output annual'!$AD$2&amp;"*FangerPMV(Hourly)",'Eplus results'!$1:$1048576,ROW(),FALSE)</f>
        <v>0</v>
      </c>
      <c r="AD4318" s="580">
        <f t="shared" si="371"/>
        <v>5</v>
      </c>
      <c r="AE4318" s="580">
        <f t="shared" si="372"/>
        <v>2.5</v>
      </c>
      <c r="AF4318" s="580">
        <f t="shared" si="373"/>
        <v>2.5</v>
      </c>
      <c r="AG4318" s="580">
        <f t="shared" si="374"/>
        <v>0</v>
      </c>
      <c r="AH4318" s="580">
        <f t="shared" si="375"/>
        <v>0</v>
      </c>
    </row>
    <row r="4319" spans="28:34">
      <c r="AB4319" s="580">
        <f>HLOOKUP("*"&amp;'Output annual'!$AC$2&amp;'Output annual'!$AD$2&amp;"*Zone People Number Of Occupants [](Hourly)",'Eplus results'!$1:$1048576,ROW(),FALSE)</f>
        <v>0</v>
      </c>
      <c r="AC4319" s="580">
        <f>HLOOKUP("*"&amp;'Output annual'!$AC$2&amp;'Output annual'!$AD$2&amp;"*FangerPMV(Hourly)",'Eplus results'!$1:$1048576,ROW(),FALSE)</f>
        <v>0</v>
      </c>
      <c r="AD4319" s="580">
        <f t="shared" si="371"/>
        <v>5</v>
      </c>
      <c r="AE4319" s="580">
        <f t="shared" si="372"/>
        <v>2.5</v>
      </c>
      <c r="AF4319" s="580">
        <f t="shared" si="373"/>
        <v>2.5</v>
      </c>
      <c r="AG4319" s="580">
        <f t="shared" si="374"/>
        <v>0</v>
      </c>
      <c r="AH4319" s="580">
        <f t="shared" si="375"/>
        <v>0</v>
      </c>
    </row>
    <row r="4320" spans="28:34">
      <c r="AB4320" s="580">
        <f>HLOOKUP("*"&amp;'Output annual'!$AC$2&amp;'Output annual'!$AD$2&amp;"*Zone People Number Of Occupants [](Hourly)",'Eplus results'!$1:$1048576,ROW(),FALSE)</f>
        <v>0</v>
      </c>
      <c r="AC4320" s="580">
        <f>HLOOKUP("*"&amp;'Output annual'!$AC$2&amp;'Output annual'!$AD$2&amp;"*FangerPMV(Hourly)",'Eplus results'!$1:$1048576,ROW(),FALSE)</f>
        <v>0</v>
      </c>
      <c r="AD4320" s="580">
        <f t="shared" si="371"/>
        <v>5</v>
      </c>
      <c r="AE4320" s="580">
        <f t="shared" si="372"/>
        <v>2.5</v>
      </c>
      <c r="AF4320" s="580">
        <f t="shared" si="373"/>
        <v>2.5</v>
      </c>
      <c r="AG4320" s="580">
        <f t="shared" si="374"/>
        <v>0</v>
      </c>
      <c r="AH4320" s="580">
        <f t="shared" si="375"/>
        <v>0</v>
      </c>
    </row>
    <row r="4321" spans="28:34">
      <c r="AB4321" s="580">
        <f>HLOOKUP("*"&amp;'Output annual'!$AC$2&amp;'Output annual'!$AD$2&amp;"*Zone People Number Of Occupants [](Hourly)",'Eplus results'!$1:$1048576,ROW(),FALSE)</f>
        <v>0</v>
      </c>
      <c r="AC4321" s="580">
        <f>HLOOKUP("*"&amp;'Output annual'!$AC$2&amp;'Output annual'!$AD$2&amp;"*FangerPMV(Hourly)",'Eplus results'!$1:$1048576,ROW(),FALSE)</f>
        <v>0</v>
      </c>
      <c r="AD4321" s="580">
        <f t="shared" si="371"/>
        <v>5</v>
      </c>
      <c r="AE4321" s="580">
        <f t="shared" si="372"/>
        <v>2.5</v>
      </c>
      <c r="AF4321" s="580">
        <f t="shared" si="373"/>
        <v>2.5</v>
      </c>
      <c r="AG4321" s="580">
        <f t="shared" si="374"/>
        <v>0</v>
      </c>
      <c r="AH4321" s="580">
        <f t="shared" si="375"/>
        <v>0</v>
      </c>
    </row>
    <row r="4322" spans="28:34">
      <c r="AB4322" s="580">
        <f>HLOOKUP("*"&amp;'Output annual'!$AC$2&amp;'Output annual'!$AD$2&amp;"*Zone People Number Of Occupants [](Hourly)",'Eplus results'!$1:$1048576,ROW(),FALSE)</f>
        <v>0</v>
      </c>
      <c r="AC4322" s="580">
        <f>HLOOKUP("*"&amp;'Output annual'!$AC$2&amp;'Output annual'!$AD$2&amp;"*FangerPMV(Hourly)",'Eplus results'!$1:$1048576,ROW(),FALSE)</f>
        <v>0</v>
      </c>
      <c r="AD4322" s="580">
        <f t="shared" si="371"/>
        <v>5</v>
      </c>
      <c r="AE4322" s="580">
        <f t="shared" si="372"/>
        <v>2.5</v>
      </c>
      <c r="AF4322" s="580">
        <f t="shared" si="373"/>
        <v>2.5</v>
      </c>
      <c r="AG4322" s="580">
        <f t="shared" si="374"/>
        <v>0</v>
      </c>
      <c r="AH4322" s="580">
        <f t="shared" si="375"/>
        <v>0</v>
      </c>
    </row>
    <row r="4323" spans="28:34">
      <c r="AB4323" s="580">
        <f>HLOOKUP("*"&amp;'Output annual'!$AC$2&amp;'Output annual'!$AD$2&amp;"*Zone People Number Of Occupants [](Hourly)",'Eplus results'!$1:$1048576,ROW(),FALSE)</f>
        <v>0</v>
      </c>
      <c r="AC4323" s="580">
        <f>HLOOKUP("*"&amp;'Output annual'!$AC$2&amp;'Output annual'!$AD$2&amp;"*FangerPMV(Hourly)",'Eplus results'!$1:$1048576,ROW(),FALSE)</f>
        <v>0</v>
      </c>
      <c r="AD4323" s="580">
        <f t="shared" si="371"/>
        <v>5</v>
      </c>
      <c r="AE4323" s="580">
        <f t="shared" si="372"/>
        <v>2.5</v>
      </c>
      <c r="AF4323" s="580">
        <f t="shared" si="373"/>
        <v>2.5</v>
      </c>
      <c r="AG4323" s="580">
        <f t="shared" si="374"/>
        <v>0</v>
      </c>
      <c r="AH4323" s="580">
        <f t="shared" si="375"/>
        <v>0</v>
      </c>
    </row>
    <row r="4324" spans="28:34">
      <c r="AB4324" s="580">
        <f>HLOOKUP("*"&amp;'Output annual'!$AC$2&amp;'Output annual'!$AD$2&amp;"*Zone People Number Of Occupants [](Hourly)",'Eplus results'!$1:$1048576,ROW(),FALSE)</f>
        <v>0</v>
      </c>
      <c r="AC4324" s="580">
        <f>HLOOKUP("*"&amp;'Output annual'!$AC$2&amp;'Output annual'!$AD$2&amp;"*FangerPMV(Hourly)",'Eplus results'!$1:$1048576,ROW(),FALSE)</f>
        <v>0</v>
      </c>
      <c r="AD4324" s="580">
        <f t="shared" si="371"/>
        <v>5</v>
      </c>
      <c r="AE4324" s="580">
        <f t="shared" si="372"/>
        <v>2.5</v>
      </c>
      <c r="AF4324" s="580">
        <f t="shared" si="373"/>
        <v>2.5</v>
      </c>
      <c r="AG4324" s="580">
        <f t="shared" si="374"/>
        <v>0</v>
      </c>
      <c r="AH4324" s="580">
        <f t="shared" si="375"/>
        <v>0</v>
      </c>
    </row>
    <row r="4325" spans="28:34">
      <c r="AB4325" s="580">
        <f>HLOOKUP("*"&amp;'Output annual'!$AC$2&amp;'Output annual'!$AD$2&amp;"*Zone People Number Of Occupants [](Hourly)",'Eplus results'!$1:$1048576,ROW(),FALSE)</f>
        <v>0</v>
      </c>
      <c r="AC4325" s="580">
        <f>HLOOKUP("*"&amp;'Output annual'!$AC$2&amp;'Output annual'!$AD$2&amp;"*FangerPMV(Hourly)",'Eplus results'!$1:$1048576,ROW(),FALSE)</f>
        <v>0</v>
      </c>
      <c r="AD4325" s="580">
        <f t="shared" si="371"/>
        <v>5</v>
      </c>
      <c r="AE4325" s="580">
        <f t="shared" si="372"/>
        <v>2.5</v>
      </c>
      <c r="AF4325" s="580">
        <f t="shared" si="373"/>
        <v>2.5</v>
      </c>
      <c r="AG4325" s="580">
        <f t="shared" si="374"/>
        <v>0</v>
      </c>
      <c r="AH4325" s="580">
        <f t="shared" si="375"/>
        <v>0</v>
      </c>
    </row>
    <row r="4326" spans="28:34">
      <c r="AB4326" s="580">
        <f>HLOOKUP("*"&amp;'Output annual'!$AC$2&amp;'Output annual'!$AD$2&amp;"*Zone People Number Of Occupants [](Hourly)",'Eplus results'!$1:$1048576,ROW(),FALSE)</f>
        <v>0</v>
      </c>
      <c r="AC4326" s="580">
        <f>HLOOKUP("*"&amp;'Output annual'!$AC$2&amp;'Output annual'!$AD$2&amp;"*FangerPMV(Hourly)",'Eplus results'!$1:$1048576,ROW(),FALSE)</f>
        <v>0</v>
      </c>
      <c r="AD4326" s="580">
        <f t="shared" si="371"/>
        <v>5</v>
      </c>
      <c r="AE4326" s="580">
        <f t="shared" si="372"/>
        <v>2.5</v>
      </c>
      <c r="AF4326" s="580">
        <f t="shared" si="373"/>
        <v>2.5</v>
      </c>
      <c r="AG4326" s="580">
        <f t="shared" si="374"/>
        <v>0</v>
      </c>
      <c r="AH4326" s="580">
        <f t="shared" si="375"/>
        <v>0</v>
      </c>
    </row>
    <row r="4327" spans="28:34">
      <c r="AB4327" s="580">
        <f>HLOOKUP("*"&amp;'Output annual'!$AC$2&amp;'Output annual'!$AD$2&amp;"*Zone People Number Of Occupants [](Hourly)",'Eplus results'!$1:$1048576,ROW(),FALSE)</f>
        <v>0</v>
      </c>
      <c r="AC4327" s="580">
        <f>HLOOKUP("*"&amp;'Output annual'!$AC$2&amp;'Output annual'!$AD$2&amp;"*FangerPMV(Hourly)",'Eplus results'!$1:$1048576,ROW(),FALSE)</f>
        <v>0</v>
      </c>
      <c r="AD4327" s="580">
        <f t="shared" si="371"/>
        <v>5</v>
      </c>
      <c r="AE4327" s="580">
        <f t="shared" si="372"/>
        <v>2.5</v>
      </c>
      <c r="AF4327" s="580">
        <f t="shared" si="373"/>
        <v>2.5</v>
      </c>
      <c r="AG4327" s="580">
        <f t="shared" si="374"/>
        <v>0</v>
      </c>
      <c r="AH4327" s="580">
        <f t="shared" si="375"/>
        <v>0</v>
      </c>
    </row>
    <row r="4328" spans="28:34">
      <c r="AB4328" s="580">
        <f>HLOOKUP("*"&amp;'Output annual'!$AC$2&amp;'Output annual'!$AD$2&amp;"*Zone People Number Of Occupants [](Hourly)",'Eplus results'!$1:$1048576,ROW(),FALSE)</f>
        <v>0</v>
      </c>
      <c r="AC4328" s="580">
        <f>HLOOKUP("*"&amp;'Output annual'!$AC$2&amp;'Output annual'!$AD$2&amp;"*FangerPMV(Hourly)",'Eplus results'!$1:$1048576,ROW(),FALSE)</f>
        <v>0</v>
      </c>
      <c r="AD4328" s="580">
        <f t="shared" si="371"/>
        <v>5</v>
      </c>
      <c r="AE4328" s="580">
        <f t="shared" si="372"/>
        <v>2.5</v>
      </c>
      <c r="AF4328" s="580">
        <f t="shared" si="373"/>
        <v>2.5</v>
      </c>
      <c r="AG4328" s="580">
        <f t="shared" si="374"/>
        <v>0</v>
      </c>
      <c r="AH4328" s="580">
        <f t="shared" si="375"/>
        <v>0</v>
      </c>
    </row>
    <row r="4329" spans="28:34">
      <c r="AB4329" s="580">
        <f>HLOOKUP("*"&amp;'Output annual'!$AC$2&amp;'Output annual'!$AD$2&amp;"*Zone People Number Of Occupants [](Hourly)",'Eplus results'!$1:$1048576,ROW(),FALSE)</f>
        <v>0</v>
      </c>
      <c r="AC4329" s="580">
        <f>HLOOKUP("*"&amp;'Output annual'!$AC$2&amp;'Output annual'!$AD$2&amp;"*FangerPMV(Hourly)",'Eplus results'!$1:$1048576,ROW(),FALSE)</f>
        <v>0</v>
      </c>
      <c r="AD4329" s="580">
        <f t="shared" si="371"/>
        <v>5</v>
      </c>
      <c r="AE4329" s="580">
        <f t="shared" si="372"/>
        <v>2.5</v>
      </c>
      <c r="AF4329" s="580">
        <f t="shared" si="373"/>
        <v>2.5</v>
      </c>
      <c r="AG4329" s="580">
        <f t="shared" si="374"/>
        <v>0</v>
      </c>
      <c r="AH4329" s="580">
        <f t="shared" si="375"/>
        <v>0</v>
      </c>
    </row>
    <row r="4330" spans="28:34">
      <c r="AB4330" s="580">
        <f>HLOOKUP("*"&amp;'Output annual'!$AC$2&amp;'Output annual'!$AD$2&amp;"*Zone People Number Of Occupants [](Hourly)",'Eplus results'!$1:$1048576,ROW(),FALSE)</f>
        <v>0</v>
      </c>
      <c r="AC4330" s="580">
        <f>HLOOKUP("*"&amp;'Output annual'!$AC$2&amp;'Output annual'!$AD$2&amp;"*FangerPMV(Hourly)",'Eplus results'!$1:$1048576,ROW(),FALSE)</f>
        <v>0</v>
      </c>
      <c r="AD4330" s="580">
        <f t="shared" si="371"/>
        <v>5</v>
      </c>
      <c r="AE4330" s="580">
        <f t="shared" si="372"/>
        <v>2.5</v>
      </c>
      <c r="AF4330" s="580">
        <f t="shared" si="373"/>
        <v>2.5</v>
      </c>
      <c r="AG4330" s="580">
        <f t="shared" si="374"/>
        <v>0</v>
      </c>
      <c r="AH4330" s="580">
        <f t="shared" si="375"/>
        <v>0</v>
      </c>
    </row>
    <row r="4331" spans="28:34">
      <c r="AB4331" s="580">
        <f>HLOOKUP("*"&amp;'Output annual'!$AC$2&amp;'Output annual'!$AD$2&amp;"*Zone People Number Of Occupants [](Hourly)",'Eplus results'!$1:$1048576,ROW(),FALSE)</f>
        <v>0</v>
      </c>
      <c r="AC4331" s="580">
        <f>HLOOKUP("*"&amp;'Output annual'!$AC$2&amp;'Output annual'!$AD$2&amp;"*FangerPMV(Hourly)",'Eplus results'!$1:$1048576,ROW(),FALSE)</f>
        <v>0</v>
      </c>
      <c r="AD4331" s="580">
        <f t="shared" si="371"/>
        <v>5</v>
      </c>
      <c r="AE4331" s="580">
        <f t="shared" si="372"/>
        <v>2.5</v>
      </c>
      <c r="AF4331" s="580">
        <f t="shared" si="373"/>
        <v>2.5</v>
      </c>
      <c r="AG4331" s="580">
        <f t="shared" si="374"/>
        <v>0</v>
      </c>
      <c r="AH4331" s="580">
        <f t="shared" si="375"/>
        <v>0</v>
      </c>
    </row>
    <row r="4332" spans="28:34">
      <c r="AB4332" s="580">
        <f>HLOOKUP("*"&amp;'Output annual'!$AC$2&amp;'Output annual'!$AD$2&amp;"*Zone People Number Of Occupants [](Hourly)",'Eplus results'!$1:$1048576,ROW(),FALSE)</f>
        <v>0</v>
      </c>
      <c r="AC4332" s="580">
        <f>HLOOKUP("*"&amp;'Output annual'!$AC$2&amp;'Output annual'!$AD$2&amp;"*FangerPMV(Hourly)",'Eplus results'!$1:$1048576,ROW(),FALSE)</f>
        <v>0</v>
      </c>
      <c r="AD4332" s="580">
        <f t="shared" si="371"/>
        <v>5</v>
      </c>
      <c r="AE4332" s="580">
        <f t="shared" si="372"/>
        <v>2.5</v>
      </c>
      <c r="AF4332" s="580">
        <f t="shared" si="373"/>
        <v>2.5</v>
      </c>
      <c r="AG4332" s="580">
        <f t="shared" si="374"/>
        <v>0</v>
      </c>
      <c r="AH4332" s="580">
        <f t="shared" si="375"/>
        <v>0</v>
      </c>
    </row>
    <row r="4333" spans="28:34">
      <c r="AB4333" s="580">
        <f>HLOOKUP("*"&amp;'Output annual'!$AC$2&amp;'Output annual'!$AD$2&amp;"*Zone People Number Of Occupants [](Hourly)",'Eplus results'!$1:$1048576,ROW(),FALSE)</f>
        <v>0</v>
      </c>
      <c r="AC4333" s="580">
        <f>HLOOKUP("*"&amp;'Output annual'!$AC$2&amp;'Output annual'!$AD$2&amp;"*FangerPMV(Hourly)",'Eplus results'!$1:$1048576,ROW(),FALSE)</f>
        <v>0</v>
      </c>
      <c r="AD4333" s="580">
        <f t="shared" si="371"/>
        <v>5</v>
      </c>
      <c r="AE4333" s="580">
        <f t="shared" si="372"/>
        <v>2.5</v>
      </c>
      <c r="AF4333" s="580">
        <f t="shared" si="373"/>
        <v>2.5</v>
      </c>
      <c r="AG4333" s="580">
        <f t="shared" si="374"/>
        <v>0</v>
      </c>
      <c r="AH4333" s="580">
        <f t="shared" si="375"/>
        <v>0</v>
      </c>
    </row>
    <row r="4334" spans="28:34">
      <c r="AB4334" s="580">
        <f>HLOOKUP("*"&amp;'Output annual'!$AC$2&amp;'Output annual'!$AD$2&amp;"*Zone People Number Of Occupants [](Hourly)",'Eplus results'!$1:$1048576,ROW(),FALSE)</f>
        <v>0</v>
      </c>
      <c r="AC4334" s="580">
        <f>HLOOKUP("*"&amp;'Output annual'!$AC$2&amp;'Output annual'!$AD$2&amp;"*FangerPMV(Hourly)",'Eplus results'!$1:$1048576,ROW(),FALSE)</f>
        <v>0</v>
      </c>
      <c r="AD4334" s="580">
        <f t="shared" si="371"/>
        <v>5</v>
      </c>
      <c r="AE4334" s="580">
        <f t="shared" si="372"/>
        <v>2.5</v>
      </c>
      <c r="AF4334" s="580">
        <f t="shared" si="373"/>
        <v>2.5</v>
      </c>
      <c r="AG4334" s="580">
        <f t="shared" si="374"/>
        <v>0</v>
      </c>
      <c r="AH4334" s="580">
        <f t="shared" si="375"/>
        <v>0</v>
      </c>
    </row>
    <row r="4335" spans="28:34">
      <c r="AB4335" s="580">
        <f>HLOOKUP("*"&amp;'Output annual'!$AC$2&amp;'Output annual'!$AD$2&amp;"*Zone People Number Of Occupants [](Hourly)",'Eplus results'!$1:$1048576,ROW(),FALSE)</f>
        <v>0</v>
      </c>
      <c r="AC4335" s="580">
        <f>HLOOKUP("*"&amp;'Output annual'!$AC$2&amp;'Output annual'!$AD$2&amp;"*FangerPMV(Hourly)",'Eplus results'!$1:$1048576,ROW(),FALSE)</f>
        <v>0</v>
      </c>
      <c r="AD4335" s="580">
        <f t="shared" si="371"/>
        <v>5</v>
      </c>
      <c r="AE4335" s="580">
        <f t="shared" si="372"/>
        <v>2.5</v>
      </c>
      <c r="AF4335" s="580">
        <f t="shared" si="373"/>
        <v>2.5</v>
      </c>
      <c r="AG4335" s="580">
        <f t="shared" si="374"/>
        <v>0</v>
      </c>
      <c r="AH4335" s="580">
        <f t="shared" si="375"/>
        <v>0</v>
      </c>
    </row>
    <row r="4336" spans="28:34">
      <c r="AB4336" s="580">
        <f>HLOOKUP("*"&amp;'Output annual'!$AC$2&amp;'Output annual'!$AD$2&amp;"*Zone People Number Of Occupants [](Hourly)",'Eplus results'!$1:$1048576,ROW(),FALSE)</f>
        <v>0</v>
      </c>
      <c r="AC4336" s="580">
        <f>HLOOKUP("*"&amp;'Output annual'!$AC$2&amp;'Output annual'!$AD$2&amp;"*FangerPMV(Hourly)",'Eplus results'!$1:$1048576,ROW(),FALSE)</f>
        <v>0</v>
      </c>
      <c r="AD4336" s="580">
        <f t="shared" si="371"/>
        <v>5</v>
      </c>
      <c r="AE4336" s="580">
        <f t="shared" si="372"/>
        <v>2.5</v>
      </c>
      <c r="AF4336" s="580">
        <f t="shared" si="373"/>
        <v>2.5</v>
      </c>
      <c r="AG4336" s="580">
        <f t="shared" si="374"/>
        <v>0</v>
      </c>
      <c r="AH4336" s="580">
        <f t="shared" si="375"/>
        <v>0</v>
      </c>
    </row>
    <row r="4337" spans="28:34">
      <c r="AB4337" s="580">
        <f>HLOOKUP("*"&amp;'Output annual'!$AC$2&amp;'Output annual'!$AD$2&amp;"*Zone People Number Of Occupants [](Hourly)",'Eplus results'!$1:$1048576,ROW(),FALSE)</f>
        <v>0</v>
      </c>
      <c r="AC4337" s="580">
        <f>HLOOKUP("*"&amp;'Output annual'!$AC$2&amp;'Output annual'!$AD$2&amp;"*FangerPMV(Hourly)",'Eplus results'!$1:$1048576,ROW(),FALSE)</f>
        <v>0</v>
      </c>
      <c r="AD4337" s="580">
        <f t="shared" si="371"/>
        <v>5</v>
      </c>
      <c r="AE4337" s="580">
        <f t="shared" si="372"/>
        <v>2.5</v>
      </c>
      <c r="AF4337" s="580">
        <f t="shared" si="373"/>
        <v>2.5</v>
      </c>
      <c r="AG4337" s="580">
        <f t="shared" si="374"/>
        <v>0</v>
      </c>
      <c r="AH4337" s="580">
        <f t="shared" si="375"/>
        <v>0</v>
      </c>
    </row>
    <row r="4338" spans="28:34">
      <c r="AB4338" s="580">
        <f>HLOOKUP("*"&amp;'Output annual'!$AC$2&amp;'Output annual'!$AD$2&amp;"*Zone People Number Of Occupants [](Hourly)",'Eplus results'!$1:$1048576,ROW(),FALSE)</f>
        <v>0</v>
      </c>
      <c r="AC4338" s="580">
        <f>HLOOKUP("*"&amp;'Output annual'!$AC$2&amp;'Output annual'!$AD$2&amp;"*FangerPMV(Hourly)",'Eplus results'!$1:$1048576,ROW(),FALSE)</f>
        <v>0</v>
      </c>
      <c r="AD4338" s="580">
        <f t="shared" si="371"/>
        <v>5</v>
      </c>
      <c r="AE4338" s="580">
        <f t="shared" si="372"/>
        <v>2.5</v>
      </c>
      <c r="AF4338" s="580">
        <f t="shared" si="373"/>
        <v>2.5</v>
      </c>
      <c r="AG4338" s="580">
        <f t="shared" si="374"/>
        <v>0</v>
      </c>
      <c r="AH4338" s="580">
        <f t="shared" si="375"/>
        <v>0</v>
      </c>
    </row>
    <row r="4339" spans="28:34">
      <c r="AB4339" s="580">
        <f>HLOOKUP("*"&amp;'Output annual'!$AC$2&amp;'Output annual'!$AD$2&amp;"*Zone People Number Of Occupants [](Hourly)",'Eplus results'!$1:$1048576,ROW(),FALSE)</f>
        <v>0</v>
      </c>
      <c r="AC4339" s="580">
        <f>HLOOKUP("*"&amp;'Output annual'!$AC$2&amp;'Output annual'!$AD$2&amp;"*FangerPMV(Hourly)",'Eplus results'!$1:$1048576,ROW(),FALSE)</f>
        <v>0</v>
      </c>
      <c r="AD4339" s="580">
        <f t="shared" si="371"/>
        <v>5</v>
      </c>
      <c r="AE4339" s="580">
        <f t="shared" si="372"/>
        <v>2.5</v>
      </c>
      <c r="AF4339" s="580">
        <f t="shared" si="373"/>
        <v>2.5</v>
      </c>
      <c r="AG4339" s="580">
        <f t="shared" si="374"/>
        <v>0</v>
      </c>
      <c r="AH4339" s="580">
        <f t="shared" si="375"/>
        <v>0</v>
      </c>
    </row>
    <row r="4340" spans="28:34">
      <c r="AB4340" s="580">
        <f>HLOOKUP("*"&amp;'Output annual'!$AC$2&amp;'Output annual'!$AD$2&amp;"*Zone People Number Of Occupants [](Hourly)",'Eplus results'!$1:$1048576,ROW(),FALSE)</f>
        <v>0</v>
      </c>
      <c r="AC4340" s="580">
        <f>HLOOKUP("*"&amp;'Output annual'!$AC$2&amp;'Output annual'!$AD$2&amp;"*FangerPMV(Hourly)",'Eplus results'!$1:$1048576,ROW(),FALSE)</f>
        <v>0</v>
      </c>
      <c r="AD4340" s="580">
        <f t="shared" si="371"/>
        <v>5</v>
      </c>
      <c r="AE4340" s="580">
        <f t="shared" si="372"/>
        <v>2.5</v>
      </c>
      <c r="AF4340" s="580">
        <f t="shared" si="373"/>
        <v>2.5</v>
      </c>
      <c r="AG4340" s="580">
        <f t="shared" si="374"/>
        <v>0</v>
      </c>
      <c r="AH4340" s="580">
        <f t="shared" si="375"/>
        <v>0</v>
      </c>
    </row>
    <row r="4341" spans="28:34">
      <c r="AB4341" s="580">
        <f>HLOOKUP("*"&amp;'Output annual'!$AC$2&amp;'Output annual'!$AD$2&amp;"*Zone People Number Of Occupants [](Hourly)",'Eplus results'!$1:$1048576,ROW(),FALSE)</f>
        <v>0</v>
      </c>
      <c r="AC4341" s="580">
        <f>HLOOKUP("*"&amp;'Output annual'!$AC$2&amp;'Output annual'!$AD$2&amp;"*FangerPMV(Hourly)",'Eplus results'!$1:$1048576,ROW(),FALSE)</f>
        <v>0</v>
      </c>
      <c r="AD4341" s="580">
        <f t="shared" si="371"/>
        <v>5</v>
      </c>
      <c r="AE4341" s="580">
        <f t="shared" si="372"/>
        <v>2.5</v>
      </c>
      <c r="AF4341" s="580">
        <f t="shared" si="373"/>
        <v>2.5</v>
      </c>
      <c r="AG4341" s="580">
        <f t="shared" si="374"/>
        <v>0</v>
      </c>
      <c r="AH4341" s="580">
        <f t="shared" si="375"/>
        <v>0</v>
      </c>
    </row>
    <row r="4342" spans="28:34">
      <c r="AB4342" s="580">
        <f>HLOOKUP("*"&amp;'Output annual'!$AC$2&amp;'Output annual'!$AD$2&amp;"*Zone People Number Of Occupants [](Hourly)",'Eplus results'!$1:$1048576,ROW(),FALSE)</f>
        <v>0</v>
      </c>
      <c r="AC4342" s="580">
        <f>HLOOKUP("*"&amp;'Output annual'!$AC$2&amp;'Output annual'!$AD$2&amp;"*FangerPMV(Hourly)",'Eplus results'!$1:$1048576,ROW(),FALSE)</f>
        <v>0</v>
      </c>
      <c r="AD4342" s="580">
        <f t="shared" si="371"/>
        <v>5</v>
      </c>
      <c r="AE4342" s="580">
        <f t="shared" si="372"/>
        <v>2.5</v>
      </c>
      <c r="AF4342" s="580">
        <f t="shared" si="373"/>
        <v>2.5</v>
      </c>
      <c r="AG4342" s="580">
        <f t="shared" si="374"/>
        <v>0</v>
      </c>
      <c r="AH4342" s="580">
        <f t="shared" si="375"/>
        <v>0</v>
      </c>
    </row>
    <row r="4343" spans="28:34">
      <c r="AB4343" s="580">
        <f>HLOOKUP("*"&amp;'Output annual'!$AC$2&amp;'Output annual'!$AD$2&amp;"*Zone People Number Of Occupants [](Hourly)",'Eplus results'!$1:$1048576,ROW(),FALSE)</f>
        <v>0</v>
      </c>
      <c r="AC4343" s="580">
        <f>HLOOKUP("*"&amp;'Output annual'!$AC$2&amp;'Output annual'!$AD$2&amp;"*FangerPMV(Hourly)",'Eplus results'!$1:$1048576,ROW(),FALSE)</f>
        <v>0</v>
      </c>
      <c r="AD4343" s="580">
        <f t="shared" si="371"/>
        <v>5</v>
      </c>
      <c r="AE4343" s="580">
        <f t="shared" si="372"/>
        <v>2.5</v>
      </c>
      <c r="AF4343" s="580">
        <f t="shared" si="373"/>
        <v>2.5</v>
      </c>
      <c r="AG4343" s="580">
        <f t="shared" si="374"/>
        <v>0</v>
      </c>
      <c r="AH4343" s="580">
        <f t="shared" si="375"/>
        <v>0</v>
      </c>
    </row>
    <row r="4344" spans="28:34">
      <c r="AB4344" s="580">
        <f>HLOOKUP("*"&amp;'Output annual'!$AC$2&amp;'Output annual'!$AD$2&amp;"*Zone People Number Of Occupants [](Hourly)",'Eplus results'!$1:$1048576,ROW(),FALSE)</f>
        <v>0</v>
      </c>
      <c r="AC4344" s="580">
        <f>HLOOKUP("*"&amp;'Output annual'!$AC$2&amp;'Output annual'!$AD$2&amp;"*FangerPMV(Hourly)",'Eplus results'!$1:$1048576,ROW(),FALSE)</f>
        <v>0</v>
      </c>
      <c r="AD4344" s="580">
        <f t="shared" si="371"/>
        <v>5</v>
      </c>
      <c r="AE4344" s="580">
        <f t="shared" si="372"/>
        <v>2.5</v>
      </c>
      <c r="AF4344" s="580">
        <f t="shared" si="373"/>
        <v>2.5</v>
      </c>
      <c r="AG4344" s="580">
        <f t="shared" si="374"/>
        <v>0</v>
      </c>
      <c r="AH4344" s="580">
        <f t="shared" si="375"/>
        <v>0</v>
      </c>
    </row>
    <row r="4345" spans="28:34">
      <c r="AB4345" s="580">
        <f>HLOOKUP("*"&amp;'Output annual'!$AC$2&amp;'Output annual'!$AD$2&amp;"*Zone People Number Of Occupants [](Hourly)",'Eplus results'!$1:$1048576,ROW(),FALSE)</f>
        <v>0</v>
      </c>
      <c r="AC4345" s="580">
        <f>HLOOKUP("*"&amp;'Output annual'!$AC$2&amp;'Output annual'!$AD$2&amp;"*FangerPMV(Hourly)",'Eplus results'!$1:$1048576,ROW(),FALSE)</f>
        <v>0</v>
      </c>
      <c r="AD4345" s="580">
        <f t="shared" si="371"/>
        <v>5</v>
      </c>
      <c r="AE4345" s="580">
        <f t="shared" si="372"/>
        <v>2.5</v>
      </c>
      <c r="AF4345" s="580">
        <f t="shared" si="373"/>
        <v>2.5</v>
      </c>
      <c r="AG4345" s="580">
        <f t="shared" si="374"/>
        <v>0</v>
      </c>
      <c r="AH4345" s="580">
        <f t="shared" si="375"/>
        <v>0</v>
      </c>
    </row>
    <row r="4346" spans="28:34">
      <c r="AB4346" s="580">
        <f>HLOOKUP("*"&amp;'Output annual'!$AC$2&amp;'Output annual'!$AD$2&amp;"*Zone People Number Of Occupants [](Hourly)",'Eplus results'!$1:$1048576,ROW(),FALSE)</f>
        <v>0</v>
      </c>
      <c r="AC4346" s="580">
        <f>HLOOKUP("*"&amp;'Output annual'!$AC$2&amp;'Output annual'!$AD$2&amp;"*FangerPMV(Hourly)",'Eplus results'!$1:$1048576,ROW(),FALSE)</f>
        <v>0</v>
      </c>
      <c r="AD4346" s="580">
        <f t="shared" si="371"/>
        <v>5</v>
      </c>
      <c r="AE4346" s="580">
        <f t="shared" si="372"/>
        <v>2.5</v>
      </c>
      <c r="AF4346" s="580">
        <f t="shared" si="373"/>
        <v>2.5</v>
      </c>
      <c r="AG4346" s="580">
        <f t="shared" si="374"/>
        <v>0</v>
      </c>
      <c r="AH4346" s="580">
        <f t="shared" si="375"/>
        <v>0</v>
      </c>
    </row>
    <row r="4347" spans="28:34">
      <c r="AB4347" s="580">
        <f>HLOOKUP("*"&amp;'Output annual'!$AC$2&amp;'Output annual'!$AD$2&amp;"*Zone People Number Of Occupants [](Hourly)",'Eplus results'!$1:$1048576,ROW(),FALSE)</f>
        <v>0</v>
      </c>
      <c r="AC4347" s="580">
        <f>HLOOKUP("*"&amp;'Output annual'!$AC$2&amp;'Output annual'!$AD$2&amp;"*FangerPMV(Hourly)",'Eplus results'!$1:$1048576,ROW(),FALSE)</f>
        <v>0</v>
      </c>
      <c r="AD4347" s="580">
        <f t="shared" si="371"/>
        <v>5</v>
      </c>
      <c r="AE4347" s="580">
        <f t="shared" si="372"/>
        <v>2.5</v>
      </c>
      <c r="AF4347" s="580">
        <f t="shared" si="373"/>
        <v>2.5</v>
      </c>
      <c r="AG4347" s="580">
        <f t="shared" si="374"/>
        <v>0</v>
      </c>
      <c r="AH4347" s="580">
        <f t="shared" si="375"/>
        <v>0</v>
      </c>
    </row>
    <row r="4348" spans="28:34">
      <c r="AB4348" s="580">
        <f>HLOOKUP("*"&amp;'Output annual'!$AC$2&amp;'Output annual'!$AD$2&amp;"*Zone People Number Of Occupants [](Hourly)",'Eplus results'!$1:$1048576,ROW(),FALSE)</f>
        <v>0</v>
      </c>
      <c r="AC4348" s="580">
        <f>HLOOKUP("*"&amp;'Output annual'!$AC$2&amp;'Output annual'!$AD$2&amp;"*FangerPMV(Hourly)",'Eplus results'!$1:$1048576,ROW(),FALSE)</f>
        <v>0</v>
      </c>
      <c r="AD4348" s="580">
        <f t="shared" si="371"/>
        <v>5</v>
      </c>
      <c r="AE4348" s="580">
        <f t="shared" si="372"/>
        <v>2.5</v>
      </c>
      <c r="AF4348" s="580">
        <f t="shared" si="373"/>
        <v>2.5</v>
      </c>
      <c r="AG4348" s="580">
        <f t="shared" si="374"/>
        <v>0</v>
      </c>
      <c r="AH4348" s="580">
        <f t="shared" si="375"/>
        <v>0</v>
      </c>
    </row>
    <row r="4349" spans="28:34">
      <c r="AB4349" s="580">
        <f>HLOOKUP("*"&amp;'Output annual'!$AC$2&amp;'Output annual'!$AD$2&amp;"*Zone People Number Of Occupants [](Hourly)",'Eplus results'!$1:$1048576,ROW(),FALSE)</f>
        <v>0</v>
      </c>
      <c r="AC4349" s="580">
        <f>HLOOKUP("*"&amp;'Output annual'!$AC$2&amp;'Output annual'!$AD$2&amp;"*FangerPMV(Hourly)",'Eplus results'!$1:$1048576,ROW(),FALSE)</f>
        <v>0</v>
      </c>
      <c r="AD4349" s="580">
        <f t="shared" si="371"/>
        <v>5</v>
      </c>
      <c r="AE4349" s="580">
        <f t="shared" si="372"/>
        <v>2.5</v>
      </c>
      <c r="AF4349" s="580">
        <f t="shared" si="373"/>
        <v>2.5</v>
      </c>
      <c r="AG4349" s="580">
        <f t="shared" si="374"/>
        <v>0</v>
      </c>
      <c r="AH4349" s="580">
        <f t="shared" si="375"/>
        <v>0</v>
      </c>
    </row>
    <row r="4350" spans="28:34">
      <c r="AB4350" s="580">
        <f>HLOOKUP("*"&amp;'Output annual'!$AC$2&amp;'Output annual'!$AD$2&amp;"*Zone People Number Of Occupants [](Hourly)",'Eplus results'!$1:$1048576,ROW(),FALSE)</f>
        <v>0</v>
      </c>
      <c r="AC4350" s="580">
        <f>HLOOKUP("*"&amp;'Output annual'!$AC$2&amp;'Output annual'!$AD$2&amp;"*FangerPMV(Hourly)",'Eplus results'!$1:$1048576,ROW(),FALSE)</f>
        <v>0</v>
      </c>
      <c r="AD4350" s="580">
        <f t="shared" si="371"/>
        <v>5</v>
      </c>
      <c r="AE4350" s="580">
        <f t="shared" si="372"/>
        <v>2.5</v>
      </c>
      <c r="AF4350" s="580">
        <f t="shared" si="373"/>
        <v>2.5</v>
      </c>
      <c r="AG4350" s="580">
        <f t="shared" si="374"/>
        <v>0</v>
      </c>
      <c r="AH4350" s="580">
        <f t="shared" si="375"/>
        <v>0</v>
      </c>
    </row>
    <row r="4351" spans="28:34">
      <c r="AB4351" s="580">
        <f>HLOOKUP("*"&amp;'Output annual'!$AC$2&amp;'Output annual'!$AD$2&amp;"*Zone People Number Of Occupants [](Hourly)",'Eplus results'!$1:$1048576,ROW(),FALSE)</f>
        <v>0</v>
      </c>
      <c r="AC4351" s="580">
        <f>HLOOKUP("*"&amp;'Output annual'!$AC$2&amp;'Output annual'!$AD$2&amp;"*FangerPMV(Hourly)",'Eplus results'!$1:$1048576,ROW(),FALSE)</f>
        <v>0</v>
      </c>
      <c r="AD4351" s="580">
        <f t="shared" si="371"/>
        <v>5</v>
      </c>
      <c r="AE4351" s="580">
        <f t="shared" si="372"/>
        <v>2.5</v>
      </c>
      <c r="AF4351" s="580">
        <f t="shared" si="373"/>
        <v>2.5</v>
      </c>
      <c r="AG4351" s="580">
        <f t="shared" si="374"/>
        <v>0</v>
      </c>
      <c r="AH4351" s="580">
        <f t="shared" si="375"/>
        <v>0</v>
      </c>
    </row>
    <row r="4352" spans="28:34">
      <c r="AB4352" s="580">
        <f>HLOOKUP("*"&amp;'Output annual'!$AC$2&amp;'Output annual'!$AD$2&amp;"*Zone People Number Of Occupants [](Hourly)",'Eplus results'!$1:$1048576,ROW(),FALSE)</f>
        <v>0</v>
      </c>
      <c r="AC4352" s="580">
        <f>HLOOKUP("*"&amp;'Output annual'!$AC$2&amp;'Output annual'!$AD$2&amp;"*FangerPMV(Hourly)",'Eplus results'!$1:$1048576,ROW(),FALSE)</f>
        <v>0</v>
      </c>
      <c r="AD4352" s="580">
        <f t="shared" si="371"/>
        <v>5</v>
      </c>
      <c r="AE4352" s="580">
        <f t="shared" si="372"/>
        <v>2.5</v>
      </c>
      <c r="AF4352" s="580">
        <f t="shared" si="373"/>
        <v>2.5</v>
      </c>
      <c r="AG4352" s="580">
        <f t="shared" si="374"/>
        <v>0</v>
      </c>
      <c r="AH4352" s="580">
        <f t="shared" si="375"/>
        <v>0</v>
      </c>
    </row>
    <row r="4353" spans="28:34">
      <c r="AB4353" s="580">
        <f>HLOOKUP("*"&amp;'Output annual'!$AC$2&amp;'Output annual'!$AD$2&amp;"*Zone People Number Of Occupants [](Hourly)",'Eplus results'!$1:$1048576,ROW(),FALSE)</f>
        <v>0</v>
      </c>
      <c r="AC4353" s="580">
        <f>HLOOKUP("*"&amp;'Output annual'!$AC$2&amp;'Output annual'!$AD$2&amp;"*FangerPMV(Hourly)",'Eplus results'!$1:$1048576,ROW(),FALSE)</f>
        <v>0</v>
      </c>
      <c r="AD4353" s="580">
        <f t="shared" si="371"/>
        <v>5</v>
      </c>
      <c r="AE4353" s="580">
        <f t="shared" si="372"/>
        <v>2.5</v>
      </c>
      <c r="AF4353" s="580">
        <f t="shared" si="373"/>
        <v>2.5</v>
      </c>
      <c r="AG4353" s="580">
        <f t="shared" si="374"/>
        <v>0</v>
      </c>
      <c r="AH4353" s="580">
        <f t="shared" si="375"/>
        <v>0</v>
      </c>
    </row>
    <row r="4354" spans="28:34">
      <c r="AB4354" s="580">
        <f>HLOOKUP("*"&amp;'Output annual'!$AC$2&amp;'Output annual'!$AD$2&amp;"*Zone People Number Of Occupants [](Hourly)",'Eplus results'!$1:$1048576,ROW(),FALSE)</f>
        <v>0</v>
      </c>
      <c r="AC4354" s="580">
        <f>HLOOKUP("*"&amp;'Output annual'!$AC$2&amp;'Output annual'!$AD$2&amp;"*FangerPMV(Hourly)",'Eplus results'!$1:$1048576,ROW(),FALSE)</f>
        <v>0</v>
      </c>
      <c r="AD4354" s="580">
        <f t="shared" si="371"/>
        <v>5</v>
      </c>
      <c r="AE4354" s="580">
        <f t="shared" si="372"/>
        <v>2.5</v>
      </c>
      <c r="AF4354" s="580">
        <f t="shared" si="373"/>
        <v>2.5</v>
      </c>
      <c r="AG4354" s="580">
        <f t="shared" si="374"/>
        <v>0</v>
      </c>
      <c r="AH4354" s="580">
        <f t="shared" si="375"/>
        <v>0</v>
      </c>
    </row>
    <row r="4355" spans="28:34">
      <c r="AB4355" s="580">
        <f>HLOOKUP("*"&amp;'Output annual'!$AC$2&amp;'Output annual'!$AD$2&amp;"*Zone People Number Of Occupants [](Hourly)",'Eplus results'!$1:$1048576,ROW(),FALSE)</f>
        <v>0</v>
      </c>
      <c r="AC4355" s="580">
        <f>HLOOKUP("*"&amp;'Output annual'!$AC$2&amp;'Output annual'!$AD$2&amp;"*FangerPMV(Hourly)",'Eplus results'!$1:$1048576,ROW(),FALSE)</f>
        <v>0</v>
      </c>
      <c r="AD4355" s="580">
        <f t="shared" ref="AD4355:AD4418" si="376">100-95*EXP(-0.03353*AC4355^4-0.2179*AC4355^2)</f>
        <v>5</v>
      </c>
      <c r="AE4355" s="580">
        <f t="shared" ref="AE4355:AE4418" si="377">AD4355*(1/(1+EXP(-6.3*$AC4355)))</f>
        <v>2.5</v>
      </c>
      <c r="AF4355" s="580">
        <f t="shared" ref="AF4355:AF4418" si="378">(AD4355-AE4355)</f>
        <v>2.5</v>
      </c>
      <c r="AG4355" s="580">
        <f t="shared" ref="AG4355:AG4418" si="379">AE4355*AB4355</f>
        <v>0</v>
      </c>
      <c r="AH4355" s="580">
        <f t="shared" ref="AH4355:AH4418" si="380">AF4355*AB4355</f>
        <v>0</v>
      </c>
    </row>
    <row r="4356" spans="28:34">
      <c r="AB4356" s="580">
        <f>HLOOKUP("*"&amp;'Output annual'!$AC$2&amp;'Output annual'!$AD$2&amp;"*Zone People Number Of Occupants [](Hourly)",'Eplus results'!$1:$1048576,ROW(),FALSE)</f>
        <v>0</v>
      </c>
      <c r="AC4356" s="580">
        <f>HLOOKUP("*"&amp;'Output annual'!$AC$2&amp;'Output annual'!$AD$2&amp;"*FangerPMV(Hourly)",'Eplus results'!$1:$1048576,ROW(),FALSE)</f>
        <v>0</v>
      </c>
      <c r="AD4356" s="580">
        <f t="shared" si="376"/>
        <v>5</v>
      </c>
      <c r="AE4356" s="580">
        <f t="shared" si="377"/>
        <v>2.5</v>
      </c>
      <c r="AF4356" s="580">
        <f t="shared" si="378"/>
        <v>2.5</v>
      </c>
      <c r="AG4356" s="580">
        <f t="shared" si="379"/>
        <v>0</v>
      </c>
      <c r="AH4356" s="580">
        <f t="shared" si="380"/>
        <v>0</v>
      </c>
    </row>
    <row r="4357" spans="28:34">
      <c r="AB4357" s="580">
        <f>HLOOKUP("*"&amp;'Output annual'!$AC$2&amp;'Output annual'!$AD$2&amp;"*Zone People Number Of Occupants [](Hourly)",'Eplus results'!$1:$1048576,ROW(),FALSE)</f>
        <v>0</v>
      </c>
      <c r="AC4357" s="580">
        <f>HLOOKUP("*"&amp;'Output annual'!$AC$2&amp;'Output annual'!$AD$2&amp;"*FangerPMV(Hourly)",'Eplus results'!$1:$1048576,ROW(),FALSE)</f>
        <v>0</v>
      </c>
      <c r="AD4357" s="580">
        <f t="shared" si="376"/>
        <v>5</v>
      </c>
      <c r="AE4357" s="580">
        <f t="shared" si="377"/>
        <v>2.5</v>
      </c>
      <c r="AF4357" s="580">
        <f t="shared" si="378"/>
        <v>2.5</v>
      </c>
      <c r="AG4357" s="580">
        <f t="shared" si="379"/>
        <v>0</v>
      </c>
      <c r="AH4357" s="580">
        <f t="shared" si="380"/>
        <v>0</v>
      </c>
    </row>
    <row r="4358" spans="28:34">
      <c r="AB4358" s="580">
        <f>HLOOKUP("*"&amp;'Output annual'!$AC$2&amp;'Output annual'!$AD$2&amp;"*Zone People Number Of Occupants [](Hourly)",'Eplus results'!$1:$1048576,ROW(),FALSE)</f>
        <v>0</v>
      </c>
      <c r="AC4358" s="580">
        <f>HLOOKUP("*"&amp;'Output annual'!$AC$2&amp;'Output annual'!$AD$2&amp;"*FangerPMV(Hourly)",'Eplus results'!$1:$1048576,ROW(),FALSE)</f>
        <v>0</v>
      </c>
      <c r="AD4358" s="580">
        <f t="shared" si="376"/>
        <v>5</v>
      </c>
      <c r="AE4358" s="580">
        <f t="shared" si="377"/>
        <v>2.5</v>
      </c>
      <c r="AF4358" s="580">
        <f t="shared" si="378"/>
        <v>2.5</v>
      </c>
      <c r="AG4358" s="580">
        <f t="shared" si="379"/>
        <v>0</v>
      </c>
      <c r="AH4358" s="580">
        <f t="shared" si="380"/>
        <v>0</v>
      </c>
    </row>
    <row r="4359" spans="28:34">
      <c r="AB4359" s="580">
        <f>HLOOKUP("*"&amp;'Output annual'!$AC$2&amp;'Output annual'!$AD$2&amp;"*Zone People Number Of Occupants [](Hourly)",'Eplus results'!$1:$1048576,ROW(),FALSE)</f>
        <v>0</v>
      </c>
      <c r="AC4359" s="580">
        <f>HLOOKUP("*"&amp;'Output annual'!$AC$2&amp;'Output annual'!$AD$2&amp;"*FangerPMV(Hourly)",'Eplus results'!$1:$1048576,ROW(),FALSE)</f>
        <v>0</v>
      </c>
      <c r="AD4359" s="580">
        <f t="shared" si="376"/>
        <v>5</v>
      </c>
      <c r="AE4359" s="580">
        <f t="shared" si="377"/>
        <v>2.5</v>
      </c>
      <c r="AF4359" s="580">
        <f t="shared" si="378"/>
        <v>2.5</v>
      </c>
      <c r="AG4359" s="580">
        <f t="shared" si="379"/>
        <v>0</v>
      </c>
      <c r="AH4359" s="580">
        <f t="shared" si="380"/>
        <v>0</v>
      </c>
    </row>
    <row r="4360" spans="28:34">
      <c r="AB4360" s="580">
        <f>HLOOKUP("*"&amp;'Output annual'!$AC$2&amp;'Output annual'!$AD$2&amp;"*Zone People Number Of Occupants [](Hourly)",'Eplus results'!$1:$1048576,ROW(),FALSE)</f>
        <v>0</v>
      </c>
      <c r="AC4360" s="580">
        <f>HLOOKUP("*"&amp;'Output annual'!$AC$2&amp;'Output annual'!$AD$2&amp;"*FangerPMV(Hourly)",'Eplus results'!$1:$1048576,ROW(),FALSE)</f>
        <v>0</v>
      </c>
      <c r="AD4360" s="580">
        <f t="shared" si="376"/>
        <v>5</v>
      </c>
      <c r="AE4360" s="580">
        <f t="shared" si="377"/>
        <v>2.5</v>
      </c>
      <c r="AF4360" s="580">
        <f t="shared" si="378"/>
        <v>2.5</v>
      </c>
      <c r="AG4360" s="580">
        <f t="shared" si="379"/>
        <v>0</v>
      </c>
      <c r="AH4360" s="580">
        <f t="shared" si="380"/>
        <v>0</v>
      </c>
    </row>
    <row r="4361" spans="28:34">
      <c r="AB4361" s="580">
        <f>HLOOKUP("*"&amp;'Output annual'!$AC$2&amp;'Output annual'!$AD$2&amp;"*Zone People Number Of Occupants [](Hourly)",'Eplus results'!$1:$1048576,ROW(),FALSE)</f>
        <v>0</v>
      </c>
      <c r="AC4361" s="580">
        <f>HLOOKUP("*"&amp;'Output annual'!$AC$2&amp;'Output annual'!$AD$2&amp;"*FangerPMV(Hourly)",'Eplus results'!$1:$1048576,ROW(),FALSE)</f>
        <v>0</v>
      </c>
      <c r="AD4361" s="580">
        <f t="shared" si="376"/>
        <v>5</v>
      </c>
      <c r="AE4361" s="580">
        <f t="shared" si="377"/>
        <v>2.5</v>
      </c>
      <c r="AF4361" s="580">
        <f t="shared" si="378"/>
        <v>2.5</v>
      </c>
      <c r="AG4361" s="580">
        <f t="shared" si="379"/>
        <v>0</v>
      </c>
      <c r="AH4361" s="580">
        <f t="shared" si="380"/>
        <v>0</v>
      </c>
    </row>
    <row r="4362" spans="28:34">
      <c r="AB4362" s="580">
        <f>HLOOKUP("*"&amp;'Output annual'!$AC$2&amp;'Output annual'!$AD$2&amp;"*Zone People Number Of Occupants [](Hourly)",'Eplus results'!$1:$1048576,ROW(),FALSE)</f>
        <v>0</v>
      </c>
      <c r="AC4362" s="580">
        <f>HLOOKUP("*"&amp;'Output annual'!$AC$2&amp;'Output annual'!$AD$2&amp;"*FangerPMV(Hourly)",'Eplus results'!$1:$1048576,ROW(),FALSE)</f>
        <v>0</v>
      </c>
      <c r="AD4362" s="580">
        <f t="shared" si="376"/>
        <v>5</v>
      </c>
      <c r="AE4362" s="580">
        <f t="shared" si="377"/>
        <v>2.5</v>
      </c>
      <c r="AF4362" s="580">
        <f t="shared" si="378"/>
        <v>2.5</v>
      </c>
      <c r="AG4362" s="580">
        <f t="shared" si="379"/>
        <v>0</v>
      </c>
      <c r="AH4362" s="580">
        <f t="shared" si="380"/>
        <v>0</v>
      </c>
    </row>
    <row r="4363" spans="28:34">
      <c r="AB4363" s="580">
        <f>HLOOKUP("*"&amp;'Output annual'!$AC$2&amp;'Output annual'!$AD$2&amp;"*Zone People Number Of Occupants [](Hourly)",'Eplus results'!$1:$1048576,ROW(),FALSE)</f>
        <v>0</v>
      </c>
      <c r="AC4363" s="580">
        <f>HLOOKUP("*"&amp;'Output annual'!$AC$2&amp;'Output annual'!$AD$2&amp;"*FangerPMV(Hourly)",'Eplus results'!$1:$1048576,ROW(),FALSE)</f>
        <v>0</v>
      </c>
      <c r="AD4363" s="580">
        <f t="shared" si="376"/>
        <v>5</v>
      </c>
      <c r="AE4363" s="580">
        <f t="shared" si="377"/>
        <v>2.5</v>
      </c>
      <c r="AF4363" s="580">
        <f t="shared" si="378"/>
        <v>2.5</v>
      </c>
      <c r="AG4363" s="580">
        <f t="shared" si="379"/>
        <v>0</v>
      </c>
      <c r="AH4363" s="580">
        <f t="shared" si="380"/>
        <v>0</v>
      </c>
    </row>
    <row r="4364" spans="28:34">
      <c r="AB4364" s="580">
        <f>HLOOKUP("*"&amp;'Output annual'!$AC$2&amp;'Output annual'!$AD$2&amp;"*Zone People Number Of Occupants [](Hourly)",'Eplus results'!$1:$1048576,ROW(),FALSE)</f>
        <v>0</v>
      </c>
      <c r="AC4364" s="580">
        <f>HLOOKUP("*"&amp;'Output annual'!$AC$2&amp;'Output annual'!$AD$2&amp;"*FangerPMV(Hourly)",'Eplus results'!$1:$1048576,ROW(),FALSE)</f>
        <v>0</v>
      </c>
      <c r="AD4364" s="580">
        <f t="shared" si="376"/>
        <v>5</v>
      </c>
      <c r="AE4364" s="580">
        <f t="shared" si="377"/>
        <v>2.5</v>
      </c>
      <c r="AF4364" s="580">
        <f t="shared" si="378"/>
        <v>2.5</v>
      </c>
      <c r="AG4364" s="580">
        <f t="shared" si="379"/>
        <v>0</v>
      </c>
      <c r="AH4364" s="580">
        <f t="shared" si="380"/>
        <v>0</v>
      </c>
    </row>
    <row r="4365" spans="28:34">
      <c r="AB4365" s="580">
        <f>HLOOKUP("*"&amp;'Output annual'!$AC$2&amp;'Output annual'!$AD$2&amp;"*Zone People Number Of Occupants [](Hourly)",'Eplus results'!$1:$1048576,ROW(),FALSE)</f>
        <v>0</v>
      </c>
      <c r="AC4365" s="580">
        <f>HLOOKUP("*"&amp;'Output annual'!$AC$2&amp;'Output annual'!$AD$2&amp;"*FangerPMV(Hourly)",'Eplus results'!$1:$1048576,ROW(),FALSE)</f>
        <v>0</v>
      </c>
      <c r="AD4365" s="580">
        <f t="shared" si="376"/>
        <v>5</v>
      </c>
      <c r="AE4365" s="580">
        <f t="shared" si="377"/>
        <v>2.5</v>
      </c>
      <c r="AF4365" s="580">
        <f t="shared" si="378"/>
        <v>2.5</v>
      </c>
      <c r="AG4365" s="580">
        <f t="shared" si="379"/>
        <v>0</v>
      </c>
      <c r="AH4365" s="580">
        <f t="shared" si="380"/>
        <v>0</v>
      </c>
    </row>
    <row r="4366" spans="28:34">
      <c r="AB4366" s="580">
        <f>HLOOKUP("*"&amp;'Output annual'!$AC$2&amp;'Output annual'!$AD$2&amp;"*Zone People Number Of Occupants [](Hourly)",'Eplus results'!$1:$1048576,ROW(),FALSE)</f>
        <v>0</v>
      </c>
      <c r="AC4366" s="580">
        <f>HLOOKUP("*"&amp;'Output annual'!$AC$2&amp;'Output annual'!$AD$2&amp;"*FangerPMV(Hourly)",'Eplus results'!$1:$1048576,ROW(),FALSE)</f>
        <v>0</v>
      </c>
      <c r="AD4366" s="580">
        <f t="shared" si="376"/>
        <v>5</v>
      </c>
      <c r="AE4366" s="580">
        <f t="shared" si="377"/>
        <v>2.5</v>
      </c>
      <c r="AF4366" s="580">
        <f t="shared" si="378"/>
        <v>2.5</v>
      </c>
      <c r="AG4366" s="580">
        <f t="shared" si="379"/>
        <v>0</v>
      </c>
      <c r="AH4366" s="580">
        <f t="shared" si="380"/>
        <v>0</v>
      </c>
    </row>
    <row r="4367" spans="28:34">
      <c r="AB4367" s="580">
        <f>HLOOKUP("*"&amp;'Output annual'!$AC$2&amp;'Output annual'!$AD$2&amp;"*Zone People Number Of Occupants [](Hourly)",'Eplus results'!$1:$1048576,ROW(),FALSE)</f>
        <v>0</v>
      </c>
      <c r="AC4367" s="580">
        <f>HLOOKUP("*"&amp;'Output annual'!$AC$2&amp;'Output annual'!$AD$2&amp;"*FangerPMV(Hourly)",'Eplus results'!$1:$1048576,ROW(),FALSE)</f>
        <v>0</v>
      </c>
      <c r="AD4367" s="580">
        <f t="shared" si="376"/>
        <v>5</v>
      </c>
      <c r="AE4367" s="580">
        <f t="shared" si="377"/>
        <v>2.5</v>
      </c>
      <c r="AF4367" s="580">
        <f t="shared" si="378"/>
        <v>2.5</v>
      </c>
      <c r="AG4367" s="580">
        <f t="shared" si="379"/>
        <v>0</v>
      </c>
      <c r="AH4367" s="580">
        <f t="shared" si="380"/>
        <v>0</v>
      </c>
    </row>
    <row r="4368" spans="28:34">
      <c r="AB4368" s="580">
        <f>HLOOKUP("*"&amp;'Output annual'!$AC$2&amp;'Output annual'!$AD$2&amp;"*Zone People Number Of Occupants [](Hourly)",'Eplus results'!$1:$1048576,ROW(),FALSE)</f>
        <v>0</v>
      </c>
      <c r="AC4368" s="580">
        <f>HLOOKUP("*"&amp;'Output annual'!$AC$2&amp;'Output annual'!$AD$2&amp;"*FangerPMV(Hourly)",'Eplus results'!$1:$1048576,ROW(),FALSE)</f>
        <v>0</v>
      </c>
      <c r="AD4368" s="580">
        <f t="shared" si="376"/>
        <v>5</v>
      </c>
      <c r="AE4368" s="580">
        <f t="shared" si="377"/>
        <v>2.5</v>
      </c>
      <c r="AF4368" s="580">
        <f t="shared" si="378"/>
        <v>2.5</v>
      </c>
      <c r="AG4368" s="580">
        <f t="shared" si="379"/>
        <v>0</v>
      </c>
      <c r="AH4368" s="580">
        <f t="shared" si="380"/>
        <v>0</v>
      </c>
    </row>
    <row r="4369" spans="28:34">
      <c r="AB4369" s="580">
        <f>HLOOKUP("*"&amp;'Output annual'!$AC$2&amp;'Output annual'!$AD$2&amp;"*Zone People Number Of Occupants [](Hourly)",'Eplus results'!$1:$1048576,ROW(),FALSE)</f>
        <v>0</v>
      </c>
      <c r="AC4369" s="580">
        <f>HLOOKUP("*"&amp;'Output annual'!$AC$2&amp;'Output annual'!$AD$2&amp;"*FangerPMV(Hourly)",'Eplus results'!$1:$1048576,ROW(),FALSE)</f>
        <v>0</v>
      </c>
      <c r="AD4369" s="580">
        <f t="shared" si="376"/>
        <v>5</v>
      </c>
      <c r="AE4369" s="580">
        <f t="shared" si="377"/>
        <v>2.5</v>
      </c>
      <c r="AF4369" s="580">
        <f t="shared" si="378"/>
        <v>2.5</v>
      </c>
      <c r="AG4369" s="580">
        <f t="shared" si="379"/>
        <v>0</v>
      </c>
      <c r="AH4369" s="580">
        <f t="shared" si="380"/>
        <v>0</v>
      </c>
    </row>
    <row r="4370" spans="28:34">
      <c r="AB4370" s="580">
        <f>HLOOKUP("*"&amp;'Output annual'!$AC$2&amp;'Output annual'!$AD$2&amp;"*Zone People Number Of Occupants [](Hourly)",'Eplus results'!$1:$1048576,ROW(),FALSE)</f>
        <v>0</v>
      </c>
      <c r="AC4370" s="580">
        <f>HLOOKUP("*"&amp;'Output annual'!$AC$2&amp;'Output annual'!$AD$2&amp;"*FangerPMV(Hourly)",'Eplus results'!$1:$1048576,ROW(),FALSE)</f>
        <v>0</v>
      </c>
      <c r="AD4370" s="580">
        <f t="shared" si="376"/>
        <v>5</v>
      </c>
      <c r="AE4370" s="580">
        <f t="shared" si="377"/>
        <v>2.5</v>
      </c>
      <c r="AF4370" s="580">
        <f t="shared" si="378"/>
        <v>2.5</v>
      </c>
      <c r="AG4370" s="580">
        <f t="shared" si="379"/>
        <v>0</v>
      </c>
      <c r="AH4370" s="580">
        <f t="shared" si="380"/>
        <v>0</v>
      </c>
    </row>
    <row r="4371" spans="28:34">
      <c r="AB4371" s="580">
        <f>HLOOKUP("*"&amp;'Output annual'!$AC$2&amp;'Output annual'!$AD$2&amp;"*Zone People Number Of Occupants [](Hourly)",'Eplus results'!$1:$1048576,ROW(),FALSE)</f>
        <v>0</v>
      </c>
      <c r="AC4371" s="580">
        <f>HLOOKUP("*"&amp;'Output annual'!$AC$2&amp;'Output annual'!$AD$2&amp;"*FangerPMV(Hourly)",'Eplus results'!$1:$1048576,ROW(),FALSE)</f>
        <v>0</v>
      </c>
      <c r="AD4371" s="580">
        <f t="shared" si="376"/>
        <v>5</v>
      </c>
      <c r="AE4371" s="580">
        <f t="shared" si="377"/>
        <v>2.5</v>
      </c>
      <c r="AF4371" s="580">
        <f t="shared" si="378"/>
        <v>2.5</v>
      </c>
      <c r="AG4371" s="580">
        <f t="shared" si="379"/>
        <v>0</v>
      </c>
      <c r="AH4371" s="580">
        <f t="shared" si="380"/>
        <v>0</v>
      </c>
    </row>
    <row r="4372" spans="28:34">
      <c r="AB4372" s="580">
        <f>HLOOKUP("*"&amp;'Output annual'!$AC$2&amp;'Output annual'!$AD$2&amp;"*Zone People Number Of Occupants [](Hourly)",'Eplus results'!$1:$1048576,ROW(),FALSE)</f>
        <v>0</v>
      </c>
      <c r="AC4372" s="580">
        <f>HLOOKUP("*"&amp;'Output annual'!$AC$2&amp;'Output annual'!$AD$2&amp;"*FangerPMV(Hourly)",'Eplus results'!$1:$1048576,ROW(),FALSE)</f>
        <v>0</v>
      </c>
      <c r="AD4372" s="580">
        <f t="shared" si="376"/>
        <v>5</v>
      </c>
      <c r="AE4372" s="580">
        <f t="shared" si="377"/>
        <v>2.5</v>
      </c>
      <c r="AF4372" s="580">
        <f t="shared" si="378"/>
        <v>2.5</v>
      </c>
      <c r="AG4372" s="580">
        <f t="shared" si="379"/>
        <v>0</v>
      </c>
      <c r="AH4372" s="580">
        <f t="shared" si="380"/>
        <v>0</v>
      </c>
    </row>
    <row r="4373" spans="28:34">
      <c r="AB4373" s="580">
        <f>HLOOKUP("*"&amp;'Output annual'!$AC$2&amp;'Output annual'!$AD$2&amp;"*Zone People Number Of Occupants [](Hourly)",'Eplus results'!$1:$1048576,ROW(),FALSE)</f>
        <v>0</v>
      </c>
      <c r="AC4373" s="580">
        <f>HLOOKUP("*"&amp;'Output annual'!$AC$2&amp;'Output annual'!$AD$2&amp;"*FangerPMV(Hourly)",'Eplus results'!$1:$1048576,ROW(),FALSE)</f>
        <v>0</v>
      </c>
      <c r="AD4373" s="580">
        <f t="shared" si="376"/>
        <v>5</v>
      </c>
      <c r="AE4373" s="580">
        <f t="shared" si="377"/>
        <v>2.5</v>
      </c>
      <c r="AF4373" s="580">
        <f t="shared" si="378"/>
        <v>2.5</v>
      </c>
      <c r="AG4373" s="580">
        <f t="shared" si="379"/>
        <v>0</v>
      </c>
      <c r="AH4373" s="580">
        <f t="shared" si="380"/>
        <v>0</v>
      </c>
    </row>
    <row r="4374" spans="28:34">
      <c r="AB4374" s="580">
        <f>HLOOKUP("*"&amp;'Output annual'!$AC$2&amp;'Output annual'!$AD$2&amp;"*Zone People Number Of Occupants [](Hourly)",'Eplus results'!$1:$1048576,ROW(),FALSE)</f>
        <v>0</v>
      </c>
      <c r="AC4374" s="580">
        <f>HLOOKUP("*"&amp;'Output annual'!$AC$2&amp;'Output annual'!$AD$2&amp;"*FangerPMV(Hourly)",'Eplus results'!$1:$1048576,ROW(),FALSE)</f>
        <v>0</v>
      </c>
      <c r="AD4374" s="580">
        <f t="shared" si="376"/>
        <v>5</v>
      </c>
      <c r="AE4374" s="580">
        <f t="shared" si="377"/>
        <v>2.5</v>
      </c>
      <c r="AF4374" s="580">
        <f t="shared" si="378"/>
        <v>2.5</v>
      </c>
      <c r="AG4374" s="580">
        <f t="shared" si="379"/>
        <v>0</v>
      </c>
      <c r="AH4374" s="580">
        <f t="shared" si="380"/>
        <v>0</v>
      </c>
    </row>
    <row r="4375" spans="28:34">
      <c r="AB4375" s="580">
        <f>HLOOKUP("*"&amp;'Output annual'!$AC$2&amp;'Output annual'!$AD$2&amp;"*Zone People Number Of Occupants [](Hourly)",'Eplus results'!$1:$1048576,ROW(),FALSE)</f>
        <v>0</v>
      </c>
      <c r="AC4375" s="580">
        <f>HLOOKUP("*"&amp;'Output annual'!$AC$2&amp;'Output annual'!$AD$2&amp;"*FangerPMV(Hourly)",'Eplus results'!$1:$1048576,ROW(),FALSE)</f>
        <v>0</v>
      </c>
      <c r="AD4375" s="580">
        <f t="shared" si="376"/>
        <v>5</v>
      </c>
      <c r="AE4375" s="580">
        <f t="shared" si="377"/>
        <v>2.5</v>
      </c>
      <c r="AF4375" s="580">
        <f t="shared" si="378"/>
        <v>2.5</v>
      </c>
      <c r="AG4375" s="580">
        <f t="shared" si="379"/>
        <v>0</v>
      </c>
      <c r="AH4375" s="580">
        <f t="shared" si="380"/>
        <v>0</v>
      </c>
    </row>
    <row r="4376" spans="28:34">
      <c r="AB4376" s="580">
        <f>HLOOKUP("*"&amp;'Output annual'!$AC$2&amp;'Output annual'!$AD$2&amp;"*Zone People Number Of Occupants [](Hourly)",'Eplus results'!$1:$1048576,ROW(),FALSE)</f>
        <v>0</v>
      </c>
      <c r="AC4376" s="580">
        <f>HLOOKUP("*"&amp;'Output annual'!$AC$2&amp;'Output annual'!$AD$2&amp;"*FangerPMV(Hourly)",'Eplus results'!$1:$1048576,ROW(),FALSE)</f>
        <v>0</v>
      </c>
      <c r="AD4376" s="580">
        <f t="shared" si="376"/>
        <v>5</v>
      </c>
      <c r="AE4376" s="580">
        <f t="shared" si="377"/>
        <v>2.5</v>
      </c>
      <c r="AF4376" s="580">
        <f t="shared" si="378"/>
        <v>2.5</v>
      </c>
      <c r="AG4376" s="580">
        <f t="shared" si="379"/>
        <v>0</v>
      </c>
      <c r="AH4376" s="580">
        <f t="shared" si="380"/>
        <v>0</v>
      </c>
    </row>
    <row r="4377" spans="28:34">
      <c r="AB4377" s="580">
        <f>HLOOKUP("*"&amp;'Output annual'!$AC$2&amp;'Output annual'!$AD$2&amp;"*Zone People Number Of Occupants [](Hourly)",'Eplus results'!$1:$1048576,ROW(),FALSE)</f>
        <v>0</v>
      </c>
      <c r="AC4377" s="580">
        <f>HLOOKUP("*"&amp;'Output annual'!$AC$2&amp;'Output annual'!$AD$2&amp;"*FangerPMV(Hourly)",'Eplus results'!$1:$1048576,ROW(),FALSE)</f>
        <v>0</v>
      </c>
      <c r="AD4377" s="580">
        <f t="shared" si="376"/>
        <v>5</v>
      </c>
      <c r="AE4377" s="580">
        <f t="shared" si="377"/>
        <v>2.5</v>
      </c>
      <c r="AF4377" s="580">
        <f t="shared" si="378"/>
        <v>2.5</v>
      </c>
      <c r="AG4377" s="580">
        <f t="shared" si="379"/>
        <v>0</v>
      </c>
      <c r="AH4377" s="580">
        <f t="shared" si="380"/>
        <v>0</v>
      </c>
    </row>
    <row r="4378" spans="28:34">
      <c r="AB4378" s="580">
        <f>HLOOKUP("*"&amp;'Output annual'!$AC$2&amp;'Output annual'!$AD$2&amp;"*Zone People Number Of Occupants [](Hourly)",'Eplus results'!$1:$1048576,ROW(),FALSE)</f>
        <v>0</v>
      </c>
      <c r="AC4378" s="580">
        <f>HLOOKUP("*"&amp;'Output annual'!$AC$2&amp;'Output annual'!$AD$2&amp;"*FangerPMV(Hourly)",'Eplus results'!$1:$1048576,ROW(),FALSE)</f>
        <v>0</v>
      </c>
      <c r="AD4378" s="580">
        <f t="shared" si="376"/>
        <v>5</v>
      </c>
      <c r="AE4378" s="580">
        <f t="shared" si="377"/>
        <v>2.5</v>
      </c>
      <c r="AF4378" s="580">
        <f t="shared" si="378"/>
        <v>2.5</v>
      </c>
      <c r="AG4378" s="580">
        <f t="shared" si="379"/>
        <v>0</v>
      </c>
      <c r="AH4378" s="580">
        <f t="shared" si="380"/>
        <v>0</v>
      </c>
    </row>
    <row r="4379" spans="28:34">
      <c r="AB4379" s="580">
        <f>HLOOKUP("*"&amp;'Output annual'!$AC$2&amp;'Output annual'!$AD$2&amp;"*Zone People Number Of Occupants [](Hourly)",'Eplus results'!$1:$1048576,ROW(),FALSE)</f>
        <v>0</v>
      </c>
      <c r="AC4379" s="580">
        <f>HLOOKUP("*"&amp;'Output annual'!$AC$2&amp;'Output annual'!$AD$2&amp;"*FangerPMV(Hourly)",'Eplus results'!$1:$1048576,ROW(),FALSE)</f>
        <v>0</v>
      </c>
      <c r="AD4379" s="580">
        <f t="shared" si="376"/>
        <v>5</v>
      </c>
      <c r="AE4379" s="580">
        <f t="shared" si="377"/>
        <v>2.5</v>
      </c>
      <c r="AF4379" s="580">
        <f t="shared" si="378"/>
        <v>2.5</v>
      </c>
      <c r="AG4379" s="580">
        <f t="shared" si="379"/>
        <v>0</v>
      </c>
      <c r="AH4379" s="580">
        <f t="shared" si="380"/>
        <v>0</v>
      </c>
    </row>
    <row r="4380" spans="28:34">
      <c r="AB4380" s="580">
        <f>HLOOKUP("*"&amp;'Output annual'!$AC$2&amp;'Output annual'!$AD$2&amp;"*Zone People Number Of Occupants [](Hourly)",'Eplus results'!$1:$1048576,ROW(),FALSE)</f>
        <v>0</v>
      </c>
      <c r="AC4380" s="580">
        <f>HLOOKUP("*"&amp;'Output annual'!$AC$2&amp;'Output annual'!$AD$2&amp;"*FangerPMV(Hourly)",'Eplus results'!$1:$1048576,ROW(),FALSE)</f>
        <v>0</v>
      </c>
      <c r="AD4380" s="580">
        <f t="shared" si="376"/>
        <v>5</v>
      </c>
      <c r="AE4380" s="580">
        <f t="shared" si="377"/>
        <v>2.5</v>
      </c>
      <c r="AF4380" s="580">
        <f t="shared" si="378"/>
        <v>2.5</v>
      </c>
      <c r="AG4380" s="580">
        <f t="shared" si="379"/>
        <v>0</v>
      </c>
      <c r="AH4380" s="580">
        <f t="shared" si="380"/>
        <v>0</v>
      </c>
    </row>
    <row r="4381" spans="28:34">
      <c r="AB4381" s="580">
        <f>HLOOKUP("*"&amp;'Output annual'!$AC$2&amp;'Output annual'!$AD$2&amp;"*Zone People Number Of Occupants [](Hourly)",'Eplus results'!$1:$1048576,ROW(),FALSE)</f>
        <v>0</v>
      </c>
      <c r="AC4381" s="580">
        <f>HLOOKUP("*"&amp;'Output annual'!$AC$2&amp;'Output annual'!$AD$2&amp;"*FangerPMV(Hourly)",'Eplus results'!$1:$1048576,ROW(),FALSE)</f>
        <v>0</v>
      </c>
      <c r="AD4381" s="580">
        <f t="shared" si="376"/>
        <v>5</v>
      </c>
      <c r="AE4381" s="580">
        <f t="shared" si="377"/>
        <v>2.5</v>
      </c>
      <c r="AF4381" s="580">
        <f t="shared" si="378"/>
        <v>2.5</v>
      </c>
      <c r="AG4381" s="580">
        <f t="shared" si="379"/>
        <v>0</v>
      </c>
      <c r="AH4381" s="580">
        <f t="shared" si="380"/>
        <v>0</v>
      </c>
    </row>
    <row r="4382" spans="28:34">
      <c r="AB4382" s="580">
        <f>HLOOKUP("*"&amp;'Output annual'!$AC$2&amp;'Output annual'!$AD$2&amp;"*Zone People Number Of Occupants [](Hourly)",'Eplus results'!$1:$1048576,ROW(),FALSE)</f>
        <v>0</v>
      </c>
      <c r="AC4382" s="580">
        <f>HLOOKUP("*"&amp;'Output annual'!$AC$2&amp;'Output annual'!$AD$2&amp;"*FangerPMV(Hourly)",'Eplus results'!$1:$1048576,ROW(),FALSE)</f>
        <v>0</v>
      </c>
      <c r="AD4382" s="580">
        <f t="shared" si="376"/>
        <v>5</v>
      </c>
      <c r="AE4382" s="580">
        <f t="shared" si="377"/>
        <v>2.5</v>
      </c>
      <c r="AF4382" s="580">
        <f t="shared" si="378"/>
        <v>2.5</v>
      </c>
      <c r="AG4382" s="580">
        <f t="shared" si="379"/>
        <v>0</v>
      </c>
      <c r="AH4382" s="580">
        <f t="shared" si="380"/>
        <v>0</v>
      </c>
    </row>
    <row r="4383" spans="28:34">
      <c r="AB4383" s="580">
        <f>HLOOKUP("*"&amp;'Output annual'!$AC$2&amp;'Output annual'!$AD$2&amp;"*Zone People Number Of Occupants [](Hourly)",'Eplus results'!$1:$1048576,ROW(),FALSE)</f>
        <v>0</v>
      </c>
      <c r="AC4383" s="580">
        <f>HLOOKUP("*"&amp;'Output annual'!$AC$2&amp;'Output annual'!$AD$2&amp;"*FangerPMV(Hourly)",'Eplus results'!$1:$1048576,ROW(),FALSE)</f>
        <v>0</v>
      </c>
      <c r="AD4383" s="580">
        <f t="shared" si="376"/>
        <v>5</v>
      </c>
      <c r="AE4383" s="580">
        <f t="shared" si="377"/>
        <v>2.5</v>
      </c>
      <c r="AF4383" s="580">
        <f t="shared" si="378"/>
        <v>2.5</v>
      </c>
      <c r="AG4383" s="580">
        <f t="shared" si="379"/>
        <v>0</v>
      </c>
      <c r="AH4383" s="580">
        <f t="shared" si="380"/>
        <v>0</v>
      </c>
    </row>
    <row r="4384" spans="28:34">
      <c r="AB4384" s="580">
        <f>HLOOKUP("*"&amp;'Output annual'!$AC$2&amp;'Output annual'!$AD$2&amp;"*Zone People Number Of Occupants [](Hourly)",'Eplus results'!$1:$1048576,ROW(),FALSE)</f>
        <v>0</v>
      </c>
      <c r="AC4384" s="580">
        <f>HLOOKUP("*"&amp;'Output annual'!$AC$2&amp;'Output annual'!$AD$2&amp;"*FangerPMV(Hourly)",'Eplus results'!$1:$1048576,ROW(),FALSE)</f>
        <v>0</v>
      </c>
      <c r="AD4384" s="580">
        <f t="shared" si="376"/>
        <v>5</v>
      </c>
      <c r="AE4384" s="580">
        <f t="shared" si="377"/>
        <v>2.5</v>
      </c>
      <c r="AF4384" s="580">
        <f t="shared" si="378"/>
        <v>2.5</v>
      </c>
      <c r="AG4384" s="580">
        <f t="shared" si="379"/>
        <v>0</v>
      </c>
      <c r="AH4384" s="580">
        <f t="shared" si="380"/>
        <v>0</v>
      </c>
    </row>
    <row r="4385" spans="28:34">
      <c r="AB4385" s="580">
        <f>HLOOKUP("*"&amp;'Output annual'!$AC$2&amp;'Output annual'!$AD$2&amp;"*Zone People Number Of Occupants [](Hourly)",'Eplus results'!$1:$1048576,ROW(),FALSE)</f>
        <v>0</v>
      </c>
      <c r="AC4385" s="580">
        <f>HLOOKUP("*"&amp;'Output annual'!$AC$2&amp;'Output annual'!$AD$2&amp;"*FangerPMV(Hourly)",'Eplus results'!$1:$1048576,ROW(),FALSE)</f>
        <v>0</v>
      </c>
      <c r="AD4385" s="580">
        <f t="shared" si="376"/>
        <v>5</v>
      </c>
      <c r="AE4385" s="580">
        <f t="shared" si="377"/>
        <v>2.5</v>
      </c>
      <c r="AF4385" s="580">
        <f t="shared" si="378"/>
        <v>2.5</v>
      </c>
      <c r="AG4385" s="580">
        <f t="shared" si="379"/>
        <v>0</v>
      </c>
      <c r="AH4385" s="580">
        <f t="shared" si="380"/>
        <v>0</v>
      </c>
    </row>
    <row r="4386" spans="28:34">
      <c r="AB4386" s="580">
        <f>HLOOKUP("*"&amp;'Output annual'!$AC$2&amp;'Output annual'!$AD$2&amp;"*Zone People Number Of Occupants [](Hourly)",'Eplus results'!$1:$1048576,ROW(),FALSE)</f>
        <v>0</v>
      </c>
      <c r="AC4386" s="580">
        <f>HLOOKUP("*"&amp;'Output annual'!$AC$2&amp;'Output annual'!$AD$2&amp;"*FangerPMV(Hourly)",'Eplus results'!$1:$1048576,ROW(),FALSE)</f>
        <v>0</v>
      </c>
      <c r="AD4386" s="580">
        <f t="shared" si="376"/>
        <v>5</v>
      </c>
      <c r="AE4386" s="580">
        <f t="shared" si="377"/>
        <v>2.5</v>
      </c>
      <c r="AF4386" s="580">
        <f t="shared" si="378"/>
        <v>2.5</v>
      </c>
      <c r="AG4386" s="580">
        <f t="shared" si="379"/>
        <v>0</v>
      </c>
      <c r="AH4386" s="580">
        <f t="shared" si="380"/>
        <v>0</v>
      </c>
    </row>
    <row r="4387" spans="28:34">
      <c r="AB4387" s="580">
        <f>HLOOKUP("*"&amp;'Output annual'!$AC$2&amp;'Output annual'!$AD$2&amp;"*Zone People Number Of Occupants [](Hourly)",'Eplus results'!$1:$1048576,ROW(),FALSE)</f>
        <v>0</v>
      </c>
      <c r="AC4387" s="580">
        <f>HLOOKUP("*"&amp;'Output annual'!$AC$2&amp;'Output annual'!$AD$2&amp;"*FangerPMV(Hourly)",'Eplus results'!$1:$1048576,ROW(),FALSE)</f>
        <v>0</v>
      </c>
      <c r="AD4387" s="580">
        <f t="shared" si="376"/>
        <v>5</v>
      </c>
      <c r="AE4387" s="580">
        <f t="shared" si="377"/>
        <v>2.5</v>
      </c>
      <c r="AF4387" s="580">
        <f t="shared" si="378"/>
        <v>2.5</v>
      </c>
      <c r="AG4387" s="580">
        <f t="shared" si="379"/>
        <v>0</v>
      </c>
      <c r="AH4387" s="580">
        <f t="shared" si="380"/>
        <v>0</v>
      </c>
    </row>
    <row r="4388" spans="28:34">
      <c r="AB4388" s="580">
        <f>HLOOKUP("*"&amp;'Output annual'!$AC$2&amp;'Output annual'!$AD$2&amp;"*Zone People Number Of Occupants [](Hourly)",'Eplus results'!$1:$1048576,ROW(),FALSE)</f>
        <v>0</v>
      </c>
      <c r="AC4388" s="580">
        <f>HLOOKUP("*"&amp;'Output annual'!$AC$2&amp;'Output annual'!$AD$2&amp;"*FangerPMV(Hourly)",'Eplus results'!$1:$1048576,ROW(),FALSE)</f>
        <v>0</v>
      </c>
      <c r="AD4388" s="580">
        <f t="shared" si="376"/>
        <v>5</v>
      </c>
      <c r="AE4388" s="580">
        <f t="shared" si="377"/>
        <v>2.5</v>
      </c>
      <c r="AF4388" s="580">
        <f t="shared" si="378"/>
        <v>2.5</v>
      </c>
      <c r="AG4388" s="580">
        <f t="shared" si="379"/>
        <v>0</v>
      </c>
      <c r="AH4388" s="580">
        <f t="shared" si="380"/>
        <v>0</v>
      </c>
    </row>
    <row r="4389" spans="28:34">
      <c r="AB4389" s="580">
        <f>HLOOKUP("*"&amp;'Output annual'!$AC$2&amp;'Output annual'!$AD$2&amp;"*Zone People Number Of Occupants [](Hourly)",'Eplus results'!$1:$1048576,ROW(),FALSE)</f>
        <v>0</v>
      </c>
      <c r="AC4389" s="580">
        <f>HLOOKUP("*"&amp;'Output annual'!$AC$2&amp;'Output annual'!$AD$2&amp;"*FangerPMV(Hourly)",'Eplus results'!$1:$1048576,ROW(),FALSE)</f>
        <v>0</v>
      </c>
      <c r="AD4389" s="580">
        <f t="shared" si="376"/>
        <v>5</v>
      </c>
      <c r="AE4389" s="580">
        <f t="shared" si="377"/>
        <v>2.5</v>
      </c>
      <c r="AF4389" s="580">
        <f t="shared" si="378"/>
        <v>2.5</v>
      </c>
      <c r="AG4389" s="580">
        <f t="shared" si="379"/>
        <v>0</v>
      </c>
      <c r="AH4389" s="580">
        <f t="shared" si="380"/>
        <v>0</v>
      </c>
    </row>
    <row r="4390" spans="28:34">
      <c r="AB4390" s="580">
        <f>HLOOKUP("*"&amp;'Output annual'!$AC$2&amp;'Output annual'!$AD$2&amp;"*Zone People Number Of Occupants [](Hourly)",'Eplus results'!$1:$1048576,ROW(),FALSE)</f>
        <v>0</v>
      </c>
      <c r="AC4390" s="580">
        <f>HLOOKUP("*"&amp;'Output annual'!$AC$2&amp;'Output annual'!$AD$2&amp;"*FangerPMV(Hourly)",'Eplus results'!$1:$1048576,ROW(),FALSE)</f>
        <v>0</v>
      </c>
      <c r="AD4390" s="580">
        <f t="shared" si="376"/>
        <v>5</v>
      </c>
      <c r="AE4390" s="580">
        <f t="shared" si="377"/>
        <v>2.5</v>
      </c>
      <c r="AF4390" s="580">
        <f t="shared" si="378"/>
        <v>2.5</v>
      </c>
      <c r="AG4390" s="580">
        <f t="shared" si="379"/>
        <v>0</v>
      </c>
      <c r="AH4390" s="580">
        <f t="shared" si="380"/>
        <v>0</v>
      </c>
    </row>
    <row r="4391" spans="28:34">
      <c r="AB4391" s="580">
        <f>HLOOKUP("*"&amp;'Output annual'!$AC$2&amp;'Output annual'!$AD$2&amp;"*Zone People Number Of Occupants [](Hourly)",'Eplus results'!$1:$1048576,ROW(),FALSE)</f>
        <v>0</v>
      </c>
      <c r="AC4391" s="580">
        <f>HLOOKUP("*"&amp;'Output annual'!$AC$2&amp;'Output annual'!$AD$2&amp;"*FangerPMV(Hourly)",'Eplus results'!$1:$1048576,ROW(),FALSE)</f>
        <v>0</v>
      </c>
      <c r="AD4391" s="580">
        <f t="shared" si="376"/>
        <v>5</v>
      </c>
      <c r="AE4391" s="580">
        <f t="shared" si="377"/>
        <v>2.5</v>
      </c>
      <c r="AF4391" s="580">
        <f t="shared" si="378"/>
        <v>2.5</v>
      </c>
      <c r="AG4391" s="580">
        <f t="shared" si="379"/>
        <v>0</v>
      </c>
      <c r="AH4391" s="580">
        <f t="shared" si="380"/>
        <v>0</v>
      </c>
    </row>
    <row r="4392" spans="28:34">
      <c r="AB4392" s="580">
        <f>HLOOKUP("*"&amp;'Output annual'!$AC$2&amp;'Output annual'!$AD$2&amp;"*Zone People Number Of Occupants [](Hourly)",'Eplus results'!$1:$1048576,ROW(),FALSE)</f>
        <v>0</v>
      </c>
      <c r="AC4392" s="580">
        <f>HLOOKUP("*"&amp;'Output annual'!$AC$2&amp;'Output annual'!$AD$2&amp;"*FangerPMV(Hourly)",'Eplus results'!$1:$1048576,ROW(),FALSE)</f>
        <v>0</v>
      </c>
      <c r="AD4392" s="580">
        <f t="shared" si="376"/>
        <v>5</v>
      </c>
      <c r="AE4392" s="580">
        <f t="shared" si="377"/>
        <v>2.5</v>
      </c>
      <c r="AF4392" s="580">
        <f t="shared" si="378"/>
        <v>2.5</v>
      </c>
      <c r="AG4392" s="580">
        <f t="shared" si="379"/>
        <v>0</v>
      </c>
      <c r="AH4392" s="580">
        <f t="shared" si="380"/>
        <v>0</v>
      </c>
    </row>
    <row r="4393" spans="28:34">
      <c r="AB4393" s="580">
        <f>HLOOKUP("*"&amp;'Output annual'!$AC$2&amp;'Output annual'!$AD$2&amp;"*Zone People Number Of Occupants [](Hourly)",'Eplus results'!$1:$1048576,ROW(),FALSE)</f>
        <v>0</v>
      </c>
      <c r="AC4393" s="580">
        <f>HLOOKUP("*"&amp;'Output annual'!$AC$2&amp;'Output annual'!$AD$2&amp;"*FangerPMV(Hourly)",'Eplus results'!$1:$1048576,ROW(),FALSE)</f>
        <v>0</v>
      </c>
      <c r="AD4393" s="580">
        <f t="shared" si="376"/>
        <v>5</v>
      </c>
      <c r="AE4393" s="580">
        <f t="shared" si="377"/>
        <v>2.5</v>
      </c>
      <c r="AF4393" s="580">
        <f t="shared" si="378"/>
        <v>2.5</v>
      </c>
      <c r="AG4393" s="580">
        <f t="shared" si="379"/>
        <v>0</v>
      </c>
      <c r="AH4393" s="580">
        <f t="shared" si="380"/>
        <v>0</v>
      </c>
    </row>
    <row r="4394" spans="28:34">
      <c r="AB4394" s="580">
        <f>HLOOKUP("*"&amp;'Output annual'!$AC$2&amp;'Output annual'!$AD$2&amp;"*Zone People Number Of Occupants [](Hourly)",'Eplus results'!$1:$1048576,ROW(),FALSE)</f>
        <v>0</v>
      </c>
      <c r="AC4394" s="580">
        <f>HLOOKUP("*"&amp;'Output annual'!$AC$2&amp;'Output annual'!$AD$2&amp;"*FangerPMV(Hourly)",'Eplus results'!$1:$1048576,ROW(),FALSE)</f>
        <v>0</v>
      </c>
      <c r="AD4394" s="580">
        <f t="shared" si="376"/>
        <v>5</v>
      </c>
      <c r="AE4394" s="580">
        <f t="shared" si="377"/>
        <v>2.5</v>
      </c>
      <c r="AF4394" s="580">
        <f t="shared" si="378"/>
        <v>2.5</v>
      </c>
      <c r="AG4394" s="580">
        <f t="shared" si="379"/>
        <v>0</v>
      </c>
      <c r="AH4394" s="580">
        <f t="shared" si="380"/>
        <v>0</v>
      </c>
    </row>
    <row r="4395" spans="28:34">
      <c r="AB4395" s="580">
        <f>HLOOKUP("*"&amp;'Output annual'!$AC$2&amp;'Output annual'!$AD$2&amp;"*Zone People Number Of Occupants [](Hourly)",'Eplus results'!$1:$1048576,ROW(),FALSE)</f>
        <v>0</v>
      </c>
      <c r="AC4395" s="580">
        <f>HLOOKUP("*"&amp;'Output annual'!$AC$2&amp;'Output annual'!$AD$2&amp;"*FangerPMV(Hourly)",'Eplus results'!$1:$1048576,ROW(),FALSE)</f>
        <v>0</v>
      </c>
      <c r="AD4395" s="580">
        <f t="shared" si="376"/>
        <v>5</v>
      </c>
      <c r="AE4395" s="580">
        <f t="shared" si="377"/>
        <v>2.5</v>
      </c>
      <c r="AF4395" s="580">
        <f t="shared" si="378"/>
        <v>2.5</v>
      </c>
      <c r="AG4395" s="580">
        <f t="shared" si="379"/>
        <v>0</v>
      </c>
      <c r="AH4395" s="580">
        <f t="shared" si="380"/>
        <v>0</v>
      </c>
    </row>
    <row r="4396" spans="28:34">
      <c r="AB4396" s="580">
        <f>HLOOKUP("*"&amp;'Output annual'!$AC$2&amp;'Output annual'!$AD$2&amp;"*Zone People Number Of Occupants [](Hourly)",'Eplus results'!$1:$1048576,ROW(),FALSE)</f>
        <v>0</v>
      </c>
      <c r="AC4396" s="580">
        <f>HLOOKUP("*"&amp;'Output annual'!$AC$2&amp;'Output annual'!$AD$2&amp;"*FangerPMV(Hourly)",'Eplus results'!$1:$1048576,ROW(),FALSE)</f>
        <v>0</v>
      </c>
      <c r="AD4396" s="580">
        <f t="shared" si="376"/>
        <v>5</v>
      </c>
      <c r="AE4396" s="580">
        <f t="shared" si="377"/>
        <v>2.5</v>
      </c>
      <c r="AF4396" s="580">
        <f t="shared" si="378"/>
        <v>2.5</v>
      </c>
      <c r="AG4396" s="580">
        <f t="shared" si="379"/>
        <v>0</v>
      </c>
      <c r="AH4396" s="580">
        <f t="shared" si="380"/>
        <v>0</v>
      </c>
    </row>
    <row r="4397" spans="28:34">
      <c r="AB4397" s="580">
        <f>HLOOKUP("*"&amp;'Output annual'!$AC$2&amp;'Output annual'!$AD$2&amp;"*Zone People Number Of Occupants [](Hourly)",'Eplus results'!$1:$1048576,ROW(),FALSE)</f>
        <v>0</v>
      </c>
      <c r="AC4397" s="580">
        <f>HLOOKUP("*"&amp;'Output annual'!$AC$2&amp;'Output annual'!$AD$2&amp;"*FangerPMV(Hourly)",'Eplus results'!$1:$1048576,ROW(),FALSE)</f>
        <v>0</v>
      </c>
      <c r="AD4397" s="580">
        <f t="shared" si="376"/>
        <v>5</v>
      </c>
      <c r="AE4397" s="580">
        <f t="shared" si="377"/>
        <v>2.5</v>
      </c>
      <c r="AF4397" s="580">
        <f t="shared" si="378"/>
        <v>2.5</v>
      </c>
      <c r="AG4397" s="580">
        <f t="shared" si="379"/>
        <v>0</v>
      </c>
      <c r="AH4397" s="580">
        <f t="shared" si="380"/>
        <v>0</v>
      </c>
    </row>
    <row r="4398" spans="28:34">
      <c r="AB4398" s="580">
        <f>HLOOKUP("*"&amp;'Output annual'!$AC$2&amp;'Output annual'!$AD$2&amp;"*Zone People Number Of Occupants [](Hourly)",'Eplus results'!$1:$1048576,ROW(),FALSE)</f>
        <v>0</v>
      </c>
      <c r="AC4398" s="580">
        <f>HLOOKUP("*"&amp;'Output annual'!$AC$2&amp;'Output annual'!$AD$2&amp;"*FangerPMV(Hourly)",'Eplus results'!$1:$1048576,ROW(),FALSE)</f>
        <v>0</v>
      </c>
      <c r="AD4398" s="580">
        <f t="shared" si="376"/>
        <v>5</v>
      </c>
      <c r="AE4398" s="580">
        <f t="shared" si="377"/>
        <v>2.5</v>
      </c>
      <c r="AF4398" s="580">
        <f t="shared" si="378"/>
        <v>2.5</v>
      </c>
      <c r="AG4398" s="580">
        <f t="shared" si="379"/>
        <v>0</v>
      </c>
      <c r="AH4398" s="580">
        <f t="shared" si="380"/>
        <v>0</v>
      </c>
    </row>
    <row r="4399" spans="28:34">
      <c r="AB4399" s="580">
        <f>HLOOKUP("*"&amp;'Output annual'!$AC$2&amp;'Output annual'!$AD$2&amp;"*Zone People Number Of Occupants [](Hourly)",'Eplus results'!$1:$1048576,ROW(),FALSE)</f>
        <v>0</v>
      </c>
      <c r="AC4399" s="580">
        <f>HLOOKUP("*"&amp;'Output annual'!$AC$2&amp;'Output annual'!$AD$2&amp;"*FangerPMV(Hourly)",'Eplus results'!$1:$1048576,ROW(),FALSE)</f>
        <v>0</v>
      </c>
      <c r="AD4399" s="580">
        <f t="shared" si="376"/>
        <v>5</v>
      </c>
      <c r="AE4399" s="580">
        <f t="shared" si="377"/>
        <v>2.5</v>
      </c>
      <c r="AF4399" s="580">
        <f t="shared" si="378"/>
        <v>2.5</v>
      </c>
      <c r="AG4399" s="580">
        <f t="shared" si="379"/>
        <v>0</v>
      </c>
      <c r="AH4399" s="580">
        <f t="shared" si="380"/>
        <v>0</v>
      </c>
    </row>
    <row r="4400" spans="28:34">
      <c r="AB4400" s="580">
        <f>HLOOKUP("*"&amp;'Output annual'!$AC$2&amp;'Output annual'!$AD$2&amp;"*Zone People Number Of Occupants [](Hourly)",'Eplus results'!$1:$1048576,ROW(),FALSE)</f>
        <v>0</v>
      </c>
      <c r="AC4400" s="580">
        <f>HLOOKUP("*"&amp;'Output annual'!$AC$2&amp;'Output annual'!$AD$2&amp;"*FangerPMV(Hourly)",'Eplus results'!$1:$1048576,ROW(),FALSE)</f>
        <v>0</v>
      </c>
      <c r="AD4400" s="580">
        <f t="shared" si="376"/>
        <v>5</v>
      </c>
      <c r="AE4400" s="580">
        <f t="shared" si="377"/>
        <v>2.5</v>
      </c>
      <c r="AF4400" s="580">
        <f t="shared" si="378"/>
        <v>2.5</v>
      </c>
      <c r="AG4400" s="580">
        <f t="shared" si="379"/>
        <v>0</v>
      </c>
      <c r="AH4400" s="580">
        <f t="shared" si="380"/>
        <v>0</v>
      </c>
    </row>
    <row r="4401" spans="28:34">
      <c r="AB4401" s="580">
        <f>HLOOKUP("*"&amp;'Output annual'!$AC$2&amp;'Output annual'!$AD$2&amp;"*Zone People Number Of Occupants [](Hourly)",'Eplus results'!$1:$1048576,ROW(),FALSE)</f>
        <v>0</v>
      </c>
      <c r="AC4401" s="580">
        <f>HLOOKUP("*"&amp;'Output annual'!$AC$2&amp;'Output annual'!$AD$2&amp;"*FangerPMV(Hourly)",'Eplus results'!$1:$1048576,ROW(),FALSE)</f>
        <v>0</v>
      </c>
      <c r="AD4401" s="580">
        <f t="shared" si="376"/>
        <v>5</v>
      </c>
      <c r="AE4401" s="580">
        <f t="shared" si="377"/>
        <v>2.5</v>
      </c>
      <c r="AF4401" s="580">
        <f t="shared" si="378"/>
        <v>2.5</v>
      </c>
      <c r="AG4401" s="580">
        <f t="shared" si="379"/>
        <v>0</v>
      </c>
      <c r="AH4401" s="580">
        <f t="shared" si="380"/>
        <v>0</v>
      </c>
    </row>
    <row r="4402" spans="28:34">
      <c r="AB4402" s="580">
        <f>HLOOKUP("*"&amp;'Output annual'!$AC$2&amp;'Output annual'!$AD$2&amp;"*Zone People Number Of Occupants [](Hourly)",'Eplus results'!$1:$1048576,ROW(),FALSE)</f>
        <v>0</v>
      </c>
      <c r="AC4402" s="580">
        <f>HLOOKUP("*"&amp;'Output annual'!$AC$2&amp;'Output annual'!$AD$2&amp;"*FangerPMV(Hourly)",'Eplus results'!$1:$1048576,ROW(),FALSE)</f>
        <v>0</v>
      </c>
      <c r="AD4402" s="580">
        <f t="shared" si="376"/>
        <v>5</v>
      </c>
      <c r="AE4402" s="580">
        <f t="shared" si="377"/>
        <v>2.5</v>
      </c>
      <c r="AF4402" s="580">
        <f t="shared" si="378"/>
        <v>2.5</v>
      </c>
      <c r="AG4402" s="580">
        <f t="shared" si="379"/>
        <v>0</v>
      </c>
      <c r="AH4402" s="580">
        <f t="shared" si="380"/>
        <v>0</v>
      </c>
    </row>
    <row r="4403" spans="28:34">
      <c r="AB4403" s="580">
        <f>HLOOKUP("*"&amp;'Output annual'!$AC$2&amp;'Output annual'!$AD$2&amp;"*Zone People Number Of Occupants [](Hourly)",'Eplus results'!$1:$1048576,ROW(),FALSE)</f>
        <v>0</v>
      </c>
      <c r="AC4403" s="580">
        <f>HLOOKUP("*"&amp;'Output annual'!$AC$2&amp;'Output annual'!$AD$2&amp;"*FangerPMV(Hourly)",'Eplus results'!$1:$1048576,ROW(),FALSE)</f>
        <v>0</v>
      </c>
      <c r="AD4403" s="580">
        <f t="shared" si="376"/>
        <v>5</v>
      </c>
      <c r="AE4403" s="580">
        <f t="shared" si="377"/>
        <v>2.5</v>
      </c>
      <c r="AF4403" s="580">
        <f t="shared" si="378"/>
        <v>2.5</v>
      </c>
      <c r="AG4403" s="580">
        <f t="shared" si="379"/>
        <v>0</v>
      </c>
      <c r="AH4403" s="580">
        <f t="shared" si="380"/>
        <v>0</v>
      </c>
    </row>
    <row r="4404" spans="28:34">
      <c r="AB4404" s="580">
        <f>HLOOKUP("*"&amp;'Output annual'!$AC$2&amp;'Output annual'!$AD$2&amp;"*Zone People Number Of Occupants [](Hourly)",'Eplus results'!$1:$1048576,ROW(),FALSE)</f>
        <v>0</v>
      </c>
      <c r="AC4404" s="580">
        <f>HLOOKUP("*"&amp;'Output annual'!$AC$2&amp;'Output annual'!$AD$2&amp;"*FangerPMV(Hourly)",'Eplus results'!$1:$1048576,ROW(),FALSE)</f>
        <v>0</v>
      </c>
      <c r="AD4404" s="580">
        <f t="shared" si="376"/>
        <v>5</v>
      </c>
      <c r="AE4404" s="580">
        <f t="shared" si="377"/>
        <v>2.5</v>
      </c>
      <c r="AF4404" s="580">
        <f t="shared" si="378"/>
        <v>2.5</v>
      </c>
      <c r="AG4404" s="580">
        <f t="shared" si="379"/>
        <v>0</v>
      </c>
      <c r="AH4404" s="580">
        <f t="shared" si="380"/>
        <v>0</v>
      </c>
    </row>
    <row r="4405" spans="28:34">
      <c r="AB4405" s="580">
        <f>HLOOKUP("*"&amp;'Output annual'!$AC$2&amp;'Output annual'!$AD$2&amp;"*Zone People Number Of Occupants [](Hourly)",'Eplus results'!$1:$1048576,ROW(),FALSE)</f>
        <v>0</v>
      </c>
      <c r="AC4405" s="580">
        <f>HLOOKUP("*"&amp;'Output annual'!$AC$2&amp;'Output annual'!$AD$2&amp;"*FangerPMV(Hourly)",'Eplus results'!$1:$1048576,ROW(),FALSE)</f>
        <v>0</v>
      </c>
      <c r="AD4405" s="580">
        <f t="shared" si="376"/>
        <v>5</v>
      </c>
      <c r="AE4405" s="580">
        <f t="shared" si="377"/>
        <v>2.5</v>
      </c>
      <c r="AF4405" s="580">
        <f t="shared" si="378"/>
        <v>2.5</v>
      </c>
      <c r="AG4405" s="580">
        <f t="shared" si="379"/>
        <v>0</v>
      </c>
      <c r="AH4405" s="580">
        <f t="shared" si="380"/>
        <v>0</v>
      </c>
    </row>
    <row r="4406" spans="28:34">
      <c r="AB4406" s="580">
        <f>HLOOKUP("*"&amp;'Output annual'!$AC$2&amp;'Output annual'!$AD$2&amp;"*Zone People Number Of Occupants [](Hourly)",'Eplus results'!$1:$1048576,ROW(),FALSE)</f>
        <v>0</v>
      </c>
      <c r="AC4406" s="580">
        <f>HLOOKUP("*"&amp;'Output annual'!$AC$2&amp;'Output annual'!$AD$2&amp;"*FangerPMV(Hourly)",'Eplus results'!$1:$1048576,ROW(),FALSE)</f>
        <v>0</v>
      </c>
      <c r="AD4406" s="580">
        <f t="shared" si="376"/>
        <v>5</v>
      </c>
      <c r="AE4406" s="580">
        <f t="shared" si="377"/>
        <v>2.5</v>
      </c>
      <c r="AF4406" s="580">
        <f t="shared" si="378"/>
        <v>2.5</v>
      </c>
      <c r="AG4406" s="580">
        <f t="shared" si="379"/>
        <v>0</v>
      </c>
      <c r="AH4406" s="580">
        <f t="shared" si="380"/>
        <v>0</v>
      </c>
    </row>
    <row r="4407" spans="28:34">
      <c r="AB4407" s="580">
        <f>HLOOKUP("*"&amp;'Output annual'!$AC$2&amp;'Output annual'!$AD$2&amp;"*Zone People Number Of Occupants [](Hourly)",'Eplus results'!$1:$1048576,ROW(),FALSE)</f>
        <v>0</v>
      </c>
      <c r="AC4407" s="580">
        <f>HLOOKUP("*"&amp;'Output annual'!$AC$2&amp;'Output annual'!$AD$2&amp;"*FangerPMV(Hourly)",'Eplus results'!$1:$1048576,ROW(),FALSE)</f>
        <v>0</v>
      </c>
      <c r="AD4407" s="580">
        <f t="shared" si="376"/>
        <v>5</v>
      </c>
      <c r="AE4407" s="580">
        <f t="shared" si="377"/>
        <v>2.5</v>
      </c>
      <c r="AF4407" s="580">
        <f t="shared" si="378"/>
        <v>2.5</v>
      </c>
      <c r="AG4407" s="580">
        <f t="shared" si="379"/>
        <v>0</v>
      </c>
      <c r="AH4407" s="580">
        <f t="shared" si="380"/>
        <v>0</v>
      </c>
    </row>
    <row r="4408" spans="28:34">
      <c r="AB4408" s="580">
        <f>HLOOKUP("*"&amp;'Output annual'!$AC$2&amp;'Output annual'!$AD$2&amp;"*Zone People Number Of Occupants [](Hourly)",'Eplus results'!$1:$1048576,ROW(),FALSE)</f>
        <v>0</v>
      </c>
      <c r="AC4408" s="580">
        <f>HLOOKUP("*"&amp;'Output annual'!$AC$2&amp;'Output annual'!$AD$2&amp;"*FangerPMV(Hourly)",'Eplus results'!$1:$1048576,ROW(),FALSE)</f>
        <v>0</v>
      </c>
      <c r="AD4408" s="580">
        <f t="shared" si="376"/>
        <v>5</v>
      </c>
      <c r="AE4408" s="580">
        <f t="shared" si="377"/>
        <v>2.5</v>
      </c>
      <c r="AF4408" s="580">
        <f t="shared" si="378"/>
        <v>2.5</v>
      </c>
      <c r="AG4408" s="580">
        <f t="shared" si="379"/>
        <v>0</v>
      </c>
      <c r="AH4408" s="580">
        <f t="shared" si="380"/>
        <v>0</v>
      </c>
    </row>
    <row r="4409" spans="28:34">
      <c r="AB4409" s="580">
        <f>HLOOKUP("*"&amp;'Output annual'!$AC$2&amp;'Output annual'!$AD$2&amp;"*Zone People Number Of Occupants [](Hourly)",'Eplus results'!$1:$1048576,ROW(),FALSE)</f>
        <v>0</v>
      </c>
      <c r="AC4409" s="580">
        <f>HLOOKUP("*"&amp;'Output annual'!$AC$2&amp;'Output annual'!$AD$2&amp;"*FangerPMV(Hourly)",'Eplus results'!$1:$1048576,ROW(),FALSE)</f>
        <v>0</v>
      </c>
      <c r="AD4409" s="580">
        <f t="shared" si="376"/>
        <v>5</v>
      </c>
      <c r="AE4409" s="580">
        <f t="shared" si="377"/>
        <v>2.5</v>
      </c>
      <c r="AF4409" s="580">
        <f t="shared" si="378"/>
        <v>2.5</v>
      </c>
      <c r="AG4409" s="580">
        <f t="shared" si="379"/>
        <v>0</v>
      </c>
      <c r="AH4409" s="580">
        <f t="shared" si="380"/>
        <v>0</v>
      </c>
    </row>
    <row r="4410" spans="28:34">
      <c r="AB4410" s="580">
        <f>HLOOKUP("*"&amp;'Output annual'!$AC$2&amp;'Output annual'!$AD$2&amp;"*Zone People Number Of Occupants [](Hourly)",'Eplus results'!$1:$1048576,ROW(),FALSE)</f>
        <v>0</v>
      </c>
      <c r="AC4410" s="580">
        <f>HLOOKUP("*"&amp;'Output annual'!$AC$2&amp;'Output annual'!$AD$2&amp;"*FangerPMV(Hourly)",'Eplus results'!$1:$1048576,ROW(),FALSE)</f>
        <v>0</v>
      </c>
      <c r="AD4410" s="580">
        <f t="shared" si="376"/>
        <v>5</v>
      </c>
      <c r="AE4410" s="580">
        <f t="shared" si="377"/>
        <v>2.5</v>
      </c>
      <c r="AF4410" s="580">
        <f t="shared" si="378"/>
        <v>2.5</v>
      </c>
      <c r="AG4410" s="580">
        <f t="shared" si="379"/>
        <v>0</v>
      </c>
      <c r="AH4410" s="580">
        <f t="shared" si="380"/>
        <v>0</v>
      </c>
    </row>
    <row r="4411" spans="28:34">
      <c r="AB4411" s="580">
        <f>HLOOKUP("*"&amp;'Output annual'!$AC$2&amp;'Output annual'!$AD$2&amp;"*Zone People Number Of Occupants [](Hourly)",'Eplus results'!$1:$1048576,ROW(),FALSE)</f>
        <v>0</v>
      </c>
      <c r="AC4411" s="580">
        <f>HLOOKUP("*"&amp;'Output annual'!$AC$2&amp;'Output annual'!$AD$2&amp;"*FangerPMV(Hourly)",'Eplus results'!$1:$1048576,ROW(),FALSE)</f>
        <v>0</v>
      </c>
      <c r="AD4411" s="580">
        <f t="shared" si="376"/>
        <v>5</v>
      </c>
      <c r="AE4411" s="580">
        <f t="shared" si="377"/>
        <v>2.5</v>
      </c>
      <c r="AF4411" s="580">
        <f t="shared" si="378"/>
        <v>2.5</v>
      </c>
      <c r="AG4411" s="580">
        <f t="shared" si="379"/>
        <v>0</v>
      </c>
      <c r="AH4411" s="580">
        <f t="shared" si="380"/>
        <v>0</v>
      </c>
    </row>
    <row r="4412" spans="28:34">
      <c r="AB4412" s="580">
        <f>HLOOKUP("*"&amp;'Output annual'!$AC$2&amp;'Output annual'!$AD$2&amp;"*Zone People Number Of Occupants [](Hourly)",'Eplus results'!$1:$1048576,ROW(),FALSE)</f>
        <v>0</v>
      </c>
      <c r="AC4412" s="580">
        <f>HLOOKUP("*"&amp;'Output annual'!$AC$2&amp;'Output annual'!$AD$2&amp;"*FangerPMV(Hourly)",'Eplus results'!$1:$1048576,ROW(),FALSE)</f>
        <v>0</v>
      </c>
      <c r="AD4412" s="580">
        <f t="shared" si="376"/>
        <v>5</v>
      </c>
      <c r="AE4412" s="580">
        <f t="shared" si="377"/>
        <v>2.5</v>
      </c>
      <c r="AF4412" s="580">
        <f t="shared" si="378"/>
        <v>2.5</v>
      </c>
      <c r="AG4412" s="580">
        <f t="shared" si="379"/>
        <v>0</v>
      </c>
      <c r="AH4412" s="580">
        <f t="shared" si="380"/>
        <v>0</v>
      </c>
    </row>
    <row r="4413" spans="28:34">
      <c r="AB4413" s="580">
        <f>HLOOKUP("*"&amp;'Output annual'!$AC$2&amp;'Output annual'!$AD$2&amp;"*Zone People Number Of Occupants [](Hourly)",'Eplus results'!$1:$1048576,ROW(),FALSE)</f>
        <v>0</v>
      </c>
      <c r="AC4413" s="580">
        <f>HLOOKUP("*"&amp;'Output annual'!$AC$2&amp;'Output annual'!$AD$2&amp;"*FangerPMV(Hourly)",'Eplus results'!$1:$1048576,ROW(),FALSE)</f>
        <v>0</v>
      </c>
      <c r="AD4413" s="580">
        <f t="shared" si="376"/>
        <v>5</v>
      </c>
      <c r="AE4413" s="580">
        <f t="shared" si="377"/>
        <v>2.5</v>
      </c>
      <c r="AF4413" s="580">
        <f t="shared" si="378"/>
        <v>2.5</v>
      </c>
      <c r="AG4413" s="580">
        <f t="shared" si="379"/>
        <v>0</v>
      </c>
      <c r="AH4413" s="580">
        <f t="shared" si="380"/>
        <v>0</v>
      </c>
    </row>
    <row r="4414" spans="28:34">
      <c r="AB4414" s="580">
        <f>HLOOKUP("*"&amp;'Output annual'!$AC$2&amp;'Output annual'!$AD$2&amp;"*Zone People Number Of Occupants [](Hourly)",'Eplus results'!$1:$1048576,ROW(),FALSE)</f>
        <v>0</v>
      </c>
      <c r="AC4414" s="580">
        <f>HLOOKUP("*"&amp;'Output annual'!$AC$2&amp;'Output annual'!$AD$2&amp;"*FangerPMV(Hourly)",'Eplus results'!$1:$1048576,ROW(),FALSE)</f>
        <v>0</v>
      </c>
      <c r="AD4414" s="580">
        <f t="shared" si="376"/>
        <v>5</v>
      </c>
      <c r="AE4414" s="580">
        <f t="shared" si="377"/>
        <v>2.5</v>
      </c>
      <c r="AF4414" s="580">
        <f t="shared" si="378"/>
        <v>2.5</v>
      </c>
      <c r="AG4414" s="580">
        <f t="shared" si="379"/>
        <v>0</v>
      </c>
      <c r="AH4414" s="580">
        <f t="shared" si="380"/>
        <v>0</v>
      </c>
    </row>
    <row r="4415" spans="28:34">
      <c r="AB4415" s="580">
        <f>HLOOKUP("*"&amp;'Output annual'!$AC$2&amp;'Output annual'!$AD$2&amp;"*Zone People Number Of Occupants [](Hourly)",'Eplus results'!$1:$1048576,ROW(),FALSE)</f>
        <v>0</v>
      </c>
      <c r="AC4415" s="580">
        <f>HLOOKUP("*"&amp;'Output annual'!$AC$2&amp;'Output annual'!$AD$2&amp;"*FangerPMV(Hourly)",'Eplus results'!$1:$1048576,ROW(),FALSE)</f>
        <v>0</v>
      </c>
      <c r="AD4415" s="580">
        <f t="shared" si="376"/>
        <v>5</v>
      </c>
      <c r="AE4415" s="580">
        <f t="shared" si="377"/>
        <v>2.5</v>
      </c>
      <c r="AF4415" s="580">
        <f t="shared" si="378"/>
        <v>2.5</v>
      </c>
      <c r="AG4415" s="580">
        <f t="shared" si="379"/>
        <v>0</v>
      </c>
      <c r="AH4415" s="580">
        <f t="shared" si="380"/>
        <v>0</v>
      </c>
    </row>
    <row r="4416" spans="28:34">
      <c r="AB4416" s="580">
        <f>HLOOKUP("*"&amp;'Output annual'!$AC$2&amp;'Output annual'!$AD$2&amp;"*Zone People Number Of Occupants [](Hourly)",'Eplus results'!$1:$1048576,ROW(),FALSE)</f>
        <v>0</v>
      </c>
      <c r="AC4416" s="580">
        <f>HLOOKUP("*"&amp;'Output annual'!$AC$2&amp;'Output annual'!$AD$2&amp;"*FangerPMV(Hourly)",'Eplus results'!$1:$1048576,ROW(),FALSE)</f>
        <v>0</v>
      </c>
      <c r="AD4416" s="580">
        <f t="shared" si="376"/>
        <v>5</v>
      </c>
      <c r="AE4416" s="580">
        <f t="shared" si="377"/>
        <v>2.5</v>
      </c>
      <c r="AF4416" s="580">
        <f t="shared" si="378"/>
        <v>2.5</v>
      </c>
      <c r="AG4416" s="580">
        <f t="shared" si="379"/>
        <v>0</v>
      </c>
      <c r="AH4416" s="580">
        <f t="shared" si="380"/>
        <v>0</v>
      </c>
    </row>
    <row r="4417" spans="28:34">
      <c r="AB4417" s="580">
        <f>HLOOKUP("*"&amp;'Output annual'!$AC$2&amp;'Output annual'!$AD$2&amp;"*Zone People Number Of Occupants [](Hourly)",'Eplus results'!$1:$1048576,ROW(),FALSE)</f>
        <v>0</v>
      </c>
      <c r="AC4417" s="580">
        <f>HLOOKUP("*"&amp;'Output annual'!$AC$2&amp;'Output annual'!$AD$2&amp;"*FangerPMV(Hourly)",'Eplus results'!$1:$1048576,ROW(),FALSE)</f>
        <v>0</v>
      </c>
      <c r="AD4417" s="580">
        <f t="shared" si="376"/>
        <v>5</v>
      </c>
      <c r="AE4417" s="580">
        <f t="shared" si="377"/>
        <v>2.5</v>
      </c>
      <c r="AF4417" s="580">
        <f t="shared" si="378"/>
        <v>2.5</v>
      </c>
      <c r="AG4417" s="580">
        <f t="shared" si="379"/>
        <v>0</v>
      </c>
      <c r="AH4417" s="580">
        <f t="shared" si="380"/>
        <v>0</v>
      </c>
    </row>
    <row r="4418" spans="28:34">
      <c r="AB4418" s="580">
        <f>HLOOKUP("*"&amp;'Output annual'!$AC$2&amp;'Output annual'!$AD$2&amp;"*Zone People Number Of Occupants [](Hourly)",'Eplus results'!$1:$1048576,ROW(),FALSE)</f>
        <v>0</v>
      </c>
      <c r="AC4418" s="580">
        <f>HLOOKUP("*"&amp;'Output annual'!$AC$2&amp;'Output annual'!$AD$2&amp;"*FangerPMV(Hourly)",'Eplus results'!$1:$1048576,ROW(),FALSE)</f>
        <v>0</v>
      </c>
      <c r="AD4418" s="580">
        <f t="shared" si="376"/>
        <v>5</v>
      </c>
      <c r="AE4418" s="580">
        <f t="shared" si="377"/>
        <v>2.5</v>
      </c>
      <c r="AF4418" s="580">
        <f t="shared" si="378"/>
        <v>2.5</v>
      </c>
      <c r="AG4418" s="580">
        <f t="shared" si="379"/>
        <v>0</v>
      </c>
      <c r="AH4418" s="580">
        <f t="shared" si="380"/>
        <v>0</v>
      </c>
    </row>
    <row r="4419" spans="28:34">
      <c r="AB4419" s="580">
        <f>HLOOKUP("*"&amp;'Output annual'!$AC$2&amp;'Output annual'!$AD$2&amp;"*Zone People Number Of Occupants [](Hourly)",'Eplus results'!$1:$1048576,ROW(),FALSE)</f>
        <v>0</v>
      </c>
      <c r="AC4419" s="580">
        <f>HLOOKUP("*"&amp;'Output annual'!$AC$2&amp;'Output annual'!$AD$2&amp;"*FangerPMV(Hourly)",'Eplus results'!$1:$1048576,ROW(),FALSE)</f>
        <v>0</v>
      </c>
      <c r="AD4419" s="580">
        <f t="shared" ref="AD4419:AD4482" si="381">100-95*EXP(-0.03353*AC4419^4-0.2179*AC4419^2)</f>
        <v>5</v>
      </c>
      <c r="AE4419" s="580">
        <f t="shared" ref="AE4419:AE4482" si="382">AD4419*(1/(1+EXP(-6.3*$AC4419)))</f>
        <v>2.5</v>
      </c>
      <c r="AF4419" s="580">
        <f t="shared" ref="AF4419:AF4482" si="383">(AD4419-AE4419)</f>
        <v>2.5</v>
      </c>
      <c r="AG4419" s="580">
        <f t="shared" ref="AG4419:AG4482" si="384">AE4419*AB4419</f>
        <v>0</v>
      </c>
      <c r="AH4419" s="580">
        <f t="shared" ref="AH4419:AH4482" si="385">AF4419*AB4419</f>
        <v>0</v>
      </c>
    </row>
    <row r="4420" spans="28:34">
      <c r="AB4420" s="580">
        <f>HLOOKUP("*"&amp;'Output annual'!$AC$2&amp;'Output annual'!$AD$2&amp;"*Zone People Number Of Occupants [](Hourly)",'Eplus results'!$1:$1048576,ROW(),FALSE)</f>
        <v>0</v>
      </c>
      <c r="AC4420" s="580">
        <f>HLOOKUP("*"&amp;'Output annual'!$AC$2&amp;'Output annual'!$AD$2&amp;"*FangerPMV(Hourly)",'Eplus results'!$1:$1048576,ROW(),FALSE)</f>
        <v>0</v>
      </c>
      <c r="AD4420" s="580">
        <f t="shared" si="381"/>
        <v>5</v>
      </c>
      <c r="AE4420" s="580">
        <f t="shared" si="382"/>
        <v>2.5</v>
      </c>
      <c r="AF4420" s="580">
        <f t="shared" si="383"/>
        <v>2.5</v>
      </c>
      <c r="AG4420" s="580">
        <f t="shared" si="384"/>
        <v>0</v>
      </c>
      <c r="AH4420" s="580">
        <f t="shared" si="385"/>
        <v>0</v>
      </c>
    </row>
    <row r="4421" spans="28:34">
      <c r="AB4421" s="580">
        <f>HLOOKUP("*"&amp;'Output annual'!$AC$2&amp;'Output annual'!$AD$2&amp;"*Zone People Number Of Occupants [](Hourly)",'Eplus results'!$1:$1048576,ROW(),FALSE)</f>
        <v>0</v>
      </c>
      <c r="AC4421" s="580">
        <f>HLOOKUP("*"&amp;'Output annual'!$AC$2&amp;'Output annual'!$AD$2&amp;"*FangerPMV(Hourly)",'Eplus results'!$1:$1048576,ROW(),FALSE)</f>
        <v>0</v>
      </c>
      <c r="AD4421" s="580">
        <f t="shared" si="381"/>
        <v>5</v>
      </c>
      <c r="AE4421" s="580">
        <f t="shared" si="382"/>
        <v>2.5</v>
      </c>
      <c r="AF4421" s="580">
        <f t="shared" si="383"/>
        <v>2.5</v>
      </c>
      <c r="AG4421" s="580">
        <f t="shared" si="384"/>
        <v>0</v>
      </c>
      <c r="AH4421" s="580">
        <f t="shared" si="385"/>
        <v>0</v>
      </c>
    </row>
    <row r="4422" spans="28:34">
      <c r="AB4422" s="580">
        <f>HLOOKUP("*"&amp;'Output annual'!$AC$2&amp;'Output annual'!$AD$2&amp;"*Zone People Number Of Occupants [](Hourly)",'Eplus results'!$1:$1048576,ROW(),FALSE)</f>
        <v>0</v>
      </c>
      <c r="AC4422" s="580">
        <f>HLOOKUP("*"&amp;'Output annual'!$AC$2&amp;'Output annual'!$AD$2&amp;"*FangerPMV(Hourly)",'Eplus results'!$1:$1048576,ROW(),FALSE)</f>
        <v>0</v>
      </c>
      <c r="AD4422" s="580">
        <f t="shared" si="381"/>
        <v>5</v>
      </c>
      <c r="AE4422" s="580">
        <f t="shared" si="382"/>
        <v>2.5</v>
      </c>
      <c r="AF4422" s="580">
        <f t="shared" si="383"/>
        <v>2.5</v>
      </c>
      <c r="AG4422" s="580">
        <f t="shared" si="384"/>
        <v>0</v>
      </c>
      <c r="AH4422" s="580">
        <f t="shared" si="385"/>
        <v>0</v>
      </c>
    </row>
    <row r="4423" spans="28:34">
      <c r="AB4423" s="580">
        <f>HLOOKUP("*"&amp;'Output annual'!$AC$2&amp;'Output annual'!$AD$2&amp;"*Zone People Number Of Occupants [](Hourly)",'Eplus results'!$1:$1048576,ROW(),FALSE)</f>
        <v>0</v>
      </c>
      <c r="AC4423" s="580">
        <f>HLOOKUP("*"&amp;'Output annual'!$AC$2&amp;'Output annual'!$AD$2&amp;"*FangerPMV(Hourly)",'Eplus results'!$1:$1048576,ROW(),FALSE)</f>
        <v>0</v>
      </c>
      <c r="AD4423" s="580">
        <f t="shared" si="381"/>
        <v>5</v>
      </c>
      <c r="AE4423" s="580">
        <f t="shared" si="382"/>
        <v>2.5</v>
      </c>
      <c r="AF4423" s="580">
        <f t="shared" si="383"/>
        <v>2.5</v>
      </c>
      <c r="AG4423" s="580">
        <f t="shared" si="384"/>
        <v>0</v>
      </c>
      <c r="AH4423" s="580">
        <f t="shared" si="385"/>
        <v>0</v>
      </c>
    </row>
    <row r="4424" spans="28:34">
      <c r="AB4424" s="580">
        <f>HLOOKUP("*"&amp;'Output annual'!$AC$2&amp;'Output annual'!$AD$2&amp;"*Zone People Number Of Occupants [](Hourly)",'Eplus results'!$1:$1048576,ROW(),FALSE)</f>
        <v>0</v>
      </c>
      <c r="AC4424" s="580">
        <f>HLOOKUP("*"&amp;'Output annual'!$AC$2&amp;'Output annual'!$AD$2&amp;"*FangerPMV(Hourly)",'Eplus results'!$1:$1048576,ROW(),FALSE)</f>
        <v>0</v>
      </c>
      <c r="AD4424" s="580">
        <f t="shared" si="381"/>
        <v>5</v>
      </c>
      <c r="AE4424" s="580">
        <f t="shared" si="382"/>
        <v>2.5</v>
      </c>
      <c r="AF4424" s="580">
        <f t="shared" si="383"/>
        <v>2.5</v>
      </c>
      <c r="AG4424" s="580">
        <f t="shared" si="384"/>
        <v>0</v>
      </c>
      <c r="AH4424" s="580">
        <f t="shared" si="385"/>
        <v>0</v>
      </c>
    </row>
    <row r="4425" spans="28:34">
      <c r="AB4425" s="580">
        <f>HLOOKUP("*"&amp;'Output annual'!$AC$2&amp;'Output annual'!$AD$2&amp;"*Zone People Number Of Occupants [](Hourly)",'Eplus results'!$1:$1048576,ROW(),FALSE)</f>
        <v>0</v>
      </c>
      <c r="AC4425" s="580">
        <f>HLOOKUP("*"&amp;'Output annual'!$AC$2&amp;'Output annual'!$AD$2&amp;"*FangerPMV(Hourly)",'Eplus results'!$1:$1048576,ROW(),FALSE)</f>
        <v>0</v>
      </c>
      <c r="AD4425" s="580">
        <f t="shared" si="381"/>
        <v>5</v>
      </c>
      <c r="AE4425" s="580">
        <f t="shared" si="382"/>
        <v>2.5</v>
      </c>
      <c r="AF4425" s="580">
        <f t="shared" si="383"/>
        <v>2.5</v>
      </c>
      <c r="AG4425" s="580">
        <f t="shared" si="384"/>
        <v>0</v>
      </c>
      <c r="AH4425" s="580">
        <f t="shared" si="385"/>
        <v>0</v>
      </c>
    </row>
    <row r="4426" spans="28:34">
      <c r="AB4426" s="580">
        <f>HLOOKUP("*"&amp;'Output annual'!$AC$2&amp;'Output annual'!$AD$2&amp;"*Zone People Number Of Occupants [](Hourly)",'Eplus results'!$1:$1048576,ROW(),FALSE)</f>
        <v>0</v>
      </c>
      <c r="AC4426" s="580">
        <f>HLOOKUP("*"&amp;'Output annual'!$AC$2&amp;'Output annual'!$AD$2&amp;"*FangerPMV(Hourly)",'Eplus results'!$1:$1048576,ROW(),FALSE)</f>
        <v>0</v>
      </c>
      <c r="AD4426" s="580">
        <f t="shared" si="381"/>
        <v>5</v>
      </c>
      <c r="AE4426" s="580">
        <f t="shared" si="382"/>
        <v>2.5</v>
      </c>
      <c r="AF4426" s="580">
        <f t="shared" si="383"/>
        <v>2.5</v>
      </c>
      <c r="AG4426" s="580">
        <f t="shared" si="384"/>
        <v>0</v>
      </c>
      <c r="AH4426" s="580">
        <f t="shared" si="385"/>
        <v>0</v>
      </c>
    </row>
    <row r="4427" spans="28:34">
      <c r="AB4427" s="580">
        <f>HLOOKUP("*"&amp;'Output annual'!$AC$2&amp;'Output annual'!$AD$2&amp;"*Zone People Number Of Occupants [](Hourly)",'Eplus results'!$1:$1048576,ROW(),FALSE)</f>
        <v>0</v>
      </c>
      <c r="AC4427" s="580">
        <f>HLOOKUP("*"&amp;'Output annual'!$AC$2&amp;'Output annual'!$AD$2&amp;"*FangerPMV(Hourly)",'Eplus results'!$1:$1048576,ROW(),FALSE)</f>
        <v>0</v>
      </c>
      <c r="AD4427" s="580">
        <f t="shared" si="381"/>
        <v>5</v>
      </c>
      <c r="AE4427" s="580">
        <f t="shared" si="382"/>
        <v>2.5</v>
      </c>
      <c r="AF4427" s="580">
        <f t="shared" si="383"/>
        <v>2.5</v>
      </c>
      <c r="AG4427" s="580">
        <f t="shared" si="384"/>
        <v>0</v>
      </c>
      <c r="AH4427" s="580">
        <f t="shared" si="385"/>
        <v>0</v>
      </c>
    </row>
    <row r="4428" spans="28:34">
      <c r="AB4428" s="580">
        <f>HLOOKUP("*"&amp;'Output annual'!$AC$2&amp;'Output annual'!$AD$2&amp;"*Zone People Number Of Occupants [](Hourly)",'Eplus results'!$1:$1048576,ROW(),FALSE)</f>
        <v>0</v>
      </c>
      <c r="AC4428" s="580">
        <f>HLOOKUP("*"&amp;'Output annual'!$AC$2&amp;'Output annual'!$AD$2&amp;"*FangerPMV(Hourly)",'Eplus results'!$1:$1048576,ROW(),FALSE)</f>
        <v>0</v>
      </c>
      <c r="AD4428" s="580">
        <f t="shared" si="381"/>
        <v>5</v>
      </c>
      <c r="AE4428" s="580">
        <f t="shared" si="382"/>
        <v>2.5</v>
      </c>
      <c r="AF4428" s="580">
        <f t="shared" si="383"/>
        <v>2.5</v>
      </c>
      <c r="AG4428" s="580">
        <f t="shared" si="384"/>
        <v>0</v>
      </c>
      <c r="AH4428" s="580">
        <f t="shared" si="385"/>
        <v>0</v>
      </c>
    </row>
    <row r="4429" spans="28:34">
      <c r="AB4429" s="580">
        <f>HLOOKUP("*"&amp;'Output annual'!$AC$2&amp;'Output annual'!$AD$2&amp;"*Zone People Number Of Occupants [](Hourly)",'Eplus results'!$1:$1048576,ROW(),FALSE)</f>
        <v>0</v>
      </c>
      <c r="AC4429" s="580">
        <f>HLOOKUP("*"&amp;'Output annual'!$AC$2&amp;'Output annual'!$AD$2&amp;"*FangerPMV(Hourly)",'Eplus results'!$1:$1048576,ROW(),FALSE)</f>
        <v>0</v>
      </c>
      <c r="AD4429" s="580">
        <f t="shared" si="381"/>
        <v>5</v>
      </c>
      <c r="AE4429" s="580">
        <f t="shared" si="382"/>
        <v>2.5</v>
      </c>
      <c r="AF4429" s="580">
        <f t="shared" si="383"/>
        <v>2.5</v>
      </c>
      <c r="AG4429" s="580">
        <f t="shared" si="384"/>
        <v>0</v>
      </c>
      <c r="AH4429" s="580">
        <f t="shared" si="385"/>
        <v>0</v>
      </c>
    </row>
    <row r="4430" spans="28:34">
      <c r="AB4430" s="580">
        <f>HLOOKUP("*"&amp;'Output annual'!$AC$2&amp;'Output annual'!$AD$2&amp;"*Zone People Number Of Occupants [](Hourly)",'Eplus results'!$1:$1048576,ROW(),FALSE)</f>
        <v>0</v>
      </c>
      <c r="AC4430" s="580">
        <f>HLOOKUP("*"&amp;'Output annual'!$AC$2&amp;'Output annual'!$AD$2&amp;"*FangerPMV(Hourly)",'Eplus results'!$1:$1048576,ROW(),FALSE)</f>
        <v>0</v>
      </c>
      <c r="AD4430" s="580">
        <f t="shared" si="381"/>
        <v>5</v>
      </c>
      <c r="AE4430" s="580">
        <f t="shared" si="382"/>
        <v>2.5</v>
      </c>
      <c r="AF4430" s="580">
        <f t="shared" si="383"/>
        <v>2.5</v>
      </c>
      <c r="AG4430" s="580">
        <f t="shared" si="384"/>
        <v>0</v>
      </c>
      <c r="AH4430" s="580">
        <f t="shared" si="385"/>
        <v>0</v>
      </c>
    </row>
    <row r="4431" spans="28:34">
      <c r="AB4431" s="580">
        <f>HLOOKUP("*"&amp;'Output annual'!$AC$2&amp;'Output annual'!$AD$2&amp;"*Zone People Number Of Occupants [](Hourly)",'Eplus results'!$1:$1048576,ROW(),FALSE)</f>
        <v>0</v>
      </c>
      <c r="AC4431" s="580">
        <f>HLOOKUP("*"&amp;'Output annual'!$AC$2&amp;'Output annual'!$AD$2&amp;"*FangerPMV(Hourly)",'Eplus results'!$1:$1048576,ROW(),FALSE)</f>
        <v>0</v>
      </c>
      <c r="AD4431" s="580">
        <f t="shared" si="381"/>
        <v>5</v>
      </c>
      <c r="AE4431" s="580">
        <f t="shared" si="382"/>
        <v>2.5</v>
      </c>
      <c r="AF4431" s="580">
        <f t="shared" si="383"/>
        <v>2.5</v>
      </c>
      <c r="AG4431" s="580">
        <f t="shared" si="384"/>
        <v>0</v>
      </c>
      <c r="AH4431" s="580">
        <f t="shared" si="385"/>
        <v>0</v>
      </c>
    </row>
    <row r="4432" spans="28:34">
      <c r="AB4432" s="580">
        <f>HLOOKUP("*"&amp;'Output annual'!$AC$2&amp;'Output annual'!$AD$2&amp;"*Zone People Number Of Occupants [](Hourly)",'Eplus results'!$1:$1048576,ROW(),FALSE)</f>
        <v>0</v>
      </c>
      <c r="AC4432" s="580">
        <f>HLOOKUP("*"&amp;'Output annual'!$AC$2&amp;'Output annual'!$AD$2&amp;"*FangerPMV(Hourly)",'Eplus results'!$1:$1048576,ROW(),FALSE)</f>
        <v>0</v>
      </c>
      <c r="AD4432" s="580">
        <f t="shared" si="381"/>
        <v>5</v>
      </c>
      <c r="AE4432" s="580">
        <f t="shared" si="382"/>
        <v>2.5</v>
      </c>
      <c r="AF4432" s="580">
        <f t="shared" si="383"/>
        <v>2.5</v>
      </c>
      <c r="AG4432" s="580">
        <f t="shared" si="384"/>
        <v>0</v>
      </c>
      <c r="AH4432" s="580">
        <f t="shared" si="385"/>
        <v>0</v>
      </c>
    </row>
    <row r="4433" spans="28:34">
      <c r="AB4433" s="580">
        <f>HLOOKUP("*"&amp;'Output annual'!$AC$2&amp;'Output annual'!$AD$2&amp;"*Zone People Number Of Occupants [](Hourly)",'Eplus results'!$1:$1048576,ROW(),FALSE)</f>
        <v>0</v>
      </c>
      <c r="AC4433" s="580">
        <f>HLOOKUP("*"&amp;'Output annual'!$AC$2&amp;'Output annual'!$AD$2&amp;"*FangerPMV(Hourly)",'Eplus results'!$1:$1048576,ROW(),FALSE)</f>
        <v>0</v>
      </c>
      <c r="AD4433" s="580">
        <f t="shared" si="381"/>
        <v>5</v>
      </c>
      <c r="AE4433" s="580">
        <f t="shared" si="382"/>
        <v>2.5</v>
      </c>
      <c r="AF4433" s="580">
        <f t="shared" si="383"/>
        <v>2.5</v>
      </c>
      <c r="AG4433" s="580">
        <f t="shared" si="384"/>
        <v>0</v>
      </c>
      <c r="AH4433" s="580">
        <f t="shared" si="385"/>
        <v>0</v>
      </c>
    </row>
    <row r="4434" spans="28:34">
      <c r="AB4434" s="580">
        <f>HLOOKUP("*"&amp;'Output annual'!$AC$2&amp;'Output annual'!$AD$2&amp;"*Zone People Number Of Occupants [](Hourly)",'Eplus results'!$1:$1048576,ROW(),FALSE)</f>
        <v>0</v>
      </c>
      <c r="AC4434" s="580">
        <f>HLOOKUP("*"&amp;'Output annual'!$AC$2&amp;'Output annual'!$AD$2&amp;"*FangerPMV(Hourly)",'Eplus results'!$1:$1048576,ROW(),FALSE)</f>
        <v>0</v>
      </c>
      <c r="AD4434" s="580">
        <f t="shared" si="381"/>
        <v>5</v>
      </c>
      <c r="AE4434" s="580">
        <f t="shared" si="382"/>
        <v>2.5</v>
      </c>
      <c r="AF4434" s="580">
        <f t="shared" si="383"/>
        <v>2.5</v>
      </c>
      <c r="AG4434" s="580">
        <f t="shared" si="384"/>
        <v>0</v>
      </c>
      <c r="AH4434" s="580">
        <f t="shared" si="385"/>
        <v>0</v>
      </c>
    </row>
    <row r="4435" spans="28:34">
      <c r="AB4435" s="580">
        <f>HLOOKUP("*"&amp;'Output annual'!$AC$2&amp;'Output annual'!$AD$2&amp;"*Zone People Number Of Occupants [](Hourly)",'Eplus results'!$1:$1048576,ROW(),FALSE)</f>
        <v>0</v>
      </c>
      <c r="AC4435" s="580">
        <f>HLOOKUP("*"&amp;'Output annual'!$AC$2&amp;'Output annual'!$AD$2&amp;"*FangerPMV(Hourly)",'Eplus results'!$1:$1048576,ROW(),FALSE)</f>
        <v>0</v>
      </c>
      <c r="AD4435" s="580">
        <f t="shared" si="381"/>
        <v>5</v>
      </c>
      <c r="AE4435" s="580">
        <f t="shared" si="382"/>
        <v>2.5</v>
      </c>
      <c r="AF4435" s="580">
        <f t="shared" si="383"/>
        <v>2.5</v>
      </c>
      <c r="AG4435" s="580">
        <f t="shared" si="384"/>
        <v>0</v>
      </c>
      <c r="AH4435" s="580">
        <f t="shared" si="385"/>
        <v>0</v>
      </c>
    </row>
    <row r="4436" spans="28:34">
      <c r="AB4436" s="580">
        <f>HLOOKUP("*"&amp;'Output annual'!$AC$2&amp;'Output annual'!$AD$2&amp;"*Zone People Number Of Occupants [](Hourly)",'Eplus results'!$1:$1048576,ROW(),FALSE)</f>
        <v>0</v>
      </c>
      <c r="AC4436" s="580">
        <f>HLOOKUP("*"&amp;'Output annual'!$AC$2&amp;'Output annual'!$AD$2&amp;"*FangerPMV(Hourly)",'Eplus results'!$1:$1048576,ROW(),FALSE)</f>
        <v>0</v>
      </c>
      <c r="AD4436" s="580">
        <f t="shared" si="381"/>
        <v>5</v>
      </c>
      <c r="AE4436" s="580">
        <f t="shared" si="382"/>
        <v>2.5</v>
      </c>
      <c r="AF4436" s="580">
        <f t="shared" si="383"/>
        <v>2.5</v>
      </c>
      <c r="AG4436" s="580">
        <f t="shared" si="384"/>
        <v>0</v>
      </c>
      <c r="AH4436" s="580">
        <f t="shared" si="385"/>
        <v>0</v>
      </c>
    </row>
    <row r="4437" spans="28:34">
      <c r="AB4437" s="580">
        <f>HLOOKUP("*"&amp;'Output annual'!$AC$2&amp;'Output annual'!$AD$2&amp;"*Zone People Number Of Occupants [](Hourly)",'Eplus results'!$1:$1048576,ROW(),FALSE)</f>
        <v>0</v>
      </c>
      <c r="AC4437" s="580">
        <f>HLOOKUP("*"&amp;'Output annual'!$AC$2&amp;'Output annual'!$AD$2&amp;"*FangerPMV(Hourly)",'Eplus results'!$1:$1048576,ROW(),FALSE)</f>
        <v>0</v>
      </c>
      <c r="AD4437" s="580">
        <f t="shared" si="381"/>
        <v>5</v>
      </c>
      <c r="AE4437" s="580">
        <f t="shared" si="382"/>
        <v>2.5</v>
      </c>
      <c r="AF4437" s="580">
        <f t="shared" si="383"/>
        <v>2.5</v>
      </c>
      <c r="AG4437" s="580">
        <f t="shared" si="384"/>
        <v>0</v>
      </c>
      <c r="AH4437" s="580">
        <f t="shared" si="385"/>
        <v>0</v>
      </c>
    </row>
    <row r="4438" spans="28:34">
      <c r="AB4438" s="580">
        <f>HLOOKUP("*"&amp;'Output annual'!$AC$2&amp;'Output annual'!$AD$2&amp;"*Zone People Number Of Occupants [](Hourly)",'Eplus results'!$1:$1048576,ROW(),FALSE)</f>
        <v>0</v>
      </c>
      <c r="AC4438" s="580">
        <f>HLOOKUP("*"&amp;'Output annual'!$AC$2&amp;'Output annual'!$AD$2&amp;"*FangerPMV(Hourly)",'Eplus results'!$1:$1048576,ROW(),FALSE)</f>
        <v>0</v>
      </c>
      <c r="AD4438" s="580">
        <f t="shared" si="381"/>
        <v>5</v>
      </c>
      <c r="AE4438" s="580">
        <f t="shared" si="382"/>
        <v>2.5</v>
      </c>
      <c r="AF4438" s="580">
        <f t="shared" si="383"/>
        <v>2.5</v>
      </c>
      <c r="AG4438" s="580">
        <f t="shared" si="384"/>
        <v>0</v>
      </c>
      <c r="AH4438" s="580">
        <f t="shared" si="385"/>
        <v>0</v>
      </c>
    </row>
    <row r="4439" spans="28:34">
      <c r="AB4439" s="580">
        <f>HLOOKUP("*"&amp;'Output annual'!$AC$2&amp;'Output annual'!$AD$2&amp;"*Zone People Number Of Occupants [](Hourly)",'Eplus results'!$1:$1048576,ROW(),FALSE)</f>
        <v>0</v>
      </c>
      <c r="AC4439" s="580">
        <f>HLOOKUP("*"&amp;'Output annual'!$AC$2&amp;'Output annual'!$AD$2&amp;"*FangerPMV(Hourly)",'Eplus results'!$1:$1048576,ROW(),FALSE)</f>
        <v>0</v>
      </c>
      <c r="AD4439" s="580">
        <f t="shared" si="381"/>
        <v>5</v>
      </c>
      <c r="AE4439" s="580">
        <f t="shared" si="382"/>
        <v>2.5</v>
      </c>
      <c r="AF4439" s="580">
        <f t="shared" si="383"/>
        <v>2.5</v>
      </c>
      <c r="AG4439" s="580">
        <f t="shared" si="384"/>
        <v>0</v>
      </c>
      <c r="AH4439" s="580">
        <f t="shared" si="385"/>
        <v>0</v>
      </c>
    </row>
    <row r="4440" spans="28:34">
      <c r="AB4440" s="580">
        <f>HLOOKUP("*"&amp;'Output annual'!$AC$2&amp;'Output annual'!$AD$2&amp;"*Zone People Number Of Occupants [](Hourly)",'Eplus results'!$1:$1048576,ROW(),FALSE)</f>
        <v>0</v>
      </c>
      <c r="AC4440" s="580">
        <f>HLOOKUP("*"&amp;'Output annual'!$AC$2&amp;'Output annual'!$AD$2&amp;"*FangerPMV(Hourly)",'Eplus results'!$1:$1048576,ROW(),FALSE)</f>
        <v>0</v>
      </c>
      <c r="AD4440" s="580">
        <f t="shared" si="381"/>
        <v>5</v>
      </c>
      <c r="AE4440" s="580">
        <f t="shared" si="382"/>
        <v>2.5</v>
      </c>
      <c r="AF4440" s="580">
        <f t="shared" si="383"/>
        <v>2.5</v>
      </c>
      <c r="AG4440" s="580">
        <f t="shared" si="384"/>
        <v>0</v>
      </c>
      <c r="AH4440" s="580">
        <f t="shared" si="385"/>
        <v>0</v>
      </c>
    </row>
    <row r="4441" spans="28:34">
      <c r="AB4441" s="580">
        <f>HLOOKUP("*"&amp;'Output annual'!$AC$2&amp;'Output annual'!$AD$2&amp;"*Zone People Number Of Occupants [](Hourly)",'Eplus results'!$1:$1048576,ROW(),FALSE)</f>
        <v>0</v>
      </c>
      <c r="AC4441" s="580">
        <f>HLOOKUP("*"&amp;'Output annual'!$AC$2&amp;'Output annual'!$AD$2&amp;"*FangerPMV(Hourly)",'Eplus results'!$1:$1048576,ROW(),FALSE)</f>
        <v>0</v>
      </c>
      <c r="AD4441" s="580">
        <f t="shared" si="381"/>
        <v>5</v>
      </c>
      <c r="AE4441" s="580">
        <f t="shared" si="382"/>
        <v>2.5</v>
      </c>
      <c r="AF4441" s="580">
        <f t="shared" si="383"/>
        <v>2.5</v>
      </c>
      <c r="AG4441" s="580">
        <f t="shared" si="384"/>
        <v>0</v>
      </c>
      <c r="AH4441" s="580">
        <f t="shared" si="385"/>
        <v>0</v>
      </c>
    </row>
    <row r="4442" spans="28:34">
      <c r="AB4442" s="580">
        <f>HLOOKUP("*"&amp;'Output annual'!$AC$2&amp;'Output annual'!$AD$2&amp;"*Zone People Number Of Occupants [](Hourly)",'Eplus results'!$1:$1048576,ROW(),FALSE)</f>
        <v>0</v>
      </c>
      <c r="AC4442" s="580">
        <f>HLOOKUP("*"&amp;'Output annual'!$AC$2&amp;'Output annual'!$AD$2&amp;"*FangerPMV(Hourly)",'Eplus results'!$1:$1048576,ROW(),FALSE)</f>
        <v>0</v>
      </c>
      <c r="AD4442" s="580">
        <f t="shared" si="381"/>
        <v>5</v>
      </c>
      <c r="AE4442" s="580">
        <f t="shared" si="382"/>
        <v>2.5</v>
      </c>
      <c r="AF4442" s="580">
        <f t="shared" si="383"/>
        <v>2.5</v>
      </c>
      <c r="AG4442" s="580">
        <f t="shared" si="384"/>
        <v>0</v>
      </c>
      <c r="AH4442" s="580">
        <f t="shared" si="385"/>
        <v>0</v>
      </c>
    </row>
    <row r="4443" spans="28:34">
      <c r="AB4443" s="580">
        <f>HLOOKUP("*"&amp;'Output annual'!$AC$2&amp;'Output annual'!$AD$2&amp;"*Zone People Number Of Occupants [](Hourly)",'Eplus results'!$1:$1048576,ROW(),FALSE)</f>
        <v>0</v>
      </c>
      <c r="AC4443" s="580">
        <f>HLOOKUP("*"&amp;'Output annual'!$AC$2&amp;'Output annual'!$AD$2&amp;"*FangerPMV(Hourly)",'Eplus results'!$1:$1048576,ROW(),FALSE)</f>
        <v>0</v>
      </c>
      <c r="AD4443" s="580">
        <f t="shared" si="381"/>
        <v>5</v>
      </c>
      <c r="AE4443" s="580">
        <f t="shared" si="382"/>
        <v>2.5</v>
      </c>
      <c r="AF4443" s="580">
        <f t="shared" si="383"/>
        <v>2.5</v>
      </c>
      <c r="AG4443" s="580">
        <f t="shared" si="384"/>
        <v>0</v>
      </c>
      <c r="AH4443" s="580">
        <f t="shared" si="385"/>
        <v>0</v>
      </c>
    </row>
    <row r="4444" spans="28:34">
      <c r="AB4444" s="580">
        <f>HLOOKUP("*"&amp;'Output annual'!$AC$2&amp;'Output annual'!$AD$2&amp;"*Zone People Number Of Occupants [](Hourly)",'Eplus results'!$1:$1048576,ROW(),FALSE)</f>
        <v>0</v>
      </c>
      <c r="AC4444" s="580">
        <f>HLOOKUP("*"&amp;'Output annual'!$AC$2&amp;'Output annual'!$AD$2&amp;"*FangerPMV(Hourly)",'Eplus results'!$1:$1048576,ROW(),FALSE)</f>
        <v>0</v>
      </c>
      <c r="AD4444" s="580">
        <f t="shared" si="381"/>
        <v>5</v>
      </c>
      <c r="AE4444" s="580">
        <f t="shared" si="382"/>
        <v>2.5</v>
      </c>
      <c r="AF4444" s="580">
        <f t="shared" si="383"/>
        <v>2.5</v>
      </c>
      <c r="AG4444" s="580">
        <f t="shared" si="384"/>
        <v>0</v>
      </c>
      <c r="AH4444" s="580">
        <f t="shared" si="385"/>
        <v>0</v>
      </c>
    </row>
    <row r="4445" spans="28:34">
      <c r="AB4445" s="580">
        <f>HLOOKUP("*"&amp;'Output annual'!$AC$2&amp;'Output annual'!$AD$2&amp;"*Zone People Number Of Occupants [](Hourly)",'Eplus results'!$1:$1048576,ROW(),FALSE)</f>
        <v>0</v>
      </c>
      <c r="AC4445" s="580">
        <f>HLOOKUP("*"&amp;'Output annual'!$AC$2&amp;'Output annual'!$AD$2&amp;"*FangerPMV(Hourly)",'Eplus results'!$1:$1048576,ROW(),FALSE)</f>
        <v>0</v>
      </c>
      <c r="AD4445" s="580">
        <f t="shared" si="381"/>
        <v>5</v>
      </c>
      <c r="AE4445" s="580">
        <f t="shared" si="382"/>
        <v>2.5</v>
      </c>
      <c r="AF4445" s="580">
        <f t="shared" si="383"/>
        <v>2.5</v>
      </c>
      <c r="AG4445" s="580">
        <f t="shared" si="384"/>
        <v>0</v>
      </c>
      <c r="AH4445" s="580">
        <f t="shared" si="385"/>
        <v>0</v>
      </c>
    </row>
    <row r="4446" spans="28:34">
      <c r="AB4446" s="580">
        <f>HLOOKUP("*"&amp;'Output annual'!$AC$2&amp;'Output annual'!$AD$2&amp;"*Zone People Number Of Occupants [](Hourly)",'Eplus results'!$1:$1048576,ROW(),FALSE)</f>
        <v>0</v>
      </c>
      <c r="AC4446" s="580">
        <f>HLOOKUP("*"&amp;'Output annual'!$AC$2&amp;'Output annual'!$AD$2&amp;"*FangerPMV(Hourly)",'Eplus results'!$1:$1048576,ROW(),FALSE)</f>
        <v>0</v>
      </c>
      <c r="AD4446" s="580">
        <f t="shared" si="381"/>
        <v>5</v>
      </c>
      <c r="AE4446" s="580">
        <f t="shared" si="382"/>
        <v>2.5</v>
      </c>
      <c r="AF4446" s="580">
        <f t="shared" si="383"/>
        <v>2.5</v>
      </c>
      <c r="AG4446" s="580">
        <f t="shared" si="384"/>
        <v>0</v>
      </c>
      <c r="AH4446" s="580">
        <f t="shared" si="385"/>
        <v>0</v>
      </c>
    </row>
    <row r="4447" spans="28:34">
      <c r="AB4447" s="580">
        <f>HLOOKUP("*"&amp;'Output annual'!$AC$2&amp;'Output annual'!$AD$2&amp;"*Zone People Number Of Occupants [](Hourly)",'Eplus results'!$1:$1048576,ROW(),FALSE)</f>
        <v>0</v>
      </c>
      <c r="AC4447" s="580">
        <f>HLOOKUP("*"&amp;'Output annual'!$AC$2&amp;'Output annual'!$AD$2&amp;"*FangerPMV(Hourly)",'Eplus results'!$1:$1048576,ROW(),FALSE)</f>
        <v>0</v>
      </c>
      <c r="AD4447" s="580">
        <f t="shared" si="381"/>
        <v>5</v>
      </c>
      <c r="AE4447" s="580">
        <f t="shared" si="382"/>
        <v>2.5</v>
      </c>
      <c r="AF4447" s="580">
        <f t="shared" si="383"/>
        <v>2.5</v>
      </c>
      <c r="AG4447" s="580">
        <f t="shared" si="384"/>
        <v>0</v>
      </c>
      <c r="AH4447" s="580">
        <f t="shared" si="385"/>
        <v>0</v>
      </c>
    </row>
    <row r="4448" spans="28:34">
      <c r="AB4448" s="580">
        <f>HLOOKUP("*"&amp;'Output annual'!$AC$2&amp;'Output annual'!$AD$2&amp;"*Zone People Number Of Occupants [](Hourly)",'Eplus results'!$1:$1048576,ROW(),FALSE)</f>
        <v>0</v>
      </c>
      <c r="AC4448" s="580">
        <f>HLOOKUP("*"&amp;'Output annual'!$AC$2&amp;'Output annual'!$AD$2&amp;"*FangerPMV(Hourly)",'Eplus results'!$1:$1048576,ROW(),FALSE)</f>
        <v>0</v>
      </c>
      <c r="AD4448" s="580">
        <f t="shared" si="381"/>
        <v>5</v>
      </c>
      <c r="AE4448" s="580">
        <f t="shared" si="382"/>
        <v>2.5</v>
      </c>
      <c r="AF4448" s="580">
        <f t="shared" si="383"/>
        <v>2.5</v>
      </c>
      <c r="AG4448" s="580">
        <f t="shared" si="384"/>
        <v>0</v>
      </c>
      <c r="AH4448" s="580">
        <f t="shared" si="385"/>
        <v>0</v>
      </c>
    </row>
    <row r="4449" spans="28:34">
      <c r="AB4449" s="580">
        <f>HLOOKUP("*"&amp;'Output annual'!$AC$2&amp;'Output annual'!$AD$2&amp;"*Zone People Number Of Occupants [](Hourly)",'Eplus results'!$1:$1048576,ROW(),FALSE)</f>
        <v>0</v>
      </c>
      <c r="AC4449" s="580">
        <f>HLOOKUP("*"&amp;'Output annual'!$AC$2&amp;'Output annual'!$AD$2&amp;"*FangerPMV(Hourly)",'Eplus results'!$1:$1048576,ROW(),FALSE)</f>
        <v>0</v>
      </c>
      <c r="AD4449" s="580">
        <f t="shared" si="381"/>
        <v>5</v>
      </c>
      <c r="AE4449" s="580">
        <f t="shared" si="382"/>
        <v>2.5</v>
      </c>
      <c r="AF4449" s="580">
        <f t="shared" si="383"/>
        <v>2.5</v>
      </c>
      <c r="AG4449" s="580">
        <f t="shared" si="384"/>
        <v>0</v>
      </c>
      <c r="AH4449" s="580">
        <f t="shared" si="385"/>
        <v>0</v>
      </c>
    </row>
    <row r="4450" spans="28:34">
      <c r="AB4450" s="580">
        <f>HLOOKUP("*"&amp;'Output annual'!$AC$2&amp;'Output annual'!$AD$2&amp;"*Zone People Number Of Occupants [](Hourly)",'Eplus results'!$1:$1048576,ROW(),FALSE)</f>
        <v>0</v>
      </c>
      <c r="AC4450" s="580">
        <f>HLOOKUP("*"&amp;'Output annual'!$AC$2&amp;'Output annual'!$AD$2&amp;"*FangerPMV(Hourly)",'Eplus results'!$1:$1048576,ROW(),FALSE)</f>
        <v>0</v>
      </c>
      <c r="AD4450" s="580">
        <f t="shared" si="381"/>
        <v>5</v>
      </c>
      <c r="AE4450" s="580">
        <f t="shared" si="382"/>
        <v>2.5</v>
      </c>
      <c r="AF4450" s="580">
        <f t="shared" si="383"/>
        <v>2.5</v>
      </c>
      <c r="AG4450" s="580">
        <f t="shared" si="384"/>
        <v>0</v>
      </c>
      <c r="AH4450" s="580">
        <f t="shared" si="385"/>
        <v>0</v>
      </c>
    </row>
    <row r="4451" spans="28:34">
      <c r="AB4451" s="580">
        <f>HLOOKUP("*"&amp;'Output annual'!$AC$2&amp;'Output annual'!$AD$2&amp;"*Zone People Number Of Occupants [](Hourly)",'Eplus results'!$1:$1048576,ROW(),FALSE)</f>
        <v>0</v>
      </c>
      <c r="AC4451" s="580">
        <f>HLOOKUP("*"&amp;'Output annual'!$AC$2&amp;'Output annual'!$AD$2&amp;"*FangerPMV(Hourly)",'Eplus results'!$1:$1048576,ROW(),FALSE)</f>
        <v>0</v>
      </c>
      <c r="AD4451" s="580">
        <f t="shared" si="381"/>
        <v>5</v>
      </c>
      <c r="AE4451" s="580">
        <f t="shared" si="382"/>
        <v>2.5</v>
      </c>
      <c r="AF4451" s="580">
        <f t="shared" si="383"/>
        <v>2.5</v>
      </c>
      <c r="AG4451" s="580">
        <f t="shared" si="384"/>
        <v>0</v>
      </c>
      <c r="AH4451" s="580">
        <f t="shared" si="385"/>
        <v>0</v>
      </c>
    </row>
    <row r="4452" spans="28:34">
      <c r="AB4452" s="580">
        <f>HLOOKUP("*"&amp;'Output annual'!$AC$2&amp;'Output annual'!$AD$2&amp;"*Zone People Number Of Occupants [](Hourly)",'Eplus results'!$1:$1048576,ROW(),FALSE)</f>
        <v>0</v>
      </c>
      <c r="AC4452" s="580">
        <f>HLOOKUP("*"&amp;'Output annual'!$AC$2&amp;'Output annual'!$AD$2&amp;"*FangerPMV(Hourly)",'Eplus results'!$1:$1048576,ROW(),FALSE)</f>
        <v>0</v>
      </c>
      <c r="AD4452" s="580">
        <f t="shared" si="381"/>
        <v>5</v>
      </c>
      <c r="AE4452" s="580">
        <f t="shared" si="382"/>
        <v>2.5</v>
      </c>
      <c r="AF4452" s="580">
        <f t="shared" si="383"/>
        <v>2.5</v>
      </c>
      <c r="AG4452" s="580">
        <f t="shared" si="384"/>
        <v>0</v>
      </c>
      <c r="AH4452" s="580">
        <f t="shared" si="385"/>
        <v>0</v>
      </c>
    </row>
    <row r="4453" spans="28:34">
      <c r="AB4453" s="580">
        <f>HLOOKUP("*"&amp;'Output annual'!$AC$2&amp;'Output annual'!$AD$2&amp;"*Zone People Number Of Occupants [](Hourly)",'Eplus results'!$1:$1048576,ROW(),FALSE)</f>
        <v>0</v>
      </c>
      <c r="AC4453" s="580">
        <f>HLOOKUP("*"&amp;'Output annual'!$AC$2&amp;'Output annual'!$AD$2&amp;"*FangerPMV(Hourly)",'Eplus results'!$1:$1048576,ROW(),FALSE)</f>
        <v>0</v>
      </c>
      <c r="AD4453" s="580">
        <f t="shared" si="381"/>
        <v>5</v>
      </c>
      <c r="AE4453" s="580">
        <f t="shared" si="382"/>
        <v>2.5</v>
      </c>
      <c r="AF4453" s="580">
        <f t="shared" si="383"/>
        <v>2.5</v>
      </c>
      <c r="AG4453" s="580">
        <f t="shared" si="384"/>
        <v>0</v>
      </c>
      <c r="AH4453" s="580">
        <f t="shared" si="385"/>
        <v>0</v>
      </c>
    </row>
    <row r="4454" spans="28:34">
      <c r="AB4454" s="580">
        <f>HLOOKUP("*"&amp;'Output annual'!$AC$2&amp;'Output annual'!$AD$2&amp;"*Zone People Number Of Occupants [](Hourly)",'Eplus results'!$1:$1048576,ROW(),FALSE)</f>
        <v>0</v>
      </c>
      <c r="AC4454" s="580">
        <f>HLOOKUP("*"&amp;'Output annual'!$AC$2&amp;'Output annual'!$AD$2&amp;"*FangerPMV(Hourly)",'Eplus results'!$1:$1048576,ROW(),FALSE)</f>
        <v>0</v>
      </c>
      <c r="AD4454" s="580">
        <f t="shared" si="381"/>
        <v>5</v>
      </c>
      <c r="AE4454" s="580">
        <f t="shared" si="382"/>
        <v>2.5</v>
      </c>
      <c r="AF4454" s="580">
        <f t="shared" si="383"/>
        <v>2.5</v>
      </c>
      <c r="AG4454" s="580">
        <f t="shared" si="384"/>
        <v>0</v>
      </c>
      <c r="AH4454" s="580">
        <f t="shared" si="385"/>
        <v>0</v>
      </c>
    </row>
    <row r="4455" spans="28:34">
      <c r="AB4455" s="580">
        <f>HLOOKUP("*"&amp;'Output annual'!$AC$2&amp;'Output annual'!$AD$2&amp;"*Zone People Number Of Occupants [](Hourly)",'Eplus results'!$1:$1048576,ROW(),FALSE)</f>
        <v>0</v>
      </c>
      <c r="AC4455" s="580">
        <f>HLOOKUP("*"&amp;'Output annual'!$AC$2&amp;'Output annual'!$AD$2&amp;"*FangerPMV(Hourly)",'Eplus results'!$1:$1048576,ROW(),FALSE)</f>
        <v>0</v>
      </c>
      <c r="AD4455" s="580">
        <f t="shared" si="381"/>
        <v>5</v>
      </c>
      <c r="AE4455" s="580">
        <f t="shared" si="382"/>
        <v>2.5</v>
      </c>
      <c r="AF4455" s="580">
        <f t="shared" si="383"/>
        <v>2.5</v>
      </c>
      <c r="AG4455" s="580">
        <f t="shared" si="384"/>
        <v>0</v>
      </c>
      <c r="AH4455" s="580">
        <f t="shared" si="385"/>
        <v>0</v>
      </c>
    </row>
    <row r="4456" spans="28:34">
      <c r="AB4456" s="580">
        <f>HLOOKUP("*"&amp;'Output annual'!$AC$2&amp;'Output annual'!$AD$2&amp;"*Zone People Number Of Occupants [](Hourly)",'Eplus results'!$1:$1048576,ROW(),FALSE)</f>
        <v>0</v>
      </c>
      <c r="AC4456" s="580">
        <f>HLOOKUP("*"&amp;'Output annual'!$AC$2&amp;'Output annual'!$AD$2&amp;"*FangerPMV(Hourly)",'Eplus results'!$1:$1048576,ROW(),FALSE)</f>
        <v>0</v>
      </c>
      <c r="AD4456" s="580">
        <f t="shared" si="381"/>
        <v>5</v>
      </c>
      <c r="AE4456" s="580">
        <f t="shared" si="382"/>
        <v>2.5</v>
      </c>
      <c r="AF4456" s="580">
        <f t="shared" si="383"/>
        <v>2.5</v>
      </c>
      <c r="AG4456" s="580">
        <f t="shared" si="384"/>
        <v>0</v>
      </c>
      <c r="AH4456" s="580">
        <f t="shared" si="385"/>
        <v>0</v>
      </c>
    </row>
    <row r="4457" spans="28:34">
      <c r="AB4457" s="580">
        <f>HLOOKUP("*"&amp;'Output annual'!$AC$2&amp;'Output annual'!$AD$2&amp;"*Zone People Number Of Occupants [](Hourly)",'Eplus results'!$1:$1048576,ROW(),FALSE)</f>
        <v>0</v>
      </c>
      <c r="AC4457" s="580">
        <f>HLOOKUP("*"&amp;'Output annual'!$AC$2&amp;'Output annual'!$AD$2&amp;"*FangerPMV(Hourly)",'Eplus results'!$1:$1048576,ROW(),FALSE)</f>
        <v>0</v>
      </c>
      <c r="AD4457" s="580">
        <f t="shared" si="381"/>
        <v>5</v>
      </c>
      <c r="AE4457" s="580">
        <f t="shared" si="382"/>
        <v>2.5</v>
      </c>
      <c r="AF4457" s="580">
        <f t="shared" si="383"/>
        <v>2.5</v>
      </c>
      <c r="AG4457" s="580">
        <f t="shared" si="384"/>
        <v>0</v>
      </c>
      <c r="AH4457" s="580">
        <f t="shared" si="385"/>
        <v>0</v>
      </c>
    </row>
    <row r="4458" spans="28:34">
      <c r="AB4458" s="580">
        <f>HLOOKUP("*"&amp;'Output annual'!$AC$2&amp;'Output annual'!$AD$2&amp;"*Zone People Number Of Occupants [](Hourly)",'Eplus results'!$1:$1048576,ROW(),FALSE)</f>
        <v>0</v>
      </c>
      <c r="AC4458" s="580">
        <f>HLOOKUP("*"&amp;'Output annual'!$AC$2&amp;'Output annual'!$AD$2&amp;"*FangerPMV(Hourly)",'Eplus results'!$1:$1048576,ROW(),FALSE)</f>
        <v>0</v>
      </c>
      <c r="AD4458" s="580">
        <f t="shared" si="381"/>
        <v>5</v>
      </c>
      <c r="AE4458" s="580">
        <f t="shared" si="382"/>
        <v>2.5</v>
      </c>
      <c r="AF4458" s="580">
        <f t="shared" si="383"/>
        <v>2.5</v>
      </c>
      <c r="AG4458" s="580">
        <f t="shared" si="384"/>
        <v>0</v>
      </c>
      <c r="AH4458" s="580">
        <f t="shared" si="385"/>
        <v>0</v>
      </c>
    </row>
    <row r="4459" spans="28:34">
      <c r="AB4459" s="580">
        <f>HLOOKUP("*"&amp;'Output annual'!$AC$2&amp;'Output annual'!$AD$2&amp;"*Zone People Number Of Occupants [](Hourly)",'Eplus results'!$1:$1048576,ROW(),FALSE)</f>
        <v>0</v>
      </c>
      <c r="AC4459" s="580">
        <f>HLOOKUP("*"&amp;'Output annual'!$AC$2&amp;'Output annual'!$AD$2&amp;"*FangerPMV(Hourly)",'Eplus results'!$1:$1048576,ROW(),FALSE)</f>
        <v>0</v>
      </c>
      <c r="AD4459" s="580">
        <f t="shared" si="381"/>
        <v>5</v>
      </c>
      <c r="AE4459" s="580">
        <f t="shared" si="382"/>
        <v>2.5</v>
      </c>
      <c r="AF4459" s="580">
        <f t="shared" si="383"/>
        <v>2.5</v>
      </c>
      <c r="AG4459" s="580">
        <f t="shared" si="384"/>
        <v>0</v>
      </c>
      <c r="AH4459" s="580">
        <f t="shared" si="385"/>
        <v>0</v>
      </c>
    </row>
    <row r="4460" spans="28:34">
      <c r="AB4460" s="580">
        <f>HLOOKUP("*"&amp;'Output annual'!$AC$2&amp;'Output annual'!$AD$2&amp;"*Zone People Number Of Occupants [](Hourly)",'Eplus results'!$1:$1048576,ROW(),FALSE)</f>
        <v>0</v>
      </c>
      <c r="AC4460" s="580">
        <f>HLOOKUP("*"&amp;'Output annual'!$AC$2&amp;'Output annual'!$AD$2&amp;"*FangerPMV(Hourly)",'Eplus results'!$1:$1048576,ROW(),FALSE)</f>
        <v>0</v>
      </c>
      <c r="AD4460" s="580">
        <f t="shared" si="381"/>
        <v>5</v>
      </c>
      <c r="AE4460" s="580">
        <f t="shared" si="382"/>
        <v>2.5</v>
      </c>
      <c r="AF4460" s="580">
        <f t="shared" si="383"/>
        <v>2.5</v>
      </c>
      <c r="AG4460" s="580">
        <f t="shared" si="384"/>
        <v>0</v>
      </c>
      <c r="AH4460" s="580">
        <f t="shared" si="385"/>
        <v>0</v>
      </c>
    </row>
    <row r="4461" spans="28:34">
      <c r="AB4461" s="580">
        <f>HLOOKUP("*"&amp;'Output annual'!$AC$2&amp;'Output annual'!$AD$2&amp;"*Zone People Number Of Occupants [](Hourly)",'Eplus results'!$1:$1048576,ROW(),FALSE)</f>
        <v>0</v>
      </c>
      <c r="AC4461" s="580">
        <f>HLOOKUP("*"&amp;'Output annual'!$AC$2&amp;'Output annual'!$AD$2&amp;"*FangerPMV(Hourly)",'Eplus results'!$1:$1048576,ROW(),FALSE)</f>
        <v>0</v>
      </c>
      <c r="AD4461" s="580">
        <f t="shared" si="381"/>
        <v>5</v>
      </c>
      <c r="AE4461" s="580">
        <f t="shared" si="382"/>
        <v>2.5</v>
      </c>
      <c r="AF4461" s="580">
        <f t="shared" si="383"/>
        <v>2.5</v>
      </c>
      <c r="AG4461" s="580">
        <f t="shared" si="384"/>
        <v>0</v>
      </c>
      <c r="AH4461" s="580">
        <f t="shared" si="385"/>
        <v>0</v>
      </c>
    </row>
    <row r="4462" spans="28:34">
      <c r="AB4462" s="580">
        <f>HLOOKUP("*"&amp;'Output annual'!$AC$2&amp;'Output annual'!$AD$2&amp;"*Zone People Number Of Occupants [](Hourly)",'Eplus results'!$1:$1048576,ROW(),FALSE)</f>
        <v>0</v>
      </c>
      <c r="AC4462" s="580">
        <f>HLOOKUP("*"&amp;'Output annual'!$AC$2&amp;'Output annual'!$AD$2&amp;"*FangerPMV(Hourly)",'Eplus results'!$1:$1048576,ROW(),FALSE)</f>
        <v>0</v>
      </c>
      <c r="AD4462" s="580">
        <f t="shared" si="381"/>
        <v>5</v>
      </c>
      <c r="AE4462" s="580">
        <f t="shared" si="382"/>
        <v>2.5</v>
      </c>
      <c r="AF4462" s="580">
        <f t="shared" si="383"/>
        <v>2.5</v>
      </c>
      <c r="AG4462" s="580">
        <f t="shared" si="384"/>
        <v>0</v>
      </c>
      <c r="AH4462" s="580">
        <f t="shared" si="385"/>
        <v>0</v>
      </c>
    </row>
    <row r="4463" spans="28:34">
      <c r="AB4463" s="580">
        <f>HLOOKUP("*"&amp;'Output annual'!$AC$2&amp;'Output annual'!$AD$2&amp;"*Zone People Number Of Occupants [](Hourly)",'Eplus results'!$1:$1048576,ROW(),FALSE)</f>
        <v>0</v>
      </c>
      <c r="AC4463" s="580">
        <f>HLOOKUP("*"&amp;'Output annual'!$AC$2&amp;'Output annual'!$AD$2&amp;"*FangerPMV(Hourly)",'Eplus results'!$1:$1048576,ROW(),FALSE)</f>
        <v>0</v>
      </c>
      <c r="AD4463" s="580">
        <f t="shared" si="381"/>
        <v>5</v>
      </c>
      <c r="AE4463" s="580">
        <f t="shared" si="382"/>
        <v>2.5</v>
      </c>
      <c r="AF4463" s="580">
        <f t="shared" si="383"/>
        <v>2.5</v>
      </c>
      <c r="AG4463" s="580">
        <f t="shared" si="384"/>
        <v>0</v>
      </c>
      <c r="AH4463" s="580">
        <f t="shared" si="385"/>
        <v>0</v>
      </c>
    </row>
    <row r="4464" spans="28:34">
      <c r="AB4464" s="580">
        <f>HLOOKUP("*"&amp;'Output annual'!$AC$2&amp;'Output annual'!$AD$2&amp;"*Zone People Number Of Occupants [](Hourly)",'Eplus results'!$1:$1048576,ROW(),FALSE)</f>
        <v>0</v>
      </c>
      <c r="AC4464" s="580">
        <f>HLOOKUP("*"&amp;'Output annual'!$AC$2&amp;'Output annual'!$AD$2&amp;"*FangerPMV(Hourly)",'Eplus results'!$1:$1048576,ROW(),FALSE)</f>
        <v>0</v>
      </c>
      <c r="AD4464" s="580">
        <f t="shared" si="381"/>
        <v>5</v>
      </c>
      <c r="AE4464" s="580">
        <f t="shared" si="382"/>
        <v>2.5</v>
      </c>
      <c r="AF4464" s="580">
        <f t="shared" si="383"/>
        <v>2.5</v>
      </c>
      <c r="AG4464" s="580">
        <f t="shared" si="384"/>
        <v>0</v>
      </c>
      <c r="AH4464" s="580">
        <f t="shared" si="385"/>
        <v>0</v>
      </c>
    </row>
    <row r="4465" spans="28:34">
      <c r="AB4465" s="580">
        <f>HLOOKUP("*"&amp;'Output annual'!$AC$2&amp;'Output annual'!$AD$2&amp;"*Zone People Number Of Occupants [](Hourly)",'Eplus results'!$1:$1048576,ROW(),FALSE)</f>
        <v>0</v>
      </c>
      <c r="AC4465" s="580">
        <f>HLOOKUP("*"&amp;'Output annual'!$AC$2&amp;'Output annual'!$AD$2&amp;"*FangerPMV(Hourly)",'Eplus results'!$1:$1048576,ROW(),FALSE)</f>
        <v>0</v>
      </c>
      <c r="AD4465" s="580">
        <f t="shared" si="381"/>
        <v>5</v>
      </c>
      <c r="AE4465" s="580">
        <f t="shared" si="382"/>
        <v>2.5</v>
      </c>
      <c r="AF4465" s="580">
        <f t="shared" si="383"/>
        <v>2.5</v>
      </c>
      <c r="AG4465" s="580">
        <f t="shared" si="384"/>
        <v>0</v>
      </c>
      <c r="AH4465" s="580">
        <f t="shared" si="385"/>
        <v>0</v>
      </c>
    </row>
    <row r="4466" spans="28:34">
      <c r="AB4466" s="580">
        <f>HLOOKUP("*"&amp;'Output annual'!$AC$2&amp;'Output annual'!$AD$2&amp;"*Zone People Number Of Occupants [](Hourly)",'Eplus results'!$1:$1048576,ROW(),FALSE)</f>
        <v>0</v>
      </c>
      <c r="AC4466" s="580">
        <f>HLOOKUP("*"&amp;'Output annual'!$AC$2&amp;'Output annual'!$AD$2&amp;"*FangerPMV(Hourly)",'Eplus results'!$1:$1048576,ROW(),FALSE)</f>
        <v>0</v>
      </c>
      <c r="AD4466" s="580">
        <f t="shared" si="381"/>
        <v>5</v>
      </c>
      <c r="AE4466" s="580">
        <f t="shared" si="382"/>
        <v>2.5</v>
      </c>
      <c r="AF4466" s="580">
        <f t="shared" si="383"/>
        <v>2.5</v>
      </c>
      <c r="AG4466" s="580">
        <f t="shared" si="384"/>
        <v>0</v>
      </c>
      <c r="AH4466" s="580">
        <f t="shared" si="385"/>
        <v>0</v>
      </c>
    </row>
    <row r="4467" spans="28:34">
      <c r="AB4467" s="580">
        <f>HLOOKUP("*"&amp;'Output annual'!$AC$2&amp;'Output annual'!$AD$2&amp;"*Zone People Number Of Occupants [](Hourly)",'Eplus results'!$1:$1048576,ROW(),FALSE)</f>
        <v>0</v>
      </c>
      <c r="AC4467" s="580">
        <f>HLOOKUP("*"&amp;'Output annual'!$AC$2&amp;'Output annual'!$AD$2&amp;"*FangerPMV(Hourly)",'Eplus results'!$1:$1048576,ROW(),FALSE)</f>
        <v>0</v>
      </c>
      <c r="AD4467" s="580">
        <f t="shared" si="381"/>
        <v>5</v>
      </c>
      <c r="AE4467" s="580">
        <f t="shared" si="382"/>
        <v>2.5</v>
      </c>
      <c r="AF4467" s="580">
        <f t="shared" si="383"/>
        <v>2.5</v>
      </c>
      <c r="AG4467" s="580">
        <f t="shared" si="384"/>
        <v>0</v>
      </c>
      <c r="AH4467" s="580">
        <f t="shared" si="385"/>
        <v>0</v>
      </c>
    </row>
    <row r="4468" spans="28:34">
      <c r="AB4468" s="580">
        <f>HLOOKUP("*"&amp;'Output annual'!$AC$2&amp;'Output annual'!$AD$2&amp;"*Zone People Number Of Occupants [](Hourly)",'Eplus results'!$1:$1048576,ROW(),FALSE)</f>
        <v>0</v>
      </c>
      <c r="AC4468" s="580">
        <f>HLOOKUP("*"&amp;'Output annual'!$AC$2&amp;'Output annual'!$AD$2&amp;"*FangerPMV(Hourly)",'Eplus results'!$1:$1048576,ROW(),FALSE)</f>
        <v>0</v>
      </c>
      <c r="AD4468" s="580">
        <f t="shared" si="381"/>
        <v>5</v>
      </c>
      <c r="AE4468" s="580">
        <f t="shared" si="382"/>
        <v>2.5</v>
      </c>
      <c r="AF4468" s="580">
        <f t="shared" si="383"/>
        <v>2.5</v>
      </c>
      <c r="AG4468" s="580">
        <f t="shared" si="384"/>
        <v>0</v>
      </c>
      <c r="AH4468" s="580">
        <f t="shared" si="385"/>
        <v>0</v>
      </c>
    </row>
    <row r="4469" spans="28:34">
      <c r="AB4469" s="580">
        <f>HLOOKUP("*"&amp;'Output annual'!$AC$2&amp;'Output annual'!$AD$2&amp;"*Zone People Number Of Occupants [](Hourly)",'Eplus results'!$1:$1048576,ROW(),FALSE)</f>
        <v>0</v>
      </c>
      <c r="AC4469" s="580">
        <f>HLOOKUP("*"&amp;'Output annual'!$AC$2&amp;'Output annual'!$AD$2&amp;"*FangerPMV(Hourly)",'Eplus results'!$1:$1048576,ROW(),FALSE)</f>
        <v>0</v>
      </c>
      <c r="AD4469" s="580">
        <f t="shared" si="381"/>
        <v>5</v>
      </c>
      <c r="AE4469" s="580">
        <f t="shared" si="382"/>
        <v>2.5</v>
      </c>
      <c r="AF4469" s="580">
        <f t="shared" si="383"/>
        <v>2.5</v>
      </c>
      <c r="AG4469" s="580">
        <f t="shared" si="384"/>
        <v>0</v>
      </c>
      <c r="AH4469" s="580">
        <f t="shared" si="385"/>
        <v>0</v>
      </c>
    </row>
    <row r="4470" spans="28:34">
      <c r="AB4470" s="580">
        <f>HLOOKUP("*"&amp;'Output annual'!$AC$2&amp;'Output annual'!$AD$2&amp;"*Zone People Number Of Occupants [](Hourly)",'Eplus results'!$1:$1048576,ROW(),FALSE)</f>
        <v>0</v>
      </c>
      <c r="AC4470" s="580">
        <f>HLOOKUP("*"&amp;'Output annual'!$AC$2&amp;'Output annual'!$AD$2&amp;"*FangerPMV(Hourly)",'Eplus results'!$1:$1048576,ROW(),FALSE)</f>
        <v>0</v>
      </c>
      <c r="AD4470" s="580">
        <f t="shared" si="381"/>
        <v>5</v>
      </c>
      <c r="AE4470" s="580">
        <f t="shared" si="382"/>
        <v>2.5</v>
      </c>
      <c r="AF4470" s="580">
        <f t="shared" si="383"/>
        <v>2.5</v>
      </c>
      <c r="AG4470" s="580">
        <f t="shared" si="384"/>
        <v>0</v>
      </c>
      <c r="AH4470" s="580">
        <f t="shared" si="385"/>
        <v>0</v>
      </c>
    </row>
    <row r="4471" spans="28:34">
      <c r="AB4471" s="580">
        <f>HLOOKUP("*"&amp;'Output annual'!$AC$2&amp;'Output annual'!$AD$2&amp;"*Zone People Number Of Occupants [](Hourly)",'Eplus results'!$1:$1048576,ROW(),FALSE)</f>
        <v>0</v>
      </c>
      <c r="AC4471" s="580">
        <f>HLOOKUP("*"&amp;'Output annual'!$AC$2&amp;'Output annual'!$AD$2&amp;"*FangerPMV(Hourly)",'Eplus results'!$1:$1048576,ROW(),FALSE)</f>
        <v>0</v>
      </c>
      <c r="AD4471" s="580">
        <f t="shared" si="381"/>
        <v>5</v>
      </c>
      <c r="AE4471" s="580">
        <f t="shared" si="382"/>
        <v>2.5</v>
      </c>
      <c r="AF4471" s="580">
        <f t="shared" si="383"/>
        <v>2.5</v>
      </c>
      <c r="AG4471" s="580">
        <f t="shared" si="384"/>
        <v>0</v>
      </c>
      <c r="AH4471" s="580">
        <f t="shared" si="385"/>
        <v>0</v>
      </c>
    </row>
    <row r="4472" spans="28:34">
      <c r="AB4472" s="580">
        <f>HLOOKUP("*"&amp;'Output annual'!$AC$2&amp;'Output annual'!$AD$2&amp;"*Zone People Number Of Occupants [](Hourly)",'Eplus results'!$1:$1048576,ROW(),FALSE)</f>
        <v>0</v>
      </c>
      <c r="AC4472" s="580">
        <f>HLOOKUP("*"&amp;'Output annual'!$AC$2&amp;'Output annual'!$AD$2&amp;"*FangerPMV(Hourly)",'Eplus results'!$1:$1048576,ROW(),FALSE)</f>
        <v>0</v>
      </c>
      <c r="AD4472" s="580">
        <f t="shared" si="381"/>
        <v>5</v>
      </c>
      <c r="AE4472" s="580">
        <f t="shared" si="382"/>
        <v>2.5</v>
      </c>
      <c r="AF4472" s="580">
        <f t="shared" si="383"/>
        <v>2.5</v>
      </c>
      <c r="AG4472" s="580">
        <f t="shared" si="384"/>
        <v>0</v>
      </c>
      <c r="AH4472" s="580">
        <f t="shared" si="385"/>
        <v>0</v>
      </c>
    </row>
    <row r="4473" spans="28:34">
      <c r="AB4473" s="580">
        <f>HLOOKUP("*"&amp;'Output annual'!$AC$2&amp;'Output annual'!$AD$2&amp;"*Zone People Number Of Occupants [](Hourly)",'Eplus results'!$1:$1048576,ROW(),FALSE)</f>
        <v>0</v>
      </c>
      <c r="AC4473" s="580">
        <f>HLOOKUP("*"&amp;'Output annual'!$AC$2&amp;'Output annual'!$AD$2&amp;"*FangerPMV(Hourly)",'Eplus results'!$1:$1048576,ROW(),FALSE)</f>
        <v>0</v>
      </c>
      <c r="AD4473" s="580">
        <f t="shared" si="381"/>
        <v>5</v>
      </c>
      <c r="AE4473" s="580">
        <f t="shared" si="382"/>
        <v>2.5</v>
      </c>
      <c r="AF4473" s="580">
        <f t="shared" si="383"/>
        <v>2.5</v>
      </c>
      <c r="AG4473" s="580">
        <f t="shared" si="384"/>
        <v>0</v>
      </c>
      <c r="AH4473" s="580">
        <f t="shared" si="385"/>
        <v>0</v>
      </c>
    </row>
    <row r="4474" spans="28:34">
      <c r="AB4474" s="580">
        <f>HLOOKUP("*"&amp;'Output annual'!$AC$2&amp;'Output annual'!$AD$2&amp;"*Zone People Number Of Occupants [](Hourly)",'Eplus results'!$1:$1048576,ROW(),FALSE)</f>
        <v>0</v>
      </c>
      <c r="AC4474" s="580">
        <f>HLOOKUP("*"&amp;'Output annual'!$AC$2&amp;'Output annual'!$AD$2&amp;"*FangerPMV(Hourly)",'Eplus results'!$1:$1048576,ROW(),FALSE)</f>
        <v>0</v>
      </c>
      <c r="AD4474" s="580">
        <f t="shared" si="381"/>
        <v>5</v>
      </c>
      <c r="AE4474" s="580">
        <f t="shared" si="382"/>
        <v>2.5</v>
      </c>
      <c r="AF4474" s="580">
        <f t="shared" si="383"/>
        <v>2.5</v>
      </c>
      <c r="AG4474" s="580">
        <f t="shared" si="384"/>
        <v>0</v>
      </c>
      <c r="AH4474" s="580">
        <f t="shared" si="385"/>
        <v>0</v>
      </c>
    </row>
    <row r="4475" spans="28:34">
      <c r="AB4475" s="580">
        <f>HLOOKUP("*"&amp;'Output annual'!$AC$2&amp;'Output annual'!$AD$2&amp;"*Zone People Number Of Occupants [](Hourly)",'Eplus results'!$1:$1048576,ROW(),FALSE)</f>
        <v>0</v>
      </c>
      <c r="AC4475" s="580">
        <f>HLOOKUP("*"&amp;'Output annual'!$AC$2&amp;'Output annual'!$AD$2&amp;"*FangerPMV(Hourly)",'Eplus results'!$1:$1048576,ROW(),FALSE)</f>
        <v>0</v>
      </c>
      <c r="AD4475" s="580">
        <f t="shared" si="381"/>
        <v>5</v>
      </c>
      <c r="AE4475" s="580">
        <f t="shared" si="382"/>
        <v>2.5</v>
      </c>
      <c r="AF4475" s="580">
        <f t="shared" si="383"/>
        <v>2.5</v>
      </c>
      <c r="AG4475" s="580">
        <f t="shared" si="384"/>
        <v>0</v>
      </c>
      <c r="AH4475" s="580">
        <f t="shared" si="385"/>
        <v>0</v>
      </c>
    </row>
    <row r="4476" spans="28:34">
      <c r="AB4476" s="580">
        <f>HLOOKUP("*"&amp;'Output annual'!$AC$2&amp;'Output annual'!$AD$2&amp;"*Zone People Number Of Occupants [](Hourly)",'Eplus results'!$1:$1048576,ROW(),FALSE)</f>
        <v>0</v>
      </c>
      <c r="AC4476" s="580">
        <f>HLOOKUP("*"&amp;'Output annual'!$AC$2&amp;'Output annual'!$AD$2&amp;"*FangerPMV(Hourly)",'Eplus results'!$1:$1048576,ROW(),FALSE)</f>
        <v>0</v>
      </c>
      <c r="AD4476" s="580">
        <f t="shared" si="381"/>
        <v>5</v>
      </c>
      <c r="AE4476" s="580">
        <f t="shared" si="382"/>
        <v>2.5</v>
      </c>
      <c r="AF4476" s="580">
        <f t="shared" si="383"/>
        <v>2.5</v>
      </c>
      <c r="AG4476" s="580">
        <f t="shared" si="384"/>
        <v>0</v>
      </c>
      <c r="AH4476" s="580">
        <f t="shared" si="385"/>
        <v>0</v>
      </c>
    </row>
    <row r="4477" spans="28:34">
      <c r="AB4477" s="580">
        <f>HLOOKUP("*"&amp;'Output annual'!$AC$2&amp;'Output annual'!$AD$2&amp;"*Zone People Number Of Occupants [](Hourly)",'Eplus results'!$1:$1048576,ROW(),FALSE)</f>
        <v>0</v>
      </c>
      <c r="AC4477" s="580">
        <f>HLOOKUP("*"&amp;'Output annual'!$AC$2&amp;'Output annual'!$AD$2&amp;"*FangerPMV(Hourly)",'Eplus results'!$1:$1048576,ROW(),FALSE)</f>
        <v>0</v>
      </c>
      <c r="AD4477" s="580">
        <f t="shared" si="381"/>
        <v>5</v>
      </c>
      <c r="AE4477" s="580">
        <f t="shared" si="382"/>
        <v>2.5</v>
      </c>
      <c r="AF4477" s="580">
        <f t="shared" si="383"/>
        <v>2.5</v>
      </c>
      <c r="AG4477" s="580">
        <f t="shared" si="384"/>
        <v>0</v>
      </c>
      <c r="AH4477" s="580">
        <f t="shared" si="385"/>
        <v>0</v>
      </c>
    </row>
    <row r="4478" spans="28:34">
      <c r="AB4478" s="580">
        <f>HLOOKUP("*"&amp;'Output annual'!$AC$2&amp;'Output annual'!$AD$2&amp;"*Zone People Number Of Occupants [](Hourly)",'Eplus results'!$1:$1048576,ROW(),FALSE)</f>
        <v>0</v>
      </c>
      <c r="AC4478" s="580">
        <f>HLOOKUP("*"&amp;'Output annual'!$AC$2&amp;'Output annual'!$AD$2&amp;"*FangerPMV(Hourly)",'Eplus results'!$1:$1048576,ROW(),FALSE)</f>
        <v>0</v>
      </c>
      <c r="AD4478" s="580">
        <f t="shared" si="381"/>
        <v>5</v>
      </c>
      <c r="AE4478" s="580">
        <f t="shared" si="382"/>
        <v>2.5</v>
      </c>
      <c r="AF4478" s="580">
        <f t="shared" si="383"/>
        <v>2.5</v>
      </c>
      <c r="AG4478" s="580">
        <f t="shared" si="384"/>
        <v>0</v>
      </c>
      <c r="AH4478" s="580">
        <f t="shared" si="385"/>
        <v>0</v>
      </c>
    </row>
    <row r="4479" spans="28:34">
      <c r="AB4479" s="580">
        <f>HLOOKUP("*"&amp;'Output annual'!$AC$2&amp;'Output annual'!$AD$2&amp;"*Zone People Number Of Occupants [](Hourly)",'Eplus results'!$1:$1048576,ROW(),FALSE)</f>
        <v>0</v>
      </c>
      <c r="AC4479" s="580">
        <f>HLOOKUP("*"&amp;'Output annual'!$AC$2&amp;'Output annual'!$AD$2&amp;"*FangerPMV(Hourly)",'Eplus results'!$1:$1048576,ROW(),FALSE)</f>
        <v>0</v>
      </c>
      <c r="AD4479" s="580">
        <f t="shared" si="381"/>
        <v>5</v>
      </c>
      <c r="AE4479" s="580">
        <f t="shared" si="382"/>
        <v>2.5</v>
      </c>
      <c r="AF4479" s="580">
        <f t="shared" si="383"/>
        <v>2.5</v>
      </c>
      <c r="AG4479" s="580">
        <f t="shared" si="384"/>
        <v>0</v>
      </c>
      <c r="AH4479" s="580">
        <f t="shared" si="385"/>
        <v>0</v>
      </c>
    </row>
    <row r="4480" spans="28:34">
      <c r="AB4480" s="580">
        <f>HLOOKUP("*"&amp;'Output annual'!$AC$2&amp;'Output annual'!$AD$2&amp;"*Zone People Number Of Occupants [](Hourly)",'Eplus results'!$1:$1048576,ROW(),FALSE)</f>
        <v>0</v>
      </c>
      <c r="AC4480" s="580">
        <f>HLOOKUP("*"&amp;'Output annual'!$AC$2&amp;'Output annual'!$AD$2&amp;"*FangerPMV(Hourly)",'Eplus results'!$1:$1048576,ROW(),FALSE)</f>
        <v>0</v>
      </c>
      <c r="AD4480" s="580">
        <f t="shared" si="381"/>
        <v>5</v>
      </c>
      <c r="AE4480" s="580">
        <f t="shared" si="382"/>
        <v>2.5</v>
      </c>
      <c r="AF4480" s="580">
        <f t="shared" si="383"/>
        <v>2.5</v>
      </c>
      <c r="AG4480" s="580">
        <f t="shared" si="384"/>
        <v>0</v>
      </c>
      <c r="AH4480" s="580">
        <f t="shared" si="385"/>
        <v>0</v>
      </c>
    </row>
    <row r="4481" spans="28:34">
      <c r="AB4481" s="580">
        <f>HLOOKUP("*"&amp;'Output annual'!$AC$2&amp;'Output annual'!$AD$2&amp;"*Zone People Number Of Occupants [](Hourly)",'Eplus results'!$1:$1048576,ROW(),FALSE)</f>
        <v>0</v>
      </c>
      <c r="AC4481" s="580">
        <f>HLOOKUP("*"&amp;'Output annual'!$AC$2&amp;'Output annual'!$AD$2&amp;"*FangerPMV(Hourly)",'Eplus results'!$1:$1048576,ROW(),FALSE)</f>
        <v>0</v>
      </c>
      <c r="AD4481" s="580">
        <f t="shared" si="381"/>
        <v>5</v>
      </c>
      <c r="AE4481" s="580">
        <f t="shared" si="382"/>
        <v>2.5</v>
      </c>
      <c r="AF4481" s="580">
        <f t="shared" si="383"/>
        <v>2.5</v>
      </c>
      <c r="AG4481" s="580">
        <f t="shared" si="384"/>
        <v>0</v>
      </c>
      <c r="AH4481" s="580">
        <f t="shared" si="385"/>
        <v>0</v>
      </c>
    </row>
    <row r="4482" spans="28:34">
      <c r="AB4482" s="580">
        <f>HLOOKUP("*"&amp;'Output annual'!$AC$2&amp;'Output annual'!$AD$2&amp;"*Zone People Number Of Occupants [](Hourly)",'Eplus results'!$1:$1048576,ROW(),FALSE)</f>
        <v>0</v>
      </c>
      <c r="AC4482" s="580">
        <f>HLOOKUP("*"&amp;'Output annual'!$AC$2&amp;'Output annual'!$AD$2&amp;"*FangerPMV(Hourly)",'Eplus results'!$1:$1048576,ROW(),FALSE)</f>
        <v>0</v>
      </c>
      <c r="AD4482" s="580">
        <f t="shared" si="381"/>
        <v>5</v>
      </c>
      <c r="AE4482" s="580">
        <f t="shared" si="382"/>
        <v>2.5</v>
      </c>
      <c r="AF4482" s="580">
        <f t="shared" si="383"/>
        <v>2.5</v>
      </c>
      <c r="AG4482" s="580">
        <f t="shared" si="384"/>
        <v>0</v>
      </c>
      <c r="AH4482" s="580">
        <f t="shared" si="385"/>
        <v>0</v>
      </c>
    </row>
    <row r="4483" spans="28:34">
      <c r="AB4483" s="580">
        <f>HLOOKUP("*"&amp;'Output annual'!$AC$2&amp;'Output annual'!$AD$2&amp;"*Zone People Number Of Occupants [](Hourly)",'Eplus results'!$1:$1048576,ROW(),FALSE)</f>
        <v>0</v>
      </c>
      <c r="AC4483" s="580">
        <f>HLOOKUP("*"&amp;'Output annual'!$AC$2&amp;'Output annual'!$AD$2&amp;"*FangerPMV(Hourly)",'Eplus results'!$1:$1048576,ROW(),FALSE)</f>
        <v>0</v>
      </c>
      <c r="AD4483" s="580">
        <f t="shared" ref="AD4483:AD4546" si="386">100-95*EXP(-0.03353*AC4483^4-0.2179*AC4483^2)</f>
        <v>5</v>
      </c>
      <c r="AE4483" s="580">
        <f t="shared" ref="AE4483:AE4546" si="387">AD4483*(1/(1+EXP(-6.3*$AC4483)))</f>
        <v>2.5</v>
      </c>
      <c r="AF4483" s="580">
        <f t="shared" ref="AF4483:AF4546" si="388">(AD4483-AE4483)</f>
        <v>2.5</v>
      </c>
      <c r="AG4483" s="580">
        <f t="shared" ref="AG4483:AG4546" si="389">AE4483*AB4483</f>
        <v>0</v>
      </c>
      <c r="AH4483" s="580">
        <f t="shared" ref="AH4483:AH4546" si="390">AF4483*AB4483</f>
        <v>0</v>
      </c>
    </row>
    <row r="4484" spans="28:34">
      <c r="AB4484" s="580">
        <f>HLOOKUP("*"&amp;'Output annual'!$AC$2&amp;'Output annual'!$AD$2&amp;"*Zone People Number Of Occupants [](Hourly)",'Eplus results'!$1:$1048576,ROW(),FALSE)</f>
        <v>0</v>
      </c>
      <c r="AC4484" s="580">
        <f>HLOOKUP("*"&amp;'Output annual'!$AC$2&amp;'Output annual'!$AD$2&amp;"*FangerPMV(Hourly)",'Eplus results'!$1:$1048576,ROW(),FALSE)</f>
        <v>0</v>
      </c>
      <c r="AD4484" s="580">
        <f t="shared" si="386"/>
        <v>5</v>
      </c>
      <c r="AE4484" s="580">
        <f t="shared" si="387"/>
        <v>2.5</v>
      </c>
      <c r="AF4484" s="580">
        <f t="shared" si="388"/>
        <v>2.5</v>
      </c>
      <c r="AG4484" s="580">
        <f t="shared" si="389"/>
        <v>0</v>
      </c>
      <c r="AH4484" s="580">
        <f t="shared" si="390"/>
        <v>0</v>
      </c>
    </row>
    <row r="4485" spans="28:34">
      <c r="AB4485" s="580">
        <f>HLOOKUP("*"&amp;'Output annual'!$AC$2&amp;'Output annual'!$AD$2&amp;"*Zone People Number Of Occupants [](Hourly)",'Eplus results'!$1:$1048576,ROW(),FALSE)</f>
        <v>0</v>
      </c>
      <c r="AC4485" s="580">
        <f>HLOOKUP("*"&amp;'Output annual'!$AC$2&amp;'Output annual'!$AD$2&amp;"*FangerPMV(Hourly)",'Eplus results'!$1:$1048576,ROW(),FALSE)</f>
        <v>0</v>
      </c>
      <c r="AD4485" s="580">
        <f t="shared" si="386"/>
        <v>5</v>
      </c>
      <c r="AE4485" s="580">
        <f t="shared" si="387"/>
        <v>2.5</v>
      </c>
      <c r="AF4485" s="580">
        <f t="shared" si="388"/>
        <v>2.5</v>
      </c>
      <c r="AG4485" s="580">
        <f t="shared" si="389"/>
        <v>0</v>
      </c>
      <c r="AH4485" s="580">
        <f t="shared" si="390"/>
        <v>0</v>
      </c>
    </row>
    <row r="4486" spans="28:34">
      <c r="AB4486" s="580">
        <f>HLOOKUP("*"&amp;'Output annual'!$AC$2&amp;'Output annual'!$AD$2&amp;"*Zone People Number Of Occupants [](Hourly)",'Eplus results'!$1:$1048576,ROW(),FALSE)</f>
        <v>0</v>
      </c>
      <c r="AC4486" s="580">
        <f>HLOOKUP("*"&amp;'Output annual'!$AC$2&amp;'Output annual'!$AD$2&amp;"*FangerPMV(Hourly)",'Eplus results'!$1:$1048576,ROW(),FALSE)</f>
        <v>0</v>
      </c>
      <c r="AD4486" s="580">
        <f t="shared" si="386"/>
        <v>5</v>
      </c>
      <c r="AE4486" s="580">
        <f t="shared" si="387"/>
        <v>2.5</v>
      </c>
      <c r="AF4486" s="580">
        <f t="shared" si="388"/>
        <v>2.5</v>
      </c>
      <c r="AG4486" s="580">
        <f t="shared" si="389"/>
        <v>0</v>
      </c>
      <c r="AH4486" s="580">
        <f t="shared" si="390"/>
        <v>0</v>
      </c>
    </row>
    <row r="4487" spans="28:34">
      <c r="AB4487" s="580">
        <f>HLOOKUP("*"&amp;'Output annual'!$AC$2&amp;'Output annual'!$AD$2&amp;"*Zone People Number Of Occupants [](Hourly)",'Eplus results'!$1:$1048576,ROW(),FALSE)</f>
        <v>0</v>
      </c>
      <c r="AC4487" s="580">
        <f>HLOOKUP("*"&amp;'Output annual'!$AC$2&amp;'Output annual'!$AD$2&amp;"*FangerPMV(Hourly)",'Eplus results'!$1:$1048576,ROW(),FALSE)</f>
        <v>0</v>
      </c>
      <c r="AD4487" s="580">
        <f t="shared" si="386"/>
        <v>5</v>
      </c>
      <c r="AE4487" s="580">
        <f t="shared" si="387"/>
        <v>2.5</v>
      </c>
      <c r="AF4487" s="580">
        <f t="shared" si="388"/>
        <v>2.5</v>
      </c>
      <c r="AG4487" s="580">
        <f t="shared" si="389"/>
        <v>0</v>
      </c>
      <c r="AH4487" s="580">
        <f t="shared" si="390"/>
        <v>0</v>
      </c>
    </row>
    <row r="4488" spans="28:34">
      <c r="AB4488" s="580">
        <f>HLOOKUP("*"&amp;'Output annual'!$AC$2&amp;'Output annual'!$AD$2&amp;"*Zone People Number Of Occupants [](Hourly)",'Eplus results'!$1:$1048576,ROW(),FALSE)</f>
        <v>0</v>
      </c>
      <c r="AC4488" s="580">
        <f>HLOOKUP("*"&amp;'Output annual'!$AC$2&amp;'Output annual'!$AD$2&amp;"*FangerPMV(Hourly)",'Eplus results'!$1:$1048576,ROW(),FALSE)</f>
        <v>0</v>
      </c>
      <c r="AD4488" s="580">
        <f t="shared" si="386"/>
        <v>5</v>
      </c>
      <c r="AE4488" s="580">
        <f t="shared" si="387"/>
        <v>2.5</v>
      </c>
      <c r="AF4488" s="580">
        <f t="shared" si="388"/>
        <v>2.5</v>
      </c>
      <c r="AG4488" s="580">
        <f t="shared" si="389"/>
        <v>0</v>
      </c>
      <c r="AH4488" s="580">
        <f t="shared" si="390"/>
        <v>0</v>
      </c>
    </row>
    <row r="4489" spans="28:34">
      <c r="AB4489" s="580">
        <f>HLOOKUP("*"&amp;'Output annual'!$AC$2&amp;'Output annual'!$AD$2&amp;"*Zone People Number Of Occupants [](Hourly)",'Eplus results'!$1:$1048576,ROW(),FALSE)</f>
        <v>0</v>
      </c>
      <c r="AC4489" s="580">
        <f>HLOOKUP("*"&amp;'Output annual'!$AC$2&amp;'Output annual'!$AD$2&amp;"*FangerPMV(Hourly)",'Eplus results'!$1:$1048576,ROW(),FALSE)</f>
        <v>0</v>
      </c>
      <c r="AD4489" s="580">
        <f t="shared" si="386"/>
        <v>5</v>
      </c>
      <c r="AE4489" s="580">
        <f t="shared" si="387"/>
        <v>2.5</v>
      </c>
      <c r="AF4489" s="580">
        <f t="shared" si="388"/>
        <v>2.5</v>
      </c>
      <c r="AG4489" s="580">
        <f t="shared" si="389"/>
        <v>0</v>
      </c>
      <c r="AH4489" s="580">
        <f t="shared" si="390"/>
        <v>0</v>
      </c>
    </row>
    <row r="4490" spans="28:34">
      <c r="AB4490" s="580">
        <f>HLOOKUP("*"&amp;'Output annual'!$AC$2&amp;'Output annual'!$AD$2&amp;"*Zone People Number Of Occupants [](Hourly)",'Eplus results'!$1:$1048576,ROW(),FALSE)</f>
        <v>0</v>
      </c>
      <c r="AC4490" s="580">
        <f>HLOOKUP("*"&amp;'Output annual'!$AC$2&amp;'Output annual'!$AD$2&amp;"*FangerPMV(Hourly)",'Eplus results'!$1:$1048576,ROW(),FALSE)</f>
        <v>0</v>
      </c>
      <c r="AD4490" s="580">
        <f t="shared" si="386"/>
        <v>5</v>
      </c>
      <c r="AE4490" s="580">
        <f t="shared" si="387"/>
        <v>2.5</v>
      </c>
      <c r="AF4490" s="580">
        <f t="shared" si="388"/>
        <v>2.5</v>
      </c>
      <c r="AG4490" s="580">
        <f t="shared" si="389"/>
        <v>0</v>
      </c>
      <c r="AH4490" s="580">
        <f t="shared" si="390"/>
        <v>0</v>
      </c>
    </row>
    <row r="4491" spans="28:34">
      <c r="AB4491" s="580">
        <f>HLOOKUP("*"&amp;'Output annual'!$AC$2&amp;'Output annual'!$AD$2&amp;"*Zone People Number Of Occupants [](Hourly)",'Eplus results'!$1:$1048576,ROW(),FALSE)</f>
        <v>0</v>
      </c>
      <c r="AC4491" s="580">
        <f>HLOOKUP("*"&amp;'Output annual'!$AC$2&amp;'Output annual'!$AD$2&amp;"*FangerPMV(Hourly)",'Eplus results'!$1:$1048576,ROW(),FALSE)</f>
        <v>0</v>
      </c>
      <c r="AD4491" s="580">
        <f t="shared" si="386"/>
        <v>5</v>
      </c>
      <c r="AE4491" s="580">
        <f t="shared" si="387"/>
        <v>2.5</v>
      </c>
      <c r="AF4491" s="580">
        <f t="shared" si="388"/>
        <v>2.5</v>
      </c>
      <c r="AG4491" s="580">
        <f t="shared" si="389"/>
        <v>0</v>
      </c>
      <c r="AH4491" s="580">
        <f t="shared" si="390"/>
        <v>0</v>
      </c>
    </row>
    <row r="4492" spans="28:34">
      <c r="AB4492" s="580">
        <f>HLOOKUP("*"&amp;'Output annual'!$AC$2&amp;'Output annual'!$AD$2&amp;"*Zone People Number Of Occupants [](Hourly)",'Eplus results'!$1:$1048576,ROW(),FALSE)</f>
        <v>0</v>
      </c>
      <c r="AC4492" s="580">
        <f>HLOOKUP("*"&amp;'Output annual'!$AC$2&amp;'Output annual'!$AD$2&amp;"*FangerPMV(Hourly)",'Eplus results'!$1:$1048576,ROW(),FALSE)</f>
        <v>0</v>
      </c>
      <c r="AD4492" s="580">
        <f t="shared" si="386"/>
        <v>5</v>
      </c>
      <c r="AE4492" s="580">
        <f t="shared" si="387"/>
        <v>2.5</v>
      </c>
      <c r="AF4492" s="580">
        <f t="shared" si="388"/>
        <v>2.5</v>
      </c>
      <c r="AG4492" s="580">
        <f t="shared" si="389"/>
        <v>0</v>
      </c>
      <c r="AH4492" s="580">
        <f t="shared" si="390"/>
        <v>0</v>
      </c>
    </row>
    <row r="4493" spans="28:34">
      <c r="AB4493" s="580">
        <f>HLOOKUP("*"&amp;'Output annual'!$AC$2&amp;'Output annual'!$AD$2&amp;"*Zone People Number Of Occupants [](Hourly)",'Eplus results'!$1:$1048576,ROW(),FALSE)</f>
        <v>0</v>
      </c>
      <c r="AC4493" s="580">
        <f>HLOOKUP("*"&amp;'Output annual'!$AC$2&amp;'Output annual'!$AD$2&amp;"*FangerPMV(Hourly)",'Eplus results'!$1:$1048576,ROW(),FALSE)</f>
        <v>0</v>
      </c>
      <c r="AD4493" s="580">
        <f t="shared" si="386"/>
        <v>5</v>
      </c>
      <c r="AE4493" s="580">
        <f t="shared" si="387"/>
        <v>2.5</v>
      </c>
      <c r="AF4493" s="580">
        <f t="shared" si="388"/>
        <v>2.5</v>
      </c>
      <c r="AG4493" s="580">
        <f t="shared" si="389"/>
        <v>0</v>
      </c>
      <c r="AH4493" s="580">
        <f t="shared" si="390"/>
        <v>0</v>
      </c>
    </row>
    <row r="4494" spans="28:34">
      <c r="AB4494" s="580">
        <f>HLOOKUP("*"&amp;'Output annual'!$AC$2&amp;'Output annual'!$AD$2&amp;"*Zone People Number Of Occupants [](Hourly)",'Eplus results'!$1:$1048576,ROW(),FALSE)</f>
        <v>0</v>
      </c>
      <c r="AC4494" s="580">
        <f>HLOOKUP("*"&amp;'Output annual'!$AC$2&amp;'Output annual'!$AD$2&amp;"*FangerPMV(Hourly)",'Eplus results'!$1:$1048576,ROW(),FALSE)</f>
        <v>0</v>
      </c>
      <c r="AD4494" s="580">
        <f t="shared" si="386"/>
        <v>5</v>
      </c>
      <c r="AE4494" s="580">
        <f t="shared" si="387"/>
        <v>2.5</v>
      </c>
      <c r="AF4494" s="580">
        <f t="shared" si="388"/>
        <v>2.5</v>
      </c>
      <c r="AG4494" s="580">
        <f t="shared" si="389"/>
        <v>0</v>
      </c>
      <c r="AH4494" s="580">
        <f t="shared" si="390"/>
        <v>0</v>
      </c>
    </row>
    <row r="4495" spans="28:34">
      <c r="AB4495" s="580">
        <f>HLOOKUP("*"&amp;'Output annual'!$AC$2&amp;'Output annual'!$AD$2&amp;"*Zone People Number Of Occupants [](Hourly)",'Eplus results'!$1:$1048576,ROW(),FALSE)</f>
        <v>0</v>
      </c>
      <c r="AC4495" s="580">
        <f>HLOOKUP("*"&amp;'Output annual'!$AC$2&amp;'Output annual'!$AD$2&amp;"*FangerPMV(Hourly)",'Eplus results'!$1:$1048576,ROW(),FALSE)</f>
        <v>0</v>
      </c>
      <c r="AD4495" s="580">
        <f t="shared" si="386"/>
        <v>5</v>
      </c>
      <c r="AE4495" s="580">
        <f t="shared" si="387"/>
        <v>2.5</v>
      </c>
      <c r="AF4495" s="580">
        <f t="shared" si="388"/>
        <v>2.5</v>
      </c>
      <c r="AG4495" s="580">
        <f t="shared" si="389"/>
        <v>0</v>
      </c>
      <c r="AH4495" s="580">
        <f t="shared" si="390"/>
        <v>0</v>
      </c>
    </row>
    <row r="4496" spans="28:34">
      <c r="AB4496" s="580">
        <f>HLOOKUP("*"&amp;'Output annual'!$AC$2&amp;'Output annual'!$AD$2&amp;"*Zone People Number Of Occupants [](Hourly)",'Eplus results'!$1:$1048576,ROW(),FALSE)</f>
        <v>0</v>
      </c>
      <c r="AC4496" s="580">
        <f>HLOOKUP("*"&amp;'Output annual'!$AC$2&amp;'Output annual'!$AD$2&amp;"*FangerPMV(Hourly)",'Eplus results'!$1:$1048576,ROW(),FALSE)</f>
        <v>0</v>
      </c>
      <c r="AD4496" s="580">
        <f t="shared" si="386"/>
        <v>5</v>
      </c>
      <c r="AE4496" s="580">
        <f t="shared" si="387"/>
        <v>2.5</v>
      </c>
      <c r="AF4496" s="580">
        <f t="shared" si="388"/>
        <v>2.5</v>
      </c>
      <c r="AG4496" s="580">
        <f t="shared" si="389"/>
        <v>0</v>
      </c>
      <c r="AH4496" s="580">
        <f t="shared" si="390"/>
        <v>0</v>
      </c>
    </row>
    <row r="4497" spans="28:34">
      <c r="AB4497" s="580">
        <f>HLOOKUP("*"&amp;'Output annual'!$AC$2&amp;'Output annual'!$AD$2&amp;"*Zone People Number Of Occupants [](Hourly)",'Eplus results'!$1:$1048576,ROW(),FALSE)</f>
        <v>0</v>
      </c>
      <c r="AC4497" s="580">
        <f>HLOOKUP("*"&amp;'Output annual'!$AC$2&amp;'Output annual'!$AD$2&amp;"*FangerPMV(Hourly)",'Eplus results'!$1:$1048576,ROW(),FALSE)</f>
        <v>0</v>
      </c>
      <c r="AD4497" s="580">
        <f t="shared" si="386"/>
        <v>5</v>
      </c>
      <c r="AE4497" s="580">
        <f t="shared" si="387"/>
        <v>2.5</v>
      </c>
      <c r="AF4497" s="580">
        <f t="shared" si="388"/>
        <v>2.5</v>
      </c>
      <c r="AG4497" s="580">
        <f t="shared" si="389"/>
        <v>0</v>
      </c>
      <c r="AH4497" s="580">
        <f t="shared" si="390"/>
        <v>0</v>
      </c>
    </row>
    <row r="4498" spans="28:34">
      <c r="AB4498" s="580">
        <f>HLOOKUP("*"&amp;'Output annual'!$AC$2&amp;'Output annual'!$AD$2&amp;"*Zone People Number Of Occupants [](Hourly)",'Eplus results'!$1:$1048576,ROW(),FALSE)</f>
        <v>0</v>
      </c>
      <c r="AC4498" s="580">
        <f>HLOOKUP("*"&amp;'Output annual'!$AC$2&amp;'Output annual'!$AD$2&amp;"*FangerPMV(Hourly)",'Eplus results'!$1:$1048576,ROW(),FALSE)</f>
        <v>0</v>
      </c>
      <c r="AD4498" s="580">
        <f t="shared" si="386"/>
        <v>5</v>
      </c>
      <c r="AE4498" s="580">
        <f t="shared" si="387"/>
        <v>2.5</v>
      </c>
      <c r="AF4498" s="580">
        <f t="shared" si="388"/>
        <v>2.5</v>
      </c>
      <c r="AG4498" s="580">
        <f t="shared" si="389"/>
        <v>0</v>
      </c>
      <c r="AH4498" s="580">
        <f t="shared" si="390"/>
        <v>0</v>
      </c>
    </row>
    <row r="4499" spans="28:34">
      <c r="AB4499" s="580">
        <f>HLOOKUP("*"&amp;'Output annual'!$AC$2&amp;'Output annual'!$AD$2&amp;"*Zone People Number Of Occupants [](Hourly)",'Eplus results'!$1:$1048576,ROW(),FALSE)</f>
        <v>0</v>
      </c>
      <c r="AC4499" s="580">
        <f>HLOOKUP("*"&amp;'Output annual'!$AC$2&amp;'Output annual'!$AD$2&amp;"*FangerPMV(Hourly)",'Eplus results'!$1:$1048576,ROW(),FALSE)</f>
        <v>0</v>
      </c>
      <c r="AD4499" s="580">
        <f t="shared" si="386"/>
        <v>5</v>
      </c>
      <c r="AE4499" s="580">
        <f t="shared" si="387"/>
        <v>2.5</v>
      </c>
      <c r="AF4499" s="580">
        <f t="shared" si="388"/>
        <v>2.5</v>
      </c>
      <c r="AG4499" s="580">
        <f t="shared" si="389"/>
        <v>0</v>
      </c>
      <c r="AH4499" s="580">
        <f t="shared" si="390"/>
        <v>0</v>
      </c>
    </row>
    <row r="4500" spans="28:34">
      <c r="AB4500" s="580">
        <f>HLOOKUP("*"&amp;'Output annual'!$AC$2&amp;'Output annual'!$AD$2&amp;"*Zone People Number Of Occupants [](Hourly)",'Eplus results'!$1:$1048576,ROW(),FALSE)</f>
        <v>0</v>
      </c>
      <c r="AC4500" s="580">
        <f>HLOOKUP("*"&amp;'Output annual'!$AC$2&amp;'Output annual'!$AD$2&amp;"*FangerPMV(Hourly)",'Eplus results'!$1:$1048576,ROW(),FALSE)</f>
        <v>0</v>
      </c>
      <c r="AD4500" s="580">
        <f t="shared" si="386"/>
        <v>5</v>
      </c>
      <c r="AE4500" s="580">
        <f t="shared" si="387"/>
        <v>2.5</v>
      </c>
      <c r="AF4500" s="580">
        <f t="shared" si="388"/>
        <v>2.5</v>
      </c>
      <c r="AG4500" s="580">
        <f t="shared" si="389"/>
        <v>0</v>
      </c>
      <c r="AH4500" s="580">
        <f t="shared" si="390"/>
        <v>0</v>
      </c>
    </row>
    <row r="4501" spans="28:34">
      <c r="AB4501" s="580">
        <f>HLOOKUP("*"&amp;'Output annual'!$AC$2&amp;'Output annual'!$AD$2&amp;"*Zone People Number Of Occupants [](Hourly)",'Eplus results'!$1:$1048576,ROW(),FALSE)</f>
        <v>0</v>
      </c>
      <c r="AC4501" s="580">
        <f>HLOOKUP("*"&amp;'Output annual'!$AC$2&amp;'Output annual'!$AD$2&amp;"*FangerPMV(Hourly)",'Eplus results'!$1:$1048576,ROW(),FALSE)</f>
        <v>0</v>
      </c>
      <c r="AD4501" s="580">
        <f t="shared" si="386"/>
        <v>5</v>
      </c>
      <c r="AE4501" s="580">
        <f t="shared" si="387"/>
        <v>2.5</v>
      </c>
      <c r="AF4501" s="580">
        <f t="shared" si="388"/>
        <v>2.5</v>
      </c>
      <c r="AG4501" s="580">
        <f t="shared" si="389"/>
        <v>0</v>
      </c>
      <c r="AH4501" s="580">
        <f t="shared" si="390"/>
        <v>0</v>
      </c>
    </row>
    <row r="4502" spans="28:34">
      <c r="AB4502" s="580">
        <f>HLOOKUP("*"&amp;'Output annual'!$AC$2&amp;'Output annual'!$AD$2&amp;"*Zone People Number Of Occupants [](Hourly)",'Eplus results'!$1:$1048576,ROW(),FALSE)</f>
        <v>0</v>
      </c>
      <c r="AC4502" s="580">
        <f>HLOOKUP("*"&amp;'Output annual'!$AC$2&amp;'Output annual'!$AD$2&amp;"*FangerPMV(Hourly)",'Eplus results'!$1:$1048576,ROW(),FALSE)</f>
        <v>0</v>
      </c>
      <c r="AD4502" s="580">
        <f t="shared" si="386"/>
        <v>5</v>
      </c>
      <c r="AE4502" s="580">
        <f t="shared" si="387"/>
        <v>2.5</v>
      </c>
      <c r="AF4502" s="580">
        <f t="shared" si="388"/>
        <v>2.5</v>
      </c>
      <c r="AG4502" s="580">
        <f t="shared" si="389"/>
        <v>0</v>
      </c>
      <c r="AH4502" s="580">
        <f t="shared" si="390"/>
        <v>0</v>
      </c>
    </row>
    <row r="4503" spans="28:34">
      <c r="AB4503" s="580">
        <f>HLOOKUP("*"&amp;'Output annual'!$AC$2&amp;'Output annual'!$AD$2&amp;"*Zone People Number Of Occupants [](Hourly)",'Eplus results'!$1:$1048576,ROW(),FALSE)</f>
        <v>0</v>
      </c>
      <c r="AC4503" s="580">
        <f>HLOOKUP("*"&amp;'Output annual'!$AC$2&amp;'Output annual'!$AD$2&amp;"*FangerPMV(Hourly)",'Eplus results'!$1:$1048576,ROW(),FALSE)</f>
        <v>0</v>
      </c>
      <c r="AD4503" s="580">
        <f t="shared" si="386"/>
        <v>5</v>
      </c>
      <c r="AE4503" s="580">
        <f t="shared" si="387"/>
        <v>2.5</v>
      </c>
      <c r="AF4503" s="580">
        <f t="shared" si="388"/>
        <v>2.5</v>
      </c>
      <c r="AG4503" s="580">
        <f t="shared" si="389"/>
        <v>0</v>
      </c>
      <c r="AH4503" s="580">
        <f t="shared" si="390"/>
        <v>0</v>
      </c>
    </row>
    <row r="4504" spans="28:34">
      <c r="AB4504" s="580">
        <f>HLOOKUP("*"&amp;'Output annual'!$AC$2&amp;'Output annual'!$AD$2&amp;"*Zone People Number Of Occupants [](Hourly)",'Eplus results'!$1:$1048576,ROW(),FALSE)</f>
        <v>0</v>
      </c>
      <c r="AC4504" s="580">
        <f>HLOOKUP("*"&amp;'Output annual'!$AC$2&amp;'Output annual'!$AD$2&amp;"*FangerPMV(Hourly)",'Eplus results'!$1:$1048576,ROW(),FALSE)</f>
        <v>0</v>
      </c>
      <c r="AD4504" s="580">
        <f t="shared" si="386"/>
        <v>5</v>
      </c>
      <c r="AE4504" s="580">
        <f t="shared" si="387"/>
        <v>2.5</v>
      </c>
      <c r="AF4504" s="580">
        <f t="shared" si="388"/>
        <v>2.5</v>
      </c>
      <c r="AG4504" s="580">
        <f t="shared" si="389"/>
        <v>0</v>
      </c>
      <c r="AH4504" s="580">
        <f t="shared" si="390"/>
        <v>0</v>
      </c>
    </row>
    <row r="4505" spans="28:34">
      <c r="AB4505" s="580">
        <f>HLOOKUP("*"&amp;'Output annual'!$AC$2&amp;'Output annual'!$AD$2&amp;"*Zone People Number Of Occupants [](Hourly)",'Eplus results'!$1:$1048576,ROW(),FALSE)</f>
        <v>0</v>
      </c>
      <c r="AC4505" s="580">
        <f>HLOOKUP("*"&amp;'Output annual'!$AC$2&amp;'Output annual'!$AD$2&amp;"*FangerPMV(Hourly)",'Eplus results'!$1:$1048576,ROW(),FALSE)</f>
        <v>0</v>
      </c>
      <c r="AD4505" s="580">
        <f t="shared" si="386"/>
        <v>5</v>
      </c>
      <c r="AE4505" s="580">
        <f t="shared" si="387"/>
        <v>2.5</v>
      </c>
      <c r="AF4505" s="580">
        <f t="shared" si="388"/>
        <v>2.5</v>
      </c>
      <c r="AG4505" s="580">
        <f t="shared" si="389"/>
        <v>0</v>
      </c>
      <c r="AH4505" s="580">
        <f t="shared" si="390"/>
        <v>0</v>
      </c>
    </row>
    <row r="4506" spans="28:34">
      <c r="AB4506" s="580">
        <f>HLOOKUP("*"&amp;'Output annual'!$AC$2&amp;'Output annual'!$AD$2&amp;"*Zone People Number Of Occupants [](Hourly)",'Eplus results'!$1:$1048576,ROW(),FALSE)</f>
        <v>0</v>
      </c>
      <c r="AC4506" s="580">
        <f>HLOOKUP("*"&amp;'Output annual'!$AC$2&amp;'Output annual'!$AD$2&amp;"*FangerPMV(Hourly)",'Eplus results'!$1:$1048576,ROW(),FALSE)</f>
        <v>0</v>
      </c>
      <c r="AD4506" s="580">
        <f t="shared" si="386"/>
        <v>5</v>
      </c>
      <c r="AE4506" s="580">
        <f t="shared" si="387"/>
        <v>2.5</v>
      </c>
      <c r="AF4506" s="580">
        <f t="shared" si="388"/>
        <v>2.5</v>
      </c>
      <c r="AG4506" s="580">
        <f t="shared" si="389"/>
        <v>0</v>
      </c>
      <c r="AH4506" s="580">
        <f t="shared" si="390"/>
        <v>0</v>
      </c>
    </row>
    <row r="4507" spans="28:34">
      <c r="AB4507" s="580">
        <f>HLOOKUP("*"&amp;'Output annual'!$AC$2&amp;'Output annual'!$AD$2&amp;"*Zone People Number Of Occupants [](Hourly)",'Eplus results'!$1:$1048576,ROW(),FALSE)</f>
        <v>0</v>
      </c>
      <c r="AC4507" s="580">
        <f>HLOOKUP("*"&amp;'Output annual'!$AC$2&amp;'Output annual'!$AD$2&amp;"*FangerPMV(Hourly)",'Eplus results'!$1:$1048576,ROW(),FALSE)</f>
        <v>0</v>
      </c>
      <c r="AD4507" s="580">
        <f t="shared" si="386"/>
        <v>5</v>
      </c>
      <c r="AE4507" s="580">
        <f t="shared" si="387"/>
        <v>2.5</v>
      </c>
      <c r="AF4507" s="580">
        <f t="shared" si="388"/>
        <v>2.5</v>
      </c>
      <c r="AG4507" s="580">
        <f t="shared" si="389"/>
        <v>0</v>
      </c>
      <c r="AH4507" s="580">
        <f t="shared" si="390"/>
        <v>0</v>
      </c>
    </row>
    <row r="4508" spans="28:34">
      <c r="AB4508" s="580">
        <f>HLOOKUP("*"&amp;'Output annual'!$AC$2&amp;'Output annual'!$AD$2&amp;"*Zone People Number Of Occupants [](Hourly)",'Eplus results'!$1:$1048576,ROW(),FALSE)</f>
        <v>0</v>
      </c>
      <c r="AC4508" s="580">
        <f>HLOOKUP("*"&amp;'Output annual'!$AC$2&amp;'Output annual'!$AD$2&amp;"*FangerPMV(Hourly)",'Eplus results'!$1:$1048576,ROW(),FALSE)</f>
        <v>0</v>
      </c>
      <c r="AD4508" s="580">
        <f t="shared" si="386"/>
        <v>5</v>
      </c>
      <c r="AE4508" s="580">
        <f t="shared" si="387"/>
        <v>2.5</v>
      </c>
      <c r="AF4508" s="580">
        <f t="shared" si="388"/>
        <v>2.5</v>
      </c>
      <c r="AG4508" s="580">
        <f t="shared" si="389"/>
        <v>0</v>
      </c>
      <c r="AH4508" s="580">
        <f t="shared" si="390"/>
        <v>0</v>
      </c>
    </row>
    <row r="4509" spans="28:34">
      <c r="AB4509" s="580">
        <f>HLOOKUP("*"&amp;'Output annual'!$AC$2&amp;'Output annual'!$AD$2&amp;"*Zone People Number Of Occupants [](Hourly)",'Eplus results'!$1:$1048576,ROW(),FALSE)</f>
        <v>0</v>
      </c>
      <c r="AC4509" s="580">
        <f>HLOOKUP("*"&amp;'Output annual'!$AC$2&amp;'Output annual'!$AD$2&amp;"*FangerPMV(Hourly)",'Eplus results'!$1:$1048576,ROW(),FALSE)</f>
        <v>0</v>
      </c>
      <c r="AD4509" s="580">
        <f t="shared" si="386"/>
        <v>5</v>
      </c>
      <c r="AE4509" s="580">
        <f t="shared" si="387"/>
        <v>2.5</v>
      </c>
      <c r="AF4509" s="580">
        <f t="shared" si="388"/>
        <v>2.5</v>
      </c>
      <c r="AG4509" s="580">
        <f t="shared" si="389"/>
        <v>0</v>
      </c>
      <c r="AH4509" s="580">
        <f t="shared" si="390"/>
        <v>0</v>
      </c>
    </row>
    <row r="4510" spans="28:34">
      <c r="AB4510" s="580">
        <f>HLOOKUP("*"&amp;'Output annual'!$AC$2&amp;'Output annual'!$AD$2&amp;"*Zone People Number Of Occupants [](Hourly)",'Eplus results'!$1:$1048576,ROW(),FALSE)</f>
        <v>0</v>
      </c>
      <c r="AC4510" s="580">
        <f>HLOOKUP("*"&amp;'Output annual'!$AC$2&amp;'Output annual'!$AD$2&amp;"*FangerPMV(Hourly)",'Eplus results'!$1:$1048576,ROW(),FALSE)</f>
        <v>0</v>
      </c>
      <c r="AD4510" s="580">
        <f t="shared" si="386"/>
        <v>5</v>
      </c>
      <c r="AE4510" s="580">
        <f t="shared" si="387"/>
        <v>2.5</v>
      </c>
      <c r="AF4510" s="580">
        <f t="shared" si="388"/>
        <v>2.5</v>
      </c>
      <c r="AG4510" s="580">
        <f t="shared" si="389"/>
        <v>0</v>
      </c>
      <c r="AH4510" s="580">
        <f t="shared" si="390"/>
        <v>0</v>
      </c>
    </row>
    <row r="4511" spans="28:34">
      <c r="AB4511" s="580">
        <f>HLOOKUP("*"&amp;'Output annual'!$AC$2&amp;'Output annual'!$AD$2&amp;"*Zone People Number Of Occupants [](Hourly)",'Eplus results'!$1:$1048576,ROW(),FALSE)</f>
        <v>0</v>
      </c>
      <c r="AC4511" s="580">
        <f>HLOOKUP("*"&amp;'Output annual'!$AC$2&amp;'Output annual'!$AD$2&amp;"*FangerPMV(Hourly)",'Eplus results'!$1:$1048576,ROW(),FALSE)</f>
        <v>0</v>
      </c>
      <c r="AD4511" s="580">
        <f t="shared" si="386"/>
        <v>5</v>
      </c>
      <c r="AE4511" s="580">
        <f t="shared" si="387"/>
        <v>2.5</v>
      </c>
      <c r="AF4511" s="580">
        <f t="shared" si="388"/>
        <v>2.5</v>
      </c>
      <c r="AG4511" s="580">
        <f t="shared" si="389"/>
        <v>0</v>
      </c>
      <c r="AH4511" s="580">
        <f t="shared" si="390"/>
        <v>0</v>
      </c>
    </row>
    <row r="4512" spans="28:34">
      <c r="AB4512" s="580">
        <f>HLOOKUP("*"&amp;'Output annual'!$AC$2&amp;'Output annual'!$AD$2&amp;"*Zone People Number Of Occupants [](Hourly)",'Eplus results'!$1:$1048576,ROW(),FALSE)</f>
        <v>0</v>
      </c>
      <c r="AC4512" s="580">
        <f>HLOOKUP("*"&amp;'Output annual'!$AC$2&amp;'Output annual'!$AD$2&amp;"*FangerPMV(Hourly)",'Eplus results'!$1:$1048576,ROW(),FALSE)</f>
        <v>0</v>
      </c>
      <c r="AD4512" s="580">
        <f t="shared" si="386"/>
        <v>5</v>
      </c>
      <c r="AE4512" s="580">
        <f t="shared" si="387"/>
        <v>2.5</v>
      </c>
      <c r="AF4512" s="580">
        <f t="shared" si="388"/>
        <v>2.5</v>
      </c>
      <c r="AG4512" s="580">
        <f t="shared" si="389"/>
        <v>0</v>
      </c>
      <c r="AH4512" s="580">
        <f t="shared" si="390"/>
        <v>0</v>
      </c>
    </row>
    <row r="4513" spans="28:34">
      <c r="AB4513" s="580">
        <f>HLOOKUP("*"&amp;'Output annual'!$AC$2&amp;'Output annual'!$AD$2&amp;"*Zone People Number Of Occupants [](Hourly)",'Eplus results'!$1:$1048576,ROW(),FALSE)</f>
        <v>0</v>
      </c>
      <c r="AC4513" s="580">
        <f>HLOOKUP("*"&amp;'Output annual'!$AC$2&amp;'Output annual'!$AD$2&amp;"*FangerPMV(Hourly)",'Eplus results'!$1:$1048576,ROW(),FALSE)</f>
        <v>0</v>
      </c>
      <c r="AD4513" s="580">
        <f t="shared" si="386"/>
        <v>5</v>
      </c>
      <c r="AE4513" s="580">
        <f t="shared" si="387"/>
        <v>2.5</v>
      </c>
      <c r="AF4513" s="580">
        <f t="shared" si="388"/>
        <v>2.5</v>
      </c>
      <c r="AG4513" s="580">
        <f t="shared" si="389"/>
        <v>0</v>
      </c>
      <c r="AH4513" s="580">
        <f t="shared" si="390"/>
        <v>0</v>
      </c>
    </row>
    <row r="4514" spans="28:34">
      <c r="AB4514" s="580">
        <f>HLOOKUP("*"&amp;'Output annual'!$AC$2&amp;'Output annual'!$AD$2&amp;"*Zone People Number Of Occupants [](Hourly)",'Eplus results'!$1:$1048576,ROW(),FALSE)</f>
        <v>0</v>
      </c>
      <c r="AC4514" s="580">
        <f>HLOOKUP("*"&amp;'Output annual'!$AC$2&amp;'Output annual'!$AD$2&amp;"*FangerPMV(Hourly)",'Eplus results'!$1:$1048576,ROW(),FALSE)</f>
        <v>0</v>
      </c>
      <c r="AD4514" s="580">
        <f t="shared" si="386"/>
        <v>5</v>
      </c>
      <c r="AE4514" s="580">
        <f t="shared" si="387"/>
        <v>2.5</v>
      </c>
      <c r="AF4514" s="580">
        <f t="shared" si="388"/>
        <v>2.5</v>
      </c>
      <c r="AG4514" s="580">
        <f t="shared" si="389"/>
        <v>0</v>
      </c>
      <c r="AH4514" s="580">
        <f t="shared" si="390"/>
        <v>0</v>
      </c>
    </row>
    <row r="4515" spans="28:34">
      <c r="AB4515" s="580">
        <f>HLOOKUP("*"&amp;'Output annual'!$AC$2&amp;'Output annual'!$AD$2&amp;"*Zone People Number Of Occupants [](Hourly)",'Eplus results'!$1:$1048576,ROW(),FALSE)</f>
        <v>0</v>
      </c>
      <c r="AC4515" s="580">
        <f>HLOOKUP("*"&amp;'Output annual'!$AC$2&amp;'Output annual'!$AD$2&amp;"*FangerPMV(Hourly)",'Eplus results'!$1:$1048576,ROW(),FALSE)</f>
        <v>0</v>
      </c>
      <c r="AD4515" s="580">
        <f t="shared" si="386"/>
        <v>5</v>
      </c>
      <c r="AE4515" s="580">
        <f t="shared" si="387"/>
        <v>2.5</v>
      </c>
      <c r="AF4515" s="580">
        <f t="shared" si="388"/>
        <v>2.5</v>
      </c>
      <c r="AG4515" s="580">
        <f t="shared" si="389"/>
        <v>0</v>
      </c>
      <c r="AH4515" s="580">
        <f t="shared" si="390"/>
        <v>0</v>
      </c>
    </row>
    <row r="4516" spans="28:34">
      <c r="AB4516" s="580">
        <f>HLOOKUP("*"&amp;'Output annual'!$AC$2&amp;'Output annual'!$AD$2&amp;"*Zone People Number Of Occupants [](Hourly)",'Eplus results'!$1:$1048576,ROW(),FALSE)</f>
        <v>0</v>
      </c>
      <c r="AC4516" s="580">
        <f>HLOOKUP("*"&amp;'Output annual'!$AC$2&amp;'Output annual'!$AD$2&amp;"*FangerPMV(Hourly)",'Eplus results'!$1:$1048576,ROW(),FALSE)</f>
        <v>0</v>
      </c>
      <c r="AD4516" s="580">
        <f t="shared" si="386"/>
        <v>5</v>
      </c>
      <c r="AE4516" s="580">
        <f t="shared" si="387"/>
        <v>2.5</v>
      </c>
      <c r="AF4516" s="580">
        <f t="shared" si="388"/>
        <v>2.5</v>
      </c>
      <c r="AG4516" s="580">
        <f t="shared" si="389"/>
        <v>0</v>
      </c>
      <c r="AH4516" s="580">
        <f t="shared" si="390"/>
        <v>0</v>
      </c>
    </row>
    <row r="4517" spans="28:34">
      <c r="AB4517" s="580">
        <f>HLOOKUP("*"&amp;'Output annual'!$AC$2&amp;'Output annual'!$AD$2&amp;"*Zone People Number Of Occupants [](Hourly)",'Eplus results'!$1:$1048576,ROW(),FALSE)</f>
        <v>0</v>
      </c>
      <c r="AC4517" s="580">
        <f>HLOOKUP("*"&amp;'Output annual'!$AC$2&amp;'Output annual'!$AD$2&amp;"*FangerPMV(Hourly)",'Eplus results'!$1:$1048576,ROW(),FALSE)</f>
        <v>0</v>
      </c>
      <c r="AD4517" s="580">
        <f t="shared" si="386"/>
        <v>5</v>
      </c>
      <c r="AE4517" s="580">
        <f t="shared" si="387"/>
        <v>2.5</v>
      </c>
      <c r="AF4517" s="580">
        <f t="shared" si="388"/>
        <v>2.5</v>
      </c>
      <c r="AG4517" s="580">
        <f t="shared" si="389"/>
        <v>0</v>
      </c>
      <c r="AH4517" s="580">
        <f t="shared" si="390"/>
        <v>0</v>
      </c>
    </row>
    <row r="4518" spans="28:34">
      <c r="AB4518" s="580">
        <f>HLOOKUP("*"&amp;'Output annual'!$AC$2&amp;'Output annual'!$AD$2&amp;"*Zone People Number Of Occupants [](Hourly)",'Eplus results'!$1:$1048576,ROW(),FALSE)</f>
        <v>0</v>
      </c>
      <c r="AC4518" s="580">
        <f>HLOOKUP("*"&amp;'Output annual'!$AC$2&amp;'Output annual'!$AD$2&amp;"*FangerPMV(Hourly)",'Eplus results'!$1:$1048576,ROW(),FALSE)</f>
        <v>0</v>
      </c>
      <c r="AD4518" s="580">
        <f t="shared" si="386"/>
        <v>5</v>
      </c>
      <c r="AE4518" s="580">
        <f t="shared" si="387"/>
        <v>2.5</v>
      </c>
      <c r="AF4518" s="580">
        <f t="shared" si="388"/>
        <v>2.5</v>
      </c>
      <c r="AG4518" s="580">
        <f t="shared" si="389"/>
        <v>0</v>
      </c>
      <c r="AH4518" s="580">
        <f t="shared" si="390"/>
        <v>0</v>
      </c>
    </row>
    <row r="4519" spans="28:34">
      <c r="AB4519" s="580">
        <f>HLOOKUP("*"&amp;'Output annual'!$AC$2&amp;'Output annual'!$AD$2&amp;"*Zone People Number Of Occupants [](Hourly)",'Eplus results'!$1:$1048576,ROW(),FALSE)</f>
        <v>0</v>
      </c>
      <c r="AC4519" s="580">
        <f>HLOOKUP("*"&amp;'Output annual'!$AC$2&amp;'Output annual'!$AD$2&amp;"*FangerPMV(Hourly)",'Eplus results'!$1:$1048576,ROW(),FALSE)</f>
        <v>0</v>
      </c>
      <c r="AD4519" s="580">
        <f t="shared" si="386"/>
        <v>5</v>
      </c>
      <c r="AE4519" s="580">
        <f t="shared" si="387"/>
        <v>2.5</v>
      </c>
      <c r="AF4519" s="580">
        <f t="shared" si="388"/>
        <v>2.5</v>
      </c>
      <c r="AG4519" s="580">
        <f t="shared" si="389"/>
        <v>0</v>
      </c>
      <c r="AH4519" s="580">
        <f t="shared" si="390"/>
        <v>0</v>
      </c>
    </row>
    <row r="4520" spans="28:34">
      <c r="AB4520" s="580">
        <f>HLOOKUP("*"&amp;'Output annual'!$AC$2&amp;'Output annual'!$AD$2&amp;"*Zone People Number Of Occupants [](Hourly)",'Eplus results'!$1:$1048576,ROW(),FALSE)</f>
        <v>0</v>
      </c>
      <c r="AC4520" s="580">
        <f>HLOOKUP("*"&amp;'Output annual'!$AC$2&amp;'Output annual'!$AD$2&amp;"*FangerPMV(Hourly)",'Eplus results'!$1:$1048576,ROW(),FALSE)</f>
        <v>0</v>
      </c>
      <c r="AD4520" s="580">
        <f t="shared" si="386"/>
        <v>5</v>
      </c>
      <c r="AE4520" s="580">
        <f t="shared" si="387"/>
        <v>2.5</v>
      </c>
      <c r="AF4520" s="580">
        <f t="shared" si="388"/>
        <v>2.5</v>
      </c>
      <c r="AG4520" s="580">
        <f t="shared" si="389"/>
        <v>0</v>
      </c>
      <c r="AH4520" s="580">
        <f t="shared" si="390"/>
        <v>0</v>
      </c>
    </row>
    <row r="4521" spans="28:34">
      <c r="AB4521" s="580">
        <f>HLOOKUP("*"&amp;'Output annual'!$AC$2&amp;'Output annual'!$AD$2&amp;"*Zone People Number Of Occupants [](Hourly)",'Eplus results'!$1:$1048576,ROW(),FALSE)</f>
        <v>0</v>
      </c>
      <c r="AC4521" s="580">
        <f>HLOOKUP("*"&amp;'Output annual'!$AC$2&amp;'Output annual'!$AD$2&amp;"*FangerPMV(Hourly)",'Eplus results'!$1:$1048576,ROW(),FALSE)</f>
        <v>0</v>
      </c>
      <c r="AD4521" s="580">
        <f t="shared" si="386"/>
        <v>5</v>
      </c>
      <c r="AE4521" s="580">
        <f t="shared" si="387"/>
        <v>2.5</v>
      </c>
      <c r="AF4521" s="580">
        <f t="shared" si="388"/>
        <v>2.5</v>
      </c>
      <c r="AG4521" s="580">
        <f t="shared" si="389"/>
        <v>0</v>
      </c>
      <c r="AH4521" s="580">
        <f t="shared" si="390"/>
        <v>0</v>
      </c>
    </row>
    <row r="4522" spans="28:34">
      <c r="AB4522" s="580">
        <f>HLOOKUP("*"&amp;'Output annual'!$AC$2&amp;'Output annual'!$AD$2&amp;"*Zone People Number Of Occupants [](Hourly)",'Eplus results'!$1:$1048576,ROW(),FALSE)</f>
        <v>0</v>
      </c>
      <c r="AC4522" s="580">
        <f>HLOOKUP("*"&amp;'Output annual'!$AC$2&amp;'Output annual'!$AD$2&amp;"*FangerPMV(Hourly)",'Eplus results'!$1:$1048576,ROW(),FALSE)</f>
        <v>0</v>
      </c>
      <c r="AD4522" s="580">
        <f t="shared" si="386"/>
        <v>5</v>
      </c>
      <c r="AE4522" s="580">
        <f t="shared" si="387"/>
        <v>2.5</v>
      </c>
      <c r="AF4522" s="580">
        <f t="shared" si="388"/>
        <v>2.5</v>
      </c>
      <c r="AG4522" s="580">
        <f t="shared" si="389"/>
        <v>0</v>
      </c>
      <c r="AH4522" s="580">
        <f t="shared" si="390"/>
        <v>0</v>
      </c>
    </row>
    <row r="4523" spans="28:34">
      <c r="AB4523" s="580">
        <f>HLOOKUP("*"&amp;'Output annual'!$AC$2&amp;'Output annual'!$AD$2&amp;"*Zone People Number Of Occupants [](Hourly)",'Eplus results'!$1:$1048576,ROW(),FALSE)</f>
        <v>0</v>
      </c>
      <c r="AC4523" s="580">
        <f>HLOOKUP("*"&amp;'Output annual'!$AC$2&amp;'Output annual'!$AD$2&amp;"*FangerPMV(Hourly)",'Eplus results'!$1:$1048576,ROW(),FALSE)</f>
        <v>0</v>
      </c>
      <c r="AD4523" s="580">
        <f t="shared" si="386"/>
        <v>5</v>
      </c>
      <c r="AE4523" s="580">
        <f t="shared" si="387"/>
        <v>2.5</v>
      </c>
      <c r="AF4523" s="580">
        <f t="shared" si="388"/>
        <v>2.5</v>
      </c>
      <c r="AG4523" s="580">
        <f t="shared" si="389"/>
        <v>0</v>
      </c>
      <c r="AH4523" s="580">
        <f t="shared" si="390"/>
        <v>0</v>
      </c>
    </row>
    <row r="4524" spans="28:34">
      <c r="AB4524" s="580">
        <f>HLOOKUP("*"&amp;'Output annual'!$AC$2&amp;'Output annual'!$AD$2&amp;"*Zone People Number Of Occupants [](Hourly)",'Eplus results'!$1:$1048576,ROW(),FALSE)</f>
        <v>0</v>
      </c>
      <c r="AC4524" s="580">
        <f>HLOOKUP("*"&amp;'Output annual'!$AC$2&amp;'Output annual'!$AD$2&amp;"*FangerPMV(Hourly)",'Eplus results'!$1:$1048576,ROW(),FALSE)</f>
        <v>0</v>
      </c>
      <c r="AD4524" s="580">
        <f t="shared" si="386"/>
        <v>5</v>
      </c>
      <c r="AE4524" s="580">
        <f t="shared" si="387"/>
        <v>2.5</v>
      </c>
      <c r="AF4524" s="580">
        <f t="shared" si="388"/>
        <v>2.5</v>
      </c>
      <c r="AG4524" s="580">
        <f t="shared" si="389"/>
        <v>0</v>
      </c>
      <c r="AH4524" s="580">
        <f t="shared" si="390"/>
        <v>0</v>
      </c>
    </row>
    <row r="4525" spans="28:34">
      <c r="AB4525" s="580">
        <f>HLOOKUP("*"&amp;'Output annual'!$AC$2&amp;'Output annual'!$AD$2&amp;"*Zone People Number Of Occupants [](Hourly)",'Eplus results'!$1:$1048576,ROW(),FALSE)</f>
        <v>0</v>
      </c>
      <c r="AC4525" s="580">
        <f>HLOOKUP("*"&amp;'Output annual'!$AC$2&amp;'Output annual'!$AD$2&amp;"*FangerPMV(Hourly)",'Eplus results'!$1:$1048576,ROW(),FALSE)</f>
        <v>0</v>
      </c>
      <c r="AD4525" s="580">
        <f t="shared" si="386"/>
        <v>5</v>
      </c>
      <c r="AE4525" s="580">
        <f t="shared" si="387"/>
        <v>2.5</v>
      </c>
      <c r="AF4525" s="580">
        <f t="shared" si="388"/>
        <v>2.5</v>
      </c>
      <c r="AG4525" s="580">
        <f t="shared" si="389"/>
        <v>0</v>
      </c>
      <c r="AH4525" s="580">
        <f t="shared" si="390"/>
        <v>0</v>
      </c>
    </row>
    <row r="4526" spans="28:34">
      <c r="AB4526" s="580">
        <f>HLOOKUP("*"&amp;'Output annual'!$AC$2&amp;'Output annual'!$AD$2&amp;"*Zone People Number Of Occupants [](Hourly)",'Eplus results'!$1:$1048576,ROW(),FALSE)</f>
        <v>0</v>
      </c>
      <c r="AC4526" s="580">
        <f>HLOOKUP("*"&amp;'Output annual'!$AC$2&amp;'Output annual'!$AD$2&amp;"*FangerPMV(Hourly)",'Eplus results'!$1:$1048576,ROW(),FALSE)</f>
        <v>0</v>
      </c>
      <c r="AD4526" s="580">
        <f t="shared" si="386"/>
        <v>5</v>
      </c>
      <c r="AE4526" s="580">
        <f t="shared" si="387"/>
        <v>2.5</v>
      </c>
      <c r="AF4526" s="580">
        <f t="shared" si="388"/>
        <v>2.5</v>
      </c>
      <c r="AG4526" s="580">
        <f t="shared" si="389"/>
        <v>0</v>
      </c>
      <c r="AH4526" s="580">
        <f t="shared" si="390"/>
        <v>0</v>
      </c>
    </row>
    <row r="4527" spans="28:34">
      <c r="AB4527" s="580">
        <f>HLOOKUP("*"&amp;'Output annual'!$AC$2&amp;'Output annual'!$AD$2&amp;"*Zone People Number Of Occupants [](Hourly)",'Eplus results'!$1:$1048576,ROW(),FALSE)</f>
        <v>0</v>
      </c>
      <c r="AC4527" s="580">
        <f>HLOOKUP("*"&amp;'Output annual'!$AC$2&amp;'Output annual'!$AD$2&amp;"*FangerPMV(Hourly)",'Eplus results'!$1:$1048576,ROW(),FALSE)</f>
        <v>0</v>
      </c>
      <c r="AD4527" s="580">
        <f t="shared" si="386"/>
        <v>5</v>
      </c>
      <c r="AE4527" s="580">
        <f t="shared" si="387"/>
        <v>2.5</v>
      </c>
      <c r="AF4527" s="580">
        <f t="shared" si="388"/>
        <v>2.5</v>
      </c>
      <c r="AG4527" s="580">
        <f t="shared" si="389"/>
        <v>0</v>
      </c>
      <c r="AH4527" s="580">
        <f t="shared" si="390"/>
        <v>0</v>
      </c>
    </row>
    <row r="4528" spans="28:34">
      <c r="AB4528" s="580">
        <f>HLOOKUP("*"&amp;'Output annual'!$AC$2&amp;'Output annual'!$AD$2&amp;"*Zone People Number Of Occupants [](Hourly)",'Eplus results'!$1:$1048576,ROW(),FALSE)</f>
        <v>0</v>
      </c>
      <c r="AC4528" s="580">
        <f>HLOOKUP("*"&amp;'Output annual'!$AC$2&amp;'Output annual'!$AD$2&amp;"*FangerPMV(Hourly)",'Eplus results'!$1:$1048576,ROW(),FALSE)</f>
        <v>0</v>
      </c>
      <c r="AD4528" s="580">
        <f t="shared" si="386"/>
        <v>5</v>
      </c>
      <c r="AE4528" s="580">
        <f t="shared" si="387"/>
        <v>2.5</v>
      </c>
      <c r="AF4528" s="580">
        <f t="shared" si="388"/>
        <v>2.5</v>
      </c>
      <c r="AG4528" s="580">
        <f t="shared" si="389"/>
        <v>0</v>
      </c>
      <c r="AH4528" s="580">
        <f t="shared" si="390"/>
        <v>0</v>
      </c>
    </row>
    <row r="4529" spans="28:34">
      <c r="AB4529" s="580">
        <f>HLOOKUP("*"&amp;'Output annual'!$AC$2&amp;'Output annual'!$AD$2&amp;"*Zone People Number Of Occupants [](Hourly)",'Eplus results'!$1:$1048576,ROW(),FALSE)</f>
        <v>0</v>
      </c>
      <c r="AC4529" s="580">
        <f>HLOOKUP("*"&amp;'Output annual'!$AC$2&amp;'Output annual'!$AD$2&amp;"*FangerPMV(Hourly)",'Eplus results'!$1:$1048576,ROW(),FALSE)</f>
        <v>0</v>
      </c>
      <c r="AD4529" s="580">
        <f t="shared" si="386"/>
        <v>5</v>
      </c>
      <c r="AE4529" s="580">
        <f t="shared" si="387"/>
        <v>2.5</v>
      </c>
      <c r="AF4529" s="580">
        <f t="shared" si="388"/>
        <v>2.5</v>
      </c>
      <c r="AG4529" s="580">
        <f t="shared" si="389"/>
        <v>0</v>
      </c>
      <c r="AH4529" s="580">
        <f t="shared" si="390"/>
        <v>0</v>
      </c>
    </row>
    <row r="4530" spans="28:34">
      <c r="AB4530" s="580">
        <f>HLOOKUP("*"&amp;'Output annual'!$AC$2&amp;'Output annual'!$AD$2&amp;"*Zone People Number Of Occupants [](Hourly)",'Eplus results'!$1:$1048576,ROW(),FALSE)</f>
        <v>0</v>
      </c>
      <c r="AC4530" s="580">
        <f>HLOOKUP("*"&amp;'Output annual'!$AC$2&amp;'Output annual'!$AD$2&amp;"*FangerPMV(Hourly)",'Eplus results'!$1:$1048576,ROW(),FALSE)</f>
        <v>0</v>
      </c>
      <c r="AD4530" s="580">
        <f t="shared" si="386"/>
        <v>5</v>
      </c>
      <c r="AE4530" s="580">
        <f t="shared" si="387"/>
        <v>2.5</v>
      </c>
      <c r="AF4530" s="580">
        <f t="shared" si="388"/>
        <v>2.5</v>
      </c>
      <c r="AG4530" s="580">
        <f t="shared" si="389"/>
        <v>0</v>
      </c>
      <c r="AH4530" s="580">
        <f t="shared" si="390"/>
        <v>0</v>
      </c>
    </row>
    <row r="4531" spans="28:34">
      <c r="AB4531" s="580">
        <f>HLOOKUP("*"&amp;'Output annual'!$AC$2&amp;'Output annual'!$AD$2&amp;"*Zone People Number Of Occupants [](Hourly)",'Eplus results'!$1:$1048576,ROW(),FALSE)</f>
        <v>0</v>
      </c>
      <c r="AC4531" s="580">
        <f>HLOOKUP("*"&amp;'Output annual'!$AC$2&amp;'Output annual'!$AD$2&amp;"*FangerPMV(Hourly)",'Eplus results'!$1:$1048576,ROW(),FALSE)</f>
        <v>0</v>
      </c>
      <c r="AD4531" s="580">
        <f t="shared" si="386"/>
        <v>5</v>
      </c>
      <c r="AE4531" s="580">
        <f t="shared" si="387"/>
        <v>2.5</v>
      </c>
      <c r="AF4531" s="580">
        <f t="shared" si="388"/>
        <v>2.5</v>
      </c>
      <c r="AG4531" s="580">
        <f t="shared" si="389"/>
        <v>0</v>
      </c>
      <c r="AH4531" s="580">
        <f t="shared" si="390"/>
        <v>0</v>
      </c>
    </row>
    <row r="4532" spans="28:34">
      <c r="AB4532" s="580">
        <f>HLOOKUP("*"&amp;'Output annual'!$AC$2&amp;'Output annual'!$AD$2&amp;"*Zone People Number Of Occupants [](Hourly)",'Eplus results'!$1:$1048576,ROW(),FALSE)</f>
        <v>0</v>
      </c>
      <c r="AC4532" s="580">
        <f>HLOOKUP("*"&amp;'Output annual'!$AC$2&amp;'Output annual'!$AD$2&amp;"*FangerPMV(Hourly)",'Eplus results'!$1:$1048576,ROW(),FALSE)</f>
        <v>0</v>
      </c>
      <c r="AD4532" s="580">
        <f t="shared" si="386"/>
        <v>5</v>
      </c>
      <c r="AE4532" s="580">
        <f t="shared" si="387"/>
        <v>2.5</v>
      </c>
      <c r="AF4532" s="580">
        <f t="shared" si="388"/>
        <v>2.5</v>
      </c>
      <c r="AG4532" s="580">
        <f t="shared" si="389"/>
        <v>0</v>
      </c>
      <c r="AH4532" s="580">
        <f t="shared" si="390"/>
        <v>0</v>
      </c>
    </row>
    <row r="4533" spans="28:34">
      <c r="AB4533" s="580">
        <f>HLOOKUP("*"&amp;'Output annual'!$AC$2&amp;'Output annual'!$AD$2&amp;"*Zone People Number Of Occupants [](Hourly)",'Eplus results'!$1:$1048576,ROW(),FALSE)</f>
        <v>0</v>
      </c>
      <c r="AC4533" s="580">
        <f>HLOOKUP("*"&amp;'Output annual'!$AC$2&amp;'Output annual'!$AD$2&amp;"*FangerPMV(Hourly)",'Eplus results'!$1:$1048576,ROW(),FALSE)</f>
        <v>0</v>
      </c>
      <c r="AD4533" s="580">
        <f t="shared" si="386"/>
        <v>5</v>
      </c>
      <c r="AE4533" s="580">
        <f t="shared" si="387"/>
        <v>2.5</v>
      </c>
      <c r="AF4533" s="580">
        <f t="shared" si="388"/>
        <v>2.5</v>
      </c>
      <c r="AG4533" s="580">
        <f t="shared" si="389"/>
        <v>0</v>
      </c>
      <c r="AH4533" s="580">
        <f t="shared" si="390"/>
        <v>0</v>
      </c>
    </row>
    <row r="4534" spans="28:34">
      <c r="AB4534" s="580">
        <f>HLOOKUP("*"&amp;'Output annual'!$AC$2&amp;'Output annual'!$AD$2&amp;"*Zone People Number Of Occupants [](Hourly)",'Eplus results'!$1:$1048576,ROW(),FALSE)</f>
        <v>0</v>
      </c>
      <c r="AC4534" s="580">
        <f>HLOOKUP("*"&amp;'Output annual'!$AC$2&amp;'Output annual'!$AD$2&amp;"*FangerPMV(Hourly)",'Eplus results'!$1:$1048576,ROW(),FALSE)</f>
        <v>0</v>
      </c>
      <c r="AD4534" s="580">
        <f t="shared" si="386"/>
        <v>5</v>
      </c>
      <c r="AE4534" s="580">
        <f t="shared" si="387"/>
        <v>2.5</v>
      </c>
      <c r="AF4534" s="580">
        <f t="shared" si="388"/>
        <v>2.5</v>
      </c>
      <c r="AG4534" s="580">
        <f t="shared" si="389"/>
        <v>0</v>
      </c>
      <c r="AH4534" s="580">
        <f t="shared" si="390"/>
        <v>0</v>
      </c>
    </row>
    <row r="4535" spans="28:34">
      <c r="AB4535" s="580">
        <f>HLOOKUP("*"&amp;'Output annual'!$AC$2&amp;'Output annual'!$AD$2&amp;"*Zone People Number Of Occupants [](Hourly)",'Eplus results'!$1:$1048576,ROW(),FALSE)</f>
        <v>0</v>
      </c>
      <c r="AC4535" s="580">
        <f>HLOOKUP("*"&amp;'Output annual'!$AC$2&amp;'Output annual'!$AD$2&amp;"*FangerPMV(Hourly)",'Eplus results'!$1:$1048576,ROW(),FALSE)</f>
        <v>0</v>
      </c>
      <c r="AD4535" s="580">
        <f t="shared" si="386"/>
        <v>5</v>
      </c>
      <c r="AE4535" s="580">
        <f t="shared" si="387"/>
        <v>2.5</v>
      </c>
      <c r="AF4535" s="580">
        <f t="shared" si="388"/>
        <v>2.5</v>
      </c>
      <c r="AG4535" s="580">
        <f t="shared" si="389"/>
        <v>0</v>
      </c>
      <c r="AH4535" s="580">
        <f t="shared" si="390"/>
        <v>0</v>
      </c>
    </row>
    <row r="4536" spans="28:34">
      <c r="AB4536" s="580">
        <f>HLOOKUP("*"&amp;'Output annual'!$AC$2&amp;'Output annual'!$AD$2&amp;"*Zone People Number Of Occupants [](Hourly)",'Eplus results'!$1:$1048576,ROW(),FALSE)</f>
        <v>0</v>
      </c>
      <c r="AC4536" s="580">
        <f>HLOOKUP("*"&amp;'Output annual'!$AC$2&amp;'Output annual'!$AD$2&amp;"*FangerPMV(Hourly)",'Eplus results'!$1:$1048576,ROW(),FALSE)</f>
        <v>0</v>
      </c>
      <c r="AD4536" s="580">
        <f t="shared" si="386"/>
        <v>5</v>
      </c>
      <c r="AE4536" s="580">
        <f t="shared" si="387"/>
        <v>2.5</v>
      </c>
      <c r="AF4536" s="580">
        <f t="shared" si="388"/>
        <v>2.5</v>
      </c>
      <c r="AG4536" s="580">
        <f t="shared" si="389"/>
        <v>0</v>
      </c>
      <c r="AH4536" s="580">
        <f t="shared" si="390"/>
        <v>0</v>
      </c>
    </row>
    <row r="4537" spans="28:34">
      <c r="AB4537" s="580">
        <f>HLOOKUP("*"&amp;'Output annual'!$AC$2&amp;'Output annual'!$AD$2&amp;"*Zone People Number Of Occupants [](Hourly)",'Eplus results'!$1:$1048576,ROW(),FALSE)</f>
        <v>0</v>
      </c>
      <c r="AC4537" s="580">
        <f>HLOOKUP("*"&amp;'Output annual'!$AC$2&amp;'Output annual'!$AD$2&amp;"*FangerPMV(Hourly)",'Eplus results'!$1:$1048576,ROW(),FALSE)</f>
        <v>0</v>
      </c>
      <c r="AD4537" s="580">
        <f t="shared" si="386"/>
        <v>5</v>
      </c>
      <c r="AE4537" s="580">
        <f t="shared" si="387"/>
        <v>2.5</v>
      </c>
      <c r="AF4537" s="580">
        <f t="shared" si="388"/>
        <v>2.5</v>
      </c>
      <c r="AG4537" s="580">
        <f t="shared" si="389"/>
        <v>0</v>
      </c>
      <c r="AH4537" s="580">
        <f t="shared" si="390"/>
        <v>0</v>
      </c>
    </row>
    <row r="4538" spans="28:34">
      <c r="AB4538" s="580">
        <f>HLOOKUP("*"&amp;'Output annual'!$AC$2&amp;'Output annual'!$AD$2&amp;"*Zone People Number Of Occupants [](Hourly)",'Eplus results'!$1:$1048576,ROW(),FALSE)</f>
        <v>0</v>
      </c>
      <c r="AC4538" s="580">
        <f>HLOOKUP("*"&amp;'Output annual'!$AC$2&amp;'Output annual'!$AD$2&amp;"*FangerPMV(Hourly)",'Eplus results'!$1:$1048576,ROW(),FALSE)</f>
        <v>0</v>
      </c>
      <c r="AD4538" s="580">
        <f t="shared" si="386"/>
        <v>5</v>
      </c>
      <c r="AE4538" s="580">
        <f t="shared" si="387"/>
        <v>2.5</v>
      </c>
      <c r="AF4538" s="580">
        <f t="shared" si="388"/>
        <v>2.5</v>
      </c>
      <c r="AG4538" s="580">
        <f t="shared" si="389"/>
        <v>0</v>
      </c>
      <c r="AH4538" s="580">
        <f t="shared" si="390"/>
        <v>0</v>
      </c>
    </row>
    <row r="4539" spans="28:34">
      <c r="AB4539" s="580">
        <f>HLOOKUP("*"&amp;'Output annual'!$AC$2&amp;'Output annual'!$AD$2&amp;"*Zone People Number Of Occupants [](Hourly)",'Eplus results'!$1:$1048576,ROW(),FALSE)</f>
        <v>0</v>
      </c>
      <c r="AC4539" s="580">
        <f>HLOOKUP("*"&amp;'Output annual'!$AC$2&amp;'Output annual'!$AD$2&amp;"*FangerPMV(Hourly)",'Eplus results'!$1:$1048576,ROW(),FALSE)</f>
        <v>0</v>
      </c>
      <c r="AD4539" s="580">
        <f t="shared" si="386"/>
        <v>5</v>
      </c>
      <c r="AE4539" s="580">
        <f t="shared" si="387"/>
        <v>2.5</v>
      </c>
      <c r="AF4539" s="580">
        <f t="shared" si="388"/>
        <v>2.5</v>
      </c>
      <c r="AG4539" s="580">
        <f t="shared" si="389"/>
        <v>0</v>
      </c>
      <c r="AH4539" s="580">
        <f t="shared" si="390"/>
        <v>0</v>
      </c>
    </row>
    <row r="4540" spans="28:34">
      <c r="AB4540" s="580">
        <f>HLOOKUP("*"&amp;'Output annual'!$AC$2&amp;'Output annual'!$AD$2&amp;"*Zone People Number Of Occupants [](Hourly)",'Eplus results'!$1:$1048576,ROW(),FALSE)</f>
        <v>0</v>
      </c>
      <c r="AC4540" s="580">
        <f>HLOOKUP("*"&amp;'Output annual'!$AC$2&amp;'Output annual'!$AD$2&amp;"*FangerPMV(Hourly)",'Eplus results'!$1:$1048576,ROW(),FALSE)</f>
        <v>0</v>
      </c>
      <c r="AD4540" s="580">
        <f t="shared" si="386"/>
        <v>5</v>
      </c>
      <c r="AE4540" s="580">
        <f t="shared" si="387"/>
        <v>2.5</v>
      </c>
      <c r="AF4540" s="580">
        <f t="shared" si="388"/>
        <v>2.5</v>
      </c>
      <c r="AG4540" s="580">
        <f t="shared" si="389"/>
        <v>0</v>
      </c>
      <c r="AH4540" s="580">
        <f t="shared" si="390"/>
        <v>0</v>
      </c>
    </row>
    <row r="4541" spans="28:34">
      <c r="AB4541" s="580">
        <f>HLOOKUP("*"&amp;'Output annual'!$AC$2&amp;'Output annual'!$AD$2&amp;"*Zone People Number Of Occupants [](Hourly)",'Eplus results'!$1:$1048576,ROW(),FALSE)</f>
        <v>0</v>
      </c>
      <c r="AC4541" s="580">
        <f>HLOOKUP("*"&amp;'Output annual'!$AC$2&amp;'Output annual'!$AD$2&amp;"*FangerPMV(Hourly)",'Eplus results'!$1:$1048576,ROW(),FALSE)</f>
        <v>0</v>
      </c>
      <c r="AD4541" s="580">
        <f t="shared" si="386"/>
        <v>5</v>
      </c>
      <c r="AE4541" s="580">
        <f t="shared" si="387"/>
        <v>2.5</v>
      </c>
      <c r="AF4541" s="580">
        <f t="shared" si="388"/>
        <v>2.5</v>
      </c>
      <c r="AG4541" s="580">
        <f t="shared" si="389"/>
        <v>0</v>
      </c>
      <c r="AH4541" s="580">
        <f t="shared" si="390"/>
        <v>0</v>
      </c>
    </row>
    <row r="4542" spans="28:34">
      <c r="AB4542" s="580">
        <f>HLOOKUP("*"&amp;'Output annual'!$AC$2&amp;'Output annual'!$AD$2&amp;"*Zone People Number Of Occupants [](Hourly)",'Eplus results'!$1:$1048576,ROW(),FALSE)</f>
        <v>0</v>
      </c>
      <c r="AC4542" s="580">
        <f>HLOOKUP("*"&amp;'Output annual'!$AC$2&amp;'Output annual'!$AD$2&amp;"*FangerPMV(Hourly)",'Eplus results'!$1:$1048576,ROW(),FALSE)</f>
        <v>0</v>
      </c>
      <c r="AD4542" s="580">
        <f t="shared" si="386"/>
        <v>5</v>
      </c>
      <c r="AE4542" s="580">
        <f t="shared" si="387"/>
        <v>2.5</v>
      </c>
      <c r="AF4542" s="580">
        <f t="shared" si="388"/>
        <v>2.5</v>
      </c>
      <c r="AG4542" s="580">
        <f t="shared" si="389"/>
        <v>0</v>
      </c>
      <c r="AH4542" s="580">
        <f t="shared" si="390"/>
        <v>0</v>
      </c>
    </row>
    <row r="4543" spans="28:34">
      <c r="AB4543" s="580">
        <f>HLOOKUP("*"&amp;'Output annual'!$AC$2&amp;'Output annual'!$AD$2&amp;"*Zone People Number Of Occupants [](Hourly)",'Eplus results'!$1:$1048576,ROW(),FALSE)</f>
        <v>0</v>
      </c>
      <c r="AC4543" s="580">
        <f>HLOOKUP("*"&amp;'Output annual'!$AC$2&amp;'Output annual'!$AD$2&amp;"*FangerPMV(Hourly)",'Eplus results'!$1:$1048576,ROW(),FALSE)</f>
        <v>0</v>
      </c>
      <c r="AD4543" s="580">
        <f t="shared" si="386"/>
        <v>5</v>
      </c>
      <c r="AE4543" s="580">
        <f t="shared" si="387"/>
        <v>2.5</v>
      </c>
      <c r="AF4543" s="580">
        <f t="shared" si="388"/>
        <v>2.5</v>
      </c>
      <c r="AG4543" s="580">
        <f t="shared" si="389"/>
        <v>0</v>
      </c>
      <c r="AH4543" s="580">
        <f t="shared" si="390"/>
        <v>0</v>
      </c>
    </row>
    <row r="4544" spans="28:34">
      <c r="AB4544" s="580">
        <f>HLOOKUP("*"&amp;'Output annual'!$AC$2&amp;'Output annual'!$AD$2&amp;"*Zone People Number Of Occupants [](Hourly)",'Eplus results'!$1:$1048576,ROW(),FALSE)</f>
        <v>0</v>
      </c>
      <c r="AC4544" s="580">
        <f>HLOOKUP("*"&amp;'Output annual'!$AC$2&amp;'Output annual'!$AD$2&amp;"*FangerPMV(Hourly)",'Eplus results'!$1:$1048576,ROW(),FALSE)</f>
        <v>0</v>
      </c>
      <c r="AD4544" s="580">
        <f t="shared" si="386"/>
        <v>5</v>
      </c>
      <c r="AE4544" s="580">
        <f t="shared" si="387"/>
        <v>2.5</v>
      </c>
      <c r="AF4544" s="580">
        <f t="shared" si="388"/>
        <v>2.5</v>
      </c>
      <c r="AG4544" s="580">
        <f t="shared" si="389"/>
        <v>0</v>
      </c>
      <c r="AH4544" s="580">
        <f t="shared" si="390"/>
        <v>0</v>
      </c>
    </row>
    <row r="4545" spans="28:34">
      <c r="AB4545" s="580">
        <f>HLOOKUP("*"&amp;'Output annual'!$AC$2&amp;'Output annual'!$AD$2&amp;"*Zone People Number Of Occupants [](Hourly)",'Eplus results'!$1:$1048576,ROW(),FALSE)</f>
        <v>0</v>
      </c>
      <c r="AC4545" s="580">
        <f>HLOOKUP("*"&amp;'Output annual'!$AC$2&amp;'Output annual'!$AD$2&amp;"*FangerPMV(Hourly)",'Eplus results'!$1:$1048576,ROW(),FALSE)</f>
        <v>0</v>
      </c>
      <c r="AD4545" s="580">
        <f t="shared" si="386"/>
        <v>5</v>
      </c>
      <c r="AE4545" s="580">
        <f t="shared" si="387"/>
        <v>2.5</v>
      </c>
      <c r="AF4545" s="580">
        <f t="shared" si="388"/>
        <v>2.5</v>
      </c>
      <c r="AG4545" s="580">
        <f t="shared" si="389"/>
        <v>0</v>
      </c>
      <c r="AH4545" s="580">
        <f t="shared" si="390"/>
        <v>0</v>
      </c>
    </row>
    <row r="4546" spans="28:34">
      <c r="AB4546" s="580">
        <f>HLOOKUP("*"&amp;'Output annual'!$AC$2&amp;'Output annual'!$AD$2&amp;"*Zone People Number Of Occupants [](Hourly)",'Eplus results'!$1:$1048576,ROW(),FALSE)</f>
        <v>0</v>
      </c>
      <c r="AC4546" s="580">
        <f>HLOOKUP("*"&amp;'Output annual'!$AC$2&amp;'Output annual'!$AD$2&amp;"*FangerPMV(Hourly)",'Eplus results'!$1:$1048576,ROW(),FALSE)</f>
        <v>0</v>
      </c>
      <c r="AD4546" s="580">
        <f t="shared" si="386"/>
        <v>5</v>
      </c>
      <c r="AE4546" s="580">
        <f t="shared" si="387"/>
        <v>2.5</v>
      </c>
      <c r="AF4546" s="580">
        <f t="shared" si="388"/>
        <v>2.5</v>
      </c>
      <c r="AG4546" s="580">
        <f t="shared" si="389"/>
        <v>0</v>
      </c>
      <c r="AH4546" s="580">
        <f t="shared" si="390"/>
        <v>0</v>
      </c>
    </row>
    <row r="4547" spans="28:34">
      <c r="AB4547" s="580">
        <f>HLOOKUP("*"&amp;'Output annual'!$AC$2&amp;'Output annual'!$AD$2&amp;"*Zone People Number Of Occupants [](Hourly)",'Eplus results'!$1:$1048576,ROW(),FALSE)</f>
        <v>0</v>
      </c>
      <c r="AC4547" s="580">
        <f>HLOOKUP("*"&amp;'Output annual'!$AC$2&amp;'Output annual'!$AD$2&amp;"*FangerPMV(Hourly)",'Eplus results'!$1:$1048576,ROW(),FALSE)</f>
        <v>0</v>
      </c>
      <c r="AD4547" s="580">
        <f t="shared" ref="AD4547:AD4610" si="391">100-95*EXP(-0.03353*AC4547^4-0.2179*AC4547^2)</f>
        <v>5</v>
      </c>
      <c r="AE4547" s="580">
        <f t="shared" ref="AE4547:AE4610" si="392">AD4547*(1/(1+EXP(-6.3*$AC4547)))</f>
        <v>2.5</v>
      </c>
      <c r="AF4547" s="580">
        <f t="shared" ref="AF4547:AF4610" si="393">(AD4547-AE4547)</f>
        <v>2.5</v>
      </c>
      <c r="AG4547" s="580">
        <f t="shared" ref="AG4547:AG4610" si="394">AE4547*AB4547</f>
        <v>0</v>
      </c>
      <c r="AH4547" s="580">
        <f t="shared" ref="AH4547:AH4610" si="395">AF4547*AB4547</f>
        <v>0</v>
      </c>
    </row>
    <row r="4548" spans="28:34">
      <c r="AB4548" s="580">
        <f>HLOOKUP("*"&amp;'Output annual'!$AC$2&amp;'Output annual'!$AD$2&amp;"*Zone People Number Of Occupants [](Hourly)",'Eplus results'!$1:$1048576,ROW(),FALSE)</f>
        <v>0</v>
      </c>
      <c r="AC4548" s="580">
        <f>HLOOKUP("*"&amp;'Output annual'!$AC$2&amp;'Output annual'!$AD$2&amp;"*FangerPMV(Hourly)",'Eplus results'!$1:$1048576,ROW(),FALSE)</f>
        <v>0</v>
      </c>
      <c r="AD4548" s="580">
        <f t="shared" si="391"/>
        <v>5</v>
      </c>
      <c r="AE4548" s="580">
        <f t="shared" si="392"/>
        <v>2.5</v>
      </c>
      <c r="AF4548" s="580">
        <f t="shared" si="393"/>
        <v>2.5</v>
      </c>
      <c r="AG4548" s="580">
        <f t="shared" si="394"/>
        <v>0</v>
      </c>
      <c r="AH4548" s="580">
        <f t="shared" si="395"/>
        <v>0</v>
      </c>
    </row>
    <row r="4549" spans="28:34">
      <c r="AB4549" s="580">
        <f>HLOOKUP("*"&amp;'Output annual'!$AC$2&amp;'Output annual'!$AD$2&amp;"*Zone People Number Of Occupants [](Hourly)",'Eplus results'!$1:$1048576,ROW(),FALSE)</f>
        <v>0</v>
      </c>
      <c r="AC4549" s="580">
        <f>HLOOKUP("*"&amp;'Output annual'!$AC$2&amp;'Output annual'!$AD$2&amp;"*FangerPMV(Hourly)",'Eplus results'!$1:$1048576,ROW(),FALSE)</f>
        <v>0</v>
      </c>
      <c r="AD4549" s="580">
        <f t="shared" si="391"/>
        <v>5</v>
      </c>
      <c r="AE4549" s="580">
        <f t="shared" si="392"/>
        <v>2.5</v>
      </c>
      <c r="AF4549" s="580">
        <f t="shared" si="393"/>
        <v>2.5</v>
      </c>
      <c r="AG4549" s="580">
        <f t="shared" si="394"/>
        <v>0</v>
      </c>
      <c r="AH4549" s="580">
        <f t="shared" si="395"/>
        <v>0</v>
      </c>
    </row>
    <row r="4550" spans="28:34">
      <c r="AB4550" s="580">
        <f>HLOOKUP("*"&amp;'Output annual'!$AC$2&amp;'Output annual'!$AD$2&amp;"*Zone People Number Of Occupants [](Hourly)",'Eplus results'!$1:$1048576,ROW(),FALSE)</f>
        <v>0</v>
      </c>
      <c r="AC4550" s="580">
        <f>HLOOKUP("*"&amp;'Output annual'!$AC$2&amp;'Output annual'!$AD$2&amp;"*FangerPMV(Hourly)",'Eplus results'!$1:$1048576,ROW(),FALSE)</f>
        <v>0</v>
      </c>
      <c r="AD4550" s="580">
        <f t="shared" si="391"/>
        <v>5</v>
      </c>
      <c r="AE4550" s="580">
        <f t="shared" si="392"/>
        <v>2.5</v>
      </c>
      <c r="AF4550" s="580">
        <f t="shared" si="393"/>
        <v>2.5</v>
      </c>
      <c r="AG4550" s="580">
        <f t="shared" si="394"/>
        <v>0</v>
      </c>
      <c r="AH4550" s="580">
        <f t="shared" si="395"/>
        <v>0</v>
      </c>
    </row>
    <row r="4551" spans="28:34">
      <c r="AB4551" s="580">
        <f>HLOOKUP("*"&amp;'Output annual'!$AC$2&amp;'Output annual'!$AD$2&amp;"*Zone People Number Of Occupants [](Hourly)",'Eplus results'!$1:$1048576,ROW(),FALSE)</f>
        <v>0</v>
      </c>
      <c r="AC4551" s="580">
        <f>HLOOKUP("*"&amp;'Output annual'!$AC$2&amp;'Output annual'!$AD$2&amp;"*FangerPMV(Hourly)",'Eplus results'!$1:$1048576,ROW(),FALSE)</f>
        <v>0</v>
      </c>
      <c r="AD4551" s="580">
        <f t="shared" si="391"/>
        <v>5</v>
      </c>
      <c r="AE4551" s="580">
        <f t="shared" si="392"/>
        <v>2.5</v>
      </c>
      <c r="AF4551" s="580">
        <f t="shared" si="393"/>
        <v>2.5</v>
      </c>
      <c r="AG4551" s="580">
        <f t="shared" si="394"/>
        <v>0</v>
      </c>
      <c r="AH4551" s="580">
        <f t="shared" si="395"/>
        <v>0</v>
      </c>
    </row>
    <row r="4552" spans="28:34">
      <c r="AB4552" s="580">
        <f>HLOOKUP("*"&amp;'Output annual'!$AC$2&amp;'Output annual'!$AD$2&amp;"*Zone People Number Of Occupants [](Hourly)",'Eplus results'!$1:$1048576,ROW(),FALSE)</f>
        <v>0</v>
      </c>
      <c r="AC4552" s="580">
        <f>HLOOKUP("*"&amp;'Output annual'!$AC$2&amp;'Output annual'!$AD$2&amp;"*FangerPMV(Hourly)",'Eplus results'!$1:$1048576,ROW(),FALSE)</f>
        <v>0</v>
      </c>
      <c r="AD4552" s="580">
        <f t="shared" si="391"/>
        <v>5</v>
      </c>
      <c r="AE4552" s="580">
        <f t="shared" si="392"/>
        <v>2.5</v>
      </c>
      <c r="AF4552" s="580">
        <f t="shared" si="393"/>
        <v>2.5</v>
      </c>
      <c r="AG4552" s="580">
        <f t="shared" si="394"/>
        <v>0</v>
      </c>
      <c r="AH4552" s="580">
        <f t="shared" si="395"/>
        <v>0</v>
      </c>
    </row>
    <row r="4553" spans="28:34">
      <c r="AB4553" s="580">
        <f>HLOOKUP("*"&amp;'Output annual'!$AC$2&amp;'Output annual'!$AD$2&amp;"*Zone People Number Of Occupants [](Hourly)",'Eplus results'!$1:$1048576,ROW(),FALSE)</f>
        <v>0</v>
      </c>
      <c r="AC4553" s="580">
        <f>HLOOKUP("*"&amp;'Output annual'!$AC$2&amp;'Output annual'!$AD$2&amp;"*FangerPMV(Hourly)",'Eplus results'!$1:$1048576,ROW(),FALSE)</f>
        <v>0</v>
      </c>
      <c r="AD4553" s="580">
        <f t="shared" si="391"/>
        <v>5</v>
      </c>
      <c r="AE4553" s="580">
        <f t="shared" si="392"/>
        <v>2.5</v>
      </c>
      <c r="AF4553" s="580">
        <f t="shared" si="393"/>
        <v>2.5</v>
      </c>
      <c r="AG4553" s="580">
        <f t="shared" si="394"/>
        <v>0</v>
      </c>
      <c r="AH4553" s="580">
        <f t="shared" si="395"/>
        <v>0</v>
      </c>
    </row>
    <row r="4554" spans="28:34">
      <c r="AB4554" s="580">
        <f>HLOOKUP("*"&amp;'Output annual'!$AC$2&amp;'Output annual'!$AD$2&amp;"*Zone People Number Of Occupants [](Hourly)",'Eplus results'!$1:$1048576,ROW(),FALSE)</f>
        <v>0</v>
      </c>
      <c r="AC4554" s="580">
        <f>HLOOKUP("*"&amp;'Output annual'!$AC$2&amp;'Output annual'!$AD$2&amp;"*FangerPMV(Hourly)",'Eplus results'!$1:$1048576,ROW(),FALSE)</f>
        <v>0</v>
      </c>
      <c r="AD4554" s="580">
        <f t="shared" si="391"/>
        <v>5</v>
      </c>
      <c r="AE4554" s="580">
        <f t="shared" si="392"/>
        <v>2.5</v>
      </c>
      <c r="AF4554" s="580">
        <f t="shared" si="393"/>
        <v>2.5</v>
      </c>
      <c r="AG4554" s="580">
        <f t="shared" si="394"/>
        <v>0</v>
      </c>
      <c r="AH4554" s="580">
        <f t="shared" si="395"/>
        <v>0</v>
      </c>
    </row>
    <row r="4555" spans="28:34">
      <c r="AB4555" s="580">
        <f>HLOOKUP("*"&amp;'Output annual'!$AC$2&amp;'Output annual'!$AD$2&amp;"*Zone People Number Of Occupants [](Hourly)",'Eplus results'!$1:$1048576,ROW(),FALSE)</f>
        <v>0</v>
      </c>
      <c r="AC4555" s="580">
        <f>HLOOKUP("*"&amp;'Output annual'!$AC$2&amp;'Output annual'!$AD$2&amp;"*FangerPMV(Hourly)",'Eplus results'!$1:$1048576,ROW(),FALSE)</f>
        <v>0</v>
      </c>
      <c r="AD4555" s="580">
        <f t="shared" si="391"/>
        <v>5</v>
      </c>
      <c r="AE4555" s="580">
        <f t="shared" si="392"/>
        <v>2.5</v>
      </c>
      <c r="AF4555" s="580">
        <f t="shared" si="393"/>
        <v>2.5</v>
      </c>
      <c r="AG4555" s="580">
        <f t="shared" si="394"/>
        <v>0</v>
      </c>
      <c r="AH4555" s="580">
        <f t="shared" si="395"/>
        <v>0</v>
      </c>
    </row>
    <row r="4556" spans="28:34">
      <c r="AB4556" s="580">
        <f>HLOOKUP("*"&amp;'Output annual'!$AC$2&amp;'Output annual'!$AD$2&amp;"*Zone People Number Of Occupants [](Hourly)",'Eplus results'!$1:$1048576,ROW(),FALSE)</f>
        <v>0</v>
      </c>
      <c r="AC4556" s="580">
        <f>HLOOKUP("*"&amp;'Output annual'!$AC$2&amp;'Output annual'!$AD$2&amp;"*FangerPMV(Hourly)",'Eplus results'!$1:$1048576,ROW(),FALSE)</f>
        <v>0</v>
      </c>
      <c r="AD4556" s="580">
        <f t="shared" si="391"/>
        <v>5</v>
      </c>
      <c r="AE4556" s="580">
        <f t="shared" si="392"/>
        <v>2.5</v>
      </c>
      <c r="AF4556" s="580">
        <f t="shared" si="393"/>
        <v>2.5</v>
      </c>
      <c r="AG4556" s="580">
        <f t="shared" si="394"/>
        <v>0</v>
      </c>
      <c r="AH4556" s="580">
        <f t="shared" si="395"/>
        <v>0</v>
      </c>
    </row>
    <row r="4557" spans="28:34">
      <c r="AB4557" s="580">
        <f>HLOOKUP("*"&amp;'Output annual'!$AC$2&amp;'Output annual'!$AD$2&amp;"*Zone People Number Of Occupants [](Hourly)",'Eplus results'!$1:$1048576,ROW(),FALSE)</f>
        <v>0</v>
      </c>
      <c r="AC4557" s="580">
        <f>HLOOKUP("*"&amp;'Output annual'!$AC$2&amp;'Output annual'!$AD$2&amp;"*FangerPMV(Hourly)",'Eplus results'!$1:$1048576,ROW(),FALSE)</f>
        <v>0</v>
      </c>
      <c r="AD4557" s="580">
        <f t="shared" si="391"/>
        <v>5</v>
      </c>
      <c r="AE4557" s="580">
        <f t="shared" si="392"/>
        <v>2.5</v>
      </c>
      <c r="AF4557" s="580">
        <f t="shared" si="393"/>
        <v>2.5</v>
      </c>
      <c r="AG4557" s="580">
        <f t="shared" si="394"/>
        <v>0</v>
      </c>
      <c r="AH4557" s="580">
        <f t="shared" si="395"/>
        <v>0</v>
      </c>
    </row>
    <row r="4558" spans="28:34">
      <c r="AB4558" s="580">
        <f>HLOOKUP("*"&amp;'Output annual'!$AC$2&amp;'Output annual'!$AD$2&amp;"*Zone People Number Of Occupants [](Hourly)",'Eplus results'!$1:$1048576,ROW(),FALSE)</f>
        <v>0</v>
      </c>
      <c r="AC4558" s="580">
        <f>HLOOKUP("*"&amp;'Output annual'!$AC$2&amp;'Output annual'!$AD$2&amp;"*FangerPMV(Hourly)",'Eplus results'!$1:$1048576,ROW(),FALSE)</f>
        <v>0</v>
      </c>
      <c r="AD4558" s="580">
        <f t="shared" si="391"/>
        <v>5</v>
      </c>
      <c r="AE4558" s="580">
        <f t="shared" si="392"/>
        <v>2.5</v>
      </c>
      <c r="AF4558" s="580">
        <f t="shared" si="393"/>
        <v>2.5</v>
      </c>
      <c r="AG4558" s="580">
        <f t="shared" si="394"/>
        <v>0</v>
      </c>
      <c r="AH4558" s="580">
        <f t="shared" si="395"/>
        <v>0</v>
      </c>
    </row>
    <row r="4559" spans="28:34">
      <c r="AB4559" s="580">
        <f>HLOOKUP("*"&amp;'Output annual'!$AC$2&amp;'Output annual'!$AD$2&amp;"*Zone People Number Of Occupants [](Hourly)",'Eplus results'!$1:$1048576,ROW(),FALSE)</f>
        <v>0</v>
      </c>
      <c r="AC4559" s="580">
        <f>HLOOKUP("*"&amp;'Output annual'!$AC$2&amp;'Output annual'!$AD$2&amp;"*FangerPMV(Hourly)",'Eplus results'!$1:$1048576,ROW(),FALSE)</f>
        <v>0</v>
      </c>
      <c r="AD4559" s="580">
        <f t="shared" si="391"/>
        <v>5</v>
      </c>
      <c r="AE4559" s="580">
        <f t="shared" si="392"/>
        <v>2.5</v>
      </c>
      <c r="AF4559" s="580">
        <f t="shared" si="393"/>
        <v>2.5</v>
      </c>
      <c r="AG4559" s="580">
        <f t="shared" si="394"/>
        <v>0</v>
      </c>
      <c r="AH4559" s="580">
        <f t="shared" si="395"/>
        <v>0</v>
      </c>
    </row>
    <row r="4560" spans="28:34">
      <c r="AB4560" s="580">
        <f>HLOOKUP("*"&amp;'Output annual'!$AC$2&amp;'Output annual'!$AD$2&amp;"*Zone People Number Of Occupants [](Hourly)",'Eplus results'!$1:$1048576,ROW(),FALSE)</f>
        <v>0</v>
      </c>
      <c r="AC4560" s="580">
        <f>HLOOKUP("*"&amp;'Output annual'!$AC$2&amp;'Output annual'!$AD$2&amp;"*FangerPMV(Hourly)",'Eplus results'!$1:$1048576,ROW(),FALSE)</f>
        <v>0</v>
      </c>
      <c r="AD4560" s="580">
        <f t="shared" si="391"/>
        <v>5</v>
      </c>
      <c r="AE4560" s="580">
        <f t="shared" si="392"/>
        <v>2.5</v>
      </c>
      <c r="AF4560" s="580">
        <f t="shared" si="393"/>
        <v>2.5</v>
      </c>
      <c r="AG4560" s="580">
        <f t="shared" si="394"/>
        <v>0</v>
      </c>
      <c r="AH4560" s="580">
        <f t="shared" si="395"/>
        <v>0</v>
      </c>
    </row>
    <row r="4561" spans="28:34">
      <c r="AB4561" s="580">
        <f>HLOOKUP("*"&amp;'Output annual'!$AC$2&amp;'Output annual'!$AD$2&amp;"*Zone People Number Of Occupants [](Hourly)",'Eplus results'!$1:$1048576,ROW(),FALSE)</f>
        <v>0</v>
      </c>
      <c r="AC4561" s="580">
        <f>HLOOKUP("*"&amp;'Output annual'!$AC$2&amp;'Output annual'!$AD$2&amp;"*FangerPMV(Hourly)",'Eplus results'!$1:$1048576,ROW(),FALSE)</f>
        <v>0</v>
      </c>
      <c r="AD4561" s="580">
        <f t="shared" si="391"/>
        <v>5</v>
      </c>
      <c r="AE4561" s="580">
        <f t="shared" si="392"/>
        <v>2.5</v>
      </c>
      <c r="AF4561" s="580">
        <f t="shared" si="393"/>
        <v>2.5</v>
      </c>
      <c r="AG4561" s="580">
        <f t="shared" si="394"/>
        <v>0</v>
      </c>
      <c r="AH4561" s="580">
        <f t="shared" si="395"/>
        <v>0</v>
      </c>
    </row>
    <row r="4562" spans="28:34">
      <c r="AB4562" s="580">
        <f>HLOOKUP("*"&amp;'Output annual'!$AC$2&amp;'Output annual'!$AD$2&amp;"*Zone People Number Of Occupants [](Hourly)",'Eplus results'!$1:$1048576,ROW(),FALSE)</f>
        <v>0</v>
      </c>
      <c r="AC4562" s="580">
        <f>HLOOKUP("*"&amp;'Output annual'!$AC$2&amp;'Output annual'!$AD$2&amp;"*FangerPMV(Hourly)",'Eplus results'!$1:$1048576,ROW(),FALSE)</f>
        <v>0</v>
      </c>
      <c r="AD4562" s="580">
        <f t="shared" si="391"/>
        <v>5</v>
      </c>
      <c r="AE4562" s="580">
        <f t="shared" si="392"/>
        <v>2.5</v>
      </c>
      <c r="AF4562" s="580">
        <f t="shared" si="393"/>
        <v>2.5</v>
      </c>
      <c r="AG4562" s="580">
        <f t="shared" si="394"/>
        <v>0</v>
      </c>
      <c r="AH4562" s="580">
        <f t="shared" si="395"/>
        <v>0</v>
      </c>
    </row>
    <row r="4563" spans="28:34">
      <c r="AB4563" s="580">
        <f>HLOOKUP("*"&amp;'Output annual'!$AC$2&amp;'Output annual'!$AD$2&amp;"*Zone People Number Of Occupants [](Hourly)",'Eplus results'!$1:$1048576,ROW(),FALSE)</f>
        <v>0</v>
      </c>
      <c r="AC4563" s="580">
        <f>HLOOKUP("*"&amp;'Output annual'!$AC$2&amp;'Output annual'!$AD$2&amp;"*FangerPMV(Hourly)",'Eplus results'!$1:$1048576,ROW(),FALSE)</f>
        <v>0</v>
      </c>
      <c r="AD4563" s="580">
        <f t="shared" si="391"/>
        <v>5</v>
      </c>
      <c r="AE4563" s="580">
        <f t="shared" si="392"/>
        <v>2.5</v>
      </c>
      <c r="AF4563" s="580">
        <f t="shared" si="393"/>
        <v>2.5</v>
      </c>
      <c r="AG4563" s="580">
        <f t="shared" si="394"/>
        <v>0</v>
      </c>
      <c r="AH4563" s="580">
        <f t="shared" si="395"/>
        <v>0</v>
      </c>
    </row>
    <row r="4564" spans="28:34">
      <c r="AB4564" s="580">
        <f>HLOOKUP("*"&amp;'Output annual'!$AC$2&amp;'Output annual'!$AD$2&amp;"*Zone People Number Of Occupants [](Hourly)",'Eplus results'!$1:$1048576,ROW(),FALSE)</f>
        <v>0</v>
      </c>
      <c r="AC4564" s="580">
        <f>HLOOKUP("*"&amp;'Output annual'!$AC$2&amp;'Output annual'!$AD$2&amp;"*FangerPMV(Hourly)",'Eplus results'!$1:$1048576,ROW(),FALSE)</f>
        <v>0</v>
      </c>
      <c r="AD4564" s="580">
        <f t="shared" si="391"/>
        <v>5</v>
      </c>
      <c r="AE4564" s="580">
        <f t="shared" si="392"/>
        <v>2.5</v>
      </c>
      <c r="AF4564" s="580">
        <f t="shared" si="393"/>
        <v>2.5</v>
      </c>
      <c r="AG4564" s="580">
        <f t="shared" si="394"/>
        <v>0</v>
      </c>
      <c r="AH4564" s="580">
        <f t="shared" si="395"/>
        <v>0</v>
      </c>
    </row>
    <row r="4565" spans="28:34">
      <c r="AB4565" s="580">
        <f>HLOOKUP("*"&amp;'Output annual'!$AC$2&amp;'Output annual'!$AD$2&amp;"*Zone People Number Of Occupants [](Hourly)",'Eplus results'!$1:$1048576,ROW(),FALSE)</f>
        <v>0</v>
      </c>
      <c r="AC4565" s="580">
        <f>HLOOKUP("*"&amp;'Output annual'!$AC$2&amp;'Output annual'!$AD$2&amp;"*FangerPMV(Hourly)",'Eplus results'!$1:$1048576,ROW(),FALSE)</f>
        <v>0</v>
      </c>
      <c r="AD4565" s="580">
        <f t="shared" si="391"/>
        <v>5</v>
      </c>
      <c r="AE4565" s="580">
        <f t="shared" si="392"/>
        <v>2.5</v>
      </c>
      <c r="AF4565" s="580">
        <f t="shared" si="393"/>
        <v>2.5</v>
      </c>
      <c r="AG4565" s="580">
        <f t="shared" si="394"/>
        <v>0</v>
      </c>
      <c r="AH4565" s="580">
        <f t="shared" si="395"/>
        <v>0</v>
      </c>
    </row>
    <row r="4566" spans="28:34">
      <c r="AB4566" s="580">
        <f>HLOOKUP("*"&amp;'Output annual'!$AC$2&amp;'Output annual'!$AD$2&amp;"*Zone People Number Of Occupants [](Hourly)",'Eplus results'!$1:$1048576,ROW(),FALSE)</f>
        <v>0</v>
      </c>
      <c r="AC4566" s="580">
        <f>HLOOKUP("*"&amp;'Output annual'!$AC$2&amp;'Output annual'!$AD$2&amp;"*FangerPMV(Hourly)",'Eplus results'!$1:$1048576,ROW(),FALSE)</f>
        <v>0</v>
      </c>
      <c r="AD4566" s="580">
        <f t="shared" si="391"/>
        <v>5</v>
      </c>
      <c r="AE4566" s="580">
        <f t="shared" si="392"/>
        <v>2.5</v>
      </c>
      <c r="AF4566" s="580">
        <f t="shared" si="393"/>
        <v>2.5</v>
      </c>
      <c r="AG4566" s="580">
        <f t="shared" si="394"/>
        <v>0</v>
      </c>
      <c r="AH4566" s="580">
        <f t="shared" si="395"/>
        <v>0</v>
      </c>
    </row>
    <row r="4567" spans="28:34">
      <c r="AB4567" s="580">
        <f>HLOOKUP("*"&amp;'Output annual'!$AC$2&amp;'Output annual'!$AD$2&amp;"*Zone People Number Of Occupants [](Hourly)",'Eplus results'!$1:$1048576,ROW(),FALSE)</f>
        <v>0</v>
      </c>
      <c r="AC4567" s="580">
        <f>HLOOKUP("*"&amp;'Output annual'!$AC$2&amp;'Output annual'!$AD$2&amp;"*FangerPMV(Hourly)",'Eplus results'!$1:$1048576,ROW(),FALSE)</f>
        <v>0</v>
      </c>
      <c r="AD4567" s="580">
        <f t="shared" si="391"/>
        <v>5</v>
      </c>
      <c r="AE4567" s="580">
        <f t="shared" si="392"/>
        <v>2.5</v>
      </c>
      <c r="AF4567" s="580">
        <f t="shared" si="393"/>
        <v>2.5</v>
      </c>
      <c r="AG4567" s="580">
        <f t="shared" si="394"/>
        <v>0</v>
      </c>
      <c r="AH4567" s="580">
        <f t="shared" si="395"/>
        <v>0</v>
      </c>
    </row>
    <row r="4568" spans="28:34">
      <c r="AB4568" s="580">
        <f>HLOOKUP("*"&amp;'Output annual'!$AC$2&amp;'Output annual'!$AD$2&amp;"*Zone People Number Of Occupants [](Hourly)",'Eplus results'!$1:$1048576,ROW(),FALSE)</f>
        <v>0</v>
      </c>
      <c r="AC4568" s="580">
        <f>HLOOKUP("*"&amp;'Output annual'!$AC$2&amp;'Output annual'!$AD$2&amp;"*FangerPMV(Hourly)",'Eplus results'!$1:$1048576,ROW(),FALSE)</f>
        <v>0</v>
      </c>
      <c r="AD4568" s="580">
        <f t="shared" si="391"/>
        <v>5</v>
      </c>
      <c r="AE4568" s="580">
        <f t="shared" si="392"/>
        <v>2.5</v>
      </c>
      <c r="AF4568" s="580">
        <f t="shared" si="393"/>
        <v>2.5</v>
      </c>
      <c r="AG4568" s="580">
        <f t="shared" si="394"/>
        <v>0</v>
      </c>
      <c r="AH4568" s="580">
        <f t="shared" si="395"/>
        <v>0</v>
      </c>
    </row>
    <row r="4569" spans="28:34">
      <c r="AB4569" s="580">
        <f>HLOOKUP("*"&amp;'Output annual'!$AC$2&amp;'Output annual'!$AD$2&amp;"*Zone People Number Of Occupants [](Hourly)",'Eplus results'!$1:$1048576,ROW(),FALSE)</f>
        <v>0</v>
      </c>
      <c r="AC4569" s="580">
        <f>HLOOKUP("*"&amp;'Output annual'!$AC$2&amp;'Output annual'!$AD$2&amp;"*FangerPMV(Hourly)",'Eplus results'!$1:$1048576,ROW(),FALSE)</f>
        <v>0</v>
      </c>
      <c r="AD4569" s="580">
        <f t="shared" si="391"/>
        <v>5</v>
      </c>
      <c r="AE4569" s="580">
        <f t="shared" si="392"/>
        <v>2.5</v>
      </c>
      <c r="AF4569" s="580">
        <f t="shared" si="393"/>
        <v>2.5</v>
      </c>
      <c r="AG4569" s="580">
        <f t="shared" si="394"/>
        <v>0</v>
      </c>
      <c r="AH4569" s="580">
        <f t="shared" si="395"/>
        <v>0</v>
      </c>
    </row>
    <row r="4570" spans="28:34">
      <c r="AB4570" s="580">
        <f>HLOOKUP("*"&amp;'Output annual'!$AC$2&amp;'Output annual'!$AD$2&amp;"*Zone People Number Of Occupants [](Hourly)",'Eplus results'!$1:$1048576,ROW(),FALSE)</f>
        <v>0</v>
      </c>
      <c r="AC4570" s="580">
        <f>HLOOKUP("*"&amp;'Output annual'!$AC$2&amp;'Output annual'!$AD$2&amp;"*FangerPMV(Hourly)",'Eplus results'!$1:$1048576,ROW(),FALSE)</f>
        <v>0</v>
      </c>
      <c r="AD4570" s="580">
        <f t="shared" si="391"/>
        <v>5</v>
      </c>
      <c r="AE4570" s="580">
        <f t="shared" si="392"/>
        <v>2.5</v>
      </c>
      <c r="AF4570" s="580">
        <f t="shared" si="393"/>
        <v>2.5</v>
      </c>
      <c r="AG4570" s="580">
        <f t="shared" si="394"/>
        <v>0</v>
      </c>
      <c r="AH4570" s="580">
        <f t="shared" si="395"/>
        <v>0</v>
      </c>
    </row>
    <row r="4571" spans="28:34">
      <c r="AB4571" s="580">
        <f>HLOOKUP("*"&amp;'Output annual'!$AC$2&amp;'Output annual'!$AD$2&amp;"*Zone People Number Of Occupants [](Hourly)",'Eplus results'!$1:$1048576,ROW(),FALSE)</f>
        <v>0</v>
      </c>
      <c r="AC4571" s="580">
        <f>HLOOKUP("*"&amp;'Output annual'!$AC$2&amp;'Output annual'!$AD$2&amp;"*FangerPMV(Hourly)",'Eplus results'!$1:$1048576,ROW(),FALSE)</f>
        <v>0</v>
      </c>
      <c r="AD4571" s="580">
        <f t="shared" si="391"/>
        <v>5</v>
      </c>
      <c r="AE4571" s="580">
        <f t="shared" si="392"/>
        <v>2.5</v>
      </c>
      <c r="AF4571" s="580">
        <f t="shared" si="393"/>
        <v>2.5</v>
      </c>
      <c r="AG4571" s="580">
        <f t="shared" si="394"/>
        <v>0</v>
      </c>
      <c r="AH4571" s="580">
        <f t="shared" si="395"/>
        <v>0</v>
      </c>
    </row>
    <row r="4572" spans="28:34">
      <c r="AB4572" s="580">
        <f>HLOOKUP("*"&amp;'Output annual'!$AC$2&amp;'Output annual'!$AD$2&amp;"*Zone People Number Of Occupants [](Hourly)",'Eplus results'!$1:$1048576,ROW(),FALSE)</f>
        <v>0</v>
      </c>
      <c r="AC4572" s="580">
        <f>HLOOKUP("*"&amp;'Output annual'!$AC$2&amp;'Output annual'!$AD$2&amp;"*FangerPMV(Hourly)",'Eplus results'!$1:$1048576,ROW(),FALSE)</f>
        <v>0</v>
      </c>
      <c r="AD4572" s="580">
        <f t="shared" si="391"/>
        <v>5</v>
      </c>
      <c r="AE4572" s="580">
        <f t="shared" si="392"/>
        <v>2.5</v>
      </c>
      <c r="AF4572" s="580">
        <f t="shared" si="393"/>
        <v>2.5</v>
      </c>
      <c r="AG4572" s="580">
        <f t="shared" si="394"/>
        <v>0</v>
      </c>
      <c r="AH4572" s="580">
        <f t="shared" si="395"/>
        <v>0</v>
      </c>
    </row>
    <row r="4573" spans="28:34">
      <c r="AB4573" s="580">
        <f>HLOOKUP("*"&amp;'Output annual'!$AC$2&amp;'Output annual'!$AD$2&amp;"*Zone People Number Of Occupants [](Hourly)",'Eplus results'!$1:$1048576,ROW(),FALSE)</f>
        <v>0</v>
      </c>
      <c r="AC4573" s="580">
        <f>HLOOKUP("*"&amp;'Output annual'!$AC$2&amp;'Output annual'!$AD$2&amp;"*FangerPMV(Hourly)",'Eplus results'!$1:$1048576,ROW(),FALSE)</f>
        <v>0</v>
      </c>
      <c r="AD4573" s="580">
        <f t="shared" si="391"/>
        <v>5</v>
      </c>
      <c r="AE4573" s="580">
        <f t="shared" si="392"/>
        <v>2.5</v>
      </c>
      <c r="AF4573" s="580">
        <f t="shared" si="393"/>
        <v>2.5</v>
      </c>
      <c r="AG4573" s="580">
        <f t="shared" si="394"/>
        <v>0</v>
      </c>
      <c r="AH4573" s="580">
        <f t="shared" si="395"/>
        <v>0</v>
      </c>
    </row>
    <row r="4574" spans="28:34">
      <c r="AB4574" s="580">
        <f>HLOOKUP("*"&amp;'Output annual'!$AC$2&amp;'Output annual'!$AD$2&amp;"*Zone People Number Of Occupants [](Hourly)",'Eplus results'!$1:$1048576,ROW(),FALSE)</f>
        <v>0</v>
      </c>
      <c r="AC4574" s="580">
        <f>HLOOKUP("*"&amp;'Output annual'!$AC$2&amp;'Output annual'!$AD$2&amp;"*FangerPMV(Hourly)",'Eplus results'!$1:$1048576,ROW(),FALSE)</f>
        <v>0</v>
      </c>
      <c r="AD4574" s="580">
        <f t="shared" si="391"/>
        <v>5</v>
      </c>
      <c r="AE4574" s="580">
        <f t="shared" si="392"/>
        <v>2.5</v>
      </c>
      <c r="AF4574" s="580">
        <f t="shared" si="393"/>
        <v>2.5</v>
      </c>
      <c r="AG4574" s="580">
        <f t="shared" si="394"/>
        <v>0</v>
      </c>
      <c r="AH4574" s="580">
        <f t="shared" si="395"/>
        <v>0</v>
      </c>
    </row>
    <row r="4575" spans="28:34">
      <c r="AB4575" s="580">
        <f>HLOOKUP("*"&amp;'Output annual'!$AC$2&amp;'Output annual'!$AD$2&amp;"*Zone People Number Of Occupants [](Hourly)",'Eplus results'!$1:$1048576,ROW(),FALSE)</f>
        <v>0</v>
      </c>
      <c r="AC4575" s="580">
        <f>HLOOKUP("*"&amp;'Output annual'!$AC$2&amp;'Output annual'!$AD$2&amp;"*FangerPMV(Hourly)",'Eplus results'!$1:$1048576,ROW(),FALSE)</f>
        <v>0</v>
      </c>
      <c r="AD4575" s="580">
        <f t="shared" si="391"/>
        <v>5</v>
      </c>
      <c r="AE4575" s="580">
        <f t="shared" si="392"/>
        <v>2.5</v>
      </c>
      <c r="AF4575" s="580">
        <f t="shared" si="393"/>
        <v>2.5</v>
      </c>
      <c r="AG4575" s="580">
        <f t="shared" si="394"/>
        <v>0</v>
      </c>
      <c r="AH4575" s="580">
        <f t="shared" si="395"/>
        <v>0</v>
      </c>
    </row>
    <row r="4576" spans="28:34">
      <c r="AB4576" s="580">
        <f>HLOOKUP("*"&amp;'Output annual'!$AC$2&amp;'Output annual'!$AD$2&amp;"*Zone People Number Of Occupants [](Hourly)",'Eplus results'!$1:$1048576,ROW(),FALSE)</f>
        <v>0</v>
      </c>
      <c r="AC4576" s="580">
        <f>HLOOKUP("*"&amp;'Output annual'!$AC$2&amp;'Output annual'!$AD$2&amp;"*FangerPMV(Hourly)",'Eplus results'!$1:$1048576,ROW(),FALSE)</f>
        <v>0</v>
      </c>
      <c r="AD4576" s="580">
        <f t="shared" si="391"/>
        <v>5</v>
      </c>
      <c r="AE4576" s="580">
        <f t="shared" si="392"/>
        <v>2.5</v>
      </c>
      <c r="AF4576" s="580">
        <f t="shared" si="393"/>
        <v>2.5</v>
      </c>
      <c r="AG4576" s="580">
        <f t="shared" si="394"/>
        <v>0</v>
      </c>
      <c r="AH4576" s="580">
        <f t="shared" si="395"/>
        <v>0</v>
      </c>
    </row>
    <row r="4577" spans="28:34">
      <c r="AB4577" s="580">
        <f>HLOOKUP("*"&amp;'Output annual'!$AC$2&amp;'Output annual'!$AD$2&amp;"*Zone People Number Of Occupants [](Hourly)",'Eplus results'!$1:$1048576,ROW(),FALSE)</f>
        <v>0</v>
      </c>
      <c r="AC4577" s="580">
        <f>HLOOKUP("*"&amp;'Output annual'!$AC$2&amp;'Output annual'!$AD$2&amp;"*FangerPMV(Hourly)",'Eplus results'!$1:$1048576,ROW(),FALSE)</f>
        <v>0</v>
      </c>
      <c r="AD4577" s="580">
        <f t="shared" si="391"/>
        <v>5</v>
      </c>
      <c r="AE4577" s="580">
        <f t="shared" si="392"/>
        <v>2.5</v>
      </c>
      <c r="AF4577" s="580">
        <f t="shared" si="393"/>
        <v>2.5</v>
      </c>
      <c r="AG4577" s="580">
        <f t="shared" si="394"/>
        <v>0</v>
      </c>
      <c r="AH4577" s="580">
        <f t="shared" si="395"/>
        <v>0</v>
      </c>
    </row>
    <row r="4578" spans="28:34">
      <c r="AB4578" s="580">
        <f>HLOOKUP("*"&amp;'Output annual'!$AC$2&amp;'Output annual'!$AD$2&amp;"*Zone People Number Of Occupants [](Hourly)",'Eplus results'!$1:$1048576,ROW(),FALSE)</f>
        <v>0</v>
      </c>
      <c r="AC4578" s="580">
        <f>HLOOKUP("*"&amp;'Output annual'!$AC$2&amp;'Output annual'!$AD$2&amp;"*FangerPMV(Hourly)",'Eplus results'!$1:$1048576,ROW(),FALSE)</f>
        <v>0</v>
      </c>
      <c r="AD4578" s="580">
        <f t="shared" si="391"/>
        <v>5</v>
      </c>
      <c r="AE4578" s="580">
        <f t="shared" si="392"/>
        <v>2.5</v>
      </c>
      <c r="AF4578" s="580">
        <f t="shared" si="393"/>
        <v>2.5</v>
      </c>
      <c r="AG4578" s="580">
        <f t="shared" si="394"/>
        <v>0</v>
      </c>
      <c r="AH4578" s="580">
        <f t="shared" si="395"/>
        <v>0</v>
      </c>
    </row>
    <row r="4579" spans="28:34">
      <c r="AB4579" s="580">
        <f>HLOOKUP("*"&amp;'Output annual'!$AC$2&amp;'Output annual'!$AD$2&amp;"*Zone People Number Of Occupants [](Hourly)",'Eplus results'!$1:$1048576,ROW(),FALSE)</f>
        <v>0</v>
      </c>
      <c r="AC4579" s="580">
        <f>HLOOKUP("*"&amp;'Output annual'!$AC$2&amp;'Output annual'!$AD$2&amp;"*FangerPMV(Hourly)",'Eplus results'!$1:$1048576,ROW(),FALSE)</f>
        <v>0</v>
      </c>
      <c r="AD4579" s="580">
        <f t="shared" si="391"/>
        <v>5</v>
      </c>
      <c r="AE4579" s="580">
        <f t="shared" si="392"/>
        <v>2.5</v>
      </c>
      <c r="AF4579" s="580">
        <f t="shared" si="393"/>
        <v>2.5</v>
      </c>
      <c r="AG4579" s="580">
        <f t="shared" si="394"/>
        <v>0</v>
      </c>
      <c r="AH4579" s="580">
        <f t="shared" si="395"/>
        <v>0</v>
      </c>
    </row>
    <row r="4580" spans="28:34">
      <c r="AB4580" s="580">
        <f>HLOOKUP("*"&amp;'Output annual'!$AC$2&amp;'Output annual'!$AD$2&amp;"*Zone People Number Of Occupants [](Hourly)",'Eplus results'!$1:$1048576,ROW(),FALSE)</f>
        <v>0</v>
      </c>
      <c r="AC4580" s="580">
        <f>HLOOKUP("*"&amp;'Output annual'!$AC$2&amp;'Output annual'!$AD$2&amp;"*FangerPMV(Hourly)",'Eplus results'!$1:$1048576,ROW(),FALSE)</f>
        <v>0</v>
      </c>
      <c r="AD4580" s="580">
        <f t="shared" si="391"/>
        <v>5</v>
      </c>
      <c r="AE4580" s="580">
        <f t="shared" si="392"/>
        <v>2.5</v>
      </c>
      <c r="AF4580" s="580">
        <f t="shared" si="393"/>
        <v>2.5</v>
      </c>
      <c r="AG4580" s="580">
        <f t="shared" si="394"/>
        <v>0</v>
      </c>
      <c r="AH4580" s="580">
        <f t="shared" si="395"/>
        <v>0</v>
      </c>
    </row>
    <row r="4581" spans="28:34">
      <c r="AB4581" s="580">
        <f>HLOOKUP("*"&amp;'Output annual'!$AC$2&amp;'Output annual'!$AD$2&amp;"*Zone People Number Of Occupants [](Hourly)",'Eplus results'!$1:$1048576,ROW(),FALSE)</f>
        <v>0</v>
      </c>
      <c r="AC4581" s="580">
        <f>HLOOKUP("*"&amp;'Output annual'!$AC$2&amp;'Output annual'!$AD$2&amp;"*FangerPMV(Hourly)",'Eplus results'!$1:$1048576,ROW(),FALSE)</f>
        <v>0</v>
      </c>
      <c r="AD4581" s="580">
        <f t="shared" si="391"/>
        <v>5</v>
      </c>
      <c r="AE4581" s="580">
        <f t="shared" si="392"/>
        <v>2.5</v>
      </c>
      <c r="AF4581" s="580">
        <f t="shared" si="393"/>
        <v>2.5</v>
      </c>
      <c r="AG4581" s="580">
        <f t="shared" si="394"/>
        <v>0</v>
      </c>
      <c r="AH4581" s="580">
        <f t="shared" si="395"/>
        <v>0</v>
      </c>
    </row>
    <row r="4582" spans="28:34">
      <c r="AB4582" s="580">
        <f>HLOOKUP("*"&amp;'Output annual'!$AC$2&amp;'Output annual'!$AD$2&amp;"*Zone People Number Of Occupants [](Hourly)",'Eplus results'!$1:$1048576,ROW(),FALSE)</f>
        <v>0</v>
      </c>
      <c r="AC4582" s="580">
        <f>HLOOKUP("*"&amp;'Output annual'!$AC$2&amp;'Output annual'!$AD$2&amp;"*FangerPMV(Hourly)",'Eplus results'!$1:$1048576,ROW(),FALSE)</f>
        <v>0</v>
      </c>
      <c r="AD4582" s="580">
        <f t="shared" si="391"/>
        <v>5</v>
      </c>
      <c r="AE4582" s="580">
        <f t="shared" si="392"/>
        <v>2.5</v>
      </c>
      <c r="AF4582" s="580">
        <f t="shared" si="393"/>
        <v>2.5</v>
      </c>
      <c r="AG4582" s="580">
        <f t="shared" si="394"/>
        <v>0</v>
      </c>
      <c r="AH4582" s="580">
        <f t="shared" si="395"/>
        <v>0</v>
      </c>
    </row>
    <row r="4583" spans="28:34">
      <c r="AB4583" s="580">
        <f>HLOOKUP("*"&amp;'Output annual'!$AC$2&amp;'Output annual'!$AD$2&amp;"*Zone People Number Of Occupants [](Hourly)",'Eplus results'!$1:$1048576,ROW(),FALSE)</f>
        <v>0</v>
      </c>
      <c r="AC4583" s="580">
        <f>HLOOKUP("*"&amp;'Output annual'!$AC$2&amp;'Output annual'!$AD$2&amp;"*FangerPMV(Hourly)",'Eplus results'!$1:$1048576,ROW(),FALSE)</f>
        <v>0</v>
      </c>
      <c r="AD4583" s="580">
        <f t="shared" si="391"/>
        <v>5</v>
      </c>
      <c r="AE4583" s="580">
        <f t="shared" si="392"/>
        <v>2.5</v>
      </c>
      <c r="AF4583" s="580">
        <f t="shared" si="393"/>
        <v>2.5</v>
      </c>
      <c r="AG4583" s="580">
        <f t="shared" si="394"/>
        <v>0</v>
      </c>
      <c r="AH4583" s="580">
        <f t="shared" si="395"/>
        <v>0</v>
      </c>
    </row>
    <row r="4584" spans="28:34">
      <c r="AB4584" s="580">
        <f>HLOOKUP("*"&amp;'Output annual'!$AC$2&amp;'Output annual'!$AD$2&amp;"*Zone People Number Of Occupants [](Hourly)",'Eplus results'!$1:$1048576,ROW(),FALSE)</f>
        <v>0</v>
      </c>
      <c r="AC4584" s="580">
        <f>HLOOKUP("*"&amp;'Output annual'!$AC$2&amp;'Output annual'!$AD$2&amp;"*FangerPMV(Hourly)",'Eplus results'!$1:$1048576,ROW(),FALSE)</f>
        <v>0</v>
      </c>
      <c r="AD4584" s="580">
        <f t="shared" si="391"/>
        <v>5</v>
      </c>
      <c r="AE4584" s="580">
        <f t="shared" si="392"/>
        <v>2.5</v>
      </c>
      <c r="AF4584" s="580">
        <f t="shared" si="393"/>
        <v>2.5</v>
      </c>
      <c r="AG4584" s="580">
        <f t="shared" si="394"/>
        <v>0</v>
      </c>
      <c r="AH4584" s="580">
        <f t="shared" si="395"/>
        <v>0</v>
      </c>
    </row>
    <row r="4585" spans="28:34">
      <c r="AB4585" s="580">
        <f>HLOOKUP("*"&amp;'Output annual'!$AC$2&amp;'Output annual'!$AD$2&amp;"*Zone People Number Of Occupants [](Hourly)",'Eplus results'!$1:$1048576,ROW(),FALSE)</f>
        <v>0</v>
      </c>
      <c r="AC4585" s="580">
        <f>HLOOKUP("*"&amp;'Output annual'!$AC$2&amp;'Output annual'!$AD$2&amp;"*FangerPMV(Hourly)",'Eplus results'!$1:$1048576,ROW(),FALSE)</f>
        <v>0</v>
      </c>
      <c r="AD4585" s="580">
        <f t="shared" si="391"/>
        <v>5</v>
      </c>
      <c r="AE4585" s="580">
        <f t="shared" si="392"/>
        <v>2.5</v>
      </c>
      <c r="AF4585" s="580">
        <f t="shared" si="393"/>
        <v>2.5</v>
      </c>
      <c r="AG4585" s="580">
        <f t="shared" si="394"/>
        <v>0</v>
      </c>
      <c r="AH4585" s="580">
        <f t="shared" si="395"/>
        <v>0</v>
      </c>
    </row>
    <row r="4586" spans="28:34">
      <c r="AB4586" s="580">
        <f>HLOOKUP("*"&amp;'Output annual'!$AC$2&amp;'Output annual'!$AD$2&amp;"*Zone People Number Of Occupants [](Hourly)",'Eplus results'!$1:$1048576,ROW(),FALSE)</f>
        <v>0</v>
      </c>
      <c r="AC4586" s="580">
        <f>HLOOKUP("*"&amp;'Output annual'!$AC$2&amp;'Output annual'!$AD$2&amp;"*FangerPMV(Hourly)",'Eplus results'!$1:$1048576,ROW(),FALSE)</f>
        <v>0</v>
      </c>
      <c r="AD4586" s="580">
        <f t="shared" si="391"/>
        <v>5</v>
      </c>
      <c r="AE4586" s="580">
        <f t="shared" si="392"/>
        <v>2.5</v>
      </c>
      <c r="AF4586" s="580">
        <f t="shared" si="393"/>
        <v>2.5</v>
      </c>
      <c r="AG4586" s="580">
        <f t="shared" si="394"/>
        <v>0</v>
      </c>
      <c r="AH4586" s="580">
        <f t="shared" si="395"/>
        <v>0</v>
      </c>
    </row>
    <row r="4587" spans="28:34">
      <c r="AB4587" s="580">
        <f>HLOOKUP("*"&amp;'Output annual'!$AC$2&amp;'Output annual'!$AD$2&amp;"*Zone People Number Of Occupants [](Hourly)",'Eplus results'!$1:$1048576,ROW(),FALSE)</f>
        <v>0</v>
      </c>
      <c r="AC4587" s="580">
        <f>HLOOKUP("*"&amp;'Output annual'!$AC$2&amp;'Output annual'!$AD$2&amp;"*FangerPMV(Hourly)",'Eplus results'!$1:$1048576,ROW(),FALSE)</f>
        <v>0</v>
      </c>
      <c r="AD4587" s="580">
        <f t="shared" si="391"/>
        <v>5</v>
      </c>
      <c r="AE4587" s="580">
        <f t="shared" si="392"/>
        <v>2.5</v>
      </c>
      <c r="AF4587" s="580">
        <f t="shared" si="393"/>
        <v>2.5</v>
      </c>
      <c r="AG4587" s="580">
        <f t="shared" si="394"/>
        <v>0</v>
      </c>
      <c r="AH4587" s="580">
        <f t="shared" si="395"/>
        <v>0</v>
      </c>
    </row>
    <row r="4588" spans="28:34">
      <c r="AB4588" s="580">
        <f>HLOOKUP("*"&amp;'Output annual'!$AC$2&amp;'Output annual'!$AD$2&amp;"*Zone People Number Of Occupants [](Hourly)",'Eplus results'!$1:$1048576,ROW(),FALSE)</f>
        <v>0</v>
      </c>
      <c r="AC4588" s="580">
        <f>HLOOKUP("*"&amp;'Output annual'!$AC$2&amp;'Output annual'!$AD$2&amp;"*FangerPMV(Hourly)",'Eplus results'!$1:$1048576,ROW(),FALSE)</f>
        <v>0</v>
      </c>
      <c r="AD4588" s="580">
        <f t="shared" si="391"/>
        <v>5</v>
      </c>
      <c r="AE4588" s="580">
        <f t="shared" si="392"/>
        <v>2.5</v>
      </c>
      <c r="AF4588" s="580">
        <f t="shared" si="393"/>
        <v>2.5</v>
      </c>
      <c r="AG4588" s="580">
        <f t="shared" si="394"/>
        <v>0</v>
      </c>
      <c r="AH4588" s="580">
        <f t="shared" si="395"/>
        <v>0</v>
      </c>
    </row>
    <row r="4589" spans="28:34">
      <c r="AB4589" s="580">
        <f>HLOOKUP("*"&amp;'Output annual'!$AC$2&amp;'Output annual'!$AD$2&amp;"*Zone People Number Of Occupants [](Hourly)",'Eplus results'!$1:$1048576,ROW(),FALSE)</f>
        <v>0</v>
      </c>
      <c r="AC4589" s="580">
        <f>HLOOKUP("*"&amp;'Output annual'!$AC$2&amp;'Output annual'!$AD$2&amp;"*FangerPMV(Hourly)",'Eplus results'!$1:$1048576,ROW(),FALSE)</f>
        <v>0</v>
      </c>
      <c r="AD4589" s="580">
        <f t="shared" si="391"/>
        <v>5</v>
      </c>
      <c r="AE4589" s="580">
        <f t="shared" si="392"/>
        <v>2.5</v>
      </c>
      <c r="AF4589" s="580">
        <f t="shared" si="393"/>
        <v>2.5</v>
      </c>
      <c r="AG4589" s="580">
        <f t="shared" si="394"/>
        <v>0</v>
      </c>
      <c r="AH4589" s="580">
        <f t="shared" si="395"/>
        <v>0</v>
      </c>
    </row>
    <row r="4590" spans="28:34">
      <c r="AB4590" s="580">
        <f>HLOOKUP("*"&amp;'Output annual'!$AC$2&amp;'Output annual'!$AD$2&amp;"*Zone People Number Of Occupants [](Hourly)",'Eplus results'!$1:$1048576,ROW(),FALSE)</f>
        <v>0</v>
      </c>
      <c r="AC4590" s="580">
        <f>HLOOKUP("*"&amp;'Output annual'!$AC$2&amp;'Output annual'!$AD$2&amp;"*FangerPMV(Hourly)",'Eplus results'!$1:$1048576,ROW(),FALSE)</f>
        <v>0</v>
      </c>
      <c r="AD4590" s="580">
        <f t="shared" si="391"/>
        <v>5</v>
      </c>
      <c r="AE4590" s="580">
        <f t="shared" si="392"/>
        <v>2.5</v>
      </c>
      <c r="AF4590" s="580">
        <f t="shared" si="393"/>
        <v>2.5</v>
      </c>
      <c r="AG4590" s="580">
        <f t="shared" si="394"/>
        <v>0</v>
      </c>
      <c r="AH4590" s="580">
        <f t="shared" si="395"/>
        <v>0</v>
      </c>
    </row>
    <row r="4591" spans="28:34">
      <c r="AB4591" s="580">
        <f>HLOOKUP("*"&amp;'Output annual'!$AC$2&amp;'Output annual'!$AD$2&amp;"*Zone People Number Of Occupants [](Hourly)",'Eplus results'!$1:$1048576,ROW(),FALSE)</f>
        <v>0</v>
      </c>
      <c r="AC4591" s="580">
        <f>HLOOKUP("*"&amp;'Output annual'!$AC$2&amp;'Output annual'!$AD$2&amp;"*FangerPMV(Hourly)",'Eplus results'!$1:$1048576,ROW(),FALSE)</f>
        <v>0</v>
      </c>
      <c r="AD4591" s="580">
        <f t="shared" si="391"/>
        <v>5</v>
      </c>
      <c r="AE4591" s="580">
        <f t="shared" si="392"/>
        <v>2.5</v>
      </c>
      <c r="AF4591" s="580">
        <f t="shared" si="393"/>
        <v>2.5</v>
      </c>
      <c r="AG4591" s="580">
        <f t="shared" si="394"/>
        <v>0</v>
      </c>
      <c r="AH4591" s="580">
        <f t="shared" si="395"/>
        <v>0</v>
      </c>
    </row>
    <row r="4592" spans="28:34">
      <c r="AB4592" s="580">
        <f>HLOOKUP("*"&amp;'Output annual'!$AC$2&amp;'Output annual'!$AD$2&amp;"*Zone People Number Of Occupants [](Hourly)",'Eplus results'!$1:$1048576,ROW(),FALSE)</f>
        <v>0</v>
      </c>
      <c r="AC4592" s="580">
        <f>HLOOKUP("*"&amp;'Output annual'!$AC$2&amp;'Output annual'!$AD$2&amp;"*FangerPMV(Hourly)",'Eplus results'!$1:$1048576,ROW(),FALSE)</f>
        <v>0</v>
      </c>
      <c r="AD4592" s="580">
        <f t="shared" si="391"/>
        <v>5</v>
      </c>
      <c r="AE4592" s="580">
        <f t="shared" si="392"/>
        <v>2.5</v>
      </c>
      <c r="AF4592" s="580">
        <f t="shared" si="393"/>
        <v>2.5</v>
      </c>
      <c r="AG4592" s="580">
        <f t="shared" si="394"/>
        <v>0</v>
      </c>
      <c r="AH4592" s="580">
        <f t="shared" si="395"/>
        <v>0</v>
      </c>
    </row>
    <row r="4593" spans="28:34">
      <c r="AB4593" s="580">
        <f>HLOOKUP("*"&amp;'Output annual'!$AC$2&amp;'Output annual'!$AD$2&amp;"*Zone People Number Of Occupants [](Hourly)",'Eplus results'!$1:$1048576,ROW(),FALSE)</f>
        <v>0</v>
      </c>
      <c r="AC4593" s="580">
        <f>HLOOKUP("*"&amp;'Output annual'!$AC$2&amp;'Output annual'!$AD$2&amp;"*FangerPMV(Hourly)",'Eplus results'!$1:$1048576,ROW(),FALSE)</f>
        <v>0</v>
      </c>
      <c r="AD4593" s="580">
        <f t="shared" si="391"/>
        <v>5</v>
      </c>
      <c r="AE4593" s="580">
        <f t="shared" si="392"/>
        <v>2.5</v>
      </c>
      <c r="AF4593" s="580">
        <f t="shared" si="393"/>
        <v>2.5</v>
      </c>
      <c r="AG4593" s="580">
        <f t="shared" si="394"/>
        <v>0</v>
      </c>
      <c r="AH4593" s="580">
        <f t="shared" si="395"/>
        <v>0</v>
      </c>
    </row>
    <row r="4594" spans="28:34">
      <c r="AB4594" s="580">
        <f>HLOOKUP("*"&amp;'Output annual'!$AC$2&amp;'Output annual'!$AD$2&amp;"*Zone People Number Of Occupants [](Hourly)",'Eplus results'!$1:$1048576,ROW(),FALSE)</f>
        <v>0</v>
      </c>
      <c r="AC4594" s="580">
        <f>HLOOKUP("*"&amp;'Output annual'!$AC$2&amp;'Output annual'!$AD$2&amp;"*FangerPMV(Hourly)",'Eplus results'!$1:$1048576,ROW(),FALSE)</f>
        <v>0</v>
      </c>
      <c r="AD4594" s="580">
        <f t="shared" si="391"/>
        <v>5</v>
      </c>
      <c r="AE4594" s="580">
        <f t="shared" si="392"/>
        <v>2.5</v>
      </c>
      <c r="AF4594" s="580">
        <f t="shared" si="393"/>
        <v>2.5</v>
      </c>
      <c r="AG4594" s="580">
        <f t="shared" si="394"/>
        <v>0</v>
      </c>
      <c r="AH4594" s="580">
        <f t="shared" si="395"/>
        <v>0</v>
      </c>
    </row>
    <row r="4595" spans="28:34">
      <c r="AB4595" s="580">
        <f>HLOOKUP("*"&amp;'Output annual'!$AC$2&amp;'Output annual'!$AD$2&amp;"*Zone People Number Of Occupants [](Hourly)",'Eplus results'!$1:$1048576,ROW(),FALSE)</f>
        <v>0</v>
      </c>
      <c r="AC4595" s="580">
        <f>HLOOKUP("*"&amp;'Output annual'!$AC$2&amp;'Output annual'!$AD$2&amp;"*FangerPMV(Hourly)",'Eplus results'!$1:$1048576,ROW(),FALSE)</f>
        <v>0</v>
      </c>
      <c r="AD4595" s="580">
        <f t="shared" si="391"/>
        <v>5</v>
      </c>
      <c r="AE4595" s="580">
        <f t="shared" si="392"/>
        <v>2.5</v>
      </c>
      <c r="AF4595" s="580">
        <f t="shared" si="393"/>
        <v>2.5</v>
      </c>
      <c r="AG4595" s="580">
        <f t="shared" si="394"/>
        <v>0</v>
      </c>
      <c r="AH4595" s="580">
        <f t="shared" si="395"/>
        <v>0</v>
      </c>
    </row>
    <row r="4596" spans="28:34">
      <c r="AB4596" s="580">
        <f>HLOOKUP("*"&amp;'Output annual'!$AC$2&amp;'Output annual'!$AD$2&amp;"*Zone People Number Of Occupants [](Hourly)",'Eplus results'!$1:$1048576,ROW(),FALSE)</f>
        <v>0</v>
      </c>
      <c r="AC4596" s="580">
        <f>HLOOKUP("*"&amp;'Output annual'!$AC$2&amp;'Output annual'!$AD$2&amp;"*FangerPMV(Hourly)",'Eplus results'!$1:$1048576,ROW(),FALSE)</f>
        <v>0</v>
      </c>
      <c r="AD4596" s="580">
        <f t="shared" si="391"/>
        <v>5</v>
      </c>
      <c r="AE4596" s="580">
        <f t="shared" si="392"/>
        <v>2.5</v>
      </c>
      <c r="AF4596" s="580">
        <f t="shared" si="393"/>
        <v>2.5</v>
      </c>
      <c r="AG4596" s="580">
        <f t="shared" si="394"/>
        <v>0</v>
      </c>
      <c r="AH4596" s="580">
        <f t="shared" si="395"/>
        <v>0</v>
      </c>
    </row>
    <row r="4597" spans="28:34">
      <c r="AB4597" s="580">
        <f>HLOOKUP("*"&amp;'Output annual'!$AC$2&amp;'Output annual'!$AD$2&amp;"*Zone People Number Of Occupants [](Hourly)",'Eplus results'!$1:$1048576,ROW(),FALSE)</f>
        <v>0</v>
      </c>
      <c r="AC4597" s="580">
        <f>HLOOKUP("*"&amp;'Output annual'!$AC$2&amp;'Output annual'!$AD$2&amp;"*FangerPMV(Hourly)",'Eplus results'!$1:$1048576,ROW(),FALSE)</f>
        <v>0</v>
      </c>
      <c r="AD4597" s="580">
        <f t="shared" si="391"/>
        <v>5</v>
      </c>
      <c r="AE4597" s="580">
        <f t="shared" si="392"/>
        <v>2.5</v>
      </c>
      <c r="AF4597" s="580">
        <f t="shared" si="393"/>
        <v>2.5</v>
      </c>
      <c r="AG4597" s="580">
        <f t="shared" si="394"/>
        <v>0</v>
      </c>
      <c r="AH4597" s="580">
        <f t="shared" si="395"/>
        <v>0</v>
      </c>
    </row>
    <row r="4598" spans="28:34">
      <c r="AB4598" s="580">
        <f>HLOOKUP("*"&amp;'Output annual'!$AC$2&amp;'Output annual'!$AD$2&amp;"*Zone People Number Of Occupants [](Hourly)",'Eplus results'!$1:$1048576,ROW(),FALSE)</f>
        <v>0</v>
      </c>
      <c r="AC4598" s="580">
        <f>HLOOKUP("*"&amp;'Output annual'!$AC$2&amp;'Output annual'!$AD$2&amp;"*FangerPMV(Hourly)",'Eplus results'!$1:$1048576,ROW(),FALSE)</f>
        <v>0</v>
      </c>
      <c r="AD4598" s="580">
        <f t="shared" si="391"/>
        <v>5</v>
      </c>
      <c r="AE4598" s="580">
        <f t="shared" si="392"/>
        <v>2.5</v>
      </c>
      <c r="AF4598" s="580">
        <f t="shared" si="393"/>
        <v>2.5</v>
      </c>
      <c r="AG4598" s="580">
        <f t="shared" si="394"/>
        <v>0</v>
      </c>
      <c r="AH4598" s="580">
        <f t="shared" si="395"/>
        <v>0</v>
      </c>
    </row>
    <row r="4599" spans="28:34">
      <c r="AB4599" s="580">
        <f>HLOOKUP("*"&amp;'Output annual'!$AC$2&amp;'Output annual'!$AD$2&amp;"*Zone People Number Of Occupants [](Hourly)",'Eplus results'!$1:$1048576,ROW(),FALSE)</f>
        <v>0</v>
      </c>
      <c r="AC4599" s="580">
        <f>HLOOKUP("*"&amp;'Output annual'!$AC$2&amp;'Output annual'!$AD$2&amp;"*FangerPMV(Hourly)",'Eplus results'!$1:$1048576,ROW(),FALSE)</f>
        <v>0</v>
      </c>
      <c r="AD4599" s="580">
        <f t="shared" si="391"/>
        <v>5</v>
      </c>
      <c r="AE4599" s="580">
        <f t="shared" si="392"/>
        <v>2.5</v>
      </c>
      <c r="AF4599" s="580">
        <f t="shared" si="393"/>
        <v>2.5</v>
      </c>
      <c r="AG4599" s="580">
        <f t="shared" si="394"/>
        <v>0</v>
      </c>
      <c r="AH4599" s="580">
        <f t="shared" si="395"/>
        <v>0</v>
      </c>
    </row>
    <row r="4600" spans="28:34">
      <c r="AB4600" s="580">
        <f>HLOOKUP("*"&amp;'Output annual'!$AC$2&amp;'Output annual'!$AD$2&amp;"*Zone People Number Of Occupants [](Hourly)",'Eplus results'!$1:$1048576,ROW(),FALSE)</f>
        <v>0</v>
      </c>
      <c r="AC4600" s="580">
        <f>HLOOKUP("*"&amp;'Output annual'!$AC$2&amp;'Output annual'!$AD$2&amp;"*FangerPMV(Hourly)",'Eplus results'!$1:$1048576,ROW(),FALSE)</f>
        <v>0</v>
      </c>
      <c r="AD4600" s="580">
        <f t="shared" si="391"/>
        <v>5</v>
      </c>
      <c r="AE4600" s="580">
        <f t="shared" si="392"/>
        <v>2.5</v>
      </c>
      <c r="AF4600" s="580">
        <f t="shared" si="393"/>
        <v>2.5</v>
      </c>
      <c r="AG4600" s="580">
        <f t="shared" si="394"/>
        <v>0</v>
      </c>
      <c r="AH4600" s="580">
        <f t="shared" si="395"/>
        <v>0</v>
      </c>
    </row>
    <row r="4601" spans="28:34">
      <c r="AB4601" s="580">
        <f>HLOOKUP("*"&amp;'Output annual'!$AC$2&amp;'Output annual'!$AD$2&amp;"*Zone People Number Of Occupants [](Hourly)",'Eplus results'!$1:$1048576,ROW(),FALSE)</f>
        <v>0</v>
      </c>
      <c r="AC4601" s="580">
        <f>HLOOKUP("*"&amp;'Output annual'!$AC$2&amp;'Output annual'!$AD$2&amp;"*FangerPMV(Hourly)",'Eplus results'!$1:$1048576,ROW(),FALSE)</f>
        <v>0</v>
      </c>
      <c r="AD4601" s="580">
        <f t="shared" si="391"/>
        <v>5</v>
      </c>
      <c r="AE4601" s="580">
        <f t="shared" si="392"/>
        <v>2.5</v>
      </c>
      <c r="AF4601" s="580">
        <f t="shared" si="393"/>
        <v>2.5</v>
      </c>
      <c r="AG4601" s="580">
        <f t="shared" si="394"/>
        <v>0</v>
      </c>
      <c r="AH4601" s="580">
        <f t="shared" si="395"/>
        <v>0</v>
      </c>
    </row>
    <row r="4602" spans="28:34">
      <c r="AB4602" s="580">
        <f>HLOOKUP("*"&amp;'Output annual'!$AC$2&amp;'Output annual'!$AD$2&amp;"*Zone People Number Of Occupants [](Hourly)",'Eplus results'!$1:$1048576,ROW(),FALSE)</f>
        <v>0</v>
      </c>
      <c r="AC4602" s="580">
        <f>HLOOKUP("*"&amp;'Output annual'!$AC$2&amp;'Output annual'!$AD$2&amp;"*FangerPMV(Hourly)",'Eplus results'!$1:$1048576,ROW(),FALSE)</f>
        <v>0</v>
      </c>
      <c r="AD4602" s="580">
        <f t="shared" si="391"/>
        <v>5</v>
      </c>
      <c r="AE4602" s="580">
        <f t="shared" si="392"/>
        <v>2.5</v>
      </c>
      <c r="AF4602" s="580">
        <f t="shared" si="393"/>
        <v>2.5</v>
      </c>
      <c r="AG4602" s="580">
        <f t="shared" si="394"/>
        <v>0</v>
      </c>
      <c r="AH4602" s="580">
        <f t="shared" si="395"/>
        <v>0</v>
      </c>
    </row>
    <row r="4603" spans="28:34">
      <c r="AB4603" s="580">
        <f>HLOOKUP("*"&amp;'Output annual'!$AC$2&amp;'Output annual'!$AD$2&amp;"*Zone People Number Of Occupants [](Hourly)",'Eplus results'!$1:$1048576,ROW(),FALSE)</f>
        <v>0</v>
      </c>
      <c r="AC4603" s="580">
        <f>HLOOKUP("*"&amp;'Output annual'!$AC$2&amp;'Output annual'!$AD$2&amp;"*FangerPMV(Hourly)",'Eplus results'!$1:$1048576,ROW(),FALSE)</f>
        <v>0</v>
      </c>
      <c r="AD4603" s="580">
        <f t="shared" si="391"/>
        <v>5</v>
      </c>
      <c r="AE4603" s="580">
        <f t="shared" si="392"/>
        <v>2.5</v>
      </c>
      <c r="AF4603" s="580">
        <f t="shared" si="393"/>
        <v>2.5</v>
      </c>
      <c r="AG4603" s="580">
        <f t="shared" si="394"/>
        <v>0</v>
      </c>
      <c r="AH4603" s="580">
        <f t="shared" si="395"/>
        <v>0</v>
      </c>
    </row>
    <row r="4604" spans="28:34">
      <c r="AB4604" s="580">
        <f>HLOOKUP("*"&amp;'Output annual'!$AC$2&amp;'Output annual'!$AD$2&amp;"*Zone People Number Of Occupants [](Hourly)",'Eplus results'!$1:$1048576,ROW(),FALSE)</f>
        <v>0</v>
      </c>
      <c r="AC4604" s="580">
        <f>HLOOKUP("*"&amp;'Output annual'!$AC$2&amp;'Output annual'!$AD$2&amp;"*FangerPMV(Hourly)",'Eplus results'!$1:$1048576,ROW(),FALSE)</f>
        <v>0</v>
      </c>
      <c r="AD4604" s="580">
        <f t="shared" si="391"/>
        <v>5</v>
      </c>
      <c r="AE4604" s="580">
        <f t="shared" si="392"/>
        <v>2.5</v>
      </c>
      <c r="AF4604" s="580">
        <f t="shared" si="393"/>
        <v>2.5</v>
      </c>
      <c r="AG4604" s="580">
        <f t="shared" si="394"/>
        <v>0</v>
      </c>
      <c r="AH4604" s="580">
        <f t="shared" si="395"/>
        <v>0</v>
      </c>
    </row>
    <row r="4605" spans="28:34">
      <c r="AB4605" s="580">
        <f>HLOOKUP("*"&amp;'Output annual'!$AC$2&amp;'Output annual'!$AD$2&amp;"*Zone People Number Of Occupants [](Hourly)",'Eplus results'!$1:$1048576,ROW(),FALSE)</f>
        <v>0</v>
      </c>
      <c r="AC4605" s="580">
        <f>HLOOKUP("*"&amp;'Output annual'!$AC$2&amp;'Output annual'!$AD$2&amp;"*FangerPMV(Hourly)",'Eplus results'!$1:$1048576,ROW(),FALSE)</f>
        <v>0</v>
      </c>
      <c r="AD4605" s="580">
        <f t="shared" si="391"/>
        <v>5</v>
      </c>
      <c r="AE4605" s="580">
        <f t="shared" si="392"/>
        <v>2.5</v>
      </c>
      <c r="AF4605" s="580">
        <f t="shared" si="393"/>
        <v>2.5</v>
      </c>
      <c r="AG4605" s="580">
        <f t="shared" si="394"/>
        <v>0</v>
      </c>
      <c r="AH4605" s="580">
        <f t="shared" si="395"/>
        <v>0</v>
      </c>
    </row>
    <row r="4606" spans="28:34">
      <c r="AB4606" s="580">
        <f>HLOOKUP("*"&amp;'Output annual'!$AC$2&amp;'Output annual'!$AD$2&amp;"*Zone People Number Of Occupants [](Hourly)",'Eplus results'!$1:$1048576,ROW(),FALSE)</f>
        <v>0</v>
      </c>
      <c r="AC4606" s="580">
        <f>HLOOKUP("*"&amp;'Output annual'!$AC$2&amp;'Output annual'!$AD$2&amp;"*FangerPMV(Hourly)",'Eplus results'!$1:$1048576,ROW(),FALSE)</f>
        <v>0</v>
      </c>
      <c r="AD4606" s="580">
        <f t="shared" si="391"/>
        <v>5</v>
      </c>
      <c r="AE4606" s="580">
        <f t="shared" si="392"/>
        <v>2.5</v>
      </c>
      <c r="AF4606" s="580">
        <f t="shared" si="393"/>
        <v>2.5</v>
      </c>
      <c r="AG4606" s="580">
        <f t="shared" si="394"/>
        <v>0</v>
      </c>
      <c r="AH4606" s="580">
        <f t="shared" si="395"/>
        <v>0</v>
      </c>
    </row>
    <row r="4607" spans="28:34">
      <c r="AB4607" s="580">
        <f>HLOOKUP("*"&amp;'Output annual'!$AC$2&amp;'Output annual'!$AD$2&amp;"*Zone People Number Of Occupants [](Hourly)",'Eplus results'!$1:$1048576,ROW(),FALSE)</f>
        <v>0</v>
      </c>
      <c r="AC4607" s="580">
        <f>HLOOKUP("*"&amp;'Output annual'!$AC$2&amp;'Output annual'!$AD$2&amp;"*FangerPMV(Hourly)",'Eplus results'!$1:$1048576,ROW(),FALSE)</f>
        <v>0</v>
      </c>
      <c r="AD4607" s="580">
        <f t="shared" si="391"/>
        <v>5</v>
      </c>
      <c r="AE4607" s="580">
        <f t="shared" si="392"/>
        <v>2.5</v>
      </c>
      <c r="AF4607" s="580">
        <f t="shared" si="393"/>
        <v>2.5</v>
      </c>
      <c r="AG4607" s="580">
        <f t="shared" si="394"/>
        <v>0</v>
      </c>
      <c r="AH4607" s="580">
        <f t="shared" si="395"/>
        <v>0</v>
      </c>
    </row>
    <row r="4608" spans="28:34">
      <c r="AB4608" s="580">
        <f>HLOOKUP("*"&amp;'Output annual'!$AC$2&amp;'Output annual'!$AD$2&amp;"*Zone People Number Of Occupants [](Hourly)",'Eplus results'!$1:$1048576,ROW(),FALSE)</f>
        <v>0</v>
      </c>
      <c r="AC4608" s="580">
        <f>HLOOKUP("*"&amp;'Output annual'!$AC$2&amp;'Output annual'!$AD$2&amp;"*FangerPMV(Hourly)",'Eplus results'!$1:$1048576,ROW(),FALSE)</f>
        <v>0</v>
      </c>
      <c r="AD4608" s="580">
        <f t="shared" si="391"/>
        <v>5</v>
      </c>
      <c r="AE4608" s="580">
        <f t="shared" si="392"/>
        <v>2.5</v>
      </c>
      <c r="AF4608" s="580">
        <f t="shared" si="393"/>
        <v>2.5</v>
      </c>
      <c r="AG4608" s="580">
        <f t="shared" si="394"/>
        <v>0</v>
      </c>
      <c r="AH4608" s="580">
        <f t="shared" si="395"/>
        <v>0</v>
      </c>
    </row>
    <row r="4609" spans="28:34">
      <c r="AB4609" s="580">
        <f>HLOOKUP("*"&amp;'Output annual'!$AC$2&amp;'Output annual'!$AD$2&amp;"*Zone People Number Of Occupants [](Hourly)",'Eplus results'!$1:$1048576,ROW(),FALSE)</f>
        <v>0</v>
      </c>
      <c r="AC4609" s="580">
        <f>HLOOKUP("*"&amp;'Output annual'!$AC$2&amp;'Output annual'!$AD$2&amp;"*FangerPMV(Hourly)",'Eplus results'!$1:$1048576,ROW(),FALSE)</f>
        <v>0</v>
      </c>
      <c r="AD4609" s="580">
        <f t="shared" si="391"/>
        <v>5</v>
      </c>
      <c r="AE4609" s="580">
        <f t="shared" si="392"/>
        <v>2.5</v>
      </c>
      <c r="AF4609" s="580">
        <f t="shared" si="393"/>
        <v>2.5</v>
      </c>
      <c r="AG4609" s="580">
        <f t="shared" si="394"/>
        <v>0</v>
      </c>
      <c r="AH4609" s="580">
        <f t="shared" si="395"/>
        <v>0</v>
      </c>
    </row>
    <row r="4610" spans="28:34">
      <c r="AB4610" s="580">
        <f>HLOOKUP("*"&amp;'Output annual'!$AC$2&amp;'Output annual'!$AD$2&amp;"*Zone People Number Of Occupants [](Hourly)",'Eplus results'!$1:$1048576,ROW(),FALSE)</f>
        <v>0</v>
      </c>
      <c r="AC4610" s="580">
        <f>HLOOKUP("*"&amp;'Output annual'!$AC$2&amp;'Output annual'!$AD$2&amp;"*FangerPMV(Hourly)",'Eplus results'!$1:$1048576,ROW(),FALSE)</f>
        <v>0</v>
      </c>
      <c r="AD4610" s="580">
        <f t="shared" si="391"/>
        <v>5</v>
      </c>
      <c r="AE4610" s="580">
        <f t="shared" si="392"/>
        <v>2.5</v>
      </c>
      <c r="AF4610" s="580">
        <f t="shared" si="393"/>
        <v>2.5</v>
      </c>
      <c r="AG4610" s="580">
        <f t="shared" si="394"/>
        <v>0</v>
      </c>
      <c r="AH4610" s="580">
        <f t="shared" si="395"/>
        <v>0</v>
      </c>
    </row>
    <row r="4611" spans="28:34">
      <c r="AB4611" s="580">
        <f>HLOOKUP("*"&amp;'Output annual'!$AC$2&amp;'Output annual'!$AD$2&amp;"*Zone People Number Of Occupants [](Hourly)",'Eplus results'!$1:$1048576,ROW(),FALSE)</f>
        <v>0</v>
      </c>
      <c r="AC4611" s="580">
        <f>HLOOKUP("*"&amp;'Output annual'!$AC$2&amp;'Output annual'!$AD$2&amp;"*FangerPMV(Hourly)",'Eplus results'!$1:$1048576,ROW(),FALSE)</f>
        <v>0</v>
      </c>
      <c r="AD4611" s="580">
        <f t="shared" ref="AD4611:AD4674" si="396">100-95*EXP(-0.03353*AC4611^4-0.2179*AC4611^2)</f>
        <v>5</v>
      </c>
      <c r="AE4611" s="580">
        <f t="shared" ref="AE4611:AE4674" si="397">AD4611*(1/(1+EXP(-6.3*$AC4611)))</f>
        <v>2.5</v>
      </c>
      <c r="AF4611" s="580">
        <f t="shared" ref="AF4611:AF4674" si="398">(AD4611-AE4611)</f>
        <v>2.5</v>
      </c>
      <c r="AG4611" s="580">
        <f t="shared" ref="AG4611:AG4674" si="399">AE4611*AB4611</f>
        <v>0</v>
      </c>
      <c r="AH4611" s="580">
        <f t="shared" ref="AH4611:AH4674" si="400">AF4611*AB4611</f>
        <v>0</v>
      </c>
    </row>
    <row r="4612" spans="28:34">
      <c r="AB4612" s="580">
        <f>HLOOKUP("*"&amp;'Output annual'!$AC$2&amp;'Output annual'!$AD$2&amp;"*Zone People Number Of Occupants [](Hourly)",'Eplus results'!$1:$1048576,ROW(),FALSE)</f>
        <v>0</v>
      </c>
      <c r="AC4612" s="580">
        <f>HLOOKUP("*"&amp;'Output annual'!$AC$2&amp;'Output annual'!$AD$2&amp;"*FangerPMV(Hourly)",'Eplus results'!$1:$1048576,ROW(),FALSE)</f>
        <v>0</v>
      </c>
      <c r="AD4612" s="580">
        <f t="shared" si="396"/>
        <v>5</v>
      </c>
      <c r="AE4612" s="580">
        <f t="shared" si="397"/>
        <v>2.5</v>
      </c>
      <c r="AF4612" s="580">
        <f t="shared" si="398"/>
        <v>2.5</v>
      </c>
      <c r="AG4612" s="580">
        <f t="shared" si="399"/>
        <v>0</v>
      </c>
      <c r="AH4612" s="580">
        <f t="shared" si="400"/>
        <v>0</v>
      </c>
    </row>
    <row r="4613" spans="28:34">
      <c r="AB4613" s="580">
        <f>HLOOKUP("*"&amp;'Output annual'!$AC$2&amp;'Output annual'!$AD$2&amp;"*Zone People Number Of Occupants [](Hourly)",'Eplus results'!$1:$1048576,ROW(),FALSE)</f>
        <v>0</v>
      </c>
      <c r="AC4613" s="580">
        <f>HLOOKUP("*"&amp;'Output annual'!$AC$2&amp;'Output annual'!$AD$2&amp;"*FangerPMV(Hourly)",'Eplus results'!$1:$1048576,ROW(),FALSE)</f>
        <v>0</v>
      </c>
      <c r="AD4613" s="580">
        <f t="shared" si="396"/>
        <v>5</v>
      </c>
      <c r="AE4613" s="580">
        <f t="shared" si="397"/>
        <v>2.5</v>
      </c>
      <c r="AF4613" s="580">
        <f t="shared" si="398"/>
        <v>2.5</v>
      </c>
      <c r="AG4613" s="580">
        <f t="shared" si="399"/>
        <v>0</v>
      </c>
      <c r="AH4613" s="580">
        <f t="shared" si="400"/>
        <v>0</v>
      </c>
    </row>
    <row r="4614" spans="28:34">
      <c r="AB4614" s="580">
        <f>HLOOKUP("*"&amp;'Output annual'!$AC$2&amp;'Output annual'!$AD$2&amp;"*Zone People Number Of Occupants [](Hourly)",'Eplus results'!$1:$1048576,ROW(),FALSE)</f>
        <v>0</v>
      </c>
      <c r="AC4614" s="580">
        <f>HLOOKUP("*"&amp;'Output annual'!$AC$2&amp;'Output annual'!$AD$2&amp;"*FangerPMV(Hourly)",'Eplus results'!$1:$1048576,ROW(),FALSE)</f>
        <v>0</v>
      </c>
      <c r="AD4614" s="580">
        <f t="shared" si="396"/>
        <v>5</v>
      </c>
      <c r="AE4614" s="580">
        <f t="shared" si="397"/>
        <v>2.5</v>
      </c>
      <c r="AF4614" s="580">
        <f t="shared" si="398"/>
        <v>2.5</v>
      </c>
      <c r="AG4614" s="580">
        <f t="shared" si="399"/>
        <v>0</v>
      </c>
      <c r="AH4614" s="580">
        <f t="shared" si="400"/>
        <v>0</v>
      </c>
    </row>
    <row r="4615" spans="28:34">
      <c r="AB4615" s="580">
        <f>HLOOKUP("*"&amp;'Output annual'!$AC$2&amp;'Output annual'!$AD$2&amp;"*Zone People Number Of Occupants [](Hourly)",'Eplus results'!$1:$1048576,ROW(),FALSE)</f>
        <v>0</v>
      </c>
      <c r="AC4615" s="580">
        <f>HLOOKUP("*"&amp;'Output annual'!$AC$2&amp;'Output annual'!$AD$2&amp;"*FangerPMV(Hourly)",'Eplus results'!$1:$1048576,ROW(),FALSE)</f>
        <v>0</v>
      </c>
      <c r="AD4615" s="580">
        <f t="shared" si="396"/>
        <v>5</v>
      </c>
      <c r="AE4615" s="580">
        <f t="shared" si="397"/>
        <v>2.5</v>
      </c>
      <c r="AF4615" s="580">
        <f t="shared" si="398"/>
        <v>2.5</v>
      </c>
      <c r="AG4615" s="580">
        <f t="shared" si="399"/>
        <v>0</v>
      </c>
      <c r="AH4615" s="580">
        <f t="shared" si="400"/>
        <v>0</v>
      </c>
    </row>
    <row r="4616" spans="28:34">
      <c r="AB4616" s="580">
        <f>HLOOKUP("*"&amp;'Output annual'!$AC$2&amp;'Output annual'!$AD$2&amp;"*Zone People Number Of Occupants [](Hourly)",'Eplus results'!$1:$1048576,ROW(),FALSE)</f>
        <v>0</v>
      </c>
      <c r="AC4616" s="580">
        <f>HLOOKUP("*"&amp;'Output annual'!$AC$2&amp;'Output annual'!$AD$2&amp;"*FangerPMV(Hourly)",'Eplus results'!$1:$1048576,ROW(),FALSE)</f>
        <v>0</v>
      </c>
      <c r="AD4616" s="580">
        <f t="shared" si="396"/>
        <v>5</v>
      </c>
      <c r="AE4616" s="580">
        <f t="shared" si="397"/>
        <v>2.5</v>
      </c>
      <c r="AF4616" s="580">
        <f t="shared" si="398"/>
        <v>2.5</v>
      </c>
      <c r="AG4616" s="580">
        <f t="shared" si="399"/>
        <v>0</v>
      </c>
      <c r="AH4616" s="580">
        <f t="shared" si="400"/>
        <v>0</v>
      </c>
    </row>
    <row r="4617" spans="28:34">
      <c r="AB4617" s="580">
        <f>HLOOKUP("*"&amp;'Output annual'!$AC$2&amp;'Output annual'!$AD$2&amp;"*Zone People Number Of Occupants [](Hourly)",'Eplus results'!$1:$1048576,ROW(),FALSE)</f>
        <v>0</v>
      </c>
      <c r="AC4617" s="580">
        <f>HLOOKUP("*"&amp;'Output annual'!$AC$2&amp;'Output annual'!$AD$2&amp;"*FangerPMV(Hourly)",'Eplus results'!$1:$1048576,ROW(),FALSE)</f>
        <v>0</v>
      </c>
      <c r="AD4617" s="580">
        <f t="shared" si="396"/>
        <v>5</v>
      </c>
      <c r="AE4617" s="580">
        <f t="shared" si="397"/>
        <v>2.5</v>
      </c>
      <c r="AF4617" s="580">
        <f t="shared" si="398"/>
        <v>2.5</v>
      </c>
      <c r="AG4617" s="580">
        <f t="shared" si="399"/>
        <v>0</v>
      </c>
      <c r="AH4617" s="580">
        <f t="shared" si="400"/>
        <v>0</v>
      </c>
    </row>
    <row r="4618" spans="28:34">
      <c r="AB4618" s="580">
        <f>HLOOKUP("*"&amp;'Output annual'!$AC$2&amp;'Output annual'!$AD$2&amp;"*Zone People Number Of Occupants [](Hourly)",'Eplus results'!$1:$1048576,ROW(),FALSE)</f>
        <v>0</v>
      </c>
      <c r="AC4618" s="580">
        <f>HLOOKUP("*"&amp;'Output annual'!$AC$2&amp;'Output annual'!$AD$2&amp;"*FangerPMV(Hourly)",'Eplus results'!$1:$1048576,ROW(),FALSE)</f>
        <v>0</v>
      </c>
      <c r="AD4618" s="580">
        <f t="shared" si="396"/>
        <v>5</v>
      </c>
      <c r="AE4618" s="580">
        <f t="shared" si="397"/>
        <v>2.5</v>
      </c>
      <c r="AF4618" s="580">
        <f t="shared" si="398"/>
        <v>2.5</v>
      </c>
      <c r="AG4618" s="580">
        <f t="shared" si="399"/>
        <v>0</v>
      </c>
      <c r="AH4618" s="580">
        <f t="shared" si="400"/>
        <v>0</v>
      </c>
    </row>
    <row r="4619" spans="28:34">
      <c r="AB4619" s="580">
        <f>HLOOKUP("*"&amp;'Output annual'!$AC$2&amp;'Output annual'!$AD$2&amp;"*Zone People Number Of Occupants [](Hourly)",'Eplus results'!$1:$1048576,ROW(),FALSE)</f>
        <v>0</v>
      </c>
      <c r="AC4619" s="580">
        <f>HLOOKUP("*"&amp;'Output annual'!$AC$2&amp;'Output annual'!$AD$2&amp;"*FangerPMV(Hourly)",'Eplus results'!$1:$1048576,ROW(),FALSE)</f>
        <v>0</v>
      </c>
      <c r="AD4619" s="580">
        <f t="shared" si="396"/>
        <v>5</v>
      </c>
      <c r="AE4619" s="580">
        <f t="shared" si="397"/>
        <v>2.5</v>
      </c>
      <c r="AF4619" s="580">
        <f t="shared" si="398"/>
        <v>2.5</v>
      </c>
      <c r="AG4619" s="580">
        <f t="shared" si="399"/>
        <v>0</v>
      </c>
      <c r="AH4619" s="580">
        <f t="shared" si="400"/>
        <v>0</v>
      </c>
    </row>
    <row r="4620" spans="28:34">
      <c r="AB4620" s="580">
        <f>HLOOKUP("*"&amp;'Output annual'!$AC$2&amp;'Output annual'!$AD$2&amp;"*Zone People Number Of Occupants [](Hourly)",'Eplus results'!$1:$1048576,ROW(),FALSE)</f>
        <v>0</v>
      </c>
      <c r="AC4620" s="580">
        <f>HLOOKUP("*"&amp;'Output annual'!$AC$2&amp;'Output annual'!$AD$2&amp;"*FangerPMV(Hourly)",'Eplus results'!$1:$1048576,ROW(),FALSE)</f>
        <v>0</v>
      </c>
      <c r="AD4620" s="580">
        <f t="shared" si="396"/>
        <v>5</v>
      </c>
      <c r="AE4620" s="580">
        <f t="shared" si="397"/>
        <v>2.5</v>
      </c>
      <c r="AF4620" s="580">
        <f t="shared" si="398"/>
        <v>2.5</v>
      </c>
      <c r="AG4620" s="580">
        <f t="shared" si="399"/>
        <v>0</v>
      </c>
      <c r="AH4620" s="580">
        <f t="shared" si="400"/>
        <v>0</v>
      </c>
    </row>
    <row r="4621" spans="28:34">
      <c r="AB4621" s="580">
        <f>HLOOKUP("*"&amp;'Output annual'!$AC$2&amp;'Output annual'!$AD$2&amp;"*Zone People Number Of Occupants [](Hourly)",'Eplus results'!$1:$1048576,ROW(),FALSE)</f>
        <v>0</v>
      </c>
      <c r="AC4621" s="580">
        <f>HLOOKUP("*"&amp;'Output annual'!$AC$2&amp;'Output annual'!$AD$2&amp;"*FangerPMV(Hourly)",'Eplus results'!$1:$1048576,ROW(),FALSE)</f>
        <v>0</v>
      </c>
      <c r="AD4621" s="580">
        <f t="shared" si="396"/>
        <v>5</v>
      </c>
      <c r="AE4621" s="580">
        <f t="shared" si="397"/>
        <v>2.5</v>
      </c>
      <c r="AF4621" s="580">
        <f t="shared" si="398"/>
        <v>2.5</v>
      </c>
      <c r="AG4621" s="580">
        <f t="shared" si="399"/>
        <v>0</v>
      </c>
      <c r="AH4621" s="580">
        <f t="shared" si="400"/>
        <v>0</v>
      </c>
    </row>
    <row r="4622" spans="28:34">
      <c r="AB4622" s="580">
        <f>HLOOKUP("*"&amp;'Output annual'!$AC$2&amp;'Output annual'!$AD$2&amp;"*Zone People Number Of Occupants [](Hourly)",'Eplus results'!$1:$1048576,ROW(),FALSE)</f>
        <v>0</v>
      </c>
      <c r="AC4622" s="580">
        <f>HLOOKUP("*"&amp;'Output annual'!$AC$2&amp;'Output annual'!$AD$2&amp;"*FangerPMV(Hourly)",'Eplus results'!$1:$1048576,ROW(),FALSE)</f>
        <v>0</v>
      </c>
      <c r="AD4622" s="580">
        <f t="shared" si="396"/>
        <v>5</v>
      </c>
      <c r="AE4622" s="580">
        <f t="shared" si="397"/>
        <v>2.5</v>
      </c>
      <c r="AF4622" s="580">
        <f t="shared" si="398"/>
        <v>2.5</v>
      </c>
      <c r="AG4622" s="580">
        <f t="shared" si="399"/>
        <v>0</v>
      </c>
      <c r="AH4622" s="580">
        <f t="shared" si="400"/>
        <v>0</v>
      </c>
    </row>
    <row r="4623" spans="28:34">
      <c r="AB4623" s="580">
        <f>HLOOKUP("*"&amp;'Output annual'!$AC$2&amp;'Output annual'!$AD$2&amp;"*Zone People Number Of Occupants [](Hourly)",'Eplus results'!$1:$1048576,ROW(),FALSE)</f>
        <v>0</v>
      </c>
      <c r="AC4623" s="580">
        <f>HLOOKUP("*"&amp;'Output annual'!$AC$2&amp;'Output annual'!$AD$2&amp;"*FangerPMV(Hourly)",'Eplus results'!$1:$1048576,ROW(),FALSE)</f>
        <v>0</v>
      </c>
      <c r="AD4623" s="580">
        <f t="shared" si="396"/>
        <v>5</v>
      </c>
      <c r="AE4623" s="580">
        <f t="shared" si="397"/>
        <v>2.5</v>
      </c>
      <c r="AF4623" s="580">
        <f t="shared" si="398"/>
        <v>2.5</v>
      </c>
      <c r="AG4623" s="580">
        <f t="shared" si="399"/>
        <v>0</v>
      </c>
      <c r="AH4623" s="580">
        <f t="shared" si="400"/>
        <v>0</v>
      </c>
    </row>
    <row r="4624" spans="28:34">
      <c r="AB4624" s="580">
        <f>HLOOKUP("*"&amp;'Output annual'!$AC$2&amp;'Output annual'!$AD$2&amp;"*Zone People Number Of Occupants [](Hourly)",'Eplus results'!$1:$1048576,ROW(),FALSE)</f>
        <v>0</v>
      </c>
      <c r="AC4624" s="580">
        <f>HLOOKUP("*"&amp;'Output annual'!$AC$2&amp;'Output annual'!$AD$2&amp;"*FangerPMV(Hourly)",'Eplus results'!$1:$1048576,ROW(),FALSE)</f>
        <v>0</v>
      </c>
      <c r="AD4624" s="580">
        <f t="shared" si="396"/>
        <v>5</v>
      </c>
      <c r="AE4624" s="580">
        <f t="shared" si="397"/>
        <v>2.5</v>
      </c>
      <c r="AF4624" s="580">
        <f t="shared" si="398"/>
        <v>2.5</v>
      </c>
      <c r="AG4624" s="580">
        <f t="shared" si="399"/>
        <v>0</v>
      </c>
      <c r="AH4624" s="580">
        <f t="shared" si="400"/>
        <v>0</v>
      </c>
    </row>
    <row r="4625" spans="28:34">
      <c r="AB4625" s="580">
        <f>HLOOKUP("*"&amp;'Output annual'!$AC$2&amp;'Output annual'!$AD$2&amp;"*Zone People Number Of Occupants [](Hourly)",'Eplus results'!$1:$1048576,ROW(),FALSE)</f>
        <v>0</v>
      </c>
      <c r="AC4625" s="580">
        <f>HLOOKUP("*"&amp;'Output annual'!$AC$2&amp;'Output annual'!$AD$2&amp;"*FangerPMV(Hourly)",'Eplus results'!$1:$1048576,ROW(),FALSE)</f>
        <v>0</v>
      </c>
      <c r="AD4625" s="580">
        <f t="shared" si="396"/>
        <v>5</v>
      </c>
      <c r="AE4625" s="580">
        <f t="shared" si="397"/>
        <v>2.5</v>
      </c>
      <c r="AF4625" s="580">
        <f t="shared" si="398"/>
        <v>2.5</v>
      </c>
      <c r="AG4625" s="580">
        <f t="shared" si="399"/>
        <v>0</v>
      </c>
      <c r="AH4625" s="580">
        <f t="shared" si="400"/>
        <v>0</v>
      </c>
    </row>
    <row r="4626" spans="28:34">
      <c r="AB4626" s="580">
        <f>HLOOKUP("*"&amp;'Output annual'!$AC$2&amp;'Output annual'!$AD$2&amp;"*Zone People Number Of Occupants [](Hourly)",'Eplus results'!$1:$1048576,ROW(),FALSE)</f>
        <v>0</v>
      </c>
      <c r="AC4626" s="580">
        <f>HLOOKUP("*"&amp;'Output annual'!$AC$2&amp;'Output annual'!$AD$2&amp;"*FangerPMV(Hourly)",'Eplus results'!$1:$1048576,ROW(),FALSE)</f>
        <v>0</v>
      </c>
      <c r="AD4626" s="580">
        <f t="shared" si="396"/>
        <v>5</v>
      </c>
      <c r="AE4626" s="580">
        <f t="shared" si="397"/>
        <v>2.5</v>
      </c>
      <c r="AF4626" s="580">
        <f t="shared" si="398"/>
        <v>2.5</v>
      </c>
      <c r="AG4626" s="580">
        <f t="shared" si="399"/>
        <v>0</v>
      </c>
      <c r="AH4626" s="580">
        <f t="shared" si="400"/>
        <v>0</v>
      </c>
    </row>
    <row r="4627" spans="28:34">
      <c r="AB4627" s="580">
        <f>HLOOKUP("*"&amp;'Output annual'!$AC$2&amp;'Output annual'!$AD$2&amp;"*Zone People Number Of Occupants [](Hourly)",'Eplus results'!$1:$1048576,ROW(),FALSE)</f>
        <v>0</v>
      </c>
      <c r="AC4627" s="580">
        <f>HLOOKUP("*"&amp;'Output annual'!$AC$2&amp;'Output annual'!$AD$2&amp;"*FangerPMV(Hourly)",'Eplus results'!$1:$1048576,ROW(),FALSE)</f>
        <v>0</v>
      </c>
      <c r="AD4627" s="580">
        <f t="shared" si="396"/>
        <v>5</v>
      </c>
      <c r="AE4627" s="580">
        <f t="shared" si="397"/>
        <v>2.5</v>
      </c>
      <c r="AF4627" s="580">
        <f t="shared" si="398"/>
        <v>2.5</v>
      </c>
      <c r="AG4627" s="580">
        <f t="shared" si="399"/>
        <v>0</v>
      </c>
      <c r="AH4627" s="580">
        <f t="shared" si="400"/>
        <v>0</v>
      </c>
    </row>
    <row r="4628" spans="28:34">
      <c r="AB4628" s="580">
        <f>HLOOKUP("*"&amp;'Output annual'!$AC$2&amp;'Output annual'!$AD$2&amp;"*Zone People Number Of Occupants [](Hourly)",'Eplus results'!$1:$1048576,ROW(),FALSE)</f>
        <v>0</v>
      </c>
      <c r="AC4628" s="580">
        <f>HLOOKUP("*"&amp;'Output annual'!$AC$2&amp;'Output annual'!$AD$2&amp;"*FangerPMV(Hourly)",'Eplus results'!$1:$1048576,ROW(),FALSE)</f>
        <v>0</v>
      </c>
      <c r="AD4628" s="580">
        <f t="shared" si="396"/>
        <v>5</v>
      </c>
      <c r="AE4628" s="580">
        <f t="shared" si="397"/>
        <v>2.5</v>
      </c>
      <c r="AF4628" s="580">
        <f t="shared" si="398"/>
        <v>2.5</v>
      </c>
      <c r="AG4628" s="580">
        <f t="shared" si="399"/>
        <v>0</v>
      </c>
      <c r="AH4628" s="580">
        <f t="shared" si="400"/>
        <v>0</v>
      </c>
    </row>
    <row r="4629" spans="28:34">
      <c r="AB4629" s="580">
        <f>HLOOKUP("*"&amp;'Output annual'!$AC$2&amp;'Output annual'!$AD$2&amp;"*Zone People Number Of Occupants [](Hourly)",'Eplus results'!$1:$1048576,ROW(),FALSE)</f>
        <v>0</v>
      </c>
      <c r="AC4629" s="580">
        <f>HLOOKUP("*"&amp;'Output annual'!$AC$2&amp;'Output annual'!$AD$2&amp;"*FangerPMV(Hourly)",'Eplus results'!$1:$1048576,ROW(),FALSE)</f>
        <v>0</v>
      </c>
      <c r="AD4629" s="580">
        <f t="shared" si="396"/>
        <v>5</v>
      </c>
      <c r="AE4629" s="580">
        <f t="shared" si="397"/>
        <v>2.5</v>
      </c>
      <c r="AF4629" s="580">
        <f t="shared" si="398"/>
        <v>2.5</v>
      </c>
      <c r="AG4629" s="580">
        <f t="shared" si="399"/>
        <v>0</v>
      </c>
      <c r="AH4629" s="580">
        <f t="shared" si="400"/>
        <v>0</v>
      </c>
    </row>
    <row r="4630" spans="28:34">
      <c r="AB4630" s="580">
        <f>HLOOKUP("*"&amp;'Output annual'!$AC$2&amp;'Output annual'!$AD$2&amp;"*Zone People Number Of Occupants [](Hourly)",'Eplus results'!$1:$1048576,ROW(),FALSE)</f>
        <v>0</v>
      </c>
      <c r="AC4630" s="580">
        <f>HLOOKUP("*"&amp;'Output annual'!$AC$2&amp;'Output annual'!$AD$2&amp;"*FangerPMV(Hourly)",'Eplus results'!$1:$1048576,ROW(),FALSE)</f>
        <v>0</v>
      </c>
      <c r="AD4630" s="580">
        <f t="shared" si="396"/>
        <v>5</v>
      </c>
      <c r="AE4630" s="580">
        <f t="shared" si="397"/>
        <v>2.5</v>
      </c>
      <c r="AF4630" s="580">
        <f t="shared" si="398"/>
        <v>2.5</v>
      </c>
      <c r="AG4630" s="580">
        <f t="shared" si="399"/>
        <v>0</v>
      </c>
      <c r="AH4630" s="580">
        <f t="shared" si="400"/>
        <v>0</v>
      </c>
    </row>
    <row r="4631" spans="28:34">
      <c r="AB4631" s="580">
        <f>HLOOKUP("*"&amp;'Output annual'!$AC$2&amp;'Output annual'!$AD$2&amp;"*Zone People Number Of Occupants [](Hourly)",'Eplus results'!$1:$1048576,ROW(),FALSE)</f>
        <v>0</v>
      </c>
      <c r="AC4631" s="580">
        <f>HLOOKUP("*"&amp;'Output annual'!$AC$2&amp;'Output annual'!$AD$2&amp;"*FangerPMV(Hourly)",'Eplus results'!$1:$1048576,ROW(),FALSE)</f>
        <v>0</v>
      </c>
      <c r="AD4631" s="580">
        <f t="shared" si="396"/>
        <v>5</v>
      </c>
      <c r="AE4631" s="580">
        <f t="shared" si="397"/>
        <v>2.5</v>
      </c>
      <c r="AF4631" s="580">
        <f t="shared" si="398"/>
        <v>2.5</v>
      </c>
      <c r="AG4631" s="580">
        <f t="shared" si="399"/>
        <v>0</v>
      </c>
      <c r="AH4631" s="580">
        <f t="shared" si="400"/>
        <v>0</v>
      </c>
    </row>
    <row r="4632" spans="28:34">
      <c r="AB4632" s="580">
        <f>HLOOKUP("*"&amp;'Output annual'!$AC$2&amp;'Output annual'!$AD$2&amp;"*Zone People Number Of Occupants [](Hourly)",'Eplus results'!$1:$1048576,ROW(),FALSE)</f>
        <v>0</v>
      </c>
      <c r="AC4632" s="580">
        <f>HLOOKUP("*"&amp;'Output annual'!$AC$2&amp;'Output annual'!$AD$2&amp;"*FangerPMV(Hourly)",'Eplus results'!$1:$1048576,ROW(),FALSE)</f>
        <v>0</v>
      </c>
      <c r="AD4632" s="580">
        <f t="shared" si="396"/>
        <v>5</v>
      </c>
      <c r="AE4632" s="580">
        <f t="shared" si="397"/>
        <v>2.5</v>
      </c>
      <c r="AF4632" s="580">
        <f t="shared" si="398"/>
        <v>2.5</v>
      </c>
      <c r="AG4632" s="580">
        <f t="shared" si="399"/>
        <v>0</v>
      </c>
      <c r="AH4632" s="580">
        <f t="shared" si="400"/>
        <v>0</v>
      </c>
    </row>
    <row r="4633" spans="28:34">
      <c r="AB4633" s="580">
        <f>HLOOKUP("*"&amp;'Output annual'!$AC$2&amp;'Output annual'!$AD$2&amp;"*Zone People Number Of Occupants [](Hourly)",'Eplus results'!$1:$1048576,ROW(),FALSE)</f>
        <v>0</v>
      </c>
      <c r="AC4633" s="580">
        <f>HLOOKUP("*"&amp;'Output annual'!$AC$2&amp;'Output annual'!$AD$2&amp;"*FangerPMV(Hourly)",'Eplus results'!$1:$1048576,ROW(),FALSE)</f>
        <v>0</v>
      </c>
      <c r="AD4633" s="580">
        <f t="shared" si="396"/>
        <v>5</v>
      </c>
      <c r="AE4633" s="580">
        <f t="shared" si="397"/>
        <v>2.5</v>
      </c>
      <c r="AF4633" s="580">
        <f t="shared" si="398"/>
        <v>2.5</v>
      </c>
      <c r="AG4633" s="580">
        <f t="shared" si="399"/>
        <v>0</v>
      </c>
      <c r="AH4633" s="580">
        <f t="shared" si="400"/>
        <v>0</v>
      </c>
    </row>
    <row r="4634" spans="28:34">
      <c r="AB4634" s="580">
        <f>HLOOKUP("*"&amp;'Output annual'!$AC$2&amp;'Output annual'!$AD$2&amp;"*Zone People Number Of Occupants [](Hourly)",'Eplus results'!$1:$1048576,ROW(),FALSE)</f>
        <v>0</v>
      </c>
      <c r="AC4634" s="580">
        <f>HLOOKUP("*"&amp;'Output annual'!$AC$2&amp;'Output annual'!$AD$2&amp;"*FangerPMV(Hourly)",'Eplus results'!$1:$1048576,ROW(),FALSE)</f>
        <v>0</v>
      </c>
      <c r="AD4634" s="580">
        <f t="shared" si="396"/>
        <v>5</v>
      </c>
      <c r="AE4634" s="580">
        <f t="shared" si="397"/>
        <v>2.5</v>
      </c>
      <c r="AF4634" s="580">
        <f t="shared" si="398"/>
        <v>2.5</v>
      </c>
      <c r="AG4634" s="580">
        <f t="shared" si="399"/>
        <v>0</v>
      </c>
      <c r="AH4634" s="580">
        <f t="shared" si="400"/>
        <v>0</v>
      </c>
    </row>
    <row r="4635" spans="28:34">
      <c r="AB4635" s="580">
        <f>HLOOKUP("*"&amp;'Output annual'!$AC$2&amp;'Output annual'!$AD$2&amp;"*Zone People Number Of Occupants [](Hourly)",'Eplus results'!$1:$1048576,ROW(),FALSE)</f>
        <v>0</v>
      </c>
      <c r="AC4635" s="580">
        <f>HLOOKUP("*"&amp;'Output annual'!$AC$2&amp;'Output annual'!$AD$2&amp;"*FangerPMV(Hourly)",'Eplus results'!$1:$1048576,ROW(),FALSE)</f>
        <v>0</v>
      </c>
      <c r="AD4635" s="580">
        <f t="shared" si="396"/>
        <v>5</v>
      </c>
      <c r="AE4635" s="580">
        <f t="shared" si="397"/>
        <v>2.5</v>
      </c>
      <c r="AF4635" s="580">
        <f t="shared" si="398"/>
        <v>2.5</v>
      </c>
      <c r="AG4635" s="580">
        <f t="shared" si="399"/>
        <v>0</v>
      </c>
      <c r="AH4635" s="580">
        <f t="shared" si="400"/>
        <v>0</v>
      </c>
    </row>
    <row r="4636" spans="28:34">
      <c r="AB4636" s="580">
        <f>HLOOKUP("*"&amp;'Output annual'!$AC$2&amp;'Output annual'!$AD$2&amp;"*Zone People Number Of Occupants [](Hourly)",'Eplus results'!$1:$1048576,ROW(),FALSE)</f>
        <v>0</v>
      </c>
      <c r="AC4636" s="580">
        <f>HLOOKUP("*"&amp;'Output annual'!$AC$2&amp;'Output annual'!$AD$2&amp;"*FangerPMV(Hourly)",'Eplus results'!$1:$1048576,ROW(),FALSE)</f>
        <v>0</v>
      </c>
      <c r="AD4636" s="580">
        <f t="shared" si="396"/>
        <v>5</v>
      </c>
      <c r="AE4636" s="580">
        <f t="shared" si="397"/>
        <v>2.5</v>
      </c>
      <c r="AF4636" s="580">
        <f t="shared" si="398"/>
        <v>2.5</v>
      </c>
      <c r="AG4636" s="580">
        <f t="shared" si="399"/>
        <v>0</v>
      </c>
      <c r="AH4636" s="580">
        <f t="shared" si="400"/>
        <v>0</v>
      </c>
    </row>
    <row r="4637" spans="28:34">
      <c r="AB4637" s="580">
        <f>HLOOKUP("*"&amp;'Output annual'!$AC$2&amp;'Output annual'!$AD$2&amp;"*Zone People Number Of Occupants [](Hourly)",'Eplus results'!$1:$1048576,ROW(),FALSE)</f>
        <v>0</v>
      </c>
      <c r="AC4637" s="580">
        <f>HLOOKUP("*"&amp;'Output annual'!$AC$2&amp;'Output annual'!$AD$2&amp;"*FangerPMV(Hourly)",'Eplus results'!$1:$1048576,ROW(),FALSE)</f>
        <v>0</v>
      </c>
      <c r="AD4637" s="580">
        <f t="shared" si="396"/>
        <v>5</v>
      </c>
      <c r="AE4637" s="580">
        <f t="shared" si="397"/>
        <v>2.5</v>
      </c>
      <c r="AF4637" s="580">
        <f t="shared" si="398"/>
        <v>2.5</v>
      </c>
      <c r="AG4637" s="580">
        <f t="shared" si="399"/>
        <v>0</v>
      </c>
      <c r="AH4637" s="580">
        <f t="shared" si="400"/>
        <v>0</v>
      </c>
    </row>
    <row r="4638" spans="28:34">
      <c r="AB4638" s="580">
        <f>HLOOKUP("*"&amp;'Output annual'!$AC$2&amp;'Output annual'!$AD$2&amp;"*Zone People Number Of Occupants [](Hourly)",'Eplus results'!$1:$1048576,ROW(),FALSE)</f>
        <v>0</v>
      </c>
      <c r="AC4638" s="580">
        <f>HLOOKUP("*"&amp;'Output annual'!$AC$2&amp;'Output annual'!$AD$2&amp;"*FangerPMV(Hourly)",'Eplus results'!$1:$1048576,ROW(),FALSE)</f>
        <v>0</v>
      </c>
      <c r="AD4638" s="580">
        <f t="shared" si="396"/>
        <v>5</v>
      </c>
      <c r="AE4638" s="580">
        <f t="shared" si="397"/>
        <v>2.5</v>
      </c>
      <c r="AF4638" s="580">
        <f t="shared" si="398"/>
        <v>2.5</v>
      </c>
      <c r="AG4638" s="580">
        <f t="shared" si="399"/>
        <v>0</v>
      </c>
      <c r="AH4638" s="580">
        <f t="shared" si="400"/>
        <v>0</v>
      </c>
    </row>
    <row r="4639" spans="28:34">
      <c r="AB4639" s="580">
        <f>HLOOKUP("*"&amp;'Output annual'!$AC$2&amp;'Output annual'!$AD$2&amp;"*Zone People Number Of Occupants [](Hourly)",'Eplus results'!$1:$1048576,ROW(),FALSE)</f>
        <v>0</v>
      </c>
      <c r="AC4639" s="580">
        <f>HLOOKUP("*"&amp;'Output annual'!$AC$2&amp;'Output annual'!$AD$2&amp;"*FangerPMV(Hourly)",'Eplus results'!$1:$1048576,ROW(),FALSE)</f>
        <v>0</v>
      </c>
      <c r="AD4639" s="580">
        <f t="shared" si="396"/>
        <v>5</v>
      </c>
      <c r="AE4639" s="580">
        <f t="shared" si="397"/>
        <v>2.5</v>
      </c>
      <c r="AF4639" s="580">
        <f t="shared" si="398"/>
        <v>2.5</v>
      </c>
      <c r="AG4639" s="580">
        <f t="shared" si="399"/>
        <v>0</v>
      </c>
      <c r="AH4639" s="580">
        <f t="shared" si="400"/>
        <v>0</v>
      </c>
    </row>
    <row r="4640" spans="28:34">
      <c r="AB4640" s="580">
        <f>HLOOKUP("*"&amp;'Output annual'!$AC$2&amp;'Output annual'!$AD$2&amp;"*Zone People Number Of Occupants [](Hourly)",'Eplus results'!$1:$1048576,ROW(),FALSE)</f>
        <v>0</v>
      </c>
      <c r="AC4640" s="580">
        <f>HLOOKUP("*"&amp;'Output annual'!$AC$2&amp;'Output annual'!$AD$2&amp;"*FangerPMV(Hourly)",'Eplus results'!$1:$1048576,ROW(),FALSE)</f>
        <v>0</v>
      </c>
      <c r="AD4640" s="580">
        <f t="shared" si="396"/>
        <v>5</v>
      </c>
      <c r="AE4640" s="580">
        <f t="shared" si="397"/>
        <v>2.5</v>
      </c>
      <c r="AF4640" s="580">
        <f t="shared" si="398"/>
        <v>2.5</v>
      </c>
      <c r="AG4640" s="580">
        <f t="shared" si="399"/>
        <v>0</v>
      </c>
      <c r="AH4640" s="580">
        <f t="shared" si="400"/>
        <v>0</v>
      </c>
    </row>
    <row r="4641" spans="28:34">
      <c r="AB4641" s="580">
        <f>HLOOKUP("*"&amp;'Output annual'!$AC$2&amp;'Output annual'!$AD$2&amp;"*Zone People Number Of Occupants [](Hourly)",'Eplus results'!$1:$1048576,ROW(),FALSE)</f>
        <v>0</v>
      </c>
      <c r="AC4641" s="580">
        <f>HLOOKUP("*"&amp;'Output annual'!$AC$2&amp;'Output annual'!$AD$2&amp;"*FangerPMV(Hourly)",'Eplus results'!$1:$1048576,ROW(),FALSE)</f>
        <v>0</v>
      </c>
      <c r="AD4641" s="580">
        <f t="shared" si="396"/>
        <v>5</v>
      </c>
      <c r="AE4641" s="580">
        <f t="shared" si="397"/>
        <v>2.5</v>
      </c>
      <c r="AF4641" s="580">
        <f t="shared" si="398"/>
        <v>2.5</v>
      </c>
      <c r="AG4641" s="580">
        <f t="shared" si="399"/>
        <v>0</v>
      </c>
      <c r="AH4641" s="580">
        <f t="shared" si="400"/>
        <v>0</v>
      </c>
    </row>
    <row r="4642" spans="28:34">
      <c r="AB4642" s="580">
        <f>HLOOKUP("*"&amp;'Output annual'!$AC$2&amp;'Output annual'!$AD$2&amp;"*Zone People Number Of Occupants [](Hourly)",'Eplus results'!$1:$1048576,ROW(),FALSE)</f>
        <v>0</v>
      </c>
      <c r="AC4642" s="580">
        <f>HLOOKUP("*"&amp;'Output annual'!$AC$2&amp;'Output annual'!$AD$2&amp;"*FangerPMV(Hourly)",'Eplus results'!$1:$1048576,ROW(),FALSE)</f>
        <v>0</v>
      </c>
      <c r="AD4642" s="580">
        <f t="shared" si="396"/>
        <v>5</v>
      </c>
      <c r="AE4642" s="580">
        <f t="shared" si="397"/>
        <v>2.5</v>
      </c>
      <c r="AF4642" s="580">
        <f t="shared" si="398"/>
        <v>2.5</v>
      </c>
      <c r="AG4642" s="580">
        <f t="shared" si="399"/>
        <v>0</v>
      </c>
      <c r="AH4642" s="580">
        <f t="shared" si="400"/>
        <v>0</v>
      </c>
    </row>
    <row r="4643" spans="28:34">
      <c r="AB4643" s="580">
        <f>HLOOKUP("*"&amp;'Output annual'!$AC$2&amp;'Output annual'!$AD$2&amp;"*Zone People Number Of Occupants [](Hourly)",'Eplus results'!$1:$1048576,ROW(),FALSE)</f>
        <v>0</v>
      </c>
      <c r="AC4643" s="580">
        <f>HLOOKUP("*"&amp;'Output annual'!$AC$2&amp;'Output annual'!$AD$2&amp;"*FangerPMV(Hourly)",'Eplus results'!$1:$1048576,ROW(),FALSE)</f>
        <v>0</v>
      </c>
      <c r="AD4643" s="580">
        <f t="shared" si="396"/>
        <v>5</v>
      </c>
      <c r="AE4643" s="580">
        <f t="shared" si="397"/>
        <v>2.5</v>
      </c>
      <c r="AF4643" s="580">
        <f t="shared" si="398"/>
        <v>2.5</v>
      </c>
      <c r="AG4643" s="580">
        <f t="shared" si="399"/>
        <v>0</v>
      </c>
      <c r="AH4643" s="580">
        <f t="shared" si="400"/>
        <v>0</v>
      </c>
    </row>
    <row r="4644" spans="28:34">
      <c r="AB4644" s="580">
        <f>HLOOKUP("*"&amp;'Output annual'!$AC$2&amp;'Output annual'!$AD$2&amp;"*Zone People Number Of Occupants [](Hourly)",'Eplus results'!$1:$1048576,ROW(),FALSE)</f>
        <v>0</v>
      </c>
      <c r="AC4644" s="580">
        <f>HLOOKUP("*"&amp;'Output annual'!$AC$2&amp;'Output annual'!$AD$2&amp;"*FangerPMV(Hourly)",'Eplus results'!$1:$1048576,ROW(),FALSE)</f>
        <v>0</v>
      </c>
      <c r="AD4644" s="580">
        <f t="shared" si="396"/>
        <v>5</v>
      </c>
      <c r="AE4644" s="580">
        <f t="shared" si="397"/>
        <v>2.5</v>
      </c>
      <c r="AF4644" s="580">
        <f t="shared" si="398"/>
        <v>2.5</v>
      </c>
      <c r="AG4644" s="580">
        <f t="shared" si="399"/>
        <v>0</v>
      </c>
      <c r="AH4644" s="580">
        <f t="shared" si="400"/>
        <v>0</v>
      </c>
    </row>
    <row r="4645" spans="28:34">
      <c r="AB4645" s="580">
        <f>HLOOKUP("*"&amp;'Output annual'!$AC$2&amp;'Output annual'!$AD$2&amp;"*Zone People Number Of Occupants [](Hourly)",'Eplus results'!$1:$1048576,ROW(),FALSE)</f>
        <v>0</v>
      </c>
      <c r="AC4645" s="580">
        <f>HLOOKUP("*"&amp;'Output annual'!$AC$2&amp;'Output annual'!$AD$2&amp;"*FangerPMV(Hourly)",'Eplus results'!$1:$1048576,ROW(),FALSE)</f>
        <v>0</v>
      </c>
      <c r="AD4645" s="580">
        <f t="shared" si="396"/>
        <v>5</v>
      </c>
      <c r="AE4645" s="580">
        <f t="shared" si="397"/>
        <v>2.5</v>
      </c>
      <c r="AF4645" s="580">
        <f t="shared" si="398"/>
        <v>2.5</v>
      </c>
      <c r="AG4645" s="580">
        <f t="shared" si="399"/>
        <v>0</v>
      </c>
      <c r="AH4645" s="580">
        <f t="shared" si="400"/>
        <v>0</v>
      </c>
    </row>
    <row r="4646" spans="28:34">
      <c r="AB4646" s="580">
        <f>HLOOKUP("*"&amp;'Output annual'!$AC$2&amp;'Output annual'!$AD$2&amp;"*Zone People Number Of Occupants [](Hourly)",'Eplus results'!$1:$1048576,ROW(),FALSE)</f>
        <v>0</v>
      </c>
      <c r="AC4646" s="580">
        <f>HLOOKUP("*"&amp;'Output annual'!$AC$2&amp;'Output annual'!$AD$2&amp;"*FangerPMV(Hourly)",'Eplus results'!$1:$1048576,ROW(),FALSE)</f>
        <v>0</v>
      </c>
      <c r="AD4646" s="580">
        <f t="shared" si="396"/>
        <v>5</v>
      </c>
      <c r="AE4646" s="580">
        <f t="shared" si="397"/>
        <v>2.5</v>
      </c>
      <c r="AF4646" s="580">
        <f t="shared" si="398"/>
        <v>2.5</v>
      </c>
      <c r="AG4646" s="580">
        <f t="shared" si="399"/>
        <v>0</v>
      </c>
      <c r="AH4646" s="580">
        <f t="shared" si="400"/>
        <v>0</v>
      </c>
    </row>
    <row r="4647" spans="28:34">
      <c r="AB4647" s="580">
        <f>HLOOKUP("*"&amp;'Output annual'!$AC$2&amp;'Output annual'!$AD$2&amp;"*Zone People Number Of Occupants [](Hourly)",'Eplus results'!$1:$1048576,ROW(),FALSE)</f>
        <v>0</v>
      </c>
      <c r="AC4647" s="580">
        <f>HLOOKUP("*"&amp;'Output annual'!$AC$2&amp;'Output annual'!$AD$2&amp;"*FangerPMV(Hourly)",'Eplus results'!$1:$1048576,ROW(),FALSE)</f>
        <v>0</v>
      </c>
      <c r="AD4647" s="580">
        <f t="shared" si="396"/>
        <v>5</v>
      </c>
      <c r="AE4647" s="580">
        <f t="shared" si="397"/>
        <v>2.5</v>
      </c>
      <c r="AF4647" s="580">
        <f t="shared" si="398"/>
        <v>2.5</v>
      </c>
      <c r="AG4647" s="580">
        <f t="shared" si="399"/>
        <v>0</v>
      </c>
      <c r="AH4647" s="580">
        <f t="shared" si="400"/>
        <v>0</v>
      </c>
    </row>
    <row r="4648" spans="28:34">
      <c r="AB4648" s="580">
        <f>HLOOKUP("*"&amp;'Output annual'!$AC$2&amp;'Output annual'!$AD$2&amp;"*Zone People Number Of Occupants [](Hourly)",'Eplus results'!$1:$1048576,ROW(),FALSE)</f>
        <v>0</v>
      </c>
      <c r="AC4648" s="580">
        <f>HLOOKUP("*"&amp;'Output annual'!$AC$2&amp;'Output annual'!$AD$2&amp;"*FangerPMV(Hourly)",'Eplus results'!$1:$1048576,ROW(),FALSE)</f>
        <v>0</v>
      </c>
      <c r="AD4648" s="580">
        <f t="shared" si="396"/>
        <v>5</v>
      </c>
      <c r="AE4648" s="580">
        <f t="shared" si="397"/>
        <v>2.5</v>
      </c>
      <c r="AF4648" s="580">
        <f t="shared" si="398"/>
        <v>2.5</v>
      </c>
      <c r="AG4648" s="580">
        <f t="shared" si="399"/>
        <v>0</v>
      </c>
      <c r="AH4648" s="580">
        <f t="shared" si="400"/>
        <v>0</v>
      </c>
    </row>
    <row r="4649" spans="28:34">
      <c r="AB4649" s="580">
        <f>HLOOKUP("*"&amp;'Output annual'!$AC$2&amp;'Output annual'!$AD$2&amp;"*Zone People Number Of Occupants [](Hourly)",'Eplus results'!$1:$1048576,ROW(),FALSE)</f>
        <v>0</v>
      </c>
      <c r="AC4649" s="580">
        <f>HLOOKUP("*"&amp;'Output annual'!$AC$2&amp;'Output annual'!$AD$2&amp;"*FangerPMV(Hourly)",'Eplus results'!$1:$1048576,ROW(),FALSE)</f>
        <v>0</v>
      </c>
      <c r="AD4649" s="580">
        <f t="shared" si="396"/>
        <v>5</v>
      </c>
      <c r="AE4649" s="580">
        <f t="shared" si="397"/>
        <v>2.5</v>
      </c>
      <c r="AF4649" s="580">
        <f t="shared" si="398"/>
        <v>2.5</v>
      </c>
      <c r="AG4649" s="580">
        <f t="shared" si="399"/>
        <v>0</v>
      </c>
      <c r="AH4649" s="580">
        <f t="shared" si="400"/>
        <v>0</v>
      </c>
    </row>
    <row r="4650" spans="28:34">
      <c r="AB4650" s="580">
        <f>HLOOKUP("*"&amp;'Output annual'!$AC$2&amp;'Output annual'!$AD$2&amp;"*Zone People Number Of Occupants [](Hourly)",'Eplus results'!$1:$1048576,ROW(),FALSE)</f>
        <v>0</v>
      </c>
      <c r="AC4650" s="580">
        <f>HLOOKUP("*"&amp;'Output annual'!$AC$2&amp;'Output annual'!$AD$2&amp;"*FangerPMV(Hourly)",'Eplus results'!$1:$1048576,ROW(),FALSE)</f>
        <v>0</v>
      </c>
      <c r="AD4650" s="580">
        <f t="shared" si="396"/>
        <v>5</v>
      </c>
      <c r="AE4650" s="580">
        <f t="shared" si="397"/>
        <v>2.5</v>
      </c>
      <c r="AF4650" s="580">
        <f t="shared" si="398"/>
        <v>2.5</v>
      </c>
      <c r="AG4650" s="580">
        <f t="shared" si="399"/>
        <v>0</v>
      </c>
      <c r="AH4650" s="580">
        <f t="shared" si="400"/>
        <v>0</v>
      </c>
    </row>
    <row r="4651" spans="28:34">
      <c r="AB4651" s="580">
        <f>HLOOKUP("*"&amp;'Output annual'!$AC$2&amp;'Output annual'!$AD$2&amp;"*Zone People Number Of Occupants [](Hourly)",'Eplus results'!$1:$1048576,ROW(),FALSE)</f>
        <v>0</v>
      </c>
      <c r="AC4651" s="580">
        <f>HLOOKUP("*"&amp;'Output annual'!$AC$2&amp;'Output annual'!$AD$2&amp;"*FangerPMV(Hourly)",'Eplus results'!$1:$1048576,ROW(),FALSE)</f>
        <v>0</v>
      </c>
      <c r="AD4651" s="580">
        <f t="shared" si="396"/>
        <v>5</v>
      </c>
      <c r="AE4651" s="580">
        <f t="shared" si="397"/>
        <v>2.5</v>
      </c>
      <c r="AF4651" s="580">
        <f t="shared" si="398"/>
        <v>2.5</v>
      </c>
      <c r="AG4651" s="580">
        <f t="shared" si="399"/>
        <v>0</v>
      </c>
      <c r="AH4651" s="580">
        <f t="shared" si="400"/>
        <v>0</v>
      </c>
    </row>
    <row r="4652" spans="28:34">
      <c r="AB4652" s="580">
        <f>HLOOKUP("*"&amp;'Output annual'!$AC$2&amp;'Output annual'!$AD$2&amp;"*Zone People Number Of Occupants [](Hourly)",'Eplus results'!$1:$1048576,ROW(),FALSE)</f>
        <v>0</v>
      </c>
      <c r="AC4652" s="580">
        <f>HLOOKUP("*"&amp;'Output annual'!$AC$2&amp;'Output annual'!$AD$2&amp;"*FangerPMV(Hourly)",'Eplus results'!$1:$1048576,ROW(),FALSE)</f>
        <v>0</v>
      </c>
      <c r="AD4652" s="580">
        <f t="shared" si="396"/>
        <v>5</v>
      </c>
      <c r="AE4652" s="580">
        <f t="shared" si="397"/>
        <v>2.5</v>
      </c>
      <c r="AF4652" s="580">
        <f t="shared" si="398"/>
        <v>2.5</v>
      </c>
      <c r="AG4652" s="580">
        <f t="shared" si="399"/>
        <v>0</v>
      </c>
      <c r="AH4652" s="580">
        <f t="shared" si="400"/>
        <v>0</v>
      </c>
    </row>
    <row r="4653" spans="28:34">
      <c r="AB4653" s="580">
        <f>HLOOKUP("*"&amp;'Output annual'!$AC$2&amp;'Output annual'!$AD$2&amp;"*Zone People Number Of Occupants [](Hourly)",'Eplus results'!$1:$1048576,ROW(),FALSE)</f>
        <v>0</v>
      </c>
      <c r="AC4653" s="580">
        <f>HLOOKUP("*"&amp;'Output annual'!$AC$2&amp;'Output annual'!$AD$2&amp;"*FangerPMV(Hourly)",'Eplus results'!$1:$1048576,ROW(),FALSE)</f>
        <v>0</v>
      </c>
      <c r="AD4653" s="580">
        <f t="shared" si="396"/>
        <v>5</v>
      </c>
      <c r="AE4653" s="580">
        <f t="shared" si="397"/>
        <v>2.5</v>
      </c>
      <c r="AF4653" s="580">
        <f t="shared" si="398"/>
        <v>2.5</v>
      </c>
      <c r="AG4653" s="580">
        <f t="shared" si="399"/>
        <v>0</v>
      </c>
      <c r="AH4653" s="580">
        <f t="shared" si="400"/>
        <v>0</v>
      </c>
    </row>
    <row r="4654" spans="28:34">
      <c r="AB4654" s="580">
        <f>HLOOKUP("*"&amp;'Output annual'!$AC$2&amp;'Output annual'!$AD$2&amp;"*Zone People Number Of Occupants [](Hourly)",'Eplus results'!$1:$1048576,ROW(),FALSE)</f>
        <v>0</v>
      </c>
      <c r="AC4654" s="580">
        <f>HLOOKUP("*"&amp;'Output annual'!$AC$2&amp;'Output annual'!$AD$2&amp;"*FangerPMV(Hourly)",'Eplus results'!$1:$1048576,ROW(),FALSE)</f>
        <v>0</v>
      </c>
      <c r="AD4654" s="580">
        <f t="shared" si="396"/>
        <v>5</v>
      </c>
      <c r="AE4654" s="580">
        <f t="shared" si="397"/>
        <v>2.5</v>
      </c>
      <c r="AF4654" s="580">
        <f t="shared" si="398"/>
        <v>2.5</v>
      </c>
      <c r="AG4654" s="580">
        <f t="shared" si="399"/>
        <v>0</v>
      </c>
      <c r="AH4654" s="580">
        <f t="shared" si="400"/>
        <v>0</v>
      </c>
    </row>
    <row r="4655" spans="28:34">
      <c r="AB4655" s="580">
        <f>HLOOKUP("*"&amp;'Output annual'!$AC$2&amp;'Output annual'!$AD$2&amp;"*Zone People Number Of Occupants [](Hourly)",'Eplus results'!$1:$1048576,ROW(),FALSE)</f>
        <v>0</v>
      </c>
      <c r="AC4655" s="580">
        <f>HLOOKUP("*"&amp;'Output annual'!$AC$2&amp;'Output annual'!$AD$2&amp;"*FangerPMV(Hourly)",'Eplus results'!$1:$1048576,ROW(),FALSE)</f>
        <v>0</v>
      </c>
      <c r="AD4655" s="580">
        <f t="shared" si="396"/>
        <v>5</v>
      </c>
      <c r="AE4655" s="580">
        <f t="shared" si="397"/>
        <v>2.5</v>
      </c>
      <c r="AF4655" s="580">
        <f t="shared" si="398"/>
        <v>2.5</v>
      </c>
      <c r="AG4655" s="580">
        <f t="shared" si="399"/>
        <v>0</v>
      </c>
      <c r="AH4655" s="580">
        <f t="shared" si="400"/>
        <v>0</v>
      </c>
    </row>
    <row r="4656" spans="28:34">
      <c r="AB4656" s="580">
        <f>HLOOKUP("*"&amp;'Output annual'!$AC$2&amp;'Output annual'!$AD$2&amp;"*Zone People Number Of Occupants [](Hourly)",'Eplus results'!$1:$1048576,ROW(),FALSE)</f>
        <v>0</v>
      </c>
      <c r="AC4656" s="580">
        <f>HLOOKUP("*"&amp;'Output annual'!$AC$2&amp;'Output annual'!$AD$2&amp;"*FangerPMV(Hourly)",'Eplus results'!$1:$1048576,ROW(),FALSE)</f>
        <v>0</v>
      </c>
      <c r="AD4656" s="580">
        <f t="shared" si="396"/>
        <v>5</v>
      </c>
      <c r="AE4656" s="580">
        <f t="shared" si="397"/>
        <v>2.5</v>
      </c>
      <c r="AF4656" s="580">
        <f t="shared" si="398"/>
        <v>2.5</v>
      </c>
      <c r="AG4656" s="580">
        <f t="shared" si="399"/>
        <v>0</v>
      </c>
      <c r="AH4656" s="580">
        <f t="shared" si="400"/>
        <v>0</v>
      </c>
    </row>
    <row r="4657" spans="28:34">
      <c r="AB4657" s="580">
        <f>HLOOKUP("*"&amp;'Output annual'!$AC$2&amp;'Output annual'!$AD$2&amp;"*Zone People Number Of Occupants [](Hourly)",'Eplus results'!$1:$1048576,ROW(),FALSE)</f>
        <v>0</v>
      </c>
      <c r="AC4657" s="580">
        <f>HLOOKUP("*"&amp;'Output annual'!$AC$2&amp;'Output annual'!$AD$2&amp;"*FangerPMV(Hourly)",'Eplus results'!$1:$1048576,ROW(),FALSE)</f>
        <v>0</v>
      </c>
      <c r="AD4657" s="580">
        <f t="shared" si="396"/>
        <v>5</v>
      </c>
      <c r="AE4657" s="580">
        <f t="shared" si="397"/>
        <v>2.5</v>
      </c>
      <c r="AF4657" s="580">
        <f t="shared" si="398"/>
        <v>2.5</v>
      </c>
      <c r="AG4657" s="580">
        <f t="shared" si="399"/>
        <v>0</v>
      </c>
      <c r="AH4657" s="580">
        <f t="shared" si="400"/>
        <v>0</v>
      </c>
    </row>
    <row r="4658" spans="28:34">
      <c r="AB4658" s="580">
        <f>HLOOKUP("*"&amp;'Output annual'!$AC$2&amp;'Output annual'!$AD$2&amp;"*Zone People Number Of Occupants [](Hourly)",'Eplus results'!$1:$1048576,ROW(),FALSE)</f>
        <v>0</v>
      </c>
      <c r="AC4658" s="580">
        <f>HLOOKUP("*"&amp;'Output annual'!$AC$2&amp;'Output annual'!$AD$2&amp;"*FangerPMV(Hourly)",'Eplus results'!$1:$1048576,ROW(),FALSE)</f>
        <v>0</v>
      </c>
      <c r="AD4658" s="580">
        <f t="shared" si="396"/>
        <v>5</v>
      </c>
      <c r="AE4658" s="580">
        <f t="shared" si="397"/>
        <v>2.5</v>
      </c>
      <c r="AF4658" s="580">
        <f t="shared" si="398"/>
        <v>2.5</v>
      </c>
      <c r="AG4658" s="580">
        <f t="shared" si="399"/>
        <v>0</v>
      </c>
      <c r="AH4658" s="580">
        <f t="shared" si="400"/>
        <v>0</v>
      </c>
    </row>
    <row r="4659" spans="28:34">
      <c r="AB4659" s="580">
        <f>HLOOKUP("*"&amp;'Output annual'!$AC$2&amp;'Output annual'!$AD$2&amp;"*Zone People Number Of Occupants [](Hourly)",'Eplus results'!$1:$1048576,ROW(),FALSE)</f>
        <v>0</v>
      </c>
      <c r="AC4659" s="580">
        <f>HLOOKUP("*"&amp;'Output annual'!$AC$2&amp;'Output annual'!$AD$2&amp;"*FangerPMV(Hourly)",'Eplus results'!$1:$1048576,ROW(),FALSE)</f>
        <v>0</v>
      </c>
      <c r="AD4659" s="580">
        <f t="shared" si="396"/>
        <v>5</v>
      </c>
      <c r="AE4659" s="580">
        <f t="shared" si="397"/>
        <v>2.5</v>
      </c>
      <c r="AF4659" s="580">
        <f t="shared" si="398"/>
        <v>2.5</v>
      </c>
      <c r="AG4659" s="580">
        <f t="shared" si="399"/>
        <v>0</v>
      </c>
      <c r="AH4659" s="580">
        <f t="shared" si="400"/>
        <v>0</v>
      </c>
    </row>
    <row r="4660" spans="28:34">
      <c r="AB4660" s="580">
        <f>HLOOKUP("*"&amp;'Output annual'!$AC$2&amp;'Output annual'!$AD$2&amp;"*Zone People Number Of Occupants [](Hourly)",'Eplus results'!$1:$1048576,ROW(),FALSE)</f>
        <v>0</v>
      </c>
      <c r="AC4660" s="580">
        <f>HLOOKUP("*"&amp;'Output annual'!$AC$2&amp;'Output annual'!$AD$2&amp;"*FangerPMV(Hourly)",'Eplus results'!$1:$1048576,ROW(),FALSE)</f>
        <v>0</v>
      </c>
      <c r="AD4660" s="580">
        <f t="shared" si="396"/>
        <v>5</v>
      </c>
      <c r="AE4660" s="580">
        <f t="shared" si="397"/>
        <v>2.5</v>
      </c>
      <c r="AF4660" s="580">
        <f t="shared" si="398"/>
        <v>2.5</v>
      </c>
      <c r="AG4660" s="580">
        <f t="shared" si="399"/>
        <v>0</v>
      </c>
      <c r="AH4660" s="580">
        <f t="shared" si="400"/>
        <v>0</v>
      </c>
    </row>
    <row r="4661" spans="28:34">
      <c r="AB4661" s="580">
        <f>HLOOKUP("*"&amp;'Output annual'!$AC$2&amp;'Output annual'!$AD$2&amp;"*Zone People Number Of Occupants [](Hourly)",'Eplus results'!$1:$1048576,ROW(),FALSE)</f>
        <v>0</v>
      </c>
      <c r="AC4661" s="580">
        <f>HLOOKUP("*"&amp;'Output annual'!$AC$2&amp;'Output annual'!$AD$2&amp;"*FangerPMV(Hourly)",'Eplus results'!$1:$1048576,ROW(),FALSE)</f>
        <v>0</v>
      </c>
      <c r="AD4661" s="580">
        <f t="shared" si="396"/>
        <v>5</v>
      </c>
      <c r="AE4661" s="580">
        <f t="shared" si="397"/>
        <v>2.5</v>
      </c>
      <c r="AF4661" s="580">
        <f t="shared" si="398"/>
        <v>2.5</v>
      </c>
      <c r="AG4661" s="580">
        <f t="shared" si="399"/>
        <v>0</v>
      </c>
      <c r="AH4661" s="580">
        <f t="shared" si="400"/>
        <v>0</v>
      </c>
    </row>
    <row r="4662" spans="28:34">
      <c r="AB4662" s="580">
        <f>HLOOKUP("*"&amp;'Output annual'!$AC$2&amp;'Output annual'!$AD$2&amp;"*Zone People Number Of Occupants [](Hourly)",'Eplus results'!$1:$1048576,ROW(),FALSE)</f>
        <v>0</v>
      </c>
      <c r="AC4662" s="580">
        <f>HLOOKUP("*"&amp;'Output annual'!$AC$2&amp;'Output annual'!$AD$2&amp;"*FangerPMV(Hourly)",'Eplus results'!$1:$1048576,ROW(),FALSE)</f>
        <v>0</v>
      </c>
      <c r="AD4662" s="580">
        <f t="shared" si="396"/>
        <v>5</v>
      </c>
      <c r="AE4662" s="580">
        <f t="shared" si="397"/>
        <v>2.5</v>
      </c>
      <c r="AF4662" s="580">
        <f t="shared" si="398"/>
        <v>2.5</v>
      </c>
      <c r="AG4662" s="580">
        <f t="shared" si="399"/>
        <v>0</v>
      </c>
      <c r="AH4662" s="580">
        <f t="shared" si="400"/>
        <v>0</v>
      </c>
    </row>
    <row r="4663" spans="28:34">
      <c r="AB4663" s="580">
        <f>HLOOKUP("*"&amp;'Output annual'!$AC$2&amp;'Output annual'!$AD$2&amp;"*Zone People Number Of Occupants [](Hourly)",'Eplus results'!$1:$1048576,ROW(),FALSE)</f>
        <v>0</v>
      </c>
      <c r="AC4663" s="580">
        <f>HLOOKUP("*"&amp;'Output annual'!$AC$2&amp;'Output annual'!$AD$2&amp;"*FangerPMV(Hourly)",'Eplus results'!$1:$1048576,ROW(),FALSE)</f>
        <v>0</v>
      </c>
      <c r="AD4663" s="580">
        <f t="shared" si="396"/>
        <v>5</v>
      </c>
      <c r="AE4663" s="580">
        <f t="shared" si="397"/>
        <v>2.5</v>
      </c>
      <c r="AF4663" s="580">
        <f t="shared" si="398"/>
        <v>2.5</v>
      </c>
      <c r="AG4663" s="580">
        <f t="shared" si="399"/>
        <v>0</v>
      </c>
      <c r="AH4663" s="580">
        <f t="shared" si="400"/>
        <v>0</v>
      </c>
    </row>
    <row r="4664" spans="28:34">
      <c r="AB4664" s="580">
        <f>HLOOKUP("*"&amp;'Output annual'!$AC$2&amp;'Output annual'!$AD$2&amp;"*Zone People Number Of Occupants [](Hourly)",'Eplus results'!$1:$1048576,ROW(),FALSE)</f>
        <v>0</v>
      </c>
      <c r="AC4664" s="580">
        <f>HLOOKUP("*"&amp;'Output annual'!$AC$2&amp;'Output annual'!$AD$2&amp;"*FangerPMV(Hourly)",'Eplus results'!$1:$1048576,ROW(),FALSE)</f>
        <v>0</v>
      </c>
      <c r="AD4664" s="580">
        <f t="shared" si="396"/>
        <v>5</v>
      </c>
      <c r="AE4664" s="580">
        <f t="shared" si="397"/>
        <v>2.5</v>
      </c>
      <c r="AF4664" s="580">
        <f t="shared" si="398"/>
        <v>2.5</v>
      </c>
      <c r="AG4664" s="580">
        <f t="shared" si="399"/>
        <v>0</v>
      </c>
      <c r="AH4664" s="580">
        <f t="shared" si="400"/>
        <v>0</v>
      </c>
    </row>
    <row r="4665" spans="28:34">
      <c r="AB4665" s="580">
        <f>HLOOKUP("*"&amp;'Output annual'!$AC$2&amp;'Output annual'!$AD$2&amp;"*Zone People Number Of Occupants [](Hourly)",'Eplus results'!$1:$1048576,ROW(),FALSE)</f>
        <v>0</v>
      </c>
      <c r="AC4665" s="580">
        <f>HLOOKUP("*"&amp;'Output annual'!$AC$2&amp;'Output annual'!$AD$2&amp;"*FangerPMV(Hourly)",'Eplus results'!$1:$1048576,ROW(),FALSE)</f>
        <v>0</v>
      </c>
      <c r="AD4665" s="580">
        <f t="shared" si="396"/>
        <v>5</v>
      </c>
      <c r="AE4665" s="580">
        <f t="shared" si="397"/>
        <v>2.5</v>
      </c>
      <c r="AF4665" s="580">
        <f t="shared" si="398"/>
        <v>2.5</v>
      </c>
      <c r="AG4665" s="580">
        <f t="shared" si="399"/>
        <v>0</v>
      </c>
      <c r="AH4665" s="580">
        <f t="shared" si="400"/>
        <v>0</v>
      </c>
    </row>
    <row r="4666" spans="28:34">
      <c r="AB4666" s="580">
        <f>HLOOKUP("*"&amp;'Output annual'!$AC$2&amp;'Output annual'!$AD$2&amp;"*Zone People Number Of Occupants [](Hourly)",'Eplus results'!$1:$1048576,ROW(),FALSE)</f>
        <v>0</v>
      </c>
      <c r="AC4666" s="580">
        <f>HLOOKUP("*"&amp;'Output annual'!$AC$2&amp;'Output annual'!$AD$2&amp;"*FangerPMV(Hourly)",'Eplus results'!$1:$1048576,ROW(),FALSE)</f>
        <v>0</v>
      </c>
      <c r="AD4666" s="580">
        <f t="shared" si="396"/>
        <v>5</v>
      </c>
      <c r="AE4666" s="580">
        <f t="shared" si="397"/>
        <v>2.5</v>
      </c>
      <c r="AF4666" s="580">
        <f t="shared" si="398"/>
        <v>2.5</v>
      </c>
      <c r="AG4666" s="580">
        <f t="shared" si="399"/>
        <v>0</v>
      </c>
      <c r="AH4666" s="580">
        <f t="shared" si="400"/>
        <v>0</v>
      </c>
    </row>
    <row r="4667" spans="28:34">
      <c r="AB4667" s="580">
        <f>HLOOKUP("*"&amp;'Output annual'!$AC$2&amp;'Output annual'!$AD$2&amp;"*Zone People Number Of Occupants [](Hourly)",'Eplus results'!$1:$1048576,ROW(),FALSE)</f>
        <v>0</v>
      </c>
      <c r="AC4667" s="580">
        <f>HLOOKUP("*"&amp;'Output annual'!$AC$2&amp;'Output annual'!$AD$2&amp;"*FangerPMV(Hourly)",'Eplus results'!$1:$1048576,ROW(),FALSE)</f>
        <v>0</v>
      </c>
      <c r="AD4667" s="580">
        <f t="shared" si="396"/>
        <v>5</v>
      </c>
      <c r="AE4667" s="580">
        <f t="shared" si="397"/>
        <v>2.5</v>
      </c>
      <c r="AF4667" s="580">
        <f t="shared" si="398"/>
        <v>2.5</v>
      </c>
      <c r="AG4667" s="580">
        <f t="shared" si="399"/>
        <v>0</v>
      </c>
      <c r="AH4667" s="580">
        <f t="shared" si="400"/>
        <v>0</v>
      </c>
    </row>
    <row r="4668" spans="28:34">
      <c r="AB4668" s="580">
        <f>HLOOKUP("*"&amp;'Output annual'!$AC$2&amp;'Output annual'!$AD$2&amp;"*Zone People Number Of Occupants [](Hourly)",'Eplus results'!$1:$1048576,ROW(),FALSE)</f>
        <v>0</v>
      </c>
      <c r="AC4668" s="580">
        <f>HLOOKUP("*"&amp;'Output annual'!$AC$2&amp;'Output annual'!$AD$2&amp;"*FangerPMV(Hourly)",'Eplus results'!$1:$1048576,ROW(),FALSE)</f>
        <v>0</v>
      </c>
      <c r="AD4668" s="580">
        <f t="shared" si="396"/>
        <v>5</v>
      </c>
      <c r="AE4668" s="580">
        <f t="shared" si="397"/>
        <v>2.5</v>
      </c>
      <c r="AF4668" s="580">
        <f t="shared" si="398"/>
        <v>2.5</v>
      </c>
      <c r="AG4668" s="580">
        <f t="shared" si="399"/>
        <v>0</v>
      </c>
      <c r="AH4668" s="580">
        <f t="shared" si="400"/>
        <v>0</v>
      </c>
    </row>
    <row r="4669" spans="28:34">
      <c r="AB4669" s="580">
        <f>HLOOKUP("*"&amp;'Output annual'!$AC$2&amp;'Output annual'!$AD$2&amp;"*Zone People Number Of Occupants [](Hourly)",'Eplus results'!$1:$1048576,ROW(),FALSE)</f>
        <v>0</v>
      </c>
      <c r="AC4669" s="580">
        <f>HLOOKUP("*"&amp;'Output annual'!$AC$2&amp;'Output annual'!$AD$2&amp;"*FangerPMV(Hourly)",'Eplus results'!$1:$1048576,ROW(),FALSE)</f>
        <v>0</v>
      </c>
      <c r="AD4669" s="580">
        <f t="shared" si="396"/>
        <v>5</v>
      </c>
      <c r="AE4669" s="580">
        <f t="shared" si="397"/>
        <v>2.5</v>
      </c>
      <c r="AF4669" s="580">
        <f t="shared" si="398"/>
        <v>2.5</v>
      </c>
      <c r="AG4669" s="580">
        <f t="shared" si="399"/>
        <v>0</v>
      </c>
      <c r="AH4669" s="580">
        <f t="shared" si="400"/>
        <v>0</v>
      </c>
    </row>
    <row r="4670" spans="28:34">
      <c r="AB4670" s="580">
        <f>HLOOKUP("*"&amp;'Output annual'!$AC$2&amp;'Output annual'!$AD$2&amp;"*Zone People Number Of Occupants [](Hourly)",'Eplus results'!$1:$1048576,ROW(),FALSE)</f>
        <v>0</v>
      </c>
      <c r="AC4670" s="580">
        <f>HLOOKUP("*"&amp;'Output annual'!$AC$2&amp;'Output annual'!$AD$2&amp;"*FangerPMV(Hourly)",'Eplus results'!$1:$1048576,ROW(),FALSE)</f>
        <v>0</v>
      </c>
      <c r="AD4670" s="580">
        <f t="shared" si="396"/>
        <v>5</v>
      </c>
      <c r="AE4670" s="580">
        <f t="shared" si="397"/>
        <v>2.5</v>
      </c>
      <c r="AF4670" s="580">
        <f t="shared" si="398"/>
        <v>2.5</v>
      </c>
      <c r="AG4670" s="580">
        <f t="shared" si="399"/>
        <v>0</v>
      </c>
      <c r="AH4670" s="580">
        <f t="shared" si="400"/>
        <v>0</v>
      </c>
    </row>
    <row r="4671" spans="28:34">
      <c r="AB4671" s="580">
        <f>HLOOKUP("*"&amp;'Output annual'!$AC$2&amp;'Output annual'!$AD$2&amp;"*Zone People Number Of Occupants [](Hourly)",'Eplus results'!$1:$1048576,ROW(),FALSE)</f>
        <v>0</v>
      </c>
      <c r="AC4671" s="580">
        <f>HLOOKUP("*"&amp;'Output annual'!$AC$2&amp;'Output annual'!$AD$2&amp;"*FangerPMV(Hourly)",'Eplus results'!$1:$1048576,ROW(),FALSE)</f>
        <v>0</v>
      </c>
      <c r="AD4671" s="580">
        <f t="shared" si="396"/>
        <v>5</v>
      </c>
      <c r="AE4671" s="580">
        <f t="shared" si="397"/>
        <v>2.5</v>
      </c>
      <c r="AF4671" s="580">
        <f t="shared" si="398"/>
        <v>2.5</v>
      </c>
      <c r="AG4671" s="580">
        <f t="shared" si="399"/>
        <v>0</v>
      </c>
      <c r="AH4671" s="580">
        <f t="shared" si="400"/>
        <v>0</v>
      </c>
    </row>
    <row r="4672" spans="28:34">
      <c r="AB4672" s="580">
        <f>HLOOKUP("*"&amp;'Output annual'!$AC$2&amp;'Output annual'!$AD$2&amp;"*Zone People Number Of Occupants [](Hourly)",'Eplus results'!$1:$1048576,ROW(),FALSE)</f>
        <v>0</v>
      </c>
      <c r="AC4672" s="580">
        <f>HLOOKUP("*"&amp;'Output annual'!$AC$2&amp;'Output annual'!$AD$2&amp;"*FangerPMV(Hourly)",'Eplus results'!$1:$1048576,ROW(),FALSE)</f>
        <v>0</v>
      </c>
      <c r="AD4672" s="580">
        <f t="shared" si="396"/>
        <v>5</v>
      </c>
      <c r="AE4672" s="580">
        <f t="shared" si="397"/>
        <v>2.5</v>
      </c>
      <c r="AF4672" s="580">
        <f t="shared" si="398"/>
        <v>2.5</v>
      </c>
      <c r="AG4672" s="580">
        <f t="shared" si="399"/>
        <v>0</v>
      </c>
      <c r="AH4672" s="580">
        <f t="shared" si="400"/>
        <v>0</v>
      </c>
    </row>
    <row r="4673" spans="28:34">
      <c r="AB4673" s="580">
        <f>HLOOKUP("*"&amp;'Output annual'!$AC$2&amp;'Output annual'!$AD$2&amp;"*Zone People Number Of Occupants [](Hourly)",'Eplus results'!$1:$1048576,ROW(),FALSE)</f>
        <v>0</v>
      </c>
      <c r="AC4673" s="580">
        <f>HLOOKUP("*"&amp;'Output annual'!$AC$2&amp;'Output annual'!$AD$2&amp;"*FangerPMV(Hourly)",'Eplus results'!$1:$1048576,ROW(),FALSE)</f>
        <v>0</v>
      </c>
      <c r="AD4673" s="580">
        <f t="shared" si="396"/>
        <v>5</v>
      </c>
      <c r="AE4673" s="580">
        <f t="shared" si="397"/>
        <v>2.5</v>
      </c>
      <c r="AF4673" s="580">
        <f t="shared" si="398"/>
        <v>2.5</v>
      </c>
      <c r="AG4673" s="580">
        <f t="shared" si="399"/>
        <v>0</v>
      </c>
      <c r="AH4673" s="580">
        <f t="shared" si="400"/>
        <v>0</v>
      </c>
    </row>
    <row r="4674" spans="28:34">
      <c r="AB4674" s="580">
        <f>HLOOKUP("*"&amp;'Output annual'!$AC$2&amp;'Output annual'!$AD$2&amp;"*Zone People Number Of Occupants [](Hourly)",'Eplus results'!$1:$1048576,ROW(),FALSE)</f>
        <v>0</v>
      </c>
      <c r="AC4674" s="580">
        <f>HLOOKUP("*"&amp;'Output annual'!$AC$2&amp;'Output annual'!$AD$2&amp;"*FangerPMV(Hourly)",'Eplus results'!$1:$1048576,ROW(),FALSE)</f>
        <v>0</v>
      </c>
      <c r="AD4674" s="580">
        <f t="shared" si="396"/>
        <v>5</v>
      </c>
      <c r="AE4674" s="580">
        <f t="shared" si="397"/>
        <v>2.5</v>
      </c>
      <c r="AF4674" s="580">
        <f t="shared" si="398"/>
        <v>2.5</v>
      </c>
      <c r="AG4674" s="580">
        <f t="shared" si="399"/>
        <v>0</v>
      </c>
      <c r="AH4674" s="580">
        <f t="shared" si="400"/>
        <v>0</v>
      </c>
    </row>
    <row r="4675" spans="28:34">
      <c r="AB4675" s="580">
        <f>HLOOKUP("*"&amp;'Output annual'!$AC$2&amp;'Output annual'!$AD$2&amp;"*Zone People Number Of Occupants [](Hourly)",'Eplus results'!$1:$1048576,ROW(),FALSE)</f>
        <v>0</v>
      </c>
      <c r="AC4675" s="580">
        <f>HLOOKUP("*"&amp;'Output annual'!$AC$2&amp;'Output annual'!$AD$2&amp;"*FangerPMV(Hourly)",'Eplus results'!$1:$1048576,ROW(),FALSE)</f>
        <v>0</v>
      </c>
      <c r="AD4675" s="580">
        <f t="shared" ref="AD4675:AD4738" si="401">100-95*EXP(-0.03353*AC4675^4-0.2179*AC4675^2)</f>
        <v>5</v>
      </c>
      <c r="AE4675" s="580">
        <f t="shared" ref="AE4675:AE4738" si="402">AD4675*(1/(1+EXP(-6.3*$AC4675)))</f>
        <v>2.5</v>
      </c>
      <c r="AF4675" s="580">
        <f t="shared" ref="AF4675:AF4738" si="403">(AD4675-AE4675)</f>
        <v>2.5</v>
      </c>
      <c r="AG4675" s="580">
        <f t="shared" ref="AG4675:AG4738" si="404">AE4675*AB4675</f>
        <v>0</v>
      </c>
      <c r="AH4675" s="580">
        <f t="shared" ref="AH4675:AH4738" si="405">AF4675*AB4675</f>
        <v>0</v>
      </c>
    </row>
    <row r="4676" spans="28:34">
      <c r="AB4676" s="580">
        <f>HLOOKUP("*"&amp;'Output annual'!$AC$2&amp;'Output annual'!$AD$2&amp;"*Zone People Number Of Occupants [](Hourly)",'Eplus results'!$1:$1048576,ROW(),FALSE)</f>
        <v>0</v>
      </c>
      <c r="AC4676" s="580">
        <f>HLOOKUP("*"&amp;'Output annual'!$AC$2&amp;'Output annual'!$AD$2&amp;"*FangerPMV(Hourly)",'Eplus results'!$1:$1048576,ROW(),FALSE)</f>
        <v>0</v>
      </c>
      <c r="AD4676" s="580">
        <f t="shared" si="401"/>
        <v>5</v>
      </c>
      <c r="AE4676" s="580">
        <f t="shared" si="402"/>
        <v>2.5</v>
      </c>
      <c r="AF4676" s="580">
        <f t="shared" si="403"/>
        <v>2.5</v>
      </c>
      <c r="AG4676" s="580">
        <f t="shared" si="404"/>
        <v>0</v>
      </c>
      <c r="AH4676" s="580">
        <f t="shared" si="405"/>
        <v>0</v>
      </c>
    </row>
    <row r="4677" spans="28:34">
      <c r="AB4677" s="580">
        <f>HLOOKUP("*"&amp;'Output annual'!$AC$2&amp;'Output annual'!$AD$2&amp;"*Zone People Number Of Occupants [](Hourly)",'Eplus results'!$1:$1048576,ROW(),FALSE)</f>
        <v>0</v>
      </c>
      <c r="AC4677" s="580">
        <f>HLOOKUP("*"&amp;'Output annual'!$AC$2&amp;'Output annual'!$AD$2&amp;"*FangerPMV(Hourly)",'Eplus results'!$1:$1048576,ROW(),FALSE)</f>
        <v>0</v>
      </c>
      <c r="AD4677" s="580">
        <f t="shared" si="401"/>
        <v>5</v>
      </c>
      <c r="AE4677" s="580">
        <f t="shared" si="402"/>
        <v>2.5</v>
      </c>
      <c r="AF4677" s="580">
        <f t="shared" si="403"/>
        <v>2.5</v>
      </c>
      <c r="AG4677" s="580">
        <f t="shared" si="404"/>
        <v>0</v>
      </c>
      <c r="AH4677" s="580">
        <f t="shared" si="405"/>
        <v>0</v>
      </c>
    </row>
    <row r="4678" spans="28:34">
      <c r="AB4678" s="580">
        <f>HLOOKUP("*"&amp;'Output annual'!$AC$2&amp;'Output annual'!$AD$2&amp;"*Zone People Number Of Occupants [](Hourly)",'Eplus results'!$1:$1048576,ROW(),FALSE)</f>
        <v>0</v>
      </c>
      <c r="AC4678" s="580">
        <f>HLOOKUP("*"&amp;'Output annual'!$AC$2&amp;'Output annual'!$AD$2&amp;"*FangerPMV(Hourly)",'Eplus results'!$1:$1048576,ROW(),FALSE)</f>
        <v>0</v>
      </c>
      <c r="AD4678" s="580">
        <f t="shared" si="401"/>
        <v>5</v>
      </c>
      <c r="AE4678" s="580">
        <f t="shared" si="402"/>
        <v>2.5</v>
      </c>
      <c r="AF4678" s="580">
        <f t="shared" si="403"/>
        <v>2.5</v>
      </c>
      <c r="AG4678" s="580">
        <f t="shared" si="404"/>
        <v>0</v>
      </c>
      <c r="AH4678" s="580">
        <f t="shared" si="405"/>
        <v>0</v>
      </c>
    </row>
    <row r="4679" spans="28:34">
      <c r="AB4679" s="580">
        <f>HLOOKUP("*"&amp;'Output annual'!$AC$2&amp;'Output annual'!$AD$2&amp;"*Zone People Number Of Occupants [](Hourly)",'Eplus results'!$1:$1048576,ROW(),FALSE)</f>
        <v>0</v>
      </c>
      <c r="AC4679" s="580">
        <f>HLOOKUP("*"&amp;'Output annual'!$AC$2&amp;'Output annual'!$AD$2&amp;"*FangerPMV(Hourly)",'Eplus results'!$1:$1048576,ROW(),FALSE)</f>
        <v>0</v>
      </c>
      <c r="AD4679" s="580">
        <f t="shared" si="401"/>
        <v>5</v>
      </c>
      <c r="AE4679" s="580">
        <f t="shared" si="402"/>
        <v>2.5</v>
      </c>
      <c r="AF4679" s="580">
        <f t="shared" si="403"/>
        <v>2.5</v>
      </c>
      <c r="AG4679" s="580">
        <f t="shared" si="404"/>
        <v>0</v>
      </c>
      <c r="AH4679" s="580">
        <f t="shared" si="405"/>
        <v>0</v>
      </c>
    </row>
    <row r="4680" spans="28:34">
      <c r="AB4680" s="580">
        <f>HLOOKUP("*"&amp;'Output annual'!$AC$2&amp;'Output annual'!$AD$2&amp;"*Zone People Number Of Occupants [](Hourly)",'Eplus results'!$1:$1048576,ROW(),FALSE)</f>
        <v>0</v>
      </c>
      <c r="AC4680" s="580">
        <f>HLOOKUP("*"&amp;'Output annual'!$AC$2&amp;'Output annual'!$AD$2&amp;"*FangerPMV(Hourly)",'Eplus results'!$1:$1048576,ROW(),FALSE)</f>
        <v>0</v>
      </c>
      <c r="AD4680" s="580">
        <f t="shared" si="401"/>
        <v>5</v>
      </c>
      <c r="AE4680" s="580">
        <f t="shared" si="402"/>
        <v>2.5</v>
      </c>
      <c r="AF4680" s="580">
        <f t="shared" si="403"/>
        <v>2.5</v>
      </c>
      <c r="AG4680" s="580">
        <f t="shared" si="404"/>
        <v>0</v>
      </c>
      <c r="AH4680" s="580">
        <f t="shared" si="405"/>
        <v>0</v>
      </c>
    </row>
    <row r="4681" spans="28:34">
      <c r="AB4681" s="580">
        <f>HLOOKUP("*"&amp;'Output annual'!$AC$2&amp;'Output annual'!$AD$2&amp;"*Zone People Number Of Occupants [](Hourly)",'Eplus results'!$1:$1048576,ROW(),FALSE)</f>
        <v>0</v>
      </c>
      <c r="AC4681" s="580">
        <f>HLOOKUP("*"&amp;'Output annual'!$AC$2&amp;'Output annual'!$AD$2&amp;"*FangerPMV(Hourly)",'Eplus results'!$1:$1048576,ROW(),FALSE)</f>
        <v>0</v>
      </c>
      <c r="AD4681" s="580">
        <f t="shared" si="401"/>
        <v>5</v>
      </c>
      <c r="AE4681" s="580">
        <f t="shared" si="402"/>
        <v>2.5</v>
      </c>
      <c r="AF4681" s="580">
        <f t="shared" si="403"/>
        <v>2.5</v>
      </c>
      <c r="AG4681" s="580">
        <f t="shared" si="404"/>
        <v>0</v>
      </c>
      <c r="AH4681" s="580">
        <f t="shared" si="405"/>
        <v>0</v>
      </c>
    </row>
    <row r="4682" spans="28:34">
      <c r="AB4682" s="580">
        <f>HLOOKUP("*"&amp;'Output annual'!$AC$2&amp;'Output annual'!$AD$2&amp;"*Zone People Number Of Occupants [](Hourly)",'Eplus results'!$1:$1048576,ROW(),FALSE)</f>
        <v>0</v>
      </c>
      <c r="AC4682" s="580">
        <f>HLOOKUP("*"&amp;'Output annual'!$AC$2&amp;'Output annual'!$AD$2&amp;"*FangerPMV(Hourly)",'Eplus results'!$1:$1048576,ROW(),FALSE)</f>
        <v>0</v>
      </c>
      <c r="AD4682" s="580">
        <f t="shared" si="401"/>
        <v>5</v>
      </c>
      <c r="AE4682" s="580">
        <f t="shared" si="402"/>
        <v>2.5</v>
      </c>
      <c r="AF4682" s="580">
        <f t="shared" si="403"/>
        <v>2.5</v>
      </c>
      <c r="AG4682" s="580">
        <f t="shared" si="404"/>
        <v>0</v>
      </c>
      <c r="AH4682" s="580">
        <f t="shared" si="405"/>
        <v>0</v>
      </c>
    </row>
    <row r="4683" spans="28:34">
      <c r="AB4683" s="580">
        <f>HLOOKUP("*"&amp;'Output annual'!$AC$2&amp;'Output annual'!$AD$2&amp;"*Zone People Number Of Occupants [](Hourly)",'Eplus results'!$1:$1048576,ROW(),FALSE)</f>
        <v>0</v>
      </c>
      <c r="AC4683" s="580">
        <f>HLOOKUP("*"&amp;'Output annual'!$AC$2&amp;'Output annual'!$AD$2&amp;"*FangerPMV(Hourly)",'Eplus results'!$1:$1048576,ROW(),FALSE)</f>
        <v>0</v>
      </c>
      <c r="AD4683" s="580">
        <f t="shared" si="401"/>
        <v>5</v>
      </c>
      <c r="AE4683" s="580">
        <f t="shared" si="402"/>
        <v>2.5</v>
      </c>
      <c r="AF4683" s="580">
        <f t="shared" si="403"/>
        <v>2.5</v>
      </c>
      <c r="AG4683" s="580">
        <f t="shared" si="404"/>
        <v>0</v>
      </c>
      <c r="AH4683" s="580">
        <f t="shared" si="405"/>
        <v>0</v>
      </c>
    </row>
    <row r="4684" spans="28:34">
      <c r="AB4684" s="580">
        <f>HLOOKUP("*"&amp;'Output annual'!$AC$2&amp;'Output annual'!$AD$2&amp;"*Zone People Number Of Occupants [](Hourly)",'Eplus results'!$1:$1048576,ROW(),FALSE)</f>
        <v>0</v>
      </c>
      <c r="AC4684" s="580">
        <f>HLOOKUP("*"&amp;'Output annual'!$AC$2&amp;'Output annual'!$AD$2&amp;"*FangerPMV(Hourly)",'Eplus results'!$1:$1048576,ROW(),FALSE)</f>
        <v>0</v>
      </c>
      <c r="AD4684" s="580">
        <f t="shared" si="401"/>
        <v>5</v>
      </c>
      <c r="AE4684" s="580">
        <f t="shared" si="402"/>
        <v>2.5</v>
      </c>
      <c r="AF4684" s="580">
        <f t="shared" si="403"/>
        <v>2.5</v>
      </c>
      <c r="AG4684" s="580">
        <f t="shared" si="404"/>
        <v>0</v>
      </c>
      <c r="AH4684" s="580">
        <f t="shared" si="405"/>
        <v>0</v>
      </c>
    </row>
    <row r="4685" spans="28:34">
      <c r="AB4685" s="580">
        <f>HLOOKUP("*"&amp;'Output annual'!$AC$2&amp;'Output annual'!$AD$2&amp;"*Zone People Number Of Occupants [](Hourly)",'Eplus results'!$1:$1048576,ROW(),FALSE)</f>
        <v>0</v>
      </c>
      <c r="AC4685" s="580">
        <f>HLOOKUP("*"&amp;'Output annual'!$AC$2&amp;'Output annual'!$AD$2&amp;"*FangerPMV(Hourly)",'Eplus results'!$1:$1048576,ROW(),FALSE)</f>
        <v>0</v>
      </c>
      <c r="AD4685" s="580">
        <f t="shared" si="401"/>
        <v>5</v>
      </c>
      <c r="AE4685" s="580">
        <f t="shared" si="402"/>
        <v>2.5</v>
      </c>
      <c r="AF4685" s="580">
        <f t="shared" si="403"/>
        <v>2.5</v>
      </c>
      <c r="AG4685" s="580">
        <f t="shared" si="404"/>
        <v>0</v>
      </c>
      <c r="AH4685" s="580">
        <f t="shared" si="405"/>
        <v>0</v>
      </c>
    </row>
    <row r="4686" spans="28:34">
      <c r="AB4686" s="580">
        <f>HLOOKUP("*"&amp;'Output annual'!$AC$2&amp;'Output annual'!$AD$2&amp;"*Zone People Number Of Occupants [](Hourly)",'Eplus results'!$1:$1048576,ROW(),FALSE)</f>
        <v>0</v>
      </c>
      <c r="AC4686" s="580">
        <f>HLOOKUP("*"&amp;'Output annual'!$AC$2&amp;'Output annual'!$AD$2&amp;"*FangerPMV(Hourly)",'Eplus results'!$1:$1048576,ROW(),FALSE)</f>
        <v>0</v>
      </c>
      <c r="AD4686" s="580">
        <f t="shared" si="401"/>
        <v>5</v>
      </c>
      <c r="AE4686" s="580">
        <f t="shared" si="402"/>
        <v>2.5</v>
      </c>
      <c r="AF4686" s="580">
        <f t="shared" si="403"/>
        <v>2.5</v>
      </c>
      <c r="AG4686" s="580">
        <f t="shared" si="404"/>
        <v>0</v>
      </c>
      <c r="AH4686" s="580">
        <f t="shared" si="405"/>
        <v>0</v>
      </c>
    </row>
    <row r="4687" spans="28:34">
      <c r="AB4687" s="580">
        <f>HLOOKUP("*"&amp;'Output annual'!$AC$2&amp;'Output annual'!$AD$2&amp;"*Zone People Number Of Occupants [](Hourly)",'Eplus results'!$1:$1048576,ROW(),FALSE)</f>
        <v>0</v>
      </c>
      <c r="AC4687" s="580">
        <f>HLOOKUP("*"&amp;'Output annual'!$AC$2&amp;'Output annual'!$AD$2&amp;"*FangerPMV(Hourly)",'Eplus results'!$1:$1048576,ROW(),FALSE)</f>
        <v>0</v>
      </c>
      <c r="AD4687" s="580">
        <f t="shared" si="401"/>
        <v>5</v>
      </c>
      <c r="AE4687" s="580">
        <f t="shared" si="402"/>
        <v>2.5</v>
      </c>
      <c r="AF4687" s="580">
        <f t="shared" si="403"/>
        <v>2.5</v>
      </c>
      <c r="AG4687" s="580">
        <f t="shared" si="404"/>
        <v>0</v>
      </c>
      <c r="AH4687" s="580">
        <f t="shared" si="405"/>
        <v>0</v>
      </c>
    </row>
    <row r="4688" spans="28:34">
      <c r="AB4688" s="580">
        <f>HLOOKUP("*"&amp;'Output annual'!$AC$2&amp;'Output annual'!$AD$2&amp;"*Zone People Number Of Occupants [](Hourly)",'Eplus results'!$1:$1048576,ROW(),FALSE)</f>
        <v>0</v>
      </c>
      <c r="AC4688" s="580">
        <f>HLOOKUP("*"&amp;'Output annual'!$AC$2&amp;'Output annual'!$AD$2&amp;"*FangerPMV(Hourly)",'Eplus results'!$1:$1048576,ROW(),FALSE)</f>
        <v>0</v>
      </c>
      <c r="AD4688" s="580">
        <f t="shared" si="401"/>
        <v>5</v>
      </c>
      <c r="AE4688" s="580">
        <f t="shared" si="402"/>
        <v>2.5</v>
      </c>
      <c r="AF4688" s="580">
        <f t="shared" si="403"/>
        <v>2.5</v>
      </c>
      <c r="AG4688" s="580">
        <f t="shared" si="404"/>
        <v>0</v>
      </c>
      <c r="AH4688" s="580">
        <f t="shared" si="405"/>
        <v>0</v>
      </c>
    </row>
    <row r="4689" spans="28:34">
      <c r="AB4689" s="580">
        <f>HLOOKUP("*"&amp;'Output annual'!$AC$2&amp;'Output annual'!$AD$2&amp;"*Zone People Number Of Occupants [](Hourly)",'Eplus results'!$1:$1048576,ROW(),FALSE)</f>
        <v>0</v>
      </c>
      <c r="AC4689" s="580">
        <f>HLOOKUP("*"&amp;'Output annual'!$AC$2&amp;'Output annual'!$AD$2&amp;"*FangerPMV(Hourly)",'Eplus results'!$1:$1048576,ROW(),FALSE)</f>
        <v>0</v>
      </c>
      <c r="AD4689" s="580">
        <f t="shared" si="401"/>
        <v>5</v>
      </c>
      <c r="AE4689" s="580">
        <f t="shared" si="402"/>
        <v>2.5</v>
      </c>
      <c r="AF4689" s="580">
        <f t="shared" si="403"/>
        <v>2.5</v>
      </c>
      <c r="AG4689" s="580">
        <f t="shared" si="404"/>
        <v>0</v>
      </c>
      <c r="AH4689" s="580">
        <f t="shared" si="405"/>
        <v>0</v>
      </c>
    </row>
    <row r="4690" spans="28:34">
      <c r="AB4690" s="580">
        <f>HLOOKUP("*"&amp;'Output annual'!$AC$2&amp;'Output annual'!$AD$2&amp;"*Zone People Number Of Occupants [](Hourly)",'Eplus results'!$1:$1048576,ROW(),FALSE)</f>
        <v>0</v>
      </c>
      <c r="AC4690" s="580">
        <f>HLOOKUP("*"&amp;'Output annual'!$AC$2&amp;'Output annual'!$AD$2&amp;"*FangerPMV(Hourly)",'Eplus results'!$1:$1048576,ROW(),FALSE)</f>
        <v>0</v>
      </c>
      <c r="AD4690" s="580">
        <f t="shared" si="401"/>
        <v>5</v>
      </c>
      <c r="AE4690" s="580">
        <f t="shared" si="402"/>
        <v>2.5</v>
      </c>
      <c r="AF4690" s="580">
        <f t="shared" si="403"/>
        <v>2.5</v>
      </c>
      <c r="AG4690" s="580">
        <f t="shared" si="404"/>
        <v>0</v>
      </c>
      <c r="AH4690" s="580">
        <f t="shared" si="405"/>
        <v>0</v>
      </c>
    </row>
    <row r="4691" spans="28:34">
      <c r="AB4691" s="580">
        <f>HLOOKUP("*"&amp;'Output annual'!$AC$2&amp;'Output annual'!$AD$2&amp;"*Zone People Number Of Occupants [](Hourly)",'Eplus results'!$1:$1048576,ROW(),FALSE)</f>
        <v>0</v>
      </c>
      <c r="AC4691" s="580">
        <f>HLOOKUP("*"&amp;'Output annual'!$AC$2&amp;'Output annual'!$AD$2&amp;"*FangerPMV(Hourly)",'Eplus results'!$1:$1048576,ROW(),FALSE)</f>
        <v>0</v>
      </c>
      <c r="AD4691" s="580">
        <f t="shared" si="401"/>
        <v>5</v>
      </c>
      <c r="AE4691" s="580">
        <f t="shared" si="402"/>
        <v>2.5</v>
      </c>
      <c r="AF4691" s="580">
        <f t="shared" si="403"/>
        <v>2.5</v>
      </c>
      <c r="AG4691" s="580">
        <f t="shared" si="404"/>
        <v>0</v>
      </c>
      <c r="AH4691" s="580">
        <f t="shared" si="405"/>
        <v>0</v>
      </c>
    </row>
    <row r="4692" spans="28:34">
      <c r="AB4692" s="580">
        <f>HLOOKUP("*"&amp;'Output annual'!$AC$2&amp;'Output annual'!$AD$2&amp;"*Zone People Number Of Occupants [](Hourly)",'Eplus results'!$1:$1048576,ROW(),FALSE)</f>
        <v>0</v>
      </c>
      <c r="AC4692" s="580">
        <f>HLOOKUP("*"&amp;'Output annual'!$AC$2&amp;'Output annual'!$AD$2&amp;"*FangerPMV(Hourly)",'Eplus results'!$1:$1048576,ROW(),FALSE)</f>
        <v>0</v>
      </c>
      <c r="AD4692" s="580">
        <f t="shared" si="401"/>
        <v>5</v>
      </c>
      <c r="AE4692" s="580">
        <f t="shared" si="402"/>
        <v>2.5</v>
      </c>
      <c r="AF4692" s="580">
        <f t="shared" si="403"/>
        <v>2.5</v>
      </c>
      <c r="AG4692" s="580">
        <f t="shared" si="404"/>
        <v>0</v>
      </c>
      <c r="AH4692" s="580">
        <f t="shared" si="405"/>
        <v>0</v>
      </c>
    </row>
    <row r="4693" spans="28:34">
      <c r="AB4693" s="580">
        <f>HLOOKUP("*"&amp;'Output annual'!$AC$2&amp;'Output annual'!$AD$2&amp;"*Zone People Number Of Occupants [](Hourly)",'Eplus results'!$1:$1048576,ROW(),FALSE)</f>
        <v>0</v>
      </c>
      <c r="AC4693" s="580">
        <f>HLOOKUP("*"&amp;'Output annual'!$AC$2&amp;'Output annual'!$AD$2&amp;"*FangerPMV(Hourly)",'Eplus results'!$1:$1048576,ROW(),FALSE)</f>
        <v>0</v>
      </c>
      <c r="AD4693" s="580">
        <f t="shared" si="401"/>
        <v>5</v>
      </c>
      <c r="AE4693" s="580">
        <f t="shared" si="402"/>
        <v>2.5</v>
      </c>
      <c r="AF4693" s="580">
        <f t="shared" si="403"/>
        <v>2.5</v>
      </c>
      <c r="AG4693" s="580">
        <f t="shared" si="404"/>
        <v>0</v>
      </c>
      <c r="AH4693" s="580">
        <f t="shared" si="405"/>
        <v>0</v>
      </c>
    </row>
    <row r="4694" spans="28:34">
      <c r="AB4694" s="580">
        <f>HLOOKUP("*"&amp;'Output annual'!$AC$2&amp;'Output annual'!$AD$2&amp;"*Zone People Number Of Occupants [](Hourly)",'Eplus results'!$1:$1048576,ROW(),FALSE)</f>
        <v>0</v>
      </c>
      <c r="AC4694" s="580">
        <f>HLOOKUP("*"&amp;'Output annual'!$AC$2&amp;'Output annual'!$AD$2&amp;"*FangerPMV(Hourly)",'Eplus results'!$1:$1048576,ROW(),FALSE)</f>
        <v>0</v>
      </c>
      <c r="AD4694" s="580">
        <f t="shared" si="401"/>
        <v>5</v>
      </c>
      <c r="AE4694" s="580">
        <f t="shared" si="402"/>
        <v>2.5</v>
      </c>
      <c r="AF4694" s="580">
        <f t="shared" si="403"/>
        <v>2.5</v>
      </c>
      <c r="AG4694" s="580">
        <f t="shared" si="404"/>
        <v>0</v>
      </c>
      <c r="AH4694" s="580">
        <f t="shared" si="405"/>
        <v>0</v>
      </c>
    </row>
    <row r="4695" spans="28:34">
      <c r="AB4695" s="580">
        <f>HLOOKUP("*"&amp;'Output annual'!$AC$2&amp;'Output annual'!$AD$2&amp;"*Zone People Number Of Occupants [](Hourly)",'Eplus results'!$1:$1048576,ROW(),FALSE)</f>
        <v>0</v>
      </c>
      <c r="AC4695" s="580">
        <f>HLOOKUP("*"&amp;'Output annual'!$AC$2&amp;'Output annual'!$AD$2&amp;"*FangerPMV(Hourly)",'Eplus results'!$1:$1048576,ROW(),FALSE)</f>
        <v>0</v>
      </c>
      <c r="AD4695" s="580">
        <f t="shared" si="401"/>
        <v>5</v>
      </c>
      <c r="AE4695" s="580">
        <f t="shared" si="402"/>
        <v>2.5</v>
      </c>
      <c r="AF4695" s="580">
        <f t="shared" si="403"/>
        <v>2.5</v>
      </c>
      <c r="AG4695" s="580">
        <f t="shared" si="404"/>
        <v>0</v>
      </c>
      <c r="AH4695" s="580">
        <f t="shared" si="405"/>
        <v>0</v>
      </c>
    </row>
    <row r="4696" spans="28:34">
      <c r="AB4696" s="580">
        <f>HLOOKUP("*"&amp;'Output annual'!$AC$2&amp;'Output annual'!$AD$2&amp;"*Zone People Number Of Occupants [](Hourly)",'Eplus results'!$1:$1048576,ROW(),FALSE)</f>
        <v>0</v>
      </c>
      <c r="AC4696" s="580">
        <f>HLOOKUP("*"&amp;'Output annual'!$AC$2&amp;'Output annual'!$AD$2&amp;"*FangerPMV(Hourly)",'Eplus results'!$1:$1048576,ROW(),FALSE)</f>
        <v>0</v>
      </c>
      <c r="AD4696" s="580">
        <f t="shared" si="401"/>
        <v>5</v>
      </c>
      <c r="AE4696" s="580">
        <f t="shared" si="402"/>
        <v>2.5</v>
      </c>
      <c r="AF4696" s="580">
        <f t="shared" si="403"/>
        <v>2.5</v>
      </c>
      <c r="AG4696" s="580">
        <f t="shared" si="404"/>
        <v>0</v>
      </c>
      <c r="AH4696" s="580">
        <f t="shared" si="405"/>
        <v>0</v>
      </c>
    </row>
    <row r="4697" spans="28:34">
      <c r="AB4697" s="580">
        <f>HLOOKUP("*"&amp;'Output annual'!$AC$2&amp;'Output annual'!$AD$2&amp;"*Zone People Number Of Occupants [](Hourly)",'Eplus results'!$1:$1048576,ROW(),FALSE)</f>
        <v>0</v>
      </c>
      <c r="AC4697" s="580">
        <f>HLOOKUP("*"&amp;'Output annual'!$AC$2&amp;'Output annual'!$AD$2&amp;"*FangerPMV(Hourly)",'Eplus results'!$1:$1048576,ROW(),FALSE)</f>
        <v>0</v>
      </c>
      <c r="AD4697" s="580">
        <f t="shared" si="401"/>
        <v>5</v>
      </c>
      <c r="AE4697" s="580">
        <f t="shared" si="402"/>
        <v>2.5</v>
      </c>
      <c r="AF4697" s="580">
        <f t="shared" si="403"/>
        <v>2.5</v>
      </c>
      <c r="AG4697" s="580">
        <f t="shared" si="404"/>
        <v>0</v>
      </c>
      <c r="AH4697" s="580">
        <f t="shared" si="405"/>
        <v>0</v>
      </c>
    </row>
    <row r="4698" spans="28:34">
      <c r="AB4698" s="580">
        <f>HLOOKUP("*"&amp;'Output annual'!$AC$2&amp;'Output annual'!$AD$2&amp;"*Zone People Number Of Occupants [](Hourly)",'Eplus results'!$1:$1048576,ROW(),FALSE)</f>
        <v>0</v>
      </c>
      <c r="AC4698" s="580">
        <f>HLOOKUP("*"&amp;'Output annual'!$AC$2&amp;'Output annual'!$AD$2&amp;"*FangerPMV(Hourly)",'Eplus results'!$1:$1048576,ROW(),FALSE)</f>
        <v>0</v>
      </c>
      <c r="AD4698" s="580">
        <f t="shared" si="401"/>
        <v>5</v>
      </c>
      <c r="AE4698" s="580">
        <f t="shared" si="402"/>
        <v>2.5</v>
      </c>
      <c r="AF4698" s="580">
        <f t="shared" si="403"/>
        <v>2.5</v>
      </c>
      <c r="AG4698" s="580">
        <f t="shared" si="404"/>
        <v>0</v>
      </c>
      <c r="AH4698" s="580">
        <f t="shared" si="405"/>
        <v>0</v>
      </c>
    </row>
    <row r="4699" spans="28:34">
      <c r="AB4699" s="580">
        <f>HLOOKUP("*"&amp;'Output annual'!$AC$2&amp;'Output annual'!$AD$2&amp;"*Zone People Number Of Occupants [](Hourly)",'Eplus results'!$1:$1048576,ROW(),FALSE)</f>
        <v>0</v>
      </c>
      <c r="AC4699" s="580">
        <f>HLOOKUP("*"&amp;'Output annual'!$AC$2&amp;'Output annual'!$AD$2&amp;"*FangerPMV(Hourly)",'Eplus results'!$1:$1048576,ROW(),FALSE)</f>
        <v>0</v>
      </c>
      <c r="AD4699" s="580">
        <f t="shared" si="401"/>
        <v>5</v>
      </c>
      <c r="AE4699" s="580">
        <f t="shared" si="402"/>
        <v>2.5</v>
      </c>
      <c r="AF4699" s="580">
        <f t="shared" si="403"/>
        <v>2.5</v>
      </c>
      <c r="AG4699" s="580">
        <f t="shared" si="404"/>
        <v>0</v>
      </c>
      <c r="AH4699" s="580">
        <f t="shared" si="405"/>
        <v>0</v>
      </c>
    </row>
    <row r="4700" spans="28:34">
      <c r="AB4700" s="580">
        <f>HLOOKUP("*"&amp;'Output annual'!$AC$2&amp;'Output annual'!$AD$2&amp;"*Zone People Number Of Occupants [](Hourly)",'Eplus results'!$1:$1048576,ROW(),FALSE)</f>
        <v>0</v>
      </c>
      <c r="AC4700" s="580">
        <f>HLOOKUP("*"&amp;'Output annual'!$AC$2&amp;'Output annual'!$AD$2&amp;"*FangerPMV(Hourly)",'Eplus results'!$1:$1048576,ROW(),FALSE)</f>
        <v>0</v>
      </c>
      <c r="AD4700" s="580">
        <f t="shared" si="401"/>
        <v>5</v>
      </c>
      <c r="AE4700" s="580">
        <f t="shared" si="402"/>
        <v>2.5</v>
      </c>
      <c r="AF4700" s="580">
        <f t="shared" si="403"/>
        <v>2.5</v>
      </c>
      <c r="AG4700" s="580">
        <f t="shared" si="404"/>
        <v>0</v>
      </c>
      <c r="AH4700" s="580">
        <f t="shared" si="405"/>
        <v>0</v>
      </c>
    </row>
    <row r="4701" spans="28:34">
      <c r="AB4701" s="580">
        <f>HLOOKUP("*"&amp;'Output annual'!$AC$2&amp;'Output annual'!$AD$2&amp;"*Zone People Number Of Occupants [](Hourly)",'Eplus results'!$1:$1048576,ROW(),FALSE)</f>
        <v>0</v>
      </c>
      <c r="AC4701" s="580">
        <f>HLOOKUP("*"&amp;'Output annual'!$AC$2&amp;'Output annual'!$AD$2&amp;"*FangerPMV(Hourly)",'Eplus results'!$1:$1048576,ROW(),FALSE)</f>
        <v>0</v>
      </c>
      <c r="AD4701" s="580">
        <f t="shared" si="401"/>
        <v>5</v>
      </c>
      <c r="AE4701" s="580">
        <f t="shared" si="402"/>
        <v>2.5</v>
      </c>
      <c r="AF4701" s="580">
        <f t="shared" si="403"/>
        <v>2.5</v>
      </c>
      <c r="AG4701" s="580">
        <f t="shared" si="404"/>
        <v>0</v>
      </c>
      <c r="AH4701" s="580">
        <f t="shared" si="405"/>
        <v>0</v>
      </c>
    </row>
    <row r="4702" spans="28:34">
      <c r="AB4702" s="580">
        <f>HLOOKUP("*"&amp;'Output annual'!$AC$2&amp;'Output annual'!$AD$2&amp;"*Zone People Number Of Occupants [](Hourly)",'Eplus results'!$1:$1048576,ROW(),FALSE)</f>
        <v>0</v>
      </c>
      <c r="AC4702" s="580">
        <f>HLOOKUP("*"&amp;'Output annual'!$AC$2&amp;'Output annual'!$AD$2&amp;"*FangerPMV(Hourly)",'Eplus results'!$1:$1048576,ROW(),FALSE)</f>
        <v>0</v>
      </c>
      <c r="AD4702" s="580">
        <f t="shared" si="401"/>
        <v>5</v>
      </c>
      <c r="AE4702" s="580">
        <f t="shared" si="402"/>
        <v>2.5</v>
      </c>
      <c r="AF4702" s="580">
        <f t="shared" si="403"/>
        <v>2.5</v>
      </c>
      <c r="AG4702" s="580">
        <f t="shared" si="404"/>
        <v>0</v>
      </c>
      <c r="AH4702" s="580">
        <f t="shared" si="405"/>
        <v>0</v>
      </c>
    </row>
    <row r="4703" spans="28:34">
      <c r="AB4703" s="580">
        <f>HLOOKUP("*"&amp;'Output annual'!$AC$2&amp;'Output annual'!$AD$2&amp;"*Zone People Number Of Occupants [](Hourly)",'Eplus results'!$1:$1048576,ROW(),FALSE)</f>
        <v>0</v>
      </c>
      <c r="AC4703" s="580">
        <f>HLOOKUP("*"&amp;'Output annual'!$AC$2&amp;'Output annual'!$AD$2&amp;"*FangerPMV(Hourly)",'Eplus results'!$1:$1048576,ROW(),FALSE)</f>
        <v>0</v>
      </c>
      <c r="AD4703" s="580">
        <f t="shared" si="401"/>
        <v>5</v>
      </c>
      <c r="AE4703" s="580">
        <f t="shared" si="402"/>
        <v>2.5</v>
      </c>
      <c r="AF4703" s="580">
        <f t="shared" si="403"/>
        <v>2.5</v>
      </c>
      <c r="AG4703" s="580">
        <f t="shared" si="404"/>
        <v>0</v>
      </c>
      <c r="AH4703" s="580">
        <f t="shared" si="405"/>
        <v>0</v>
      </c>
    </row>
    <row r="4704" spans="28:34">
      <c r="AB4704" s="580">
        <f>HLOOKUP("*"&amp;'Output annual'!$AC$2&amp;'Output annual'!$AD$2&amp;"*Zone People Number Of Occupants [](Hourly)",'Eplus results'!$1:$1048576,ROW(),FALSE)</f>
        <v>0</v>
      </c>
      <c r="AC4704" s="580">
        <f>HLOOKUP("*"&amp;'Output annual'!$AC$2&amp;'Output annual'!$AD$2&amp;"*FangerPMV(Hourly)",'Eplus results'!$1:$1048576,ROW(),FALSE)</f>
        <v>0</v>
      </c>
      <c r="AD4704" s="580">
        <f t="shared" si="401"/>
        <v>5</v>
      </c>
      <c r="AE4704" s="580">
        <f t="shared" si="402"/>
        <v>2.5</v>
      </c>
      <c r="AF4704" s="580">
        <f t="shared" si="403"/>
        <v>2.5</v>
      </c>
      <c r="AG4704" s="580">
        <f t="shared" si="404"/>
        <v>0</v>
      </c>
      <c r="AH4704" s="580">
        <f t="shared" si="405"/>
        <v>0</v>
      </c>
    </row>
    <row r="4705" spans="28:34">
      <c r="AB4705" s="580">
        <f>HLOOKUP("*"&amp;'Output annual'!$AC$2&amp;'Output annual'!$AD$2&amp;"*Zone People Number Of Occupants [](Hourly)",'Eplus results'!$1:$1048576,ROW(),FALSE)</f>
        <v>0</v>
      </c>
      <c r="AC4705" s="580">
        <f>HLOOKUP("*"&amp;'Output annual'!$AC$2&amp;'Output annual'!$AD$2&amp;"*FangerPMV(Hourly)",'Eplus results'!$1:$1048576,ROW(),FALSE)</f>
        <v>0</v>
      </c>
      <c r="AD4705" s="580">
        <f t="shared" si="401"/>
        <v>5</v>
      </c>
      <c r="AE4705" s="580">
        <f t="shared" si="402"/>
        <v>2.5</v>
      </c>
      <c r="AF4705" s="580">
        <f t="shared" si="403"/>
        <v>2.5</v>
      </c>
      <c r="AG4705" s="580">
        <f t="shared" si="404"/>
        <v>0</v>
      </c>
      <c r="AH4705" s="580">
        <f t="shared" si="405"/>
        <v>0</v>
      </c>
    </row>
    <row r="4706" spans="28:34">
      <c r="AB4706" s="580">
        <f>HLOOKUP("*"&amp;'Output annual'!$AC$2&amp;'Output annual'!$AD$2&amp;"*Zone People Number Of Occupants [](Hourly)",'Eplus results'!$1:$1048576,ROW(),FALSE)</f>
        <v>0</v>
      </c>
      <c r="AC4706" s="580">
        <f>HLOOKUP("*"&amp;'Output annual'!$AC$2&amp;'Output annual'!$AD$2&amp;"*FangerPMV(Hourly)",'Eplus results'!$1:$1048576,ROW(),FALSE)</f>
        <v>0</v>
      </c>
      <c r="AD4706" s="580">
        <f t="shared" si="401"/>
        <v>5</v>
      </c>
      <c r="AE4706" s="580">
        <f t="shared" si="402"/>
        <v>2.5</v>
      </c>
      <c r="AF4706" s="580">
        <f t="shared" si="403"/>
        <v>2.5</v>
      </c>
      <c r="AG4706" s="580">
        <f t="shared" si="404"/>
        <v>0</v>
      </c>
      <c r="AH4706" s="580">
        <f t="shared" si="405"/>
        <v>0</v>
      </c>
    </row>
    <row r="4707" spans="28:34">
      <c r="AB4707" s="580">
        <f>HLOOKUP("*"&amp;'Output annual'!$AC$2&amp;'Output annual'!$AD$2&amp;"*Zone People Number Of Occupants [](Hourly)",'Eplus results'!$1:$1048576,ROW(),FALSE)</f>
        <v>0</v>
      </c>
      <c r="AC4707" s="580">
        <f>HLOOKUP("*"&amp;'Output annual'!$AC$2&amp;'Output annual'!$AD$2&amp;"*FangerPMV(Hourly)",'Eplus results'!$1:$1048576,ROW(),FALSE)</f>
        <v>0</v>
      </c>
      <c r="AD4707" s="580">
        <f t="shared" si="401"/>
        <v>5</v>
      </c>
      <c r="AE4707" s="580">
        <f t="shared" si="402"/>
        <v>2.5</v>
      </c>
      <c r="AF4707" s="580">
        <f t="shared" si="403"/>
        <v>2.5</v>
      </c>
      <c r="AG4707" s="580">
        <f t="shared" si="404"/>
        <v>0</v>
      </c>
      <c r="AH4707" s="580">
        <f t="shared" si="405"/>
        <v>0</v>
      </c>
    </row>
    <row r="4708" spans="28:34">
      <c r="AB4708" s="580">
        <f>HLOOKUP("*"&amp;'Output annual'!$AC$2&amp;'Output annual'!$AD$2&amp;"*Zone People Number Of Occupants [](Hourly)",'Eplus results'!$1:$1048576,ROW(),FALSE)</f>
        <v>0</v>
      </c>
      <c r="AC4708" s="580">
        <f>HLOOKUP("*"&amp;'Output annual'!$AC$2&amp;'Output annual'!$AD$2&amp;"*FangerPMV(Hourly)",'Eplus results'!$1:$1048576,ROW(),FALSE)</f>
        <v>0</v>
      </c>
      <c r="AD4708" s="580">
        <f t="shared" si="401"/>
        <v>5</v>
      </c>
      <c r="AE4708" s="580">
        <f t="shared" si="402"/>
        <v>2.5</v>
      </c>
      <c r="AF4708" s="580">
        <f t="shared" si="403"/>
        <v>2.5</v>
      </c>
      <c r="AG4708" s="580">
        <f t="shared" si="404"/>
        <v>0</v>
      </c>
      <c r="AH4708" s="580">
        <f t="shared" si="405"/>
        <v>0</v>
      </c>
    </row>
    <row r="4709" spans="28:34">
      <c r="AB4709" s="580">
        <f>HLOOKUP("*"&amp;'Output annual'!$AC$2&amp;'Output annual'!$AD$2&amp;"*Zone People Number Of Occupants [](Hourly)",'Eplus results'!$1:$1048576,ROW(),FALSE)</f>
        <v>0</v>
      </c>
      <c r="AC4709" s="580">
        <f>HLOOKUP("*"&amp;'Output annual'!$AC$2&amp;'Output annual'!$AD$2&amp;"*FangerPMV(Hourly)",'Eplus results'!$1:$1048576,ROW(),FALSE)</f>
        <v>0</v>
      </c>
      <c r="AD4709" s="580">
        <f t="shared" si="401"/>
        <v>5</v>
      </c>
      <c r="AE4709" s="580">
        <f t="shared" si="402"/>
        <v>2.5</v>
      </c>
      <c r="AF4709" s="580">
        <f t="shared" si="403"/>
        <v>2.5</v>
      </c>
      <c r="AG4709" s="580">
        <f t="shared" si="404"/>
        <v>0</v>
      </c>
      <c r="AH4709" s="580">
        <f t="shared" si="405"/>
        <v>0</v>
      </c>
    </row>
    <row r="4710" spans="28:34">
      <c r="AB4710" s="580">
        <f>HLOOKUP("*"&amp;'Output annual'!$AC$2&amp;'Output annual'!$AD$2&amp;"*Zone People Number Of Occupants [](Hourly)",'Eplus results'!$1:$1048576,ROW(),FALSE)</f>
        <v>0</v>
      </c>
      <c r="AC4710" s="580">
        <f>HLOOKUP("*"&amp;'Output annual'!$AC$2&amp;'Output annual'!$AD$2&amp;"*FangerPMV(Hourly)",'Eplus results'!$1:$1048576,ROW(),FALSE)</f>
        <v>0</v>
      </c>
      <c r="AD4710" s="580">
        <f t="shared" si="401"/>
        <v>5</v>
      </c>
      <c r="AE4710" s="580">
        <f t="shared" si="402"/>
        <v>2.5</v>
      </c>
      <c r="AF4710" s="580">
        <f t="shared" si="403"/>
        <v>2.5</v>
      </c>
      <c r="AG4710" s="580">
        <f t="shared" si="404"/>
        <v>0</v>
      </c>
      <c r="AH4710" s="580">
        <f t="shared" si="405"/>
        <v>0</v>
      </c>
    </row>
    <row r="4711" spans="28:34">
      <c r="AB4711" s="580">
        <f>HLOOKUP("*"&amp;'Output annual'!$AC$2&amp;'Output annual'!$AD$2&amp;"*Zone People Number Of Occupants [](Hourly)",'Eplus results'!$1:$1048576,ROW(),FALSE)</f>
        <v>0</v>
      </c>
      <c r="AC4711" s="580">
        <f>HLOOKUP("*"&amp;'Output annual'!$AC$2&amp;'Output annual'!$AD$2&amp;"*FangerPMV(Hourly)",'Eplus results'!$1:$1048576,ROW(),FALSE)</f>
        <v>0</v>
      </c>
      <c r="AD4711" s="580">
        <f t="shared" si="401"/>
        <v>5</v>
      </c>
      <c r="AE4711" s="580">
        <f t="shared" si="402"/>
        <v>2.5</v>
      </c>
      <c r="AF4711" s="580">
        <f t="shared" si="403"/>
        <v>2.5</v>
      </c>
      <c r="AG4711" s="580">
        <f t="shared" si="404"/>
        <v>0</v>
      </c>
      <c r="AH4711" s="580">
        <f t="shared" si="405"/>
        <v>0</v>
      </c>
    </row>
    <row r="4712" spans="28:34">
      <c r="AB4712" s="580">
        <f>HLOOKUP("*"&amp;'Output annual'!$AC$2&amp;'Output annual'!$AD$2&amp;"*Zone People Number Of Occupants [](Hourly)",'Eplus results'!$1:$1048576,ROW(),FALSE)</f>
        <v>0</v>
      </c>
      <c r="AC4712" s="580">
        <f>HLOOKUP("*"&amp;'Output annual'!$AC$2&amp;'Output annual'!$AD$2&amp;"*FangerPMV(Hourly)",'Eplus results'!$1:$1048576,ROW(),FALSE)</f>
        <v>0</v>
      </c>
      <c r="AD4712" s="580">
        <f t="shared" si="401"/>
        <v>5</v>
      </c>
      <c r="AE4712" s="580">
        <f t="shared" si="402"/>
        <v>2.5</v>
      </c>
      <c r="AF4712" s="580">
        <f t="shared" si="403"/>
        <v>2.5</v>
      </c>
      <c r="AG4712" s="580">
        <f t="shared" si="404"/>
        <v>0</v>
      </c>
      <c r="AH4712" s="580">
        <f t="shared" si="405"/>
        <v>0</v>
      </c>
    </row>
    <row r="4713" spans="28:34">
      <c r="AB4713" s="580">
        <f>HLOOKUP("*"&amp;'Output annual'!$AC$2&amp;'Output annual'!$AD$2&amp;"*Zone People Number Of Occupants [](Hourly)",'Eplus results'!$1:$1048576,ROW(),FALSE)</f>
        <v>0</v>
      </c>
      <c r="AC4713" s="580">
        <f>HLOOKUP("*"&amp;'Output annual'!$AC$2&amp;'Output annual'!$AD$2&amp;"*FangerPMV(Hourly)",'Eplus results'!$1:$1048576,ROW(),FALSE)</f>
        <v>0</v>
      </c>
      <c r="AD4713" s="580">
        <f t="shared" si="401"/>
        <v>5</v>
      </c>
      <c r="AE4713" s="580">
        <f t="shared" si="402"/>
        <v>2.5</v>
      </c>
      <c r="AF4713" s="580">
        <f t="shared" si="403"/>
        <v>2.5</v>
      </c>
      <c r="AG4713" s="580">
        <f t="shared" si="404"/>
        <v>0</v>
      </c>
      <c r="AH4713" s="580">
        <f t="shared" si="405"/>
        <v>0</v>
      </c>
    </row>
    <row r="4714" spans="28:34">
      <c r="AB4714" s="580">
        <f>HLOOKUP("*"&amp;'Output annual'!$AC$2&amp;'Output annual'!$AD$2&amp;"*Zone People Number Of Occupants [](Hourly)",'Eplus results'!$1:$1048576,ROW(),FALSE)</f>
        <v>0</v>
      </c>
      <c r="AC4714" s="580">
        <f>HLOOKUP("*"&amp;'Output annual'!$AC$2&amp;'Output annual'!$AD$2&amp;"*FangerPMV(Hourly)",'Eplus results'!$1:$1048576,ROW(),FALSE)</f>
        <v>0</v>
      </c>
      <c r="AD4714" s="580">
        <f t="shared" si="401"/>
        <v>5</v>
      </c>
      <c r="AE4714" s="580">
        <f t="shared" si="402"/>
        <v>2.5</v>
      </c>
      <c r="AF4714" s="580">
        <f t="shared" si="403"/>
        <v>2.5</v>
      </c>
      <c r="AG4714" s="580">
        <f t="shared" si="404"/>
        <v>0</v>
      </c>
      <c r="AH4714" s="580">
        <f t="shared" si="405"/>
        <v>0</v>
      </c>
    </row>
    <row r="4715" spans="28:34">
      <c r="AB4715" s="580">
        <f>HLOOKUP("*"&amp;'Output annual'!$AC$2&amp;'Output annual'!$AD$2&amp;"*Zone People Number Of Occupants [](Hourly)",'Eplus results'!$1:$1048576,ROW(),FALSE)</f>
        <v>0</v>
      </c>
      <c r="AC4715" s="580">
        <f>HLOOKUP("*"&amp;'Output annual'!$AC$2&amp;'Output annual'!$AD$2&amp;"*FangerPMV(Hourly)",'Eplus results'!$1:$1048576,ROW(),FALSE)</f>
        <v>0</v>
      </c>
      <c r="AD4715" s="580">
        <f t="shared" si="401"/>
        <v>5</v>
      </c>
      <c r="AE4715" s="580">
        <f t="shared" si="402"/>
        <v>2.5</v>
      </c>
      <c r="AF4715" s="580">
        <f t="shared" si="403"/>
        <v>2.5</v>
      </c>
      <c r="AG4715" s="580">
        <f t="shared" si="404"/>
        <v>0</v>
      </c>
      <c r="AH4715" s="580">
        <f t="shared" si="405"/>
        <v>0</v>
      </c>
    </row>
    <row r="4716" spans="28:34">
      <c r="AB4716" s="580">
        <f>HLOOKUP("*"&amp;'Output annual'!$AC$2&amp;'Output annual'!$AD$2&amp;"*Zone People Number Of Occupants [](Hourly)",'Eplus results'!$1:$1048576,ROW(),FALSE)</f>
        <v>0</v>
      </c>
      <c r="AC4716" s="580">
        <f>HLOOKUP("*"&amp;'Output annual'!$AC$2&amp;'Output annual'!$AD$2&amp;"*FangerPMV(Hourly)",'Eplus results'!$1:$1048576,ROW(),FALSE)</f>
        <v>0</v>
      </c>
      <c r="AD4716" s="580">
        <f t="shared" si="401"/>
        <v>5</v>
      </c>
      <c r="AE4716" s="580">
        <f t="shared" si="402"/>
        <v>2.5</v>
      </c>
      <c r="AF4716" s="580">
        <f t="shared" si="403"/>
        <v>2.5</v>
      </c>
      <c r="AG4716" s="580">
        <f t="shared" si="404"/>
        <v>0</v>
      </c>
      <c r="AH4716" s="580">
        <f t="shared" si="405"/>
        <v>0</v>
      </c>
    </row>
    <row r="4717" spans="28:34">
      <c r="AB4717" s="580">
        <f>HLOOKUP("*"&amp;'Output annual'!$AC$2&amp;'Output annual'!$AD$2&amp;"*Zone People Number Of Occupants [](Hourly)",'Eplus results'!$1:$1048576,ROW(),FALSE)</f>
        <v>0</v>
      </c>
      <c r="AC4717" s="580">
        <f>HLOOKUP("*"&amp;'Output annual'!$AC$2&amp;'Output annual'!$AD$2&amp;"*FangerPMV(Hourly)",'Eplus results'!$1:$1048576,ROW(),FALSE)</f>
        <v>0</v>
      </c>
      <c r="AD4717" s="580">
        <f t="shared" si="401"/>
        <v>5</v>
      </c>
      <c r="AE4717" s="580">
        <f t="shared" si="402"/>
        <v>2.5</v>
      </c>
      <c r="AF4717" s="580">
        <f t="shared" si="403"/>
        <v>2.5</v>
      </c>
      <c r="AG4717" s="580">
        <f t="shared" si="404"/>
        <v>0</v>
      </c>
      <c r="AH4717" s="580">
        <f t="shared" si="405"/>
        <v>0</v>
      </c>
    </row>
    <row r="4718" spans="28:34">
      <c r="AB4718" s="580">
        <f>HLOOKUP("*"&amp;'Output annual'!$AC$2&amp;'Output annual'!$AD$2&amp;"*Zone People Number Of Occupants [](Hourly)",'Eplus results'!$1:$1048576,ROW(),FALSE)</f>
        <v>0</v>
      </c>
      <c r="AC4718" s="580">
        <f>HLOOKUP("*"&amp;'Output annual'!$AC$2&amp;'Output annual'!$AD$2&amp;"*FangerPMV(Hourly)",'Eplus results'!$1:$1048576,ROW(),FALSE)</f>
        <v>0</v>
      </c>
      <c r="AD4718" s="580">
        <f t="shared" si="401"/>
        <v>5</v>
      </c>
      <c r="AE4718" s="580">
        <f t="shared" si="402"/>
        <v>2.5</v>
      </c>
      <c r="AF4718" s="580">
        <f t="shared" si="403"/>
        <v>2.5</v>
      </c>
      <c r="AG4718" s="580">
        <f t="shared" si="404"/>
        <v>0</v>
      </c>
      <c r="AH4718" s="580">
        <f t="shared" si="405"/>
        <v>0</v>
      </c>
    </row>
    <row r="4719" spans="28:34">
      <c r="AB4719" s="580">
        <f>HLOOKUP("*"&amp;'Output annual'!$AC$2&amp;'Output annual'!$AD$2&amp;"*Zone People Number Of Occupants [](Hourly)",'Eplus results'!$1:$1048576,ROW(),FALSE)</f>
        <v>0</v>
      </c>
      <c r="AC4719" s="580">
        <f>HLOOKUP("*"&amp;'Output annual'!$AC$2&amp;'Output annual'!$AD$2&amp;"*FangerPMV(Hourly)",'Eplus results'!$1:$1048576,ROW(),FALSE)</f>
        <v>0</v>
      </c>
      <c r="AD4719" s="580">
        <f t="shared" si="401"/>
        <v>5</v>
      </c>
      <c r="AE4719" s="580">
        <f t="shared" si="402"/>
        <v>2.5</v>
      </c>
      <c r="AF4719" s="580">
        <f t="shared" si="403"/>
        <v>2.5</v>
      </c>
      <c r="AG4719" s="580">
        <f t="shared" si="404"/>
        <v>0</v>
      </c>
      <c r="AH4719" s="580">
        <f t="shared" si="405"/>
        <v>0</v>
      </c>
    </row>
    <row r="4720" spans="28:34">
      <c r="AB4720" s="580">
        <f>HLOOKUP("*"&amp;'Output annual'!$AC$2&amp;'Output annual'!$AD$2&amp;"*Zone People Number Of Occupants [](Hourly)",'Eplus results'!$1:$1048576,ROW(),FALSE)</f>
        <v>0</v>
      </c>
      <c r="AC4720" s="580">
        <f>HLOOKUP("*"&amp;'Output annual'!$AC$2&amp;'Output annual'!$AD$2&amp;"*FangerPMV(Hourly)",'Eplus results'!$1:$1048576,ROW(),FALSE)</f>
        <v>0</v>
      </c>
      <c r="AD4720" s="580">
        <f t="shared" si="401"/>
        <v>5</v>
      </c>
      <c r="AE4720" s="580">
        <f t="shared" si="402"/>
        <v>2.5</v>
      </c>
      <c r="AF4720" s="580">
        <f t="shared" si="403"/>
        <v>2.5</v>
      </c>
      <c r="AG4720" s="580">
        <f t="shared" si="404"/>
        <v>0</v>
      </c>
      <c r="AH4720" s="580">
        <f t="shared" si="405"/>
        <v>0</v>
      </c>
    </row>
    <row r="4721" spans="28:34">
      <c r="AB4721" s="580">
        <f>HLOOKUP("*"&amp;'Output annual'!$AC$2&amp;'Output annual'!$AD$2&amp;"*Zone People Number Of Occupants [](Hourly)",'Eplus results'!$1:$1048576,ROW(),FALSE)</f>
        <v>0</v>
      </c>
      <c r="AC4721" s="580">
        <f>HLOOKUP("*"&amp;'Output annual'!$AC$2&amp;'Output annual'!$AD$2&amp;"*FangerPMV(Hourly)",'Eplus results'!$1:$1048576,ROW(),FALSE)</f>
        <v>0</v>
      </c>
      <c r="AD4721" s="580">
        <f t="shared" si="401"/>
        <v>5</v>
      </c>
      <c r="AE4721" s="580">
        <f t="shared" si="402"/>
        <v>2.5</v>
      </c>
      <c r="AF4721" s="580">
        <f t="shared" si="403"/>
        <v>2.5</v>
      </c>
      <c r="AG4721" s="580">
        <f t="shared" si="404"/>
        <v>0</v>
      </c>
      <c r="AH4721" s="580">
        <f t="shared" si="405"/>
        <v>0</v>
      </c>
    </row>
    <row r="4722" spans="28:34">
      <c r="AB4722" s="580">
        <f>HLOOKUP("*"&amp;'Output annual'!$AC$2&amp;'Output annual'!$AD$2&amp;"*Zone People Number Of Occupants [](Hourly)",'Eplus results'!$1:$1048576,ROW(),FALSE)</f>
        <v>0</v>
      </c>
      <c r="AC4722" s="580">
        <f>HLOOKUP("*"&amp;'Output annual'!$AC$2&amp;'Output annual'!$AD$2&amp;"*FangerPMV(Hourly)",'Eplus results'!$1:$1048576,ROW(),FALSE)</f>
        <v>0</v>
      </c>
      <c r="AD4722" s="580">
        <f t="shared" si="401"/>
        <v>5</v>
      </c>
      <c r="AE4722" s="580">
        <f t="shared" si="402"/>
        <v>2.5</v>
      </c>
      <c r="AF4722" s="580">
        <f t="shared" si="403"/>
        <v>2.5</v>
      </c>
      <c r="AG4722" s="580">
        <f t="shared" si="404"/>
        <v>0</v>
      </c>
      <c r="AH4722" s="580">
        <f t="shared" si="405"/>
        <v>0</v>
      </c>
    </row>
    <row r="4723" spans="28:34">
      <c r="AB4723" s="580">
        <f>HLOOKUP("*"&amp;'Output annual'!$AC$2&amp;'Output annual'!$AD$2&amp;"*Zone People Number Of Occupants [](Hourly)",'Eplus results'!$1:$1048576,ROW(),FALSE)</f>
        <v>0</v>
      </c>
      <c r="AC4723" s="580">
        <f>HLOOKUP("*"&amp;'Output annual'!$AC$2&amp;'Output annual'!$AD$2&amp;"*FangerPMV(Hourly)",'Eplus results'!$1:$1048576,ROW(),FALSE)</f>
        <v>0</v>
      </c>
      <c r="AD4723" s="580">
        <f t="shared" si="401"/>
        <v>5</v>
      </c>
      <c r="AE4723" s="580">
        <f t="shared" si="402"/>
        <v>2.5</v>
      </c>
      <c r="AF4723" s="580">
        <f t="shared" si="403"/>
        <v>2.5</v>
      </c>
      <c r="AG4723" s="580">
        <f t="shared" si="404"/>
        <v>0</v>
      </c>
      <c r="AH4723" s="580">
        <f t="shared" si="405"/>
        <v>0</v>
      </c>
    </row>
    <row r="4724" spans="28:34">
      <c r="AB4724" s="580">
        <f>HLOOKUP("*"&amp;'Output annual'!$AC$2&amp;'Output annual'!$AD$2&amp;"*Zone People Number Of Occupants [](Hourly)",'Eplus results'!$1:$1048576,ROW(),FALSE)</f>
        <v>0</v>
      </c>
      <c r="AC4724" s="580">
        <f>HLOOKUP("*"&amp;'Output annual'!$AC$2&amp;'Output annual'!$AD$2&amp;"*FangerPMV(Hourly)",'Eplus results'!$1:$1048576,ROW(),FALSE)</f>
        <v>0</v>
      </c>
      <c r="AD4724" s="580">
        <f t="shared" si="401"/>
        <v>5</v>
      </c>
      <c r="AE4724" s="580">
        <f t="shared" si="402"/>
        <v>2.5</v>
      </c>
      <c r="AF4724" s="580">
        <f t="shared" si="403"/>
        <v>2.5</v>
      </c>
      <c r="AG4724" s="580">
        <f t="shared" si="404"/>
        <v>0</v>
      </c>
      <c r="AH4724" s="580">
        <f t="shared" si="405"/>
        <v>0</v>
      </c>
    </row>
    <row r="4725" spans="28:34">
      <c r="AB4725" s="580">
        <f>HLOOKUP("*"&amp;'Output annual'!$AC$2&amp;'Output annual'!$AD$2&amp;"*Zone People Number Of Occupants [](Hourly)",'Eplus results'!$1:$1048576,ROW(),FALSE)</f>
        <v>0</v>
      </c>
      <c r="AC4725" s="580">
        <f>HLOOKUP("*"&amp;'Output annual'!$AC$2&amp;'Output annual'!$AD$2&amp;"*FangerPMV(Hourly)",'Eplus results'!$1:$1048576,ROW(),FALSE)</f>
        <v>0</v>
      </c>
      <c r="AD4725" s="580">
        <f t="shared" si="401"/>
        <v>5</v>
      </c>
      <c r="AE4725" s="580">
        <f t="shared" si="402"/>
        <v>2.5</v>
      </c>
      <c r="AF4725" s="580">
        <f t="shared" si="403"/>
        <v>2.5</v>
      </c>
      <c r="AG4725" s="580">
        <f t="shared" si="404"/>
        <v>0</v>
      </c>
      <c r="AH4725" s="580">
        <f t="shared" si="405"/>
        <v>0</v>
      </c>
    </row>
    <row r="4726" spans="28:34">
      <c r="AB4726" s="580">
        <f>HLOOKUP("*"&amp;'Output annual'!$AC$2&amp;'Output annual'!$AD$2&amp;"*Zone People Number Of Occupants [](Hourly)",'Eplus results'!$1:$1048576,ROW(),FALSE)</f>
        <v>0</v>
      </c>
      <c r="AC4726" s="580">
        <f>HLOOKUP("*"&amp;'Output annual'!$AC$2&amp;'Output annual'!$AD$2&amp;"*FangerPMV(Hourly)",'Eplus results'!$1:$1048576,ROW(),FALSE)</f>
        <v>0</v>
      </c>
      <c r="AD4726" s="580">
        <f t="shared" si="401"/>
        <v>5</v>
      </c>
      <c r="AE4726" s="580">
        <f t="shared" si="402"/>
        <v>2.5</v>
      </c>
      <c r="AF4726" s="580">
        <f t="shared" si="403"/>
        <v>2.5</v>
      </c>
      <c r="AG4726" s="580">
        <f t="shared" si="404"/>
        <v>0</v>
      </c>
      <c r="AH4726" s="580">
        <f t="shared" si="405"/>
        <v>0</v>
      </c>
    </row>
    <row r="4727" spans="28:34">
      <c r="AB4727" s="580">
        <f>HLOOKUP("*"&amp;'Output annual'!$AC$2&amp;'Output annual'!$AD$2&amp;"*Zone People Number Of Occupants [](Hourly)",'Eplus results'!$1:$1048576,ROW(),FALSE)</f>
        <v>0</v>
      </c>
      <c r="AC4727" s="580">
        <f>HLOOKUP("*"&amp;'Output annual'!$AC$2&amp;'Output annual'!$AD$2&amp;"*FangerPMV(Hourly)",'Eplus results'!$1:$1048576,ROW(),FALSE)</f>
        <v>0</v>
      </c>
      <c r="AD4727" s="580">
        <f t="shared" si="401"/>
        <v>5</v>
      </c>
      <c r="AE4727" s="580">
        <f t="shared" si="402"/>
        <v>2.5</v>
      </c>
      <c r="AF4727" s="580">
        <f t="shared" si="403"/>
        <v>2.5</v>
      </c>
      <c r="AG4727" s="580">
        <f t="shared" si="404"/>
        <v>0</v>
      </c>
      <c r="AH4727" s="580">
        <f t="shared" si="405"/>
        <v>0</v>
      </c>
    </row>
    <row r="4728" spans="28:34">
      <c r="AB4728" s="580">
        <f>HLOOKUP("*"&amp;'Output annual'!$AC$2&amp;'Output annual'!$AD$2&amp;"*Zone People Number Of Occupants [](Hourly)",'Eplus results'!$1:$1048576,ROW(),FALSE)</f>
        <v>0</v>
      </c>
      <c r="AC4728" s="580">
        <f>HLOOKUP("*"&amp;'Output annual'!$AC$2&amp;'Output annual'!$AD$2&amp;"*FangerPMV(Hourly)",'Eplus results'!$1:$1048576,ROW(),FALSE)</f>
        <v>0</v>
      </c>
      <c r="AD4728" s="580">
        <f t="shared" si="401"/>
        <v>5</v>
      </c>
      <c r="AE4728" s="580">
        <f t="shared" si="402"/>
        <v>2.5</v>
      </c>
      <c r="AF4728" s="580">
        <f t="shared" si="403"/>
        <v>2.5</v>
      </c>
      <c r="AG4728" s="580">
        <f t="shared" si="404"/>
        <v>0</v>
      </c>
      <c r="AH4728" s="580">
        <f t="shared" si="405"/>
        <v>0</v>
      </c>
    </row>
    <row r="4729" spans="28:34">
      <c r="AB4729" s="580">
        <f>HLOOKUP("*"&amp;'Output annual'!$AC$2&amp;'Output annual'!$AD$2&amp;"*Zone People Number Of Occupants [](Hourly)",'Eplus results'!$1:$1048576,ROW(),FALSE)</f>
        <v>0</v>
      </c>
      <c r="AC4729" s="580">
        <f>HLOOKUP("*"&amp;'Output annual'!$AC$2&amp;'Output annual'!$AD$2&amp;"*FangerPMV(Hourly)",'Eplus results'!$1:$1048576,ROW(),FALSE)</f>
        <v>0</v>
      </c>
      <c r="AD4729" s="580">
        <f t="shared" si="401"/>
        <v>5</v>
      </c>
      <c r="AE4729" s="580">
        <f t="shared" si="402"/>
        <v>2.5</v>
      </c>
      <c r="AF4729" s="580">
        <f t="shared" si="403"/>
        <v>2.5</v>
      </c>
      <c r="AG4729" s="580">
        <f t="shared" si="404"/>
        <v>0</v>
      </c>
      <c r="AH4729" s="580">
        <f t="shared" si="405"/>
        <v>0</v>
      </c>
    </row>
    <row r="4730" spans="28:34">
      <c r="AB4730" s="580">
        <f>HLOOKUP("*"&amp;'Output annual'!$AC$2&amp;'Output annual'!$AD$2&amp;"*Zone People Number Of Occupants [](Hourly)",'Eplus results'!$1:$1048576,ROW(),FALSE)</f>
        <v>0</v>
      </c>
      <c r="AC4730" s="580">
        <f>HLOOKUP("*"&amp;'Output annual'!$AC$2&amp;'Output annual'!$AD$2&amp;"*FangerPMV(Hourly)",'Eplus results'!$1:$1048576,ROW(),FALSE)</f>
        <v>0</v>
      </c>
      <c r="AD4730" s="580">
        <f t="shared" si="401"/>
        <v>5</v>
      </c>
      <c r="AE4730" s="580">
        <f t="shared" si="402"/>
        <v>2.5</v>
      </c>
      <c r="AF4730" s="580">
        <f t="shared" si="403"/>
        <v>2.5</v>
      </c>
      <c r="AG4730" s="580">
        <f t="shared" si="404"/>
        <v>0</v>
      </c>
      <c r="AH4730" s="580">
        <f t="shared" si="405"/>
        <v>0</v>
      </c>
    </row>
    <row r="4731" spans="28:34">
      <c r="AB4731" s="580">
        <f>HLOOKUP("*"&amp;'Output annual'!$AC$2&amp;'Output annual'!$AD$2&amp;"*Zone People Number Of Occupants [](Hourly)",'Eplus results'!$1:$1048576,ROW(),FALSE)</f>
        <v>0</v>
      </c>
      <c r="AC4731" s="580">
        <f>HLOOKUP("*"&amp;'Output annual'!$AC$2&amp;'Output annual'!$AD$2&amp;"*FangerPMV(Hourly)",'Eplus results'!$1:$1048576,ROW(),FALSE)</f>
        <v>0</v>
      </c>
      <c r="AD4731" s="580">
        <f t="shared" si="401"/>
        <v>5</v>
      </c>
      <c r="AE4731" s="580">
        <f t="shared" si="402"/>
        <v>2.5</v>
      </c>
      <c r="AF4731" s="580">
        <f t="shared" si="403"/>
        <v>2.5</v>
      </c>
      <c r="AG4731" s="580">
        <f t="shared" si="404"/>
        <v>0</v>
      </c>
      <c r="AH4731" s="580">
        <f t="shared" si="405"/>
        <v>0</v>
      </c>
    </row>
    <row r="4732" spans="28:34">
      <c r="AB4732" s="580">
        <f>HLOOKUP("*"&amp;'Output annual'!$AC$2&amp;'Output annual'!$AD$2&amp;"*Zone People Number Of Occupants [](Hourly)",'Eplus results'!$1:$1048576,ROW(),FALSE)</f>
        <v>0</v>
      </c>
      <c r="AC4732" s="580">
        <f>HLOOKUP("*"&amp;'Output annual'!$AC$2&amp;'Output annual'!$AD$2&amp;"*FangerPMV(Hourly)",'Eplus results'!$1:$1048576,ROW(),FALSE)</f>
        <v>0</v>
      </c>
      <c r="AD4732" s="580">
        <f t="shared" si="401"/>
        <v>5</v>
      </c>
      <c r="AE4732" s="580">
        <f t="shared" si="402"/>
        <v>2.5</v>
      </c>
      <c r="AF4732" s="580">
        <f t="shared" si="403"/>
        <v>2.5</v>
      </c>
      <c r="AG4732" s="580">
        <f t="shared" si="404"/>
        <v>0</v>
      </c>
      <c r="AH4732" s="580">
        <f t="shared" si="405"/>
        <v>0</v>
      </c>
    </row>
    <row r="4733" spans="28:34">
      <c r="AB4733" s="580">
        <f>HLOOKUP("*"&amp;'Output annual'!$AC$2&amp;'Output annual'!$AD$2&amp;"*Zone People Number Of Occupants [](Hourly)",'Eplus results'!$1:$1048576,ROW(),FALSE)</f>
        <v>0</v>
      </c>
      <c r="AC4733" s="580">
        <f>HLOOKUP("*"&amp;'Output annual'!$AC$2&amp;'Output annual'!$AD$2&amp;"*FangerPMV(Hourly)",'Eplus results'!$1:$1048576,ROW(),FALSE)</f>
        <v>0</v>
      </c>
      <c r="AD4733" s="580">
        <f t="shared" si="401"/>
        <v>5</v>
      </c>
      <c r="AE4733" s="580">
        <f t="shared" si="402"/>
        <v>2.5</v>
      </c>
      <c r="AF4733" s="580">
        <f t="shared" si="403"/>
        <v>2.5</v>
      </c>
      <c r="AG4733" s="580">
        <f t="shared" si="404"/>
        <v>0</v>
      </c>
      <c r="AH4733" s="580">
        <f t="shared" si="405"/>
        <v>0</v>
      </c>
    </row>
    <row r="4734" spans="28:34">
      <c r="AB4734" s="580">
        <f>HLOOKUP("*"&amp;'Output annual'!$AC$2&amp;'Output annual'!$AD$2&amp;"*Zone People Number Of Occupants [](Hourly)",'Eplus results'!$1:$1048576,ROW(),FALSE)</f>
        <v>0</v>
      </c>
      <c r="AC4734" s="580">
        <f>HLOOKUP("*"&amp;'Output annual'!$AC$2&amp;'Output annual'!$AD$2&amp;"*FangerPMV(Hourly)",'Eplus results'!$1:$1048576,ROW(),FALSE)</f>
        <v>0</v>
      </c>
      <c r="AD4734" s="580">
        <f t="shared" si="401"/>
        <v>5</v>
      </c>
      <c r="AE4734" s="580">
        <f t="shared" si="402"/>
        <v>2.5</v>
      </c>
      <c r="AF4734" s="580">
        <f t="shared" si="403"/>
        <v>2.5</v>
      </c>
      <c r="AG4734" s="580">
        <f t="shared" si="404"/>
        <v>0</v>
      </c>
      <c r="AH4734" s="580">
        <f t="shared" si="405"/>
        <v>0</v>
      </c>
    </row>
    <row r="4735" spans="28:34">
      <c r="AB4735" s="580">
        <f>HLOOKUP("*"&amp;'Output annual'!$AC$2&amp;'Output annual'!$AD$2&amp;"*Zone People Number Of Occupants [](Hourly)",'Eplus results'!$1:$1048576,ROW(),FALSE)</f>
        <v>0</v>
      </c>
      <c r="AC4735" s="580">
        <f>HLOOKUP("*"&amp;'Output annual'!$AC$2&amp;'Output annual'!$AD$2&amp;"*FangerPMV(Hourly)",'Eplus results'!$1:$1048576,ROW(),FALSE)</f>
        <v>0</v>
      </c>
      <c r="AD4735" s="580">
        <f t="shared" si="401"/>
        <v>5</v>
      </c>
      <c r="AE4735" s="580">
        <f t="shared" si="402"/>
        <v>2.5</v>
      </c>
      <c r="AF4735" s="580">
        <f t="shared" si="403"/>
        <v>2.5</v>
      </c>
      <c r="AG4735" s="580">
        <f t="shared" si="404"/>
        <v>0</v>
      </c>
      <c r="AH4735" s="580">
        <f t="shared" si="405"/>
        <v>0</v>
      </c>
    </row>
    <row r="4736" spans="28:34">
      <c r="AB4736" s="580">
        <f>HLOOKUP("*"&amp;'Output annual'!$AC$2&amp;'Output annual'!$AD$2&amp;"*Zone People Number Of Occupants [](Hourly)",'Eplus results'!$1:$1048576,ROW(),FALSE)</f>
        <v>0</v>
      </c>
      <c r="AC4736" s="580">
        <f>HLOOKUP("*"&amp;'Output annual'!$AC$2&amp;'Output annual'!$AD$2&amp;"*FangerPMV(Hourly)",'Eplus results'!$1:$1048576,ROW(),FALSE)</f>
        <v>0</v>
      </c>
      <c r="AD4736" s="580">
        <f t="shared" si="401"/>
        <v>5</v>
      </c>
      <c r="AE4736" s="580">
        <f t="shared" si="402"/>
        <v>2.5</v>
      </c>
      <c r="AF4736" s="580">
        <f t="shared" si="403"/>
        <v>2.5</v>
      </c>
      <c r="AG4736" s="580">
        <f t="shared" si="404"/>
        <v>0</v>
      </c>
      <c r="AH4736" s="580">
        <f t="shared" si="405"/>
        <v>0</v>
      </c>
    </row>
    <row r="4737" spans="28:34">
      <c r="AB4737" s="580">
        <f>HLOOKUP("*"&amp;'Output annual'!$AC$2&amp;'Output annual'!$AD$2&amp;"*Zone People Number Of Occupants [](Hourly)",'Eplus results'!$1:$1048576,ROW(),FALSE)</f>
        <v>0</v>
      </c>
      <c r="AC4737" s="580">
        <f>HLOOKUP("*"&amp;'Output annual'!$AC$2&amp;'Output annual'!$AD$2&amp;"*FangerPMV(Hourly)",'Eplus results'!$1:$1048576,ROW(),FALSE)</f>
        <v>0</v>
      </c>
      <c r="AD4737" s="580">
        <f t="shared" si="401"/>
        <v>5</v>
      </c>
      <c r="AE4737" s="580">
        <f t="shared" si="402"/>
        <v>2.5</v>
      </c>
      <c r="AF4737" s="580">
        <f t="shared" si="403"/>
        <v>2.5</v>
      </c>
      <c r="AG4737" s="580">
        <f t="shared" si="404"/>
        <v>0</v>
      </c>
      <c r="AH4737" s="580">
        <f t="shared" si="405"/>
        <v>0</v>
      </c>
    </row>
    <row r="4738" spans="28:34">
      <c r="AB4738" s="580">
        <f>HLOOKUP("*"&amp;'Output annual'!$AC$2&amp;'Output annual'!$AD$2&amp;"*Zone People Number Of Occupants [](Hourly)",'Eplus results'!$1:$1048576,ROW(),FALSE)</f>
        <v>0</v>
      </c>
      <c r="AC4738" s="580">
        <f>HLOOKUP("*"&amp;'Output annual'!$AC$2&amp;'Output annual'!$AD$2&amp;"*FangerPMV(Hourly)",'Eplus results'!$1:$1048576,ROW(),FALSE)</f>
        <v>0</v>
      </c>
      <c r="AD4738" s="580">
        <f t="shared" si="401"/>
        <v>5</v>
      </c>
      <c r="AE4738" s="580">
        <f t="shared" si="402"/>
        <v>2.5</v>
      </c>
      <c r="AF4738" s="580">
        <f t="shared" si="403"/>
        <v>2.5</v>
      </c>
      <c r="AG4738" s="580">
        <f t="shared" si="404"/>
        <v>0</v>
      </c>
      <c r="AH4738" s="580">
        <f t="shared" si="405"/>
        <v>0</v>
      </c>
    </row>
    <row r="4739" spans="28:34">
      <c r="AB4739" s="580">
        <f>HLOOKUP("*"&amp;'Output annual'!$AC$2&amp;'Output annual'!$AD$2&amp;"*Zone People Number Of Occupants [](Hourly)",'Eplus results'!$1:$1048576,ROW(),FALSE)</f>
        <v>0</v>
      </c>
      <c r="AC4739" s="580">
        <f>HLOOKUP("*"&amp;'Output annual'!$AC$2&amp;'Output annual'!$AD$2&amp;"*FangerPMV(Hourly)",'Eplus results'!$1:$1048576,ROW(),FALSE)</f>
        <v>0</v>
      </c>
      <c r="AD4739" s="580">
        <f t="shared" ref="AD4739:AD4802" si="406">100-95*EXP(-0.03353*AC4739^4-0.2179*AC4739^2)</f>
        <v>5</v>
      </c>
      <c r="AE4739" s="580">
        <f t="shared" ref="AE4739:AE4802" si="407">AD4739*(1/(1+EXP(-6.3*$AC4739)))</f>
        <v>2.5</v>
      </c>
      <c r="AF4739" s="580">
        <f t="shared" ref="AF4739:AF4802" si="408">(AD4739-AE4739)</f>
        <v>2.5</v>
      </c>
      <c r="AG4739" s="580">
        <f t="shared" ref="AG4739:AG4802" si="409">AE4739*AB4739</f>
        <v>0</v>
      </c>
      <c r="AH4739" s="580">
        <f t="shared" ref="AH4739:AH4802" si="410">AF4739*AB4739</f>
        <v>0</v>
      </c>
    </row>
    <row r="4740" spans="28:34">
      <c r="AB4740" s="580">
        <f>HLOOKUP("*"&amp;'Output annual'!$AC$2&amp;'Output annual'!$AD$2&amp;"*Zone People Number Of Occupants [](Hourly)",'Eplus results'!$1:$1048576,ROW(),FALSE)</f>
        <v>0</v>
      </c>
      <c r="AC4740" s="580">
        <f>HLOOKUP("*"&amp;'Output annual'!$AC$2&amp;'Output annual'!$AD$2&amp;"*FangerPMV(Hourly)",'Eplus results'!$1:$1048576,ROW(),FALSE)</f>
        <v>0</v>
      </c>
      <c r="AD4740" s="580">
        <f t="shared" si="406"/>
        <v>5</v>
      </c>
      <c r="AE4740" s="580">
        <f t="shared" si="407"/>
        <v>2.5</v>
      </c>
      <c r="AF4740" s="580">
        <f t="shared" si="408"/>
        <v>2.5</v>
      </c>
      <c r="AG4740" s="580">
        <f t="shared" si="409"/>
        <v>0</v>
      </c>
      <c r="AH4740" s="580">
        <f t="shared" si="410"/>
        <v>0</v>
      </c>
    </row>
    <row r="4741" spans="28:34">
      <c r="AB4741" s="580">
        <f>HLOOKUP("*"&amp;'Output annual'!$AC$2&amp;'Output annual'!$AD$2&amp;"*Zone People Number Of Occupants [](Hourly)",'Eplus results'!$1:$1048576,ROW(),FALSE)</f>
        <v>0</v>
      </c>
      <c r="AC4741" s="580">
        <f>HLOOKUP("*"&amp;'Output annual'!$AC$2&amp;'Output annual'!$AD$2&amp;"*FangerPMV(Hourly)",'Eplus results'!$1:$1048576,ROW(),FALSE)</f>
        <v>0</v>
      </c>
      <c r="AD4741" s="580">
        <f t="shared" si="406"/>
        <v>5</v>
      </c>
      <c r="AE4741" s="580">
        <f t="shared" si="407"/>
        <v>2.5</v>
      </c>
      <c r="AF4741" s="580">
        <f t="shared" si="408"/>
        <v>2.5</v>
      </c>
      <c r="AG4741" s="580">
        <f t="shared" si="409"/>
        <v>0</v>
      </c>
      <c r="AH4741" s="580">
        <f t="shared" si="410"/>
        <v>0</v>
      </c>
    </row>
    <row r="4742" spans="28:34">
      <c r="AB4742" s="580">
        <f>HLOOKUP("*"&amp;'Output annual'!$AC$2&amp;'Output annual'!$AD$2&amp;"*Zone People Number Of Occupants [](Hourly)",'Eplus results'!$1:$1048576,ROW(),FALSE)</f>
        <v>0</v>
      </c>
      <c r="AC4742" s="580">
        <f>HLOOKUP("*"&amp;'Output annual'!$AC$2&amp;'Output annual'!$AD$2&amp;"*FangerPMV(Hourly)",'Eplus results'!$1:$1048576,ROW(),FALSE)</f>
        <v>0</v>
      </c>
      <c r="AD4742" s="580">
        <f t="shared" si="406"/>
        <v>5</v>
      </c>
      <c r="AE4742" s="580">
        <f t="shared" si="407"/>
        <v>2.5</v>
      </c>
      <c r="AF4742" s="580">
        <f t="shared" si="408"/>
        <v>2.5</v>
      </c>
      <c r="AG4742" s="580">
        <f t="shared" si="409"/>
        <v>0</v>
      </c>
      <c r="AH4742" s="580">
        <f t="shared" si="410"/>
        <v>0</v>
      </c>
    </row>
    <row r="4743" spans="28:34">
      <c r="AB4743" s="580">
        <f>HLOOKUP("*"&amp;'Output annual'!$AC$2&amp;'Output annual'!$AD$2&amp;"*Zone People Number Of Occupants [](Hourly)",'Eplus results'!$1:$1048576,ROW(),FALSE)</f>
        <v>0</v>
      </c>
      <c r="AC4743" s="580">
        <f>HLOOKUP("*"&amp;'Output annual'!$AC$2&amp;'Output annual'!$AD$2&amp;"*FangerPMV(Hourly)",'Eplus results'!$1:$1048576,ROW(),FALSE)</f>
        <v>0</v>
      </c>
      <c r="AD4743" s="580">
        <f t="shared" si="406"/>
        <v>5</v>
      </c>
      <c r="AE4743" s="580">
        <f t="shared" si="407"/>
        <v>2.5</v>
      </c>
      <c r="AF4743" s="580">
        <f t="shared" si="408"/>
        <v>2.5</v>
      </c>
      <c r="AG4743" s="580">
        <f t="shared" si="409"/>
        <v>0</v>
      </c>
      <c r="AH4743" s="580">
        <f t="shared" si="410"/>
        <v>0</v>
      </c>
    </row>
    <row r="4744" spans="28:34">
      <c r="AB4744" s="580">
        <f>HLOOKUP("*"&amp;'Output annual'!$AC$2&amp;'Output annual'!$AD$2&amp;"*Zone People Number Of Occupants [](Hourly)",'Eplus results'!$1:$1048576,ROW(),FALSE)</f>
        <v>0</v>
      </c>
      <c r="AC4744" s="580">
        <f>HLOOKUP("*"&amp;'Output annual'!$AC$2&amp;'Output annual'!$AD$2&amp;"*FangerPMV(Hourly)",'Eplus results'!$1:$1048576,ROW(),FALSE)</f>
        <v>0</v>
      </c>
      <c r="AD4744" s="580">
        <f t="shared" si="406"/>
        <v>5</v>
      </c>
      <c r="AE4744" s="580">
        <f t="shared" si="407"/>
        <v>2.5</v>
      </c>
      <c r="AF4744" s="580">
        <f t="shared" si="408"/>
        <v>2.5</v>
      </c>
      <c r="AG4744" s="580">
        <f t="shared" si="409"/>
        <v>0</v>
      </c>
      <c r="AH4744" s="580">
        <f t="shared" si="410"/>
        <v>0</v>
      </c>
    </row>
    <row r="4745" spans="28:34">
      <c r="AB4745" s="580">
        <f>HLOOKUP("*"&amp;'Output annual'!$AC$2&amp;'Output annual'!$AD$2&amp;"*Zone People Number Of Occupants [](Hourly)",'Eplus results'!$1:$1048576,ROW(),FALSE)</f>
        <v>0</v>
      </c>
      <c r="AC4745" s="580">
        <f>HLOOKUP("*"&amp;'Output annual'!$AC$2&amp;'Output annual'!$AD$2&amp;"*FangerPMV(Hourly)",'Eplus results'!$1:$1048576,ROW(),FALSE)</f>
        <v>0</v>
      </c>
      <c r="AD4745" s="580">
        <f t="shared" si="406"/>
        <v>5</v>
      </c>
      <c r="AE4745" s="580">
        <f t="shared" si="407"/>
        <v>2.5</v>
      </c>
      <c r="AF4745" s="580">
        <f t="shared" si="408"/>
        <v>2.5</v>
      </c>
      <c r="AG4745" s="580">
        <f t="shared" si="409"/>
        <v>0</v>
      </c>
      <c r="AH4745" s="580">
        <f t="shared" si="410"/>
        <v>0</v>
      </c>
    </row>
    <row r="4746" spans="28:34">
      <c r="AB4746" s="580">
        <f>HLOOKUP("*"&amp;'Output annual'!$AC$2&amp;'Output annual'!$AD$2&amp;"*Zone People Number Of Occupants [](Hourly)",'Eplus results'!$1:$1048576,ROW(),FALSE)</f>
        <v>0</v>
      </c>
      <c r="AC4746" s="580">
        <f>HLOOKUP("*"&amp;'Output annual'!$AC$2&amp;'Output annual'!$AD$2&amp;"*FangerPMV(Hourly)",'Eplus results'!$1:$1048576,ROW(),FALSE)</f>
        <v>0</v>
      </c>
      <c r="AD4746" s="580">
        <f t="shared" si="406"/>
        <v>5</v>
      </c>
      <c r="AE4746" s="580">
        <f t="shared" si="407"/>
        <v>2.5</v>
      </c>
      <c r="AF4746" s="580">
        <f t="shared" si="408"/>
        <v>2.5</v>
      </c>
      <c r="AG4746" s="580">
        <f t="shared" si="409"/>
        <v>0</v>
      </c>
      <c r="AH4746" s="580">
        <f t="shared" si="410"/>
        <v>0</v>
      </c>
    </row>
    <row r="4747" spans="28:34">
      <c r="AB4747" s="580">
        <f>HLOOKUP("*"&amp;'Output annual'!$AC$2&amp;'Output annual'!$AD$2&amp;"*Zone People Number Of Occupants [](Hourly)",'Eplus results'!$1:$1048576,ROW(),FALSE)</f>
        <v>0</v>
      </c>
      <c r="AC4747" s="580">
        <f>HLOOKUP("*"&amp;'Output annual'!$AC$2&amp;'Output annual'!$AD$2&amp;"*FangerPMV(Hourly)",'Eplus results'!$1:$1048576,ROW(),FALSE)</f>
        <v>0</v>
      </c>
      <c r="AD4747" s="580">
        <f t="shared" si="406"/>
        <v>5</v>
      </c>
      <c r="AE4747" s="580">
        <f t="shared" si="407"/>
        <v>2.5</v>
      </c>
      <c r="AF4747" s="580">
        <f t="shared" si="408"/>
        <v>2.5</v>
      </c>
      <c r="AG4747" s="580">
        <f t="shared" si="409"/>
        <v>0</v>
      </c>
      <c r="AH4747" s="580">
        <f t="shared" si="410"/>
        <v>0</v>
      </c>
    </row>
    <row r="4748" spans="28:34">
      <c r="AB4748" s="580">
        <f>HLOOKUP("*"&amp;'Output annual'!$AC$2&amp;'Output annual'!$AD$2&amp;"*Zone People Number Of Occupants [](Hourly)",'Eplus results'!$1:$1048576,ROW(),FALSE)</f>
        <v>0</v>
      </c>
      <c r="AC4748" s="580">
        <f>HLOOKUP("*"&amp;'Output annual'!$AC$2&amp;'Output annual'!$AD$2&amp;"*FangerPMV(Hourly)",'Eplus results'!$1:$1048576,ROW(),FALSE)</f>
        <v>0</v>
      </c>
      <c r="AD4748" s="580">
        <f t="shared" si="406"/>
        <v>5</v>
      </c>
      <c r="AE4748" s="580">
        <f t="shared" si="407"/>
        <v>2.5</v>
      </c>
      <c r="AF4748" s="580">
        <f t="shared" si="408"/>
        <v>2.5</v>
      </c>
      <c r="AG4748" s="580">
        <f t="shared" si="409"/>
        <v>0</v>
      </c>
      <c r="AH4748" s="580">
        <f t="shared" si="410"/>
        <v>0</v>
      </c>
    </row>
    <row r="4749" spans="28:34">
      <c r="AB4749" s="580">
        <f>HLOOKUP("*"&amp;'Output annual'!$AC$2&amp;'Output annual'!$AD$2&amp;"*Zone People Number Of Occupants [](Hourly)",'Eplus results'!$1:$1048576,ROW(),FALSE)</f>
        <v>0</v>
      </c>
      <c r="AC4749" s="580">
        <f>HLOOKUP("*"&amp;'Output annual'!$AC$2&amp;'Output annual'!$AD$2&amp;"*FangerPMV(Hourly)",'Eplus results'!$1:$1048576,ROW(),FALSE)</f>
        <v>0</v>
      </c>
      <c r="AD4749" s="580">
        <f t="shared" si="406"/>
        <v>5</v>
      </c>
      <c r="AE4749" s="580">
        <f t="shared" si="407"/>
        <v>2.5</v>
      </c>
      <c r="AF4749" s="580">
        <f t="shared" si="408"/>
        <v>2.5</v>
      </c>
      <c r="AG4749" s="580">
        <f t="shared" si="409"/>
        <v>0</v>
      </c>
      <c r="AH4749" s="580">
        <f t="shared" si="410"/>
        <v>0</v>
      </c>
    </row>
    <row r="4750" spans="28:34">
      <c r="AB4750" s="580">
        <f>HLOOKUP("*"&amp;'Output annual'!$AC$2&amp;'Output annual'!$AD$2&amp;"*Zone People Number Of Occupants [](Hourly)",'Eplus results'!$1:$1048576,ROW(),FALSE)</f>
        <v>0</v>
      </c>
      <c r="AC4750" s="580">
        <f>HLOOKUP("*"&amp;'Output annual'!$AC$2&amp;'Output annual'!$AD$2&amp;"*FangerPMV(Hourly)",'Eplus results'!$1:$1048576,ROW(),FALSE)</f>
        <v>0</v>
      </c>
      <c r="AD4750" s="580">
        <f t="shared" si="406"/>
        <v>5</v>
      </c>
      <c r="AE4750" s="580">
        <f t="shared" si="407"/>
        <v>2.5</v>
      </c>
      <c r="AF4750" s="580">
        <f t="shared" si="408"/>
        <v>2.5</v>
      </c>
      <c r="AG4750" s="580">
        <f t="shared" si="409"/>
        <v>0</v>
      </c>
      <c r="AH4750" s="580">
        <f t="shared" si="410"/>
        <v>0</v>
      </c>
    </row>
    <row r="4751" spans="28:34">
      <c r="AB4751" s="580">
        <f>HLOOKUP("*"&amp;'Output annual'!$AC$2&amp;'Output annual'!$AD$2&amp;"*Zone People Number Of Occupants [](Hourly)",'Eplus results'!$1:$1048576,ROW(),FALSE)</f>
        <v>0</v>
      </c>
      <c r="AC4751" s="580">
        <f>HLOOKUP("*"&amp;'Output annual'!$AC$2&amp;'Output annual'!$AD$2&amp;"*FangerPMV(Hourly)",'Eplus results'!$1:$1048576,ROW(),FALSE)</f>
        <v>0</v>
      </c>
      <c r="AD4751" s="580">
        <f t="shared" si="406"/>
        <v>5</v>
      </c>
      <c r="AE4751" s="580">
        <f t="shared" si="407"/>
        <v>2.5</v>
      </c>
      <c r="AF4751" s="580">
        <f t="shared" si="408"/>
        <v>2.5</v>
      </c>
      <c r="AG4751" s="580">
        <f t="shared" si="409"/>
        <v>0</v>
      </c>
      <c r="AH4751" s="580">
        <f t="shared" si="410"/>
        <v>0</v>
      </c>
    </row>
    <row r="4752" spans="28:34">
      <c r="AB4752" s="580">
        <f>HLOOKUP("*"&amp;'Output annual'!$AC$2&amp;'Output annual'!$AD$2&amp;"*Zone People Number Of Occupants [](Hourly)",'Eplus results'!$1:$1048576,ROW(),FALSE)</f>
        <v>0</v>
      </c>
      <c r="AC4752" s="580">
        <f>HLOOKUP("*"&amp;'Output annual'!$AC$2&amp;'Output annual'!$AD$2&amp;"*FangerPMV(Hourly)",'Eplus results'!$1:$1048576,ROW(),FALSE)</f>
        <v>0</v>
      </c>
      <c r="AD4752" s="580">
        <f t="shared" si="406"/>
        <v>5</v>
      </c>
      <c r="AE4752" s="580">
        <f t="shared" si="407"/>
        <v>2.5</v>
      </c>
      <c r="AF4752" s="580">
        <f t="shared" si="408"/>
        <v>2.5</v>
      </c>
      <c r="AG4752" s="580">
        <f t="shared" si="409"/>
        <v>0</v>
      </c>
      <c r="AH4752" s="580">
        <f t="shared" si="410"/>
        <v>0</v>
      </c>
    </row>
    <row r="4753" spans="28:34">
      <c r="AB4753" s="580">
        <f>HLOOKUP("*"&amp;'Output annual'!$AC$2&amp;'Output annual'!$AD$2&amp;"*Zone People Number Of Occupants [](Hourly)",'Eplus results'!$1:$1048576,ROW(),FALSE)</f>
        <v>0</v>
      </c>
      <c r="AC4753" s="580">
        <f>HLOOKUP("*"&amp;'Output annual'!$AC$2&amp;'Output annual'!$AD$2&amp;"*FangerPMV(Hourly)",'Eplus results'!$1:$1048576,ROW(),FALSE)</f>
        <v>0</v>
      </c>
      <c r="AD4753" s="580">
        <f t="shared" si="406"/>
        <v>5</v>
      </c>
      <c r="AE4753" s="580">
        <f t="shared" si="407"/>
        <v>2.5</v>
      </c>
      <c r="AF4753" s="580">
        <f t="shared" si="408"/>
        <v>2.5</v>
      </c>
      <c r="AG4753" s="580">
        <f t="shared" si="409"/>
        <v>0</v>
      </c>
      <c r="AH4753" s="580">
        <f t="shared" si="410"/>
        <v>0</v>
      </c>
    </row>
    <row r="4754" spans="28:34">
      <c r="AB4754" s="580">
        <f>HLOOKUP("*"&amp;'Output annual'!$AC$2&amp;'Output annual'!$AD$2&amp;"*Zone People Number Of Occupants [](Hourly)",'Eplus results'!$1:$1048576,ROW(),FALSE)</f>
        <v>0</v>
      </c>
      <c r="AC4754" s="580">
        <f>HLOOKUP("*"&amp;'Output annual'!$AC$2&amp;'Output annual'!$AD$2&amp;"*FangerPMV(Hourly)",'Eplus results'!$1:$1048576,ROW(),FALSE)</f>
        <v>0</v>
      </c>
      <c r="AD4754" s="580">
        <f t="shared" si="406"/>
        <v>5</v>
      </c>
      <c r="AE4754" s="580">
        <f t="shared" si="407"/>
        <v>2.5</v>
      </c>
      <c r="AF4754" s="580">
        <f t="shared" si="408"/>
        <v>2.5</v>
      </c>
      <c r="AG4754" s="580">
        <f t="shared" si="409"/>
        <v>0</v>
      </c>
      <c r="AH4754" s="580">
        <f t="shared" si="410"/>
        <v>0</v>
      </c>
    </row>
    <row r="4755" spans="28:34">
      <c r="AB4755" s="580">
        <f>HLOOKUP("*"&amp;'Output annual'!$AC$2&amp;'Output annual'!$AD$2&amp;"*Zone People Number Of Occupants [](Hourly)",'Eplus results'!$1:$1048576,ROW(),FALSE)</f>
        <v>0</v>
      </c>
      <c r="AC4755" s="580">
        <f>HLOOKUP("*"&amp;'Output annual'!$AC$2&amp;'Output annual'!$AD$2&amp;"*FangerPMV(Hourly)",'Eplus results'!$1:$1048576,ROW(),FALSE)</f>
        <v>0</v>
      </c>
      <c r="AD4755" s="580">
        <f t="shared" si="406"/>
        <v>5</v>
      </c>
      <c r="AE4755" s="580">
        <f t="shared" si="407"/>
        <v>2.5</v>
      </c>
      <c r="AF4755" s="580">
        <f t="shared" si="408"/>
        <v>2.5</v>
      </c>
      <c r="AG4755" s="580">
        <f t="shared" si="409"/>
        <v>0</v>
      </c>
      <c r="AH4755" s="580">
        <f t="shared" si="410"/>
        <v>0</v>
      </c>
    </row>
    <row r="4756" spans="28:34">
      <c r="AB4756" s="580">
        <f>HLOOKUP("*"&amp;'Output annual'!$AC$2&amp;'Output annual'!$AD$2&amp;"*Zone People Number Of Occupants [](Hourly)",'Eplus results'!$1:$1048576,ROW(),FALSE)</f>
        <v>0</v>
      </c>
      <c r="AC4756" s="580">
        <f>HLOOKUP("*"&amp;'Output annual'!$AC$2&amp;'Output annual'!$AD$2&amp;"*FangerPMV(Hourly)",'Eplus results'!$1:$1048576,ROW(),FALSE)</f>
        <v>0</v>
      </c>
      <c r="AD4756" s="580">
        <f t="shared" si="406"/>
        <v>5</v>
      </c>
      <c r="AE4756" s="580">
        <f t="shared" si="407"/>
        <v>2.5</v>
      </c>
      <c r="AF4756" s="580">
        <f t="shared" si="408"/>
        <v>2.5</v>
      </c>
      <c r="AG4756" s="580">
        <f t="shared" si="409"/>
        <v>0</v>
      </c>
      <c r="AH4756" s="580">
        <f t="shared" si="410"/>
        <v>0</v>
      </c>
    </row>
    <row r="4757" spans="28:34">
      <c r="AB4757" s="580">
        <f>HLOOKUP("*"&amp;'Output annual'!$AC$2&amp;'Output annual'!$AD$2&amp;"*Zone People Number Of Occupants [](Hourly)",'Eplus results'!$1:$1048576,ROW(),FALSE)</f>
        <v>0</v>
      </c>
      <c r="AC4757" s="580">
        <f>HLOOKUP("*"&amp;'Output annual'!$AC$2&amp;'Output annual'!$AD$2&amp;"*FangerPMV(Hourly)",'Eplus results'!$1:$1048576,ROW(),FALSE)</f>
        <v>0</v>
      </c>
      <c r="AD4757" s="580">
        <f t="shared" si="406"/>
        <v>5</v>
      </c>
      <c r="AE4757" s="580">
        <f t="shared" si="407"/>
        <v>2.5</v>
      </c>
      <c r="AF4757" s="580">
        <f t="shared" si="408"/>
        <v>2.5</v>
      </c>
      <c r="AG4757" s="580">
        <f t="shared" si="409"/>
        <v>0</v>
      </c>
      <c r="AH4757" s="580">
        <f t="shared" si="410"/>
        <v>0</v>
      </c>
    </row>
    <row r="4758" spans="28:34">
      <c r="AB4758" s="580">
        <f>HLOOKUP("*"&amp;'Output annual'!$AC$2&amp;'Output annual'!$AD$2&amp;"*Zone People Number Of Occupants [](Hourly)",'Eplus results'!$1:$1048576,ROW(),FALSE)</f>
        <v>0</v>
      </c>
      <c r="AC4758" s="580">
        <f>HLOOKUP("*"&amp;'Output annual'!$AC$2&amp;'Output annual'!$AD$2&amp;"*FangerPMV(Hourly)",'Eplus results'!$1:$1048576,ROW(),FALSE)</f>
        <v>0</v>
      </c>
      <c r="AD4758" s="580">
        <f t="shared" si="406"/>
        <v>5</v>
      </c>
      <c r="AE4758" s="580">
        <f t="shared" si="407"/>
        <v>2.5</v>
      </c>
      <c r="AF4758" s="580">
        <f t="shared" si="408"/>
        <v>2.5</v>
      </c>
      <c r="AG4758" s="580">
        <f t="shared" si="409"/>
        <v>0</v>
      </c>
      <c r="AH4758" s="580">
        <f t="shared" si="410"/>
        <v>0</v>
      </c>
    </row>
    <row r="4759" spans="28:34">
      <c r="AB4759" s="580">
        <f>HLOOKUP("*"&amp;'Output annual'!$AC$2&amp;'Output annual'!$AD$2&amp;"*Zone People Number Of Occupants [](Hourly)",'Eplus results'!$1:$1048576,ROW(),FALSE)</f>
        <v>0</v>
      </c>
      <c r="AC4759" s="580">
        <f>HLOOKUP("*"&amp;'Output annual'!$AC$2&amp;'Output annual'!$AD$2&amp;"*FangerPMV(Hourly)",'Eplus results'!$1:$1048576,ROW(),FALSE)</f>
        <v>0</v>
      </c>
      <c r="AD4759" s="580">
        <f t="shared" si="406"/>
        <v>5</v>
      </c>
      <c r="AE4759" s="580">
        <f t="shared" si="407"/>
        <v>2.5</v>
      </c>
      <c r="AF4759" s="580">
        <f t="shared" si="408"/>
        <v>2.5</v>
      </c>
      <c r="AG4759" s="580">
        <f t="shared" si="409"/>
        <v>0</v>
      </c>
      <c r="AH4759" s="580">
        <f t="shared" si="410"/>
        <v>0</v>
      </c>
    </row>
    <row r="4760" spans="28:34">
      <c r="AB4760" s="580">
        <f>HLOOKUP("*"&amp;'Output annual'!$AC$2&amp;'Output annual'!$AD$2&amp;"*Zone People Number Of Occupants [](Hourly)",'Eplus results'!$1:$1048576,ROW(),FALSE)</f>
        <v>0</v>
      </c>
      <c r="AC4760" s="580">
        <f>HLOOKUP("*"&amp;'Output annual'!$AC$2&amp;'Output annual'!$AD$2&amp;"*FangerPMV(Hourly)",'Eplus results'!$1:$1048576,ROW(),FALSE)</f>
        <v>0</v>
      </c>
      <c r="AD4760" s="580">
        <f t="shared" si="406"/>
        <v>5</v>
      </c>
      <c r="AE4760" s="580">
        <f t="shared" si="407"/>
        <v>2.5</v>
      </c>
      <c r="AF4760" s="580">
        <f t="shared" si="408"/>
        <v>2.5</v>
      </c>
      <c r="AG4760" s="580">
        <f t="shared" si="409"/>
        <v>0</v>
      </c>
      <c r="AH4760" s="580">
        <f t="shared" si="410"/>
        <v>0</v>
      </c>
    </row>
    <row r="4761" spans="28:34">
      <c r="AB4761" s="580">
        <f>HLOOKUP("*"&amp;'Output annual'!$AC$2&amp;'Output annual'!$AD$2&amp;"*Zone People Number Of Occupants [](Hourly)",'Eplus results'!$1:$1048576,ROW(),FALSE)</f>
        <v>0</v>
      </c>
      <c r="AC4761" s="580">
        <f>HLOOKUP("*"&amp;'Output annual'!$AC$2&amp;'Output annual'!$AD$2&amp;"*FangerPMV(Hourly)",'Eplus results'!$1:$1048576,ROW(),FALSE)</f>
        <v>0</v>
      </c>
      <c r="AD4761" s="580">
        <f t="shared" si="406"/>
        <v>5</v>
      </c>
      <c r="AE4761" s="580">
        <f t="shared" si="407"/>
        <v>2.5</v>
      </c>
      <c r="AF4761" s="580">
        <f t="shared" si="408"/>
        <v>2.5</v>
      </c>
      <c r="AG4761" s="580">
        <f t="shared" si="409"/>
        <v>0</v>
      </c>
      <c r="AH4761" s="580">
        <f t="shared" si="410"/>
        <v>0</v>
      </c>
    </row>
    <row r="4762" spans="28:34">
      <c r="AB4762" s="580">
        <f>HLOOKUP("*"&amp;'Output annual'!$AC$2&amp;'Output annual'!$AD$2&amp;"*Zone People Number Of Occupants [](Hourly)",'Eplus results'!$1:$1048576,ROW(),FALSE)</f>
        <v>0</v>
      </c>
      <c r="AC4762" s="580">
        <f>HLOOKUP("*"&amp;'Output annual'!$AC$2&amp;'Output annual'!$AD$2&amp;"*FangerPMV(Hourly)",'Eplus results'!$1:$1048576,ROW(),FALSE)</f>
        <v>0</v>
      </c>
      <c r="AD4762" s="580">
        <f t="shared" si="406"/>
        <v>5</v>
      </c>
      <c r="AE4762" s="580">
        <f t="shared" si="407"/>
        <v>2.5</v>
      </c>
      <c r="AF4762" s="580">
        <f t="shared" si="408"/>
        <v>2.5</v>
      </c>
      <c r="AG4762" s="580">
        <f t="shared" si="409"/>
        <v>0</v>
      </c>
      <c r="AH4762" s="580">
        <f t="shared" si="410"/>
        <v>0</v>
      </c>
    </row>
    <row r="4763" spans="28:34">
      <c r="AB4763" s="580">
        <f>HLOOKUP("*"&amp;'Output annual'!$AC$2&amp;'Output annual'!$AD$2&amp;"*Zone People Number Of Occupants [](Hourly)",'Eplus results'!$1:$1048576,ROW(),FALSE)</f>
        <v>0</v>
      </c>
      <c r="AC4763" s="580">
        <f>HLOOKUP("*"&amp;'Output annual'!$AC$2&amp;'Output annual'!$AD$2&amp;"*FangerPMV(Hourly)",'Eplus results'!$1:$1048576,ROW(),FALSE)</f>
        <v>0</v>
      </c>
      <c r="AD4763" s="580">
        <f t="shared" si="406"/>
        <v>5</v>
      </c>
      <c r="AE4763" s="580">
        <f t="shared" si="407"/>
        <v>2.5</v>
      </c>
      <c r="AF4763" s="580">
        <f t="shared" si="408"/>
        <v>2.5</v>
      </c>
      <c r="AG4763" s="580">
        <f t="shared" si="409"/>
        <v>0</v>
      </c>
      <c r="AH4763" s="580">
        <f t="shared" si="410"/>
        <v>0</v>
      </c>
    </row>
    <row r="4764" spans="28:34">
      <c r="AB4764" s="580">
        <f>HLOOKUP("*"&amp;'Output annual'!$AC$2&amp;'Output annual'!$AD$2&amp;"*Zone People Number Of Occupants [](Hourly)",'Eplus results'!$1:$1048576,ROW(),FALSE)</f>
        <v>0</v>
      </c>
      <c r="AC4764" s="580">
        <f>HLOOKUP("*"&amp;'Output annual'!$AC$2&amp;'Output annual'!$AD$2&amp;"*FangerPMV(Hourly)",'Eplus results'!$1:$1048576,ROW(),FALSE)</f>
        <v>0</v>
      </c>
      <c r="AD4764" s="580">
        <f t="shared" si="406"/>
        <v>5</v>
      </c>
      <c r="AE4764" s="580">
        <f t="shared" si="407"/>
        <v>2.5</v>
      </c>
      <c r="AF4764" s="580">
        <f t="shared" si="408"/>
        <v>2.5</v>
      </c>
      <c r="AG4764" s="580">
        <f t="shared" si="409"/>
        <v>0</v>
      </c>
      <c r="AH4764" s="580">
        <f t="shared" si="410"/>
        <v>0</v>
      </c>
    </row>
    <row r="4765" spans="28:34">
      <c r="AB4765" s="580">
        <f>HLOOKUP("*"&amp;'Output annual'!$AC$2&amp;'Output annual'!$AD$2&amp;"*Zone People Number Of Occupants [](Hourly)",'Eplus results'!$1:$1048576,ROW(),FALSE)</f>
        <v>0</v>
      </c>
      <c r="AC4765" s="580">
        <f>HLOOKUP("*"&amp;'Output annual'!$AC$2&amp;'Output annual'!$AD$2&amp;"*FangerPMV(Hourly)",'Eplus results'!$1:$1048576,ROW(),FALSE)</f>
        <v>0</v>
      </c>
      <c r="AD4765" s="580">
        <f t="shared" si="406"/>
        <v>5</v>
      </c>
      <c r="AE4765" s="580">
        <f t="shared" si="407"/>
        <v>2.5</v>
      </c>
      <c r="AF4765" s="580">
        <f t="shared" si="408"/>
        <v>2.5</v>
      </c>
      <c r="AG4765" s="580">
        <f t="shared" si="409"/>
        <v>0</v>
      </c>
      <c r="AH4765" s="580">
        <f t="shared" si="410"/>
        <v>0</v>
      </c>
    </row>
    <row r="4766" spans="28:34">
      <c r="AB4766" s="580">
        <f>HLOOKUP("*"&amp;'Output annual'!$AC$2&amp;'Output annual'!$AD$2&amp;"*Zone People Number Of Occupants [](Hourly)",'Eplus results'!$1:$1048576,ROW(),FALSE)</f>
        <v>0</v>
      </c>
      <c r="AC4766" s="580">
        <f>HLOOKUP("*"&amp;'Output annual'!$AC$2&amp;'Output annual'!$AD$2&amp;"*FangerPMV(Hourly)",'Eplus results'!$1:$1048576,ROW(),FALSE)</f>
        <v>0</v>
      </c>
      <c r="AD4766" s="580">
        <f t="shared" si="406"/>
        <v>5</v>
      </c>
      <c r="AE4766" s="580">
        <f t="shared" si="407"/>
        <v>2.5</v>
      </c>
      <c r="AF4766" s="580">
        <f t="shared" si="408"/>
        <v>2.5</v>
      </c>
      <c r="AG4766" s="580">
        <f t="shared" si="409"/>
        <v>0</v>
      </c>
      <c r="AH4766" s="580">
        <f t="shared" si="410"/>
        <v>0</v>
      </c>
    </row>
    <row r="4767" spans="28:34">
      <c r="AB4767" s="580">
        <f>HLOOKUP("*"&amp;'Output annual'!$AC$2&amp;'Output annual'!$AD$2&amp;"*Zone People Number Of Occupants [](Hourly)",'Eplus results'!$1:$1048576,ROW(),FALSE)</f>
        <v>0</v>
      </c>
      <c r="AC4767" s="580">
        <f>HLOOKUP("*"&amp;'Output annual'!$AC$2&amp;'Output annual'!$AD$2&amp;"*FangerPMV(Hourly)",'Eplus results'!$1:$1048576,ROW(),FALSE)</f>
        <v>0</v>
      </c>
      <c r="AD4767" s="580">
        <f t="shared" si="406"/>
        <v>5</v>
      </c>
      <c r="AE4767" s="580">
        <f t="shared" si="407"/>
        <v>2.5</v>
      </c>
      <c r="AF4767" s="580">
        <f t="shared" si="408"/>
        <v>2.5</v>
      </c>
      <c r="AG4767" s="580">
        <f t="shared" si="409"/>
        <v>0</v>
      </c>
      <c r="AH4767" s="580">
        <f t="shared" si="410"/>
        <v>0</v>
      </c>
    </row>
    <row r="4768" spans="28:34">
      <c r="AB4768" s="580">
        <f>HLOOKUP("*"&amp;'Output annual'!$AC$2&amp;'Output annual'!$AD$2&amp;"*Zone People Number Of Occupants [](Hourly)",'Eplus results'!$1:$1048576,ROW(),FALSE)</f>
        <v>0</v>
      </c>
      <c r="AC4768" s="580">
        <f>HLOOKUP("*"&amp;'Output annual'!$AC$2&amp;'Output annual'!$AD$2&amp;"*FangerPMV(Hourly)",'Eplus results'!$1:$1048576,ROW(),FALSE)</f>
        <v>0</v>
      </c>
      <c r="AD4768" s="580">
        <f t="shared" si="406"/>
        <v>5</v>
      </c>
      <c r="AE4768" s="580">
        <f t="shared" si="407"/>
        <v>2.5</v>
      </c>
      <c r="AF4768" s="580">
        <f t="shared" si="408"/>
        <v>2.5</v>
      </c>
      <c r="AG4768" s="580">
        <f t="shared" si="409"/>
        <v>0</v>
      </c>
      <c r="AH4768" s="580">
        <f t="shared" si="410"/>
        <v>0</v>
      </c>
    </row>
    <row r="4769" spans="28:34">
      <c r="AB4769" s="580">
        <f>HLOOKUP("*"&amp;'Output annual'!$AC$2&amp;'Output annual'!$AD$2&amp;"*Zone People Number Of Occupants [](Hourly)",'Eplus results'!$1:$1048576,ROW(),FALSE)</f>
        <v>0</v>
      </c>
      <c r="AC4769" s="580">
        <f>HLOOKUP("*"&amp;'Output annual'!$AC$2&amp;'Output annual'!$AD$2&amp;"*FangerPMV(Hourly)",'Eplus results'!$1:$1048576,ROW(),FALSE)</f>
        <v>0</v>
      </c>
      <c r="AD4769" s="580">
        <f t="shared" si="406"/>
        <v>5</v>
      </c>
      <c r="AE4769" s="580">
        <f t="shared" si="407"/>
        <v>2.5</v>
      </c>
      <c r="AF4769" s="580">
        <f t="shared" si="408"/>
        <v>2.5</v>
      </c>
      <c r="AG4769" s="580">
        <f t="shared" si="409"/>
        <v>0</v>
      </c>
      <c r="AH4769" s="580">
        <f t="shared" si="410"/>
        <v>0</v>
      </c>
    </row>
    <row r="4770" spans="28:34">
      <c r="AB4770" s="580">
        <f>HLOOKUP("*"&amp;'Output annual'!$AC$2&amp;'Output annual'!$AD$2&amp;"*Zone People Number Of Occupants [](Hourly)",'Eplus results'!$1:$1048576,ROW(),FALSE)</f>
        <v>0</v>
      </c>
      <c r="AC4770" s="580">
        <f>HLOOKUP("*"&amp;'Output annual'!$AC$2&amp;'Output annual'!$AD$2&amp;"*FangerPMV(Hourly)",'Eplus results'!$1:$1048576,ROW(),FALSE)</f>
        <v>0</v>
      </c>
      <c r="AD4770" s="580">
        <f t="shared" si="406"/>
        <v>5</v>
      </c>
      <c r="AE4770" s="580">
        <f t="shared" si="407"/>
        <v>2.5</v>
      </c>
      <c r="AF4770" s="580">
        <f t="shared" si="408"/>
        <v>2.5</v>
      </c>
      <c r="AG4770" s="580">
        <f t="shared" si="409"/>
        <v>0</v>
      </c>
      <c r="AH4770" s="580">
        <f t="shared" si="410"/>
        <v>0</v>
      </c>
    </row>
    <row r="4771" spans="28:34">
      <c r="AB4771" s="580">
        <f>HLOOKUP("*"&amp;'Output annual'!$AC$2&amp;'Output annual'!$AD$2&amp;"*Zone People Number Of Occupants [](Hourly)",'Eplus results'!$1:$1048576,ROW(),FALSE)</f>
        <v>0</v>
      </c>
      <c r="AC4771" s="580">
        <f>HLOOKUP("*"&amp;'Output annual'!$AC$2&amp;'Output annual'!$AD$2&amp;"*FangerPMV(Hourly)",'Eplus results'!$1:$1048576,ROW(),FALSE)</f>
        <v>0</v>
      </c>
      <c r="AD4771" s="580">
        <f t="shared" si="406"/>
        <v>5</v>
      </c>
      <c r="AE4771" s="580">
        <f t="shared" si="407"/>
        <v>2.5</v>
      </c>
      <c r="AF4771" s="580">
        <f t="shared" si="408"/>
        <v>2.5</v>
      </c>
      <c r="AG4771" s="580">
        <f t="shared" si="409"/>
        <v>0</v>
      </c>
      <c r="AH4771" s="580">
        <f t="shared" si="410"/>
        <v>0</v>
      </c>
    </row>
    <row r="4772" spans="28:34">
      <c r="AB4772" s="580">
        <f>HLOOKUP("*"&amp;'Output annual'!$AC$2&amp;'Output annual'!$AD$2&amp;"*Zone People Number Of Occupants [](Hourly)",'Eplus results'!$1:$1048576,ROW(),FALSE)</f>
        <v>0</v>
      </c>
      <c r="AC4772" s="580">
        <f>HLOOKUP("*"&amp;'Output annual'!$AC$2&amp;'Output annual'!$AD$2&amp;"*FangerPMV(Hourly)",'Eplus results'!$1:$1048576,ROW(),FALSE)</f>
        <v>0</v>
      </c>
      <c r="AD4772" s="580">
        <f t="shared" si="406"/>
        <v>5</v>
      </c>
      <c r="AE4772" s="580">
        <f t="shared" si="407"/>
        <v>2.5</v>
      </c>
      <c r="AF4772" s="580">
        <f t="shared" si="408"/>
        <v>2.5</v>
      </c>
      <c r="AG4772" s="580">
        <f t="shared" si="409"/>
        <v>0</v>
      </c>
      <c r="AH4772" s="580">
        <f t="shared" si="410"/>
        <v>0</v>
      </c>
    </row>
    <row r="4773" spans="28:34">
      <c r="AB4773" s="580">
        <f>HLOOKUP("*"&amp;'Output annual'!$AC$2&amp;'Output annual'!$AD$2&amp;"*Zone People Number Of Occupants [](Hourly)",'Eplus results'!$1:$1048576,ROW(),FALSE)</f>
        <v>0</v>
      </c>
      <c r="AC4773" s="580">
        <f>HLOOKUP("*"&amp;'Output annual'!$AC$2&amp;'Output annual'!$AD$2&amp;"*FangerPMV(Hourly)",'Eplus results'!$1:$1048576,ROW(),FALSE)</f>
        <v>0</v>
      </c>
      <c r="AD4773" s="580">
        <f t="shared" si="406"/>
        <v>5</v>
      </c>
      <c r="AE4773" s="580">
        <f t="shared" si="407"/>
        <v>2.5</v>
      </c>
      <c r="AF4773" s="580">
        <f t="shared" si="408"/>
        <v>2.5</v>
      </c>
      <c r="AG4773" s="580">
        <f t="shared" si="409"/>
        <v>0</v>
      </c>
      <c r="AH4773" s="580">
        <f t="shared" si="410"/>
        <v>0</v>
      </c>
    </row>
    <row r="4774" spans="28:34">
      <c r="AB4774" s="580">
        <f>HLOOKUP("*"&amp;'Output annual'!$AC$2&amp;'Output annual'!$AD$2&amp;"*Zone People Number Of Occupants [](Hourly)",'Eplus results'!$1:$1048576,ROW(),FALSE)</f>
        <v>0</v>
      </c>
      <c r="AC4774" s="580">
        <f>HLOOKUP("*"&amp;'Output annual'!$AC$2&amp;'Output annual'!$AD$2&amp;"*FangerPMV(Hourly)",'Eplus results'!$1:$1048576,ROW(),FALSE)</f>
        <v>0</v>
      </c>
      <c r="AD4774" s="580">
        <f t="shared" si="406"/>
        <v>5</v>
      </c>
      <c r="AE4774" s="580">
        <f t="shared" si="407"/>
        <v>2.5</v>
      </c>
      <c r="AF4774" s="580">
        <f t="shared" si="408"/>
        <v>2.5</v>
      </c>
      <c r="AG4774" s="580">
        <f t="shared" si="409"/>
        <v>0</v>
      </c>
      <c r="AH4774" s="580">
        <f t="shared" si="410"/>
        <v>0</v>
      </c>
    </row>
    <row r="4775" spans="28:34">
      <c r="AB4775" s="580">
        <f>HLOOKUP("*"&amp;'Output annual'!$AC$2&amp;'Output annual'!$AD$2&amp;"*Zone People Number Of Occupants [](Hourly)",'Eplus results'!$1:$1048576,ROW(),FALSE)</f>
        <v>0</v>
      </c>
      <c r="AC4775" s="580">
        <f>HLOOKUP("*"&amp;'Output annual'!$AC$2&amp;'Output annual'!$AD$2&amp;"*FangerPMV(Hourly)",'Eplus results'!$1:$1048576,ROW(),FALSE)</f>
        <v>0</v>
      </c>
      <c r="AD4775" s="580">
        <f t="shared" si="406"/>
        <v>5</v>
      </c>
      <c r="AE4775" s="580">
        <f t="shared" si="407"/>
        <v>2.5</v>
      </c>
      <c r="AF4775" s="580">
        <f t="shared" si="408"/>
        <v>2.5</v>
      </c>
      <c r="AG4775" s="580">
        <f t="shared" si="409"/>
        <v>0</v>
      </c>
      <c r="AH4775" s="580">
        <f t="shared" si="410"/>
        <v>0</v>
      </c>
    </row>
    <row r="4776" spans="28:34">
      <c r="AB4776" s="580">
        <f>HLOOKUP("*"&amp;'Output annual'!$AC$2&amp;'Output annual'!$AD$2&amp;"*Zone People Number Of Occupants [](Hourly)",'Eplus results'!$1:$1048576,ROW(),FALSE)</f>
        <v>0</v>
      </c>
      <c r="AC4776" s="580">
        <f>HLOOKUP("*"&amp;'Output annual'!$AC$2&amp;'Output annual'!$AD$2&amp;"*FangerPMV(Hourly)",'Eplus results'!$1:$1048576,ROW(),FALSE)</f>
        <v>0</v>
      </c>
      <c r="AD4776" s="580">
        <f t="shared" si="406"/>
        <v>5</v>
      </c>
      <c r="AE4776" s="580">
        <f t="shared" si="407"/>
        <v>2.5</v>
      </c>
      <c r="AF4776" s="580">
        <f t="shared" si="408"/>
        <v>2.5</v>
      </c>
      <c r="AG4776" s="580">
        <f t="shared" si="409"/>
        <v>0</v>
      </c>
      <c r="AH4776" s="580">
        <f t="shared" si="410"/>
        <v>0</v>
      </c>
    </row>
    <row r="4777" spans="28:34">
      <c r="AB4777" s="580">
        <f>HLOOKUP("*"&amp;'Output annual'!$AC$2&amp;'Output annual'!$AD$2&amp;"*Zone People Number Of Occupants [](Hourly)",'Eplus results'!$1:$1048576,ROW(),FALSE)</f>
        <v>0</v>
      </c>
      <c r="AC4777" s="580">
        <f>HLOOKUP("*"&amp;'Output annual'!$AC$2&amp;'Output annual'!$AD$2&amp;"*FangerPMV(Hourly)",'Eplus results'!$1:$1048576,ROW(),FALSE)</f>
        <v>0</v>
      </c>
      <c r="AD4777" s="580">
        <f t="shared" si="406"/>
        <v>5</v>
      </c>
      <c r="AE4777" s="580">
        <f t="shared" si="407"/>
        <v>2.5</v>
      </c>
      <c r="AF4777" s="580">
        <f t="shared" si="408"/>
        <v>2.5</v>
      </c>
      <c r="AG4777" s="580">
        <f t="shared" si="409"/>
        <v>0</v>
      </c>
      <c r="AH4777" s="580">
        <f t="shared" si="410"/>
        <v>0</v>
      </c>
    </row>
    <row r="4778" spans="28:34">
      <c r="AB4778" s="580">
        <f>HLOOKUP("*"&amp;'Output annual'!$AC$2&amp;'Output annual'!$AD$2&amp;"*Zone People Number Of Occupants [](Hourly)",'Eplus results'!$1:$1048576,ROW(),FALSE)</f>
        <v>0</v>
      </c>
      <c r="AC4778" s="580">
        <f>HLOOKUP("*"&amp;'Output annual'!$AC$2&amp;'Output annual'!$AD$2&amp;"*FangerPMV(Hourly)",'Eplus results'!$1:$1048576,ROW(),FALSE)</f>
        <v>0</v>
      </c>
      <c r="AD4778" s="580">
        <f t="shared" si="406"/>
        <v>5</v>
      </c>
      <c r="AE4778" s="580">
        <f t="shared" si="407"/>
        <v>2.5</v>
      </c>
      <c r="AF4778" s="580">
        <f t="shared" si="408"/>
        <v>2.5</v>
      </c>
      <c r="AG4778" s="580">
        <f t="shared" si="409"/>
        <v>0</v>
      </c>
      <c r="AH4778" s="580">
        <f t="shared" si="410"/>
        <v>0</v>
      </c>
    </row>
    <row r="4779" spans="28:34">
      <c r="AB4779" s="580">
        <f>HLOOKUP("*"&amp;'Output annual'!$AC$2&amp;'Output annual'!$AD$2&amp;"*Zone People Number Of Occupants [](Hourly)",'Eplus results'!$1:$1048576,ROW(),FALSE)</f>
        <v>0</v>
      </c>
      <c r="AC4779" s="580">
        <f>HLOOKUP("*"&amp;'Output annual'!$AC$2&amp;'Output annual'!$AD$2&amp;"*FangerPMV(Hourly)",'Eplus results'!$1:$1048576,ROW(),FALSE)</f>
        <v>0</v>
      </c>
      <c r="AD4779" s="580">
        <f t="shared" si="406"/>
        <v>5</v>
      </c>
      <c r="AE4779" s="580">
        <f t="shared" si="407"/>
        <v>2.5</v>
      </c>
      <c r="AF4779" s="580">
        <f t="shared" si="408"/>
        <v>2.5</v>
      </c>
      <c r="AG4779" s="580">
        <f t="shared" si="409"/>
        <v>0</v>
      </c>
      <c r="AH4779" s="580">
        <f t="shared" si="410"/>
        <v>0</v>
      </c>
    </row>
    <row r="4780" spans="28:34">
      <c r="AB4780" s="580">
        <f>HLOOKUP("*"&amp;'Output annual'!$AC$2&amp;'Output annual'!$AD$2&amp;"*Zone People Number Of Occupants [](Hourly)",'Eplus results'!$1:$1048576,ROW(),FALSE)</f>
        <v>0</v>
      </c>
      <c r="AC4780" s="580">
        <f>HLOOKUP("*"&amp;'Output annual'!$AC$2&amp;'Output annual'!$AD$2&amp;"*FangerPMV(Hourly)",'Eplus results'!$1:$1048576,ROW(),FALSE)</f>
        <v>0</v>
      </c>
      <c r="AD4780" s="580">
        <f t="shared" si="406"/>
        <v>5</v>
      </c>
      <c r="AE4780" s="580">
        <f t="shared" si="407"/>
        <v>2.5</v>
      </c>
      <c r="AF4780" s="580">
        <f t="shared" si="408"/>
        <v>2.5</v>
      </c>
      <c r="AG4780" s="580">
        <f t="shared" si="409"/>
        <v>0</v>
      </c>
      <c r="AH4780" s="580">
        <f t="shared" si="410"/>
        <v>0</v>
      </c>
    </row>
    <row r="4781" spans="28:34">
      <c r="AB4781" s="580">
        <f>HLOOKUP("*"&amp;'Output annual'!$AC$2&amp;'Output annual'!$AD$2&amp;"*Zone People Number Of Occupants [](Hourly)",'Eplus results'!$1:$1048576,ROW(),FALSE)</f>
        <v>0</v>
      </c>
      <c r="AC4781" s="580">
        <f>HLOOKUP("*"&amp;'Output annual'!$AC$2&amp;'Output annual'!$AD$2&amp;"*FangerPMV(Hourly)",'Eplus results'!$1:$1048576,ROW(),FALSE)</f>
        <v>0</v>
      </c>
      <c r="AD4781" s="580">
        <f t="shared" si="406"/>
        <v>5</v>
      </c>
      <c r="AE4781" s="580">
        <f t="shared" si="407"/>
        <v>2.5</v>
      </c>
      <c r="AF4781" s="580">
        <f t="shared" si="408"/>
        <v>2.5</v>
      </c>
      <c r="AG4781" s="580">
        <f t="shared" si="409"/>
        <v>0</v>
      </c>
      <c r="AH4781" s="580">
        <f t="shared" si="410"/>
        <v>0</v>
      </c>
    </row>
    <row r="4782" spans="28:34">
      <c r="AB4782" s="580">
        <f>HLOOKUP("*"&amp;'Output annual'!$AC$2&amp;'Output annual'!$AD$2&amp;"*Zone People Number Of Occupants [](Hourly)",'Eplus results'!$1:$1048576,ROW(),FALSE)</f>
        <v>0</v>
      </c>
      <c r="AC4782" s="580">
        <f>HLOOKUP("*"&amp;'Output annual'!$AC$2&amp;'Output annual'!$AD$2&amp;"*FangerPMV(Hourly)",'Eplus results'!$1:$1048576,ROW(),FALSE)</f>
        <v>0</v>
      </c>
      <c r="AD4782" s="580">
        <f t="shared" si="406"/>
        <v>5</v>
      </c>
      <c r="AE4782" s="580">
        <f t="shared" si="407"/>
        <v>2.5</v>
      </c>
      <c r="AF4782" s="580">
        <f t="shared" si="408"/>
        <v>2.5</v>
      </c>
      <c r="AG4782" s="580">
        <f t="shared" si="409"/>
        <v>0</v>
      </c>
      <c r="AH4782" s="580">
        <f t="shared" si="410"/>
        <v>0</v>
      </c>
    </row>
    <row r="4783" spans="28:34">
      <c r="AB4783" s="580">
        <f>HLOOKUP("*"&amp;'Output annual'!$AC$2&amp;'Output annual'!$AD$2&amp;"*Zone People Number Of Occupants [](Hourly)",'Eplus results'!$1:$1048576,ROW(),FALSE)</f>
        <v>0</v>
      </c>
      <c r="AC4783" s="580">
        <f>HLOOKUP("*"&amp;'Output annual'!$AC$2&amp;'Output annual'!$AD$2&amp;"*FangerPMV(Hourly)",'Eplus results'!$1:$1048576,ROW(),FALSE)</f>
        <v>0</v>
      </c>
      <c r="AD4783" s="580">
        <f t="shared" si="406"/>
        <v>5</v>
      </c>
      <c r="AE4783" s="580">
        <f t="shared" si="407"/>
        <v>2.5</v>
      </c>
      <c r="AF4783" s="580">
        <f t="shared" si="408"/>
        <v>2.5</v>
      </c>
      <c r="AG4783" s="580">
        <f t="shared" si="409"/>
        <v>0</v>
      </c>
      <c r="AH4783" s="580">
        <f t="shared" si="410"/>
        <v>0</v>
      </c>
    </row>
    <row r="4784" spans="28:34">
      <c r="AB4784" s="580">
        <f>HLOOKUP("*"&amp;'Output annual'!$AC$2&amp;'Output annual'!$AD$2&amp;"*Zone People Number Of Occupants [](Hourly)",'Eplus results'!$1:$1048576,ROW(),FALSE)</f>
        <v>0</v>
      </c>
      <c r="AC4784" s="580">
        <f>HLOOKUP("*"&amp;'Output annual'!$AC$2&amp;'Output annual'!$AD$2&amp;"*FangerPMV(Hourly)",'Eplus results'!$1:$1048576,ROW(),FALSE)</f>
        <v>0</v>
      </c>
      <c r="AD4784" s="580">
        <f t="shared" si="406"/>
        <v>5</v>
      </c>
      <c r="AE4784" s="580">
        <f t="shared" si="407"/>
        <v>2.5</v>
      </c>
      <c r="AF4784" s="580">
        <f t="shared" si="408"/>
        <v>2.5</v>
      </c>
      <c r="AG4784" s="580">
        <f t="shared" si="409"/>
        <v>0</v>
      </c>
      <c r="AH4784" s="580">
        <f t="shared" si="410"/>
        <v>0</v>
      </c>
    </row>
    <row r="4785" spans="28:34">
      <c r="AB4785" s="580">
        <f>HLOOKUP("*"&amp;'Output annual'!$AC$2&amp;'Output annual'!$AD$2&amp;"*Zone People Number Of Occupants [](Hourly)",'Eplus results'!$1:$1048576,ROW(),FALSE)</f>
        <v>0</v>
      </c>
      <c r="AC4785" s="580">
        <f>HLOOKUP("*"&amp;'Output annual'!$AC$2&amp;'Output annual'!$AD$2&amp;"*FangerPMV(Hourly)",'Eplus results'!$1:$1048576,ROW(),FALSE)</f>
        <v>0</v>
      </c>
      <c r="AD4785" s="580">
        <f t="shared" si="406"/>
        <v>5</v>
      </c>
      <c r="AE4785" s="580">
        <f t="shared" si="407"/>
        <v>2.5</v>
      </c>
      <c r="AF4785" s="580">
        <f t="shared" si="408"/>
        <v>2.5</v>
      </c>
      <c r="AG4785" s="580">
        <f t="shared" si="409"/>
        <v>0</v>
      </c>
      <c r="AH4785" s="580">
        <f t="shared" si="410"/>
        <v>0</v>
      </c>
    </row>
    <row r="4786" spans="28:34">
      <c r="AB4786" s="580">
        <f>HLOOKUP("*"&amp;'Output annual'!$AC$2&amp;'Output annual'!$AD$2&amp;"*Zone People Number Of Occupants [](Hourly)",'Eplus results'!$1:$1048576,ROW(),FALSE)</f>
        <v>0</v>
      </c>
      <c r="AC4786" s="580">
        <f>HLOOKUP("*"&amp;'Output annual'!$AC$2&amp;'Output annual'!$AD$2&amp;"*FangerPMV(Hourly)",'Eplus results'!$1:$1048576,ROW(),FALSE)</f>
        <v>0</v>
      </c>
      <c r="AD4786" s="580">
        <f t="shared" si="406"/>
        <v>5</v>
      </c>
      <c r="AE4786" s="580">
        <f t="shared" si="407"/>
        <v>2.5</v>
      </c>
      <c r="AF4786" s="580">
        <f t="shared" si="408"/>
        <v>2.5</v>
      </c>
      <c r="AG4786" s="580">
        <f t="shared" si="409"/>
        <v>0</v>
      </c>
      <c r="AH4786" s="580">
        <f t="shared" si="410"/>
        <v>0</v>
      </c>
    </row>
    <row r="4787" spans="28:34">
      <c r="AB4787" s="580">
        <f>HLOOKUP("*"&amp;'Output annual'!$AC$2&amp;'Output annual'!$AD$2&amp;"*Zone People Number Of Occupants [](Hourly)",'Eplus results'!$1:$1048576,ROW(),FALSE)</f>
        <v>0</v>
      </c>
      <c r="AC4787" s="580">
        <f>HLOOKUP("*"&amp;'Output annual'!$AC$2&amp;'Output annual'!$AD$2&amp;"*FangerPMV(Hourly)",'Eplus results'!$1:$1048576,ROW(),FALSE)</f>
        <v>0</v>
      </c>
      <c r="AD4787" s="580">
        <f t="shared" si="406"/>
        <v>5</v>
      </c>
      <c r="AE4787" s="580">
        <f t="shared" si="407"/>
        <v>2.5</v>
      </c>
      <c r="AF4787" s="580">
        <f t="shared" si="408"/>
        <v>2.5</v>
      </c>
      <c r="AG4787" s="580">
        <f t="shared" si="409"/>
        <v>0</v>
      </c>
      <c r="AH4787" s="580">
        <f t="shared" si="410"/>
        <v>0</v>
      </c>
    </row>
    <row r="4788" spans="28:34">
      <c r="AB4788" s="580">
        <f>HLOOKUP("*"&amp;'Output annual'!$AC$2&amp;'Output annual'!$AD$2&amp;"*Zone People Number Of Occupants [](Hourly)",'Eplus results'!$1:$1048576,ROW(),FALSE)</f>
        <v>0</v>
      </c>
      <c r="AC4788" s="580">
        <f>HLOOKUP("*"&amp;'Output annual'!$AC$2&amp;'Output annual'!$AD$2&amp;"*FangerPMV(Hourly)",'Eplus results'!$1:$1048576,ROW(),FALSE)</f>
        <v>0</v>
      </c>
      <c r="AD4788" s="580">
        <f t="shared" si="406"/>
        <v>5</v>
      </c>
      <c r="AE4788" s="580">
        <f t="shared" si="407"/>
        <v>2.5</v>
      </c>
      <c r="AF4788" s="580">
        <f t="shared" si="408"/>
        <v>2.5</v>
      </c>
      <c r="AG4788" s="580">
        <f t="shared" si="409"/>
        <v>0</v>
      </c>
      <c r="AH4788" s="580">
        <f t="shared" si="410"/>
        <v>0</v>
      </c>
    </row>
    <row r="4789" spans="28:34">
      <c r="AB4789" s="580">
        <f>HLOOKUP("*"&amp;'Output annual'!$AC$2&amp;'Output annual'!$AD$2&amp;"*Zone People Number Of Occupants [](Hourly)",'Eplus results'!$1:$1048576,ROW(),FALSE)</f>
        <v>0</v>
      </c>
      <c r="AC4789" s="580">
        <f>HLOOKUP("*"&amp;'Output annual'!$AC$2&amp;'Output annual'!$AD$2&amp;"*FangerPMV(Hourly)",'Eplus results'!$1:$1048576,ROW(),FALSE)</f>
        <v>0</v>
      </c>
      <c r="AD4789" s="580">
        <f t="shared" si="406"/>
        <v>5</v>
      </c>
      <c r="AE4789" s="580">
        <f t="shared" si="407"/>
        <v>2.5</v>
      </c>
      <c r="AF4789" s="580">
        <f t="shared" si="408"/>
        <v>2.5</v>
      </c>
      <c r="AG4789" s="580">
        <f t="shared" si="409"/>
        <v>0</v>
      </c>
      <c r="AH4789" s="580">
        <f t="shared" si="410"/>
        <v>0</v>
      </c>
    </row>
    <row r="4790" spans="28:34">
      <c r="AB4790" s="580">
        <f>HLOOKUP("*"&amp;'Output annual'!$AC$2&amp;'Output annual'!$AD$2&amp;"*Zone People Number Of Occupants [](Hourly)",'Eplus results'!$1:$1048576,ROW(),FALSE)</f>
        <v>0</v>
      </c>
      <c r="AC4790" s="580">
        <f>HLOOKUP("*"&amp;'Output annual'!$AC$2&amp;'Output annual'!$AD$2&amp;"*FangerPMV(Hourly)",'Eplus results'!$1:$1048576,ROW(),FALSE)</f>
        <v>0</v>
      </c>
      <c r="AD4790" s="580">
        <f t="shared" si="406"/>
        <v>5</v>
      </c>
      <c r="AE4790" s="580">
        <f t="shared" si="407"/>
        <v>2.5</v>
      </c>
      <c r="AF4790" s="580">
        <f t="shared" si="408"/>
        <v>2.5</v>
      </c>
      <c r="AG4790" s="580">
        <f t="shared" si="409"/>
        <v>0</v>
      </c>
      <c r="AH4790" s="580">
        <f t="shared" si="410"/>
        <v>0</v>
      </c>
    </row>
    <row r="4791" spans="28:34">
      <c r="AB4791" s="580">
        <f>HLOOKUP("*"&amp;'Output annual'!$AC$2&amp;'Output annual'!$AD$2&amp;"*Zone People Number Of Occupants [](Hourly)",'Eplus results'!$1:$1048576,ROW(),FALSE)</f>
        <v>0</v>
      </c>
      <c r="AC4791" s="580">
        <f>HLOOKUP("*"&amp;'Output annual'!$AC$2&amp;'Output annual'!$AD$2&amp;"*FangerPMV(Hourly)",'Eplus results'!$1:$1048576,ROW(),FALSE)</f>
        <v>0</v>
      </c>
      <c r="AD4791" s="580">
        <f t="shared" si="406"/>
        <v>5</v>
      </c>
      <c r="AE4791" s="580">
        <f t="shared" si="407"/>
        <v>2.5</v>
      </c>
      <c r="AF4791" s="580">
        <f t="shared" si="408"/>
        <v>2.5</v>
      </c>
      <c r="AG4791" s="580">
        <f t="shared" si="409"/>
        <v>0</v>
      </c>
      <c r="AH4791" s="580">
        <f t="shared" si="410"/>
        <v>0</v>
      </c>
    </row>
    <row r="4792" spans="28:34">
      <c r="AB4792" s="580">
        <f>HLOOKUP("*"&amp;'Output annual'!$AC$2&amp;'Output annual'!$AD$2&amp;"*Zone People Number Of Occupants [](Hourly)",'Eplus results'!$1:$1048576,ROW(),FALSE)</f>
        <v>0</v>
      </c>
      <c r="AC4792" s="580">
        <f>HLOOKUP("*"&amp;'Output annual'!$AC$2&amp;'Output annual'!$AD$2&amp;"*FangerPMV(Hourly)",'Eplus results'!$1:$1048576,ROW(),FALSE)</f>
        <v>0</v>
      </c>
      <c r="AD4792" s="580">
        <f t="shared" si="406"/>
        <v>5</v>
      </c>
      <c r="AE4792" s="580">
        <f t="shared" si="407"/>
        <v>2.5</v>
      </c>
      <c r="AF4792" s="580">
        <f t="shared" si="408"/>
        <v>2.5</v>
      </c>
      <c r="AG4792" s="580">
        <f t="shared" si="409"/>
        <v>0</v>
      </c>
      <c r="AH4792" s="580">
        <f t="shared" si="410"/>
        <v>0</v>
      </c>
    </row>
    <row r="4793" spans="28:34">
      <c r="AB4793" s="580">
        <f>HLOOKUP("*"&amp;'Output annual'!$AC$2&amp;'Output annual'!$AD$2&amp;"*Zone People Number Of Occupants [](Hourly)",'Eplus results'!$1:$1048576,ROW(),FALSE)</f>
        <v>0</v>
      </c>
      <c r="AC4793" s="580">
        <f>HLOOKUP("*"&amp;'Output annual'!$AC$2&amp;'Output annual'!$AD$2&amp;"*FangerPMV(Hourly)",'Eplus results'!$1:$1048576,ROW(),FALSE)</f>
        <v>0</v>
      </c>
      <c r="AD4793" s="580">
        <f t="shared" si="406"/>
        <v>5</v>
      </c>
      <c r="AE4793" s="580">
        <f t="shared" si="407"/>
        <v>2.5</v>
      </c>
      <c r="AF4793" s="580">
        <f t="shared" si="408"/>
        <v>2.5</v>
      </c>
      <c r="AG4793" s="580">
        <f t="shared" si="409"/>
        <v>0</v>
      </c>
      <c r="AH4793" s="580">
        <f t="shared" si="410"/>
        <v>0</v>
      </c>
    </row>
    <row r="4794" spans="28:34">
      <c r="AB4794" s="580">
        <f>HLOOKUP("*"&amp;'Output annual'!$AC$2&amp;'Output annual'!$AD$2&amp;"*Zone People Number Of Occupants [](Hourly)",'Eplus results'!$1:$1048576,ROW(),FALSE)</f>
        <v>0</v>
      </c>
      <c r="AC4794" s="580">
        <f>HLOOKUP("*"&amp;'Output annual'!$AC$2&amp;'Output annual'!$AD$2&amp;"*FangerPMV(Hourly)",'Eplus results'!$1:$1048576,ROW(),FALSE)</f>
        <v>0</v>
      </c>
      <c r="AD4794" s="580">
        <f t="shared" si="406"/>
        <v>5</v>
      </c>
      <c r="AE4794" s="580">
        <f t="shared" si="407"/>
        <v>2.5</v>
      </c>
      <c r="AF4794" s="580">
        <f t="shared" si="408"/>
        <v>2.5</v>
      </c>
      <c r="AG4794" s="580">
        <f t="shared" si="409"/>
        <v>0</v>
      </c>
      <c r="AH4794" s="580">
        <f t="shared" si="410"/>
        <v>0</v>
      </c>
    </row>
    <row r="4795" spans="28:34">
      <c r="AB4795" s="580">
        <f>HLOOKUP("*"&amp;'Output annual'!$AC$2&amp;'Output annual'!$AD$2&amp;"*Zone People Number Of Occupants [](Hourly)",'Eplus results'!$1:$1048576,ROW(),FALSE)</f>
        <v>0</v>
      </c>
      <c r="AC4795" s="580">
        <f>HLOOKUP("*"&amp;'Output annual'!$AC$2&amp;'Output annual'!$AD$2&amp;"*FangerPMV(Hourly)",'Eplus results'!$1:$1048576,ROW(),FALSE)</f>
        <v>0</v>
      </c>
      <c r="AD4795" s="580">
        <f t="shared" si="406"/>
        <v>5</v>
      </c>
      <c r="AE4795" s="580">
        <f t="shared" si="407"/>
        <v>2.5</v>
      </c>
      <c r="AF4795" s="580">
        <f t="shared" si="408"/>
        <v>2.5</v>
      </c>
      <c r="AG4795" s="580">
        <f t="shared" si="409"/>
        <v>0</v>
      </c>
      <c r="AH4795" s="580">
        <f t="shared" si="410"/>
        <v>0</v>
      </c>
    </row>
    <row r="4796" spans="28:34">
      <c r="AB4796" s="580">
        <f>HLOOKUP("*"&amp;'Output annual'!$AC$2&amp;'Output annual'!$AD$2&amp;"*Zone People Number Of Occupants [](Hourly)",'Eplus results'!$1:$1048576,ROW(),FALSE)</f>
        <v>0</v>
      </c>
      <c r="AC4796" s="580">
        <f>HLOOKUP("*"&amp;'Output annual'!$AC$2&amp;'Output annual'!$AD$2&amp;"*FangerPMV(Hourly)",'Eplus results'!$1:$1048576,ROW(),FALSE)</f>
        <v>0</v>
      </c>
      <c r="AD4796" s="580">
        <f t="shared" si="406"/>
        <v>5</v>
      </c>
      <c r="AE4796" s="580">
        <f t="shared" si="407"/>
        <v>2.5</v>
      </c>
      <c r="AF4796" s="580">
        <f t="shared" si="408"/>
        <v>2.5</v>
      </c>
      <c r="AG4796" s="580">
        <f t="shared" si="409"/>
        <v>0</v>
      </c>
      <c r="AH4796" s="580">
        <f t="shared" si="410"/>
        <v>0</v>
      </c>
    </row>
    <row r="4797" spans="28:34">
      <c r="AB4797" s="580">
        <f>HLOOKUP("*"&amp;'Output annual'!$AC$2&amp;'Output annual'!$AD$2&amp;"*Zone People Number Of Occupants [](Hourly)",'Eplus results'!$1:$1048576,ROW(),FALSE)</f>
        <v>0</v>
      </c>
      <c r="AC4797" s="580">
        <f>HLOOKUP("*"&amp;'Output annual'!$AC$2&amp;'Output annual'!$AD$2&amp;"*FangerPMV(Hourly)",'Eplus results'!$1:$1048576,ROW(),FALSE)</f>
        <v>0</v>
      </c>
      <c r="AD4797" s="580">
        <f t="shared" si="406"/>
        <v>5</v>
      </c>
      <c r="AE4797" s="580">
        <f t="shared" si="407"/>
        <v>2.5</v>
      </c>
      <c r="AF4797" s="580">
        <f t="shared" si="408"/>
        <v>2.5</v>
      </c>
      <c r="AG4797" s="580">
        <f t="shared" si="409"/>
        <v>0</v>
      </c>
      <c r="AH4797" s="580">
        <f t="shared" si="410"/>
        <v>0</v>
      </c>
    </row>
    <row r="4798" spans="28:34">
      <c r="AB4798" s="580">
        <f>HLOOKUP("*"&amp;'Output annual'!$AC$2&amp;'Output annual'!$AD$2&amp;"*Zone People Number Of Occupants [](Hourly)",'Eplus results'!$1:$1048576,ROW(),FALSE)</f>
        <v>0</v>
      </c>
      <c r="AC4798" s="580">
        <f>HLOOKUP("*"&amp;'Output annual'!$AC$2&amp;'Output annual'!$AD$2&amp;"*FangerPMV(Hourly)",'Eplus results'!$1:$1048576,ROW(),FALSE)</f>
        <v>0</v>
      </c>
      <c r="AD4798" s="580">
        <f t="shared" si="406"/>
        <v>5</v>
      </c>
      <c r="AE4798" s="580">
        <f t="shared" si="407"/>
        <v>2.5</v>
      </c>
      <c r="AF4798" s="580">
        <f t="shared" si="408"/>
        <v>2.5</v>
      </c>
      <c r="AG4798" s="580">
        <f t="shared" si="409"/>
        <v>0</v>
      </c>
      <c r="AH4798" s="580">
        <f t="shared" si="410"/>
        <v>0</v>
      </c>
    </row>
    <row r="4799" spans="28:34">
      <c r="AB4799" s="580">
        <f>HLOOKUP("*"&amp;'Output annual'!$AC$2&amp;'Output annual'!$AD$2&amp;"*Zone People Number Of Occupants [](Hourly)",'Eplus results'!$1:$1048576,ROW(),FALSE)</f>
        <v>0</v>
      </c>
      <c r="AC4799" s="580">
        <f>HLOOKUP("*"&amp;'Output annual'!$AC$2&amp;'Output annual'!$AD$2&amp;"*FangerPMV(Hourly)",'Eplus results'!$1:$1048576,ROW(),FALSE)</f>
        <v>0</v>
      </c>
      <c r="AD4799" s="580">
        <f t="shared" si="406"/>
        <v>5</v>
      </c>
      <c r="AE4799" s="580">
        <f t="shared" si="407"/>
        <v>2.5</v>
      </c>
      <c r="AF4799" s="580">
        <f t="shared" si="408"/>
        <v>2.5</v>
      </c>
      <c r="AG4799" s="580">
        <f t="shared" si="409"/>
        <v>0</v>
      </c>
      <c r="AH4799" s="580">
        <f t="shared" si="410"/>
        <v>0</v>
      </c>
    </row>
    <row r="4800" spans="28:34">
      <c r="AB4800" s="580">
        <f>HLOOKUP("*"&amp;'Output annual'!$AC$2&amp;'Output annual'!$AD$2&amp;"*Zone People Number Of Occupants [](Hourly)",'Eplus results'!$1:$1048576,ROW(),FALSE)</f>
        <v>0</v>
      </c>
      <c r="AC4800" s="580">
        <f>HLOOKUP("*"&amp;'Output annual'!$AC$2&amp;'Output annual'!$AD$2&amp;"*FangerPMV(Hourly)",'Eplus results'!$1:$1048576,ROW(),FALSE)</f>
        <v>0</v>
      </c>
      <c r="AD4800" s="580">
        <f t="shared" si="406"/>
        <v>5</v>
      </c>
      <c r="AE4800" s="580">
        <f t="shared" si="407"/>
        <v>2.5</v>
      </c>
      <c r="AF4800" s="580">
        <f t="shared" si="408"/>
        <v>2.5</v>
      </c>
      <c r="AG4800" s="580">
        <f t="shared" si="409"/>
        <v>0</v>
      </c>
      <c r="AH4800" s="580">
        <f t="shared" si="410"/>
        <v>0</v>
      </c>
    </row>
    <row r="4801" spans="28:34">
      <c r="AB4801" s="580">
        <f>HLOOKUP("*"&amp;'Output annual'!$AC$2&amp;'Output annual'!$AD$2&amp;"*Zone People Number Of Occupants [](Hourly)",'Eplus results'!$1:$1048576,ROW(),FALSE)</f>
        <v>0</v>
      </c>
      <c r="AC4801" s="580">
        <f>HLOOKUP("*"&amp;'Output annual'!$AC$2&amp;'Output annual'!$AD$2&amp;"*FangerPMV(Hourly)",'Eplus results'!$1:$1048576,ROW(),FALSE)</f>
        <v>0</v>
      </c>
      <c r="AD4801" s="580">
        <f t="shared" si="406"/>
        <v>5</v>
      </c>
      <c r="AE4801" s="580">
        <f t="shared" si="407"/>
        <v>2.5</v>
      </c>
      <c r="AF4801" s="580">
        <f t="shared" si="408"/>
        <v>2.5</v>
      </c>
      <c r="AG4801" s="580">
        <f t="shared" si="409"/>
        <v>0</v>
      </c>
      <c r="AH4801" s="580">
        <f t="shared" si="410"/>
        <v>0</v>
      </c>
    </row>
    <row r="4802" spans="28:34">
      <c r="AB4802" s="580">
        <f>HLOOKUP("*"&amp;'Output annual'!$AC$2&amp;'Output annual'!$AD$2&amp;"*Zone People Number Of Occupants [](Hourly)",'Eplus results'!$1:$1048576,ROW(),FALSE)</f>
        <v>0</v>
      </c>
      <c r="AC4802" s="580">
        <f>HLOOKUP("*"&amp;'Output annual'!$AC$2&amp;'Output annual'!$AD$2&amp;"*FangerPMV(Hourly)",'Eplus results'!$1:$1048576,ROW(),FALSE)</f>
        <v>0</v>
      </c>
      <c r="AD4802" s="580">
        <f t="shared" si="406"/>
        <v>5</v>
      </c>
      <c r="AE4802" s="580">
        <f t="shared" si="407"/>
        <v>2.5</v>
      </c>
      <c r="AF4802" s="580">
        <f t="shared" si="408"/>
        <v>2.5</v>
      </c>
      <c r="AG4802" s="580">
        <f t="shared" si="409"/>
        <v>0</v>
      </c>
      <c r="AH4802" s="580">
        <f t="shared" si="410"/>
        <v>0</v>
      </c>
    </row>
    <row r="4803" spans="28:34">
      <c r="AB4803" s="580">
        <f>HLOOKUP("*"&amp;'Output annual'!$AC$2&amp;'Output annual'!$AD$2&amp;"*Zone People Number Of Occupants [](Hourly)",'Eplus results'!$1:$1048576,ROW(),FALSE)</f>
        <v>0</v>
      </c>
      <c r="AC4803" s="580">
        <f>HLOOKUP("*"&amp;'Output annual'!$AC$2&amp;'Output annual'!$AD$2&amp;"*FangerPMV(Hourly)",'Eplus results'!$1:$1048576,ROW(),FALSE)</f>
        <v>0</v>
      </c>
      <c r="AD4803" s="580">
        <f t="shared" ref="AD4803:AD4866" si="411">100-95*EXP(-0.03353*AC4803^4-0.2179*AC4803^2)</f>
        <v>5</v>
      </c>
      <c r="AE4803" s="580">
        <f t="shared" ref="AE4803:AE4866" si="412">AD4803*(1/(1+EXP(-6.3*$AC4803)))</f>
        <v>2.5</v>
      </c>
      <c r="AF4803" s="580">
        <f t="shared" ref="AF4803:AF4866" si="413">(AD4803-AE4803)</f>
        <v>2.5</v>
      </c>
      <c r="AG4803" s="580">
        <f t="shared" ref="AG4803:AG4866" si="414">AE4803*AB4803</f>
        <v>0</v>
      </c>
      <c r="AH4803" s="580">
        <f t="shared" ref="AH4803:AH4866" si="415">AF4803*AB4803</f>
        <v>0</v>
      </c>
    </row>
    <row r="4804" spans="28:34">
      <c r="AB4804" s="580">
        <f>HLOOKUP("*"&amp;'Output annual'!$AC$2&amp;'Output annual'!$AD$2&amp;"*Zone People Number Of Occupants [](Hourly)",'Eplus results'!$1:$1048576,ROW(),FALSE)</f>
        <v>0</v>
      </c>
      <c r="AC4804" s="580">
        <f>HLOOKUP("*"&amp;'Output annual'!$AC$2&amp;'Output annual'!$AD$2&amp;"*FangerPMV(Hourly)",'Eplus results'!$1:$1048576,ROW(),FALSE)</f>
        <v>0</v>
      </c>
      <c r="AD4804" s="580">
        <f t="shared" si="411"/>
        <v>5</v>
      </c>
      <c r="AE4804" s="580">
        <f t="shared" si="412"/>
        <v>2.5</v>
      </c>
      <c r="AF4804" s="580">
        <f t="shared" si="413"/>
        <v>2.5</v>
      </c>
      <c r="AG4804" s="580">
        <f t="shared" si="414"/>
        <v>0</v>
      </c>
      <c r="AH4804" s="580">
        <f t="shared" si="415"/>
        <v>0</v>
      </c>
    </row>
    <row r="4805" spans="28:34">
      <c r="AB4805" s="580">
        <f>HLOOKUP("*"&amp;'Output annual'!$AC$2&amp;'Output annual'!$AD$2&amp;"*Zone People Number Of Occupants [](Hourly)",'Eplus results'!$1:$1048576,ROW(),FALSE)</f>
        <v>0</v>
      </c>
      <c r="AC4805" s="580">
        <f>HLOOKUP("*"&amp;'Output annual'!$AC$2&amp;'Output annual'!$AD$2&amp;"*FangerPMV(Hourly)",'Eplus results'!$1:$1048576,ROW(),FALSE)</f>
        <v>0</v>
      </c>
      <c r="AD4805" s="580">
        <f t="shared" si="411"/>
        <v>5</v>
      </c>
      <c r="AE4805" s="580">
        <f t="shared" si="412"/>
        <v>2.5</v>
      </c>
      <c r="AF4805" s="580">
        <f t="shared" si="413"/>
        <v>2.5</v>
      </c>
      <c r="AG4805" s="580">
        <f t="shared" si="414"/>
        <v>0</v>
      </c>
      <c r="AH4805" s="580">
        <f t="shared" si="415"/>
        <v>0</v>
      </c>
    </row>
    <row r="4806" spans="28:34">
      <c r="AB4806" s="580">
        <f>HLOOKUP("*"&amp;'Output annual'!$AC$2&amp;'Output annual'!$AD$2&amp;"*Zone People Number Of Occupants [](Hourly)",'Eplus results'!$1:$1048576,ROW(),FALSE)</f>
        <v>0</v>
      </c>
      <c r="AC4806" s="580">
        <f>HLOOKUP("*"&amp;'Output annual'!$AC$2&amp;'Output annual'!$AD$2&amp;"*FangerPMV(Hourly)",'Eplus results'!$1:$1048576,ROW(),FALSE)</f>
        <v>0</v>
      </c>
      <c r="AD4806" s="580">
        <f t="shared" si="411"/>
        <v>5</v>
      </c>
      <c r="AE4806" s="580">
        <f t="shared" si="412"/>
        <v>2.5</v>
      </c>
      <c r="AF4806" s="580">
        <f t="shared" si="413"/>
        <v>2.5</v>
      </c>
      <c r="AG4806" s="580">
        <f t="shared" si="414"/>
        <v>0</v>
      </c>
      <c r="AH4806" s="580">
        <f t="shared" si="415"/>
        <v>0</v>
      </c>
    </row>
    <row r="4807" spans="28:34">
      <c r="AB4807" s="580">
        <f>HLOOKUP("*"&amp;'Output annual'!$AC$2&amp;'Output annual'!$AD$2&amp;"*Zone People Number Of Occupants [](Hourly)",'Eplus results'!$1:$1048576,ROW(),FALSE)</f>
        <v>0</v>
      </c>
      <c r="AC4807" s="580">
        <f>HLOOKUP("*"&amp;'Output annual'!$AC$2&amp;'Output annual'!$AD$2&amp;"*FangerPMV(Hourly)",'Eplus results'!$1:$1048576,ROW(),FALSE)</f>
        <v>0</v>
      </c>
      <c r="AD4807" s="580">
        <f t="shared" si="411"/>
        <v>5</v>
      </c>
      <c r="AE4807" s="580">
        <f t="shared" si="412"/>
        <v>2.5</v>
      </c>
      <c r="AF4807" s="580">
        <f t="shared" si="413"/>
        <v>2.5</v>
      </c>
      <c r="AG4807" s="580">
        <f t="shared" si="414"/>
        <v>0</v>
      </c>
      <c r="AH4807" s="580">
        <f t="shared" si="415"/>
        <v>0</v>
      </c>
    </row>
    <row r="4808" spans="28:34">
      <c r="AB4808" s="580">
        <f>HLOOKUP("*"&amp;'Output annual'!$AC$2&amp;'Output annual'!$AD$2&amp;"*Zone People Number Of Occupants [](Hourly)",'Eplus results'!$1:$1048576,ROW(),FALSE)</f>
        <v>0</v>
      </c>
      <c r="AC4808" s="580">
        <f>HLOOKUP("*"&amp;'Output annual'!$AC$2&amp;'Output annual'!$AD$2&amp;"*FangerPMV(Hourly)",'Eplus results'!$1:$1048576,ROW(),FALSE)</f>
        <v>0</v>
      </c>
      <c r="AD4808" s="580">
        <f t="shared" si="411"/>
        <v>5</v>
      </c>
      <c r="AE4808" s="580">
        <f t="shared" si="412"/>
        <v>2.5</v>
      </c>
      <c r="AF4808" s="580">
        <f t="shared" si="413"/>
        <v>2.5</v>
      </c>
      <c r="AG4808" s="580">
        <f t="shared" si="414"/>
        <v>0</v>
      </c>
      <c r="AH4808" s="580">
        <f t="shared" si="415"/>
        <v>0</v>
      </c>
    </row>
    <row r="4809" spans="28:34">
      <c r="AB4809" s="580">
        <f>HLOOKUP("*"&amp;'Output annual'!$AC$2&amp;'Output annual'!$AD$2&amp;"*Zone People Number Of Occupants [](Hourly)",'Eplus results'!$1:$1048576,ROW(),FALSE)</f>
        <v>0</v>
      </c>
      <c r="AC4809" s="580">
        <f>HLOOKUP("*"&amp;'Output annual'!$AC$2&amp;'Output annual'!$AD$2&amp;"*FangerPMV(Hourly)",'Eplus results'!$1:$1048576,ROW(),FALSE)</f>
        <v>0</v>
      </c>
      <c r="AD4809" s="580">
        <f t="shared" si="411"/>
        <v>5</v>
      </c>
      <c r="AE4809" s="580">
        <f t="shared" si="412"/>
        <v>2.5</v>
      </c>
      <c r="AF4809" s="580">
        <f t="shared" si="413"/>
        <v>2.5</v>
      </c>
      <c r="AG4809" s="580">
        <f t="shared" si="414"/>
        <v>0</v>
      </c>
      <c r="AH4809" s="580">
        <f t="shared" si="415"/>
        <v>0</v>
      </c>
    </row>
    <row r="4810" spans="28:34">
      <c r="AB4810" s="580">
        <f>HLOOKUP("*"&amp;'Output annual'!$AC$2&amp;'Output annual'!$AD$2&amp;"*Zone People Number Of Occupants [](Hourly)",'Eplus results'!$1:$1048576,ROW(),FALSE)</f>
        <v>0</v>
      </c>
      <c r="AC4810" s="580">
        <f>HLOOKUP("*"&amp;'Output annual'!$AC$2&amp;'Output annual'!$AD$2&amp;"*FangerPMV(Hourly)",'Eplus results'!$1:$1048576,ROW(),FALSE)</f>
        <v>0</v>
      </c>
      <c r="AD4810" s="580">
        <f t="shared" si="411"/>
        <v>5</v>
      </c>
      <c r="AE4810" s="580">
        <f t="shared" si="412"/>
        <v>2.5</v>
      </c>
      <c r="AF4810" s="580">
        <f t="shared" si="413"/>
        <v>2.5</v>
      </c>
      <c r="AG4810" s="580">
        <f t="shared" si="414"/>
        <v>0</v>
      </c>
      <c r="AH4810" s="580">
        <f t="shared" si="415"/>
        <v>0</v>
      </c>
    </row>
    <row r="4811" spans="28:34">
      <c r="AB4811" s="580">
        <f>HLOOKUP("*"&amp;'Output annual'!$AC$2&amp;'Output annual'!$AD$2&amp;"*Zone People Number Of Occupants [](Hourly)",'Eplus results'!$1:$1048576,ROW(),FALSE)</f>
        <v>0</v>
      </c>
      <c r="AC4811" s="580">
        <f>HLOOKUP("*"&amp;'Output annual'!$AC$2&amp;'Output annual'!$AD$2&amp;"*FangerPMV(Hourly)",'Eplus results'!$1:$1048576,ROW(),FALSE)</f>
        <v>0</v>
      </c>
      <c r="AD4811" s="580">
        <f t="shared" si="411"/>
        <v>5</v>
      </c>
      <c r="AE4811" s="580">
        <f t="shared" si="412"/>
        <v>2.5</v>
      </c>
      <c r="AF4811" s="580">
        <f t="shared" si="413"/>
        <v>2.5</v>
      </c>
      <c r="AG4811" s="580">
        <f t="shared" si="414"/>
        <v>0</v>
      </c>
      <c r="AH4811" s="580">
        <f t="shared" si="415"/>
        <v>0</v>
      </c>
    </row>
    <row r="4812" spans="28:34">
      <c r="AB4812" s="580">
        <f>HLOOKUP("*"&amp;'Output annual'!$AC$2&amp;'Output annual'!$AD$2&amp;"*Zone People Number Of Occupants [](Hourly)",'Eplus results'!$1:$1048576,ROW(),FALSE)</f>
        <v>0</v>
      </c>
      <c r="AC4812" s="580">
        <f>HLOOKUP("*"&amp;'Output annual'!$AC$2&amp;'Output annual'!$AD$2&amp;"*FangerPMV(Hourly)",'Eplus results'!$1:$1048576,ROW(),FALSE)</f>
        <v>0</v>
      </c>
      <c r="AD4812" s="580">
        <f t="shared" si="411"/>
        <v>5</v>
      </c>
      <c r="AE4812" s="580">
        <f t="shared" si="412"/>
        <v>2.5</v>
      </c>
      <c r="AF4812" s="580">
        <f t="shared" si="413"/>
        <v>2.5</v>
      </c>
      <c r="AG4812" s="580">
        <f t="shared" si="414"/>
        <v>0</v>
      </c>
      <c r="AH4812" s="580">
        <f t="shared" si="415"/>
        <v>0</v>
      </c>
    </row>
    <row r="4813" spans="28:34">
      <c r="AB4813" s="580">
        <f>HLOOKUP("*"&amp;'Output annual'!$AC$2&amp;'Output annual'!$AD$2&amp;"*Zone People Number Of Occupants [](Hourly)",'Eplus results'!$1:$1048576,ROW(),FALSE)</f>
        <v>0</v>
      </c>
      <c r="AC4813" s="580">
        <f>HLOOKUP("*"&amp;'Output annual'!$AC$2&amp;'Output annual'!$AD$2&amp;"*FangerPMV(Hourly)",'Eplus results'!$1:$1048576,ROW(),FALSE)</f>
        <v>0</v>
      </c>
      <c r="AD4813" s="580">
        <f t="shared" si="411"/>
        <v>5</v>
      </c>
      <c r="AE4813" s="580">
        <f t="shared" si="412"/>
        <v>2.5</v>
      </c>
      <c r="AF4813" s="580">
        <f t="shared" si="413"/>
        <v>2.5</v>
      </c>
      <c r="AG4813" s="580">
        <f t="shared" si="414"/>
        <v>0</v>
      </c>
      <c r="AH4813" s="580">
        <f t="shared" si="415"/>
        <v>0</v>
      </c>
    </row>
    <row r="4814" spans="28:34">
      <c r="AB4814" s="580">
        <f>HLOOKUP("*"&amp;'Output annual'!$AC$2&amp;'Output annual'!$AD$2&amp;"*Zone People Number Of Occupants [](Hourly)",'Eplus results'!$1:$1048576,ROW(),FALSE)</f>
        <v>0</v>
      </c>
      <c r="AC4814" s="580">
        <f>HLOOKUP("*"&amp;'Output annual'!$AC$2&amp;'Output annual'!$AD$2&amp;"*FangerPMV(Hourly)",'Eplus results'!$1:$1048576,ROW(),FALSE)</f>
        <v>0</v>
      </c>
      <c r="AD4814" s="580">
        <f t="shared" si="411"/>
        <v>5</v>
      </c>
      <c r="AE4814" s="580">
        <f t="shared" si="412"/>
        <v>2.5</v>
      </c>
      <c r="AF4814" s="580">
        <f t="shared" si="413"/>
        <v>2.5</v>
      </c>
      <c r="AG4814" s="580">
        <f t="shared" si="414"/>
        <v>0</v>
      </c>
      <c r="AH4814" s="580">
        <f t="shared" si="415"/>
        <v>0</v>
      </c>
    </row>
    <row r="4815" spans="28:34">
      <c r="AB4815" s="580">
        <f>HLOOKUP("*"&amp;'Output annual'!$AC$2&amp;'Output annual'!$AD$2&amp;"*Zone People Number Of Occupants [](Hourly)",'Eplus results'!$1:$1048576,ROW(),FALSE)</f>
        <v>0</v>
      </c>
      <c r="AC4815" s="580">
        <f>HLOOKUP("*"&amp;'Output annual'!$AC$2&amp;'Output annual'!$AD$2&amp;"*FangerPMV(Hourly)",'Eplus results'!$1:$1048576,ROW(),FALSE)</f>
        <v>0</v>
      </c>
      <c r="AD4815" s="580">
        <f t="shared" si="411"/>
        <v>5</v>
      </c>
      <c r="AE4815" s="580">
        <f t="shared" si="412"/>
        <v>2.5</v>
      </c>
      <c r="AF4815" s="580">
        <f t="shared" si="413"/>
        <v>2.5</v>
      </c>
      <c r="AG4815" s="580">
        <f t="shared" si="414"/>
        <v>0</v>
      </c>
      <c r="AH4815" s="580">
        <f t="shared" si="415"/>
        <v>0</v>
      </c>
    </row>
    <row r="4816" spans="28:34">
      <c r="AB4816" s="580">
        <f>HLOOKUP("*"&amp;'Output annual'!$AC$2&amp;'Output annual'!$AD$2&amp;"*Zone People Number Of Occupants [](Hourly)",'Eplus results'!$1:$1048576,ROW(),FALSE)</f>
        <v>0</v>
      </c>
      <c r="AC4816" s="580">
        <f>HLOOKUP("*"&amp;'Output annual'!$AC$2&amp;'Output annual'!$AD$2&amp;"*FangerPMV(Hourly)",'Eplus results'!$1:$1048576,ROW(),FALSE)</f>
        <v>0</v>
      </c>
      <c r="AD4816" s="580">
        <f t="shared" si="411"/>
        <v>5</v>
      </c>
      <c r="AE4816" s="580">
        <f t="shared" si="412"/>
        <v>2.5</v>
      </c>
      <c r="AF4816" s="580">
        <f t="shared" si="413"/>
        <v>2.5</v>
      </c>
      <c r="AG4816" s="580">
        <f t="shared" si="414"/>
        <v>0</v>
      </c>
      <c r="AH4816" s="580">
        <f t="shared" si="415"/>
        <v>0</v>
      </c>
    </row>
    <row r="4817" spans="28:34">
      <c r="AB4817" s="580">
        <f>HLOOKUP("*"&amp;'Output annual'!$AC$2&amp;'Output annual'!$AD$2&amp;"*Zone People Number Of Occupants [](Hourly)",'Eplus results'!$1:$1048576,ROW(),FALSE)</f>
        <v>0</v>
      </c>
      <c r="AC4817" s="580">
        <f>HLOOKUP("*"&amp;'Output annual'!$AC$2&amp;'Output annual'!$AD$2&amp;"*FangerPMV(Hourly)",'Eplus results'!$1:$1048576,ROW(),FALSE)</f>
        <v>0</v>
      </c>
      <c r="AD4817" s="580">
        <f t="shared" si="411"/>
        <v>5</v>
      </c>
      <c r="AE4817" s="580">
        <f t="shared" si="412"/>
        <v>2.5</v>
      </c>
      <c r="AF4817" s="580">
        <f t="shared" si="413"/>
        <v>2.5</v>
      </c>
      <c r="AG4817" s="580">
        <f t="shared" si="414"/>
        <v>0</v>
      </c>
      <c r="AH4817" s="580">
        <f t="shared" si="415"/>
        <v>0</v>
      </c>
    </row>
    <row r="4818" spans="28:34">
      <c r="AB4818" s="580">
        <f>HLOOKUP("*"&amp;'Output annual'!$AC$2&amp;'Output annual'!$AD$2&amp;"*Zone People Number Of Occupants [](Hourly)",'Eplus results'!$1:$1048576,ROW(),FALSE)</f>
        <v>0</v>
      </c>
      <c r="AC4818" s="580">
        <f>HLOOKUP("*"&amp;'Output annual'!$AC$2&amp;'Output annual'!$AD$2&amp;"*FangerPMV(Hourly)",'Eplus results'!$1:$1048576,ROW(),FALSE)</f>
        <v>0</v>
      </c>
      <c r="AD4818" s="580">
        <f t="shared" si="411"/>
        <v>5</v>
      </c>
      <c r="AE4818" s="580">
        <f t="shared" si="412"/>
        <v>2.5</v>
      </c>
      <c r="AF4818" s="580">
        <f t="shared" si="413"/>
        <v>2.5</v>
      </c>
      <c r="AG4818" s="580">
        <f t="shared" si="414"/>
        <v>0</v>
      </c>
      <c r="AH4818" s="580">
        <f t="shared" si="415"/>
        <v>0</v>
      </c>
    </row>
    <row r="4819" spans="28:34">
      <c r="AB4819" s="580">
        <f>HLOOKUP("*"&amp;'Output annual'!$AC$2&amp;'Output annual'!$AD$2&amp;"*Zone People Number Of Occupants [](Hourly)",'Eplus results'!$1:$1048576,ROW(),FALSE)</f>
        <v>0</v>
      </c>
      <c r="AC4819" s="580">
        <f>HLOOKUP("*"&amp;'Output annual'!$AC$2&amp;'Output annual'!$AD$2&amp;"*FangerPMV(Hourly)",'Eplus results'!$1:$1048576,ROW(),FALSE)</f>
        <v>0</v>
      </c>
      <c r="AD4819" s="580">
        <f t="shared" si="411"/>
        <v>5</v>
      </c>
      <c r="AE4819" s="580">
        <f t="shared" si="412"/>
        <v>2.5</v>
      </c>
      <c r="AF4819" s="580">
        <f t="shared" si="413"/>
        <v>2.5</v>
      </c>
      <c r="AG4819" s="580">
        <f t="shared" si="414"/>
        <v>0</v>
      </c>
      <c r="AH4819" s="580">
        <f t="shared" si="415"/>
        <v>0</v>
      </c>
    </row>
    <row r="4820" spans="28:34">
      <c r="AB4820" s="580">
        <f>HLOOKUP("*"&amp;'Output annual'!$AC$2&amp;'Output annual'!$AD$2&amp;"*Zone People Number Of Occupants [](Hourly)",'Eplus results'!$1:$1048576,ROW(),FALSE)</f>
        <v>0</v>
      </c>
      <c r="AC4820" s="580">
        <f>HLOOKUP("*"&amp;'Output annual'!$AC$2&amp;'Output annual'!$AD$2&amp;"*FangerPMV(Hourly)",'Eplus results'!$1:$1048576,ROW(),FALSE)</f>
        <v>0</v>
      </c>
      <c r="AD4820" s="580">
        <f t="shared" si="411"/>
        <v>5</v>
      </c>
      <c r="AE4820" s="580">
        <f t="shared" si="412"/>
        <v>2.5</v>
      </c>
      <c r="AF4820" s="580">
        <f t="shared" si="413"/>
        <v>2.5</v>
      </c>
      <c r="AG4820" s="580">
        <f t="shared" si="414"/>
        <v>0</v>
      </c>
      <c r="AH4820" s="580">
        <f t="shared" si="415"/>
        <v>0</v>
      </c>
    </row>
    <row r="4821" spans="28:34">
      <c r="AB4821" s="580">
        <f>HLOOKUP("*"&amp;'Output annual'!$AC$2&amp;'Output annual'!$AD$2&amp;"*Zone People Number Of Occupants [](Hourly)",'Eplus results'!$1:$1048576,ROW(),FALSE)</f>
        <v>0</v>
      </c>
      <c r="AC4821" s="580">
        <f>HLOOKUP("*"&amp;'Output annual'!$AC$2&amp;'Output annual'!$AD$2&amp;"*FangerPMV(Hourly)",'Eplus results'!$1:$1048576,ROW(),FALSE)</f>
        <v>0</v>
      </c>
      <c r="AD4821" s="580">
        <f t="shared" si="411"/>
        <v>5</v>
      </c>
      <c r="AE4821" s="580">
        <f t="shared" si="412"/>
        <v>2.5</v>
      </c>
      <c r="AF4821" s="580">
        <f t="shared" si="413"/>
        <v>2.5</v>
      </c>
      <c r="AG4821" s="580">
        <f t="shared" si="414"/>
        <v>0</v>
      </c>
      <c r="AH4821" s="580">
        <f t="shared" si="415"/>
        <v>0</v>
      </c>
    </row>
    <row r="4822" spans="28:34">
      <c r="AB4822" s="580">
        <f>HLOOKUP("*"&amp;'Output annual'!$AC$2&amp;'Output annual'!$AD$2&amp;"*Zone People Number Of Occupants [](Hourly)",'Eplus results'!$1:$1048576,ROW(),FALSE)</f>
        <v>0</v>
      </c>
      <c r="AC4822" s="580">
        <f>HLOOKUP("*"&amp;'Output annual'!$AC$2&amp;'Output annual'!$AD$2&amp;"*FangerPMV(Hourly)",'Eplus results'!$1:$1048576,ROW(),FALSE)</f>
        <v>0</v>
      </c>
      <c r="AD4822" s="580">
        <f t="shared" si="411"/>
        <v>5</v>
      </c>
      <c r="AE4822" s="580">
        <f t="shared" si="412"/>
        <v>2.5</v>
      </c>
      <c r="AF4822" s="580">
        <f t="shared" si="413"/>
        <v>2.5</v>
      </c>
      <c r="AG4822" s="580">
        <f t="shared" si="414"/>
        <v>0</v>
      </c>
      <c r="AH4822" s="580">
        <f t="shared" si="415"/>
        <v>0</v>
      </c>
    </row>
    <row r="4823" spans="28:34">
      <c r="AB4823" s="580">
        <f>HLOOKUP("*"&amp;'Output annual'!$AC$2&amp;'Output annual'!$AD$2&amp;"*Zone People Number Of Occupants [](Hourly)",'Eplus results'!$1:$1048576,ROW(),FALSE)</f>
        <v>0</v>
      </c>
      <c r="AC4823" s="580">
        <f>HLOOKUP("*"&amp;'Output annual'!$AC$2&amp;'Output annual'!$AD$2&amp;"*FangerPMV(Hourly)",'Eplus results'!$1:$1048576,ROW(),FALSE)</f>
        <v>0</v>
      </c>
      <c r="AD4823" s="580">
        <f t="shared" si="411"/>
        <v>5</v>
      </c>
      <c r="AE4823" s="580">
        <f t="shared" si="412"/>
        <v>2.5</v>
      </c>
      <c r="AF4823" s="580">
        <f t="shared" si="413"/>
        <v>2.5</v>
      </c>
      <c r="AG4823" s="580">
        <f t="shared" si="414"/>
        <v>0</v>
      </c>
      <c r="AH4823" s="580">
        <f t="shared" si="415"/>
        <v>0</v>
      </c>
    </row>
    <row r="4824" spans="28:34">
      <c r="AB4824" s="580">
        <f>HLOOKUP("*"&amp;'Output annual'!$AC$2&amp;'Output annual'!$AD$2&amp;"*Zone People Number Of Occupants [](Hourly)",'Eplus results'!$1:$1048576,ROW(),FALSE)</f>
        <v>0</v>
      </c>
      <c r="AC4824" s="580">
        <f>HLOOKUP("*"&amp;'Output annual'!$AC$2&amp;'Output annual'!$AD$2&amp;"*FangerPMV(Hourly)",'Eplus results'!$1:$1048576,ROW(),FALSE)</f>
        <v>0</v>
      </c>
      <c r="AD4824" s="580">
        <f t="shared" si="411"/>
        <v>5</v>
      </c>
      <c r="AE4824" s="580">
        <f t="shared" si="412"/>
        <v>2.5</v>
      </c>
      <c r="AF4824" s="580">
        <f t="shared" si="413"/>
        <v>2.5</v>
      </c>
      <c r="AG4824" s="580">
        <f t="shared" si="414"/>
        <v>0</v>
      </c>
      <c r="AH4824" s="580">
        <f t="shared" si="415"/>
        <v>0</v>
      </c>
    </row>
    <row r="4825" spans="28:34">
      <c r="AB4825" s="580">
        <f>HLOOKUP("*"&amp;'Output annual'!$AC$2&amp;'Output annual'!$AD$2&amp;"*Zone People Number Of Occupants [](Hourly)",'Eplus results'!$1:$1048576,ROW(),FALSE)</f>
        <v>0</v>
      </c>
      <c r="AC4825" s="580">
        <f>HLOOKUP("*"&amp;'Output annual'!$AC$2&amp;'Output annual'!$AD$2&amp;"*FangerPMV(Hourly)",'Eplus results'!$1:$1048576,ROW(),FALSE)</f>
        <v>0</v>
      </c>
      <c r="AD4825" s="580">
        <f t="shared" si="411"/>
        <v>5</v>
      </c>
      <c r="AE4825" s="580">
        <f t="shared" si="412"/>
        <v>2.5</v>
      </c>
      <c r="AF4825" s="580">
        <f t="shared" si="413"/>
        <v>2.5</v>
      </c>
      <c r="AG4825" s="580">
        <f t="shared" si="414"/>
        <v>0</v>
      </c>
      <c r="AH4825" s="580">
        <f t="shared" si="415"/>
        <v>0</v>
      </c>
    </row>
    <row r="4826" spans="28:34">
      <c r="AB4826" s="580">
        <f>HLOOKUP("*"&amp;'Output annual'!$AC$2&amp;'Output annual'!$AD$2&amp;"*Zone People Number Of Occupants [](Hourly)",'Eplus results'!$1:$1048576,ROW(),FALSE)</f>
        <v>0</v>
      </c>
      <c r="AC4826" s="580">
        <f>HLOOKUP("*"&amp;'Output annual'!$AC$2&amp;'Output annual'!$AD$2&amp;"*FangerPMV(Hourly)",'Eplus results'!$1:$1048576,ROW(),FALSE)</f>
        <v>0</v>
      </c>
      <c r="AD4826" s="580">
        <f t="shared" si="411"/>
        <v>5</v>
      </c>
      <c r="AE4826" s="580">
        <f t="shared" si="412"/>
        <v>2.5</v>
      </c>
      <c r="AF4826" s="580">
        <f t="shared" si="413"/>
        <v>2.5</v>
      </c>
      <c r="AG4826" s="580">
        <f t="shared" si="414"/>
        <v>0</v>
      </c>
      <c r="AH4826" s="580">
        <f t="shared" si="415"/>
        <v>0</v>
      </c>
    </row>
    <row r="4827" spans="28:34">
      <c r="AB4827" s="580">
        <f>HLOOKUP("*"&amp;'Output annual'!$AC$2&amp;'Output annual'!$AD$2&amp;"*Zone People Number Of Occupants [](Hourly)",'Eplus results'!$1:$1048576,ROW(),FALSE)</f>
        <v>0</v>
      </c>
      <c r="AC4827" s="580">
        <f>HLOOKUP("*"&amp;'Output annual'!$AC$2&amp;'Output annual'!$AD$2&amp;"*FangerPMV(Hourly)",'Eplus results'!$1:$1048576,ROW(),FALSE)</f>
        <v>0</v>
      </c>
      <c r="AD4827" s="580">
        <f t="shared" si="411"/>
        <v>5</v>
      </c>
      <c r="AE4827" s="580">
        <f t="shared" si="412"/>
        <v>2.5</v>
      </c>
      <c r="AF4827" s="580">
        <f t="shared" si="413"/>
        <v>2.5</v>
      </c>
      <c r="AG4827" s="580">
        <f t="shared" si="414"/>
        <v>0</v>
      </c>
      <c r="AH4827" s="580">
        <f t="shared" si="415"/>
        <v>0</v>
      </c>
    </row>
    <row r="4828" spans="28:34">
      <c r="AB4828" s="580">
        <f>HLOOKUP("*"&amp;'Output annual'!$AC$2&amp;'Output annual'!$AD$2&amp;"*Zone People Number Of Occupants [](Hourly)",'Eplus results'!$1:$1048576,ROW(),FALSE)</f>
        <v>0</v>
      </c>
      <c r="AC4828" s="580">
        <f>HLOOKUP("*"&amp;'Output annual'!$AC$2&amp;'Output annual'!$AD$2&amp;"*FangerPMV(Hourly)",'Eplus results'!$1:$1048576,ROW(),FALSE)</f>
        <v>0</v>
      </c>
      <c r="AD4828" s="580">
        <f t="shared" si="411"/>
        <v>5</v>
      </c>
      <c r="AE4828" s="580">
        <f t="shared" si="412"/>
        <v>2.5</v>
      </c>
      <c r="AF4828" s="580">
        <f t="shared" si="413"/>
        <v>2.5</v>
      </c>
      <c r="AG4828" s="580">
        <f t="shared" si="414"/>
        <v>0</v>
      </c>
      <c r="AH4828" s="580">
        <f t="shared" si="415"/>
        <v>0</v>
      </c>
    </row>
    <row r="4829" spans="28:34">
      <c r="AB4829" s="580">
        <f>HLOOKUP("*"&amp;'Output annual'!$AC$2&amp;'Output annual'!$AD$2&amp;"*Zone People Number Of Occupants [](Hourly)",'Eplus results'!$1:$1048576,ROW(),FALSE)</f>
        <v>0</v>
      </c>
      <c r="AC4829" s="580">
        <f>HLOOKUP("*"&amp;'Output annual'!$AC$2&amp;'Output annual'!$AD$2&amp;"*FangerPMV(Hourly)",'Eplus results'!$1:$1048576,ROW(),FALSE)</f>
        <v>0</v>
      </c>
      <c r="AD4829" s="580">
        <f t="shared" si="411"/>
        <v>5</v>
      </c>
      <c r="AE4829" s="580">
        <f t="shared" si="412"/>
        <v>2.5</v>
      </c>
      <c r="AF4829" s="580">
        <f t="shared" si="413"/>
        <v>2.5</v>
      </c>
      <c r="AG4829" s="580">
        <f t="shared" si="414"/>
        <v>0</v>
      </c>
      <c r="AH4829" s="580">
        <f t="shared" si="415"/>
        <v>0</v>
      </c>
    </row>
    <row r="4830" spans="28:34">
      <c r="AB4830" s="580">
        <f>HLOOKUP("*"&amp;'Output annual'!$AC$2&amp;'Output annual'!$AD$2&amp;"*Zone People Number Of Occupants [](Hourly)",'Eplus results'!$1:$1048576,ROW(),FALSE)</f>
        <v>0</v>
      </c>
      <c r="AC4830" s="580">
        <f>HLOOKUP("*"&amp;'Output annual'!$AC$2&amp;'Output annual'!$AD$2&amp;"*FangerPMV(Hourly)",'Eplus results'!$1:$1048576,ROW(),FALSE)</f>
        <v>0</v>
      </c>
      <c r="AD4830" s="580">
        <f t="shared" si="411"/>
        <v>5</v>
      </c>
      <c r="AE4830" s="580">
        <f t="shared" si="412"/>
        <v>2.5</v>
      </c>
      <c r="AF4830" s="580">
        <f t="shared" si="413"/>
        <v>2.5</v>
      </c>
      <c r="AG4830" s="580">
        <f t="shared" si="414"/>
        <v>0</v>
      </c>
      <c r="AH4830" s="580">
        <f t="shared" si="415"/>
        <v>0</v>
      </c>
    </row>
    <row r="4831" spans="28:34">
      <c r="AB4831" s="580">
        <f>HLOOKUP("*"&amp;'Output annual'!$AC$2&amp;'Output annual'!$AD$2&amp;"*Zone People Number Of Occupants [](Hourly)",'Eplus results'!$1:$1048576,ROW(),FALSE)</f>
        <v>0</v>
      </c>
      <c r="AC4831" s="580">
        <f>HLOOKUP("*"&amp;'Output annual'!$AC$2&amp;'Output annual'!$AD$2&amp;"*FangerPMV(Hourly)",'Eplus results'!$1:$1048576,ROW(),FALSE)</f>
        <v>0</v>
      </c>
      <c r="AD4831" s="580">
        <f t="shared" si="411"/>
        <v>5</v>
      </c>
      <c r="AE4831" s="580">
        <f t="shared" si="412"/>
        <v>2.5</v>
      </c>
      <c r="AF4831" s="580">
        <f t="shared" si="413"/>
        <v>2.5</v>
      </c>
      <c r="AG4831" s="580">
        <f t="shared" si="414"/>
        <v>0</v>
      </c>
      <c r="AH4831" s="580">
        <f t="shared" si="415"/>
        <v>0</v>
      </c>
    </row>
    <row r="4832" spans="28:34">
      <c r="AB4832" s="580">
        <f>HLOOKUP("*"&amp;'Output annual'!$AC$2&amp;'Output annual'!$AD$2&amp;"*Zone People Number Of Occupants [](Hourly)",'Eplus results'!$1:$1048576,ROW(),FALSE)</f>
        <v>0</v>
      </c>
      <c r="AC4832" s="580">
        <f>HLOOKUP("*"&amp;'Output annual'!$AC$2&amp;'Output annual'!$AD$2&amp;"*FangerPMV(Hourly)",'Eplus results'!$1:$1048576,ROW(),FALSE)</f>
        <v>0</v>
      </c>
      <c r="AD4832" s="580">
        <f t="shared" si="411"/>
        <v>5</v>
      </c>
      <c r="AE4832" s="580">
        <f t="shared" si="412"/>
        <v>2.5</v>
      </c>
      <c r="AF4832" s="580">
        <f t="shared" si="413"/>
        <v>2.5</v>
      </c>
      <c r="AG4832" s="580">
        <f t="shared" si="414"/>
        <v>0</v>
      </c>
      <c r="AH4832" s="580">
        <f t="shared" si="415"/>
        <v>0</v>
      </c>
    </row>
    <row r="4833" spans="28:34">
      <c r="AB4833" s="580">
        <f>HLOOKUP("*"&amp;'Output annual'!$AC$2&amp;'Output annual'!$AD$2&amp;"*Zone People Number Of Occupants [](Hourly)",'Eplus results'!$1:$1048576,ROW(),FALSE)</f>
        <v>0</v>
      </c>
      <c r="AC4833" s="580">
        <f>HLOOKUP("*"&amp;'Output annual'!$AC$2&amp;'Output annual'!$AD$2&amp;"*FangerPMV(Hourly)",'Eplus results'!$1:$1048576,ROW(),FALSE)</f>
        <v>0</v>
      </c>
      <c r="AD4833" s="580">
        <f t="shared" si="411"/>
        <v>5</v>
      </c>
      <c r="AE4833" s="580">
        <f t="shared" si="412"/>
        <v>2.5</v>
      </c>
      <c r="AF4833" s="580">
        <f t="shared" si="413"/>
        <v>2.5</v>
      </c>
      <c r="AG4833" s="580">
        <f t="shared" si="414"/>
        <v>0</v>
      </c>
      <c r="AH4833" s="580">
        <f t="shared" si="415"/>
        <v>0</v>
      </c>
    </row>
    <row r="4834" spans="28:34">
      <c r="AB4834" s="580">
        <f>HLOOKUP("*"&amp;'Output annual'!$AC$2&amp;'Output annual'!$AD$2&amp;"*Zone People Number Of Occupants [](Hourly)",'Eplus results'!$1:$1048576,ROW(),FALSE)</f>
        <v>0</v>
      </c>
      <c r="AC4834" s="580">
        <f>HLOOKUP("*"&amp;'Output annual'!$AC$2&amp;'Output annual'!$AD$2&amp;"*FangerPMV(Hourly)",'Eplus results'!$1:$1048576,ROW(),FALSE)</f>
        <v>0</v>
      </c>
      <c r="AD4834" s="580">
        <f t="shared" si="411"/>
        <v>5</v>
      </c>
      <c r="AE4834" s="580">
        <f t="shared" si="412"/>
        <v>2.5</v>
      </c>
      <c r="AF4834" s="580">
        <f t="shared" si="413"/>
        <v>2.5</v>
      </c>
      <c r="AG4834" s="580">
        <f t="shared" si="414"/>
        <v>0</v>
      </c>
      <c r="AH4834" s="580">
        <f t="shared" si="415"/>
        <v>0</v>
      </c>
    </row>
    <row r="4835" spans="28:34">
      <c r="AB4835" s="580">
        <f>HLOOKUP("*"&amp;'Output annual'!$AC$2&amp;'Output annual'!$AD$2&amp;"*Zone People Number Of Occupants [](Hourly)",'Eplus results'!$1:$1048576,ROW(),FALSE)</f>
        <v>0</v>
      </c>
      <c r="AC4835" s="580">
        <f>HLOOKUP("*"&amp;'Output annual'!$AC$2&amp;'Output annual'!$AD$2&amp;"*FangerPMV(Hourly)",'Eplus results'!$1:$1048576,ROW(),FALSE)</f>
        <v>0</v>
      </c>
      <c r="AD4835" s="580">
        <f t="shared" si="411"/>
        <v>5</v>
      </c>
      <c r="AE4835" s="580">
        <f t="shared" si="412"/>
        <v>2.5</v>
      </c>
      <c r="AF4835" s="580">
        <f t="shared" si="413"/>
        <v>2.5</v>
      </c>
      <c r="AG4835" s="580">
        <f t="shared" si="414"/>
        <v>0</v>
      </c>
      <c r="AH4835" s="580">
        <f t="shared" si="415"/>
        <v>0</v>
      </c>
    </row>
    <row r="4836" spans="28:34">
      <c r="AB4836" s="580">
        <f>HLOOKUP("*"&amp;'Output annual'!$AC$2&amp;'Output annual'!$AD$2&amp;"*Zone People Number Of Occupants [](Hourly)",'Eplus results'!$1:$1048576,ROW(),FALSE)</f>
        <v>0</v>
      </c>
      <c r="AC4836" s="580">
        <f>HLOOKUP("*"&amp;'Output annual'!$AC$2&amp;'Output annual'!$AD$2&amp;"*FangerPMV(Hourly)",'Eplus results'!$1:$1048576,ROW(),FALSE)</f>
        <v>0</v>
      </c>
      <c r="AD4836" s="580">
        <f t="shared" si="411"/>
        <v>5</v>
      </c>
      <c r="AE4836" s="580">
        <f t="shared" si="412"/>
        <v>2.5</v>
      </c>
      <c r="AF4836" s="580">
        <f t="shared" si="413"/>
        <v>2.5</v>
      </c>
      <c r="AG4836" s="580">
        <f t="shared" si="414"/>
        <v>0</v>
      </c>
      <c r="AH4836" s="580">
        <f t="shared" si="415"/>
        <v>0</v>
      </c>
    </row>
    <row r="4837" spans="28:34">
      <c r="AB4837" s="580">
        <f>HLOOKUP("*"&amp;'Output annual'!$AC$2&amp;'Output annual'!$AD$2&amp;"*Zone People Number Of Occupants [](Hourly)",'Eplus results'!$1:$1048576,ROW(),FALSE)</f>
        <v>0</v>
      </c>
      <c r="AC4837" s="580">
        <f>HLOOKUP("*"&amp;'Output annual'!$AC$2&amp;'Output annual'!$AD$2&amp;"*FangerPMV(Hourly)",'Eplus results'!$1:$1048576,ROW(),FALSE)</f>
        <v>0</v>
      </c>
      <c r="AD4837" s="580">
        <f t="shared" si="411"/>
        <v>5</v>
      </c>
      <c r="AE4837" s="580">
        <f t="shared" si="412"/>
        <v>2.5</v>
      </c>
      <c r="AF4837" s="580">
        <f t="shared" si="413"/>
        <v>2.5</v>
      </c>
      <c r="AG4837" s="580">
        <f t="shared" si="414"/>
        <v>0</v>
      </c>
      <c r="AH4837" s="580">
        <f t="shared" si="415"/>
        <v>0</v>
      </c>
    </row>
    <row r="4838" spans="28:34">
      <c r="AB4838" s="580">
        <f>HLOOKUP("*"&amp;'Output annual'!$AC$2&amp;'Output annual'!$AD$2&amp;"*Zone People Number Of Occupants [](Hourly)",'Eplus results'!$1:$1048576,ROW(),FALSE)</f>
        <v>0</v>
      </c>
      <c r="AC4838" s="580">
        <f>HLOOKUP("*"&amp;'Output annual'!$AC$2&amp;'Output annual'!$AD$2&amp;"*FangerPMV(Hourly)",'Eplus results'!$1:$1048576,ROW(),FALSE)</f>
        <v>0</v>
      </c>
      <c r="AD4838" s="580">
        <f t="shared" si="411"/>
        <v>5</v>
      </c>
      <c r="AE4838" s="580">
        <f t="shared" si="412"/>
        <v>2.5</v>
      </c>
      <c r="AF4838" s="580">
        <f t="shared" si="413"/>
        <v>2.5</v>
      </c>
      <c r="AG4838" s="580">
        <f t="shared" si="414"/>
        <v>0</v>
      </c>
      <c r="AH4838" s="580">
        <f t="shared" si="415"/>
        <v>0</v>
      </c>
    </row>
    <row r="4839" spans="28:34">
      <c r="AB4839" s="580">
        <f>HLOOKUP("*"&amp;'Output annual'!$AC$2&amp;'Output annual'!$AD$2&amp;"*Zone People Number Of Occupants [](Hourly)",'Eplus results'!$1:$1048576,ROW(),FALSE)</f>
        <v>0</v>
      </c>
      <c r="AC4839" s="580">
        <f>HLOOKUP("*"&amp;'Output annual'!$AC$2&amp;'Output annual'!$AD$2&amp;"*FangerPMV(Hourly)",'Eplus results'!$1:$1048576,ROW(),FALSE)</f>
        <v>0</v>
      </c>
      <c r="AD4839" s="580">
        <f t="shared" si="411"/>
        <v>5</v>
      </c>
      <c r="AE4839" s="580">
        <f t="shared" si="412"/>
        <v>2.5</v>
      </c>
      <c r="AF4839" s="580">
        <f t="shared" si="413"/>
        <v>2.5</v>
      </c>
      <c r="AG4839" s="580">
        <f t="shared" si="414"/>
        <v>0</v>
      </c>
      <c r="AH4839" s="580">
        <f t="shared" si="415"/>
        <v>0</v>
      </c>
    </row>
    <row r="4840" spans="28:34">
      <c r="AB4840" s="580">
        <f>HLOOKUP("*"&amp;'Output annual'!$AC$2&amp;'Output annual'!$AD$2&amp;"*Zone People Number Of Occupants [](Hourly)",'Eplus results'!$1:$1048576,ROW(),FALSE)</f>
        <v>0</v>
      </c>
      <c r="AC4840" s="580">
        <f>HLOOKUP("*"&amp;'Output annual'!$AC$2&amp;'Output annual'!$AD$2&amp;"*FangerPMV(Hourly)",'Eplus results'!$1:$1048576,ROW(),FALSE)</f>
        <v>0</v>
      </c>
      <c r="AD4840" s="580">
        <f t="shared" si="411"/>
        <v>5</v>
      </c>
      <c r="AE4840" s="580">
        <f t="shared" si="412"/>
        <v>2.5</v>
      </c>
      <c r="AF4840" s="580">
        <f t="shared" si="413"/>
        <v>2.5</v>
      </c>
      <c r="AG4840" s="580">
        <f t="shared" si="414"/>
        <v>0</v>
      </c>
      <c r="AH4840" s="580">
        <f t="shared" si="415"/>
        <v>0</v>
      </c>
    </row>
    <row r="4841" spans="28:34">
      <c r="AB4841" s="580">
        <f>HLOOKUP("*"&amp;'Output annual'!$AC$2&amp;'Output annual'!$AD$2&amp;"*Zone People Number Of Occupants [](Hourly)",'Eplus results'!$1:$1048576,ROW(),FALSE)</f>
        <v>0</v>
      </c>
      <c r="AC4841" s="580">
        <f>HLOOKUP("*"&amp;'Output annual'!$AC$2&amp;'Output annual'!$AD$2&amp;"*FangerPMV(Hourly)",'Eplus results'!$1:$1048576,ROW(),FALSE)</f>
        <v>0</v>
      </c>
      <c r="AD4841" s="580">
        <f t="shared" si="411"/>
        <v>5</v>
      </c>
      <c r="AE4841" s="580">
        <f t="shared" si="412"/>
        <v>2.5</v>
      </c>
      <c r="AF4841" s="580">
        <f t="shared" si="413"/>
        <v>2.5</v>
      </c>
      <c r="AG4841" s="580">
        <f t="shared" si="414"/>
        <v>0</v>
      </c>
      <c r="AH4841" s="580">
        <f t="shared" si="415"/>
        <v>0</v>
      </c>
    </row>
    <row r="4842" spans="28:34">
      <c r="AB4842" s="580">
        <f>HLOOKUP("*"&amp;'Output annual'!$AC$2&amp;'Output annual'!$AD$2&amp;"*Zone People Number Of Occupants [](Hourly)",'Eplus results'!$1:$1048576,ROW(),FALSE)</f>
        <v>0</v>
      </c>
      <c r="AC4842" s="580">
        <f>HLOOKUP("*"&amp;'Output annual'!$AC$2&amp;'Output annual'!$AD$2&amp;"*FangerPMV(Hourly)",'Eplus results'!$1:$1048576,ROW(),FALSE)</f>
        <v>0</v>
      </c>
      <c r="AD4842" s="580">
        <f t="shared" si="411"/>
        <v>5</v>
      </c>
      <c r="AE4842" s="580">
        <f t="shared" si="412"/>
        <v>2.5</v>
      </c>
      <c r="AF4842" s="580">
        <f t="shared" si="413"/>
        <v>2.5</v>
      </c>
      <c r="AG4842" s="580">
        <f t="shared" si="414"/>
        <v>0</v>
      </c>
      <c r="AH4842" s="580">
        <f t="shared" si="415"/>
        <v>0</v>
      </c>
    </row>
    <row r="4843" spans="28:34">
      <c r="AB4843" s="580">
        <f>HLOOKUP("*"&amp;'Output annual'!$AC$2&amp;'Output annual'!$AD$2&amp;"*Zone People Number Of Occupants [](Hourly)",'Eplus results'!$1:$1048576,ROW(),FALSE)</f>
        <v>0</v>
      </c>
      <c r="AC4843" s="580">
        <f>HLOOKUP("*"&amp;'Output annual'!$AC$2&amp;'Output annual'!$AD$2&amp;"*FangerPMV(Hourly)",'Eplus results'!$1:$1048576,ROW(),FALSE)</f>
        <v>0</v>
      </c>
      <c r="AD4843" s="580">
        <f t="shared" si="411"/>
        <v>5</v>
      </c>
      <c r="AE4843" s="580">
        <f t="shared" si="412"/>
        <v>2.5</v>
      </c>
      <c r="AF4843" s="580">
        <f t="shared" si="413"/>
        <v>2.5</v>
      </c>
      <c r="AG4843" s="580">
        <f t="shared" si="414"/>
        <v>0</v>
      </c>
      <c r="AH4843" s="580">
        <f t="shared" si="415"/>
        <v>0</v>
      </c>
    </row>
    <row r="4844" spans="28:34">
      <c r="AB4844" s="580">
        <f>HLOOKUP("*"&amp;'Output annual'!$AC$2&amp;'Output annual'!$AD$2&amp;"*Zone People Number Of Occupants [](Hourly)",'Eplus results'!$1:$1048576,ROW(),FALSE)</f>
        <v>0</v>
      </c>
      <c r="AC4844" s="580">
        <f>HLOOKUP("*"&amp;'Output annual'!$AC$2&amp;'Output annual'!$AD$2&amp;"*FangerPMV(Hourly)",'Eplus results'!$1:$1048576,ROW(),FALSE)</f>
        <v>0</v>
      </c>
      <c r="AD4844" s="580">
        <f t="shared" si="411"/>
        <v>5</v>
      </c>
      <c r="AE4844" s="580">
        <f t="shared" si="412"/>
        <v>2.5</v>
      </c>
      <c r="AF4844" s="580">
        <f t="shared" si="413"/>
        <v>2.5</v>
      </c>
      <c r="AG4844" s="580">
        <f t="shared" si="414"/>
        <v>0</v>
      </c>
      <c r="AH4844" s="580">
        <f t="shared" si="415"/>
        <v>0</v>
      </c>
    </row>
    <row r="4845" spans="28:34">
      <c r="AB4845" s="580">
        <f>HLOOKUP("*"&amp;'Output annual'!$AC$2&amp;'Output annual'!$AD$2&amp;"*Zone People Number Of Occupants [](Hourly)",'Eplus results'!$1:$1048576,ROW(),FALSE)</f>
        <v>0</v>
      </c>
      <c r="AC4845" s="580">
        <f>HLOOKUP("*"&amp;'Output annual'!$AC$2&amp;'Output annual'!$AD$2&amp;"*FangerPMV(Hourly)",'Eplus results'!$1:$1048576,ROW(),FALSE)</f>
        <v>0</v>
      </c>
      <c r="AD4845" s="580">
        <f t="shared" si="411"/>
        <v>5</v>
      </c>
      <c r="AE4845" s="580">
        <f t="shared" si="412"/>
        <v>2.5</v>
      </c>
      <c r="AF4845" s="580">
        <f t="shared" si="413"/>
        <v>2.5</v>
      </c>
      <c r="AG4845" s="580">
        <f t="shared" si="414"/>
        <v>0</v>
      </c>
      <c r="AH4845" s="580">
        <f t="shared" si="415"/>
        <v>0</v>
      </c>
    </row>
    <row r="4846" spans="28:34">
      <c r="AB4846" s="580">
        <f>HLOOKUP("*"&amp;'Output annual'!$AC$2&amp;'Output annual'!$AD$2&amp;"*Zone People Number Of Occupants [](Hourly)",'Eplus results'!$1:$1048576,ROW(),FALSE)</f>
        <v>0</v>
      </c>
      <c r="AC4846" s="580">
        <f>HLOOKUP("*"&amp;'Output annual'!$AC$2&amp;'Output annual'!$AD$2&amp;"*FangerPMV(Hourly)",'Eplus results'!$1:$1048576,ROW(),FALSE)</f>
        <v>0</v>
      </c>
      <c r="AD4846" s="580">
        <f t="shared" si="411"/>
        <v>5</v>
      </c>
      <c r="AE4846" s="580">
        <f t="shared" si="412"/>
        <v>2.5</v>
      </c>
      <c r="AF4846" s="580">
        <f t="shared" si="413"/>
        <v>2.5</v>
      </c>
      <c r="AG4846" s="580">
        <f t="shared" si="414"/>
        <v>0</v>
      </c>
      <c r="AH4846" s="580">
        <f t="shared" si="415"/>
        <v>0</v>
      </c>
    </row>
    <row r="4847" spans="28:34">
      <c r="AB4847" s="580">
        <f>HLOOKUP("*"&amp;'Output annual'!$AC$2&amp;'Output annual'!$AD$2&amp;"*Zone People Number Of Occupants [](Hourly)",'Eplus results'!$1:$1048576,ROW(),FALSE)</f>
        <v>0</v>
      </c>
      <c r="AC4847" s="580">
        <f>HLOOKUP("*"&amp;'Output annual'!$AC$2&amp;'Output annual'!$AD$2&amp;"*FangerPMV(Hourly)",'Eplus results'!$1:$1048576,ROW(),FALSE)</f>
        <v>0</v>
      </c>
      <c r="AD4847" s="580">
        <f t="shared" si="411"/>
        <v>5</v>
      </c>
      <c r="AE4847" s="580">
        <f t="shared" si="412"/>
        <v>2.5</v>
      </c>
      <c r="AF4847" s="580">
        <f t="shared" si="413"/>
        <v>2.5</v>
      </c>
      <c r="AG4847" s="580">
        <f t="shared" si="414"/>
        <v>0</v>
      </c>
      <c r="AH4847" s="580">
        <f t="shared" si="415"/>
        <v>0</v>
      </c>
    </row>
    <row r="4848" spans="28:34">
      <c r="AB4848" s="580">
        <f>HLOOKUP("*"&amp;'Output annual'!$AC$2&amp;'Output annual'!$AD$2&amp;"*Zone People Number Of Occupants [](Hourly)",'Eplus results'!$1:$1048576,ROW(),FALSE)</f>
        <v>0</v>
      </c>
      <c r="AC4848" s="580">
        <f>HLOOKUP("*"&amp;'Output annual'!$AC$2&amp;'Output annual'!$AD$2&amp;"*FangerPMV(Hourly)",'Eplus results'!$1:$1048576,ROW(),FALSE)</f>
        <v>0</v>
      </c>
      <c r="AD4848" s="580">
        <f t="shared" si="411"/>
        <v>5</v>
      </c>
      <c r="AE4848" s="580">
        <f t="shared" si="412"/>
        <v>2.5</v>
      </c>
      <c r="AF4848" s="580">
        <f t="shared" si="413"/>
        <v>2.5</v>
      </c>
      <c r="AG4848" s="580">
        <f t="shared" si="414"/>
        <v>0</v>
      </c>
      <c r="AH4848" s="580">
        <f t="shared" si="415"/>
        <v>0</v>
      </c>
    </row>
    <row r="4849" spans="28:34">
      <c r="AB4849" s="580">
        <f>HLOOKUP("*"&amp;'Output annual'!$AC$2&amp;'Output annual'!$AD$2&amp;"*Zone People Number Of Occupants [](Hourly)",'Eplus results'!$1:$1048576,ROW(),FALSE)</f>
        <v>0</v>
      </c>
      <c r="AC4849" s="580">
        <f>HLOOKUP("*"&amp;'Output annual'!$AC$2&amp;'Output annual'!$AD$2&amp;"*FangerPMV(Hourly)",'Eplus results'!$1:$1048576,ROW(),FALSE)</f>
        <v>0</v>
      </c>
      <c r="AD4849" s="580">
        <f t="shared" si="411"/>
        <v>5</v>
      </c>
      <c r="AE4849" s="580">
        <f t="shared" si="412"/>
        <v>2.5</v>
      </c>
      <c r="AF4849" s="580">
        <f t="shared" si="413"/>
        <v>2.5</v>
      </c>
      <c r="AG4849" s="580">
        <f t="shared" si="414"/>
        <v>0</v>
      </c>
      <c r="AH4849" s="580">
        <f t="shared" si="415"/>
        <v>0</v>
      </c>
    </row>
    <row r="4850" spans="28:34">
      <c r="AB4850" s="580">
        <f>HLOOKUP("*"&amp;'Output annual'!$AC$2&amp;'Output annual'!$AD$2&amp;"*Zone People Number Of Occupants [](Hourly)",'Eplus results'!$1:$1048576,ROW(),FALSE)</f>
        <v>0</v>
      </c>
      <c r="AC4850" s="580">
        <f>HLOOKUP("*"&amp;'Output annual'!$AC$2&amp;'Output annual'!$AD$2&amp;"*FangerPMV(Hourly)",'Eplus results'!$1:$1048576,ROW(),FALSE)</f>
        <v>0</v>
      </c>
      <c r="AD4850" s="580">
        <f t="shared" si="411"/>
        <v>5</v>
      </c>
      <c r="AE4850" s="580">
        <f t="shared" si="412"/>
        <v>2.5</v>
      </c>
      <c r="AF4850" s="580">
        <f t="shared" si="413"/>
        <v>2.5</v>
      </c>
      <c r="AG4850" s="580">
        <f t="shared" si="414"/>
        <v>0</v>
      </c>
      <c r="AH4850" s="580">
        <f t="shared" si="415"/>
        <v>0</v>
      </c>
    </row>
    <row r="4851" spans="28:34">
      <c r="AB4851" s="580">
        <f>HLOOKUP("*"&amp;'Output annual'!$AC$2&amp;'Output annual'!$AD$2&amp;"*Zone People Number Of Occupants [](Hourly)",'Eplus results'!$1:$1048576,ROW(),FALSE)</f>
        <v>0</v>
      </c>
      <c r="AC4851" s="580">
        <f>HLOOKUP("*"&amp;'Output annual'!$AC$2&amp;'Output annual'!$AD$2&amp;"*FangerPMV(Hourly)",'Eplus results'!$1:$1048576,ROW(),FALSE)</f>
        <v>0</v>
      </c>
      <c r="AD4851" s="580">
        <f t="shared" si="411"/>
        <v>5</v>
      </c>
      <c r="AE4851" s="580">
        <f t="shared" si="412"/>
        <v>2.5</v>
      </c>
      <c r="AF4851" s="580">
        <f t="shared" si="413"/>
        <v>2.5</v>
      </c>
      <c r="AG4851" s="580">
        <f t="shared" si="414"/>
        <v>0</v>
      </c>
      <c r="AH4851" s="580">
        <f t="shared" si="415"/>
        <v>0</v>
      </c>
    </row>
    <row r="4852" spans="28:34">
      <c r="AB4852" s="580">
        <f>HLOOKUP("*"&amp;'Output annual'!$AC$2&amp;'Output annual'!$AD$2&amp;"*Zone People Number Of Occupants [](Hourly)",'Eplus results'!$1:$1048576,ROW(),FALSE)</f>
        <v>0</v>
      </c>
      <c r="AC4852" s="580">
        <f>HLOOKUP("*"&amp;'Output annual'!$AC$2&amp;'Output annual'!$AD$2&amp;"*FangerPMV(Hourly)",'Eplus results'!$1:$1048576,ROW(),FALSE)</f>
        <v>0</v>
      </c>
      <c r="AD4852" s="580">
        <f t="shared" si="411"/>
        <v>5</v>
      </c>
      <c r="AE4852" s="580">
        <f t="shared" si="412"/>
        <v>2.5</v>
      </c>
      <c r="AF4852" s="580">
        <f t="shared" si="413"/>
        <v>2.5</v>
      </c>
      <c r="AG4852" s="580">
        <f t="shared" si="414"/>
        <v>0</v>
      </c>
      <c r="AH4852" s="580">
        <f t="shared" si="415"/>
        <v>0</v>
      </c>
    </row>
    <row r="4853" spans="28:34">
      <c r="AB4853" s="580">
        <f>HLOOKUP("*"&amp;'Output annual'!$AC$2&amp;'Output annual'!$AD$2&amp;"*Zone People Number Of Occupants [](Hourly)",'Eplus results'!$1:$1048576,ROW(),FALSE)</f>
        <v>0</v>
      </c>
      <c r="AC4853" s="580">
        <f>HLOOKUP("*"&amp;'Output annual'!$AC$2&amp;'Output annual'!$AD$2&amp;"*FangerPMV(Hourly)",'Eplus results'!$1:$1048576,ROW(),FALSE)</f>
        <v>0</v>
      </c>
      <c r="AD4853" s="580">
        <f t="shared" si="411"/>
        <v>5</v>
      </c>
      <c r="AE4853" s="580">
        <f t="shared" si="412"/>
        <v>2.5</v>
      </c>
      <c r="AF4853" s="580">
        <f t="shared" si="413"/>
        <v>2.5</v>
      </c>
      <c r="AG4853" s="580">
        <f t="shared" si="414"/>
        <v>0</v>
      </c>
      <c r="AH4853" s="580">
        <f t="shared" si="415"/>
        <v>0</v>
      </c>
    </row>
    <row r="4854" spans="28:34">
      <c r="AB4854" s="580">
        <f>HLOOKUP("*"&amp;'Output annual'!$AC$2&amp;'Output annual'!$AD$2&amp;"*Zone People Number Of Occupants [](Hourly)",'Eplus results'!$1:$1048576,ROW(),FALSE)</f>
        <v>0</v>
      </c>
      <c r="AC4854" s="580">
        <f>HLOOKUP("*"&amp;'Output annual'!$AC$2&amp;'Output annual'!$AD$2&amp;"*FangerPMV(Hourly)",'Eplus results'!$1:$1048576,ROW(),FALSE)</f>
        <v>0</v>
      </c>
      <c r="AD4854" s="580">
        <f t="shared" si="411"/>
        <v>5</v>
      </c>
      <c r="AE4854" s="580">
        <f t="shared" si="412"/>
        <v>2.5</v>
      </c>
      <c r="AF4854" s="580">
        <f t="shared" si="413"/>
        <v>2.5</v>
      </c>
      <c r="AG4854" s="580">
        <f t="shared" si="414"/>
        <v>0</v>
      </c>
      <c r="AH4854" s="580">
        <f t="shared" si="415"/>
        <v>0</v>
      </c>
    </row>
    <row r="4855" spans="28:34">
      <c r="AB4855" s="580">
        <f>HLOOKUP("*"&amp;'Output annual'!$AC$2&amp;'Output annual'!$AD$2&amp;"*Zone People Number Of Occupants [](Hourly)",'Eplus results'!$1:$1048576,ROW(),FALSE)</f>
        <v>0</v>
      </c>
      <c r="AC4855" s="580">
        <f>HLOOKUP("*"&amp;'Output annual'!$AC$2&amp;'Output annual'!$AD$2&amp;"*FangerPMV(Hourly)",'Eplus results'!$1:$1048576,ROW(),FALSE)</f>
        <v>0</v>
      </c>
      <c r="AD4855" s="580">
        <f t="shared" si="411"/>
        <v>5</v>
      </c>
      <c r="AE4855" s="580">
        <f t="shared" si="412"/>
        <v>2.5</v>
      </c>
      <c r="AF4855" s="580">
        <f t="shared" si="413"/>
        <v>2.5</v>
      </c>
      <c r="AG4855" s="580">
        <f t="shared" si="414"/>
        <v>0</v>
      </c>
      <c r="AH4855" s="580">
        <f t="shared" si="415"/>
        <v>0</v>
      </c>
    </row>
    <row r="4856" spans="28:34">
      <c r="AB4856" s="580">
        <f>HLOOKUP("*"&amp;'Output annual'!$AC$2&amp;'Output annual'!$AD$2&amp;"*Zone People Number Of Occupants [](Hourly)",'Eplus results'!$1:$1048576,ROW(),FALSE)</f>
        <v>0</v>
      </c>
      <c r="AC4856" s="580">
        <f>HLOOKUP("*"&amp;'Output annual'!$AC$2&amp;'Output annual'!$AD$2&amp;"*FangerPMV(Hourly)",'Eplus results'!$1:$1048576,ROW(),FALSE)</f>
        <v>0</v>
      </c>
      <c r="AD4856" s="580">
        <f t="shared" si="411"/>
        <v>5</v>
      </c>
      <c r="AE4856" s="580">
        <f t="shared" si="412"/>
        <v>2.5</v>
      </c>
      <c r="AF4856" s="580">
        <f t="shared" si="413"/>
        <v>2.5</v>
      </c>
      <c r="AG4856" s="580">
        <f t="shared" si="414"/>
        <v>0</v>
      </c>
      <c r="AH4856" s="580">
        <f t="shared" si="415"/>
        <v>0</v>
      </c>
    </row>
    <row r="4857" spans="28:34">
      <c r="AB4857" s="580">
        <f>HLOOKUP("*"&amp;'Output annual'!$AC$2&amp;'Output annual'!$AD$2&amp;"*Zone People Number Of Occupants [](Hourly)",'Eplus results'!$1:$1048576,ROW(),FALSE)</f>
        <v>0</v>
      </c>
      <c r="AC4857" s="580">
        <f>HLOOKUP("*"&amp;'Output annual'!$AC$2&amp;'Output annual'!$AD$2&amp;"*FangerPMV(Hourly)",'Eplus results'!$1:$1048576,ROW(),FALSE)</f>
        <v>0</v>
      </c>
      <c r="AD4857" s="580">
        <f t="shared" si="411"/>
        <v>5</v>
      </c>
      <c r="AE4857" s="580">
        <f t="shared" si="412"/>
        <v>2.5</v>
      </c>
      <c r="AF4857" s="580">
        <f t="shared" si="413"/>
        <v>2.5</v>
      </c>
      <c r="AG4857" s="580">
        <f t="shared" si="414"/>
        <v>0</v>
      </c>
      <c r="AH4857" s="580">
        <f t="shared" si="415"/>
        <v>0</v>
      </c>
    </row>
    <row r="4858" spans="28:34">
      <c r="AB4858" s="580">
        <f>HLOOKUP("*"&amp;'Output annual'!$AC$2&amp;'Output annual'!$AD$2&amp;"*Zone People Number Of Occupants [](Hourly)",'Eplus results'!$1:$1048576,ROW(),FALSE)</f>
        <v>0</v>
      </c>
      <c r="AC4858" s="580">
        <f>HLOOKUP("*"&amp;'Output annual'!$AC$2&amp;'Output annual'!$AD$2&amp;"*FangerPMV(Hourly)",'Eplus results'!$1:$1048576,ROW(),FALSE)</f>
        <v>0</v>
      </c>
      <c r="AD4858" s="580">
        <f t="shared" si="411"/>
        <v>5</v>
      </c>
      <c r="AE4858" s="580">
        <f t="shared" si="412"/>
        <v>2.5</v>
      </c>
      <c r="AF4858" s="580">
        <f t="shared" si="413"/>
        <v>2.5</v>
      </c>
      <c r="AG4858" s="580">
        <f t="shared" si="414"/>
        <v>0</v>
      </c>
      <c r="AH4858" s="580">
        <f t="shared" si="415"/>
        <v>0</v>
      </c>
    </row>
    <row r="4859" spans="28:34">
      <c r="AB4859" s="580">
        <f>HLOOKUP("*"&amp;'Output annual'!$AC$2&amp;'Output annual'!$AD$2&amp;"*Zone People Number Of Occupants [](Hourly)",'Eplus results'!$1:$1048576,ROW(),FALSE)</f>
        <v>0</v>
      </c>
      <c r="AC4859" s="580">
        <f>HLOOKUP("*"&amp;'Output annual'!$AC$2&amp;'Output annual'!$AD$2&amp;"*FangerPMV(Hourly)",'Eplus results'!$1:$1048576,ROW(),FALSE)</f>
        <v>0</v>
      </c>
      <c r="AD4859" s="580">
        <f t="shared" si="411"/>
        <v>5</v>
      </c>
      <c r="AE4859" s="580">
        <f t="shared" si="412"/>
        <v>2.5</v>
      </c>
      <c r="AF4859" s="580">
        <f t="shared" si="413"/>
        <v>2.5</v>
      </c>
      <c r="AG4859" s="580">
        <f t="shared" si="414"/>
        <v>0</v>
      </c>
      <c r="AH4859" s="580">
        <f t="shared" si="415"/>
        <v>0</v>
      </c>
    </row>
    <row r="4860" spans="28:34">
      <c r="AB4860" s="580">
        <f>HLOOKUP("*"&amp;'Output annual'!$AC$2&amp;'Output annual'!$AD$2&amp;"*Zone People Number Of Occupants [](Hourly)",'Eplus results'!$1:$1048576,ROW(),FALSE)</f>
        <v>0</v>
      </c>
      <c r="AC4860" s="580">
        <f>HLOOKUP("*"&amp;'Output annual'!$AC$2&amp;'Output annual'!$AD$2&amp;"*FangerPMV(Hourly)",'Eplus results'!$1:$1048576,ROW(),FALSE)</f>
        <v>0</v>
      </c>
      <c r="AD4860" s="580">
        <f t="shared" si="411"/>
        <v>5</v>
      </c>
      <c r="AE4860" s="580">
        <f t="shared" si="412"/>
        <v>2.5</v>
      </c>
      <c r="AF4860" s="580">
        <f t="shared" si="413"/>
        <v>2.5</v>
      </c>
      <c r="AG4860" s="580">
        <f t="shared" si="414"/>
        <v>0</v>
      </c>
      <c r="AH4860" s="580">
        <f t="shared" si="415"/>
        <v>0</v>
      </c>
    </row>
    <row r="4861" spans="28:34">
      <c r="AB4861" s="580">
        <f>HLOOKUP("*"&amp;'Output annual'!$AC$2&amp;'Output annual'!$AD$2&amp;"*Zone People Number Of Occupants [](Hourly)",'Eplus results'!$1:$1048576,ROW(),FALSE)</f>
        <v>0</v>
      </c>
      <c r="AC4861" s="580">
        <f>HLOOKUP("*"&amp;'Output annual'!$AC$2&amp;'Output annual'!$AD$2&amp;"*FangerPMV(Hourly)",'Eplus results'!$1:$1048576,ROW(),FALSE)</f>
        <v>0</v>
      </c>
      <c r="AD4861" s="580">
        <f t="shared" si="411"/>
        <v>5</v>
      </c>
      <c r="AE4861" s="580">
        <f t="shared" si="412"/>
        <v>2.5</v>
      </c>
      <c r="AF4861" s="580">
        <f t="shared" si="413"/>
        <v>2.5</v>
      </c>
      <c r="AG4861" s="580">
        <f t="shared" si="414"/>
        <v>0</v>
      </c>
      <c r="AH4861" s="580">
        <f t="shared" si="415"/>
        <v>0</v>
      </c>
    </row>
    <row r="4862" spans="28:34">
      <c r="AB4862" s="580">
        <f>HLOOKUP("*"&amp;'Output annual'!$AC$2&amp;'Output annual'!$AD$2&amp;"*Zone People Number Of Occupants [](Hourly)",'Eplus results'!$1:$1048576,ROW(),FALSE)</f>
        <v>0</v>
      </c>
      <c r="AC4862" s="580">
        <f>HLOOKUP("*"&amp;'Output annual'!$AC$2&amp;'Output annual'!$AD$2&amp;"*FangerPMV(Hourly)",'Eplus results'!$1:$1048576,ROW(),FALSE)</f>
        <v>0</v>
      </c>
      <c r="AD4862" s="580">
        <f t="shared" si="411"/>
        <v>5</v>
      </c>
      <c r="AE4862" s="580">
        <f t="shared" si="412"/>
        <v>2.5</v>
      </c>
      <c r="AF4862" s="580">
        <f t="shared" si="413"/>
        <v>2.5</v>
      </c>
      <c r="AG4862" s="580">
        <f t="shared" si="414"/>
        <v>0</v>
      </c>
      <c r="AH4862" s="580">
        <f t="shared" si="415"/>
        <v>0</v>
      </c>
    </row>
    <row r="4863" spans="28:34">
      <c r="AB4863" s="580">
        <f>HLOOKUP("*"&amp;'Output annual'!$AC$2&amp;'Output annual'!$AD$2&amp;"*Zone People Number Of Occupants [](Hourly)",'Eplus results'!$1:$1048576,ROW(),FALSE)</f>
        <v>0</v>
      </c>
      <c r="AC4863" s="580">
        <f>HLOOKUP("*"&amp;'Output annual'!$AC$2&amp;'Output annual'!$AD$2&amp;"*FangerPMV(Hourly)",'Eplus results'!$1:$1048576,ROW(),FALSE)</f>
        <v>0</v>
      </c>
      <c r="AD4863" s="580">
        <f t="shared" si="411"/>
        <v>5</v>
      </c>
      <c r="AE4863" s="580">
        <f t="shared" si="412"/>
        <v>2.5</v>
      </c>
      <c r="AF4863" s="580">
        <f t="shared" si="413"/>
        <v>2.5</v>
      </c>
      <c r="AG4863" s="580">
        <f t="shared" si="414"/>
        <v>0</v>
      </c>
      <c r="AH4863" s="580">
        <f t="shared" si="415"/>
        <v>0</v>
      </c>
    </row>
    <row r="4864" spans="28:34">
      <c r="AB4864" s="580">
        <f>HLOOKUP("*"&amp;'Output annual'!$AC$2&amp;'Output annual'!$AD$2&amp;"*Zone People Number Of Occupants [](Hourly)",'Eplus results'!$1:$1048576,ROW(),FALSE)</f>
        <v>0</v>
      </c>
      <c r="AC4864" s="580">
        <f>HLOOKUP("*"&amp;'Output annual'!$AC$2&amp;'Output annual'!$AD$2&amp;"*FangerPMV(Hourly)",'Eplus results'!$1:$1048576,ROW(),FALSE)</f>
        <v>0</v>
      </c>
      <c r="AD4864" s="580">
        <f t="shared" si="411"/>
        <v>5</v>
      </c>
      <c r="AE4864" s="580">
        <f t="shared" si="412"/>
        <v>2.5</v>
      </c>
      <c r="AF4864" s="580">
        <f t="shared" si="413"/>
        <v>2.5</v>
      </c>
      <c r="AG4864" s="580">
        <f t="shared" si="414"/>
        <v>0</v>
      </c>
      <c r="AH4864" s="580">
        <f t="shared" si="415"/>
        <v>0</v>
      </c>
    </row>
    <row r="4865" spans="28:34">
      <c r="AB4865" s="580">
        <f>HLOOKUP("*"&amp;'Output annual'!$AC$2&amp;'Output annual'!$AD$2&amp;"*Zone People Number Of Occupants [](Hourly)",'Eplus results'!$1:$1048576,ROW(),FALSE)</f>
        <v>0</v>
      </c>
      <c r="AC4865" s="580">
        <f>HLOOKUP("*"&amp;'Output annual'!$AC$2&amp;'Output annual'!$AD$2&amp;"*FangerPMV(Hourly)",'Eplus results'!$1:$1048576,ROW(),FALSE)</f>
        <v>0</v>
      </c>
      <c r="AD4865" s="580">
        <f t="shared" si="411"/>
        <v>5</v>
      </c>
      <c r="AE4865" s="580">
        <f t="shared" si="412"/>
        <v>2.5</v>
      </c>
      <c r="AF4865" s="580">
        <f t="shared" si="413"/>
        <v>2.5</v>
      </c>
      <c r="AG4865" s="580">
        <f t="shared" si="414"/>
        <v>0</v>
      </c>
      <c r="AH4865" s="580">
        <f t="shared" si="415"/>
        <v>0</v>
      </c>
    </row>
    <row r="4866" spans="28:34">
      <c r="AB4866" s="580">
        <f>HLOOKUP("*"&amp;'Output annual'!$AC$2&amp;'Output annual'!$AD$2&amp;"*Zone People Number Of Occupants [](Hourly)",'Eplus results'!$1:$1048576,ROW(),FALSE)</f>
        <v>0</v>
      </c>
      <c r="AC4866" s="580">
        <f>HLOOKUP("*"&amp;'Output annual'!$AC$2&amp;'Output annual'!$AD$2&amp;"*FangerPMV(Hourly)",'Eplus results'!$1:$1048576,ROW(),FALSE)</f>
        <v>0</v>
      </c>
      <c r="AD4866" s="580">
        <f t="shared" si="411"/>
        <v>5</v>
      </c>
      <c r="AE4866" s="580">
        <f t="shared" si="412"/>
        <v>2.5</v>
      </c>
      <c r="AF4866" s="580">
        <f t="shared" si="413"/>
        <v>2.5</v>
      </c>
      <c r="AG4866" s="580">
        <f t="shared" si="414"/>
        <v>0</v>
      </c>
      <c r="AH4866" s="580">
        <f t="shared" si="415"/>
        <v>0</v>
      </c>
    </row>
    <row r="4867" spans="28:34">
      <c r="AB4867" s="580">
        <f>HLOOKUP("*"&amp;'Output annual'!$AC$2&amp;'Output annual'!$AD$2&amp;"*Zone People Number Of Occupants [](Hourly)",'Eplus results'!$1:$1048576,ROW(),FALSE)</f>
        <v>0</v>
      </c>
      <c r="AC4867" s="580">
        <f>HLOOKUP("*"&amp;'Output annual'!$AC$2&amp;'Output annual'!$AD$2&amp;"*FangerPMV(Hourly)",'Eplus results'!$1:$1048576,ROW(),FALSE)</f>
        <v>0</v>
      </c>
      <c r="AD4867" s="580">
        <f t="shared" ref="AD4867:AD4930" si="416">100-95*EXP(-0.03353*AC4867^4-0.2179*AC4867^2)</f>
        <v>5</v>
      </c>
      <c r="AE4867" s="580">
        <f t="shared" ref="AE4867:AE4930" si="417">AD4867*(1/(1+EXP(-6.3*$AC4867)))</f>
        <v>2.5</v>
      </c>
      <c r="AF4867" s="580">
        <f t="shared" ref="AF4867:AF4930" si="418">(AD4867-AE4867)</f>
        <v>2.5</v>
      </c>
      <c r="AG4867" s="580">
        <f t="shared" ref="AG4867:AG4930" si="419">AE4867*AB4867</f>
        <v>0</v>
      </c>
      <c r="AH4867" s="580">
        <f t="shared" ref="AH4867:AH4930" si="420">AF4867*AB4867</f>
        <v>0</v>
      </c>
    </row>
    <row r="4868" spans="28:34">
      <c r="AB4868" s="580">
        <f>HLOOKUP("*"&amp;'Output annual'!$AC$2&amp;'Output annual'!$AD$2&amp;"*Zone People Number Of Occupants [](Hourly)",'Eplus results'!$1:$1048576,ROW(),FALSE)</f>
        <v>0</v>
      </c>
      <c r="AC4868" s="580">
        <f>HLOOKUP("*"&amp;'Output annual'!$AC$2&amp;'Output annual'!$AD$2&amp;"*FangerPMV(Hourly)",'Eplus results'!$1:$1048576,ROW(),FALSE)</f>
        <v>0</v>
      </c>
      <c r="AD4868" s="580">
        <f t="shared" si="416"/>
        <v>5</v>
      </c>
      <c r="AE4868" s="580">
        <f t="shared" si="417"/>
        <v>2.5</v>
      </c>
      <c r="AF4868" s="580">
        <f t="shared" si="418"/>
        <v>2.5</v>
      </c>
      <c r="AG4868" s="580">
        <f t="shared" si="419"/>
        <v>0</v>
      </c>
      <c r="AH4868" s="580">
        <f t="shared" si="420"/>
        <v>0</v>
      </c>
    </row>
    <row r="4869" spans="28:34">
      <c r="AB4869" s="580">
        <f>HLOOKUP("*"&amp;'Output annual'!$AC$2&amp;'Output annual'!$AD$2&amp;"*Zone People Number Of Occupants [](Hourly)",'Eplus results'!$1:$1048576,ROW(),FALSE)</f>
        <v>0</v>
      </c>
      <c r="AC4869" s="580">
        <f>HLOOKUP("*"&amp;'Output annual'!$AC$2&amp;'Output annual'!$AD$2&amp;"*FangerPMV(Hourly)",'Eplus results'!$1:$1048576,ROW(),FALSE)</f>
        <v>0</v>
      </c>
      <c r="AD4869" s="580">
        <f t="shared" si="416"/>
        <v>5</v>
      </c>
      <c r="AE4869" s="580">
        <f t="shared" si="417"/>
        <v>2.5</v>
      </c>
      <c r="AF4869" s="580">
        <f t="shared" si="418"/>
        <v>2.5</v>
      </c>
      <c r="AG4869" s="580">
        <f t="shared" si="419"/>
        <v>0</v>
      </c>
      <c r="AH4869" s="580">
        <f t="shared" si="420"/>
        <v>0</v>
      </c>
    </row>
    <row r="4870" spans="28:34">
      <c r="AB4870" s="580">
        <f>HLOOKUP("*"&amp;'Output annual'!$AC$2&amp;'Output annual'!$AD$2&amp;"*Zone People Number Of Occupants [](Hourly)",'Eplus results'!$1:$1048576,ROW(),FALSE)</f>
        <v>0</v>
      </c>
      <c r="AC4870" s="580">
        <f>HLOOKUP("*"&amp;'Output annual'!$AC$2&amp;'Output annual'!$AD$2&amp;"*FangerPMV(Hourly)",'Eplus results'!$1:$1048576,ROW(),FALSE)</f>
        <v>0</v>
      </c>
      <c r="AD4870" s="580">
        <f t="shared" si="416"/>
        <v>5</v>
      </c>
      <c r="AE4870" s="580">
        <f t="shared" si="417"/>
        <v>2.5</v>
      </c>
      <c r="AF4870" s="580">
        <f t="shared" si="418"/>
        <v>2.5</v>
      </c>
      <c r="AG4870" s="580">
        <f t="shared" si="419"/>
        <v>0</v>
      </c>
      <c r="AH4870" s="580">
        <f t="shared" si="420"/>
        <v>0</v>
      </c>
    </row>
    <row r="4871" spans="28:34">
      <c r="AB4871" s="580">
        <f>HLOOKUP("*"&amp;'Output annual'!$AC$2&amp;'Output annual'!$AD$2&amp;"*Zone People Number Of Occupants [](Hourly)",'Eplus results'!$1:$1048576,ROW(),FALSE)</f>
        <v>0</v>
      </c>
      <c r="AC4871" s="580">
        <f>HLOOKUP("*"&amp;'Output annual'!$AC$2&amp;'Output annual'!$AD$2&amp;"*FangerPMV(Hourly)",'Eplus results'!$1:$1048576,ROW(),FALSE)</f>
        <v>0</v>
      </c>
      <c r="AD4871" s="580">
        <f t="shared" si="416"/>
        <v>5</v>
      </c>
      <c r="AE4871" s="580">
        <f t="shared" si="417"/>
        <v>2.5</v>
      </c>
      <c r="AF4871" s="580">
        <f t="shared" si="418"/>
        <v>2.5</v>
      </c>
      <c r="AG4871" s="580">
        <f t="shared" si="419"/>
        <v>0</v>
      </c>
      <c r="AH4871" s="580">
        <f t="shared" si="420"/>
        <v>0</v>
      </c>
    </row>
    <row r="4872" spans="28:34">
      <c r="AB4872" s="580">
        <f>HLOOKUP("*"&amp;'Output annual'!$AC$2&amp;'Output annual'!$AD$2&amp;"*Zone People Number Of Occupants [](Hourly)",'Eplus results'!$1:$1048576,ROW(),FALSE)</f>
        <v>0</v>
      </c>
      <c r="AC4872" s="580">
        <f>HLOOKUP("*"&amp;'Output annual'!$AC$2&amp;'Output annual'!$AD$2&amp;"*FangerPMV(Hourly)",'Eplus results'!$1:$1048576,ROW(),FALSE)</f>
        <v>0</v>
      </c>
      <c r="AD4872" s="580">
        <f t="shared" si="416"/>
        <v>5</v>
      </c>
      <c r="AE4872" s="580">
        <f t="shared" si="417"/>
        <v>2.5</v>
      </c>
      <c r="AF4872" s="580">
        <f t="shared" si="418"/>
        <v>2.5</v>
      </c>
      <c r="AG4872" s="580">
        <f t="shared" si="419"/>
        <v>0</v>
      </c>
      <c r="AH4872" s="580">
        <f t="shared" si="420"/>
        <v>0</v>
      </c>
    </row>
    <row r="4873" spans="28:34">
      <c r="AB4873" s="580">
        <f>HLOOKUP("*"&amp;'Output annual'!$AC$2&amp;'Output annual'!$AD$2&amp;"*Zone People Number Of Occupants [](Hourly)",'Eplus results'!$1:$1048576,ROW(),FALSE)</f>
        <v>0</v>
      </c>
      <c r="AC4873" s="580">
        <f>HLOOKUP("*"&amp;'Output annual'!$AC$2&amp;'Output annual'!$AD$2&amp;"*FangerPMV(Hourly)",'Eplus results'!$1:$1048576,ROW(),FALSE)</f>
        <v>0</v>
      </c>
      <c r="AD4873" s="580">
        <f t="shared" si="416"/>
        <v>5</v>
      </c>
      <c r="AE4873" s="580">
        <f t="shared" si="417"/>
        <v>2.5</v>
      </c>
      <c r="AF4873" s="580">
        <f t="shared" si="418"/>
        <v>2.5</v>
      </c>
      <c r="AG4873" s="580">
        <f t="shared" si="419"/>
        <v>0</v>
      </c>
      <c r="AH4873" s="580">
        <f t="shared" si="420"/>
        <v>0</v>
      </c>
    </row>
    <row r="4874" spans="28:34">
      <c r="AB4874" s="580">
        <f>HLOOKUP("*"&amp;'Output annual'!$AC$2&amp;'Output annual'!$AD$2&amp;"*Zone People Number Of Occupants [](Hourly)",'Eplus results'!$1:$1048576,ROW(),FALSE)</f>
        <v>0</v>
      </c>
      <c r="AC4874" s="580">
        <f>HLOOKUP("*"&amp;'Output annual'!$AC$2&amp;'Output annual'!$AD$2&amp;"*FangerPMV(Hourly)",'Eplus results'!$1:$1048576,ROW(),FALSE)</f>
        <v>0</v>
      </c>
      <c r="AD4874" s="580">
        <f t="shared" si="416"/>
        <v>5</v>
      </c>
      <c r="AE4874" s="580">
        <f t="shared" si="417"/>
        <v>2.5</v>
      </c>
      <c r="AF4874" s="580">
        <f t="shared" si="418"/>
        <v>2.5</v>
      </c>
      <c r="AG4874" s="580">
        <f t="shared" si="419"/>
        <v>0</v>
      </c>
      <c r="AH4874" s="580">
        <f t="shared" si="420"/>
        <v>0</v>
      </c>
    </row>
    <row r="4875" spans="28:34">
      <c r="AB4875" s="580">
        <f>HLOOKUP("*"&amp;'Output annual'!$AC$2&amp;'Output annual'!$AD$2&amp;"*Zone People Number Of Occupants [](Hourly)",'Eplus results'!$1:$1048576,ROW(),FALSE)</f>
        <v>0</v>
      </c>
      <c r="AC4875" s="580">
        <f>HLOOKUP("*"&amp;'Output annual'!$AC$2&amp;'Output annual'!$AD$2&amp;"*FangerPMV(Hourly)",'Eplus results'!$1:$1048576,ROW(),FALSE)</f>
        <v>0</v>
      </c>
      <c r="AD4875" s="580">
        <f t="shared" si="416"/>
        <v>5</v>
      </c>
      <c r="AE4875" s="580">
        <f t="shared" si="417"/>
        <v>2.5</v>
      </c>
      <c r="AF4875" s="580">
        <f t="shared" si="418"/>
        <v>2.5</v>
      </c>
      <c r="AG4875" s="580">
        <f t="shared" si="419"/>
        <v>0</v>
      </c>
      <c r="AH4875" s="580">
        <f t="shared" si="420"/>
        <v>0</v>
      </c>
    </row>
    <row r="4876" spans="28:34">
      <c r="AB4876" s="580">
        <f>HLOOKUP("*"&amp;'Output annual'!$AC$2&amp;'Output annual'!$AD$2&amp;"*Zone People Number Of Occupants [](Hourly)",'Eplus results'!$1:$1048576,ROW(),FALSE)</f>
        <v>0</v>
      </c>
      <c r="AC4876" s="580">
        <f>HLOOKUP("*"&amp;'Output annual'!$AC$2&amp;'Output annual'!$AD$2&amp;"*FangerPMV(Hourly)",'Eplus results'!$1:$1048576,ROW(),FALSE)</f>
        <v>0</v>
      </c>
      <c r="AD4876" s="580">
        <f t="shared" si="416"/>
        <v>5</v>
      </c>
      <c r="AE4876" s="580">
        <f t="shared" si="417"/>
        <v>2.5</v>
      </c>
      <c r="AF4876" s="580">
        <f t="shared" si="418"/>
        <v>2.5</v>
      </c>
      <c r="AG4876" s="580">
        <f t="shared" si="419"/>
        <v>0</v>
      </c>
      <c r="AH4876" s="580">
        <f t="shared" si="420"/>
        <v>0</v>
      </c>
    </row>
    <row r="4877" spans="28:34">
      <c r="AB4877" s="580">
        <f>HLOOKUP("*"&amp;'Output annual'!$AC$2&amp;'Output annual'!$AD$2&amp;"*Zone People Number Of Occupants [](Hourly)",'Eplus results'!$1:$1048576,ROW(),FALSE)</f>
        <v>0</v>
      </c>
      <c r="AC4877" s="580">
        <f>HLOOKUP("*"&amp;'Output annual'!$AC$2&amp;'Output annual'!$AD$2&amp;"*FangerPMV(Hourly)",'Eplus results'!$1:$1048576,ROW(),FALSE)</f>
        <v>0</v>
      </c>
      <c r="AD4877" s="580">
        <f t="shared" si="416"/>
        <v>5</v>
      </c>
      <c r="AE4877" s="580">
        <f t="shared" si="417"/>
        <v>2.5</v>
      </c>
      <c r="AF4877" s="580">
        <f t="shared" si="418"/>
        <v>2.5</v>
      </c>
      <c r="AG4877" s="580">
        <f t="shared" si="419"/>
        <v>0</v>
      </c>
      <c r="AH4877" s="580">
        <f t="shared" si="420"/>
        <v>0</v>
      </c>
    </row>
    <row r="4878" spans="28:34">
      <c r="AB4878" s="580">
        <f>HLOOKUP("*"&amp;'Output annual'!$AC$2&amp;'Output annual'!$AD$2&amp;"*Zone People Number Of Occupants [](Hourly)",'Eplus results'!$1:$1048576,ROW(),FALSE)</f>
        <v>0</v>
      </c>
      <c r="AC4878" s="580">
        <f>HLOOKUP("*"&amp;'Output annual'!$AC$2&amp;'Output annual'!$AD$2&amp;"*FangerPMV(Hourly)",'Eplus results'!$1:$1048576,ROW(),FALSE)</f>
        <v>0</v>
      </c>
      <c r="AD4878" s="580">
        <f t="shared" si="416"/>
        <v>5</v>
      </c>
      <c r="AE4878" s="580">
        <f t="shared" si="417"/>
        <v>2.5</v>
      </c>
      <c r="AF4878" s="580">
        <f t="shared" si="418"/>
        <v>2.5</v>
      </c>
      <c r="AG4878" s="580">
        <f t="shared" si="419"/>
        <v>0</v>
      </c>
      <c r="AH4878" s="580">
        <f t="shared" si="420"/>
        <v>0</v>
      </c>
    </row>
    <row r="4879" spans="28:34">
      <c r="AB4879" s="580">
        <f>HLOOKUP("*"&amp;'Output annual'!$AC$2&amp;'Output annual'!$AD$2&amp;"*Zone People Number Of Occupants [](Hourly)",'Eplus results'!$1:$1048576,ROW(),FALSE)</f>
        <v>0</v>
      </c>
      <c r="AC4879" s="580">
        <f>HLOOKUP("*"&amp;'Output annual'!$AC$2&amp;'Output annual'!$AD$2&amp;"*FangerPMV(Hourly)",'Eplus results'!$1:$1048576,ROW(),FALSE)</f>
        <v>0</v>
      </c>
      <c r="AD4879" s="580">
        <f t="shared" si="416"/>
        <v>5</v>
      </c>
      <c r="AE4879" s="580">
        <f t="shared" si="417"/>
        <v>2.5</v>
      </c>
      <c r="AF4879" s="580">
        <f t="shared" si="418"/>
        <v>2.5</v>
      </c>
      <c r="AG4879" s="580">
        <f t="shared" si="419"/>
        <v>0</v>
      </c>
      <c r="AH4879" s="580">
        <f t="shared" si="420"/>
        <v>0</v>
      </c>
    </row>
    <row r="4880" spans="28:34">
      <c r="AB4880" s="580">
        <f>HLOOKUP("*"&amp;'Output annual'!$AC$2&amp;'Output annual'!$AD$2&amp;"*Zone People Number Of Occupants [](Hourly)",'Eplus results'!$1:$1048576,ROW(),FALSE)</f>
        <v>0</v>
      </c>
      <c r="AC4880" s="580">
        <f>HLOOKUP("*"&amp;'Output annual'!$AC$2&amp;'Output annual'!$AD$2&amp;"*FangerPMV(Hourly)",'Eplus results'!$1:$1048576,ROW(),FALSE)</f>
        <v>0</v>
      </c>
      <c r="AD4880" s="580">
        <f t="shared" si="416"/>
        <v>5</v>
      </c>
      <c r="AE4880" s="580">
        <f t="shared" si="417"/>
        <v>2.5</v>
      </c>
      <c r="AF4880" s="580">
        <f t="shared" si="418"/>
        <v>2.5</v>
      </c>
      <c r="AG4880" s="580">
        <f t="shared" si="419"/>
        <v>0</v>
      </c>
      <c r="AH4880" s="580">
        <f t="shared" si="420"/>
        <v>0</v>
      </c>
    </row>
    <row r="4881" spans="28:34">
      <c r="AB4881" s="580">
        <f>HLOOKUP("*"&amp;'Output annual'!$AC$2&amp;'Output annual'!$AD$2&amp;"*Zone People Number Of Occupants [](Hourly)",'Eplus results'!$1:$1048576,ROW(),FALSE)</f>
        <v>0</v>
      </c>
      <c r="AC4881" s="580">
        <f>HLOOKUP("*"&amp;'Output annual'!$AC$2&amp;'Output annual'!$AD$2&amp;"*FangerPMV(Hourly)",'Eplus results'!$1:$1048576,ROW(),FALSE)</f>
        <v>0</v>
      </c>
      <c r="AD4881" s="580">
        <f t="shared" si="416"/>
        <v>5</v>
      </c>
      <c r="AE4881" s="580">
        <f t="shared" si="417"/>
        <v>2.5</v>
      </c>
      <c r="AF4881" s="580">
        <f t="shared" si="418"/>
        <v>2.5</v>
      </c>
      <c r="AG4881" s="580">
        <f t="shared" si="419"/>
        <v>0</v>
      </c>
      <c r="AH4881" s="580">
        <f t="shared" si="420"/>
        <v>0</v>
      </c>
    </row>
    <row r="4882" spans="28:34">
      <c r="AB4882" s="580">
        <f>HLOOKUP("*"&amp;'Output annual'!$AC$2&amp;'Output annual'!$AD$2&amp;"*Zone People Number Of Occupants [](Hourly)",'Eplus results'!$1:$1048576,ROW(),FALSE)</f>
        <v>0</v>
      </c>
      <c r="AC4882" s="580">
        <f>HLOOKUP("*"&amp;'Output annual'!$AC$2&amp;'Output annual'!$AD$2&amp;"*FangerPMV(Hourly)",'Eplus results'!$1:$1048576,ROW(),FALSE)</f>
        <v>0</v>
      </c>
      <c r="AD4882" s="580">
        <f t="shared" si="416"/>
        <v>5</v>
      </c>
      <c r="AE4882" s="580">
        <f t="shared" si="417"/>
        <v>2.5</v>
      </c>
      <c r="AF4882" s="580">
        <f t="shared" si="418"/>
        <v>2.5</v>
      </c>
      <c r="AG4882" s="580">
        <f t="shared" si="419"/>
        <v>0</v>
      </c>
      <c r="AH4882" s="580">
        <f t="shared" si="420"/>
        <v>0</v>
      </c>
    </row>
    <row r="4883" spans="28:34">
      <c r="AB4883" s="580">
        <f>HLOOKUP("*"&amp;'Output annual'!$AC$2&amp;'Output annual'!$AD$2&amp;"*Zone People Number Of Occupants [](Hourly)",'Eplus results'!$1:$1048576,ROW(),FALSE)</f>
        <v>0</v>
      </c>
      <c r="AC4883" s="580">
        <f>HLOOKUP("*"&amp;'Output annual'!$AC$2&amp;'Output annual'!$AD$2&amp;"*FangerPMV(Hourly)",'Eplus results'!$1:$1048576,ROW(),FALSE)</f>
        <v>0</v>
      </c>
      <c r="AD4883" s="580">
        <f t="shared" si="416"/>
        <v>5</v>
      </c>
      <c r="AE4883" s="580">
        <f t="shared" si="417"/>
        <v>2.5</v>
      </c>
      <c r="AF4883" s="580">
        <f t="shared" si="418"/>
        <v>2.5</v>
      </c>
      <c r="AG4883" s="580">
        <f t="shared" si="419"/>
        <v>0</v>
      </c>
      <c r="AH4883" s="580">
        <f t="shared" si="420"/>
        <v>0</v>
      </c>
    </row>
    <row r="4884" spans="28:34">
      <c r="AB4884" s="580">
        <f>HLOOKUP("*"&amp;'Output annual'!$AC$2&amp;'Output annual'!$AD$2&amp;"*Zone People Number Of Occupants [](Hourly)",'Eplus results'!$1:$1048576,ROW(),FALSE)</f>
        <v>0</v>
      </c>
      <c r="AC4884" s="580">
        <f>HLOOKUP("*"&amp;'Output annual'!$AC$2&amp;'Output annual'!$AD$2&amp;"*FangerPMV(Hourly)",'Eplus results'!$1:$1048576,ROW(),FALSE)</f>
        <v>0</v>
      </c>
      <c r="AD4884" s="580">
        <f t="shared" si="416"/>
        <v>5</v>
      </c>
      <c r="AE4884" s="580">
        <f t="shared" si="417"/>
        <v>2.5</v>
      </c>
      <c r="AF4884" s="580">
        <f t="shared" si="418"/>
        <v>2.5</v>
      </c>
      <c r="AG4884" s="580">
        <f t="shared" si="419"/>
        <v>0</v>
      </c>
      <c r="AH4884" s="580">
        <f t="shared" si="420"/>
        <v>0</v>
      </c>
    </row>
    <row r="4885" spans="28:34">
      <c r="AB4885" s="580">
        <f>HLOOKUP("*"&amp;'Output annual'!$AC$2&amp;'Output annual'!$AD$2&amp;"*Zone People Number Of Occupants [](Hourly)",'Eplus results'!$1:$1048576,ROW(),FALSE)</f>
        <v>0</v>
      </c>
      <c r="AC4885" s="580">
        <f>HLOOKUP("*"&amp;'Output annual'!$AC$2&amp;'Output annual'!$AD$2&amp;"*FangerPMV(Hourly)",'Eplus results'!$1:$1048576,ROW(),FALSE)</f>
        <v>0</v>
      </c>
      <c r="AD4885" s="580">
        <f t="shared" si="416"/>
        <v>5</v>
      </c>
      <c r="AE4885" s="580">
        <f t="shared" si="417"/>
        <v>2.5</v>
      </c>
      <c r="AF4885" s="580">
        <f t="shared" si="418"/>
        <v>2.5</v>
      </c>
      <c r="AG4885" s="580">
        <f t="shared" si="419"/>
        <v>0</v>
      </c>
      <c r="AH4885" s="580">
        <f t="shared" si="420"/>
        <v>0</v>
      </c>
    </row>
    <row r="4886" spans="28:34">
      <c r="AB4886" s="580">
        <f>HLOOKUP("*"&amp;'Output annual'!$AC$2&amp;'Output annual'!$AD$2&amp;"*Zone People Number Of Occupants [](Hourly)",'Eplus results'!$1:$1048576,ROW(),FALSE)</f>
        <v>0</v>
      </c>
      <c r="AC4886" s="580">
        <f>HLOOKUP("*"&amp;'Output annual'!$AC$2&amp;'Output annual'!$AD$2&amp;"*FangerPMV(Hourly)",'Eplus results'!$1:$1048576,ROW(),FALSE)</f>
        <v>0</v>
      </c>
      <c r="AD4886" s="580">
        <f t="shared" si="416"/>
        <v>5</v>
      </c>
      <c r="AE4886" s="580">
        <f t="shared" si="417"/>
        <v>2.5</v>
      </c>
      <c r="AF4886" s="580">
        <f t="shared" si="418"/>
        <v>2.5</v>
      </c>
      <c r="AG4886" s="580">
        <f t="shared" si="419"/>
        <v>0</v>
      </c>
      <c r="AH4886" s="580">
        <f t="shared" si="420"/>
        <v>0</v>
      </c>
    </row>
    <row r="4887" spans="28:34">
      <c r="AB4887" s="580">
        <f>HLOOKUP("*"&amp;'Output annual'!$AC$2&amp;'Output annual'!$AD$2&amp;"*Zone People Number Of Occupants [](Hourly)",'Eplus results'!$1:$1048576,ROW(),FALSE)</f>
        <v>0</v>
      </c>
      <c r="AC4887" s="580">
        <f>HLOOKUP("*"&amp;'Output annual'!$AC$2&amp;'Output annual'!$AD$2&amp;"*FangerPMV(Hourly)",'Eplus results'!$1:$1048576,ROW(),FALSE)</f>
        <v>0</v>
      </c>
      <c r="AD4887" s="580">
        <f t="shared" si="416"/>
        <v>5</v>
      </c>
      <c r="AE4887" s="580">
        <f t="shared" si="417"/>
        <v>2.5</v>
      </c>
      <c r="AF4887" s="580">
        <f t="shared" si="418"/>
        <v>2.5</v>
      </c>
      <c r="AG4887" s="580">
        <f t="shared" si="419"/>
        <v>0</v>
      </c>
      <c r="AH4887" s="580">
        <f t="shared" si="420"/>
        <v>0</v>
      </c>
    </row>
    <row r="4888" spans="28:34">
      <c r="AB4888" s="580">
        <f>HLOOKUP("*"&amp;'Output annual'!$AC$2&amp;'Output annual'!$AD$2&amp;"*Zone People Number Of Occupants [](Hourly)",'Eplus results'!$1:$1048576,ROW(),FALSE)</f>
        <v>0</v>
      </c>
      <c r="AC4888" s="580">
        <f>HLOOKUP("*"&amp;'Output annual'!$AC$2&amp;'Output annual'!$AD$2&amp;"*FangerPMV(Hourly)",'Eplus results'!$1:$1048576,ROW(),FALSE)</f>
        <v>0</v>
      </c>
      <c r="AD4888" s="580">
        <f t="shared" si="416"/>
        <v>5</v>
      </c>
      <c r="AE4888" s="580">
        <f t="shared" si="417"/>
        <v>2.5</v>
      </c>
      <c r="AF4888" s="580">
        <f t="shared" si="418"/>
        <v>2.5</v>
      </c>
      <c r="AG4888" s="580">
        <f t="shared" si="419"/>
        <v>0</v>
      </c>
      <c r="AH4888" s="580">
        <f t="shared" si="420"/>
        <v>0</v>
      </c>
    </row>
    <row r="4889" spans="28:34">
      <c r="AB4889" s="580">
        <f>HLOOKUP("*"&amp;'Output annual'!$AC$2&amp;'Output annual'!$AD$2&amp;"*Zone People Number Of Occupants [](Hourly)",'Eplus results'!$1:$1048576,ROW(),FALSE)</f>
        <v>0</v>
      </c>
      <c r="AC4889" s="580">
        <f>HLOOKUP("*"&amp;'Output annual'!$AC$2&amp;'Output annual'!$AD$2&amp;"*FangerPMV(Hourly)",'Eplus results'!$1:$1048576,ROW(),FALSE)</f>
        <v>0</v>
      </c>
      <c r="AD4889" s="580">
        <f t="shared" si="416"/>
        <v>5</v>
      </c>
      <c r="AE4889" s="580">
        <f t="shared" si="417"/>
        <v>2.5</v>
      </c>
      <c r="AF4889" s="580">
        <f t="shared" si="418"/>
        <v>2.5</v>
      </c>
      <c r="AG4889" s="580">
        <f t="shared" si="419"/>
        <v>0</v>
      </c>
      <c r="AH4889" s="580">
        <f t="shared" si="420"/>
        <v>0</v>
      </c>
    </row>
    <row r="4890" spans="28:34">
      <c r="AB4890" s="580">
        <f>HLOOKUP("*"&amp;'Output annual'!$AC$2&amp;'Output annual'!$AD$2&amp;"*Zone People Number Of Occupants [](Hourly)",'Eplus results'!$1:$1048576,ROW(),FALSE)</f>
        <v>0</v>
      </c>
      <c r="AC4890" s="580">
        <f>HLOOKUP("*"&amp;'Output annual'!$AC$2&amp;'Output annual'!$AD$2&amp;"*FangerPMV(Hourly)",'Eplus results'!$1:$1048576,ROW(),FALSE)</f>
        <v>0</v>
      </c>
      <c r="AD4890" s="580">
        <f t="shared" si="416"/>
        <v>5</v>
      </c>
      <c r="AE4890" s="580">
        <f t="shared" si="417"/>
        <v>2.5</v>
      </c>
      <c r="AF4890" s="580">
        <f t="shared" si="418"/>
        <v>2.5</v>
      </c>
      <c r="AG4890" s="580">
        <f t="shared" si="419"/>
        <v>0</v>
      </c>
      <c r="AH4890" s="580">
        <f t="shared" si="420"/>
        <v>0</v>
      </c>
    </row>
    <row r="4891" spans="28:34">
      <c r="AB4891" s="580">
        <f>HLOOKUP("*"&amp;'Output annual'!$AC$2&amp;'Output annual'!$AD$2&amp;"*Zone People Number Of Occupants [](Hourly)",'Eplus results'!$1:$1048576,ROW(),FALSE)</f>
        <v>0</v>
      </c>
      <c r="AC4891" s="580">
        <f>HLOOKUP("*"&amp;'Output annual'!$AC$2&amp;'Output annual'!$AD$2&amp;"*FangerPMV(Hourly)",'Eplus results'!$1:$1048576,ROW(),FALSE)</f>
        <v>0</v>
      </c>
      <c r="AD4891" s="580">
        <f t="shared" si="416"/>
        <v>5</v>
      </c>
      <c r="AE4891" s="580">
        <f t="shared" si="417"/>
        <v>2.5</v>
      </c>
      <c r="AF4891" s="580">
        <f t="shared" si="418"/>
        <v>2.5</v>
      </c>
      <c r="AG4891" s="580">
        <f t="shared" si="419"/>
        <v>0</v>
      </c>
      <c r="AH4891" s="580">
        <f t="shared" si="420"/>
        <v>0</v>
      </c>
    </row>
    <row r="4892" spans="28:34">
      <c r="AB4892" s="580">
        <f>HLOOKUP("*"&amp;'Output annual'!$AC$2&amp;'Output annual'!$AD$2&amp;"*Zone People Number Of Occupants [](Hourly)",'Eplus results'!$1:$1048576,ROW(),FALSE)</f>
        <v>0</v>
      </c>
      <c r="AC4892" s="580">
        <f>HLOOKUP("*"&amp;'Output annual'!$AC$2&amp;'Output annual'!$AD$2&amp;"*FangerPMV(Hourly)",'Eplus results'!$1:$1048576,ROW(),FALSE)</f>
        <v>0</v>
      </c>
      <c r="AD4892" s="580">
        <f t="shared" si="416"/>
        <v>5</v>
      </c>
      <c r="AE4892" s="580">
        <f t="shared" si="417"/>
        <v>2.5</v>
      </c>
      <c r="AF4892" s="580">
        <f t="shared" si="418"/>
        <v>2.5</v>
      </c>
      <c r="AG4892" s="580">
        <f t="shared" si="419"/>
        <v>0</v>
      </c>
      <c r="AH4892" s="580">
        <f t="shared" si="420"/>
        <v>0</v>
      </c>
    </row>
    <row r="4893" spans="28:34">
      <c r="AB4893" s="580">
        <f>HLOOKUP("*"&amp;'Output annual'!$AC$2&amp;'Output annual'!$AD$2&amp;"*Zone People Number Of Occupants [](Hourly)",'Eplus results'!$1:$1048576,ROW(),FALSE)</f>
        <v>0</v>
      </c>
      <c r="AC4893" s="580">
        <f>HLOOKUP("*"&amp;'Output annual'!$AC$2&amp;'Output annual'!$AD$2&amp;"*FangerPMV(Hourly)",'Eplus results'!$1:$1048576,ROW(),FALSE)</f>
        <v>0</v>
      </c>
      <c r="AD4893" s="580">
        <f t="shared" si="416"/>
        <v>5</v>
      </c>
      <c r="AE4893" s="580">
        <f t="shared" si="417"/>
        <v>2.5</v>
      </c>
      <c r="AF4893" s="580">
        <f t="shared" si="418"/>
        <v>2.5</v>
      </c>
      <c r="AG4893" s="580">
        <f t="shared" si="419"/>
        <v>0</v>
      </c>
      <c r="AH4893" s="580">
        <f t="shared" si="420"/>
        <v>0</v>
      </c>
    </row>
    <row r="4894" spans="28:34">
      <c r="AB4894" s="580">
        <f>HLOOKUP("*"&amp;'Output annual'!$AC$2&amp;'Output annual'!$AD$2&amp;"*Zone People Number Of Occupants [](Hourly)",'Eplus results'!$1:$1048576,ROW(),FALSE)</f>
        <v>0</v>
      </c>
      <c r="AC4894" s="580">
        <f>HLOOKUP("*"&amp;'Output annual'!$AC$2&amp;'Output annual'!$AD$2&amp;"*FangerPMV(Hourly)",'Eplus results'!$1:$1048576,ROW(),FALSE)</f>
        <v>0</v>
      </c>
      <c r="AD4894" s="580">
        <f t="shared" si="416"/>
        <v>5</v>
      </c>
      <c r="AE4894" s="580">
        <f t="shared" si="417"/>
        <v>2.5</v>
      </c>
      <c r="AF4894" s="580">
        <f t="shared" si="418"/>
        <v>2.5</v>
      </c>
      <c r="AG4894" s="580">
        <f t="shared" si="419"/>
        <v>0</v>
      </c>
      <c r="AH4894" s="580">
        <f t="shared" si="420"/>
        <v>0</v>
      </c>
    </row>
    <row r="4895" spans="28:34">
      <c r="AB4895" s="580">
        <f>HLOOKUP("*"&amp;'Output annual'!$AC$2&amp;'Output annual'!$AD$2&amp;"*Zone People Number Of Occupants [](Hourly)",'Eplus results'!$1:$1048576,ROW(),FALSE)</f>
        <v>0</v>
      </c>
      <c r="AC4895" s="580">
        <f>HLOOKUP("*"&amp;'Output annual'!$AC$2&amp;'Output annual'!$AD$2&amp;"*FangerPMV(Hourly)",'Eplus results'!$1:$1048576,ROW(),FALSE)</f>
        <v>0</v>
      </c>
      <c r="AD4895" s="580">
        <f t="shared" si="416"/>
        <v>5</v>
      </c>
      <c r="AE4895" s="580">
        <f t="shared" si="417"/>
        <v>2.5</v>
      </c>
      <c r="AF4895" s="580">
        <f t="shared" si="418"/>
        <v>2.5</v>
      </c>
      <c r="AG4895" s="580">
        <f t="shared" si="419"/>
        <v>0</v>
      </c>
      <c r="AH4895" s="580">
        <f t="shared" si="420"/>
        <v>0</v>
      </c>
    </row>
    <row r="4896" spans="28:34">
      <c r="AB4896" s="580">
        <f>HLOOKUP("*"&amp;'Output annual'!$AC$2&amp;'Output annual'!$AD$2&amp;"*Zone People Number Of Occupants [](Hourly)",'Eplus results'!$1:$1048576,ROW(),FALSE)</f>
        <v>0</v>
      </c>
      <c r="AC4896" s="580">
        <f>HLOOKUP("*"&amp;'Output annual'!$AC$2&amp;'Output annual'!$AD$2&amp;"*FangerPMV(Hourly)",'Eplus results'!$1:$1048576,ROW(),FALSE)</f>
        <v>0</v>
      </c>
      <c r="AD4896" s="580">
        <f t="shared" si="416"/>
        <v>5</v>
      </c>
      <c r="AE4896" s="580">
        <f t="shared" si="417"/>
        <v>2.5</v>
      </c>
      <c r="AF4896" s="580">
        <f t="shared" si="418"/>
        <v>2.5</v>
      </c>
      <c r="AG4896" s="580">
        <f t="shared" si="419"/>
        <v>0</v>
      </c>
      <c r="AH4896" s="580">
        <f t="shared" si="420"/>
        <v>0</v>
      </c>
    </row>
    <row r="4897" spans="28:34">
      <c r="AB4897" s="580">
        <f>HLOOKUP("*"&amp;'Output annual'!$AC$2&amp;'Output annual'!$AD$2&amp;"*Zone People Number Of Occupants [](Hourly)",'Eplus results'!$1:$1048576,ROW(),FALSE)</f>
        <v>0</v>
      </c>
      <c r="AC4897" s="580">
        <f>HLOOKUP("*"&amp;'Output annual'!$AC$2&amp;'Output annual'!$AD$2&amp;"*FangerPMV(Hourly)",'Eplus results'!$1:$1048576,ROW(),FALSE)</f>
        <v>0</v>
      </c>
      <c r="AD4897" s="580">
        <f t="shared" si="416"/>
        <v>5</v>
      </c>
      <c r="AE4897" s="580">
        <f t="shared" si="417"/>
        <v>2.5</v>
      </c>
      <c r="AF4897" s="580">
        <f t="shared" si="418"/>
        <v>2.5</v>
      </c>
      <c r="AG4897" s="580">
        <f t="shared" si="419"/>
        <v>0</v>
      </c>
      <c r="AH4897" s="580">
        <f t="shared" si="420"/>
        <v>0</v>
      </c>
    </row>
    <row r="4898" spans="28:34">
      <c r="AB4898" s="580">
        <f>HLOOKUP("*"&amp;'Output annual'!$AC$2&amp;'Output annual'!$AD$2&amp;"*Zone People Number Of Occupants [](Hourly)",'Eplus results'!$1:$1048576,ROW(),FALSE)</f>
        <v>0</v>
      </c>
      <c r="AC4898" s="580">
        <f>HLOOKUP("*"&amp;'Output annual'!$AC$2&amp;'Output annual'!$AD$2&amp;"*FangerPMV(Hourly)",'Eplus results'!$1:$1048576,ROW(),FALSE)</f>
        <v>0</v>
      </c>
      <c r="AD4898" s="580">
        <f t="shared" si="416"/>
        <v>5</v>
      </c>
      <c r="AE4898" s="580">
        <f t="shared" si="417"/>
        <v>2.5</v>
      </c>
      <c r="AF4898" s="580">
        <f t="shared" si="418"/>
        <v>2.5</v>
      </c>
      <c r="AG4898" s="580">
        <f t="shared" si="419"/>
        <v>0</v>
      </c>
      <c r="AH4898" s="580">
        <f t="shared" si="420"/>
        <v>0</v>
      </c>
    </row>
    <row r="4899" spans="28:34">
      <c r="AB4899" s="580">
        <f>HLOOKUP("*"&amp;'Output annual'!$AC$2&amp;'Output annual'!$AD$2&amp;"*Zone People Number Of Occupants [](Hourly)",'Eplus results'!$1:$1048576,ROW(),FALSE)</f>
        <v>0</v>
      </c>
      <c r="AC4899" s="580">
        <f>HLOOKUP("*"&amp;'Output annual'!$AC$2&amp;'Output annual'!$AD$2&amp;"*FangerPMV(Hourly)",'Eplus results'!$1:$1048576,ROW(),FALSE)</f>
        <v>0</v>
      </c>
      <c r="AD4899" s="580">
        <f t="shared" si="416"/>
        <v>5</v>
      </c>
      <c r="AE4899" s="580">
        <f t="shared" si="417"/>
        <v>2.5</v>
      </c>
      <c r="AF4899" s="580">
        <f t="shared" si="418"/>
        <v>2.5</v>
      </c>
      <c r="AG4899" s="580">
        <f t="shared" si="419"/>
        <v>0</v>
      </c>
      <c r="AH4899" s="580">
        <f t="shared" si="420"/>
        <v>0</v>
      </c>
    </row>
    <row r="4900" spans="28:34">
      <c r="AB4900" s="580">
        <f>HLOOKUP("*"&amp;'Output annual'!$AC$2&amp;'Output annual'!$AD$2&amp;"*Zone People Number Of Occupants [](Hourly)",'Eplus results'!$1:$1048576,ROW(),FALSE)</f>
        <v>0</v>
      </c>
      <c r="AC4900" s="580">
        <f>HLOOKUP("*"&amp;'Output annual'!$AC$2&amp;'Output annual'!$AD$2&amp;"*FangerPMV(Hourly)",'Eplus results'!$1:$1048576,ROW(),FALSE)</f>
        <v>0</v>
      </c>
      <c r="AD4900" s="580">
        <f t="shared" si="416"/>
        <v>5</v>
      </c>
      <c r="AE4900" s="580">
        <f t="shared" si="417"/>
        <v>2.5</v>
      </c>
      <c r="AF4900" s="580">
        <f t="shared" si="418"/>
        <v>2.5</v>
      </c>
      <c r="AG4900" s="580">
        <f t="shared" si="419"/>
        <v>0</v>
      </c>
      <c r="AH4900" s="580">
        <f t="shared" si="420"/>
        <v>0</v>
      </c>
    </row>
    <row r="4901" spans="28:34">
      <c r="AB4901" s="580">
        <f>HLOOKUP("*"&amp;'Output annual'!$AC$2&amp;'Output annual'!$AD$2&amp;"*Zone People Number Of Occupants [](Hourly)",'Eplus results'!$1:$1048576,ROW(),FALSE)</f>
        <v>0</v>
      </c>
      <c r="AC4901" s="580">
        <f>HLOOKUP("*"&amp;'Output annual'!$AC$2&amp;'Output annual'!$AD$2&amp;"*FangerPMV(Hourly)",'Eplus results'!$1:$1048576,ROW(),FALSE)</f>
        <v>0</v>
      </c>
      <c r="AD4901" s="580">
        <f t="shared" si="416"/>
        <v>5</v>
      </c>
      <c r="AE4901" s="580">
        <f t="shared" si="417"/>
        <v>2.5</v>
      </c>
      <c r="AF4901" s="580">
        <f t="shared" si="418"/>
        <v>2.5</v>
      </c>
      <c r="AG4901" s="580">
        <f t="shared" si="419"/>
        <v>0</v>
      </c>
      <c r="AH4901" s="580">
        <f t="shared" si="420"/>
        <v>0</v>
      </c>
    </row>
    <row r="4902" spans="28:34">
      <c r="AB4902" s="580">
        <f>HLOOKUP("*"&amp;'Output annual'!$AC$2&amp;'Output annual'!$AD$2&amp;"*Zone People Number Of Occupants [](Hourly)",'Eplus results'!$1:$1048576,ROW(),FALSE)</f>
        <v>0</v>
      </c>
      <c r="AC4902" s="580">
        <f>HLOOKUP("*"&amp;'Output annual'!$AC$2&amp;'Output annual'!$AD$2&amp;"*FangerPMV(Hourly)",'Eplus results'!$1:$1048576,ROW(),FALSE)</f>
        <v>0</v>
      </c>
      <c r="AD4902" s="580">
        <f t="shared" si="416"/>
        <v>5</v>
      </c>
      <c r="AE4902" s="580">
        <f t="shared" si="417"/>
        <v>2.5</v>
      </c>
      <c r="AF4902" s="580">
        <f t="shared" si="418"/>
        <v>2.5</v>
      </c>
      <c r="AG4902" s="580">
        <f t="shared" si="419"/>
        <v>0</v>
      </c>
      <c r="AH4902" s="580">
        <f t="shared" si="420"/>
        <v>0</v>
      </c>
    </row>
    <row r="4903" spans="28:34">
      <c r="AB4903" s="580">
        <f>HLOOKUP("*"&amp;'Output annual'!$AC$2&amp;'Output annual'!$AD$2&amp;"*Zone People Number Of Occupants [](Hourly)",'Eplus results'!$1:$1048576,ROW(),FALSE)</f>
        <v>0</v>
      </c>
      <c r="AC4903" s="580">
        <f>HLOOKUP("*"&amp;'Output annual'!$AC$2&amp;'Output annual'!$AD$2&amp;"*FangerPMV(Hourly)",'Eplus results'!$1:$1048576,ROW(),FALSE)</f>
        <v>0</v>
      </c>
      <c r="AD4903" s="580">
        <f t="shared" si="416"/>
        <v>5</v>
      </c>
      <c r="AE4903" s="580">
        <f t="shared" si="417"/>
        <v>2.5</v>
      </c>
      <c r="AF4903" s="580">
        <f t="shared" si="418"/>
        <v>2.5</v>
      </c>
      <c r="AG4903" s="580">
        <f t="shared" si="419"/>
        <v>0</v>
      </c>
      <c r="AH4903" s="580">
        <f t="shared" si="420"/>
        <v>0</v>
      </c>
    </row>
    <row r="4904" spans="28:34">
      <c r="AB4904" s="580">
        <f>HLOOKUP("*"&amp;'Output annual'!$AC$2&amp;'Output annual'!$AD$2&amp;"*Zone People Number Of Occupants [](Hourly)",'Eplus results'!$1:$1048576,ROW(),FALSE)</f>
        <v>0</v>
      </c>
      <c r="AC4904" s="580">
        <f>HLOOKUP("*"&amp;'Output annual'!$AC$2&amp;'Output annual'!$AD$2&amp;"*FangerPMV(Hourly)",'Eplus results'!$1:$1048576,ROW(),FALSE)</f>
        <v>0</v>
      </c>
      <c r="AD4904" s="580">
        <f t="shared" si="416"/>
        <v>5</v>
      </c>
      <c r="AE4904" s="580">
        <f t="shared" si="417"/>
        <v>2.5</v>
      </c>
      <c r="AF4904" s="580">
        <f t="shared" si="418"/>
        <v>2.5</v>
      </c>
      <c r="AG4904" s="580">
        <f t="shared" si="419"/>
        <v>0</v>
      </c>
      <c r="AH4904" s="580">
        <f t="shared" si="420"/>
        <v>0</v>
      </c>
    </row>
    <row r="4905" spans="28:34">
      <c r="AB4905" s="580">
        <f>HLOOKUP("*"&amp;'Output annual'!$AC$2&amp;'Output annual'!$AD$2&amp;"*Zone People Number Of Occupants [](Hourly)",'Eplus results'!$1:$1048576,ROW(),FALSE)</f>
        <v>0</v>
      </c>
      <c r="AC4905" s="580">
        <f>HLOOKUP("*"&amp;'Output annual'!$AC$2&amp;'Output annual'!$AD$2&amp;"*FangerPMV(Hourly)",'Eplus results'!$1:$1048576,ROW(),FALSE)</f>
        <v>0</v>
      </c>
      <c r="AD4905" s="580">
        <f t="shared" si="416"/>
        <v>5</v>
      </c>
      <c r="AE4905" s="580">
        <f t="shared" si="417"/>
        <v>2.5</v>
      </c>
      <c r="AF4905" s="580">
        <f t="shared" si="418"/>
        <v>2.5</v>
      </c>
      <c r="AG4905" s="580">
        <f t="shared" si="419"/>
        <v>0</v>
      </c>
      <c r="AH4905" s="580">
        <f t="shared" si="420"/>
        <v>0</v>
      </c>
    </row>
    <row r="4906" spans="28:34">
      <c r="AB4906" s="580">
        <f>HLOOKUP("*"&amp;'Output annual'!$AC$2&amp;'Output annual'!$AD$2&amp;"*Zone People Number Of Occupants [](Hourly)",'Eplus results'!$1:$1048576,ROW(),FALSE)</f>
        <v>0</v>
      </c>
      <c r="AC4906" s="580">
        <f>HLOOKUP("*"&amp;'Output annual'!$AC$2&amp;'Output annual'!$AD$2&amp;"*FangerPMV(Hourly)",'Eplus results'!$1:$1048576,ROW(),FALSE)</f>
        <v>0</v>
      </c>
      <c r="AD4906" s="580">
        <f t="shared" si="416"/>
        <v>5</v>
      </c>
      <c r="AE4906" s="580">
        <f t="shared" si="417"/>
        <v>2.5</v>
      </c>
      <c r="AF4906" s="580">
        <f t="shared" si="418"/>
        <v>2.5</v>
      </c>
      <c r="AG4906" s="580">
        <f t="shared" si="419"/>
        <v>0</v>
      </c>
      <c r="AH4906" s="580">
        <f t="shared" si="420"/>
        <v>0</v>
      </c>
    </row>
    <row r="4907" spans="28:34">
      <c r="AB4907" s="580">
        <f>HLOOKUP("*"&amp;'Output annual'!$AC$2&amp;'Output annual'!$AD$2&amp;"*Zone People Number Of Occupants [](Hourly)",'Eplus results'!$1:$1048576,ROW(),FALSE)</f>
        <v>0</v>
      </c>
      <c r="AC4907" s="580">
        <f>HLOOKUP("*"&amp;'Output annual'!$AC$2&amp;'Output annual'!$AD$2&amp;"*FangerPMV(Hourly)",'Eplus results'!$1:$1048576,ROW(),FALSE)</f>
        <v>0</v>
      </c>
      <c r="AD4907" s="580">
        <f t="shared" si="416"/>
        <v>5</v>
      </c>
      <c r="AE4907" s="580">
        <f t="shared" si="417"/>
        <v>2.5</v>
      </c>
      <c r="AF4907" s="580">
        <f t="shared" si="418"/>
        <v>2.5</v>
      </c>
      <c r="AG4907" s="580">
        <f t="shared" si="419"/>
        <v>0</v>
      </c>
      <c r="AH4907" s="580">
        <f t="shared" si="420"/>
        <v>0</v>
      </c>
    </row>
    <row r="4908" spans="28:34">
      <c r="AB4908" s="580">
        <f>HLOOKUP("*"&amp;'Output annual'!$AC$2&amp;'Output annual'!$AD$2&amp;"*Zone People Number Of Occupants [](Hourly)",'Eplus results'!$1:$1048576,ROW(),FALSE)</f>
        <v>0</v>
      </c>
      <c r="AC4908" s="580">
        <f>HLOOKUP("*"&amp;'Output annual'!$AC$2&amp;'Output annual'!$AD$2&amp;"*FangerPMV(Hourly)",'Eplus results'!$1:$1048576,ROW(),FALSE)</f>
        <v>0</v>
      </c>
      <c r="AD4908" s="580">
        <f t="shared" si="416"/>
        <v>5</v>
      </c>
      <c r="AE4908" s="580">
        <f t="shared" si="417"/>
        <v>2.5</v>
      </c>
      <c r="AF4908" s="580">
        <f t="shared" si="418"/>
        <v>2.5</v>
      </c>
      <c r="AG4908" s="580">
        <f t="shared" si="419"/>
        <v>0</v>
      </c>
      <c r="AH4908" s="580">
        <f t="shared" si="420"/>
        <v>0</v>
      </c>
    </row>
    <row r="4909" spans="28:34">
      <c r="AB4909" s="580">
        <f>HLOOKUP("*"&amp;'Output annual'!$AC$2&amp;'Output annual'!$AD$2&amp;"*Zone People Number Of Occupants [](Hourly)",'Eplus results'!$1:$1048576,ROW(),FALSE)</f>
        <v>0</v>
      </c>
      <c r="AC4909" s="580">
        <f>HLOOKUP("*"&amp;'Output annual'!$AC$2&amp;'Output annual'!$AD$2&amp;"*FangerPMV(Hourly)",'Eplus results'!$1:$1048576,ROW(),FALSE)</f>
        <v>0</v>
      </c>
      <c r="AD4909" s="580">
        <f t="shared" si="416"/>
        <v>5</v>
      </c>
      <c r="AE4909" s="580">
        <f t="shared" si="417"/>
        <v>2.5</v>
      </c>
      <c r="AF4909" s="580">
        <f t="shared" si="418"/>
        <v>2.5</v>
      </c>
      <c r="AG4909" s="580">
        <f t="shared" si="419"/>
        <v>0</v>
      </c>
      <c r="AH4909" s="580">
        <f t="shared" si="420"/>
        <v>0</v>
      </c>
    </row>
    <row r="4910" spans="28:34">
      <c r="AB4910" s="580">
        <f>HLOOKUP("*"&amp;'Output annual'!$AC$2&amp;'Output annual'!$AD$2&amp;"*Zone People Number Of Occupants [](Hourly)",'Eplus results'!$1:$1048576,ROW(),FALSE)</f>
        <v>0</v>
      </c>
      <c r="AC4910" s="580">
        <f>HLOOKUP("*"&amp;'Output annual'!$AC$2&amp;'Output annual'!$AD$2&amp;"*FangerPMV(Hourly)",'Eplus results'!$1:$1048576,ROW(),FALSE)</f>
        <v>0</v>
      </c>
      <c r="AD4910" s="580">
        <f t="shared" si="416"/>
        <v>5</v>
      </c>
      <c r="AE4910" s="580">
        <f t="shared" si="417"/>
        <v>2.5</v>
      </c>
      <c r="AF4910" s="580">
        <f t="shared" si="418"/>
        <v>2.5</v>
      </c>
      <c r="AG4910" s="580">
        <f t="shared" si="419"/>
        <v>0</v>
      </c>
      <c r="AH4910" s="580">
        <f t="shared" si="420"/>
        <v>0</v>
      </c>
    </row>
    <row r="4911" spans="28:34">
      <c r="AB4911" s="580">
        <f>HLOOKUP("*"&amp;'Output annual'!$AC$2&amp;'Output annual'!$AD$2&amp;"*Zone People Number Of Occupants [](Hourly)",'Eplus results'!$1:$1048576,ROW(),FALSE)</f>
        <v>0</v>
      </c>
      <c r="AC4911" s="580">
        <f>HLOOKUP("*"&amp;'Output annual'!$AC$2&amp;'Output annual'!$AD$2&amp;"*FangerPMV(Hourly)",'Eplus results'!$1:$1048576,ROW(),FALSE)</f>
        <v>0</v>
      </c>
      <c r="AD4911" s="580">
        <f t="shared" si="416"/>
        <v>5</v>
      </c>
      <c r="AE4911" s="580">
        <f t="shared" si="417"/>
        <v>2.5</v>
      </c>
      <c r="AF4911" s="580">
        <f t="shared" si="418"/>
        <v>2.5</v>
      </c>
      <c r="AG4911" s="580">
        <f t="shared" si="419"/>
        <v>0</v>
      </c>
      <c r="AH4911" s="580">
        <f t="shared" si="420"/>
        <v>0</v>
      </c>
    </row>
    <row r="4912" spans="28:34">
      <c r="AB4912" s="580">
        <f>HLOOKUP("*"&amp;'Output annual'!$AC$2&amp;'Output annual'!$AD$2&amp;"*Zone People Number Of Occupants [](Hourly)",'Eplus results'!$1:$1048576,ROW(),FALSE)</f>
        <v>0</v>
      </c>
      <c r="AC4912" s="580">
        <f>HLOOKUP("*"&amp;'Output annual'!$AC$2&amp;'Output annual'!$AD$2&amp;"*FangerPMV(Hourly)",'Eplus results'!$1:$1048576,ROW(),FALSE)</f>
        <v>0</v>
      </c>
      <c r="AD4912" s="580">
        <f t="shared" si="416"/>
        <v>5</v>
      </c>
      <c r="AE4912" s="580">
        <f t="shared" si="417"/>
        <v>2.5</v>
      </c>
      <c r="AF4912" s="580">
        <f t="shared" si="418"/>
        <v>2.5</v>
      </c>
      <c r="AG4912" s="580">
        <f t="shared" si="419"/>
        <v>0</v>
      </c>
      <c r="AH4912" s="580">
        <f t="shared" si="420"/>
        <v>0</v>
      </c>
    </row>
    <row r="4913" spans="28:34">
      <c r="AB4913" s="580">
        <f>HLOOKUP("*"&amp;'Output annual'!$AC$2&amp;'Output annual'!$AD$2&amp;"*Zone People Number Of Occupants [](Hourly)",'Eplus results'!$1:$1048576,ROW(),FALSE)</f>
        <v>0</v>
      </c>
      <c r="AC4913" s="580">
        <f>HLOOKUP("*"&amp;'Output annual'!$AC$2&amp;'Output annual'!$AD$2&amp;"*FangerPMV(Hourly)",'Eplus results'!$1:$1048576,ROW(),FALSE)</f>
        <v>0</v>
      </c>
      <c r="AD4913" s="580">
        <f t="shared" si="416"/>
        <v>5</v>
      </c>
      <c r="AE4913" s="580">
        <f t="shared" si="417"/>
        <v>2.5</v>
      </c>
      <c r="AF4913" s="580">
        <f t="shared" si="418"/>
        <v>2.5</v>
      </c>
      <c r="AG4913" s="580">
        <f t="shared" si="419"/>
        <v>0</v>
      </c>
      <c r="AH4913" s="580">
        <f t="shared" si="420"/>
        <v>0</v>
      </c>
    </row>
    <row r="4914" spans="28:34">
      <c r="AB4914" s="580">
        <f>HLOOKUP("*"&amp;'Output annual'!$AC$2&amp;'Output annual'!$AD$2&amp;"*Zone People Number Of Occupants [](Hourly)",'Eplus results'!$1:$1048576,ROW(),FALSE)</f>
        <v>0</v>
      </c>
      <c r="AC4914" s="580">
        <f>HLOOKUP("*"&amp;'Output annual'!$AC$2&amp;'Output annual'!$AD$2&amp;"*FangerPMV(Hourly)",'Eplus results'!$1:$1048576,ROW(),FALSE)</f>
        <v>0</v>
      </c>
      <c r="AD4914" s="580">
        <f t="shared" si="416"/>
        <v>5</v>
      </c>
      <c r="AE4914" s="580">
        <f t="shared" si="417"/>
        <v>2.5</v>
      </c>
      <c r="AF4914" s="580">
        <f t="shared" si="418"/>
        <v>2.5</v>
      </c>
      <c r="AG4914" s="580">
        <f t="shared" si="419"/>
        <v>0</v>
      </c>
      <c r="AH4914" s="580">
        <f t="shared" si="420"/>
        <v>0</v>
      </c>
    </row>
    <row r="4915" spans="28:34">
      <c r="AB4915" s="580">
        <f>HLOOKUP("*"&amp;'Output annual'!$AC$2&amp;'Output annual'!$AD$2&amp;"*Zone People Number Of Occupants [](Hourly)",'Eplus results'!$1:$1048576,ROW(),FALSE)</f>
        <v>0</v>
      </c>
      <c r="AC4915" s="580">
        <f>HLOOKUP("*"&amp;'Output annual'!$AC$2&amp;'Output annual'!$AD$2&amp;"*FangerPMV(Hourly)",'Eplus results'!$1:$1048576,ROW(),FALSE)</f>
        <v>0</v>
      </c>
      <c r="AD4915" s="580">
        <f t="shared" si="416"/>
        <v>5</v>
      </c>
      <c r="AE4915" s="580">
        <f t="shared" si="417"/>
        <v>2.5</v>
      </c>
      <c r="AF4915" s="580">
        <f t="shared" si="418"/>
        <v>2.5</v>
      </c>
      <c r="AG4915" s="580">
        <f t="shared" si="419"/>
        <v>0</v>
      </c>
      <c r="AH4915" s="580">
        <f t="shared" si="420"/>
        <v>0</v>
      </c>
    </row>
    <row r="4916" spans="28:34">
      <c r="AB4916" s="580">
        <f>HLOOKUP("*"&amp;'Output annual'!$AC$2&amp;'Output annual'!$AD$2&amp;"*Zone People Number Of Occupants [](Hourly)",'Eplus results'!$1:$1048576,ROW(),FALSE)</f>
        <v>0</v>
      </c>
      <c r="AC4916" s="580">
        <f>HLOOKUP("*"&amp;'Output annual'!$AC$2&amp;'Output annual'!$AD$2&amp;"*FangerPMV(Hourly)",'Eplus results'!$1:$1048576,ROW(),FALSE)</f>
        <v>0</v>
      </c>
      <c r="AD4916" s="580">
        <f t="shared" si="416"/>
        <v>5</v>
      </c>
      <c r="AE4916" s="580">
        <f t="shared" si="417"/>
        <v>2.5</v>
      </c>
      <c r="AF4916" s="580">
        <f t="shared" si="418"/>
        <v>2.5</v>
      </c>
      <c r="AG4916" s="580">
        <f t="shared" si="419"/>
        <v>0</v>
      </c>
      <c r="AH4916" s="580">
        <f t="shared" si="420"/>
        <v>0</v>
      </c>
    </row>
    <row r="4917" spans="28:34">
      <c r="AB4917" s="580">
        <f>HLOOKUP("*"&amp;'Output annual'!$AC$2&amp;'Output annual'!$AD$2&amp;"*Zone People Number Of Occupants [](Hourly)",'Eplus results'!$1:$1048576,ROW(),FALSE)</f>
        <v>0</v>
      </c>
      <c r="AC4917" s="580">
        <f>HLOOKUP("*"&amp;'Output annual'!$AC$2&amp;'Output annual'!$AD$2&amp;"*FangerPMV(Hourly)",'Eplus results'!$1:$1048576,ROW(),FALSE)</f>
        <v>0</v>
      </c>
      <c r="AD4917" s="580">
        <f t="shared" si="416"/>
        <v>5</v>
      </c>
      <c r="AE4917" s="580">
        <f t="shared" si="417"/>
        <v>2.5</v>
      </c>
      <c r="AF4917" s="580">
        <f t="shared" si="418"/>
        <v>2.5</v>
      </c>
      <c r="AG4917" s="580">
        <f t="shared" si="419"/>
        <v>0</v>
      </c>
      <c r="AH4917" s="580">
        <f t="shared" si="420"/>
        <v>0</v>
      </c>
    </row>
    <row r="4918" spans="28:34">
      <c r="AB4918" s="580">
        <f>HLOOKUP("*"&amp;'Output annual'!$AC$2&amp;'Output annual'!$AD$2&amp;"*Zone People Number Of Occupants [](Hourly)",'Eplus results'!$1:$1048576,ROW(),FALSE)</f>
        <v>0</v>
      </c>
      <c r="AC4918" s="580">
        <f>HLOOKUP("*"&amp;'Output annual'!$AC$2&amp;'Output annual'!$AD$2&amp;"*FangerPMV(Hourly)",'Eplus results'!$1:$1048576,ROW(),FALSE)</f>
        <v>0</v>
      </c>
      <c r="AD4918" s="580">
        <f t="shared" si="416"/>
        <v>5</v>
      </c>
      <c r="AE4918" s="580">
        <f t="shared" si="417"/>
        <v>2.5</v>
      </c>
      <c r="AF4918" s="580">
        <f t="shared" si="418"/>
        <v>2.5</v>
      </c>
      <c r="AG4918" s="580">
        <f t="shared" si="419"/>
        <v>0</v>
      </c>
      <c r="AH4918" s="580">
        <f t="shared" si="420"/>
        <v>0</v>
      </c>
    </row>
    <row r="4919" spans="28:34">
      <c r="AB4919" s="580">
        <f>HLOOKUP("*"&amp;'Output annual'!$AC$2&amp;'Output annual'!$AD$2&amp;"*Zone People Number Of Occupants [](Hourly)",'Eplus results'!$1:$1048576,ROW(),FALSE)</f>
        <v>0</v>
      </c>
      <c r="AC4919" s="580">
        <f>HLOOKUP("*"&amp;'Output annual'!$AC$2&amp;'Output annual'!$AD$2&amp;"*FangerPMV(Hourly)",'Eplus results'!$1:$1048576,ROW(),FALSE)</f>
        <v>0</v>
      </c>
      <c r="AD4919" s="580">
        <f t="shared" si="416"/>
        <v>5</v>
      </c>
      <c r="AE4919" s="580">
        <f t="shared" si="417"/>
        <v>2.5</v>
      </c>
      <c r="AF4919" s="580">
        <f t="shared" si="418"/>
        <v>2.5</v>
      </c>
      <c r="AG4919" s="580">
        <f t="shared" si="419"/>
        <v>0</v>
      </c>
      <c r="AH4919" s="580">
        <f t="shared" si="420"/>
        <v>0</v>
      </c>
    </row>
    <row r="4920" spans="28:34">
      <c r="AB4920" s="580">
        <f>HLOOKUP("*"&amp;'Output annual'!$AC$2&amp;'Output annual'!$AD$2&amp;"*Zone People Number Of Occupants [](Hourly)",'Eplus results'!$1:$1048576,ROW(),FALSE)</f>
        <v>0</v>
      </c>
      <c r="AC4920" s="580">
        <f>HLOOKUP("*"&amp;'Output annual'!$AC$2&amp;'Output annual'!$AD$2&amp;"*FangerPMV(Hourly)",'Eplus results'!$1:$1048576,ROW(),FALSE)</f>
        <v>0</v>
      </c>
      <c r="AD4920" s="580">
        <f t="shared" si="416"/>
        <v>5</v>
      </c>
      <c r="AE4920" s="580">
        <f t="shared" si="417"/>
        <v>2.5</v>
      </c>
      <c r="AF4920" s="580">
        <f t="shared" si="418"/>
        <v>2.5</v>
      </c>
      <c r="AG4920" s="580">
        <f t="shared" si="419"/>
        <v>0</v>
      </c>
      <c r="AH4920" s="580">
        <f t="shared" si="420"/>
        <v>0</v>
      </c>
    </row>
    <row r="4921" spans="28:34">
      <c r="AB4921" s="580">
        <f>HLOOKUP("*"&amp;'Output annual'!$AC$2&amp;'Output annual'!$AD$2&amp;"*Zone People Number Of Occupants [](Hourly)",'Eplus results'!$1:$1048576,ROW(),FALSE)</f>
        <v>0</v>
      </c>
      <c r="AC4921" s="580">
        <f>HLOOKUP("*"&amp;'Output annual'!$AC$2&amp;'Output annual'!$AD$2&amp;"*FangerPMV(Hourly)",'Eplus results'!$1:$1048576,ROW(),FALSE)</f>
        <v>0</v>
      </c>
      <c r="AD4921" s="580">
        <f t="shared" si="416"/>
        <v>5</v>
      </c>
      <c r="AE4921" s="580">
        <f t="shared" si="417"/>
        <v>2.5</v>
      </c>
      <c r="AF4921" s="580">
        <f t="shared" si="418"/>
        <v>2.5</v>
      </c>
      <c r="AG4921" s="580">
        <f t="shared" si="419"/>
        <v>0</v>
      </c>
      <c r="AH4921" s="580">
        <f t="shared" si="420"/>
        <v>0</v>
      </c>
    </row>
    <row r="4922" spans="28:34">
      <c r="AB4922" s="580">
        <f>HLOOKUP("*"&amp;'Output annual'!$AC$2&amp;'Output annual'!$AD$2&amp;"*Zone People Number Of Occupants [](Hourly)",'Eplus results'!$1:$1048576,ROW(),FALSE)</f>
        <v>0</v>
      </c>
      <c r="AC4922" s="580">
        <f>HLOOKUP("*"&amp;'Output annual'!$AC$2&amp;'Output annual'!$AD$2&amp;"*FangerPMV(Hourly)",'Eplus results'!$1:$1048576,ROW(),FALSE)</f>
        <v>0</v>
      </c>
      <c r="AD4922" s="580">
        <f t="shared" si="416"/>
        <v>5</v>
      </c>
      <c r="AE4922" s="580">
        <f t="shared" si="417"/>
        <v>2.5</v>
      </c>
      <c r="AF4922" s="580">
        <f t="shared" si="418"/>
        <v>2.5</v>
      </c>
      <c r="AG4922" s="580">
        <f t="shared" si="419"/>
        <v>0</v>
      </c>
      <c r="AH4922" s="580">
        <f t="shared" si="420"/>
        <v>0</v>
      </c>
    </row>
    <row r="4923" spans="28:34">
      <c r="AB4923" s="580">
        <f>HLOOKUP("*"&amp;'Output annual'!$AC$2&amp;'Output annual'!$AD$2&amp;"*Zone People Number Of Occupants [](Hourly)",'Eplus results'!$1:$1048576,ROW(),FALSE)</f>
        <v>0</v>
      </c>
      <c r="AC4923" s="580">
        <f>HLOOKUP("*"&amp;'Output annual'!$AC$2&amp;'Output annual'!$AD$2&amp;"*FangerPMV(Hourly)",'Eplus results'!$1:$1048576,ROW(),FALSE)</f>
        <v>0</v>
      </c>
      <c r="AD4923" s="580">
        <f t="shared" si="416"/>
        <v>5</v>
      </c>
      <c r="AE4923" s="580">
        <f t="shared" si="417"/>
        <v>2.5</v>
      </c>
      <c r="AF4923" s="580">
        <f t="shared" si="418"/>
        <v>2.5</v>
      </c>
      <c r="AG4923" s="580">
        <f t="shared" si="419"/>
        <v>0</v>
      </c>
      <c r="AH4923" s="580">
        <f t="shared" si="420"/>
        <v>0</v>
      </c>
    </row>
    <row r="4924" spans="28:34">
      <c r="AB4924" s="580">
        <f>HLOOKUP("*"&amp;'Output annual'!$AC$2&amp;'Output annual'!$AD$2&amp;"*Zone People Number Of Occupants [](Hourly)",'Eplus results'!$1:$1048576,ROW(),FALSE)</f>
        <v>0</v>
      </c>
      <c r="AC4924" s="580">
        <f>HLOOKUP("*"&amp;'Output annual'!$AC$2&amp;'Output annual'!$AD$2&amp;"*FangerPMV(Hourly)",'Eplus results'!$1:$1048576,ROW(),FALSE)</f>
        <v>0</v>
      </c>
      <c r="AD4924" s="580">
        <f t="shared" si="416"/>
        <v>5</v>
      </c>
      <c r="AE4924" s="580">
        <f t="shared" si="417"/>
        <v>2.5</v>
      </c>
      <c r="AF4924" s="580">
        <f t="shared" si="418"/>
        <v>2.5</v>
      </c>
      <c r="AG4924" s="580">
        <f t="shared" si="419"/>
        <v>0</v>
      </c>
      <c r="AH4924" s="580">
        <f t="shared" si="420"/>
        <v>0</v>
      </c>
    </row>
    <row r="4925" spans="28:34">
      <c r="AB4925" s="580">
        <f>HLOOKUP("*"&amp;'Output annual'!$AC$2&amp;'Output annual'!$AD$2&amp;"*Zone People Number Of Occupants [](Hourly)",'Eplus results'!$1:$1048576,ROW(),FALSE)</f>
        <v>0</v>
      </c>
      <c r="AC4925" s="580">
        <f>HLOOKUP("*"&amp;'Output annual'!$AC$2&amp;'Output annual'!$AD$2&amp;"*FangerPMV(Hourly)",'Eplus results'!$1:$1048576,ROW(),FALSE)</f>
        <v>0</v>
      </c>
      <c r="AD4925" s="580">
        <f t="shared" si="416"/>
        <v>5</v>
      </c>
      <c r="AE4925" s="580">
        <f t="shared" si="417"/>
        <v>2.5</v>
      </c>
      <c r="AF4925" s="580">
        <f t="shared" si="418"/>
        <v>2.5</v>
      </c>
      <c r="AG4925" s="580">
        <f t="shared" si="419"/>
        <v>0</v>
      </c>
      <c r="AH4925" s="580">
        <f t="shared" si="420"/>
        <v>0</v>
      </c>
    </row>
    <row r="4926" spans="28:34">
      <c r="AB4926" s="580">
        <f>HLOOKUP("*"&amp;'Output annual'!$AC$2&amp;'Output annual'!$AD$2&amp;"*Zone People Number Of Occupants [](Hourly)",'Eplus results'!$1:$1048576,ROW(),FALSE)</f>
        <v>0</v>
      </c>
      <c r="AC4926" s="580">
        <f>HLOOKUP("*"&amp;'Output annual'!$AC$2&amp;'Output annual'!$AD$2&amp;"*FangerPMV(Hourly)",'Eplus results'!$1:$1048576,ROW(),FALSE)</f>
        <v>0</v>
      </c>
      <c r="AD4926" s="580">
        <f t="shared" si="416"/>
        <v>5</v>
      </c>
      <c r="AE4926" s="580">
        <f t="shared" si="417"/>
        <v>2.5</v>
      </c>
      <c r="AF4926" s="580">
        <f t="shared" si="418"/>
        <v>2.5</v>
      </c>
      <c r="AG4926" s="580">
        <f t="shared" si="419"/>
        <v>0</v>
      </c>
      <c r="AH4926" s="580">
        <f t="shared" si="420"/>
        <v>0</v>
      </c>
    </row>
    <row r="4927" spans="28:34">
      <c r="AB4927" s="580">
        <f>HLOOKUP("*"&amp;'Output annual'!$AC$2&amp;'Output annual'!$AD$2&amp;"*Zone People Number Of Occupants [](Hourly)",'Eplus results'!$1:$1048576,ROW(),FALSE)</f>
        <v>0</v>
      </c>
      <c r="AC4927" s="580">
        <f>HLOOKUP("*"&amp;'Output annual'!$AC$2&amp;'Output annual'!$AD$2&amp;"*FangerPMV(Hourly)",'Eplus results'!$1:$1048576,ROW(),FALSE)</f>
        <v>0</v>
      </c>
      <c r="AD4927" s="580">
        <f t="shared" si="416"/>
        <v>5</v>
      </c>
      <c r="AE4927" s="580">
        <f t="shared" si="417"/>
        <v>2.5</v>
      </c>
      <c r="AF4927" s="580">
        <f t="shared" si="418"/>
        <v>2.5</v>
      </c>
      <c r="AG4927" s="580">
        <f t="shared" si="419"/>
        <v>0</v>
      </c>
      <c r="AH4927" s="580">
        <f t="shared" si="420"/>
        <v>0</v>
      </c>
    </row>
    <row r="4928" spans="28:34">
      <c r="AB4928" s="580">
        <f>HLOOKUP("*"&amp;'Output annual'!$AC$2&amp;'Output annual'!$AD$2&amp;"*Zone People Number Of Occupants [](Hourly)",'Eplus results'!$1:$1048576,ROW(),FALSE)</f>
        <v>0</v>
      </c>
      <c r="AC4928" s="580">
        <f>HLOOKUP("*"&amp;'Output annual'!$AC$2&amp;'Output annual'!$AD$2&amp;"*FangerPMV(Hourly)",'Eplus results'!$1:$1048576,ROW(),FALSE)</f>
        <v>0</v>
      </c>
      <c r="AD4928" s="580">
        <f t="shared" si="416"/>
        <v>5</v>
      </c>
      <c r="AE4928" s="580">
        <f t="shared" si="417"/>
        <v>2.5</v>
      </c>
      <c r="AF4928" s="580">
        <f t="shared" si="418"/>
        <v>2.5</v>
      </c>
      <c r="AG4928" s="580">
        <f t="shared" si="419"/>
        <v>0</v>
      </c>
      <c r="AH4928" s="580">
        <f t="shared" si="420"/>
        <v>0</v>
      </c>
    </row>
    <row r="4929" spans="28:34">
      <c r="AB4929" s="580">
        <f>HLOOKUP("*"&amp;'Output annual'!$AC$2&amp;'Output annual'!$AD$2&amp;"*Zone People Number Of Occupants [](Hourly)",'Eplus results'!$1:$1048576,ROW(),FALSE)</f>
        <v>0</v>
      </c>
      <c r="AC4929" s="580">
        <f>HLOOKUP("*"&amp;'Output annual'!$AC$2&amp;'Output annual'!$AD$2&amp;"*FangerPMV(Hourly)",'Eplus results'!$1:$1048576,ROW(),FALSE)</f>
        <v>0</v>
      </c>
      <c r="AD4929" s="580">
        <f t="shared" si="416"/>
        <v>5</v>
      </c>
      <c r="AE4929" s="580">
        <f t="shared" si="417"/>
        <v>2.5</v>
      </c>
      <c r="AF4929" s="580">
        <f t="shared" si="418"/>
        <v>2.5</v>
      </c>
      <c r="AG4929" s="580">
        <f t="shared" si="419"/>
        <v>0</v>
      </c>
      <c r="AH4929" s="580">
        <f t="shared" si="420"/>
        <v>0</v>
      </c>
    </row>
    <row r="4930" spans="28:34">
      <c r="AB4930" s="580">
        <f>HLOOKUP("*"&amp;'Output annual'!$AC$2&amp;'Output annual'!$AD$2&amp;"*Zone People Number Of Occupants [](Hourly)",'Eplus results'!$1:$1048576,ROW(),FALSE)</f>
        <v>0</v>
      </c>
      <c r="AC4930" s="580">
        <f>HLOOKUP("*"&amp;'Output annual'!$AC$2&amp;'Output annual'!$AD$2&amp;"*FangerPMV(Hourly)",'Eplus results'!$1:$1048576,ROW(),FALSE)</f>
        <v>0</v>
      </c>
      <c r="AD4930" s="580">
        <f t="shared" si="416"/>
        <v>5</v>
      </c>
      <c r="AE4930" s="580">
        <f t="shared" si="417"/>
        <v>2.5</v>
      </c>
      <c r="AF4930" s="580">
        <f t="shared" si="418"/>
        <v>2.5</v>
      </c>
      <c r="AG4930" s="580">
        <f t="shared" si="419"/>
        <v>0</v>
      </c>
      <c r="AH4930" s="580">
        <f t="shared" si="420"/>
        <v>0</v>
      </c>
    </row>
    <row r="4931" spans="28:34">
      <c r="AB4931" s="580">
        <f>HLOOKUP("*"&amp;'Output annual'!$AC$2&amp;'Output annual'!$AD$2&amp;"*Zone People Number Of Occupants [](Hourly)",'Eplus results'!$1:$1048576,ROW(),FALSE)</f>
        <v>0</v>
      </c>
      <c r="AC4931" s="580">
        <f>HLOOKUP("*"&amp;'Output annual'!$AC$2&amp;'Output annual'!$AD$2&amp;"*FangerPMV(Hourly)",'Eplus results'!$1:$1048576,ROW(),FALSE)</f>
        <v>0</v>
      </c>
      <c r="AD4931" s="580">
        <f t="shared" ref="AD4931:AD4994" si="421">100-95*EXP(-0.03353*AC4931^4-0.2179*AC4931^2)</f>
        <v>5</v>
      </c>
      <c r="AE4931" s="580">
        <f t="shared" ref="AE4931:AE4994" si="422">AD4931*(1/(1+EXP(-6.3*$AC4931)))</f>
        <v>2.5</v>
      </c>
      <c r="AF4931" s="580">
        <f t="shared" ref="AF4931:AF4994" si="423">(AD4931-AE4931)</f>
        <v>2.5</v>
      </c>
      <c r="AG4931" s="580">
        <f t="shared" ref="AG4931:AG4994" si="424">AE4931*AB4931</f>
        <v>0</v>
      </c>
      <c r="AH4931" s="580">
        <f t="shared" ref="AH4931:AH4994" si="425">AF4931*AB4931</f>
        <v>0</v>
      </c>
    </row>
    <row r="4932" spans="28:34">
      <c r="AB4932" s="580">
        <f>HLOOKUP("*"&amp;'Output annual'!$AC$2&amp;'Output annual'!$AD$2&amp;"*Zone People Number Of Occupants [](Hourly)",'Eplus results'!$1:$1048576,ROW(),FALSE)</f>
        <v>0</v>
      </c>
      <c r="AC4932" s="580">
        <f>HLOOKUP("*"&amp;'Output annual'!$AC$2&amp;'Output annual'!$AD$2&amp;"*FangerPMV(Hourly)",'Eplus results'!$1:$1048576,ROW(),FALSE)</f>
        <v>0</v>
      </c>
      <c r="AD4932" s="580">
        <f t="shared" si="421"/>
        <v>5</v>
      </c>
      <c r="AE4932" s="580">
        <f t="shared" si="422"/>
        <v>2.5</v>
      </c>
      <c r="AF4932" s="580">
        <f t="shared" si="423"/>
        <v>2.5</v>
      </c>
      <c r="AG4932" s="580">
        <f t="shared" si="424"/>
        <v>0</v>
      </c>
      <c r="AH4932" s="580">
        <f t="shared" si="425"/>
        <v>0</v>
      </c>
    </row>
    <row r="4933" spans="28:34">
      <c r="AB4933" s="580">
        <f>HLOOKUP("*"&amp;'Output annual'!$AC$2&amp;'Output annual'!$AD$2&amp;"*Zone People Number Of Occupants [](Hourly)",'Eplus results'!$1:$1048576,ROW(),FALSE)</f>
        <v>0</v>
      </c>
      <c r="AC4933" s="580">
        <f>HLOOKUP("*"&amp;'Output annual'!$AC$2&amp;'Output annual'!$AD$2&amp;"*FangerPMV(Hourly)",'Eplus results'!$1:$1048576,ROW(),FALSE)</f>
        <v>0</v>
      </c>
      <c r="AD4933" s="580">
        <f t="shared" si="421"/>
        <v>5</v>
      </c>
      <c r="AE4933" s="580">
        <f t="shared" si="422"/>
        <v>2.5</v>
      </c>
      <c r="AF4933" s="580">
        <f t="shared" si="423"/>
        <v>2.5</v>
      </c>
      <c r="AG4933" s="580">
        <f t="shared" si="424"/>
        <v>0</v>
      </c>
      <c r="AH4933" s="580">
        <f t="shared" si="425"/>
        <v>0</v>
      </c>
    </row>
    <row r="4934" spans="28:34">
      <c r="AB4934" s="580">
        <f>HLOOKUP("*"&amp;'Output annual'!$AC$2&amp;'Output annual'!$AD$2&amp;"*Zone People Number Of Occupants [](Hourly)",'Eplus results'!$1:$1048576,ROW(),FALSE)</f>
        <v>0</v>
      </c>
      <c r="AC4934" s="580">
        <f>HLOOKUP("*"&amp;'Output annual'!$AC$2&amp;'Output annual'!$AD$2&amp;"*FangerPMV(Hourly)",'Eplus results'!$1:$1048576,ROW(),FALSE)</f>
        <v>0</v>
      </c>
      <c r="AD4934" s="580">
        <f t="shared" si="421"/>
        <v>5</v>
      </c>
      <c r="AE4934" s="580">
        <f t="shared" si="422"/>
        <v>2.5</v>
      </c>
      <c r="AF4934" s="580">
        <f t="shared" si="423"/>
        <v>2.5</v>
      </c>
      <c r="AG4934" s="580">
        <f t="shared" si="424"/>
        <v>0</v>
      </c>
      <c r="AH4934" s="580">
        <f t="shared" si="425"/>
        <v>0</v>
      </c>
    </row>
    <row r="4935" spans="28:34">
      <c r="AB4935" s="580">
        <f>HLOOKUP("*"&amp;'Output annual'!$AC$2&amp;'Output annual'!$AD$2&amp;"*Zone People Number Of Occupants [](Hourly)",'Eplus results'!$1:$1048576,ROW(),FALSE)</f>
        <v>0</v>
      </c>
      <c r="AC4935" s="580">
        <f>HLOOKUP("*"&amp;'Output annual'!$AC$2&amp;'Output annual'!$AD$2&amp;"*FangerPMV(Hourly)",'Eplus results'!$1:$1048576,ROW(),FALSE)</f>
        <v>0</v>
      </c>
      <c r="AD4935" s="580">
        <f t="shared" si="421"/>
        <v>5</v>
      </c>
      <c r="AE4935" s="580">
        <f t="shared" si="422"/>
        <v>2.5</v>
      </c>
      <c r="AF4935" s="580">
        <f t="shared" si="423"/>
        <v>2.5</v>
      </c>
      <c r="AG4935" s="580">
        <f t="shared" si="424"/>
        <v>0</v>
      </c>
      <c r="AH4935" s="580">
        <f t="shared" si="425"/>
        <v>0</v>
      </c>
    </row>
    <row r="4936" spans="28:34">
      <c r="AB4936" s="580">
        <f>HLOOKUP("*"&amp;'Output annual'!$AC$2&amp;'Output annual'!$AD$2&amp;"*Zone People Number Of Occupants [](Hourly)",'Eplus results'!$1:$1048576,ROW(),FALSE)</f>
        <v>0</v>
      </c>
      <c r="AC4936" s="580">
        <f>HLOOKUP("*"&amp;'Output annual'!$AC$2&amp;'Output annual'!$AD$2&amp;"*FangerPMV(Hourly)",'Eplus results'!$1:$1048576,ROW(),FALSE)</f>
        <v>0</v>
      </c>
      <c r="AD4936" s="580">
        <f t="shared" si="421"/>
        <v>5</v>
      </c>
      <c r="AE4936" s="580">
        <f t="shared" si="422"/>
        <v>2.5</v>
      </c>
      <c r="AF4936" s="580">
        <f t="shared" si="423"/>
        <v>2.5</v>
      </c>
      <c r="AG4936" s="580">
        <f t="shared" si="424"/>
        <v>0</v>
      </c>
      <c r="AH4936" s="580">
        <f t="shared" si="425"/>
        <v>0</v>
      </c>
    </row>
    <row r="4937" spans="28:34">
      <c r="AB4937" s="580">
        <f>HLOOKUP("*"&amp;'Output annual'!$AC$2&amp;'Output annual'!$AD$2&amp;"*Zone People Number Of Occupants [](Hourly)",'Eplus results'!$1:$1048576,ROW(),FALSE)</f>
        <v>0</v>
      </c>
      <c r="AC4937" s="580">
        <f>HLOOKUP("*"&amp;'Output annual'!$AC$2&amp;'Output annual'!$AD$2&amp;"*FangerPMV(Hourly)",'Eplus results'!$1:$1048576,ROW(),FALSE)</f>
        <v>0</v>
      </c>
      <c r="AD4937" s="580">
        <f t="shared" si="421"/>
        <v>5</v>
      </c>
      <c r="AE4937" s="580">
        <f t="shared" si="422"/>
        <v>2.5</v>
      </c>
      <c r="AF4937" s="580">
        <f t="shared" si="423"/>
        <v>2.5</v>
      </c>
      <c r="AG4937" s="580">
        <f t="shared" si="424"/>
        <v>0</v>
      </c>
      <c r="AH4937" s="580">
        <f t="shared" si="425"/>
        <v>0</v>
      </c>
    </row>
    <row r="4938" spans="28:34">
      <c r="AB4938" s="580">
        <f>HLOOKUP("*"&amp;'Output annual'!$AC$2&amp;'Output annual'!$AD$2&amp;"*Zone People Number Of Occupants [](Hourly)",'Eplus results'!$1:$1048576,ROW(),FALSE)</f>
        <v>0</v>
      </c>
      <c r="AC4938" s="580">
        <f>HLOOKUP("*"&amp;'Output annual'!$AC$2&amp;'Output annual'!$AD$2&amp;"*FangerPMV(Hourly)",'Eplus results'!$1:$1048576,ROW(),FALSE)</f>
        <v>0</v>
      </c>
      <c r="AD4938" s="580">
        <f t="shared" si="421"/>
        <v>5</v>
      </c>
      <c r="AE4938" s="580">
        <f t="shared" si="422"/>
        <v>2.5</v>
      </c>
      <c r="AF4938" s="580">
        <f t="shared" si="423"/>
        <v>2.5</v>
      </c>
      <c r="AG4938" s="580">
        <f t="shared" si="424"/>
        <v>0</v>
      </c>
      <c r="AH4938" s="580">
        <f t="shared" si="425"/>
        <v>0</v>
      </c>
    </row>
    <row r="4939" spans="28:34">
      <c r="AB4939" s="580">
        <f>HLOOKUP("*"&amp;'Output annual'!$AC$2&amp;'Output annual'!$AD$2&amp;"*Zone People Number Of Occupants [](Hourly)",'Eplus results'!$1:$1048576,ROW(),FALSE)</f>
        <v>0</v>
      </c>
      <c r="AC4939" s="580">
        <f>HLOOKUP("*"&amp;'Output annual'!$AC$2&amp;'Output annual'!$AD$2&amp;"*FangerPMV(Hourly)",'Eplus results'!$1:$1048576,ROW(),FALSE)</f>
        <v>0</v>
      </c>
      <c r="AD4939" s="580">
        <f t="shared" si="421"/>
        <v>5</v>
      </c>
      <c r="AE4939" s="580">
        <f t="shared" si="422"/>
        <v>2.5</v>
      </c>
      <c r="AF4939" s="580">
        <f t="shared" si="423"/>
        <v>2.5</v>
      </c>
      <c r="AG4939" s="580">
        <f t="shared" si="424"/>
        <v>0</v>
      </c>
      <c r="AH4939" s="580">
        <f t="shared" si="425"/>
        <v>0</v>
      </c>
    </row>
    <row r="4940" spans="28:34">
      <c r="AB4940" s="580">
        <f>HLOOKUP("*"&amp;'Output annual'!$AC$2&amp;'Output annual'!$AD$2&amp;"*Zone People Number Of Occupants [](Hourly)",'Eplus results'!$1:$1048576,ROW(),FALSE)</f>
        <v>0</v>
      </c>
      <c r="AC4940" s="580">
        <f>HLOOKUP("*"&amp;'Output annual'!$AC$2&amp;'Output annual'!$AD$2&amp;"*FangerPMV(Hourly)",'Eplus results'!$1:$1048576,ROW(),FALSE)</f>
        <v>0</v>
      </c>
      <c r="AD4940" s="580">
        <f t="shared" si="421"/>
        <v>5</v>
      </c>
      <c r="AE4940" s="580">
        <f t="shared" si="422"/>
        <v>2.5</v>
      </c>
      <c r="AF4940" s="580">
        <f t="shared" si="423"/>
        <v>2.5</v>
      </c>
      <c r="AG4940" s="580">
        <f t="shared" si="424"/>
        <v>0</v>
      </c>
      <c r="AH4940" s="580">
        <f t="shared" si="425"/>
        <v>0</v>
      </c>
    </row>
    <row r="4941" spans="28:34">
      <c r="AB4941" s="580">
        <f>HLOOKUP("*"&amp;'Output annual'!$AC$2&amp;'Output annual'!$AD$2&amp;"*Zone People Number Of Occupants [](Hourly)",'Eplus results'!$1:$1048576,ROW(),FALSE)</f>
        <v>0</v>
      </c>
      <c r="AC4941" s="580">
        <f>HLOOKUP("*"&amp;'Output annual'!$AC$2&amp;'Output annual'!$AD$2&amp;"*FangerPMV(Hourly)",'Eplus results'!$1:$1048576,ROW(),FALSE)</f>
        <v>0</v>
      </c>
      <c r="AD4941" s="580">
        <f t="shared" si="421"/>
        <v>5</v>
      </c>
      <c r="AE4941" s="580">
        <f t="shared" si="422"/>
        <v>2.5</v>
      </c>
      <c r="AF4941" s="580">
        <f t="shared" si="423"/>
        <v>2.5</v>
      </c>
      <c r="AG4941" s="580">
        <f t="shared" si="424"/>
        <v>0</v>
      </c>
      <c r="AH4941" s="580">
        <f t="shared" si="425"/>
        <v>0</v>
      </c>
    </row>
    <row r="4942" spans="28:34">
      <c r="AB4942" s="580">
        <f>HLOOKUP("*"&amp;'Output annual'!$AC$2&amp;'Output annual'!$AD$2&amp;"*Zone People Number Of Occupants [](Hourly)",'Eplus results'!$1:$1048576,ROW(),FALSE)</f>
        <v>0</v>
      </c>
      <c r="AC4942" s="580">
        <f>HLOOKUP("*"&amp;'Output annual'!$AC$2&amp;'Output annual'!$AD$2&amp;"*FangerPMV(Hourly)",'Eplus results'!$1:$1048576,ROW(),FALSE)</f>
        <v>0</v>
      </c>
      <c r="AD4942" s="580">
        <f t="shared" si="421"/>
        <v>5</v>
      </c>
      <c r="AE4942" s="580">
        <f t="shared" si="422"/>
        <v>2.5</v>
      </c>
      <c r="AF4942" s="580">
        <f t="shared" si="423"/>
        <v>2.5</v>
      </c>
      <c r="AG4942" s="580">
        <f t="shared" si="424"/>
        <v>0</v>
      </c>
      <c r="AH4942" s="580">
        <f t="shared" si="425"/>
        <v>0</v>
      </c>
    </row>
    <row r="4943" spans="28:34">
      <c r="AB4943" s="580">
        <f>HLOOKUP("*"&amp;'Output annual'!$AC$2&amp;'Output annual'!$AD$2&amp;"*Zone People Number Of Occupants [](Hourly)",'Eplus results'!$1:$1048576,ROW(),FALSE)</f>
        <v>0</v>
      </c>
      <c r="AC4943" s="580">
        <f>HLOOKUP("*"&amp;'Output annual'!$AC$2&amp;'Output annual'!$AD$2&amp;"*FangerPMV(Hourly)",'Eplus results'!$1:$1048576,ROW(),FALSE)</f>
        <v>0</v>
      </c>
      <c r="AD4943" s="580">
        <f t="shared" si="421"/>
        <v>5</v>
      </c>
      <c r="AE4943" s="580">
        <f t="shared" si="422"/>
        <v>2.5</v>
      </c>
      <c r="AF4943" s="580">
        <f t="shared" si="423"/>
        <v>2.5</v>
      </c>
      <c r="AG4943" s="580">
        <f t="shared" si="424"/>
        <v>0</v>
      </c>
      <c r="AH4943" s="580">
        <f t="shared" si="425"/>
        <v>0</v>
      </c>
    </row>
    <row r="4944" spans="28:34">
      <c r="AB4944" s="580">
        <f>HLOOKUP("*"&amp;'Output annual'!$AC$2&amp;'Output annual'!$AD$2&amp;"*Zone People Number Of Occupants [](Hourly)",'Eplus results'!$1:$1048576,ROW(),FALSE)</f>
        <v>0</v>
      </c>
      <c r="AC4944" s="580">
        <f>HLOOKUP("*"&amp;'Output annual'!$AC$2&amp;'Output annual'!$AD$2&amp;"*FangerPMV(Hourly)",'Eplus results'!$1:$1048576,ROW(),FALSE)</f>
        <v>0</v>
      </c>
      <c r="AD4944" s="580">
        <f t="shared" si="421"/>
        <v>5</v>
      </c>
      <c r="AE4944" s="580">
        <f t="shared" si="422"/>
        <v>2.5</v>
      </c>
      <c r="AF4944" s="580">
        <f t="shared" si="423"/>
        <v>2.5</v>
      </c>
      <c r="AG4944" s="580">
        <f t="shared" si="424"/>
        <v>0</v>
      </c>
      <c r="AH4944" s="580">
        <f t="shared" si="425"/>
        <v>0</v>
      </c>
    </row>
    <row r="4945" spans="28:34">
      <c r="AB4945" s="580">
        <f>HLOOKUP("*"&amp;'Output annual'!$AC$2&amp;'Output annual'!$AD$2&amp;"*Zone People Number Of Occupants [](Hourly)",'Eplus results'!$1:$1048576,ROW(),FALSE)</f>
        <v>0</v>
      </c>
      <c r="AC4945" s="580">
        <f>HLOOKUP("*"&amp;'Output annual'!$AC$2&amp;'Output annual'!$AD$2&amp;"*FangerPMV(Hourly)",'Eplus results'!$1:$1048576,ROW(),FALSE)</f>
        <v>0</v>
      </c>
      <c r="AD4945" s="580">
        <f t="shared" si="421"/>
        <v>5</v>
      </c>
      <c r="AE4945" s="580">
        <f t="shared" si="422"/>
        <v>2.5</v>
      </c>
      <c r="AF4945" s="580">
        <f t="shared" si="423"/>
        <v>2.5</v>
      </c>
      <c r="AG4945" s="580">
        <f t="shared" si="424"/>
        <v>0</v>
      </c>
      <c r="AH4945" s="580">
        <f t="shared" si="425"/>
        <v>0</v>
      </c>
    </row>
    <row r="4946" spans="28:34">
      <c r="AB4946" s="580">
        <f>HLOOKUP("*"&amp;'Output annual'!$AC$2&amp;'Output annual'!$AD$2&amp;"*Zone People Number Of Occupants [](Hourly)",'Eplus results'!$1:$1048576,ROW(),FALSE)</f>
        <v>0</v>
      </c>
      <c r="AC4946" s="580">
        <f>HLOOKUP("*"&amp;'Output annual'!$AC$2&amp;'Output annual'!$AD$2&amp;"*FangerPMV(Hourly)",'Eplus results'!$1:$1048576,ROW(),FALSE)</f>
        <v>0</v>
      </c>
      <c r="AD4946" s="580">
        <f t="shared" si="421"/>
        <v>5</v>
      </c>
      <c r="AE4946" s="580">
        <f t="shared" si="422"/>
        <v>2.5</v>
      </c>
      <c r="AF4946" s="580">
        <f t="shared" si="423"/>
        <v>2.5</v>
      </c>
      <c r="AG4946" s="580">
        <f t="shared" si="424"/>
        <v>0</v>
      </c>
      <c r="AH4946" s="580">
        <f t="shared" si="425"/>
        <v>0</v>
      </c>
    </row>
    <row r="4947" spans="28:34">
      <c r="AB4947" s="580">
        <f>HLOOKUP("*"&amp;'Output annual'!$AC$2&amp;'Output annual'!$AD$2&amp;"*Zone People Number Of Occupants [](Hourly)",'Eplus results'!$1:$1048576,ROW(),FALSE)</f>
        <v>0</v>
      </c>
      <c r="AC4947" s="580">
        <f>HLOOKUP("*"&amp;'Output annual'!$AC$2&amp;'Output annual'!$AD$2&amp;"*FangerPMV(Hourly)",'Eplus results'!$1:$1048576,ROW(),FALSE)</f>
        <v>0</v>
      </c>
      <c r="AD4947" s="580">
        <f t="shared" si="421"/>
        <v>5</v>
      </c>
      <c r="AE4947" s="580">
        <f t="shared" si="422"/>
        <v>2.5</v>
      </c>
      <c r="AF4947" s="580">
        <f t="shared" si="423"/>
        <v>2.5</v>
      </c>
      <c r="AG4947" s="580">
        <f t="shared" si="424"/>
        <v>0</v>
      </c>
      <c r="AH4947" s="580">
        <f t="shared" si="425"/>
        <v>0</v>
      </c>
    </row>
    <row r="4948" spans="28:34">
      <c r="AB4948" s="580">
        <f>HLOOKUP("*"&amp;'Output annual'!$AC$2&amp;'Output annual'!$AD$2&amp;"*Zone People Number Of Occupants [](Hourly)",'Eplus results'!$1:$1048576,ROW(),FALSE)</f>
        <v>0</v>
      </c>
      <c r="AC4948" s="580">
        <f>HLOOKUP("*"&amp;'Output annual'!$AC$2&amp;'Output annual'!$AD$2&amp;"*FangerPMV(Hourly)",'Eplus results'!$1:$1048576,ROW(),FALSE)</f>
        <v>0</v>
      </c>
      <c r="AD4948" s="580">
        <f t="shared" si="421"/>
        <v>5</v>
      </c>
      <c r="AE4948" s="580">
        <f t="shared" si="422"/>
        <v>2.5</v>
      </c>
      <c r="AF4948" s="580">
        <f t="shared" si="423"/>
        <v>2.5</v>
      </c>
      <c r="AG4948" s="580">
        <f t="shared" si="424"/>
        <v>0</v>
      </c>
      <c r="AH4948" s="580">
        <f t="shared" si="425"/>
        <v>0</v>
      </c>
    </row>
    <row r="4949" spans="28:34">
      <c r="AB4949" s="580">
        <f>HLOOKUP("*"&amp;'Output annual'!$AC$2&amp;'Output annual'!$AD$2&amp;"*Zone People Number Of Occupants [](Hourly)",'Eplus results'!$1:$1048576,ROW(),FALSE)</f>
        <v>0</v>
      </c>
      <c r="AC4949" s="580">
        <f>HLOOKUP("*"&amp;'Output annual'!$AC$2&amp;'Output annual'!$AD$2&amp;"*FangerPMV(Hourly)",'Eplus results'!$1:$1048576,ROW(),FALSE)</f>
        <v>0</v>
      </c>
      <c r="AD4949" s="580">
        <f t="shared" si="421"/>
        <v>5</v>
      </c>
      <c r="AE4949" s="580">
        <f t="shared" si="422"/>
        <v>2.5</v>
      </c>
      <c r="AF4949" s="580">
        <f t="shared" si="423"/>
        <v>2.5</v>
      </c>
      <c r="AG4949" s="580">
        <f t="shared" si="424"/>
        <v>0</v>
      </c>
      <c r="AH4949" s="580">
        <f t="shared" si="425"/>
        <v>0</v>
      </c>
    </row>
    <row r="4950" spans="28:34">
      <c r="AB4950" s="580">
        <f>HLOOKUP("*"&amp;'Output annual'!$AC$2&amp;'Output annual'!$AD$2&amp;"*Zone People Number Of Occupants [](Hourly)",'Eplus results'!$1:$1048576,ROW(),FALSE)</f>
        <v>0</v>
      </c>
      <c r="AC4950" s="580">
        <f>HLOOKUP("*"&amp;'Output annual'!$AC$2&amp;'Output annual'!$AD$2&amp;"*FangerPMV(Hourly)",'Eplus results'!$1:$1048576,ROW(),FALSE)</f>
        <v>0</v>
      </c>
      <c r="AD4950" s="580">
        <f t="shared" si="421"/>
        <v>5</v>
      </c>
      <c r="AE4950" s="580">
        <f t="shared" si="422"/>
        <v>2.5</v>
      </c>
      <c r="AF4950" s="580">
        <f t="shared" si="423"/>
        <v>2.5</v>
      </c>
      <c r="AG4950" s="580">
        <f t="shared" si="424"/>
        <v>0</v>
      </c>
      <c r="AH4950" s="580">
        <f t="shared" si="425"/>
        <v>0</v>
      </c>
    </row>
    <row r="4951" spans="28:34">
      <c r="AB4951" s="580">
        <f>HLOOKUP("*"&amp;'Output annual'!$AC$2&amp;'Output annual'!$AD$2&amp;"*Zone People Number Of Occupants [](Hourly)",'Eplus results'!$1:$1048576,ROW(),FALSE)</f>
        <v>0</v>
      </c>
      <c r="AC4951" s="580">
        <f>HLOOKUP("*"&amp;'Output annual'!$AC$2&amp;'Output annual'!$AD$2&amp;"*FangerPMV(Hourly)",'Eplus results'!$1:$1048576,ROW(),FALSE)</f>
        <v>0</v>
      </c>
      <c r="AD4951" s="580">
        <f t="shared" si="421"/>
        <v>5</v>
      </c>
      <c r="AE4951" s="580">
        <f t="shared" si="422"/>
        <v>2.5</v>
      </c>
      <c r="AF4951" s="580">
        <f t="shared" si="423"/>
        <v>2.5</v>
      </c>
      <c r="AG4951" s="580">
        <f t="shared" si="424"/>
        <v>0</v>
      </c>
      <c r="AH4951" s="580">
        <f t="shared" si="425"/>
        <v>0</v>
      </c>
    </row>
    <row r="4952" spans="28:34">
      <c r="AB4952" s="580">
        <f>HLOOKUP("*"&amp;'Output annual'!$AC$2&amp;'Output annual'!$AD$2&amp;"*Zone People Number Of Occupants [](Hourly)",'Eplus results'!$1:$1048576,ROW(),FALSE)</f>
        <v>0</v>
      </c>
      <c r="AC4952" s="580">
        <f>HLOOKUP("*"&amp;'Output annual'!$AC$2&amp;'Output annual'!$AD$2&amp;"*FangerPMV(Hourly)",'Eplus results'!$1:$1048576,ROW(),FALSE)</f>
        <v>0</v>
      </c>
      <c r="AD4952" s="580">
        <f t="shared" si="421"/>
        <v>5</v>
      </c>
      <c r="AE4952" s="580">
        <f t="shared" si="422"/>
        <v>2.5</v>
      </c>
      <c r="AF4952" s="580">
        <f t="shared" si="423"/>
        <v>2.5</v>
      </c>
      <c r="AG4952" s="580">
        <f t="shared" si="424"/>
        <v>0</v>
      </c>
      <c r="AH4952" s="580">
        <f t="shared" si="425"/>
        <v>0</v>
      </c>
    </row>
    <row r="4953" spans="28:34">
      <c r="AB4953" s="580">
        <f>HLOOKUP("*"&amp;'Output annual'!$AC$2&amp;'Output annual'!$AD$2&amp;"*Zone People Number Of Occupants [](Hourly)",'Eplus results'!$1:$1048576,ROW(),FALSE)</f>
        <v>0</v>
      </c>
      <c r="AC4953" s="580">
        <f>HLOOKUP("*"&amp;'Output annual'!$AC$2&amp;'Output annual'!$AD$2&amp;"*FangerPMV(Hourly)",'Eplus results'!$1:$1048576,ROW(),FALSE)</f>
        <v>0</v>
      </c>
      <c r="AD4953" s="580">
        <f t="shared" si="421"/>
        <v>5</v>
      </c>
      <c r="AE4953" s="580">
        <f t="shared" si="422"/>
        <v>2.5</v>
      </c>
      <c r="AF4953" s="580">
        <f t="shared" si="423"/>
        <v>2.5</v>
      </c>
      <c r="AG4953" s="580">
        <f t="shared" si="424"/>
        <v>0</v>
      </c>
      <c r="AH4953" s="580">
        <f t="shared" si="425"/>
        <v>0</v>
      </c>
    </row>
    <row r="4954" spans="28:34">
      <c r="AB4954" s="580">
        <f>HLOOKUP("*"&amp;'Output annual'!$AC$2&amp;'Output annual'!$AD$2&amp;"*Zone People Number Of Occupants [](Hourly)",'Eplus results'!$1:$1048576,ROW(),FALSE)</f>
        <v>0</v>
      </c>
      <c r="AC4954" s="580">
        <f>HLOOKUP("*"&amp;'Output annual'!$AC$2&amp;'Output annual'!$AD$2&amp;"*FangerPMV(Hourly)",'Eplus results'!$1:$1048576,ROW(),FALSE)</f>
        <v>0</v>
      </c>
      <c r="AD4954" s="580">
        <f t="shared" si="421"/>
        <v>5</v>
      </c>
      <c r="AE4954" s="580">
        <f t="shared" si="422"/>
        <v>2.5</v>
      </c>
      <c r="AF4954" s="580">
        <f t="shared" si="423"/>
        <v>2.5</v>
      </c>
      <c r="AG4954" s="580">
        <f t="shared" si="424"/>
        <v>0</v>
      </c>
      <c r="AH4954" s="580">
        <f t="shared" si="425"/>
        <v>0</v>
      </c>
    </row>
    <row r="4955" spans="28:34">
      <c r="AB4955" s="580">
        <f>HLOOKUP("*"&amp;'Output annual'!$AC$2&amp;'Output annual'!$AD$2&amp;"*Zone People Number Of Occupants [](Hourly)",'Eplus results'!$1:$1048576,ROW(),FALSE)</f>
        <v>0</v>
      </c>
      <c r="AC4955" s="580">
        <f>HLOOKUP("*"&amp;'Output annual'!$AC$2&amp;'Output annual'!$AD$2&amp;"*FangerPMV(Hourly)",'Eplus results'!$1:$1048576,ROW(),FALSE)</f>
        <v>0</v>
      </c>
      <c r="AD4955" s="580">
        <f t="shared" si="421"/>
        <v>5</v>
      </c>
      <c r="AE4955" s="580">
        <f t="shared" si="422"/>
        <v>2.5</v>
      </c>
      <c r="AF4955" s="580">
        <f t="shared" si="423"/>
        <v>2.5</v>
      </c>
      <c r="AG4955" s="580">
        <f t="shared" si="424"/>
        <v>0</v>
      </c>
      <c r="AH4955" s="580">
        <f t="shared" si="425"/>
        <v>0</v>
      </c>
    </row>
    <row r="4956" spans="28:34">
      <c r="AB4956" s="580">
        <f>HLOOKUP("*"&amp;'Output annual'!$AC$2&amp;'Output annual'!$AD$2&amp;"*Zone People Number Of Occupants [](Hourly)",'Eplus results'!$1:$1048576,ROW(),FALSE)</f>
        <v>0</v>
      </c>
      <c r="AC4956" s="580">
        <f>HLOOKUP("*"&amp;'Output annual'!$AC$2&amp;'Output annual'!$AD$2&amp;"*FangerPMV(Hourly)",'Eplus results'!$1:$1048576,ROW(),FALSE)</f>
        <v>0</v>
      </c>
      <c r="AD4956" s="580">
        <f t="shared" si="421"/>
        <v>5</v>
      </c>
      <c r="AE4956" s="580">
        <f t="shared" si="422"/>
        <v>2.5</v>
      </c>
      <c r="AF4956" s="580">
        <f t="shared" si="423"/>
        <v>2.5</v>
      </c>
      <c r="AG4956" s="580">
        <f t="shared" si="424"/>
        <v>0</v>
      </c>
      <c r="AH4956" s="580">
        <f t="shared" si="425"/>
        <v>0</v>
      </c>
    </row>
    <row r="4957" spans="28:34">
      <c r="AB4957" s="580">
        <f>HLOOKUP("*"&amp;'Output annual'!$AC$2&amp;'Output annual'!$AD$2&amp;"*Zone People Number Of Occupants [](Hourly)",'Eplus results'!$1:$1048576,ROW(),FALSE)</f>
        <v>0</v>
      </c>
      <c r="AC4957" s="580">
        <f>HLOOKUP("*"&amp;'Output annual'!$AC$2&amp;'Output annual'!$AD$2&amp;"*FangerPMV(Hourly)",'Eplus results'!$1:$1048576,ROW(),FALSE)</f>
        <v>0</v>
      </c>
      <c r="AD4957" s="580">
        <f t="shared" si="421"/>
        <v>5</v>
      </c>
      <c r="AE4957" s="580">
        <f t="shared" si="422"/>
        <v>2.5</v>
      </c>
      <c r="AF4957" s="580">
        <f t="shared" si="423"/>
        <v>2.5</v>
      </c>
      <c r="AG4957" s="580">
        <f t="shared" si="424"/>
        <v>0</v>
      </c>
      <c r="AH4957" s="580">
        <f t="shared" si="425"/>
        <v>0</v>
      </c>
    </row>
    <row r="4958" spans="28:34">
      <c r="AB4958" s="580">
        <f>HLOOKUP("*"&amp;'Output annual'!$AC$2&amp;'Output annual'!$AD$2&amp;"*Zone People Number Of Occupants [](Hourly)",'Eplus results'!$1:$1048576,ROW(),FALSE)</f>
        <v>0</v>
      </c>
      <c r="AC4958" s="580">
        <f>HLOOKUP("*"&amp;'Output annual'!$AC$2&amp;'Output annual'!$AD$2&amp;"*FangerPMV(Hourly)",'Eplus results'!$1:$1048576,ROW(),FALSE)</f>
        <v>0</v>
      </c>
      <c r="AD4958" s="580">
        <f t="shared" si="421"/>
        <v>5</v>
      </c>
      <c r="AE4958" s="580">
        <f t="shared" si="422"/>
        <v>2.5</v>
      </c>
      <c r="AF4958" s="580">
        <f t="shared" si="423"/>
        <v>2.5</v>
      </c>
      <c r="AG4958" s="580">
        <f t="shared" si="424"/>
        <v>0</v>
      </c>
      <c r="AH4958" s="580">
        <f t="shared" si="425"/>
        <v>0</v>
      </c>
    </row>
    <row r="4959" spans="28:34">
      <c r="AB4959" s="580">
        <f>HLOOKUP("*"&amp;'Output annual'!$AC$2&amp;'Output annual'!$AD$2&amp;"*Zone People Number Of Occupants [](Hourly)",'Eplus results'!$1:$1048576,ROW(),FALSE)</f>
        <v>0</v>
      </c>
      <c r="AC4959" s="580">
        <f>HLOOKUP("*"&amp;'Output annual'!$AC$2&amp;'Output annual'!$AD$2&amp;"*FangerPMV(Hourly)",'Eplus results'!$1:$1048576,ROW(),FALSE)</f>
        <v>0</v>
      </c>
      <c r="AD4959" s="580">
        <f t="shared" si="421"/>
        <v>5</v>
      </c>
      <c r="AE4959" s="580">
        <f t="shared" si="422"/>
        <v>2.5</v>
      </c>
      <c r="AF4959" s="580">
        <f t="shared" si="423"/>
        <v>2.5</v>
      </c>
      <c r="AG4959" s="580">
        <f t="shared" si="424"/>
        <v>0</v>
      </c>
      <c r="AH4959" s="580">
        <f t="shared" si="425"/>
        <v>0</v>
      </c>
    </row>
    <row r="4960" spans="28:34">
      <c r="AB4960" s="580">
        <f>HLOOKUP("*"&amp;'Output annual'!$AC$2&amp;'Output annual'!$AD$2&amp;"*Zone People Number Of Occupants [](Hourly)",'Eplus results'!$1:$1048576,ROW(),FALSE)</f>
        <v>0</v>
      </c>
      <c r="AC4960" s="580">
        <f>HLOOKUP("*"&amp;'Output annual'!$AC$2&amp;'Output annual'!$AD$2&amp;"*FangerPMV(Hourly)",'Eplus results'!$1:$1048576,ROW(),FALSE)</f>
        <v>0</v>
      </c>
      <c r="AD4960" s="580">
        <f t="shared" si="421"/>
        <v>5</v>
      </c>
      <c r="AE4960" s="580">
        <f t="shared" si="422"/>
        <v>2.5</v>
      </c>
      <c r="AF4960" s="580">
        <f t="shared" si="423"/>
        <v>2.5</v>
      </c>
      <c r="AG4960" s="580">
        <f t="shared" si="424"/>
        <v>0</v>
      </c>
      <c r="AH4960" s="580">
        <f t="shared" si="425"/>
        <v>0</v>
      </c>
    </row>
    <row r="4961" spans="28:34">
      <c r="AB4961" s="580">
        <f>HLOOKUP("*"&amp;'Output annual'!$AC$2&amp;'Output annual'!$AD$2&amp;"*Zone People Number Of Occupants [](Hourly)",'Eplus results'!$1:$1048576,ROW(),FALSE)</f>
        <v>0</v>
      </c>
      <c r="AC4961" s="580">
        <f>HLOOKUP("*"&amp;'Output annual'!$AC$2&amp;'Output annual'!$AD$2&amp;"*FangerPMV(Hourly)",'Eplus results'!$1:$1048576,ROW(),FALSE)</f>
        <v>0</v>
      </c>
      <c r="AD4961" s="580">
        <f t="shared" si="421"/>
        <v>5</v>
      </c>
      <c r="AE4961" s="580">
        <f t="shared" si="422"/>
        <v>2.5</v>
      </c>
      <c r="AF4961" s="580">
        <f t="shared" si="423"/>
        <v>2.5</v>
      </c>
      <c r="AG4961" s="580">
        <f t="shared" si="424"/>
        <v>0</v>
      </c>
      <c r="AH4961" s="580">
        <f t="shared" si="425"/>
        <v>0</v>
      </c>
    </row>
    <row r="4962" spans="28:34">
      <c r="AB4962" s="580">
        <f>HLOOKUP("*"&amp;'Output annual'!$AC$2&amp;'Output annual'!$AD$2&amp;"*Zone People Number Of Occupants [](Hourly)",'Eplus results'!$1:$1048576,ROW(),FALSE)</f>
        <v>0</v>
      </c>
      <c r="AC4962" s="580">
        <f>HLOOKUP("*"&amp;'Output annual'!$AC$2&amp;'Output annual'!$AD$2&amp;"*FangerPMV(Hourly)",'Eplus results'!$1:$1048576,ROW(),FALSE)</f>
        <v>0</v>
      </c>
      <c r="AD4962" s="580">
        <f t="shared" si="421"/>
        <v>5</v>
      </c>
      <c r="AE4962" s="580">
        <f t="shared" si="422"/>
        <v>2.5</v>
      </c>
      <c r="AF4962" s="580">
        <f t="shared" si="423"/>
        <v>2.5</v>
      </c>
      <c r="AG4962" s="580">
        <f t="shared" si="424"/>
        <v>0</v>
      </c>
      <c r="AH4962" s="580">
        <f t="shared" si="425"/>
        <v>0</v>
      </c>
    </row>
    <row r="4963" spans="28:34">
      <c r="AB4963" s="580">
        <f>HLOOKUP("*"&amp;'Output annual'!$AC$2&amp;'Output annual'!$AD$2&amp;"*Zone People Number Of Occupants [](Hourly)",'Eplus results'!$1:$1048576,ROW(),FALSE)</f>
        <v>0</v>
      </c>
      <c r="AC4963" s="580">
        <f>HLOOKUP("*"&amp;'Output annual'!$AC$2&amp;'Output annual'!$AD$2&amp;"*FangerPMV(Hourly)",'Eplus results'!$1:$1048576,ROW(),FALSE)</f>
        <v>0</v>
      </c>
      <c r="AD4963" s="580">
        <f t="shared" si="421"/>
        <v>5</v>
      </c>
      <c r="AE4963" s="580">
        <f t="shared" si="422"/>
        <v>2.5</v>
      </c>
      <c r="AF4963" s="580">
        <f t="shared" si="423"/>
        <v>2.5</v>
      </c>
      <c r="AG4963" s="580">
        <f t="shared" si="424"/>
        <v>0</v>
      </c>
      <c r="AH4963" s="580">
        <f t="shared" si="425"/>
        <v>0</v>
      </c>
    </row>
    <row r="4964" spans="28:34">
      <c r="AB4964" s="580">
        <f>HLOOKUP("*"&amp;'Output annual'!$AC$2&amp;'Output annual'!$AD$2&amp;"*Zone People Number Of Occupants [](Hourly)",'Eplus results'!$1:$1048576,ROW(),FALSE)</f>
        <v>0</v>
      </c>
      <c r="AC4964" s="580">
        <f>HLOOKUP("*"&amp;'Output annual'!$AC$2&amp;'Output annual'!$AD$2&amp;"*FangerPMV(Hourly)",'Eplus results'!$1:$1048576,ROW(),FALSE)</f>
        <v>0</v>
      </c>
      <c r="AD4964" s="580">
        <f t="shared" si="421"/>
        <v>5</v>
      </c>
      <c r="AE4964" s="580">
        <f t="shared" si="422"/>
        <v>2.5</v>
      </c>
      <c r="AF4964" s="580">
        <f t="shared" si="423"/>
        <v>2.5</v>
      </c>
      <c r="AG4964" s="580">
        <f t="shared" si="424"/>
        <v>0</v>
      </c>
      <c r="AH4964" s="580">
        <f t="shared" si="425"/>
        <v>0</v>
      </c>
    </row>
    <row r="4965" spans="28:34">
      <c r="AB4965" s="580">
        <f>HLOOKUP("*"&amp;'Output annual'!$AC$2&amp;'Output annual'!$AD$2&amp;"*Zone People Number Of Occupants [](Hourly)",'Eplus results'!$1:$1048576,ROW(),FALSE)</f>
        <v>0</v>
      </c>
      <c r="AC4965" s="580">
        <f>HLOOKUP("*"&amp;'Output annual'!$AC$2&amp;'Output annual'!$AD$2&amp;"*FangerPMV(Hourly)",'Eplus results'!$1:$1048576,ROW(),FALSE)</f>
        <v>0</v>
      </c>
      <c r="AD4965" s="580">
        <f t="shared" si="421"/>
        <v>5</v>
      </c>
      <c r="AE4965" s="580">
        <f t="shared" si="422"/>
        <v>2.5</v>
      </c>
      <c r="AF4965" s="580">
        <f t="shared" si="423"/>
        <v>2.5</v>
      </c>
      <c r="AG4965" s="580">
        <f t="shared" si="424"/>
        <v>0</v>
      </c>
      <c r="AH4965" s="580">
        <f t="shared" si="425"/>
        <v>0</v>
      </c>
    </row>
    <row r="4966" spans="28:34">
      <c r="AB4966" s="580">
        <f>HLOOKUP("*"&amp;'Output annual'!$AC$2&amp;'Output annual'!$AD$2&amp;"*Zone People Number Of Occupants [](Hourly)",'Eplus results'!$1:$1048576,ROW(),FALSE)</f>
        <v>0</v>
      </c>
      <c r="AC4966" s="580">
        <f>HLOOKUP("*"&amp;'Output annual'!$AC$2&amp;'Output annual'!$AD$2&amp;"*FangerPMV(Hourly)",'Eplus results'!$1:$1048576,ROW(),FALSE)</f>
        <v>0</v>
      </c>
      <c r="AD4966" s="580">
        <f t="shared" si="421"/>
        <v>5</v>
      </c>
      <c r="AE4966" s="580">
        <f t="shared" si="422"/>
        <v>2.5</v>
      </c>
      <c r="AF4966" s="580">
        <f t="shared" si="423"/>
        <v>2.5</v>
      </c>
      <c r="AG4966" s="580">
        <f t="shared" si="424"/>
        <v>0</v>
      </c>
      <c r="AH4966" s="580">
        <f t="shared" si="425"/>
        <v>0</v>
      </c>
    </row>
    <row r="4967" spans="28:34">
      <c r="AB4967" s="580">
        <f>HLOOKUP("*"&amp;'Output annual'!$AC$2&amp;'Output annual'!$AD$2&amp;"*Zone People Number Of Occupants [](Hourly)",'Eplus results'!$1:$1048576,ROW(),FALSE)</f>
        <v>0</v>
      </c>
      <c r="AC4967" s="580">
        <f>HLOOKUP("*"&amp;'Output annual'!$AC$2&amp;'Output annual'!$AD$2&amp;"*FangerPMV(Hourly)",'Eplus results'!$1:$1048576,ROW(),FALSE)</f>
        <v>0</v>
      </c>
      <c r="AD4967" s="580">
        <f t="shared" si="421"/>
        <v>5</v>
      </c>
      <c r="AE4967" s="580">
        <f t="shared" si="422"/>
        <v>2.5</v>
      </c>
      <c r="AF4967" s="580">
        <f t="shared" si="423"/>
        <v>2.5</v>
      </c>
      <c r="AG4967" s="580">
        <f t="shared" si="424"/>
        <v>0</v>
      </c>
      <c r="AH4967" s="580">
        <f t="shared" si="425"/>
        <v>0</v>
      </c>
    </row>
    <row r="4968" spans="28:34">
      <c r="AB4968" s="580">
        <f>HLOOKUP("*"&amp;'Output annual'!$AC$2&amp;'Output annual'!$AD$2&amp;"*Zone People Number Of Occupants [](Hourly)",'Eplus results'!$1:$1048576,ROW(),FALSE)</f>
        <v>0</v>
      </c>
      <c r="AC4968" s="580">
        <f>HLOOKUP("*"&amp;'Output annual'!$AC$2&amp;'Output annual'!$AD$2&amp;"*FangerPMV(Hourly)",'Eplus results'!$1:$1048576,ROW(),FALSE)</f>
        <v>0</v>
      </c>
      <c r="AD4968" s="580">
        <f t="shared" si="421"/>
        <v>5</v>
      </c>
      <c r="AE4968" s="580">
        <f t="shared" si="422"/>
        <v>2.5</v>
      </c>
      <c r="AF4968" s="580">
        <f t="shared" si="423"/>
        <v>2.5</v>
      </c>
      <c r="AG4968" s="580">
        <f t="shared" si="424"/>
        <v>0</v>
      </c>
      <c r="AH4968" s="580">
        <f t="shared" si="425"/>
        <v>0</v>
      </c>
    </row>
    <row r="4969" spans="28:34">
      <c r="AB4969" s="580">
        <f>HLOOKUP("*"&amp;'Output annual'!$AC$2&amp;'Output annual'!$AD$2&amp;"*Zone People Number Of Occupants [](Hourly)",'Eplus results'!$1:$1048576,ROW(),FALSE)</f>
        <v>0</v>
      </c>
      <c r="AC4969" s="580">
        <f>HLOOKUP("*"&amp;'Output annual'!$AC$2&amp;'Output annual'!$AD$2&amp;"*FangerPMV(Hourly)",'Eplus results'!$1:$1048576,ROW(),FALSE)</f>
        <v>0</v>
      </c>
      <c r="AD4969" s="580">
        <f t="shared" si="421"/>
        <v>5</v>
      </c>
      <c r="AE4969" s="580">
        <f t="shared" si="422"/>
        <v>2.5</v>
      </c>
      <c r="AF4969" s="580">
        <f t="shared" si="423"/>
        <v>2.5</v>
      </c>
      <c r="AG4969" s="580">
        <f t="shared" si="424"/>
        <v>0</v>
      </c>
      <c r="AH4969" s="580">
        <f t="shared" si="425"/>
        <v>0</v>
      </c>
    </row>
    <row r="4970" spans="28:34">
      <c r="AB4970" s="580">
        <f>HLOOKUP("*"&amp;'Output annual'!$AC$2&amp;'Output annual'!$AD$2&amp;"*Zone People Number Of Occupants [](Hourly)",'Eplus results'!$1:$1048576,ROW(),FALSE)</f>
        <v>0</v>
      </c>
      <c r="AC4970" s="580">
        <f>HLOOKUP("*"&amp;'Output annual'!$AC$2&amp;'Output annual'!$AD$2&amp;"*FangerPMV(Hourly)",'Eplus results'!$1:$1048576,ROW(),FALSE)</f>
        <v>0</v>
      </c>
      <c r="AD4970" s="580">
        <f t="shared" si="421"/>
        <v>5</v>
      </c>
      <c r="AE4970" s="580">
        <f t="shared" si="422"/>
        <v>2.5</v>
      </c>
      <c r="AF4970" s="580">
        <f t="shared" si="423"/>
        <v>2.5</v>
      </c>
      <c r="AG4970" s="580">
        <f t="shared" si="424"/>
        <v>0</v>
      </c>
      <c r="AH4970" s="580">
        <f t="shared" si="425"/>
        <v>0</v>
      </c>
    </row>
    <row r="4971" spans="28:34">
      <c r="AB4971" s="580">
        <f>HLOOKUP("*"&amp;'Output annual'!$AC$2&amp;'Output annual'!$AD$2&amp;"*Zone People Number Of Occupants [](Hourly)",'Eplus results'!$1:$1048576,ROW(),FALSE)</f>
        <v>0</v>
      </c>
      <c r="AC4971" s="580">
        <f>HLOOKUP("*"&amp;'Output annual'!$AC$2&amp;'Output annual'!$AD$2&amp;"*FangerPMV(Hourly)",'Eplus results'!$1:$1048576,ROW(),FALSE)</f>
        <v>0</v>
      </c>
      <c r="AD4971" s="580">
        <f t="shared" si="421"/>
        <v>5</v>
      </c>
      <c r="AE4971" s="580">
        <f t="shared" si="422"/>
        <v>2.5</v>
      </c>
      <c r="AF4971" s="580">
        <f t="shared" si="423"/>
        <v>2.5</v>
      </c>
      <c r="AG4971" s="580">
        <f t="shared" si="424"/>
        <v>0</v>
      </c>
      <c r="AH4971" s="580">
        <f t="shared" si="425"/>
        <v>0</v>
      </c>
    </row>
    <row r="4972" spans="28:34">
      <c r="AB4972" s="580">
        <f>HLOOKUP("*"&amp;'Output annual'!$AC$2&amp;'Output annual'!$AD$2&amp;"*Zone People Number Of Occupants [](Hourly)",'Eplus results'!$1:$1048576,ROW(),FALSE)</f>
        <v>0</v>
      </c>
      <c r="AC4972" s="580">
        <f>HLOOKUP("*"&amp;'Output annual'!$AC$2&amp;'Output annual'!$AD$2&amp;"*FangerPMV(Hourly)",'Eplus results'!$1:$1048576,ROW(),FALSE)</f>
        <v>0</v>
      </c>
      <c r="AD4972" s="580">
        <f t="shared" si="421"/>
        <v>5</v>
      </c>
      <c r="AE4972" s="580">
        <f t="shared" si="422"/>
        <v>2.5</v>
      </c>
      <c r="AF4972" s="580">
        <f t="shared" si="423"/>
        <v>2.5</v>
      </c>
      <c r="AG4972" s="580">
        <f t="shared" si="424"/>
        <v>0</v>
      </c>
      <c r="AH4972" s="580">
        <f t="shared" si="425"/>
        <v>0</v>
      </c>
    </row>
    <row r="4973" spans="28:34">
      <c r="AB4973" s="580">
        <f>HLOOKUP("*"&amp;'Output annual'!$AC$2&amp;'Output annual'!$AD$2&amp;"*Zone People Number Of Occupants [](Hourly)",'Eplus results'!$1:$1048576,ROW(),FALSE)</f>
        <v>0</v>
      </c>
      <c r="AC4973" s="580">
        <f>HLOOKUP("*"&amp;'Output annual'!$AC$2&amp;'Output annual'!$AD$2&amp;"*FangerPMV(Hourly)",'Eplus results'!$1:$1048576,ROW(),FALSE)</f>
        <v>0</v>
      </c>
      <c r="AD4973" s="580">
        <f t="shared" si="421"/>
        <v>5</v>
      </c>
      <c r="AE4973" s="580">
        <f t="shared" si="422"/>
        <v>2.5</v>
      </c>
      <c r="AF4973" s="580">
        <f t="shared" si="423"/>
        <v>2.5</v>
      </c>
      <c r="AG4973" s="580">
        <f t="shared" si="424"/>
        <v>0</v>
      </c>
      <c r="AH4973" s="580">
        <f t="shared" si="425"/>
        <v>0</v>
      </c>
    </row>
    <row r="4974" spans="28:34">
      <c r="AB4974" s="580">
        <f>HLOOKUP("*"&amp;'Output annual'!$AC$2&amp;'Output annual'!$AD$2&amp;"*Zone People Number Of Occupants [](Hourly)",'Eplus results'!$1:$1048576,ROW(),FALSE)</f>
        <v>0</v>
      </c>
      <c r="AC4974" s="580">
        <f>HLOOKUP("*"&amp;'Output annual'!$AC$2&amp;'Output annual'!$AD$2&amp;"*FangerPMV(Hourly)",'Eplus results'!$1:$1048576,ROW(),FALSE)</f>
        <v>0</v>
      </c>
      <c r="AD4974" s="580">
        <f t="shared" si="421"/>
        <v>5</v>
      </c>
      <c r="AE4974" s="580">
        <f t="shared" si="422"/>
        <v>2.5</v>
      </c>
      <c r="AF4974" s="580">
        <f t="shared" si="423"/>
        <v>2.5</v>
      </c>
      <c r="AG4974" s="580">
        <f t="shared" si="424"/>
        <v>0</v>
      </c>
      <c r="AH4974" s="580">
        <f t="shared" si="425"/>
        <v>0</v>
      </c>
    </row>
    <row r="4975" spans="28:34">
      <c r="AB4975" s="580">
        <f>HLOOKUP("*"&amp;'Output annual'!$AC$2&amp;'Output annual'!$AD$2&amp;"*Zone People Number Of Occupants [](Hourly)",'Eplus results'!$1:$1048576,ROW(),FALSE)</f>
        <v>0</v>
      </c>
      <c r="AC4975" s="580">
        <f>HLOOKUP("*"&amp;'Output annual'!$AC$2&amp;'Output annual'!$AD$2&amp;"*FangerPMV(Hourly)",'Eplus results'!$1:$1048576,ROW(),FALSE)</f>
        <v>0</v>
      </c>
      <c r="AD4975" s="580">
        <f t="shared" si="421"/>
        <v>5</v>
      </c>
      <c r="AE4975" s="580">
        <f t="shared" si="422"/>
        <v>2.5</v>
      </c>
      <c r="AF4975" s="580">
        <f t="shared" si="423"/>
        <v>2.5</v>
      </c>
      <c r="AG4975" s="580">
        <f t="shared" si="424"/>
        <v>0</v>
      </c>
      <c r="AH4975" s="580">
        <f t="shared" si="425"/>
        <v>0</v>
      </c>
    </row>
    <row r="4976" spans="28:34">
      <c r="AB4976" s="580">
        <f>HLOOKUP("*"&amp;'Output annual'!$AC$2&amp;'Output annual'!$AD$2&amp;"*Zone People Number Of Occupants [](Hourly)",'Eplus results'!$1:$1048576,ROW(),FALSE)</f>
        <v>0</v>
      </c>
      <c r="AC4976" s="580">
        <f>HLOOKUP("*"&amp;'Output annual'!$AC$2&amp;'Output annual'!$AD$2&amp;"*FangerPMV(Hourly)",'Eplus results'!$1:$1048576,ROW(),FALSE)</f>
        <v>0</v>
      </c>
      <c r="AD4976" s="580">
        <f t="shared" si="421"/>
        <v>5</v>
      </c>
      <c r="AE4976" s="580">
        <f t="shared" si="422"/>
        <v>2.5</v>
      </c>
      <c r="AF4976" s="580">
        <f t="shared" si="423"/>
        <v>2.5</v>
      </c>
      <c r="AG4976" s="580">
        <f t="shared" si="424"/>
        <v>0</v>
      </c>
      <c r="AH4976" s="580">
        <f t="shared" si="425"/>
        <v>0</v>
      </c>
    </row>
    <row r="4977" spans="28:34">
      <c r="AB4977" s="580">
        <f>HLOOKUP("*"&amp;'Output annual'!$AC$2&amp;'Output annual'!$AD$2&amp;"*Zone People Number Of Occupants [](Hourly)",'Eplus results'!$1:$1048576,ROW(),FALSE)</f>
        <v>0</v>
      </c>
      <c r="AC4977" s="580">
        <f>HLOOKUP("*"&amp;'Output annual'!$AC$2&amp;'Output annual'!$AD$2&amp;"*FangerPMV(Hourly)",'Eplus results'!$1:$1048576,ROW(),FALSE)</f>
        <v>0</v>
      </c>
      <c r="AD4977" s="580">
        <f t="shared" si="421"/>
        <v>5</v>
      </c>
      <c r="AE4977" s="580">
        <f t="shared" si="422"/>
        <v>2.5</v>
      </c>
      <c r="AF4977" s="580">
        <f t="shared" si="423"/>
        <v>2.5</v>
      </c>
      <c r="AG4977" s="580">
        <f t="shared" si="424"/>
        <v>0</v>
      </c>
      <c r="AH4977" s="580">
        <f t="shared" si="425"/>
        <v>0</v>
      </c>
    </row>
    <row r="4978" spans="28:34">
      <c r="AB4978" s="580">
        <f>HLOOKUP("*"&amp;'Output annual'!$AC$2&amp;'Output annual'!$AD$2&amp;"*Zone People Number Of Occupants [](Hourly)",'Eplus results'!$1:$1048576,ROW(),FALSE)</f>
        <v>0</v>
      </c>
      <c r="AC4978" s="580">
        <f>HLOOKUP("*"&amp;'Output annual'!$AC$2&amp;'Output annual'!$AD$2&amp;"*FangerPMV(Hourly)",'Eplus results'!$1:$1048576,ROW(),FALSE)</f>
        <v>0</v>
      </c>
      <c r="AD4978" s="580">
        <f t="shared" si="421"/>
        <v>5</v>
      </c>
      <c r="AE4978" s="580">
        <f t="shared" si="422"/>
        <v>2.5</v>
      </c>
      <c r="AF4978" s="580">
        <f t="shared" si="423"/>
        <v>2.5</v>
      </c>
      <c r="AG4978" s="580">
        <f t="shared" si="424"/>
        <v>0</v>
      </c>
      <c r="AH4978" s="580">
        <f t="shared" si="425"/>
        <v>0</v>
      </c>
    </row>
    <row r="4979" spans="28:34">
      <c r="AB4979" s="580">
        <f>HLOOKUP("*"&amp;'Output annual'!$AC$2&amp;'Output annual'!$AD$2&amp;"*Zone People Number Of Occupants [](Hourly)",'Eplus results'!$1:$1048576,ROW(),FALSE)</f>
        <v>0</v>
      </c>
      <c r="AC4979" s="580">
        <f>HLOOKUP("*"&amp;'Output annual'!$AC$2&amp;'Output annual'!$AD$2&amp;"*FangerPMV(Hourly)",'Eplus results'!$1:$1048576,ROW(),FALSE)</f>
        <v>0</v>
      </c>
      <c r="AD4979" s="580">
        <f t="shared" si="421"/>
        <v>5</v>
      </c>
      <c r="AE4979" s="580">
        <f t="shared" si="422"/>
        <v>2.5</v>
      </c>
      <c r="AF4979" s="580">
        <f t="shared" si="423"/>
        <v>2.5</v>
      </c>
      <c r="AG4979" s="580">
        <f t="shared" si="424"/>
        <v>0</v>
      </c>
      <c r="AH4979" s="580">
        <f t="shared" si="425"/>
        <v>0</v>
      </c>
    </row>
    <row r="4980" spans="28:34">
      <c r="AB4980" s="580">
        <f>HLOOKUP("*"&amp;'Output annual'!$AC$2&amp;'Output annual'!$AD$2&amp;"*Zone People Number Of Occupants [](Hourly)",'Eplus results'!$1:$1048576,ROW(),FALSE)</f>
        <v>0</v>
      </c>
      <c r="AC4980" s="580">
        <f>HLOOKUP("*"&amp;'Output annual'!$AC$2&amp;'Output annual'!$AD$2&amp;"*FangerPMV(Hourly)",'Eplus results'!$1:$1048576,ROW(),FALSE)</f>
        <v>0</v>
      </c>
      <c r="AD4980" s="580">
        <f t="shared" si="421"/>
        <v>5</v>
      </c>
      <c r="AE4980" s="580">
        <f t="shared" si="422"/>
        <v>2.5</v>
      </c>
      <c r="AF4980" s="580">
        <f t="shared" si="423"/>
        <v>2.5</v>
      </c>
      <c r="AG4980" s="580">
        <f t="shared" si="424"/>
        <v>0</v>
      </c>
      <c r="AH4980" s="580">
        <f t="shared" si="425"/>
        <v>0</v>
      </c>
    </row>
    <row r="4981" spans="28:34">
      <c r="AB4981" s="580">
        <f>HLOOKUP("*"&amp;'Output annual'!$AC$2&amp;'Output annual'!$AD$2&amp;"*Zone People Number Of Occupants [](Hourly)",'Eplus results'!$1:$1048576,ROW(),FALSE)</f>
        <v>0</v>
      </c>
      <c r="AC4981" s="580">
        <f>HLOOKUP("*"&amp;'Output annual'!$AC$2&amp;'Output annual'!$AD$2&amp;"*FangerPMV(Hourly)",'Eplus results'!$1:$1048576,ROW(),FALSE)</f>
        <v>0</v>
      </c>
      <c r="AD4981" s="580">
        <f t="shared" si="421"/>
        <v>5</v>
      </c>
      <c r="AE4981" s="580">
        <f t="shared" si="422"/>
        <v>2.5</v>
      </c>
      <c r="AF4981" s="580">
        <f t="shared" si="423"/>
        <v>2.5</v>
      </c>
      <c r="AG4981" s="580">
        <f t="shared" si="424"/>
        <v>0</v>
      </c>
      <c r="AH4981" s="580">
        <f t="shared" si="425"/>
        <v>0</v>
      </c>
    </row>
    <row r="4982" spans="28:34">
      <c r="AB4982" s="580">
        <f>HLOOKUP("*"&amp;'Output annual'!$AC$2&amp;'Output annual'!$AD$2&amp;"*Zone People Number Of Occupants [](Hourly)",'Eplus results'!$1:$1048576,ROW(),FALSE)</f>
        <v>0</v>
      </c>
      <c r="AC4982" s="580">
        <f>HLOOKUP("*"&amp;'Output annual'!$AC$2&amp;'Output annual'!$AD$2&amp;"*FangerPMV(Hourly)",'Eplus results'!$1:$1048576,ROW(),FALSE)</f>
        <v>0</v>
      </c>
      <c r="AD4982" s="580">
        <f t="shared" si="421"/>
        <v>5</v>
      </c>
      <c r="AE4982" s="580">
        <f t="shared" si="422"/>
        <v>2.5</v>
      </c>
      <c r="AF4982" s="580">
        <f t="shared" si="423"/>
        <v>2.5</v>
      </c>
      <c r="AG4982" s="580">
        <f t="shared" si="424"/>
        <v>0</v>
      </c>
      <c r="AH4982" s="580">
        <f t="shared" si="425"/>
        <v>0</v>
      </c>
    </row>
    <row r="4983" spans="28:34">
      <c r="AB4983" s="580">
        <f>HLOOKUP("*"&amp;'Output annual'!$AC$2&amp;'Output annual'!$AD$2&amp;"*Zone People Number Of Occupants [](Hourly)",'Eplus results'!$1:$1048576,ROW(),FALSE)</f>
        <v>0</v>
      </c>
      <c r="AC4983" s="580">
        <f>HLOOKUP("*"&amp;'Output annual'!$AC$2&amp;'Output annual'!$AD$2&amp;"*FangerPMV(Hourly)",'Eplus results'!$1:$1048576,ROW(),FALSE)</f>
        <v>0</v>
      </c>
      <c r="AD4983" s="580">
        <f t="shared" si="421"/>
        <v>5</v>
      </c>
      <c r="AE4983" s="580">
        <f t="shared" si="422"/>
        <v>2.5</v>
      </c>
      <c r="AF4983" s="580">
        <f t="shared" si="423"/>
        <v>2.5</v>
      </c>
      <c r="AG4983" s="580">
        <f t="shared" si="424"/>
        <v>0</v>
      </c>
      <c r="AH4983" s="580">
        <f t="shared" si="425"/>
        <v>0</v>
      </c>
    </row>
    <row r="4984" spans="28:34">
      <c r="AB4984" s="580">
        <f>HLOOKUP("*"&amp;'Output annual'!$AC$2&amp;'Output annual'!$AD$2&amp;"*Zone People Number Of Occupants [](Hourly)",'Eplus results'!$1:$1048576,ROW(),FALSE)</f>
        <v>0</v>
      </c>
      <c r="AC4984" s="580">
        <f>HLOOKUP("*"&amp;'Output annual'!$AC$2&amp;'Output annual'!$AD$2&amp;"*FangerPMV(Hourly)",'Eplus results'!$1:$1048576,ROW(),FALSE)</f>
        <v>0</v>
      </c>
      <c r="AD4984" s="580">
        <f t="shared" si="421"/>
        <v>5</v>
      </c>
      <c r="AE4984" s="580">
        <f t="shared" si="422"/>
        <v>2.5</v>
      </c>
      <c r="AF4984" s="580">
        <f t="shared" si="423"/>
        <v>2.5</v>
      </c>
      <c r="AG4984" s="580">
        <f t="shared" si="424"/>
        <v>0</v>
      </c>
      <c r="AH4984" s="580">
        <f t="shared" si="425"/>
        <v>0</v>
      </c>
    </row>
    <row r="4985" spans="28:34">
      <c r="AB4985" s="580">
        <f>HLOOKUP("*"&amp;'Output annual'!$AC$2&amp;'Output annual'!$AD$2&amp;"*Zone People Number Of Occupants [](Hourly)",'Eplus results'!$1:$1048576,ROW(),FALSE)</f>
        <v>0</v>
      </c>
      <c r="AC4985" s="580">
        <f>HLOOKUP("*"&amp;'Output annual'!$AC$2&amp;'Output annual'!$AD$2&amp;"*FangerPMV(Hourly)",'Eplus results'!$1:$1048576,ROW(),FALSE)</f>
        <v>0</v>
      </c>
      <c r="AD4985" s="580">
        <f t="shared" si="421"/>
        <v>5</v>
      </c>
      <c r="AE4985" s="580">
        <f t="shared" si="422"/>
        <v>2.5</v>
      </c>
      <c r="AF4985" s="580">
        <f t="shared" si="423"/>
        <v>2.5</v>
      </c>
      <c r="AG4985" s="580">
        <f t="shared" si="424"/>
        <v>0</v>
      </c>
      <c r="AH4985" s="580">
        <f t="shared" si="425"/>
        <v>0</v>
      </c>
    </row>
    <row r="4986" spans="28:34">
      <c r="AB4986" s="580">
        <f>HLOOKUP("*"&amp;'Output annual'!$AC$2&amp;'Output annual'!$AD$2&amp;"*Zone People Number Of Occupants [](Hourly)",'Eplus results'!$1:$1048576,ROW(),FALSE)</f>
        <v>0</v>
      </c>
      <c r="AC4986" s="580">
        <f>HLOOKUP("*"&amp;'Output annual'!$AC$2&amp;'Output annual'!$AD$2&amp;"*FangerPMV(Hourly)",'Eplus results'!$1:$1048576,ROW(),FALSE)</f>
        <v>0</v>
      </c>
      <c r="AD4986" s="580">
        <f t="shared" si="421"/>
        <v>5</v>
      </c>
      <c r="AE4986" s="580">
        <f t="shared" si="422"/>
        <v>2.5</v>
      </c>
      <c r="AF4986" s="580">
        <f t="shared" si="423"/>
        <v>2.5</v>
      </c>
      <c r="AG4986" s="580">
        <f t="shared" si="424"/>
        <v>0</v>
      </c>
      <c r="AH4986" s="580">
        <f t="shared" si="425"/>
        <v>0</v>
      </c>
    </row>
    <row r="4987" spans="28:34">
      <c r="AB4987" s="580">
        <f>HLOOKUP("*"&amp;'Output annual'!$AC$2&amp;'Output annual'!$AD$2&amp;"*Zone People Number Of Occupants [](Hourly)",'Eplus results'!$1:$1048576,ROW(),FALSE)</f>
        <v>0</v>
      </c>
      <c r="AC4987" s="580">
        <f>HLOOKUP("*"&amp;'Output annual'!$AC$2&amp;'Output annual'!$AD$2&amp;"*FangerPMV(Hourly)",'Eplus results'!$1:$1048576,ROW(),FALSE)</f>
        <v>0</v>
      </c>
      <c r="AD4987" s="580">
        <f t="shared" si="421"/>
        <v>5</v>
      </c>
      <c r="AE4987" s="580">
        <f t="shared" si="422"/>
        <v>2.5</v>
      </c>
      <c r="AF4987" s="580">
        <f t="shared" si="423"/>
        <v>2.5</v>
      </c>
      <c r="AG4987" s="580">
        <f t="shared" si="424"/>
        <v>0</v>
      </c>
      <c r="AH4987" s="580">
        <f t="shared" si="425"/>
        <v>0</v>
      </c>
    </row>
    <row r="4988" spans="28:34">
      <c r="AB4988" s="580">
        <f>HLOOKUP("*"&amp;'Output annual'!$AC$2&amp;'Output annual'!$AD$2&amp;"*Zone People Number Of Occupants [](Hourly)",'Eplus results'!$1:$1048576,ROW(),FALSE)</f>
        <v>0</v>
      </c>
      <c r="AC4988" s="580">
        <f>HLOOKUP("*"&amp;'Output annual'!$AC$2&amp;'Output annual'!$AD$2&amp;"*FangerPMV(Hourly)",'Eplus results'!$1:$1048576,ROW(),FALSE)</f>
        <v>0</v>
      </c>
      <c r="AD4988" s="580">
        <f t="shared" si="421"/>
        <v>5</v>
      </c>
      <c r="AE4988" s="580">
        <f t="shared" si="422"/>
        <v>2.5</v>
      </c>
      <c r="AF4988" s="580">
        <f t="shared" si="423"/>
        <v>2.5</v>
      </c>
      <c r="AG4988" s="580">
        <f t="shared" si="424"/>
        <v>0</v>
      </c>
      <c r="AH4988" s="580">
        <f t="shared" si="425"/>
        <v>0</v>
      </c>
    </row>
    <row r="4989" spans="28:34">
      <c r="AB4989" s="580">
        <f>HLOOKUP("*"&amp;'Output annual'!$AC$2&amp;'Output annual'!$AD$2&amp;"*Zone People Number Of Occupants [](Hourly)",'Eplus results'!$1:$1048576,ROW(),FALSE)</f>
        <v>0</v>
      </c>
      <c r="AC4989" s="580">
        <f>HLOOKUP("*"&amp;'Output annual'!$AC$2&amp;'Output annual'!$AD$2&amp;"*FangerPMV(Hourly)",'Eplus results'!$1:$1048576,ROW(),FALSE)</f>
        <v>0</v>
      </c>
      <c r="AD4989" s="580">
        <f t="shared" si="421"/>
        <v>5</v>
      </c>
      <c r="AE4989" s="580">
        <f t="shared" si="422"/>
        <v>2.5</v>
      </c>
      <c r="AF4989" s="580">
        <f t="shared" si="423"/>
        <v>2.5</v>
      </c>
      <c r="AG4989" s="580">
        <f t="shared" si="424"/>
        <v>0</v>
      </c>
      <c r="AH4989" s="580">
        <f t="shared" si="425"/>
        <v>0</v>
      </c>
    </row>
    <row r="4990" spans="28:34">
      <c r="AB4990" s="580">
        <f>HLOOKUP("*"&amp;'Output annual'!$AC$2&amp;'Output annual'!$AD$2&amp;"*Zone People Number Of Occupants [](Hourly)",'Eplus results'!$1:$1048576,ROW(),FALSE)</f>
        <v>0</v>
      </c>
      <c r="AC4990" s="580">
        <f>HLOOKUP("*"&amp;'Output annual'!$AC$2&amp;'Output annual'!$AD$2&amp;"*FangerPMV(Hourly)",'Eplus results'!$1:$1048576,ROW(),FALSE)</f>
        <v>0</v>
      </c>
      <c r="AD4990" s="580">
        <f t="shared" si="421"/>
        <v>5</v>
      </c>
      <c r="AE4990" s="580">
        <f t="shared" si="422"/>
        <v>2.5</v>
      </c>
      <c r="AF4990" s="580">
        <f t="shared" si="423"/>
        <v>2.5</v>
      </c>
      <c r="AG4990" s="580">
        <f t="shared" si="424"/>
        <v>0</v>
      </c>
      <c r="AH4990" s="580">
        <f t="shared" si="425"/>
        <v>0</v>
      </c>
    </row>
    <row r="4991" spans="28:34">
      <c r="AB4991" s="580">
        <f>HLOOKUP("*"&amp;'Output annual'!$AC$2&amp;'Output annual'!$AD$2&amp;"*Zone People Number Of Occupants [](Hourly)",'Eplus results'!$1:$1048576,ROW(),FALSE)</f>
        <v>0</v>
      </c>
      <c r="AC4991" s="580">
        <f>HLOOKUP("*"&amp;'Output annual'!$AC$2&amp;'Output annual'!$AD$2&amp;"*FangerPMV(Hourly)",'Eplus results'!$1:$1048576,ROW(),FALSE)</f>
        <v>0</v>
      </c>
      <c r="AD4991" s="580">
        <f t="shared" si="421"/>
        <v>5</v>
      </c>
      <c r="AE4991" s="580">
        <f t="shared" si="422"/>
        <v>2.5</v>
      </c>
      <c r="AF4991" s="580">
        <f t="shared" si="423"/>
        <v>2.5</v>
      </c>
      <c r="AG4991" s="580">
        <f t="shared" si="424"/>
        <v>0</v>
      </c>
      <c r="AH4991" s="580">
        <f t="shared" si="425"/>
        <v>0</v>
      </c>
    </row>
    <row r="4992" spans="28:34">
      <c r="AB4992" s="580">
        <f>HLOOKUP("*"&amp;'Output annual'!$AC$2&amp;'Output annual'!$AD$2&amp;"*Zone People Number Of Occupants [](Hourly)",'Eplus results'!$1:$1048576,ROW(),FALSE)</f>
        <v>0</v>
      </c>
      <c r="AC4992" s="580">
        <f>HLOOKUP("*"&amp;'Output annual'!$AC$2&amp;'Output annual'!$AD$2&amp;"*FangerPMV(Hourly)",'Eplus results'!$1:$1048576,ROW(),FALSE)</f>
        <v>0</v>
      </c>
      <c r="AD4992" s="580">
        <f t="shared" si="421"/>
        <v>5</v>
      </c>
      <c r="AE4992" s="580">
        <f t="shared" si="422"/>
        <v>2.5</v>
      </c>
      <c r="AF4992" s="580">
        <f t="shared" si="423"/>
        <v>2.5</v>
      </c>
      <c r="AG4992" s="580">
        <f t="shared" si="424"/>
        <v>0</v>
      </c>
      <c r="AH4992" s="580">
        <f t="shared" si="425"/>
        <v>0</v>
      </c>
    </row>
    <row r="4993" spans="28:34">
      <c r="AB4993" s="580">
        <f>HLOOKUP("*"&amp;'Output annual'!$AC$2&amp;'Output annual'!$AD$2&amp;"*Zone People Number Of Occupants [](Hourly)",'Eplus results'!$1:$1048576,ROW(),FALSE)</f>
        <v>0</v>
      </c>
      <c r="AC4993" s="580">
        <f>HLOOKUP("*"&amp;'Output annual'!$AC$2&amp;'Output annual'!$AD$2&amp;"*FangerPMV(Hourly)",'Eplus results'!$1:$1048576,ROW(),FALSE)</f>
        <v>0</v>
      </c>
      <c r="AD4993" s="580">
        <f t="shared" si="421"/>
        <v>5</v>
      </c>
      <c r="AE4993" s="580">
        <f t="shared" si="422"/>
        <v>2.5</v>
      </c>
      <c r="AF4993" s="580">
        <f t="shared" si="423"/>
        <v>2.5</v>
      </c>
      <c r="AG4993" s="580">
        <f t="shared" si="424"/>
        <v>0</v>
      </c>
      <c r="AH4993" s="580">
        <f t="shared" si="425"/>
        <v>0</v>
      </c>
    </row>
    <row r="4994" spans="28:34">
      <c r="AB4994" s="580">
        <f>HLOOKUP("*"&amp;'Output annual'!$AC$2&amp;'Output annual'!$AD$2&amp;"*Zone People Number Of Occupants [](Hourly)",'Eplus results'!$1:$1048576,ROW(),FALSE)</f>
        <v>0</v>
      </c>
      <c r="AC4994" s="580">
        <f>HLOOKUP("*"&amp;'Output annual'!$AC$2&amp;'Output annual'!$AD$2&amp;"*FangerPMV(Hourly)",'Eplus results'!$1:$1048576,ROW(),FALSE)</f>
        <v>0</v>
      </c>
      <c r="AD4994" s="580">
        <f t="shared" si="421"/>
        <v>5</v>
      </c>
      <c r="AE4994" s="580">
        <f t="shared" si="422"/>
        <v>2.5</v>
      </c>
      <c r="AF4994" s="580">
        <f t="shared" si="423"/>
        <v>2.5</v>
      </c>
      <c r="AG4994" s="580">
        <f t="shared" si="424"/>
        <v>0</v>
      </c>
      <c r="AH4994" s="580">
        <f t="shared" si="425"/>
        <v>0</v>
      </c>
    </row>
    <row r="4995" spans="28:34">
      <c r="AB4995" s="580">
        <f>HLOOKUP("*"&amp;'Output annual'!$AC$2&amp;'Output annual'!$AD$2&amp;"*Zone People Number Of Occupants [](Hourly)",'Eplus results'!$1:$1048576,ROW(),FALSE)</f>
        <v>0</v>
      </c>
      <c r="AC4995" s="580">
        <f>HLOOKUP("*"&amp;'Output annual'!$AC$2&amp;'Output annual'!$AD$2&amp;"*FangerPMV(Hourly)",'Eplus results'!$1:$1048576,ROW(),FALSE)</f>
        <v>0</v>
      </c>
      <c r="AD4995" s="580">
        <f t="shared" ref="AD4995:AD5058" si="426">100-95*EXP(-0.03353*AC4995^4-0.2179*AC4995^2)</f>
        <v>5</v>
      </c>
      <c r="AE4995" s="580">
        <f t="shared" ref="AE4995:AE5058" si="427">AD4995*(1/(1+EXP(-6.3*$AC4995)))</f>
        <v>2.5</v>
      </c>
      <c r="AF4995" s="580">
        <f t="shared" ref="AF4995:AF5058" si="428">(AD4995-AE4995)</f>
        <v>2.5</v>
      </c>
      <c r="AG4995" s="580">
        <f t="shared" ref="AG4995:AG5058" si="429">AE4995*AB4995</f>
        <v>0</v>
      </c>
      <c r="AH4995" s="580">
        <f t="shared" ref="AH4995:AH5058" si="430">AF4995*AB4995</f>
        <v>0</v>
      </c>
    </row>
    <row r="4996" spans="28:34">
      <c r="AB4996" s="580">
        <f>HLOOKUP("*"&amp;'Output annual'!$AC$2&amp;'Output annual'!$AD$2&amp;"*Zone People Number Of Occupants [](Hourly)",'Eplus results'!$1:$1048576,ROW(),FALSE)</f>
        <v>0</v>
      </c>
      <c r="AC4996" s="580">
        <f>HLOOKUP("*"&amp;'Output annual'!$AC$2&amp;'Output annual'!$AD$2&amp;"*FangerPMV(Hourly)",'Eplus results'!$1:$1048576,ROW(),FALSE)</f>
        <v>0</v>
      </c>
      <c r="AD4996" s="580">
        <f t="shared" si="426"/>
        <v>5</v>
      </c>
      <c r="AE4996" s="580">
        <f t="shared" si="427"/>
        <v>2.5</v>
      </c>
      <c r="AF4996" s="580">
        <f t="shared" si="428"/>
        <v>2.5</v>
      </c>
      <c r="AG4996" s="580">
        <f t="shared" si="429"/>
        <v>0</v>
      </c>
      <c r="AH4996" s="580">
        <f t="shared" si="430"/>
        <v>0</v>
      </c>
    </row>
    <row r="4997" spans="28:34">
      <c r="AB4997" s="580">
        <f>HLOOKUP("*"&amp;'Output annual'!$AC$2&amp;'Output annual'!$AD$2&amp;"*Zone People Number Of Occupants [](Hourly)",'Eplus results'!$1:$1048576,ROW(),FALSE)</f>
        <v>0</v>
      </c>
      <c r="AC4997" s="580">
        <f>HLOOKUP("*"&amp;'Output annual'!$AC$2&amp;'Output annual'!$AD$2&amp;"*FangerPMV(Hourly)",'Eplus results'!$1:$1048576,ROW(),FALSE)</f>
        <v>0</v>
      </c>
      <c r="AD4997" s="580">
        <f t="shared" si="426"/>
        <v>5</v>
      </c>
      <c r="AE4997" s="580">
        <f t="shared" si="427"/>
        <v>2.5</v>
      </c>
      <c r="AF4997" s="580">
        <f t="shared" si="428"/>
        <v>2.5</v>
      </c>
      <c r="AG4997" s="580">
        <f t="shared" si="429"/>
        <v>0</v>
      </c>
      <c r="AH4997" s="580">
        <f t="shared" si="430"/>
        <v>0</v>
      </c>
    </row>
    <row r="4998" spans="28:34">
      <c r="AB4998" s="580">
        <f>HLOOKUP("*"&amp;'Output annual'!$AC$2&amp;'Output annual'!$AD$2&amp;"*Zone People Number Of Occupants [](Hourly)",'Eplus results'!$1:$1048576,ROW(),FALSE)</f>
        <v>0</v>
      </c>
      <c r="AC4998" s="580">
        <f>HLOOKUP("*"&amp;'Output annual'!$AC$2&amp;'Output annual'!$AD$2&amp;"*FangerPMV(Hourly)",'Eplus results'!$1:$1048576,ROW(),FALSE)</f>
        <v>0</v>
      </c>
      <c r="AD4998" s="580">
        <f t="shared" si="426"/>
        <v>5</v>
      </c>
      <c r="AE4998" s="580">
        <f t="shared" si="427"/>
        <v>2.5</v>
      </c>
      <c r="AF4998" s="580">
        <f t="shared" si="428"/>
        <v>2.5</v>
      </c>
      <c r="AG4998" s="580">
        <f t="shared" si="429"/>
        <v>0</v>
      </c>
      <c r="AH4998" s="580">
        <f t="shared" si="430"/>
        <v>0</v>
      </c>
    </row>
    <row r="4999" spans="28:34">
      <c r="AB4999" s="580">
        <f>HLOOKUP("*"&amp;'Output annual'!$AC$2&amp;'Output annual'!$AD$2&amp;"*Zone People Number Of Occupants [](Hourly)",'Eplus results'!$1:$1048576,ROW(),FALSE)</f>
        <v>0</v>
      </c>
      <c r="AC4999" s="580">
        <f>HLOOKUP("*"&amp;'Output annual'!$AC$2&amp;'Output annual'!$AD$2&amp;"*FangerPMV(Hourly)",'Eplus results'!$1:$1048576,ROW(),FALSE)</f>
        <v>0</v>
      </c>
      <c r="AD4999" s="580">
        <f t="shared" si="426"/>
        <v>5</v>
      </c>
      <c r="AE4999" s="580">
        <f t="shared" si="427"/>
        <v>2.5</v>
      </c>
      <c r="AF4999" s="580">
        <f t="shared" si="428"/>
        <v>2.5</v>
      </c>
      <c r="AG4999" s="580">
        <f t="shared" si="429"/>
        <v>0</v>
      </c>
      <c r="AH4999" s="580">
        <f t="shared" si="430"/>
        <v>0</v>
      </c>
    </row>
    <row r="5000" spans="28:34">
      <c r="AB5000" s="580">
        <f>HLOOKUP("*"&amp;'Output annual'!$AC$2&amp;'Output annual'!$AD$2&amp;"*Zone People Number Of Occupants [](Hourly)",'Eplus results'!$1:$1048576,ROW(),FALSE)</f>
        <v>0</v>
      </c>
      <c r="AC5000" s="580">
        <f>HLOOKUP("*"&amp;'Output annual'!$AC$2&amp;'Output annual'!$AD$2&amp;"*FangerPMV(Hourly)",'Eplus results'!$1:$1048576,ROW(),FALSE)</f>
        <v>0</v>
      </c>
      <c r="AD5000" s="580">
        <f t="shared" si="426"/>
        <v>5</v>
      </c>
      <c r="AE5000" s="580">
        <f t="shared" si="427"/>
        <v>2.5</v>
      </c>
      <c r="AF5000" s="580">
        <f t="shared" si="428"/>
        <v>2.5</v>
      </c>
      <c r="AG5000" s="580">
        <f t="shared" si="429"/>
        <v>0</v>
      </c>
      <c r="AH5000" s="580">
        <f t="shared" si="430"/>
        <v>0</v>
      </c>
    </row>
    <row r="5001" spans="28:34">
      <c r="AB5001" s="580">
        <f>HLOOKUP("*"&amp;'Output annual'!$AC$2&amp;'Output annual'!$AD$2&amp;"*Zone People Number Of Occupants [](Hourly)",'Eplus results'!$1:$1048576,ROW(),FALSE)</f>
        <v>0</v>
      </c>
      <c r="AC5001" s="580">
        <f>HLOOKUP("*"&amp;'Output annual'!$AC$2&amp;'Output annual'!$AD$2&amp;"*FangerPMV(Hourly)",'Eplus results'!$1:$1048576,ROW(),FALSE)</f>
        <v>0</v>
      </c>
      <c r="AD5001" s="580">
        <f t="shared" si="426"/>
        <v>5</v>
      </c>
      <c r="AE5001" s="580">
        <f t="shared" si="427"/>
        <v>2.5</v>
      </c>
      <c r="AF5001" s="580">
        <f t="shared" si="428"/>
        <v>2.5</v>
      </c>
      <c r="AG5001" s="580">
        <f t="shared" si="429"/>
        <v>0</v>
      </c>
      <c r="AH5001" s="580">
        <f t="shared" si="430"/>
        <v>0</v>
      </c>
    </row>
    <row r="5002" spans="28:34">
      <c r="AB5002" s="580">
        <f>HLOOKUP("*"&amp;'Output annual'!$AC$2&amp;'Output annual'!$AD$2&amp;"*Zone People Number Of Occupants [](Hourly)",'Eplus results'!$1:$1048576,ROW(),FALSE)</f>
        <v>0</v>
      </c>
      <c r="AC5002" s="580">
        <f>HLOOKUP("*"&amp;'Output annual'!$AC$2&amp;'Output annual'!$AD$2&amp;"*FangerPMV(Hourly)",'Eplus results'!$1:$1048576,ROW(),FALSE)</f>
        <v>0</v>
      </c>
      <c r="AD5002" s="580">
        <f t="shared" si="426"/>
        <v>5</v>
      </c>
      <c r="AE5002" s="580">
        <f t="shared" si="427"/>
        <v>2.5</v>
      </c>
      <c r="AF5002" s="580">
        <f t="shared" si="428"/>
        <v>2.5</v>
      </c>
      <c r="AG5002" s="580">
        <f t="shared" si="429"/>
        <v>0</v>
      </c>
      <c r="AH5002" s="580">
        <f t="shared" si="430"/>
        <v>0</v>
      </c>
    </row>
    <row r="5003" spans="28:34">
      <c r="AB5003" s="580">
        <f>HLOOKUP("*"&amp;'Output annual'!$AC$2&amp;'Output annual'!$AD$2&amp;"*Zone People Number Of Occupants [](Hourly)",'Eplus results'!$1:$1048576,ROW(),FALSE)</f>
        <v>0</v>
      </c>
      <c r="AC5003" s="580">
        <f>HLOOKUP("*"&amp;'Output annual'!$AC$2&amp;'Output annual'!$AD$2&amp;"*FangerPMV(Hourly)",'Eplus results'!$1:$1048576,ROW(),FALSE)</f>
        <v>0</v>
      </c>
      <c r="AD5003" s="580">
        <f t="shared" si="426"/>
        <v>5</v>
      </c>
      <c r="AE5003" s="580">
        <f t="shared" si="427"/>
        <v>2.5</v>
      </c>
      <c r="AF5003" s="580">
        <f t="shared" si="428"/>
        <v>2.5</v>
      </c>
      <c r="AG5003" s="580">
        <f t="shared" si="429"/>
        <v>0</v>
      </c>
      <c r="AH5003" s="580">
        <f t="shared" si="430"/>
        <v>0</v>
      </c>
    </row>
    <row r="5004" spans="28:34">
      <c r="AB5004" s="580">
        <f>HLOOKUP("*"&amp;'Output annual'!$AC$2&amp;'Output annual'!$AD$2&amp;"*Zone People Number Of Occupants [](Hourly)",'Eplus results'!$1:$1048576,ROW(),FALSE)</f>
        <v>0</v>
      </c>
      <c r="AC5004" s="580">
        <f>HLOOKUP("*"&amp;'Output annual'!$AC$2&amp;'Output annual'!$AD$2&amp;"*FangerPMV(Hourly)",'Eplus results'!$1:$1048576,ROW(),FALSE)</f>
        <v>0</v>
      </c>
      <c r="AD5004" s="580">
        <f t="shared" si="426"/>
        <v>5</v>
      </c>
      <c r="AE5004" s="580">
        <f t="shared" si="427"/>
        <v>2.5</v>
      </c>
      <c r="AF5004" s="580">
        <f t="shared" si="428"/>
        <v>2.5</v>
      </c>
      <c r="AG5004" s="580">
        <f t="shared" si="429"/>
        <v>0</v>
      </c>
      <c r="AH5004" s="580">
        <f t="shared" si="430"/>
        <v>0</v>
      </c>
    </row>
    <row r="5005" spans="28:34">
      <c r="AB5005" s="580">
        <f>HLOOKUP("*"&amp;'Output annual'!$AC$2&amp;'Output annual'!$AD$2&amp;"*Zone People Number Of Occupants [](Hourly)",'Eplus results'!$1:$1048576,ROW(),FALSE)</f>
        <v>0</v>
      </c>
      <c r="AC5005" s="580">
        <f>HLOOKUP("*"&amp;'Output annual'!$AC$2&amp;'Output annual'!$AD$2&amp;"*FangerPMV(Hourly)",'Eplus results'!$1:$1048576,ROW(),FALSE)</f>
        <v>0</v>
      </c>
      <c r="AD5005" s="580">
        <f t="shared" si="426"/>
        <v>5</v>
      </c>
      <c r="AE5005" s="580">
        <f t="shared" si="427"/>
        <v>2.5</v>
      </c>
      <c r="AF5005" s="580">
        <f t="shared" si="428"/>
        <v>2.5</v>
      </c>
      <c r="AG5005" s="580">
        <f t="shared" si="429"/>
        <v>0</v>
      </c>
      <c r="AH5005" s="580">
        <f t="shared" si="430"/>
        <v>0</v>
      </c>
    </row>
    <row r="5006" spans="28:34">
      <c r="AB5006" s="580">
        <f>HLOOKUP("*"&amp;'Output annual'!$AC$2&amp;'Output annual'!$AD$2&amp;"*Zone People Number Of Occupants [](Hourly)",'Eplus results'!$1:$1048576,ROW(),FALSE)</f>
        <v>0</v>
      </c>
      <c r="AC5006" s="580">
        <f>HLOOKUP("*"&amp;'Output annual'!$AC$2&amp;'Output annual'!$AD$2&amp;"*FangerPMV(Hourly)",'Eplus results'!$1:$1048576,ROW(),FALSE)</f>
        <v>0</v>
      </c>
      <c r="AD5006" s="580">
        <f t="shared" si="426"/>
        <v>5</v>
      </c>
      <c r="AE5006" s="580">
        <f t="shared" si="427"/>
        <v>2.5</v>
      </c>
      <c r="AF5006" s="580">
        <f t="shared" si="428"/>
        <v>2.5</v>
      </c>
      <c r="AG5006" s="580">
        <f t="shared" si="429"/>
        <v>0</v>
      </c>
      <c r="AH5006" s="580">
        <f t="shared" si="430"/>
        <v>0</v>
      </c>
    </row>
    <row r="5007" spans="28:34">
      <c r="AB5007" s="580">
        <f>HLOOKUP("*"&amp;'Output annual'!$AC$2&amp;'Output annual'!$AD$2&amp;"*Zone People Number Of Occupants [](Hourly)",'Eplus results'!$1:$1048576,ROW(),FALSE)</f>
        <v>0</v>
      </c>
      <c r="AC5007" s="580">
        <f>HLOOKUP("*"&amp;'Output annual'!$AC$2&amp;'Output annual'!$AD$2&amp;"*FangerPMV(Hourly)",'Eplus results'!$1:$1048576,ROW(),FALSE)</f>
        <v>0</v>
      </c>
      <c r="AD5007" s="580">
        <f t="shared" si="426"/>
        <v>5</v>
      </c>
      <c r="AE5007" s="580">
        <f t="shared" si="427"/>
        <v>2.5</v>
      </c>
      <c r="AF5007" s="580">
        <f t="shared" si="428"/>
        <v>2.5</v>
      </c>
      <c r="AG5007" s="580">
        <f t="shared" si="429"/>
        <v>0</v>
      </c>
      <c r="AH5007" s="580">
        <f t="shared" si="430"/>
        <v>0</v>
      </c>
    </row>
    <row r="5008" spans="28:34">
      <c r="AB5008" s="580">
        <f>HLOOKUP("*"&amp;'Output annual'!$AC$2&amp;'Output annual'!$AD$2&amp;"*Zone People Number Of Occupants [](Hourly)",'Eplus results'!$1:$1048576,ROW(),FALSE)</f>
        <v>0</v>
      </c>
      <c r="AC5008" s="580">
        <f>HLOOKUP("*"&amp;'Output annual'!$AC$2&amp;'Output annual'!$AD$2&amp;"*FangerPMV(Hourly)",'Eplus results'!$1:$1048576,ROW(),FALSE)</f>
        <v>0</v>
      </c>
      <c r="AD5008" s="580">
        <f t="shared" si="426"/>
        <v>5</v>
      </c>
      <c r="AE5008" s="580">
        <f t="shared" si="427"/>
        <v>2.5</v>
      </c>
      <c r="AF5008" s="580">
        <f t="shared" si="428"/>
        <v>2.5</v>
      </c>
      <c r="AG5008" s="580">
        <f t="shared" si="429"/>
        <v>0</v>
      </c>
      <c r="AH5008" s="580">
        <f t="shared" si="430"/>
        <v>0</v>
      </c>
    </row>
    <row r="5009" spans="28:34">
      <c r="AB5009" s="580">
        <f>HLOOKUP("*"&amp;'Output annual'!$AC$2&amp;'Output annual'!$AD$2&amp;"*Zone People Number Of Occupants [](Hourly)",'Eplus results'!$1:$1048576,ROW(),FALSE)</f>
        <v>0</v>
      </c>
      <c r="AC5009" s="580">
        <f>HLOOKUP("*"&amp;'Output annual'!$AC$2&amp;'Output annual'!$AD$2&amp;"*FangerPMV(Hourly)",'Eplus results'!$1:$1048576,ROW(),FALSE)</f>
        <v>0</v>
      </c>
      <c r="AD5009" s="580">
        <f t="shared" si="426"/>
        <v>5</v>
      </c>
      <c r="AE5009" s="580">
        <f t="shared" si="427"/>
        <v>2.5</v>
      </c>
      <c r="AF5009" s="580">
        <f t="shared" si="428"/>
        <v>2.5</v>
      </c>
      <c r="AG5009" s="580">
        <f t="shared" si="429"/>
        <v>0</v>
      </c>
      <c r="AH5009" s="580">
        <f t="shared" si="430"/>
        <v>0</v>
      </c>
    </row>
    <row r="5010" spans="28:34">
      <c r="AB5010" s="580">
        <f>HLOOKUP("*"&amp;'Output annual'!$AC$2&amp;'Output annual'!$AD$2&amp;"*Zone People Number Of Occupants [](Hourly)",'Eplus results'!$1:$1048576,ROW(),FALSE)</f>
        <v>0</v>
      </c>
      <c r="AC5010" s="580">
        <f>HLOOKUP("*"&amp;'Output annual'!$AC$2&amp;'Output annual'!$AD$2&amp;"*FangerPMV(Hourly)",'Eplus results'!$1:$1048576,ROW(),FALSE)</f>
        <v>0</v>
      </c>
      <c r="AD5010" s="580">
        <f t="shared" si="426"/>
        <v>5</v>
      </c>
      <c r="AE5010" s="580">
        <f t="shared" si="427"/>
        <v>2.5</v>
      </c>
      <c r="AF5010" s="580">
        <f t="shared" si="428"/>
        <v>2.5</v>
      </c>
      <c r="AG5010" s="580">
        <f t="shared" si="429"/>
        <v>0</v>
      </c>
      <c r="AH5010" s="580">
        <f t="shared" si="430"/>
        <v>0</v>
      </c>
    </row>
    <row r="5011" spans="28:34">
      <c r="AB5011" s="580">
        <f>HLOOKUP("*"&amp;'Output annual'!$AC$2&amp;'Output annual'!$AD$2&amp;"*Zone People Number Of Occupants [](Hourly)",'Eplus results'!$1:$1048576,ROW(),FALSE)</f>
        <v>0</v>
      </c>
      <c r="AC5011" s="580">
        <f>HLOOKUP("*"&amp;'Output annual'!$AC$2&amp;'Output annual'!$AD$2&amp;"*FangerPMV(Hourly)",'Eplus results'!$1:$1048576,ROW(),FALSE)</f>
        <v>0</v>
      </c>
      <c r="AD5011" s="580">
        <f t="shared" si="426"/>
        <v>5</v>
      </c>
      <c r="AE5011" s="580">
        <f t="shared" si="427"/>
        <v>2.5</v>
      </c>
      <c r="AF5011" s="580">
        <f t="shared" si="428"/>
        <v>2.5</v>
      </c>
      <c r="AG5011" s="580">
        <f t="shared" si="429"/>
        <v>0</v>
      </c>
      <c r="AH5011" s="580">
        <f t="shared" si="430"/>
        <v>0</v>
      </c>
    </row>
    <row r="5012" spans="28:34">
      <c r="AB5012" s="580">
        <f>HLOOKUP("*"&amp;'Output annual'!$AC$2&amp;'Output annual'!$AD$2&amp;"*Zone People Number Of Occupants [](Hourly)",'Eplus results'!$1:$1048576,ROW(),FALSE)</f>
        <v>0</v>
      </c>
      <c r="AC5012" s="580">
        <f>HLOOKUP("*"&amp;'Output annual'!$AC$2&amp;'Output annual'!$AD$2&amp;"*FangerPMV(Hourly)",'Eplus results'!$1:$1048576,ROW(),FALSE)</f>
        <v>0</v>
      </c>
      <c r="AD5012" s="580">
        <f t="shared" si="426"/>
        <v>5</v>
      </c>
      <c r="AE5012" s="580">
        <f t="shared" si="427"/>
        <v>2.5</v>
      </c>
      <c r="AF5012" s="580">
        <f t="shared" si="428"/>
        <v>2.5</v>
      </c>
      <c r="AG5012" s="580">
        <f t="shared" si="429"/>
        <v>0</v>
      </c>
      <c r="AH5012" s="580">
        <f t="shared" si="430"/>
        <v>0</v>
      </c>
    </row>
    <row r="5013" spans="28:34">
      <c r="AB5013" s="580">
        <f>HLOOKUP("*"&amp;'Output annual'!$AC$2&amp;'Output annual'!$AD$2&amp;"*Zone People Number Of Occupants [](Hourly)",'Eplus results'!$1:$1048576,ROW(),FALSE)</f>
        <v>0</v>
      </c>
      <c r="AC5013" s="580">
        <f>HLOOKUP("*"&amp;'Output annual'!$AC$2&amp;'Output annual'!$AD$2&amp;"*FangerPMV(Hourly)",'Eplus results'!$1:$1048576,ROW(),FALSE)</f>
        <v>0</v>
      </c>
      <c r="AD5013" s="580">
        <f t="shared" si="426"/>
        <v>5</v>
      </c>
      <c r="AE5013" s="580">
        <f t="shared" si="427"/>
        <v>2.5</v>
      </c>
      <c r="AF5013" s="580">
        <f t="shared" si="428"/>
        <v>2.5</v>
      </c>
      <c r="AG5013" s="580">
        <f t="shared" si="429"/>
        <v>0</v>
      </c>
      <c r="AH5013" s="580">
        <f t="shared" si="430"/>
        <v>0</v>
      </c>
    </row>
    <row r="5014" spans="28:34">
      <c r="AB5014" s="580">
        <f>HLOOKUP("*"&amp;'Output annual'!$AC$2&amp;'Output annual'!$AD$2&amp;"*Zone People Number Of Occupants [](Hourly)",'Eplus results'!$1:$1048576,ROW(),FALSE)</f>
        <v>0</v>
      </c>
      <c r="AC5014" s="580">
        <f>HLOOKUP("*"&amp;'Output annual'!$AC$2&amp;'Output annual'!$AD$2&amp;"*FangerPMV(Hourly)",'Eplus results'!$1:$1048576,ROW(),FALSE)</f>
        <v>0</v>
      </c>
      <c r="AD5014" s="580">
        <f t="shared" si="426"/>
        <v>5</v>
      </c>
      <c r="AE5014" s="580">
        <f t="shared" si="427"/>
        <v>2.5</v>
      </c>
      <c r="AF5014" s="580">
        <f t="shared" si="428"/>
        <v>2.5</v>
      </c>
      <c r="AG5014" s="580">
        <f t="shared" si="429"/>
        <v>0</v>
      </c>
      <c r="AH5014" s="580">
        <f t="shared" si="430"/>
        <v>0</v>
      </c>
    </row>
    <row r="5015" spans="28:34">
      <c r="AB5015" s="580">
        <f>HLOOKUP("*"&amp;'Output annual'!$AC$2&amp;'Output annual'!$AD$2&amp;"*Zone People Number Of Occupants [](Hourly)",'Eplus results'!$1:$1048576,ROW(),FALSE)</f>
        <v>0</v>
      </c>
      <c r="AC5015" s="580">
        <f>HLOOKUP("*"&amp;'Output annual'!$AC$2&amp;'Output annual'!$AD$2&amp;"*FangerPMV(Hourly)",'Eplus results'!$1:$1048576,ROW(),FALSE)</f>
        <v>0</v>
      </c>
      <c r="AD5015" s="580">
        <f t="shared" si="426"/>
        <v>5</v>
      </c>
      <c r="AE5015" s="580">
        <f t="shared" si="427"/>
        <v>2.5</v>
      </c>
      <c r="AF5015" s="580">
        <f t="shared" si="428"/>
        <v>2.5</v>
      </c>
      <c r="AG5015" s="580">
        <f t="shared" si="429"/>
        <v>0</v>
      </c>
      <c r="AH5015" s="580">
        <f t="shared" si="430"/>
        <v>0</v>
      </c>
    </row>
    <row r="5016" spans="28:34">
      <c r="AB5016" s="580">
        <f>HLOOKUP("*"&amp;'Output annual'!$AC$2&amp;'Output annual'!$AD$2&amp;"*Zone People Number Of Occupants [](Hourly)",'Eplus results'!$1:$1048576,ROW(),FALSE)</f>
        <v>0</v>
      </c>
      <c r="AC5016" s="580">
        <f>HLOOKUP("*"&amp;'Output annual'!$AC$2&amp;'Output annual'!$AD$2&amp;"*FangerPMV(Hourly)",'Eplus results'!$1:$1048576,ROW(),FALSE)</f>
        <v>0</v>
      </c>
      <c r="AD5016" s="580">
        <f t="shared" si="426"/>
        <v>5</v>
      </c>
      <c r="AE5016" s="580">
        <f t="shared" si="427"/>
        <v>2.5</v>
      </c>
      <c r="AF5016" s="580">
        <f t="shared" si="428"/>
        <v>2.5</v>
      </c>
      <c r="AG5016" s="580">
        <f t="shared" si="429"/>
        <v>0</v>
      </c>
      <c r="AH5016" s="580">
        <f t="shared" si="430"/>
        <v>0</v>
      </c>
    </row>
    <row r="5017" spans="28:34">
      <c r="AB5017" s="580">
        <f>HLOOKUP("*"&amp;'Output annual'!$AC$2&amp;'Output annual'!$AD$2&amp;"*Zone People Number Of Occupants [](Hourly)",'Eplus results'!$1:$1048576,ROW(),FALSE)</f>
        <v>0</v>
      </c>
      <c r="AC5017" s="580">
        <f>HLOOKUP("*"&amp;'Output annual'!$AC$2&amp;'Output annual'!$AD$2&amp;"*FangerPMV(Hourly)",'Eplus results'!$1:$1048576,ROW(),FALSE)</f>
        <v>0</v>
      </c>
      <c r="AD5017" s="580">
        <f t="shared" si="426"/>
        <v>5</v>
      </c>
      <c r="AE5017" s="580">
        <f t="shared" si="427"/>
        <v>2.5</v>
      </c>
      <c r="AF5017" s="580">
        <f t="shared" si="428"/>
        <v>2.5</v>
      </c>
      <c r="AG5017" s="580">
        <f t="shared" si="429"/>
        <v>0</v>
      </c>
      <c r="AH5017" s="580">
        <f t="shared" si="430"/>
        <v>0</v>
      </c>
    </row>
    <row r="5018" spans="28:34">
      <c r="AB5018" s="580">
        <f>HLOOKUP("*"&amp;'Output annual'!$AC$2&amp;'Output annual'!$AD$2&amp;"*Zone People Number Of Occupants [](Hourly)",'Eplus results'!$1:$1048576,ROW(),FALSE)</f>
        <v>0</v>
      </c>
      <c r="AC5018" s="580">
        <f>HLOOKUP("*"&amp;'Output annual'!$AC$2&amp;'Output annual'!$AD$2&amp;"*FangerPMV(Hourly)",'Eplus results'!$1:$1048576,ROW(),FALSE)</f>
        <v>0</v>
      </c>
      <c r="AD5018" s="580">
        <f t="shared" si="426"/>
        <v>5</v>
      </c>
      <c r="AE5018" s="580">
        <f t="shared" si="427"/>
        <v>2.5</v>
      </c>
      <c r="AF5018" s="580">
        <f t="shared" si="428"/>
        <v>2.5</v>
      </c>
      <c r="AG5018" s="580">
        <f t="shared" si="429"/>
        <v>0</v>
      </c>
      <c r="AH5018" s="580">
        <f t="shared" si="430"/>
        <v>0</v>
      </c>
    </row>
    <row r="5019" spans="28:34">
      <c r="AB5019" s="580">
        <f>HLOOKUP("*"&amp;'Output annual'!$AC$2&amp;'Output annual'!$AD$2&amp;"*Zone People Number Of Occupants [](Hourly)",'Eplus results'!$1:$1048576,ROW(),FALSE)</f>
        <v>0</v>
      </c>
      <c r="AC5019" s="580">
        <f>HLOOKUP("*"&amp;'Output annual'!$AC$2&amp;'Output annual'!$AD$2&amp;"*FangerPMV(Hourly)",'Eplus results'!$1:$1048576,ROW(),FALSE)</f>
        <v>0</v>
      </c>
      <c r="AD5019" s="580">
        <f t="shared" si="426"/>
        <v>5</v>
      </c>
      <c r="AE5019" s="580">
        <f t="shared" si="427"/>
        <v>2.5</v>
      </c>
      <c r="AF5019" s="580">
        <f t="shared" si="428"/>
        <v>2.5</v>
      </c>
      <c r="AG5019" s="580">
        <f t="shared" si="429"/>
        <v>0</v>
      </c>
      <c r="AH5019" s="580">
        <f t="shared" si="430"/>
        <v>0</v>
      </c>
    </row>
    <row r="5020" spans="28:34">
      <c r="AB5020" s="580">
        <f>HLOOKUP("*"&amp;'Output annual'!$AC$2&amp;'Output annual'!$AD$2&amp;"*Zone People Number Of Occupants [](Hourly)",'Eplus results'!$1:$1048576,ROW(),FALSE)</f>
        <v>0</v>
      </c>
      <c r="AC5020" s="580">
        <f>HLOOKUP("*"&amp;'Output annual'!$AC$2&amp;'Output annual'!$AD$2&amp;"*FangerPMV(Hourly)",'Eplus results'!$1:$1048576,ROW(),FALSE)</f>
        <v>0</v>
      </c>
      <c r="AD5020" s="580">
        <f t="shared" si="426"/>
        <v>5</v>
      </c>
      <c r="AE5020" s="580">
        <f t="shared" si="427"/>
        <v>2.5</v>
      </c>
      <c r="AF5020" s="580">
        <f t="shared" si="428"/>
        <v>2.5</v>
      </c>
      <c r="AG5020" s="580">
        <f t="shared" si="429"/>
        <v>0</v>
      </c>
      <c r="AH5020" s="580">
        <f t="shared" si="430"/>
        <v>0</v>
      </c>
    </row>
    <row r="5021" spans="28:34">
      <c r="AB5021" s="580">
        <f>HLOOKUP("*"&amp;'Output annual'!$AC$2&amp;'Output annual'!$AD$2&amp;"*Zone People Number Of Occupants [](Hourly)",'Eplus results'!$1:$1048576,ROW(),FALSE)</f>
        <v>0</v>
      </c>
      <c r="AC5021" s="580">
        <f>HLOOKUP("*"&amp;'Output annual'!$AC$2&amp;'Output annual'!$AD$2&amp;"*FangerPMV(Hourly)",'Eplus results'!$1:$1048576,ROW(),FALSE)</f>
        <v>0</v>
      </c>
      <c r="AD5021" s="580">
        <f t="shared" si="426"/>
        <v>5</v>
      </c>
      <c r="AE5021" s="580">
        <f t="shared" si="427"/>
        <v>2.5</v>
      </c>
      <c r="AF5021" s="580">
        <f t="shared" si="428"/>
        <v>2.5</v>
      </c>
      <c r="AG5021" s="580">
        <f t="shared" si="429"/>
        <v>0</v>
      </c>
      <c r="AH5021" s="580">
        <f t="shared" si="430"/>
        <v>0</v>
      </c>
    </row>
    <row r="5022" spans="28:34">
      <c r="AB5022" s="580">
        <f>HLOOKUP("*"&amp;'Output annual'!$AC$2&amp;'Output annual'!$AD$2&amp;"*Zone People Number Of Occupants [](Hourly)",'Eplus results'!$1:$1048576,ROW(),FALSE)</f>
        <v>0</v>
      </c>
      <c r="AC5022" s="580">
        <f>HLOOKUP("*"&amp;'Output annual'!$AC$2&amp;'Output annual'!$AD$2&amp;"*FangerPMV(Hourly)",'Eplus results'!$1:$1048576,ROW(),FALSE)</f>
        <v>0</v>
      </c>
      <c r="AD5022" s="580">
        <f t="shared" si="426"/>
        <v>5</v>
      </c>
      <c r="AE5022" s="580">
        <f t="shared" si="427"/>
        <v>2.5</v>
      </c>
      <c r="AF5022" s="580">
        <f t="shared" si="428"/>
        <v>2.5</v>
      </c>
      <c r="AG5022" s="580">
        <f t="shared" si="429"/>
        <v>0</v>
      </c>
      <c r="AH5022" s="580">
        <f t="shared" si="430"/>
        <v>0</v>
      </c>
    </row>
    <row r="5023" spans="28:34">
      <c r="AB5023" s="580">
        <f>HLOOKUP("*"&amp;'Output annual'!$AC$2&amp;'Output annual'!$AD$2&amp;"*Zone People Number Of Occupants [](Hourly)",'Eplus results'!$1:$1048576,ROW(),FALSE)</f>
        <v>0</v>
      </c>
      <c r="AC5023" s="580">
        <f>HLOOKUP("*"&amp;'Output annual'!$AC$2&amp;'Output annual'!$AD$2&amp;"*FangerPMV(Hourly)",'Eplus results'!$1:$1048576,ROW(),FALSE)</f>
        <v>0</v>
      </c>
      <c r="AD5023" s="580">
        <f t="shared" si="426"/>
        <v>5</v>
      </c>
      <c r="AE5023" s="580">
        <f t="shared" si="427"/>
        <v>2.5</v>
      </c>
      <c r="AF5023" s="580">
        <f t="shared" si="428"/>
        <v>2.5</v>
      </c>
      <c r="AG5023" s="580">
        <f t="shared" si="429"/>
        <v>0</v>
      </c>
      <c r="AH5023" s="580">
        <f t="shared" si="430"/>
        <v>0</v>
      </c>
    </row>
    <row r="5024" spans="28:34">
      <c r="AB5024" s="580">
        <f>HLOOKUP("*"&amp;'Output annual'!$AC$2&amp;'Output annual'!$AD$2&amp;"*Zone People Number Of Occupants [](Hourly)",'Eplus results'!$1:$1048576,ROW(),FALSE)</f>
        <v>0</v>
      </c>
      <c r="AC5024" s="580">
        <f>HLOOKUP("*"&amp;'Output annual'!$AC$2&amp;'Output annual'!$AD$2&amp;"*FangerPMV(Hourly)",'Eplus results'!$1:$1048576,ROW(),FALSE)</f>
        <v>0</v>
      </c>
      <c r="AD5024" s="580">
        <f t="shared" si="426"/>
        <v>5</v>
      </c>
      <c r="AE5024" s="580">
        <f t="shared" si="427"/>
        <v>2.5</v>
      </c>
      <c r="AF5024" s="580">
        <f t="shared" si="428"/>
        <v>2.5</v>
      </c>
      <c r="AG5024" s="580">
        <f t="shared" si="429"/>
        <v>0</v>
      </c>
      <c r="AH5024" s="580">
        <f t="shared" si="430"/>
        <v>0</v>
      </c>
    </row>
    <row r="5025" spans="28:34">
      <c r="AB5025" s="580">
        <f>HLOOKUP("*"&amp;'Output annual'!$AC$2&amp;'Output annual'!$AD$2&amp;"*Zone People Number Of Occupants [](Hourly)",'Eplus results'!$1:$1048576,ROW(),FALSE)</f>
        <v>0</v>
      </c>
      <c r="AC5025" s="580">
        <f>HLOOKUP("*"&amp;'Output annual'!$AC$2&amp;'Output annual'!$AD$2&amp;"*FangerPMV(Hourly)",'Eplus results'!$1:$1048576,ROW(),FALSE)</f>
        <v>0</v>
      </c>
      <c r="AD5025" s="580">
        <f t="shared" si="426"/>
        <v>5</v>
      </c>
      <c r="AE5025" s="580">
        <f t="shared" si="427"/>
        <v>2.5</v>
      </c>
      <c r="AF5025" s="580">
        <f t="shared" si="428"/>
        <v>2.5</v>
      </c>
      <c r="AG5025" s="580">
        <f t="shared" si="429"/>
        <v>0</v>
      </c>
      <c r="AH5025" s="580">
        <f t="shared" si="430"/>
        <v>0</v>
      </c>
    </row>
    <row r="5026" spans="28:34">
      <c r="AB5026" s="580">
        <f>HLOOKUP("*"&amp;'Output annual'!$AC$2&amp;'Output annual'!$AD$2&amp;"*Zone People Number Of Occupants [](Hourly)",'Eplus results'!$1:$1048576,ROW(),FALSE)</f>
        <v>0</v>
      </c>
      <c r="AC5026" s="580">
        <f>HLOOKUP("*"&amp;'Output annual'!$AC$2&amp;'Output annual'!$AD$2&amp;"*FangerPMV(Hourly)",'Eplus results'!$1:$1048576,ROW(),FALSE)</f>
        <v>0</v>
      </c>
      <c r="AD5026" s="580">
        <f t="shared" si="426"/>
        <v>5</v>
      </c>
      <c r="AE5026" s="580">
        <f t="shared" si="427"/>
        <v>2.5</v>
      </c>
      <c r="AF5026" s="580">
        <f t="shared" si="428"/>
        <v>2.5</v>
      </c>
      <c r="AG5026" s="580">
        <f t="shared" si="429"/>
        <v>0</v>
      </c>
      <c r="AH5026" s="580">
        <f t="shared" si="430"/>
        <v>0</v>
      </c>
    </row>
    <row r="5027" spans="28:34">
      <c r="AB5027" s="580">
        <f>HLOOKUP("*"&amp;'Output annual'!$AC$2&amp;'Output annual'!$AD$2&amp;"*Zone People Number Of Occupants [](Hourly)",'Eplus results'!$1:$1048576,ROW(),FALSE)</f>
        <v>0</v>
      </c>
      <c r="AC5027" s="580">
        <f>HLOOKUP("*"&amp;'Output annual'!$AC$2&amp;'Output annual'!$AD$2&amp;"*FangerPMV(Hourly)",'Eplus results'!$1:$1048576,ROW(),FALSE)</f>
        <v>0</v>
      </c>
      <c r="AD5027" s="580">
        <f t="shared" si="426"/>
        <v>5</v>
      </c>
      <c r="AE5027" s="580">
        <f t="shared" si="427"/>
        <v>2.5</v>
      </c>
      <c r="AF5027" s="580">
        <f t="shared" si="428"/>
        <v>2.5</v>
      </c>
      <c r="AG5027" s="580">
        <f t="shared" si="429"/>
        <v>0</v>
      </c>
      <c r="AH5027" s="580">
        <f t="shared" si="430"/>
        <v>0</v>
      </c>
    </row>
    <row r="5028" spans="28:34">
      <c r="AB5028" s="580">
        <f>HLOOKUP("*"&amp;'Output annual'!$AC$2&amp;'Output annual'!$AD$2&amp;"*Zone People Number Of Occupants [](Hourly)",'Eplus results'!$1:$1048576,ROW(),FALSE)</f>
        <v>0</v>
      </c>
      <c r="AC5028" s="580">
        <f>HLOOKUP("*"&amp;'Output annual'!$AC$2&amp;'Output annual'!$AD$2&amp;"*FangerPMV(Hourly)",'Eplus results'!$1:$1048576,ROW(),FALSE)</f>
        <v>0</v>
      </c>
      <c r="AD5028" s="580">
        <f t="shared" si="426"/>
        <v>5</v>
      </c>
      <c r="AE5028" s="580">
        <f t="shared" si="427"/>
        <v>2.5</v>
      </c>
      <c r="AF5028" s="580">
        <f t="shared" si="428"/>
        <v>2.5</v>
      </c>
      <c r="AG5028" s="580">
        <f t="shared" si="429"/>
        <v>0</v>
      </c>
      <c r="AH5028" s="580">
        <f t="shared" si="430"/>
        <v>0</v>
      </c>
    </row>
    <row r="5029" spans="28:34">
      <c r="AB5029" s="580">
        <f>HLOOKUP("*"&amp;'Output annual'!$AC$2&amp;'Output annual'!$AD$2&amp;"*Zone People Number Of Occupants [](Hourly)",'Eplus results'!$1:$1048576,ROW(),FALSE)</f>
        <v>0</v>
      </c>
      <c r="AC5029" s="580">
        <f>HLOOKUP("*"&amp;'Output annual'!$AC$2&amp;'Output annual'!$AD$2&amp;"*FangerPMV(Hourly)",'Eplus results'!$1:$1048576,ROW(),FALSE)</f>
        <v>0</v>
      </c>
      <c r="AD5029" s="580">
        <f t="shared" si="426"/>
        <v>5</v>
      </c>
      <c r="AE5029" s="580">
        <f t="shared" si="427"/>
        <v>2.5</v>
      </c>
      <c r="AF5029" s="580">
        <f t="shared" si="428"/>
        <v>2.5</v>
      </c>
      <c r="AG5029" s="580">
        <f t="shared" si="429"/>
        <v>0</v>
      </c>
      <c r="AH5029" s="580">
        <f t="shared" si="430"/>
        <v>0</v>
      </c>
    </row>
    <row r="5030" spans="28:34">
      <c r="AB5030" s="580">
        <f>HLOOKUP("*"&amp;'Output annual'!$AC$2&amp;'Output annual'!$AD$2&amp;"*Zone People Number Of Occupants [](Hourly)",'Eplus results'!$1:$1048576,ROW(),FALSE)</f>
        <v>0</v>
      </c>
      <c r="AC5030" s="580">
        <f>HLOOKUP("*"&amp;'Output annual'!$AC$2&amp;'Output annual'!$AD$2&amp;"*FangerPMV(Hourly)",'Eplus results'!$1:$1048576,ROW(),FALSE)</f>
        <v>0</v>
      </c>
      <c r="AD5030" s="580">
        <f t="shared" si="426"/>
        <v>5</v>
      </c>
      <c r="AE5030" s="580">
        <f t="shared" si="427"/>
        <v>2.5</v>
      </c>
      <c r="AF5030" s="580">
        <f t="shared" si="428"/>
        <v>2.5</v>
      </c>
      <c r="AG5030" s="580">
        <f t="shared" si="429"/>
        <v>0</v>
      </c>
      <c r="AH5030" s="580">
        <f t="shared" si="430"/>
        <v>0</v>
      </c>
    </row>
    <row r="5031" spans="28:34">
      <c r="AB5031" s="580">
        <f>HLOOKUP("*"&amp;'Output annual'!$AC$2&amp;'Output annual'!$AD$2&amp;"*Zone People Number Of Occupants [](Hourly)",'Eplus results'!$1:$1048576,ROW(),FALSE)</f>
        <v>0</v>
      </c>
      <c r="AC5031" s="580">
        <f>HLOOKUP("*"&amp;'Output annual'!$AC$2&amp;'Output annual'!$AD$2&amp;"*FangerPMV(Hourly)",'Eplus results'!$1:$1048576,ROW(),FALSE)</f>
        <v>0</v>
      </c>
      <c r="AD5031" s="580">
        <f t="shared" si="426"/>
        <v>5</v>
      </c>
      <c r="AE5031" s="580">
        <f t="shared" si="427"/>
        <v>2.5</v>
      </c>
      <c r="AF5031" s="580">
        <f t="shared" si="428"/>
        <v>2.5</v>
      </c>
      <c r="AG5031" s="580">
        <f t="shared" si="429"/>
        <v>0</v>
      </c>
      <c r="AH5031" s="580">
        <f t="shared" si="430"/>
        <v>0</v>
      </c>
    </row>
    <row r="5032" spans="28:34">
      <c r="AB5032" s="580">
        <f>HLOOKUP("*"&amp;'Output annual'!$AC$2&amp;'Output annual'!$AD$2&amp;"*Zone People Number Of Occupants [](Hourly)",'Eplus results'!$1:$1048576,ROW(),FALSE)</f>
        <v>0</v>
      </c>
      <c r="AC5032" s="580">
        <f>HLOOKUP("*"&amp;'Output annual'!$AC$2&amp;'Output annual'!$AD$2&amp;"*FangerPMV(Hourly)",'Eplus results'!$1:$1048576,ROW(),FALSE)</f>
        <v>0</v>
      </c>
      <c r="AD5032" s="580">
        <f t="shared" si="426"/>
        <v>5</v>
      </c>
      <c r="AE5032" s="580">
        <f t="shared" si="427"/>
        <v>2.5</v>
      </c>
      <c r="AF5032" s="580">
        <f t="shared" si="428"/>
        <v>2.5</v>
      </c>
      <c r="AG5032" s="580">
        <f t="shared" si="429"/>
        <v>0</v>
      </c>
      <c r="AH5032" s="580">
        <f t="shared" si="430"/>
        <v>0</v>
      </c>
    </row>
    <row r="5033" spans="28:34">
      <c r="AB5033" s="580">
        <f>HLOOKUP("*"&amp;'Output annual'!$AC$2&amp;'Output annual'!$AD$2&amp;"*Zone People Number Of Occupants [](Hourly)",'Eplus results'!$1:$1048576,ROW(),FALSE)</f>
        <v>0</v>
      </c>
      <c r="AC5033" s="580">
        <f>HLOOKUP("*"&amp;'Output annual'!$AC$2&amp;'Output annual'!$AD$2&amp;"*FangerPMV(Hourly)",'Eplus results'!$1:$1048576,ROW(),FALSE)</f>
        <v>0</v>
      </c>
      <c r="AD5033" s="580">
        <f t="shared" si="426"/>
        <v>5</v>
      </c>
      <c r="AE5033" s="580">
        <f t="shared" si="427"/>
        <v>2.5</v>
      </c>
      <c r="AF5033" s="580">
        <f t="shared" si="428"/>
        <v>2.5</v>
      </c>
      <c r="AG5033" s="580">
        <f t="shared" si="429"/>
        <v>0</v>
      </c>
      <c r="AH5033" s="580">
        <f t="shared" si="430"/>
        <v>0</v>
      </c>
    </row>
    <row r="5034" spans="28:34">
      <c r="AB5034" s="580">
        <f>HLOOKUP("*"&amp;'Output annual'!$AC$2&amp;'Output annual'!$AD$2&amp;"*Zone People Number Of Occupants [](Hourly)",'Eplus results'!$1:$1048576,ROW(),FALSE)</f>
        <v>0</v>
      </c>
      <c r="AC5034" s="580">
        <f>HLOOKUP("*"&amp;'Output annual'!$AC$2&amp;'Output annual'!$AD$2&amp;"*FangerPMV(Hourly)",'Eplus results'!$1:$1048576,ROW(),FALSE)</f>
        <v>0</v>
      </c>
      <c r="AD5034" s="580">
        <f t="shared" si="426"/>
        <v>5</v>
      </c>
      <c r="AE5034" s="580">
        <f t="shared" si="427"/>
        <v>2.5</v>
      </c>
      <c r="AF5034" s="580">
        <f t="shared" si="428"/>
        <v>2.5</v>
      </c>
      <c r="AG5034" s="580">
        <f t="shared" si="429"/>
        <v>0</v>
      </c>
      <c r="AH5034" s="580">
        <f t="shared" si="430"/>
        <v>0</v>
      </c>
    </row>
    <row r="5035" spans="28:34">
      <c r="AB5035" s="580">
        <f>HLOOKUP("*"&amp;'Output annual'!$AC$2&amp;'Output annual'!$AD$2&amp;"*Zone People Number Of Occupants [](Hourly)",'Eplus results'!$1:$1048576,ROW(),FALSE)</f>
        <v>0</v>
      </c>
      <c r="AC5035" s="580">
        <f>HLOOKUP("*"&amp;'Output annual'!$AC$2&amp;'Output annual'!$AD$2&amp;"*FangerPMV(Hourly)",'Eplus results'!$1:$1048576,ROW(),FALSE)</f>
        <v>0</v>
      </c>
      <c r="AD5035" s="580">
        <f t="shared" si="426"/>
        <v>5</v>
      </c>
      <c r="AE5035" s="580">
        <f t="shared" si="427"/>
        <v>2.5</v>
      </c>
      <c r="AF5035" s="580">
        <f t="shared" si="428"/>
        <v>2.5</v>
      </c>
      <c r="AG5035" s="580">
        <f t="shared" si="429"/>
        <v>0</v>
      </c>
      <c r="AH5035" s="580">
        <f t="shared" si="430"/>
        <v>0</v>
      </c>
    </row>
    <row r="5036" spans="28:34">
      <c r="AB5036" s="580">
        <f>HLOOKUP("*"&amp;'Output annual'!$AC$2&amp;'Output annual'!$AD$2&amp;"*Zone People Number Of Occupants [](Hourly)",'Eplus results'!$1:$1048576,ROW(),FALSE)</f>
        <v>0</v>
      </c>
      <c r="AC5036" s="580">
        <f>HLOOKUP("*"&amp;'Output annual'!$AC$2&amp;'Output annual'!$AD$2&amp;"*FangerPMV(Hourly)",'Eplus results'!$1:$1048576,ROW(),FALSE)</f>
        <v>0</v>
      </c>
      <c r="AD5036" s="580">
        <f t="shared" si="426"/>
        <v>5</v>
      </c>
      <c r="AE5036" s="580">
        <f t="shared" si="427"/>
        <v>2.5</v>
      </c>
      <c r="AF5036" s="580">
        <f t="shared" si="428"/>
        <v>2.5</v>
      </c>
      <c r="AG5036" s="580">
        <f t="shared" si="429"/>
        <v>0</v>
      </c>
      <c r="AH5036" s="580">
        <f t="shared" si="430"/>
        <v>0</v>
      </c>
    </row>
    <row r="5037" spans="28:34">
      <c r="AB5037" s="580">
        <f>HLOOKUP("*"&amp;'Output annual'!$AC$2&amp;'Output annual'!$AD$2&amp;"*Zone People Number Of Occupants [](Hourly)",'Eplus results'!$1:$1048576,ROW(),FALSE)</f>
        <v>0</v>
      </c>
      <c r="AC5037" s="580">
        <f>HLOOKUP("*"&amp;'Output annual'!$AC$2&amp;'Output annual'!$AD$2&amp;"*FangerPMV(Hourly)",'Eplus results'!$1:$1048576,ROW(),FALSE)</f>
        <v>0</v>
      </c>
      <c r="AD5037" s="580">
        <f t="shared" si="426"/>
        <v>5</v>
      </c>
      <c r="AE5037" s="580">
        <f t="shared" si="427"/>
        <v>2.5</v>
      </c>
      <c r="AF5037" s="580">
        <f t="shared" si="428"/>
        <v>2.5</v>
      </c>
      <c r="AG5037" s="580">
        <f t="shared" si="429"/>
        <v>0</v>
      </c>
      <c r="AH5037" s="580">
        <f t="shared" si="430"/>
        <v>0</v>
      </c>
    </row>
    <row r="5038" spans="28:34">
      <c r="AB5038" s="580">
        <f>HLOOKUP("*"&amp;'Output annual'!$AC$2&amp;'Output annual'!$AD$2&amp;"*Zone People Number Of Occupants [](Hourly)",'Eplus results'!$1:$1048576,ROW(),FALSE)</f>
        <v>0</v>
      </c>
      <c r="AC5038" s="580">
        <f>HLOOKUP("*"&amp;'Output annual'!$AC$2&amp;'Output annual'!$AD$2&amp;"*FangerPMV(Hourly)",'Eplus results'!$1:$1048576,ROW(),FALSE)</f>
        <v>0</v>
      </c>
      <c r="AD5038" s="580">
        <f t="shared" si="426"/>
        <v>5</v>
      </c>
      <c r="AE5038" s="580">
        <f t="shared" si="427"/>
        <v>2.5</v>
      </c>
      <c r="AF5038" s="580">
        <f t="shared" si="428"/>
        <v>2.5</v>
      </c>
      <c r="AG5038" s="580">
        <f t="shared" si="429"/>
        <v>0</v>
      </c>
      <c r="AH5038" s="580">
        <f t="shared" si="430"/>
        <v>0</v>
      </c>
    </row>
    <row r="5039" spans="28:34">
      <c r="AB5039" s="580">
        <f>HLOOKUP("*"&amp;'Output annual'!$AC$2&amp;'Output annual'!$AD$2&amp;"*Zone People Number Of Occupants [](Hourly)",'Eplus results'!$1:$1048576,ROW(),FALSE)</f>
        <v>0</v>
      </c>
      <c r="AC5039" s="580">
        <f>HLOOKUP("*"&amp;'Output annual'!$AC$2&amp;'Output annual'!$AD$2&amp;"*FangerPMV(Hourly)",'Eplus results'!$1:$1048576,ROW(),FALSE)</f>
        <v>0</v>
      </c>
      <c r="AD5039" s="580">
        <f t="shared" si="426"/>
        <v>5</v>
      </c>
      <c r="AE5039" s="580">
        <f t="shared" si="427"/>
        <v>2.5</v>
      </c>
      <c r="AF5039" s="580">
        <f t="shared" si="428"/>
        <v>2.5</v>
      </c>
      <c r="AG5039" s="580">
        <f t="shared" si="429"/>
        <v>0</v>
      </c>
      <c r="AH5039" s="580">
        <f t="shared" si="430"/>
        <v>0</v>
      </c>
    </row>
    <row r="5040" spans="28:34">
      <c r="AB5040" s="580">
        <f>HLOOKUP("*"&amp;'Output annual'!$AC$2&amp;'Output annual'!$AD$2&amp;"*Zone People Number Of Occupants [](Hourly)",'Eplus results'!$1:$1048576,ROW(),FALSE)</f>
        <v>0</v>
      </c>
      <c r="AC5040" s="580">
        <f>HLOOKUP("*"&amp;'Output annual'!$AC$2&amp;'Output annual'!$AD$2&amp;"*FangerPMV(Hourly)",'Eplus results'!$1:$1048576,ROW(),FALSE)</f>
        <v>0</v>
      </c>
      <c r="AD5040" s="580">
        <f t="shared" si="426"/>
        <v>5</v>
      </c>
      <c r="AE5040" s="580">
        <f t="shared" si="427"/>
        <v>2.5</v>
      </c>
      <c r="AF5040" s="580">
        <f t="shared" si="428"/>
        <v>2.5</v>
      </c>
      <c r="AG5040" s="580">
        <f t="shared" si="429"/>
        <v>0</v>
      </c>
      <c r="AH5040" s="580">
        <f t="shared" si="430"/>
        <v>0</v>
      </c>
    </row>
    <row r="5041" spans="28:34">
      <c r="AB5041" s="580">
        <f>HLOOKUP("*"&amp;'Output annual'!$AC$2&amp;'Output annual'!$AD$2&amp;"*Zone People Number Of Occupants [](Hourly)",'Eplus results'!$1:$1048576,ROW(),FALSE)</f>
        <v>0</v>
      </c>
      <c r="AC5041" s="580">
        <f>HLOOKUP("*"&amp;'Output annual'!$AC$2&amp;'Output annual'!$AD$2&amp;"*FangerPMV(Hourly)",'Eplus results'!$1:$1048576,ROW(),FALSE)</f>
        <v>0</v>
      </c>
      <c r="AD5041" s="580">
        <f t="shared" si="426"/>
        <v>5</v>
      </c>
      <c r="AE5041" s="580">
        <f t="shared" si="427"/>
        <v>2.5</v>
      </c>
      <c r="AF5041" s="580">
        <f t="shared" si="428"/>
        <v>2.5</v>
      </c>
      <c r="AG5041" s="580">
        <f t="shared" si="429"/>
        <v>0</v>
      </c>
      <c r="AH5041" s="580">
        <f t="shared" si="430"/>
        <v>0</v>
      </c>
    </row>
    <row r="5042" spans="28:34">
      <c r="AB5042" s="580">
        <f>HLOOKUP("*"&amp;'Output annual'!$AC$2&amp;'Output annual'!$AD$2&amp;"*Zone People Number Of Occupants [](Hourly)",'Eplus results'!$1:$1048576,ROW(),FALSE)</f>
        <v>0</v>
      </c>
      <c r="AC5042" s="580">
        <f>HLOOKUP("*"&amp;'Output annual'!$AC$2&amp;'Output annual'!$AD$2&amp;"*FangerPMV(Hourly)",'Eplus results'!$1:$1048576,ROW(),FALSE)</f>
        <v>0</v>
      </c>
      <c r="AD5042" s="580">
        <f t="shared" si="426"/>
        <v>5</v>
      </c>
      <c r="AE5042" s="580">
        <f t="shared" si="427"/>
        <v>2.5</v>
      </c>
      <c r="AF5042" s="580">
        <f t="shared" si="428"/>
        <v>2.5</v>
      </c>
      <c r="AG5042" s="580">
        <f t="shared" si="429"/>
        <v>0</v>
      </c>
      <c r="AH5042" s="580">
        <f t="shared" si="430"/>
        <v>0</v>
      </c>
    </row>
    <row r="5043" spans="28:34">
      <c r="AB5043" s="580">
        <f>HLOOKUP("*"&amp;'Output annual'!$AC$2&amp;'Output annual'!$AD$2&amp;"*Zone People Number Of Occupants [](Hourly)",'Eplus results'!$1:$1048576,ROW(),FALSE)</f>
        <v>0</v>
      </c>
      <c r="AC5043" s="580">
        <f>HLOOKUP("*"&amp;'Output annual'!$AC$2&amp;'Output annual'!$AD$2&amp;"*FangerPMV(Hourly)",'Eplus results'!$1:$1048576,ROW(),FALSE)</f>
        <v>0</v>
      </c>
      <c r="AD5043" s="580">
        <f t="shared" si="426"/>
        <v>5</v>
      </c>
      <c r="AE5043" s="580">
        <f t="shared" si="427"/>
        <v>2.5</v>
      </c>
      <c r="AF5043" s="580">
        <f t="shared" si="428"/>
        <v>2.5</v>
      </c>
      <c r="AG5043" s="580">
        <f t="shared" si="429"/>
        <v>0</v>
      </c>
      <c r="AH5043" s="580">
        <f t="shared" si="430"/>
        <v>0</v>
      </c>
    </row>
    <row r="5044" spans="28:34">
      <c r="AB5044" s="580">
        <f>HLOOKUP("*"&amp;'Output annual'!$AC$2&amp;'Output annual'!$AD$2&amp;"*Zone People Number Of Occupants [](Hourly)",'Eplus results'!$1:$1048576,ROW(),FALSE)</f>
        <v>0</v>
      </c>
      <c r="AC5044" s="580">
        <f>HLOOKUP("*"&amp;'Output annual'!$AC$2&amp;'Output annual'!$AD$2&amp;"*FangerPMV(Hourly)",'Eplus results'!$1:$1048576,ROW(),FALSE)</f>
        <v>0</v>
      </c>
      <c r="AD5044" s="580">
        <f t="shared" si="426"/>
        <v>5</v>
      </c>
      <c r="AE5044" s="580">
        <f t="shared" si="427"/>
        <v>2.5</v>
      </c>
      <c r="AF5044" s="580">
        <f t="shared" si="428"/>
        <v>2.5</v>
      </c>
      <c r="AG5044" s="580">
        <f t="shared" si="429"/>
        <v>0</v>
      </c>
      <c r="AH5044" s="580">
        <f t="shared" si="430"/>
        <v>0</v>
      </c>
    </row>
    <row r="5045" spans="28:34">
      <c r="AB5045" s="580">
        <f>HLOOKUP("*"&amp;'Output annual'!$AC$2&amp;'Output annual'!$AD$2&amp;"*Zone People Number Of Occupants [](Hourly)",'Eplus results'!$1:$1048576,ROW(),FALSE)</f>
        <v>0</v>
      </c>
      <c r="AC5045" s="580">
        <f>HLOOKUP("*"&amp;'Output annual'!$AC$2&amp;'Output annual'!$AD$2&amp;"*FangerPMV(Hourly)",'Eplus results'!$1:$1048576,ROW(),FALSE)</f>
        <v>0</v>
      </c>
      <c r="AD5045" s="580">
        <f t="shared" si="426"/>
        <v>5</v>
      </c>
      <c r="AE5045" s="580">
        <f t="shared" si="427"/>
        <v>2.5</v>
      </c>
      <c r="AF5045" s="580">
        <f t="shared" si="428"/>
        <v>2.5</v>
      </c>
      <c r="AG5045" s="580">
        <f t="shared" si="429"/>
        <v>0</v>
      </c>
      <c r="AH5045" s="580">
        <f t="shared" si="430"/>
        <v>0</v>
      </c>
    </row>
    <row r="5046" spans="28:34">
      <c r="AB5046" s="580">
        <f>HLOOKUP("*"&amp;'Output annual'!$AC$2&amp;'Output annual'!$AD$2&amp;"*Zone People Number Of Occupants [](Hourly)",'Eplus results'!$1:$1048576,ROW(),FALSE)</f>
        <v>0</v>
      </c>
      <c r="AC5046" s="580">
        <f>HLOOKUP("*"&amp;'Output annual'!$AC$2&amp;'Output annual'!$AD$2&amp;"*FangerPMV(Hourly)",'Eplus results'!$1:$1048576,ROW(),FALSE)</f>
        <v>0</v>
      </c>
      <c r="AD5046" s="580">
        <f t="shared" si="426"/>
        <v>5</v>
      </c>
      <c r="AE5046" s="580">
        <f t="shared" si="427"/>
        <v>2.5</v>
      </c>
      <c r="AF5046" s="580">
        <f t="shared" si="428"/>
        <v>2.5</v>
      </c>
      <c r="AG5046" s="580">
        <f t="shared" si="429"/>
        <v>0</v>
      </c>
      <c r="AH5046" s="580">
        <f t="shared" si="430"/>
        <v>0</v>
      </c>
    </row>
    <row r="5047" spans="28:34">
      <c r="AB5047" s="580">
        <f>HLOOKUP("*"&amp;'Output annual'!$AC$2&amp;'Output annual'!$AD$2&amp;"*Zone People Number Of Occupants [](Hourly)",'Eplus results'!$1:$1048576,ROW(),FALSE)</f>
        <v>0</v>
      </c>
      <c r="AC5047" s="580">
        <f>HLOOKUP("*"&amp;'Output annual'!$AC$2&amp;'Output annual'!$AD$2&amp;"*FangerPMV(Hourly)",'Eplus results'!$1:$1048576,ROW(),FALSE)</f>
        <v>0</v>
      </c>
      <c r="AD5047" s="580">
        <f t="shared" si="426"/>
        <v>5</v>
      </c>
      <c r="AE5047" s="580">
        <f t="shared" si="427"/>
        <v>2.5</v>
      </c>
      <c r="AF5047" s="580">
        <f t="shared" si="428"/>
        <v>2.5</v>
      </c>
      <c r="AG5047" s="580">
        <f t="shared" si="429"/>
        <v>0</v>
      </c>
      <c r="AH5047" s="580">
        <f t="shared" si="430"/>
        <v>0</v>
      </c>
    </row>
    <row r="5048" spans="28:34">
      <c r="AB5048" s="580">
        <f>HLOOKUP("*"&amp;'Output annual'!$AC$2&amp;'Output annual'!$AD$2&amp;"*Zone People Number Of Occupants [](Hourly)",'Eplus results'!$1:$1048576,ROW(),FALSE)</f>
        <v>0</v>
      </c>
      <c r="AC5048" s="580">
        <f>HLOOKUP("*"&amp;'Output annual'!$AC$2&amp;'Output annual'!$AD$2&amp;"*FangerPMV(Hourly)",'Eplus results'!$1:$1048576,ROW(),FALSE)</f>
        <v>0</v>
      </c>
      <c r="AD5048" s="580">
        <f t="shared" si="426"/>
        <v>5</v>
      </c>
      <c r="AE5048" s="580">
        <f t="shared" si="427"/>
        <v>2.5</v>
      </c>
      <c r="AF5048" s="580">
        <f t="shared" si="428"/>
        <v>2.5</v>
      </c>
      <c r="AG5048" s="580">
        <f t="shared" si="429"/>
        <v>0</v>
      </c>
      <c r="AH5048" s="580">
        <f t="shared" si="430"/>
        <v>0</v>
      </c>
    </row>
    <row r="5049" spans="28:34">
      <c r="AB5049" s="580">
        <f>HLOOKUP("*"&amp;'Output annual'!$AC$2&amp;'Output annual'!$AD$2&amp;"*Zone People Number Of Occupants [](Hourly)",'Eplus results'!$1:$1048576,ROW(),FALSE)</f>
        <v>0</v>
      </c>
      <c r="AC5049" s="580">
        <f>HLOOKUP("*"&amp;'Output annual'!$AC$2&amp;'Output annual'!$AD$2&amp;"*FangerPMV(Hourly)",'Eplus results'!$1:$1048576,ROW(),FALSE)</f>
        <v>0</v>
      </c>
      <c r="AD5049" s="580">
        <f t="shared" si="426"/>
        <v>5</v>
      </c>
      <c r="AE5049" s="580">
        <f t="shared" si="427"/>
        <v>2.5</v>
      </c>
      <c r="AF5049" s="580">
        <f t="shared" si="428"/>
        <v>2.5</v>
      </c>
      <c r="AG5049" s="580">
        <f t="shared" si="429"/>
        <v>0</v>
      </c>
      <c r="AH5049" s="580">
        <f t="shared" si="430"/>
        <v>0</v>
      </c>
    </row>
    <row r="5050" spans="28:34">
      <c r="AB5050" s="580">
        <f>HLOOKUP("*"&amp;'Output annual'!$AC$2&amp;'Output annual'!$AD$2&amp;"*Zone People Number Of Occupants [](Hourly)",'Eplus results'!$1:$1048576,ROW(),FALSE)</f>
        <v>0</v>
      </c>
      <c r="AC5050" s="580">
        <f>HLOOKUP("*"&amp;'Output annual'!$AC$2&amp;'Output annual'!$AD$2&amp;"*FangerPMV(Hourly)",'Eplus results'!$1:$1048576,ROW(),FALSE)</f>
        <v>0</v>
      </c>
      <c r="AD5050" s="580">
        <f t="shared" si="426"/>
        <v>5</v>
      </c>
      <c r="AE5050" s="580">
        <f t="shared" si="427"/>
        <v>2.5</v>
      </c>
      <c r="AF5050" s="580">
        <f t="shared" si="428"/>
        <v>2.5</v>
      </c>
      <c r="AG5050" s="580">
        <f t="shared" si="429"/>
        <v>0</v>
      </c>
      <c r="AH5050" s="580">
        <f t="shared" si="430"/>
        <v>0</v>
      </c>
    </row>
    <row r="5051" spans="28:34">
      <c r="AB5051" s="580">
        <f>HLOOKUP("*"&amp;'Output annual'!$AC$2&amp;'Output annual'!$AD$2&amp;"*Zone People Number Of Occupants [](Hourly)",'Eplus results'!$1:$1048576,ROW(),FALSE)</f>
        <v>0</v>
      </c>
      <c r="AC5051" s="580">
        <f>HLOOKUP("*"&amp;'Output annual'!$AC$2&amp;'Output annual'!$AD$2&amp;"*FangerPMV(Hourly)",'Eplus results'!$1:$1048576,ROW(),FALSE)</f>
        <v>0</v>
      </c>
      <c r="AD5051" s="580">
        <f t="shared" si="426"/>
        <v>5</v>
      </c>
      <c r="AE5051" s="580">
        <f t="shared" si="427"/>
        <v>2.5</v>
      </c>
      <c r="AF5051" s="580">
        <f t="shared" si="428"/>
        <v>2.5</v>
      </c>
      <c r="AG5051" s="580">
        <f t="shared" si="429"/>
        <v>0</v>
      </c>
      <c r="AH5051" s="580">
        <f t="shared" si="430"/>
        <v>0</v>
      </c>
    </row>
    <row r="5052" spans="28:34">
      <c r="AB5052" s="580">
        <f>HLOOKUP("*"&amp;'Output annual'!$AC$2&amp;'Output annual'!$AD$2&amp;"*Zone People Number Of Occupants [](Hourly)",'Eplus results'!$1:$1048576,ROW(),FALSE)</f>
        <v>0</v>
      </c>
      <c r="AC5052" s="580">
        <f>HLOOKUP("*"&amp;'Output annual'!$AC$2&amp;'Output annual'!$AD$2&amp;"*FangerPMV(Hourly)",'Eplus results'!$1:$1048576,ROW(),FALSE)</f>
        <v>0</v>
      </c>
      <c r="AD5052" s="580">
        <f t="shared" si="426"/>
        <v>5</v>
      </c>
      <c r="AE5052" s="580">
        <f t="shared" si="427"/>
        <v>2.5</v>
      </c>
      <c r="AF5052" s="580">
        <f t="shared" si="428"/>
        <v>2.5</v>
      </c>
      <c r="AG5052" s="580">
        <f t="shared" si="429"/>
        <v>0</v>
      </c>
      <c r="AH5052" s="580">
        <f t="shared" si="430"/>
        <v>0</v>
      </c>
    </row>
    <row r="5053" spans="28:34">
      <c r="AB5053" s="580">
        <f>HLOOKUP("*"&amp;'Output annual'!$AC$2&amp;'Output annual'!$AD$2&amp;"*Zone People Number Of Occupants [](Hourly)",'Eplus results'!$1:$1048576,ROW(),FALSE)</f>
        <v>0</v>
      </c>
      <c r="AC5053" s="580">
        <f>HLOOKUP("*"&amp;'Output annual'!$AC$2&amp;'Output annual'!$AD$2&amp;"*FangerPMV(Hourly)",'Eplus results'!$1:$1048576,ROW(),FALSE)</f>
        <v>0</v>
      </c>
      <c r="AD5053" s="580">
        <f t="shared" si="426"/>
        <v>5</v>
      </c>
      <c r="AE5053" s="580">
        <f t="shared" si="427"/>
        <v>2.5</v>
      </c>
      <c r="AF5053" s="580">
        <f t="shared" si="428"/>
        <v>2.5</v>
      </c>
      <c r="AG5053" s="580">
        <f t="shared" si="429"/>
        <v>0</v>
      </c>
      <c r="AH5053" s="580">
        <f t="shared" si="430"/>
        <v>0</v>
      </c>
    </row>
    <row r="5054" spans="28:34">
      <c r="AB5054" s="580">
        <f>HLOOKUP("*"&amp;'Output annual'!$AC$2&amp;'Output annual'!$AD$2&amp;"*Zone People Number Of Occupants [](Hourly)",'Eplus results'!$1:$1048576,ROW(),FALSE)</f>
        <v>0</v>
      </c>
      <c r="AC5054" s="580">
        <f>HLOOKUP("*"&amp;'Output annual'!$AC$2&amp;'Output annual'!$AD$2&amp;"*FangerPMV(Hourly)",'Eplus results'!$1:$1048576,ROW(),FALSE)</f>
        <v>0</v>
      </c>
      <c r="AD5054" s="580">
        <f t="shared" si="426"/>
        <v>5</v>
      </c>
      <c r="AE5054" s="580">
        <f t="shared" si="427"/>
        <v>2.5</v>
      </c>
      <c r="AF5054" s="580">
        <f t="shared" si="428"/>
        <v>2.5</v>
      </c>
      <c r="AG5054" s="580">
        <f t="shared" si="429"/>
        <v>0</v>
      </c>
      <c r="AH5054" s="580">
        <f t="shared" si="430"/>
        <v>0</v>
      </c>
    </row>
    <row r="5055" spans="28:34">
      <c r="AB5055" s="580">
        <f>HLOOKUP("*"&amp;'Output annual'!$AC$2&amp;'Output annual'!$AD$2&amp;"*Zone People Number Of Occupants [](Hourly)",'Eplus results'!$1:$1048576,ROW(),FALSE)</f>
        <v>0</v>
      </c>
      <c r="AC5055" s="580">
        <f>HLOOKUP("*"&amp;'Output annual'!$AC$2&amp;'Output annual'!$AD$2&amp;"*FangerPMV(Hourly)",'Eplus results'!$1:$1048576,ROW(),FALSE)</f>
        <v>0</v>
      </c>
      <c r="AD5055" s="580">
        <f t="shared" si="426"/>
        <v>5</v>
      </c>
      <c r="AE5055" s="580">
        <f t="shared" si="427"/>
        <v>2.5</v>
      </c>
      <c r="AF5055" s="580">
        <f t="shared" si="428"/>
        <v>2.5</v>
      </c>
      <c r="AG5055" s="580">
        <f t="shared" si="429"/>
        <v>0</v>
      </c>
      <c r="AH5055" s="580">
        <f t="shared" si="430"/>
        <v>0</v>
      </c>
    </row>
    <row r="5056" spans="28:34">
      <c r="AB5056" s="580">
        <f>HLOOKUP("*"&amp;'Output annual'!$AC$2&amp;'Output annual'!$AD$2&amp;"*Zone People Number Of Occupants [](Hourly)",'Eplus results'!$1:$1048576,ROW(),FALSE)</f>
        <v>0</v>
      </c>
      <c r="AC5056" s="580">
        <f>HLOOKUP("*"&amp;'Output annual'!$AC$2&amp;'Output annual'!$AD$2&amp;"*FangerPMV(Hourly)",'Eplus results'!$1:$1048576,ROW(),FALSE)</f>
        <v>0</v>
      </c>
      <c r="AD5056" s="580">
        <f t="shared" si="426"/>
        <v>5</v>
      </c>
      <c r="AE5056" s="580">
        <f t="shared" si="427"/>
        <v>2.5</v>
      </c>
      <c r="AF5056" s="580">
        <f t="shared" si="428"/>
        <v>2.5</v>
      </c>
      <c r="AG5056" s="580">
        <f t="shared" si="429"/>
        <v>0</v>
      </c>
      <c r="AH5056" s="580">
        <f t="shared" si="430"/>
        <v>0</v>
      </c>
    </row>
    <row r="5057" spans="28:34">
      <c r="AB5057" s="580">
        <f>HLOOKUP("*"&amp;'Output annual'!$AC$2&amp;'Output annual'!$AD$2&amp;"*Zone People Number Of Occupants [](Hourly)",'Eplus results'!$1:$1048576,ROW(),FALSE)</f>
        <v>0</v>
      </c>
      <c r="AC5057" s="580">
        <f>HLOOKUP("*"&amp;'Output annual'!$AC$2&amp;'Output annual'!$AD$2&amp;"*FangerPMV(Hourly)",'Eplus results'!$1:$1048576,ROW(),FALSE)</f>
        <v>0</v>
      </c>
      <c r="AD5057" s="580">
        <f t="shared" si="426"/>
        <v>5</v>
      </c>
      <c r="AE5057" s="580">
        <f t="shared" si="427"/>
        <v>2.5</v>
      </c>
      <c r="AF5057" s="580">
        <f t="shared" si="428"/>
        <v>2.5</v>
      </c>
      <c r="AG5057" s="580">
        <f t="shared" si="429"/>
        <v>0</v>
      </c>
      <c r="AH5057" s="580">
        <f t="shared" si="430"/>
        <v>0</v>
      </c>
    </row>
    <row r="5058" spans="28:34">
      <c r="AB5058" s="580">
        <f>HLOOKUP("*"&amp;'Output annual'!$AC$2&amp;'Output annual'!$AD$2&amp;"*Zone People Number Of Occupants [](Hourly)",'Eplus results'!$1:$1048576,ROW(),FALSE)</f>
        <v>0</v>
      </c>
      <c r="AC5058" s="580">
        <f>HLOOKUP("*"&amp;'Output annual'!$AC$2&amp;'Output annual'!$AD$2&amp;"*FangerPMV(Hourly)",'Eplus results'!$1:$1048576,ROW(),FALSE)</f>
        <v>0</v>
      </c>
      <c r="AD5058" s="580">
        <f t="shared" si="426"/>
        <v>5</v>
      </c>
      <c r="AE5058" s="580">
        <f t="shared" si="427"/>
        <v>2.5</v>
      </c>
      <c r="AF5058" s="580">
        <f t="shared" si="428"/>
        <v>2.5</v>
      </c>
      <c r="AG5058" s="580">
        <f t="shared" si="429"/>
        <v>0</v>
      </c>
      <c r="AH5058" s="580">
        <f t="shared" si="430"/>
        <v>0</v>
      </c>
    </row>
    <row r="5059" spans="28:34">
      <c r="AB5059" s="580">
        <f>HLOOKUP("*"&amp;'Output annual'!$AC$2&amp;'Output annual'!$AD$2&amp;"*Zone People Number Of Occupants [](Hourly)",'Eplus results'!$1:$1048576,ROW(),FALSE)</f>
        <v>0</v>
      </c>
      <c r="AC5059" s="580">
        <f>HLOOKUP("*"&amp;'Output annual'!$AC$2&amp;'Output annual'!$AD$2&amp;"*FangerPMV(Hourly)",'Eplus results'!$1:$1048576,ROW(),FALSE)</f>
        <v>0</v>
      </c>
      <c r="AD5059" s="580">
        <f t="shared" ref="AD5059:AD5122" si="431">100-95*EXP(-0.03353*AC5059^4-0.2179*AC5059^2)</f>
        <v>5</v>
      </c>
      <c r="AE5059" s="580">
        <f t="shared" ref="AE5059:AE5122" si="432">AD5059*(1/(1+EXP(-6.3*$AC5059)))</f>
        <v>2.5</v>
      </c>
      <c r="AF5059" s="580">
        <f t="shared" ref="AF5059:AF5122" si="433">(AD5059-AE5059)</f>
        <v>2.5</v>
      </c>
      <c r="AG5059" s="580">
        <f t="shared" ref="AG5059:AG5122" si="434">AE5059*AB5059</f>
        <v>0</v>
      </c>
      <c r="AH5059" s="580">
        <f t="shared" ref="AH5059:AH5122" si="435">AF5059*AB5059</f>
        <v>0</v>
      </c>
    </row>
    <row r="5060" spans="28:34">
      <c r="AB5060" s="580">
        <f>HLOOKUP("*"&amp;'Output annual'!$AC$2&amp;'Output annual'!$AD$2&amp;"*Zone People Number Of Occupants [](Hourly)",'Eplus results'!$1:$1048576,ROW(),FALSE)</f>
        <v>0</v>
      </c>
      <c r="AC5060" s="580">
        <f>HLOOKUP("*"&amp;'Output annual'!$AC$2&amp;'Output annual'!$AD$2&amp;"*FangerPMV(Hourly)",'Eplus results'!$1:$1048576,ROW(),FALSE)</f>
        <v>0</v>
      </c>
      <c r="AD5060" s="580">
        <f t="shared" si="431"/>
        <v>5</v>
      </c>
      <c r="AE5060" s="580">
        <f t="shared" si="432"/>
        <v>2.5</v>
      </c>
      <c r="AF5060" s="580">
        <f t="shared" si="433"/>
        <v>2.5</v>
      </c>
      <c r="AG5060" s="580">
        <f t="shared" si="434"/>
        <v>0</v>
      </c>
      <c r="AH5060" s="580">
        <f t="shared" si="435"/>
        <v>0</v>
      </c>
    </row>
    <row r="5061" spans="28:34">
      <c r="AB5061" s="580">
        <f>HLOOKUP("*"&amp;'Output annual'!$AC$2&amp;'Output annual'!$AD$2&amp;"*Zone People Number Of Occupants [](Hourly)",'Eplus results'!$1:$1048576,ROW(),FALSE)</f>
        <v>0</v>
      </c>
      <c r="AC5061" s="580">
        <f>HLOOKUP("*"&amp;'Output annual'!$AC$2&amp;'Output annual'!$AD$2&amp;"*FangerPMV(Hourly)",'Eplus results'!$1:$1048576,ROW(),FALSE)</f>
        <v>0</v>
      </c>
      <c r="AD5061" s="580">
        <f t="shared" si="431"/>
        <v>5</v>
      </c>
      <c r="AE5061" s="580">
        <f t="shared" si="432"/>
        <v>2.5</v>
      </c>
      <c r="AF5061" s="580">
        <f t="shared" si="433"/>
        <v>2.5</v>
      </c>
      <c r="AG5061" s="580">
        <f t="shared" si="434"/>
        <v>0</v>
      </c>
      <c r="AH5061" s="580">
        <f t="shared" si="435"/>
        <v>0</v>
      </c>
    </row>
    <row r="5062" spans="28:34">
      <c r="AB5062" s="580">
        <f>HLOOKUP("*"&amp;'Output annual'!$AC$2&amp;'Output annual'!$AD$2&amp;"*Zone People Number Of Occupants [](Hourly)",'Eplus results'!$1:$1048576,ROW(),FALSE)</f>
        <v>0</v>
      </c>
      <c r="AC5062" s="580">
        <f>HLOOKUP("*"&amp;'Output annual'!$AC$2&amp;'Output annual'!$AD$2&amp;"*FangerPMV(Hourly)",'Eplus results'!$1:$1048576,ROW(),FALSE)</f>
        <v>0</v>
      </c>
      <c r="AD5062" s="580">
        <f t="shared" si="431"/>
        <v>5</v>
      </c>
      <c r="AE5062" s="580">
        <f t="shared" si="432"/>
        <v>2.5</v>
      </c>
      <c r="AF5062" s="580">
        <f t="shared" si="433"/>
        <v>2.5</v>
      </c>
      <c r="AG5062" s="580">
        <f t="shared" si="434"/>
        <v>0</v>
      </c>
      <c r="AH5062" s="580">
        <f t="shared" si="435"/>
        <v>0</v>
      </c>
    </row>
    <row r="5063" spans="28:34">
      <c r="AB5063" s="580">
        <f>HLOOKUP("*"&amp;'Output annual'!$AC$2&amp;'Output annual'!$AD$2&amp;"*Zone People Number Of Occupants [](Hourly)",'Eplus results'!$1:$1048576,ROW(),FALSE)</f>
        <v>0</v>
      </c>
      <c r="AC5063" s="580">
        <f>HLOOKUP("*"&amp;'Output annual'!$AC$2&amp;'Output annual'!$AD$2&amp;"*FangerPMV(Hourly)",'Eplus results'!$1:$1048576,ROW(),FALSE)</f>
        <v>0</v>
      </c>
      <c r="AD5063" s="580">
        <f t="shared" si="431"/>
        <v>5</v>
      </c>
      <c r="AE5063" s="580">
        <f t="shared" si="432"/>
        <v>2.5</v>
      </c>
      <c r="AF5063" s="580">
        <f t="shared" si="433"/>
        <v>2.5</v>
      </c>
      <c r="AG5063" s="580">
        <f t="shared" si="434"/>
        <v>0</v>
      </c>
      <c r="AH5063" s="580">
        <f t="shared" si="435"/>
        <v>0</v>
      </c>
    </row>
    <row r="5064" spans="28:34">
      <c r="AB5064" s="580">
        <f>HLOOKUP("*"&amp;'Output annual'!$AC$2&amp;'Output annual'!$AD$2&amp;"*Zone People Number Of Occupants [](Hourly)",'Eplus results'!$1:$1048576,ROW(),FALSE)</f>
        <v>0</v>
      </c>
      <c r="AC5064" s="580">
        <f>HLOOKUP("*"&amp;'Output annual'!$AC$2&amp;'Output annual'!$AD$2&amp;"*FangerPMV(Hourly)",'Eplus results'!$1:$1048576,ROW(),FALSE)</f>
        <v>0</v>
      </c>
      <c r="AD5064" s="580">
        <f t="shared" si="431"/>
        <v>5</v>
      </c>
      <c r="AE5064" s="580">
        <f t="shared" si="432"/>
        <v>2.5</v>
      </c>
      <c r="AF5064" s="580">
        <f t="shared" si="433"/>
        <v>2.5</v>
      </c>
      <c r="AG5064" s="580">
        <f t="shared" si="434"/>
        <v>0</v>
      </c>
      <c r="AH5064" s="580">
        <f t="shared" si="435"/>
        <v>0</v>
      </c>
    </row>
    <row r="5065" spans="28:34">
      <c r="AB5065" s="580">
        <f>HLOOKUP("*"&amp;'Output annual'!$AC$2&amp;'Output annual'!$AD$2&amp;"*Zone People Number Of Occupants [](Hourly)",'Eplus results'!$1:$1048576,ROW(),FALSE)</f>
        <v>0</v>
      </c>
      <c r="AC5065" s="580">
        <f>HLOOKUP("*"&amp;'Output annual'!$AC$2&amp;'Output annual'!$AD$2&amp;"*FangerPMV(Hourly)",'Eplus results'!$1:$1048576,ROW(),FALSE)</f>
        <v>0</v>
      </c>
      <c r="AD5065" s="580">
        <f t="shared" si="431"/>
        <v>5</v>
      </c>
      <c r="AE5065" s="580">
        <f t="shared" si="432"/>
        <v>2.5</v>
      </c>
      <c r="AF5065" s="580">
        <f t="shared" si="433"/>
        <v>2.5</v>
      </c>
      <c r="AG5065" s="580">
        <f t="shared" si="434"/>
        <v>0</v>
      </c>
      <c r="AH5065" s="580">
        <f t="shared" si="435"/>
        <v>0</v>
      </c>
    </row>
    <row r="5066" spans="28:34">
      <c r="AB5066" s="580">
        <f>HLOOKUP("*"&amp;'Output annual'!$AC$2&amp;'Output annual'!$AD$2&amp;"*Zone People Number Of Occupants [](Hourly)",'Eplus results'!$1:$1048576,ROW(),FALSE)</f>
        <v>0</v>
      </c>
      <c r="AC5066" s="580">
        <f>HLOOKUP("*"&amp;'Output annual'!$AC$2&amp;'Output annual'!$AD$2&amp;"*FangerPMV(Hourly)",'Eplus results'!$1:$1048576,ROW(),FALSE)</f>
        <v>0</v>
      </c>
      <c r="AD5066" s="580">
        <f t="shared" si="431"/>
        <v>5</v>
      </c>
      <c r="AE5066" s="580">
        <f t="shared" si="432"/>
        <v>2.5</v>
      </c>
      <c r="AF5066" s="580">
        <f t="shared" si="433"/>
        <v>2.5</v>
      </c>
      <c r="AG5066" s="580">
        <f t="shared" si="434"/>
        <v>0</v>
      </c>
      <c r="AH5066" s="580">
        <f t="shared" si="435"/>
        <v>0</v>
      </c>
    </row>
    <row r="5067" spans="28:34">
      <c r="AB5067" s="580">
        <f>HLOOKUP("*"&amp;'Output annual'!$AC$2&amp;'Output annual'!$AD$2&amp;"*Zone People Number Of Occupants [](Hourly)",'Eplus results'!$1:$1048576,ROW(),FALSE)</f>
        <v>0</v>
      </c>
      <c r="AC5067" s="580">
        <f>HLOOKUP("*"&amp;'Output annual'!$AC$2&amp;'Output annual'!$AD$2&amp;"*FangerPMV(Hourly)",'Eplus results'!$1:$1048576,ROW(),FALSE)</f>
        <v>0</v>
      </c>
      <c r="AD5067" s="580">
        <f t="shared" si="431"/>
        <v>5</v>
      </c>
      <c r="AE5067" s="580">
        <f t="shared" si="432"/>
        <v>2.5</v>
      </c>
      <c r="AF5067" s="580">
        <f t="shared" si="433"/>
        <v>2.5</v>
      </c>
      <c r="AG5067" s="580">
        <f t="shared" si="434"/>
        <v>0</v>
      </c>
      <c r="AH5067" s="580">
        <f t="shared" si="435"/>
        <v>0</v>
      </c>
    </row>
    <row r="5068" spans="28:34">
      <c r="AB5068" s="580">
        <f>HLOOKUP("*"&amp;'Output annual'!$AC$2&amp;'Output annual'!$AD$2&amp;"*Zone People Number Of Occupants [](Hourly)",'Eplus results'!$1:$1048576,ROW(),FALSE)</f>
        <v>0</v>
      </c>
      <c r="AC5068" s="580">
        <f>HLOOKUP("*"&amp;'Output annual'!$AC$2&amp;'Output annual'!$AD$2&amp;"*FangerPMV(Hourly)",'Eplus results'!$1:$1048576,ROW(),FALSE)</f>
        <v>0</v>
      </c>
      <c r="AD5068" s="580">
        <f t="shared" si="431"/>
        <v>5</v>
      </c>
      <c r="AE5068" s="580">
        <f t="shared" si="432"/>
        <v>2.5</v>
      </c>
      <c r="AF5068" s="580">
        <f t="shared" si="433"/>
        <v>2.5</v>
      </c>
      <c r="AG5068" s="580">
        <f t="shared" si="434"/>
        <v>0</v>
      </c>
      <c r="AH5068" s="580">
        <f t="shared" si="435"/>
        <v>0</v>
      </c>
    </row>
    <row r="5069" spans="28:34">
      <c r="AB5069" s="580">
        <f>HLOOKUP("*"&amp;'Output annual'!$AC$2&amp;'Output annual'!$AD$2&amp;"*Zone People Number Of Occupants [](Hourly)",'Eplus results'!$1:$1048576,ROW(),FALSE)</f>
        <v>0</v>
      </c>
      <c r="AC5069" s="580">
        <f>HLOOKUP("*"&amp;'Output annual'!$AC$2&amp;'Output annual'!$AD$2&amp;"*FangerPMV(Hourly)",'Eplus results'!$1:$1048576,ROW(),FALSE)</f>
        <v>0</v>
      </c>
      <c r="AD5069" s="580">
        <f t="shared" si="431"/>
        <v>5</v>
      </c>
      <c r="AE5069" s="580">
        <f t="shared" si="432"/>
        <v>2.5</v>
      </c>
      <c r="AF5069" s="580">
        <f t="shared" si="433"/>
        <v>2.5</v>
      </c>
      <c r="AG5069" s="580">
        <f t="shared" si="434"/>
        <v>0</v>
      </c>
      <c r="AH5069" s="580">
        <f t="shared" si="435"/>
        <v>0</v>
      </c>
    </row>
    <row r="5070" spans="28:34">
      <c r="AB5070" s="580">
        <f>HLOOKUP("*"&amp;'Output annual'!$AC$2&amp;'Output annual'!$AD$2&amp;"*Zone People Number Of Occupants [](Hourly)",'Eplus results'!$1:$1048576,ROW(),FALSE)</f>
        <v>0</v>
      </c>
      <c r="AC5070" s="580">
        <f>HLOOKUP("*"&amp;'Output annual'!$AC$2&amp;'Output annual'!$AD$2&amp;"*FangerPMV(Hourly)",'Eplus results'!$1:$1048576,ROW(),FALSE)</f>
        <v>0</v>
      </c>
      <c r="AD5070" s="580">
        <f t="shared" si="431"/>
        <v>5</v>
      </c>
      <c r="AE5070" s="580">
        <f t="shared" si="432"/>
        <v>2.5</v>
      </c>
      <c r="AF5070" s="580">
        <f t="shared" si="433"/>
        <v>2.5</v>
      </c>
      <c r="AG5070" s="580">
        <f t="shared" si="434"/>
        <v>0</v>
      </c>
      <c r="AH5070" s="580">
        <f t="shared" si="435"/>
        <v>0</v>
      </c>
    </row>
    <row r="5071" spans="28:34">
      <c r="AB5071" s="580">
        <f>HLOOKUP("*"&amp;'Output annual'!$AC$2&amp;'Output annual'!$AD$2&amp;"*Zone People Number Of Occupants [](Hourly)",'Eplus results'!$1:$1048576,ROW(),FALSE)</f>
        <v>0</v>
      </c>
      <c r="AC5071" s="580">
        <f>HLOOKUP("*"&amp;'Output annual'!$AC$2&amp;'Output annual'!$AD$2&amp;"*FangerPMV(Hourly)",'Eplus results'!$1:$1048576,ROW(),FALSE)</f>
        <v>0</v>
      </c>
      <c r="AD5071" s="580">
        <f t="shared" si="431"/>
        <v>5</v>
      </c>
      <c r="AE5071" s="580">
        <f t="shared" si="432"/>
        <v>2.5</v>
      </c>
      <c r="AF5071" s="580">
        <f t="shared" si="433"/>
        <v>2.5</v>
      </c>
      <c r="AG5071" s="580">
        <f t="shared" si="434"/>
        <v>0</v>
      </c>
      <c r="AH5071" s="580">
        <f t="shared" si="435"/>
        <v>0</v>
      </c>
    </row>
    <row r="5072" spans="28:34">
      <c r="AB5072" s="580">
        <f>HLOOKUP("*"&amp;'Output annual'!$AC$2&amp;'Output annual'!$AD$2&amp;"*Zone People Number Of Occupants [](Hourly)",'Eplus results'!$1:$1048576,ROW(),FALSE)</f>
        <v>0</v>
      </c>
      <c r="AC5072" s="580">
        <f>HLOOKUP("*"&amp;'Output annual'!$AC$2&amp;'Output annual'!$AD$2&amp;"*FangerPMV(Hourly)",'Eplus results'!$1:$1048576,ROW(),FALSE)</f>
        <v>0</v>
      </c>
      <c r="AD5072" s="580">
        <f t="shared" si="431"/>
        <v>5</v>
      </c>
      <c r="AE5072" s="580">
        <f t="shared" si="432"/>
        <v>2.5</v>
      </c>
      <c r="AF5072" s="580">
        <f t="shared" si="433"/>
        <v>2.5</v>
      </c>
      <c r="AG5072" s="580">
        <f t="shared" si="434"/>
        <v>0</v>
      </c>
      <c r="AH5072" s="580">
        <f t="shared" si="435"/>
        <v>0</v>
      </c>
    </row>
    <row r="5073" spans="28:34">
      <c r="AB5073" s="580">
        <f>HLOOKUP("*"&amp;'Output annual'!$AC$2&amp;'Output annual'!$AD$2&amp;"*Zone People Number Of Occupants [](Hourly)",'Eplus results'!$1:$1048576,ROW(),FALSE)</f>
        <v>0</v>
      </c>
      <c r="AC5073" s="580">
        <f>HLOOKUP("*"&amp;'Output annual'!$AC$2&amp;'Output annual'!$AD$2&amp;"*FangerPMV(Hourly)",'Eplus results'!$1:$1048576,ROW(),FALSE)</f>
        <v>0</v>
      </c>
      <c r="AD5073" s="580">
        <f t="shared" si="431"/>
        <v>5</v>
      </c>
      <c r="AE5073" s="580">
        <f t="shared" si="432"/>
        <v>2.5</v>
      </c>
      <c r="AF5073" s="580">
        <f t="shared" si="433"/>
        <v>2.5</v>
      </c>
      <c r="AG5073" s="580">
        <f t="shared" si="434"/>
        <v>0</v>
      </c>
      <c r="AH5073" s="580">
        <f t="shared" si="435"/>
        <v>0</v>
      </c>
    </row>
    <row r="5074" spans="28:34">
      <c r="AB5074" s="580">
        <f>HLOOKUP("*"&amp;'Output annual'!$AC$2&amp;'Output annual'!$AD$2&amp;"*Zone People Number Of Occupants [](Hourly)",'Eplus results'!$1:$1048576,ROW(),FALSE)</f>
        <v>0</v>
      </c>
      <c r="AC5074" s="580">
        <f>HLOOKUP("*"&amp;'Output annual'!$AC$2&amp;'Output annual'!$AD$2&amp;"*FangerPMV(Hourly)",'Eplus results'!$1:$1048576,ROW(),FALSE)</f>
        <v>0</v>
      </c>
      <c r="AD5074" s="580">
        <f t="shared" si="431"/>
        <v>5</v>
      </c>
      <c r="AE5074" s="580">
        <f t="shared" si="432"/>
        <v>2.5</v>
      </c>
      <c r="AF5074" s="580">
        <f t="shared" si="433"/>
        <v>2.5</v>
      </c>
      <c r="AG5074" s="580">
        <f t="shared" si="434"/>
        <v>0</v>
      </c>
      <c r="AH5074" s="580">
        <f t="shared" si="435"/>
        <v>0</v>
      </c>
    </row>
    <row r="5075" spans="28:34">
      <c r="AB5075" s="580">
        <f>HLOOKUP("*"&amp;'Output annual'!$AC$2&amp;'Output annual'!$AD$2&amp;"*Zone People Number Of Occupants [](Hourly)",'Eplus results'!$1:$1048576,ROW(),FALSE)</f>
        <v>0</v>
      </c>
      <c r="AC5075" s="580">
        <f>HLOOKUP("*"&amp;'Output annual'!$AC$2&amp;'Output annual'!$AD$2&amp;"*FangerPMV(Hourly)",'Eplus results'!$1:$1048576,ROW(),FALSE)</f>
        <v>0</v>
      </c>
      <c r="AD5075" s="580">
        <f t="shared" si="431"/>
        <v>5</v>
      </c>
      <c r="AE5075" s="580">
        <f t="shared" si="432"/>
        <v>2.5</v>
      </c>
      <c r="AF5075" s="580">
        <f t="shared" si="433"/>
        <v>2.5</v>
      </c>
      <c r="AG5075" s="580">
        <f t="shared" si="434"/>
        <v>0</v>
      </c>
      <c r="AH5075" s="580">
        <f t="shared" si="435"/>
        <v>0</v>
      </c>
    </row>
    <row r="5076" spans="28:34">
      <c r="AB5076" s="580">
        <f>HLOOKUP("*"&amp;'Output annual'!$AC$2&amp;'Output annual'!$AD$2&amp;"*Zone People Number Of Occupants [](Hourly)",'Eplus results'!$1:$1048576,ROW(),FALSE)</f>
        <v>0</v>
      </c>
      <c r="AC5076" s="580">
        <f>HLOOKUP("*"&amp;'Output annual'!$AC$2&amp;'Output annual'!$AD$2&amp;"*FangerPMV(Hourly)",'Eplus results'!$1:$1048576,ROW(),FALSE)</f>
        <v>0</v>
      </c>
      <c r="AD5076" s="580">
        <f t="shared" si="431"/>
        <v>5</v>
      </c>
      <c r="AE5076" s="580">
        <f t="shared" si="432"/>
        <v>2.5</v>
      </c>
      <c r="AF5076" s="580">
        <f t="shared" si="433"/>
        <v>2.5</v>
      </c>
      <c r="AG5076" s="580">
        <f t="shared" si="434"/>
        <v>0</v>
      </c>
      <c r="AH5076" s="580">
        <f t="shared" si="435"/>
        <v>0</v>
      </c>
    </row>
    <row r="5077" spans="28:34">
      <c r="AB5077" s="580">
        <f>HLOOKUP("*"&amp;'Output annual'!$AC$2&amp;'Output annual'!$AD$2&amp;"*Zone People Number Of Occupants [](Hourly)",'Eplus results'!$1:$1048576,ROW(),FALSE)</f>
        <v>0</v>
      </c>
      <c r="AC5077" s="580">
        <f>HLOOKUP("*"&amp;'Output annual'!$AC$2&amp;'Output annual'!$AD$2&amp;"*FangerPMV(Hourly)",'Eplus results'!$1:$1048576,ROW(),FALSE)</f>
        <v>0</v>
      </c>
      <c r="AD5077" s="580">
        <f t="shared" si="431"/>
        <v>5</v>
      </c>
      <c r="AE5077" s="580">
        <f t="shared" si="432"/>
        <v>2.5</v>
      </c>
      <c r="AF5077" s="580">
        <f t="shared" si="433"/>
        <v>2.5</v>
      </c>
      <c r="AG5077" s="580">
        <f t="shared" si="434"/>
        <v>0</v>
      </c>
      <c r="AH5077" s="580">
        <f t="shared" si="435"/>
        <v>0</v>
      </c>
    </row>
    <row r="5078" spans="28:34">
      <c r="AB5078" s="580">
        <f>HLOOKUP("*"&amp;'Output annual'!$AC$2&amp;'Output annual'!$AD$2&amp;"*Zone People Number Of Occupants [](Hourly)",'Eplus results'!$1:$1048576,ROW(),FALSE)</f>
        <v>0</v>
      </c>
      <c r="AC5078" s="580">
        <f>HLOOKUP("*"&amp;'Output annual'!$AC$2&amp;'Output annual'!$AD$2&amp;"*FangerPMV(Hourly)",'Eplus results'!$1:$1048576,ROW(),FALSE)</f>
        <v>0</v>
      </c>
      <c r="AD5078" s="580">
        <f t="shared" si="431"/>
        <v>5</v>
      </c>
      <c r="AE5078" s="580">
        <f t="shared" si="432"/>
        <v>2.5</v>
      </c>
      <c r="AF5078" s="580">
        <f t="shared" si="433"/>
        <v>2.5</v>
      </c>
      <c r="AG5078" s="580">
        <f t="shared" si="434"/>
        <v>0</v>
      </c>
      <c r="AH5078" s="580">
        <f t="shared" si="435"/>
        <v>0</v>
      </c>
    </row>
    <row r="5079" spans="28:34">
      <c r="AB5079" s="580">
        <f>HLOOKUP("*"&amp;'Output annual'!$AC$2&amp;'Output annual'!$AD$2&amp;"*Zone People Number Of Occupants [](Hourly)",'Eplus results'!$1:$1048576,ROW(),FALSE)</f>
        <v>0</v>
      </c>
      <c r="AC5079" s="580">
        <f>HLOOKUP("*"&amp;'Output annual'!$AC$2&amp;'Output annual'!$AD$2&amp;"*FangerPMV(Hourly)",'Eplus results'!$1:$1048576,ROW(),FALSE)</f>
        <v>0</v>
      </c>
      <c r="AD5079" s="580">
        <f t="shared" si="431"/>
        <v>5</v>
      </c>
      <c r="AE5079" s="580">
        <f t="shared" si="432"/>
        <v>2.5</v>
      </c>
      <c r="AF5079" s="580">
        <f t="shared" si="433"/>
        <v>2.5</v>
      </c>
      <c r="AG5079" s="580">
        <f t="shared" si="434"/>
        <v>0</v>
      </c>
      <c r="AH5079" s="580">
        <f t="shared" si="435"/>
        <v>0</v>
      </c>
    </row>
    <row r="5080" spans="28:34">
      <c r="AB5080" s="580">
        <f>HLOOKUP("*"&amp;'Output annual'!$AC$2&amp;'Output annual'!$AD$2&amp;"*Zone People Number Of Occupants [](Hourly)",'Eplus results'!$1:$1048576,ROW(),FALSE)</f>
        <v>0</v>
      </c>
      <c r="AC5080" s="580">
        <f>HLOOKUP("*"&amp;'Output annual'!$AC$2&amp;'Output annual'!$AD$2&amp;"*FangerPMV(Hourly)",'Eplus results'!$1:$1048576,ROW(),FALSE)</f>
        <v>0</v>
      </c>
      <c r="AD5080" s="580">
        <f t="shared" si="431"/>
        <v>5</v>
      </c>
      <c r="AE5080" s="580">
        <f t="shared" si="432"/>
        <v>2.5</v>
      </c>
      <c r="AF5080" s="580">
        <f t="shared" si="433"/>
        <v>2.5</v>
      </c>
      <c r="AG5080" s="580">
        <f t="shared" si="434"/>
        <v>0</v>
      </c>
      <c r="AH5080" s="580">
        <f t="shared" si="435"/>
        <v>0</v>
      </c>
    </row>
    <row r="5081" spans="28:34">
      <c r="AB5081" s="580">
        <f>HLOOKUP("*"&amp;'Output annual'!$AC$2&amp;'Output annual'!$AD$2&amp;"*Zone People Number Of Occupants [](Hourly)",'Eplus results'!$1:$1048576,ROW(),FALSE)</f>
        <v>0</v>
      </c>
      <c r="AC5081" s="580">
        <f>HLOOKUP("*"&amp;'Output annual'!$AC$2&amp;'Output annual'!$AD$2&amp;"*FangerPMV(Hourly)",'Eplus results'!$1:$1048576,ROW(),FALSE)</f>
        <v>0</v>
      </c>
      <c r="AD5081" s="580">
        <f t="shared" si="431"/>
        <v>5</v>
      </c>
      <c r="AE5081" s="580">
        <f t="shared" si="432"/>
        <v>2.5</v>
      </c>
      <c r="AF5081" s="580">
        <f t="shared" si="433"/>
        <v>2.5</v>
      </c>
      <c r="AG5081" s="580">
        <f t="shared" si="434"/>
        <v>0</v>
      </c>
      <c r="AH5081" s="580">
        <f t="shared" si="435"/>
        <v>0</v>
      </c>
    </row>
    <row r="5082" spans="28:34">
      <c r="AB5082" s="580">
        <f>HLOOKUP("*"&amp;'Output annual'!$AC$2&amp;'Output annual'!$AD$2&amp;"*Zone People Number Of Occupants [](Hourly)",'Eplus results'!$1:$1048576,ROW(),FALSE)</f>
        <v>0</v>
      </c>
      <c r="AC5082" s="580">
        <f>HLOOKUP("*"&amp;'Output annual'!$AC$2&amp;'Output annual'!$AD$2&amp;"*FangerPMV(Hourly)",'Eplus results'!$1:$1048576,ROW(),FALSE)</f>
        <v>0</v>
      </c>
      <c r="AD5082" s="580">
        <f t="shared" si="431"/>
        <v>5</v>
      </c>
      <c r="AE5082" s="580">
        <f t="shared" si="432"/>
        <v>2.5</v>
      </c>
      <c r="AF5082" s="580">
        <f t="shared" si="433"/>
        <v>2.5</v>
      </c>
      <c r="AG5082" s="580">
        <f t="shared" si="434"/>
        <v>0</v>
      </c>
      <c r="AH5082" s="580">
        <f t="shared" si="435"/>
        <v>0</v>
      </c>
    </row>
    <row r="5083" spans="28:34">
      <c r="AB5083" s="580">
        <f>HLOOKUP("*"&amp;'Output annual'!$AC$2&amp;'Output annual'!$AD$2&amp;"*Zone People Number Of Occupants [](Hourly)",'Eplus results'!$1:$1048576,ROW(),FALSE)</f>
        <v>0</v>
      </c>
      <c r="AC5083" s="580">
        <f>HLOOKUP("*"&amp;'Output annual'!$AC$2&amp;'Output annual'!$AD$2&amp;"*FangerPMV(Hourly)",'Eplus results'!$1:$1048576,ROW(),FALSE)</f>
        <v>0</v>
      </c>
      <c r="AD5083" s="580">
        <f t="shared" si="431"/>
        <v>5</v>
      </c>
      <c r="AE5083" s="580">
        <f t="shared" si="432"/>
        <v>2.5</v>
      </c>
      <c r="AF5083" s="580">
        <f t="shared" si="433"/>
        <v>2.5</v>
      </c>
      <c r="AG5083" s="580">
        <f t="shared" si="434"/>
        <v>0</v>
      </c>
      <c r="AH5083" s="580">
        <f t="shared" si="435"/>
        <v>0</v>
      </c>
    </row>
    <row r="5084" spans="28:34">
      <c r="AB5084" s="580">
        <f>HLOOKUP("*"&amp;'Output annual'!$AC$2&amp;'Output annual'!$AD$2&amp;"*Zone People Number Of Occupants [](Hourly)",'Eplus results'!$1:$1048576,ROW(),FALSE)</f>
        <v>0</v>
      </c>
      <c r="AC5084" s="580">
        <f>HLOOKUP("*"&amp;'Output annual'!$AC$2&amp;'Output annual'!$AD$2&amp;"*FangerPMV(Hourly)",'Eplus results'!$1:$1048576,ROW(),FALSE)</f>
        <v>0</v>
      </c>
      <c r="AD5084" s="580">
        <f t="shared" si="431"/>
        <v>5</v>
      </c>
      <c r="AE5084" s="580">
        <f t="shared" si="432"/>
        <v>2.5</v>
      </c>
      <c r="AF5084" s="580">
        <f t="shared" si="433"/>
        <v>2.5</v>
      </c>
      <c r="AG5084" s="580">
        <f t="shared" si="434"/>
        <v>0</v>
      </c>
      <c r="AH5084" s="580">
        <f t="shared" si="435"/>
        <v>0</v>
      </c>
    </row>
    <row r="5085" spans="28:34">
      <c r="AB5085" s="580">
        <f>HLOOKUP("*"&amp;'Output annual'!$AC$2&amp;'Output annual'!$AD$2&amp;"*Zone People Number Of Occupants [](Hourly)",'Eplus results'!$1:$1048576,ROW(),FALSE)</f>
        <v>0</v>
      </c>
      <c r="AC5085" s="580">
        <f>HLOOKUP("*"&amp;'Output annual'!$AC$2&amp;'Output annual'!$AD$2&amp;"*FangerPMV(Hourly)",'Eplus results'!$1:$1048576,ROW(),FALSE)</f>
        <v>0</v>
      </c>
      <c r="AD5085" s="580">
        <f t="shared" si="431"/>
        <v>5</v>
      </c>
      <c r="AE5085" s="580">
        <f t="shared" si="432"/>
        <v>2.5</v>
      </c>
      <c r="AF5085" s="580">
        <f t="shared" si="433"/>
        <v>2.5</v>
      </c>
      <c r="AG5085" s="580">
        <f t="shared" si="434"/>
        <v>0</v>
      </c>
      <c r="AH5085" s="580">
        <f t="shared" si="435"/>
        <v>0</v>
      </c>
    </row>
    <row r="5086" spans="28:34">
      <c r="AB5086" s="580">
        <f>HLOOKUP("*"&amp;'Output annual'!$AC$2&amp;'Output annual'!$AD$2&amp;"*Zone People Number Of Occupants [](Hourly)",'Eplus results'!$1:$1048576,ROW(),FALSE)</f>
        <v>0</v>
      </c>
      <c r="AC5086" s="580">
        <f>HLOOKUP("*"&amp;'Output annual'!$AC$2&amp;'Output annual'!$AD$2&amp;"*FangerPMV(Hourly)",'Eplus results'!$1:$1048576,ROW(),FALSE)</f>
        <v>0</v>
      </c>
      <c r="AD5086" s="580">
        <f t="shared" si="431"/>
        <v>5</v>
      </c>
      <c r="AE5086" s="580">
        <f t="shared" si="432"/>
        <v>2.5</v>
      </c>
      <c r="AF5086" s="580">
        <f t="shared" si="433"/>
        <v>2.5</v>
      </c>
      <c r="AG5086" s="580">
        <f t="shared" si="434"/>
        <v>0</v>
      </c>
      <c r="AH5086" s="580">
        <f t="shared" si="435"/>
        <v>0</v>
      </c>
    </row>
    <row r="5087" spans="28:34">
      <c r="AB5087" s="580">
        <f>HLOOKUP("*"&amp;'Output annual'!$AC$2&amp;'Output annual'!$AD$2&amp;"*Zone People Number Of Occupants [](Hourly)",'Eplus results'!$1:$1048576,ROW(),FALSE)</f>
        <v>0</v>
      </c>
      <c r="AC5087" s="580">
        <f>HLOOKUP("*"&amp;'Output annual'!$AC$2&amp;'Output annual'!$AD$2&amp;"*FangerPMV(Hourly)",'Eplus results'!$1:$1048576,ROW(),FALSE)</f>
        <v>0</v>
      </c>
      <c r="AD5087" s="580">
        <f t="shared" si="431"/>
        <v>5</v>
      </c>
      <c r="AE5087" s="580">
        <f t="shared" si="432"/>
        <v>2.5</v>
      </c>
      <c r="AF5087" s="580">
        <f t="shared" si="433"/>
        <v>2.5</v>
      </c>
      <c r="AG5087" s="580">
        <f t="shared" si="434"/>
        <v>0</v>
      </c>
      <c r="AH5087" s="580">
        <f t="shared" si="435"/>
        <v>0</v>
      </c>
    </row>
    <row r="5088" spans="28:34">
      <c r="AB5088" s="580">
        <f>HLOOKUP("*"&amp;'Output annual'!$AC$2&amp;'Output annual'!$AD$2&amp;"*Zone People Number Of Occupants [](Hourly)",'Eplus results'!$1:$1048576,ROW(),FALSE)</f>
        <v>0</v>
      </c>
      <c r="AC5088" s="580">
        <f>HLOOKUP("*"&amp;'Output annual'!$AC$2&amp;'Output annual'!$AD$2&amp;"*FangerPMV(Hourly)",'Eplus results'!$1:$1048576,ROW(),FALSE)</f>
        <v>0</v>
      </c>
      <c r="AD5088" s="580">
        <f t="shared" si="431"/>
        <v>5</v>
      </c>
      <c r="AE5088" s="580">
        <f t="shared" si="432"/>
        <v>2.5</v>
      </c>
      <c r="AF5088" s="580">
        <f t="shared" si="433"/>
        <v>2.5</v>
      </c>
      <c r="AG5088" s="580">
        <f t="shared" si="434"/>
        <v>0</v>
      </c>
      <c r="AH5088" s="580">
        <f t="shared" si="435"/>
        <v>0</v>
      </c>
    </row>
    <row r="5089" spans="28:34">
      <c r="AB5089" s="580">
        <f>HLOOKUP("*"&amp;'Output annual'!$AC$2&amp;'Output annual'!$AD$2&amp;"*Zone People Number Of Occupants [](Hourly)",'Eplus results'!$1:$1048576,ROW(),FALSE)</f>
        <v>0</v>
      </c>
      <c r="AC5089" s="580">
        <f>HLOOKUP("*"&amp;'Output annual'!$AC$2&amp;'Output annual'!$AD$2&amp;"*FangerPMV(Hourly)",'Eplus results'!$1:$1048576,ROW(),FALSE)</f>
        <v>0</v>
      </c>
      <c r="AD5089" s="580">
        <f t="shared" si="431"/>
        <v>5</v>
      </c>
      <c r="AE5089" s="580">
        <f t="shared" si="432"/>
        <v>2.5</v>
      </c>
      <c r="AF5089" s="580">
        <f t="shared" si="433"/>
        <v>2.5</v>
      </c>
      <c r="AG5089" s="580">
        <f t="shared" si="434"/>
        <v>0</v>
      </c>
      <c r="AH5089" s="580">
        <f t="shared" si="435"/>
        <v>0</v>
      </c>
    </row>
    <row r="5090" spans="28:34">
      <c r="AB5090" s="580">
        <f>HLOOKUP("*"&amp;'Output annual'!$AC$2&amp;'Output annual'!$AD$2&amp;"*Zone People Number Of Occupants [](Hourly)",'Eplus results'!$1:$1048576,ROW(),FALSE)</f>
        <v>0</v>
      </c>
      <c r="AC5090" s="580">
        <f>HLOOKUP("*"&amp;'Output annual'!$AC$2&amp;'Output annual'!$AD$2&amp;"*FangerPMV(Hourly)",'Eplus results'!$1:$1048576,ROW(),FALSE)</f>
        <v>0</v>
      </c>
      <c r="AD5090" s="580">
        <f t="shared" si="431"/>
        <v>5</v>
      </c>
      <c r="AE5090" s="580">
        <f t="shared" si="432"/>
        <v>2.5</v>
      </c>
      <c r="AF5090" s="580">
        <f t="shared" si="433"/>
        <v>2.5</v>
      </c>
      <c r="AG5090" s="580">
        <f t="shared" si="434"/>
        <v>0</v>
      </c>
      <c r="AH5090" s="580">
        <f t="shared" si="435"/>
        <v>0</v>
      </c>
    </row>
    <row r="5091" spans="28:34">
      <c r="AB5091" s="580">
        <f>HLOOKUP("*"&amp;'Output annual'!$AC$2&amp;'Output annual'!$AD$2&amp;"*Zone People Number Of Occupants [](Hourly)",'Eplus results'!$1:$1048576,ROW(),FALSE)</f>
        <v>0</v>
      </c>
      <c r="AC5091" s="580">
        <f>HLOOKUP("*"&amp;'Output annual'!$AC$2&amp;'Output annual'!$AD$2&amp;"*FangerPMV(Hourly)",'Eplus results'!$1:$1048576,ROW(),FALSE)</f>
        <v>0</v>
      </c>
      <c r="AD5091" s="580">
        <f t="shared" si="431"/>
        <v>5</v>
      </c>
      <c r="AE5091" s="580">
        <f t="shared" si="432"/>
        <v>2.5</v>
      </c>
      <c r="AF5091" s="580">
        <f t="shared" si="433"/>
        <v>2.5</v>
      </c>
      <c r="AG5091" s="580">
        <f t="shared" si="434"/>
        <v>0</v>
      </c>
      <c r="AH5091" s="580">
        <f t="shared" si="435"/>
        <v>0</v>
      </c>
    </row>
    <row r="5092" spans="28:34">
      <c r="AB5092" s="580">
        <f>HLOOKUP("*"&amp;'Output annual'!$AC$2&amp;'Output annual'!$AD$2&amp;"*Zone People Number Of Occupants [](Hourly)",'Eplus results'!$1:$1048576,ROW(),FALSE)</f>
        <v>0</v>
      </c>
      <c r="AC5092" s="580">
        <f>HLOOKUP("*"&amp;'Output annual'!$AC$2&amp;'Output annual'!$AD$2&amp;"*FangerPMV(Hourly)",'Eplus results'!$1:$1048576,ROW(),FALSE)</f>
        <v>0</v>
      </c>
      <c r="AD5092" s="580">
        <f t="shared" si="431"/>
        <v>5</v>
      </c>
      <c r="AE5092" s="580">
        <f t="shared" si="432"/>
        <v>2.5</v>
      </c>
      <c r="AF5092" s="580">
        <f t="shared" si="433"/>
        <v>2.5</v>
      </c>
      <c r="AG5092" s="580">
        <f t="shared" si="434"/>
        <v>0</v>
      </c>
      <c r="AH5092" s="580">
        <f t="shared" si="435"/>
        <v>0</v>
      </c>
    </row>
    <row r="5093" spans="28:34">
      <c r="AB5093" s="580">
        <f>HLOOKUP("*"&amp;'Output annual'!$AC$2&amp;'Output annual'!$AD$2&amp;"*Zone People Number Of Occupants [](Hourly)",'Eplus results'!$1:$1048576,ROW(),FALSE)</f>
        <v>0</v>
      </c>
      <c r="AC5093" s="580">
        <f>HLOOKUP("*"&amp;'Output annual'!$AC$2&amp;'Output annual'!$AD$2&amp;"*FangerPMV(Hourly)",'Eplus results'!$1:$1048576,ROW(),FALSE)</f>
        <v>0</v>
      </c>
      <c r="AD5093" s="580">
        <f t="shared" si="431"/>
        <v>5</v>
      </c>
      <c r="AE5093" s="580">
        <f t="shared" si="432"/>
        <v>2.5</v>
      </c>
      <c r="AF5093" s="580">
        <f t="shared" si="433"/>
        <v>2.5</v>
      </c>
      <c r="AG5093" s="580">
        <f t="shared" si="434"/>
        <v>0</v>
      </c>
      <c r="AH5093" s="580">
        <f t="shared" si="435"/>
        <v>0</v>
      </c>
    </row>
    <row r="5094" spans="28:34">
      <c r="AB5094" s="580">
        <f>HLOOKUP("*"&amp;'Output annual'!$AC$2&amp;'Output annual'!$AD$2&amp;"*Zone People Number Of Occupants [](Hourly)",'Eplus results'!$1:$1048576,ROW(),FALSE)</f>
        <v>0</v>
      </c>
      <c r="AC5094" s="580">
        <f>HLOOKUP("*"&amp;'Output annual'!$AC$2&amp;'Output annual'!$AD$2&amp;"*FangerPMV(Hourly)",'Eplus results'!$1:$1048576,ROW(),FALSE)</f>
        <v>0</v>
      </c>
      <c r="AD5094" s="580">
        <f t="shared" si="431"/>
        <v>5</v>
      </c>
      <c r="AE5094" s="580">
        <f t="shared" si="432"/>
        <v>2.5</v>
      </c>
      <c r="AF5094" s="580">
        <f t="shared" si="433"/>
        <v>2.5</v>
      </c>
      <c r="AG5094" s="580">
        <f t="shared" si="434"/>
        <v>0</v>
      </c>
      <c r="AH5094" s="580">
        <f t="shared" si="435"/>
        <v>0</v>
      </c>
    </row>
    <row r="5095" spans="28:34">
      <c r="AB5095" s="580">
        <f>HLOOKUP("*"&amp;'Output annual'!$AC$2&amp;'Output annual'!$AD$2&amp;"*Zone People Number Of Occupants [](Hourly)",'Eplus results'!$1:$1048576,ROW(),FALSE)</f>
        <v>0</v>
      </c>
      <c r="AC5095" s="580">
        <f>HLOOKUP("*"&amp;'Output annual'!$AC$2&amp;'Output annual'!$AD$2&amp;"*FangerPMV(Hourly)",'Eplus results'!$1:$1048576,ROW(),FALSE)</f>
        <v>0</v>
      </c>
      <c r="AD5095" s="580">
        <f t="shared" si="431"/>
        <v>5</v>
      </c>
      <c r="AE5095" s="580">
        <f t="shared" si="432"/>
        <v>2.5</v>
      </c>
      <c r="AF5095" s="580">
        <f t="shared" si="433"/>
        <v>2.5</v>
      </c>
      <c r="AG5095" s="580">
        <f t="shared" si="434"/>
        <v>0</v>
      </c>
      <c r="AH5095" s="580">
        <f t="shared" si="435"/>
        <v>0</v>
      </c>
    </row>
    <row r="5096" spans="28:34">
      <c r="AB5096" s="580">
        <f>HLOOKUP("*"&amp;'Output annual'!$AC$2&amp;'Output annual'!$AD$2&amp;"*Zone People Number Of Occupants [](Hourly)",'Eplus results'!$1:$1048576,ROW(),FALSE)</f>
        <v>0</v>
      </c>
      <c r="AC5096" s="580">
        <f>HLOOKUP("*"&amp;'Output annual'!$AC$2&amp;'Output annual'!$AD$2&amp;"*FangerPMV(Hourly)",'Eplus results'!$1:$1048576,ROW(),FALSE)</f>
        <v>0</v>
      </c>
      <c r="AD5096" s="580">
        <f t="shared" si="431"/>
        <v>5</v>
      </c>
      <c r="AE5096" s="580">
        <f t="shared" si="432"/>
        <v>2.5</v>
      </c>
      <c r="AF5096" s="580">
        <f t="shared" si="433"/>
        <v>2.5</v>
      </c>
      <c r="AG5096" s="580">
        <f t="shared" si="434"/>
        <v>0</v>
      </c>
      <c r="AH5096" s="580">
        <f t="shared" si="435"/>
        <v>0</v>
      </c>
    </row>
    <row r="5097" spans="28:34">
      <c r="AB5097" s="580">
        <f>HLOOKUP("*"&amp;'Output annual'!$AC$2&amp;'Output annual'!$AD$2&amp;"*Zone People Number Of Occupants [](Hourly)",'Eplus results'!$1:$1048576,ROW(),FALSE)</f>
        <v>0</v>
      </c>
      <c r="AC5097" s="580">
        <f>HLOOKUP("*"&amp;'Output annual'!$AC$2&amp;'Output annual'!$AD$2&amp;"*FangerPMV(Hourly)",'Eplus results'!$1:$1048576,ROW(),FALSE)</f>
        <v>0</v>
      </c>
      <c r="AD5097" s="580">
        <f t="shared" si="431"/>
        <v>5</v>
      </c>
      <c r="AE5097" s="580">
        <f t="shared" si="432"/>
        <v>2.5</v>
      </c>
      <c r="AF5097" s="580">
        <f t="shared" si="433"/>
        <v>2.5</v>
      </c>
      <c r="AG5097" s="580">
        <f t="shared" si="434"/>
        <v>0</v>
      </c>
      <c r="AH5097" s="580">
        <f t="shared" si="435"/>
        <v>0</v>
      </c>
    </row>
    <row r="5098" spans="28:34">
      <c r="AB5098" s="580">
        <f>HLOOKUP("*"&amp;'Output annual'!$AC$2&amp;'Output annual'!$AD$2&amp;"*Zone People Number Of Occupants [](Hourly)",'Eplus results'!$1:$1048576,ROW(),FALSE)</f>
        <v>0</v>
      </c>
      <c r="AC5098" s="580">
        <f>HLOOKUP("*"&amp;'Output annual'!$AC$2&amp;'Output annual'!$AD$2&amp;"*FangerPMV(Hourly)",'Eplus results'!$1:$1048576,ROW(),FALSE)</f>
        <v>0</v>
      </c>
      <c r="AD5098" s="580">
        <f t="shared" si="431"/>
        <v>5</v>
      </c>
      <c r="AE5098" s="580">
        <f t="shared" si="432"/>
        <v>2.5</v>
      </c>
      <c r="AF5098" s="580">
        <f t="shared" si="433"/>
        <v>2.5</v>
      </c>
      <c r="AG5098" s="580">
        <f t="shared" si="434"/>
        <v>0</v>
      </c>
      <c r="AH5098" s="580">
        <f t="shared" si="435"/>
        <v>0</v>
      </c>
    </row>
    <row r="5099" spans="28:34">
      <c r="AB5099" s="580">
        <f>HLOOKUP("*"&amp;'Output annual'!$AC$2&amp;'Output annual'!$AD$2&amp;"*Zone People Number Of Occupants [](Hourly)",'Eplus results'!$1:$1048576,ROW(),FALSE)</f>
        <v>0</v>
      </c>
      <c r="AC5099" s="580">
        <f>HLOOKUP("*"&amp;'Output annual'!$AC$2&amp;'Output annual'!$AD$2&amp;"*FangerPMV(Hourly)",'Eplus results'!$1:$1048576,ROW(),FALSE)</f>
        <v>0</v>
      </c>
      <c r="AD5099" s="580">
        <f t="shared" si="431"/>
        <v>5</v>
      </c>
      <c r="AE5099" s="580">
        <f t="shared" si="432"/>
        <v>2.5</v>
      </c>
      <c r="AF5099" s="580">
        <f t="shared" si="433"/>
        <v>2.5</v>
      </c>
      <c r="AG5099" s="580">
        <f t="shared" si="434"/>
        <v>0</v>
      </c>
      <c r="AH5099" s="580">
        <f t="shared" si="435"/>
        <v>0</v>
      </c>
    </row>
    <row r="5100" spans="28:34">
      <c r="AB5100" s="580">
        <f>HLOOKUP("*"&amp;'Output annual'!$AC$2&amp;'Output annual'!$AD$2&amp;"*Zone People Number Of Occupants [](Hourly)",'Eplus results'!$1:$1048576,ROW(),FALSE)</f>
        <v>0</v>
      </c>
      <c r="AC5100" s="580">
        <f>HLOOKUP("*"&amp;'Output annual'!$AC$2&amp;'Output annual'!$AD$2&amp;"*FangerPMV(Hourly)",'Eplus results'!$1:$1048576,ROW(),FALSE)</f>
        <v>0</v>
      </c>
      <c r="AD5100" s="580">
        <f t="shared" si="431"/>
        <v>5</v>
      </c>
      <c r="AE5100" s="580">
        <f t="shared" si="432"/>
        <v>2.5</v>
      </c>
      <c r="AF5100" s="580">
        <f t="shared" si="433"/>
        <v>2.5</v>
      </c>
      <c r="AG5100" s="580">
        <f t="shared" si="434"/>
        <v>0</v>
      </c>
      <c r="AH5100" s="580">
        <f t="shared" si="435"/>
        <v>0</v>
      </c>
    </row>
    <row r="5101" spans="28:34">
      <c r="AB5101" s="580">
        <f>HLOOKUP("*"&amp;'Output annual'!$AC$2&amp;'Output annual'!$AD$2&amp;"*Zone People Number Of Occupants [](Hourly)",'Eplus results'!$1:$1048576,ROW(),FALSE)</f>
        <v>0</v>
      </c>
      <c r="AC5101" s="580">
        <f>HLOOKUP("*"&amp;'Output annual'!$AC$2&amp;'Output annual'!$AD$2&amp;"*FangerPMV(Hourly)",'Eplus results'!$1:$1048576,ROW(),FALSE)</f>
        <v>0</v>
      </c>
      <c r="AD5101" s="580">
        <f t="shared" si="431"/>
        <v>5</v>
      </c>
      <c r="AE5101" s="580">
        <f t="shared" si="432"/>
        <v>2.5</v>
      </c>
      <c r="AF5101" s="580">
        <f t="shared" si="433"/>
        <v>2.5</v>
      </c>
      <c r="AG5101" s="580">
        <f t="shared" si="434"/>
        <v>0</v>
      </c>
      <c r="AH5101" s="580">
        <f t="shared" si="435"/>
        <v>0</v>
      </c>
    </row>
    <row r="5102" spans="28:34">
      <c r="AB5102" s="580">
        <f>HLOOKUP("*"&amp;'Output annual'!$AC$2&amp;'Output annual'!$AD$2&amp;"*Zone People Number Of Occupants [](Hourly)",'Eplus results'!$1:$1048576,ROW(),FALSE)</f>
        <v>0</v>
      </c>
      <c r="AC5102" s="580">
        <f>HLOOKUP("*"&amp;'Output annual'!$AC$2&amp;'Output annual'!$AD$2&amp;"*FangerPMV(Hourly)",'Eplus results'!$1:$1048576,ROW(),FALSE)</f>
        <v>0</v>
      </c>
      <c r="AD5102" s="580">
        <f t="shared" si="431"/>
        <v>5</v>
      </c>
      <c r="AE5102" s="580">
        <f t="shared" si="432"/>
        <v>2.5</v>
      </c>
      <c r="AF5102" s="580">
        <f t="shared" si="433"/>
        <v>2.5</v>
      </c>
      <c r="AG5102" s="580">
        <f t="shared" si="434"/>
        <v>0</v>
      </c>
      <c r="AH5102" s="580">
        <f t="shared" si="435"/>
        <v>0</v>
      </c>
    </row>
    <row r="5103" spans="28:34">
      <c r="AB5103" s="580">
        <f>HLOOKUP("*"&amp;'Output annual'!$AC$2&amp;'Output annual'!$AD$2&amp;"*Zone People Number Of Occupants [](Hourly)",'Eplus results'!$1:$1048576,ROW(),FALSE)</f>
        <v>0</v>
      </c>
      <c r="AC5103" s="580">
        <f>HLOOKUP("*"&amp;'Output annual'!$AC$2&amp;'Output annual'!$AD$2&amp;"*FangerPMV(Hourly)",'Eplus results'!$1:$1048576,ROW(),FALSE)</f>
        <v>0</v>
      </c>
      <c r="AD5103" s="580">
        <f t="shared" si="431"/>
        <v>5</v>
      </c>
      <c r="AE5103" s="580">
        <f t="shared" si="432"/>
        <v>2.5</v>
      </c>
      <c r="AF5103" s="580">
        <f t="shared" si="433"/>
        <v>2.5</v>
      </c>
      <c r="AG5103" s="580">
        <f t="shared" si="434"/>
        <v>0</v>
      </c>
      <c r="AH5103" s="580">
        <f t="shared" si="435"/>
        <v>0</v>
      </c>
    </row>
    <row r="5104" spans="28:34">
      <c r="AB5104" s="580">
        <f>HLOOKUP("*"&amp;'Output annual'!$AC$2&amp;'Output annual'!$AD$2&amp;"*Zone People Number Of Occupants [](Hourly)",'Eplus results'!$1:$1048576,ROW(),FALSE)</f>
        <v>0</v>
      </c>
      <c r="AC5104" s="580">
        <f>HLOOKUP("*"&amp;'Output annual'!$AC$2&amp;'Output annual'!$AD$2&amp;"*FangerPMV(Hourly)",'Eplus results'!$1:$1048576,ROW(),FALSE)</f>
        <v>0</v>
      </c>
      <c r="AD5104" s="580">
        <f t="shared" si="431"/>
        <v>5</v>
      </c>
      <c r="AE5104" s="580">
        <f t="shared" si="432"/>
        <v>2.5</v>
      </c>
      <c r="AF5104" s="580">
        <f t="shared" si="433"/>
        <v>2.5</v>
      </c>
      <c r="AG5104" s="580">
        <f t="shared" si="434"/>
        <v>0</v>
      </c>
      <c r="AH5104" s="580">
        <f t="shared" si="435"/>
        <v>0</v>
      </c>
    </row>
    <row r="5105" spans="28:34">
      <c r="AB5105" s="580">
        <f>HLOOKUP("*"&amp;'Output annual'!$AC$2&amp;'Output annual'!$AD$2&amp;"*Zone People Number Of Occupants [](Hourly)",'Eplus results'!$1:$1048576,ROW(),FALSE)</f>
        <v>0</v>
      </c>
      <c r="AC5105" s="580">
        <f>HLOOKUP("*"&amp;'Output annual'!$AC$2&amp;'Output annual'!$AD$2&amp;"*FangerPMV(Hourly)",'Eplus results'!$1:$1048576,ROW(),FALSE)</f>
        <v>0</v>
      </c>
      <c r="AD5105" s="580">
        <f t="shared" si="431"/>
        <v>5</v>
      </c>
      <c r="AE5105" s="580">
        <f t="shared" si="432"/>
        <v>2.5</v>
      </c>
      <c r="AF5105" s="580">
        <f t="shared" si="433"/>
        <v>2.5</v>
      </c>
      <c r="AG5105" s="580">
        <f t="shared" si="434"/>
        <v>0</v>
      </c>
      <c r="AH5105" s="580">
        <f t="shared" si="435"/>
        <v>0</v>
      </c>
    </row>
    <row r="5106" spans="28:34">
      <c r="AB5106" s="580">
        <f>HLOOKUP("*"&amp;'Output annual'!$AC$2&amp;'Output annual'!$AD$2&amp;"*Zone People Number Of Occupants [](Hourly)",'Eplus results'!$1:$1048576,ROW(),FALSE)</f>
        <v>0</v>
      </c>
      <c r="AC5106" s="580">
        <f>HLOOKUP("*"&amp;'Output annual'!$AC$2&amp;'Output annual'!$AD$2&amp;"*FangerPMV(Hourly)",'Eplus results'!$1:$1048576,ROW(),FALSE)</f>
        <v>0</v>
      </c>
      <c r="AD5106" s="580">
        <f t="shared" si="431"/>
        <v>5</v>
      </c>
      <c r="AE5106" s="580">
        <f t="shared" si="432"/>
        <v>2.5</v>
      </c>
      <c r="AF5106" s="580">
        <f t="shared" si="433"/>
        <v>2.5</v>
      </c>
      <c r="AG5106" s="580">
        <f t="shared" si="434"/>
        <v>0</v>
      </c>
      <c r="AH5106" s="580">
        <f t="shared" si="435"/>
        <v>0</v>
      </c>
    </row>
    <row r="5107" spans="28:34">
      <c r="AB5107" s="580">
        <f>HLOOKUP("*"&amp;'Output annual'!$AC$2&amp;'Output annual'!$AD$2&amp;"*Zone People Number Of Occupants [](Hourly)",'Eplus results'!$1:$1048576,ROW(),FALSE)</f>
        <v>0</v>
      </c>
      <c r="AC5107" s="580">
        <f>HLOOKUP("*"&amp;'Output annual'!$AC$2&amp;'Output annual'!$AD$2&amp;"*FangerPMV(Hourly)",'Eplus results'!$1:$1048576,ROW(),FALSE)</f>
        <v>0</v>
      </c>
      <c r="AD5107" s="580">
        <f t="shared" si="431"/>
        <v>5</v>
      </c>
      <c r="AE5107" s="580">
        <f t="shared" si="432"/>
        <v>2.5</v>
      </c>
      <c r="AF5107" s="580">
        <f t="shared" si="433"/>
        <v>2.5</v>
      </c>
      <c r="AG5107" s="580">
        <f t="shared" si="434"/>
        <v>0</v>
      </c>
      <c r="AH5107" s="580">
        <f t="shared" si="435"/>
        <v>0</v>
      </c>
    </row>
    <row r="5108" spans="28:34">
      <c r="AB5108" s="580">
        <f>HLOOKUP("*"&amp;'Output annual'!$AC$2&amp;'Output annual'!$AD$2&amp;"*Zone People Number Of Occupants [](Hourly)",'Eplus results'!$1:$1048576,ROW(),FALSE)</f>
        <v>0</v>
      </c>
      <c r="AC5108" s="580">
        <f>HLOOKUP("*"&amp;'Output annual'!$AC$2&amp;'Output annual'!$AD$2&amp;"*FangerPMV(Hourly)",'Eplus results'!$1:$1048576,ROW(),FALSE)</f>
        <v>0</v>
      </c>
      <c r="AD5108" s="580">
        <f t="shared" si="431"/>
        <v>5</v>
      </c>
      <c r="AE5108" s="580">
        <f t="shared" si="432"/>
        <v>2.5</v>
      </c>
      <c r="AF5108" s="580">
        <f t="shared" si="433"/>
        <v>2.5</v>
      </c>
      <c r="AG5108" s="580">
        <f t="shared" si="434"/>
        <v>0</v>
      </c>
      <c r="AH5108" s="580">
        <f t="shared" si="435"/>
        <v>0</v>
      </c>
    </row>
    <row r="5109" spans="28:34">
      <c r="AB5109" s="580">
        <f>HLOOKUP("*"&amp;'Output annual'!$AC$2&amp;'Output annual'!$AD$2&amp;"*Zone People Number Of Occupants [](Hourly)",'Eplus results'!$1:$1048576,ROW(),FALSE)</f>
        <v>0</v>
      </c>
      <c r="AC5109" s="580">
        <f>HLOOKUP("*"&amp;'Output annual'!$AC$2&amp;'Output annual'!$AD$2&amp;"*FangerPMV(Hourly)",'Eplus results'!$1:$1048576,ROW(),FALSE)</f>
        <v>0</v>
      </c>
      <c r="AD5109" s="580">
        <f t="shared" si="431"/>
        <v>5</v>
      </c>
      <c r="AE5109" s="580">
        <f t="shared" si="432"/>
        <v>2.5</v>
      </c>
      <c r="AF5109" s="580">
        <f t="shared" si="433"/>
        <v>2.5</v>
      </c>
      <c r="AG5109" s="580">
        <f t="shared" si="434"/>
        <v>0</v>
      </c>
      <c r="AH5109" s="580">
        <f t="shared" si="435"/>
        <v>0</v>
      </c>
    </row>
    <row r="5110" spans="28:34">
      <c r="AB5110" s="580">
        <f>HLOOKUP("*"&amp;'Output annual'!$AC$2&amp;'Output annual'!$AD$2&amp;"*Zone People Number Of Occupants [](Hourly)",'Eplus results'!$1:$1048576,ROW(),FALSE)</f>
        <v>0</v>
      </c>
      <c r="AC5110" s="580">
        <f>HLOOKUP("*"&amp;'Output annual'!$AC$2&amp;'Output annual'!$AD$2&amp;"*FangerPMV(Hourly)",'Eplus results'!$1:$1048576,ROW(),FALSE)</f>
        <v>0</v>
      </c>
      <c r="AD5110" s="580">
        <f t="shared" si="431"/>
        <v>5</v>
      </c>
      <c r="AE5110" s="580">
        <f t="shared" si="432"/>
        <v>2.5</v>
      </c>
      <c r="AF5110" s="580">
        <f t="shared" si="433"/>
        <v>2.5</v>
      </c>
      <c r="AG5110" s="580">
        <f t="shared" si="434"/>
        <v>0</v>
      </c>
      <c r="AH5110" s="580">
        <f t="shared" si="435"/>
        <v>0</v>
      </c>
    </row>
    <row r="5111" spans="28:34">
      <c r="AB5111" s="580">
        <f>HLOOKUP("*"&amp;'Output annual'!$AC$2&amp;'Output annual'!$AD$2&amp;"*Zone People Number Of Occupants [](Hourly)",'Eplus results'!$1:$1048576,ROW(),FALSE)</f>
        <v>0</v>
      </c>
      <c r="AC5111" s="580">
        <f>HLOOKUP("*"&amp;'Output annual'!$AC$2&amp;'Output annual'!$AD$2&amp;"*FangerPMV(Hourly)",'Eplus results'!$1:$1048576,ROW(),FALSE)</f>
        <v>0</v>
      </c>
      <c r="AD5111" s="580">
        <f t="shared" si="431"/>
        <v>5</v>
      </c>
      <c r="AE5111" s="580">
        <f t="shared" si="432"/>
        <v>2.5</v>
      </c>
      <c r="AF5111" s="580">
        <f t="shared" si="433"/>
        <v>2.5</v>
      </c>
      <c r="AG5111" s="580">
        <f t="shared" si="434"/>
        <v>0</v>
      </c>
      <c r="AH5111" s="580">
        <f t="shared" si="435"/>
        <v>0</v>
      </c>
    </row>
    <row r="5112" spans="28:34">
      <c r="AB5112" s="580">
        <f>HLOOKUP("*"&amp;'Output annual'!$AC$2&amp;'Output annual'!$AD$2&amp;"*Zone People Number Of Occupants [](Hourly)",'Eplus results'!$1:$1048576,ROW(),FALSE)</f>
        <v>0</v>
      </c>
      <c r="AC5112" s="580">
        <f>HLOOKUP("*"&amp;'Output annual'!$AC$2&amp;'Output annual'!$AD$2&amp;"*FangerPMV(Hourly)",'Eplus results'!$1:$1048576,ROW(),FALSE)</f>
        <v>0</v>
      </c>
      <c r="AD5112" s="580">
        <f t="shared" si="431"/>
        <v>5</v>
      </c>
      <c r="AE5112" s="580">
        <f t="shared" si="432"/>
        <v>2.5</v>
      </c>
      <c r="AF5112" s="580">
        <f t="shared" si="433"/>
        <v>2.5</v>
      </c>
      <c r="AG5112" s="580">
        <f t="shared" si="434"/>
        <v>0</v>
      </c>
      <c r="AH5112" s="580">
        <f t="shared" si="435"/>
        <v>0</v>
      </c>
    </row>
    <row r="5113" spans="28:34">
      <c r="AB5113" s="580">
        <f>HLOOKUP("*"&amp;'Output annual'!$AC$2&amp;'Output annual'!$AD$2&amp;"*Zone People Number Of Occupants [](Hourly)",'Eplus results'!$1:$1048576,ROW(),FALSE)</f>
        <v>0</v>
      </c>
      <c r="AC5113" s="580">
        <f>HLOOKUP("*"&amp;'Output annual'!$AC$2&amp;'Output annual'!$AD$2&amp;"*FangerPMV(Hourly)",'Eplus results'!$1:$1048576,ROW(),FALSE)</f>
        <v>0</v>
      </c>
      <c r="AD5113" s="580">
        <f t="shared" si="431"/>
        <v>5</v>
      </c>
      <c r="AE5113" s="580">
        <f t="shared" si="432"/>
        <v>2.5</v>
      </c>
      <c r="AF5113" s="580">
        <f t="shared" si="433"/>
        <v>2.5</v>
      </c>
      <c r="AG5113" s="580">
        <f t="shared" si="434"/>
        <v>0</v>
      </c>
      <c r="AH5113" s="580">
        <f t="shared" si="435"/>
        <v>0</v>
      </c>
    </row>
    <row r="5114" spans="28:34">
      <c r="AB5114" s="580">
        <f>HLOOKUP("*"&amp;'Output annual'!$AC$2&amp;'Output annual'!$AD$2&amp;"*Zone People Number Of Occupants [](Hourly)",'Eplus results'!$1:$1048576,ROW(),FALSE)</f>
        <v>0</v>
      </c>
      <c r="AC5114" s="580">
        <f>HLOOKUP("*"&amp;'Output annual'!$AC$2&amp;'Output annual'!$AD$2&amp;"*FangerPMV(Hourly)",'Eplus results'!$1:$1048576,ROW(),FALSE)</f>
        <v>0</v>
      </c>
      <c r="AD5114" s="580">
        <f t="shared" si="431"/>
        <v>5</v>
      </c>
      <c r="AE5114" s="580">
        <f t="shared" si="432"/>
        <v>2.5</v>
      </c>
      <c r="AF5114" s="580">
        <f t="shared" si="433"/>
        <v>2.5</v>
      </c>
      <c r="AG5114" s="580">
        <f t="shared" si="434"/>
        <v>0</v>
      </c>
      <c r="AH5114" s="580">
        <f t="shared" si="435"/>
        <v>0</v>
      </c>
    </row>
    <row r="5115" spans="28:34">
      <c r="AB5115" s="580">
        <f>HLOOKUP("*"&amp;'Output annual'!$AC$2&amp;'Output annual'!$AD$2&amp;"*Zone People Number Of Occupants [](Hourly)",'Eplus results'!$1:$1048576,ROW(),FALSE)</f>
        <v>0</v>
      </c>
      <c r="AC5115" s="580">
        <f>HLOOKUP("*"&amp;'Output annual'!$AC$2&amp;'Output annual'!$AD$2&amp;"*FangerPMV(Hourly)",'Eplus results'!$1:$1048576,ROW(),FALSE)</f>
        <v>0</v>
      </c>
      <c r="AD5115" s="580">
        <f t="shared" si="431"/>
        <v>5</v>
      </c>
      <c r="AE5115" s="580">
        <f t="shared" si="432"/>
        <v>2.5</v>
      </c>
      <c r="AF5115" s="580">
        <f t="shared" si="433"/>
        <v>2.5</v>
      </c>
      <c r="AG5115" s="580">
        <f t="shared" si="434"/>
        <v>0</v>
      </c>
      <c r="AH5115" s="580">
        <f t="shared" si="435"/>
        <v>0</v>
      </c>
    </row>
    <row r="5116" spans="28:34">
      <c r="AB5116" s="580">
        <f>HLOOKUP("*"&amp;'Output annual'!$AC$2&amp;'Output annual'!$AD$2&amp;"*Zone People Number Of Occupants [](Hourly)",'Eplus results'!$1:$1048576,ROW(),FALSE)</f>
        <v>0</v>
      </c>
      <c r="AC5116" s="580">
        <f>HLOOKUP("*"&amp;'Output annual'!$AC$2&amp;'Output annual'!$AD$2&amp;"*FangerPMV(Hourly)",'Eplus results'!$1:$1048576,ROW(),FALSE)</f>
        <v>0</v>
      </c>
      <c r="AD5116" s="580">
        <f t="shared" si="431"/>
        <v>5</v>
      </c>
      <c r="AE5116" s="580">
        <f t="shared" si="432"/>
        <v>2.5</v>
      </c>
      <c r="AF5116" s="580">
        <f t="shared" si="433"/>
        <v>2.5</v>
      </c>
      <c r="AG5116" s="580">
        <f t="shared" si="434"/>
        <v>0</v>
      </c>
      <c r="AH5116" s="580">
        <f t="shared" si="435"/>
        <v>0</v>
      </c>
    </row>
    <row r="5117" spans="28:34">
      <c r="AB5117" s="580">
        <f>HLOOKUP("*"&amp;'Output annual'!$AC$2&amp;'Output annual'!$AD$2&amp;"*Zone People Number Of Occupants [](Hourly)",'Eplus results'!$1:$1048576,ROW(),FALSE)</f>
        <v>0</v>
      </c>
      <c r="AC5117" s="580">
        <f>HLOOKUP("*"&amp;'Output annual'!$AC$2&amp;'Output annual'!$AD$2&amp;"*FangerPMV(Hourly)",'Eplus results'!$1:$1048576,ROW(),FALSE)</f>
        <v>0</v>
      </c>
      <c r="AD5117" s="580">
        <f t="shared" si="431"/>
        <v>5</v>
      </c>
      <c r="AE5117" s="580">
        <f t="shared" si="432"/>
        <v>2.5</v>
      </c>
      <c r="AF5117" s="580">
        <f t="shared" si="433"/>
        <v>2.5</v>
      </c>
      <c r="AG5117" s="580">
        <f t="shared" si="434"/>
        <v>0</v>
      </c>
      <c r="AH5117" s="580">
        <f t="shared" si="435"/>
        <v>0</v>
      </c>
    </row>
    <row r="5118" spans="28:34">
      <c r="AB5118" s="580">
        <f>HLOOKUP("*"&amp;'Output annual'!$AC$2&amp;'Output annual'!$AD$2&amp;"*Zone People Number Of Occupants [](Hourly)",'Eplus results'!$1:$1048576,ROW(),FALSE)</f>
        <v>0</v>
      </c>
      <c r="AC5118" s="580">
        <f>HLOOKUP("*"&amp;'Output annual'!$AC$2&amp;'Output annual'!$AD$2&amp;"*FangerPMV(Hourly)",'Eplus results'!$1:$1048576,ROW(),FALSE)</f>
        <v>0</v>
      </c>
      <c r="AD5118" s="580">
        <f t="shared" si="431"/>
        <v>5</v>
      </c>
      <c r="AE5118" s="580">
        <f t="shared" si="432"/>
        <v>2.5</v>
      </c>
      <c r="AF5118" s="580">
        <f t="shared" si="433"/>
        <v>2.5</v>
      </c>
      <c r="AG5118" s="580">
        <f t="shared" si="434"/>
        <v>0</v>
      </c>
      <c r="AH5118" s="580">
        <f t="shared" si="435"/>
        <v>0</v>
      </c>
    </row>
    <row r="5119" spans="28:34">
      <c r="AB5119" s="580">
        <f>HLOOKUP("*"&amp;'Output annual'!$AC$2&amp;'Output annual'!$AD$2&amp;"*Zone People Number Of Occupants [](Hourly)",'Eplus results'!$1:$1048576,ROW(),FALSE)</f>
        <v>0</v>
      </c>
      <c r="AC5119" s="580">
        <f>HLOOKUP("*"&amp;'Output annual'!$AC$2&amp;'Output annual'!$AD$2&amp;"*FangerPMV(Hourly)",'Eplus results'!$1:$1048576,ROW(),FALSE)</f>
        <v>0</v>
      </c>
      <c r="AD5119" s="580">
        <f t="shared" si="431"/>
        <v>5</v>
      </c>
      <c r="AE5119" s="580">
        <f t="shared" si="432"/>
        <v>2.5</v>
      </c>
      <c r="AF5119" s="580">
        <f t="shared" si="433"/>
        <v>2.5</v>
      </c>
      <c r="AG5119" s="580">
        <f t="shared" si="434"/>
        <v>0</v>
      </c>
      <c r="AH5119" s="580">
        <f t="shared" si="435"/>
        <v>0</v>
      </c>
    </row>
    <row r="5120" spans="28:34">
      <c r="AB5120" s="580">
        <f>HLOOKUP("*"&amp;'Output annual'!$AC$2&amp;'Output annual'!$AD$2&amp;"*Zone People Number Of Occupants [](Hourly)",'Eplus results'!$1:$1048576,ROW(),FALSE)</f>
        <v>0</v>
      </c>
      <c r="AC5120" s="580">
        <f>HLOOKUP("*"&amp;'Output annual'!$AC$2&amp;'Output annual'!$AD$2&amp;"*FangerPMV(Hourly)",'Eplus results'!$1:$1048576,ROW(),FALSE)</f>
        <v>0</v>
      </c>
      <c r="AD5120" s="580">
        <f t="shared" si="431"/>
        <v>5</v>
      </c>
      <c r="AE5120" s="580">
        <f t="shared" si="432"/>
        <v>2.5</v>
      </c>
      <c r="AF5120" s="580">
        <f t="shared" si="433"/>
        <v>2.5</v>
      </c>
      <c r="AG5120" s="580">
        <f t="shared" si="434"/>
        <v>0</v>
      </c>
      <c r="AH5120" s="580">
        <f t="shared" si="435"/>
        <v>0</v>
      </c>
    </row>
    <row r="5121" spans="28:34">
      <c r="AB5121" s="580">
        <f>HLOOKUP("*"&amp;'Output annual'!$AC$2&amp;'Output annual'!$AD$2&amp;"*Zone People Number Of Occupants [](Hourly)",'Eplus results'!$1:$1048576,ROW(),FALSE)</f>
        <v>0</v>
      </c>
      <c r="AC5121" s="580">
        <f>HLOOKUP("*"&amp;'Output annual'!$AC$2&amp;'Output annual'!$AD$2&amp;"*FangerPMV(Hourly)",'Eplus results'!$1:$1048576,ROW(),FALSE)</f>
        <v>0</v>
      </c>
      <c r="AD5121" s="580">
        <f t="shared" si="431"/>
        <v>5</v>
      </c>
      <c r="AE5121" s="580">
        <f t="shared" si="432"/>
        <v>2.5</v>
      </c>
      <c r="AF5121" s="580">
        <f t="shared" si="433"/>
        <v>2.5</v>
      </c>
      <c r="AG5121" s="580">
        <f t="shared" si="434"/>
        <v>0</v>
      </c>
      <c r="AH5121" s="580">
        <f t="shared" si="435"/>
        <v>0</v>
      </c>
    </row>
    <row r="5122" spans="28:34">
      <c r="AB5122" s="580">
        <f>HLOOKUP("*"&amp;'Output annual'!$AC$2&amp;'Output annual'!$AD$2&amp;"*Zone People Number Of Occupants [](Hourly)",'Eplus results'!$1:$1048576,ROW(),FALSE)</f>
        <v>0</v>
      </c>
      <c r="AC5122" s="580">
        <f>HLOOKUP("*"&amp;'Output annual'!$AC$2&amp;'Output annual'!$AD$2&amp;"*FangerPMV(Hourly)",'Eplus results'!$1:$1048576,ROW(),FALSE)</f>
        <v>0</v>
      </c>
      <c r="AD5122" s="580">
        <f t="shared" si="431"/>
        <v>5</v>
      </c>
      <c r="AE5122" s="580">
        <f t="shared" si="432"/>
        <v>2.5</v>
      </c>
      <c r="AF5122" s="580">
        <f t="shared" si="433"/>
        <v>2.5</v>
      </c>
      <c r="AG5122" s="580">
        <f t="shared" si="434"/>
        <v>0</v>
      </c>
      <c r="AH5122" s="580">
        <f t="shared" si="435"/>
        <v>0</v>
      </c>
    </row>
    <row r="5123" spans="28:34">
      <c r="AB5123" s="580">
        <f>HLOOKUP("*"&amp;'Output annual'!$AC$2&amp;'Output annual'!$AD$2&amp;"*Zone People Number Of Occupants [](Hourly)",'Eplus results'!$1:$1048576,ROW(),FALSE)</f>
        <v>0</v>
      </c>
      <c r="AC5123" s="580">
        <f>HLOOKUP("*"&amp;'Output annual'!$AC$2&amp;'Output annual'!$AD$2&amp;"*FangerPMV(Hourly)",'Eplus results'!$1:$1048576,ROW(),FALSE)</f>
        <v>0</v>
      </c>
      <c r="AD5123" s="580">
        <f t="shared" ref="AD5123:AD5186" si="436">100-95*EXP(-0.03353*AC5123^4-0.2179*AC5123^2)</f>
        <v>5</v>
      </c>
      <c r="AE5123" s="580">
        <f t="shared" ref="AE5123:AE5186" si="437">AD5123*(1/(1+EXP(-6.3*$AC5123)))</f>
        <v>2.5</v>
      </c>
      <c r="AF5123" s="580">
        <f t="shared" ref="AF5123:AF5186" si="438">(AD5123-AE5123)</f>
        <v>2.5</v>
      </c>
      <c r="AG5123" s="580">
        <f t="shared" ref="AG5123:AG5186" si="439">AE5123*AB5123</f>
        <v>0</v>
      </c>
      <c r="AH5123" s="580">
        <f t="shared" ref="AH5123:AH5186" si="440">AF5123*AB5123</f>
        <v>0</v>
      </c>
    </row>
    <row r="5124" spans="28:34">
      <c r="AB5124" s="580">
        <f>HLOOKUP("*"&amp;'Output annual'!$AC$2&amp;'Output annual'!$AD$2&amp;"*Zone People Number Of Occupants [](Hourly)",'Eplus results'!$1:$1048576,ROW(),FALSE)</f>
        <v>0</v>
      </c>
      <c r="AC5124" s="580">
        <f>HLOOKUP("*"&amp;'Output annual'!$AC$2&amp;'Output annual'!$AD$2&amp;"*FangerPMV(Hourly)",'Eplus results'!$1:$1048576,ROW(),FALSE)</f>
        <v>0</v>
      </c>
      <c r="AD5124" s="580">
        <f t="shared" si="436"/>
        <v>5</v>
      </c>
      <c r="AE5124" s="580">
        <f t="shared" si="437"/>
        <v>2.5</v>
      </c>
      <c r="AF5124" s="580">
        <f t="shared" si="438"/>
        <v>2.5</v>
      </c>
      <c r="AG5124" s="580">
        <f t="shared" si="439"/>
        <v>0</v>
      </c>
      <c r="AH5124" s="580">
        <f t="shared" si="440"/>
        <v>0</v>
      </c>
    </row>
    <row r="5125" spans="28:34">
      <c r="AB5125" s="580">
        <f>HLOOKUP("*"&amp;'Output annual'!$AC$2&amp;'Output annual'!$AD$2&amp;"*Zone People Number Of Occupants [](Hourly)",'Eplus results'!$1:$1048576,ROW(),FALSE)</f>
        <v>0</v>
      </c>
      <c r="AC5125" s="580">
        <f>HLOOKUP("*"&amp;'Output annual'!$AC$2&amp;'Output annual'!$AD$2&amp;"*FangerPMV(Hourly)",'Eplus results'!$1:$1048576,ROW(),FALSE)</f>
        <v>0</v>
      </c>
      <c r="AD5125" s="580">
        <f t="shared" si="436"/>
        <v>5</v>
      </c>
      <c r="AE5125" s="580">
        <f t="shared" si="437"/>
        <v>2.5</v>
      </c>
      <c r="AF5125" s="580">
        <f t="shared" si="438"/>
        <v>2.5</v>
      </c>
      <c r="AG5125" s="580">
        <f t="shared" si="439"/>
        <v>0</v>
      </c>
      <c r="AH5125" s="580">
        <f t="shared" si="440"/>
        <v>0</v>
      </c>
    </row>
    <row r="5126" spans="28:34">
      <c r="AB5126" s="580">
        <f>HLOOKUP("*"&amp;'Output annual'!$AC$2&amp;'Output annual'!$AD$2&amp;"*Zone People Number Of Occupants [](Hourly)",'Eplus results'!$1:$1048576,ROW(),FALSE)</f>
        <v>0</v>
      </c>
      <c r="AC5126" s="580">
        <f>HLOOKUP("*"&amp;'Output annual'!$AC$2&amp;'Output annual'!$AD$2&amp;"*FangerPMV(Hourly)",'Eplus results'!$1:$1048576,ROW(),FALSE)</f>
        <v>0</v>
      </c>
      <c r="AD5126" s="580">
        <f t="shared" si="436"/>
        <v>5</v>
      </c>
      <c r="AE5126" s="580">
        <f t="shared" si="437"/>
        <v>2.5</v>
      </c>
      <c r="AF5126" s="580">
        <f t="shared" si="438"/>
        <v>2.5</v>
      </c>
      <c r="AG5126" s="580">
        <f t="shared" si="439"/>
        <v>0</v>
      </c>
      <c r="AH5126" s="580">
        <f t="shared" si="440"/>
        <v>0</v>
      </c>
    </row>
    <row r="5127" spans="28:34">
      <c r="AB5127" s="580">
        <f>HLOOKUP("*"&amp;'Output annual'!$AC$2&amp;'Output annual'!$AD$2&amp;"*Zone People Number Of Occupants [](Hourly)",'Eplus results'!$1:$1048576,ROW(),FALSE)</f>
        <v>0</v>
      </c>
      <c r="AC5127" s="580">
        <f>HLOOKUP("*"&amp;'Output annual'!$AC$2&amp;'Output annual'!$AD$2&amp;"*FangerPMV(Hourly)",'Eplus results'!$1:$1048576,ROW(),FALSE)</f>
        <v>0</v>
      </c>
      <c r="AD5127" s="580">
        <f t="shared" si="436"/>
        <v>5</v>
      </c>
      <c r="AE5127" s="580">
        <f t="shared" si="437"/>
        <v>2.5</v>
      </c>
      <c r="AF5127" s="580">
        <f t="shared" si="438"/>
        <v>2.5</v>
      </c>
      <c r="AG5127" s="580">
        <f t="shared" si="439"/>
        <v>0</v>
      </c>
      <c r="AH5127" s="580">
        <f t="shared" si="440"/>
        <v>0</v>
      </c>
    </row>
    <row r="5128" spans="28:34">
      <c r="AB5128" s="580">
        <f>HLOOKUP("*"&amp;'Output annual'!$AC$2&amp;'Output annual'!$AD$2&amp;"*Zone People Number Of Occupants [](Hourly)",'Eplus results'!$1:$1048576,ROW(),FALSE)</f>
        <v>0</v>
      </c>
      <c r="AC5128" s="580">
        <f>HLOOKUP("*"&amp;'Output annual'!$AC$2&amp;'Output annual'!$AD$2&amp;"*FangerPMV(Hourly)",'Eplus results'!$1:$1048576,ROW(),FALSE)</f>
        <v>0</v>
      </c>
      <c r="AD5128" s="580">
        <f t="shared" si="436"/>
        <v>5</v>
      </c>
      <c r="AE5128" s="580">
        <f t="shared" si="437"/>
        <v>2.5</v>
      </c>
      <c r="AF5128" s="580">
        <f t="shared" si="438"/>
        <v>2.5</v>
      </c>
      <c r="AG5128" s="580">
        <f t="shared" si="439"/>
        <v>0</v>
      </c>
      <c r="AH5128" s="580">
        <f t="shared" si="440"/>
        <v>0</v>
      </c>
    </row>
    <row r="5129" spans="28:34">
      <c r="AB5129" s="580">
        <f>HLOOKUP("*"&amp;'Output annual'!$AC$2&amp;'Output annual'!$AD$2&amp;"*Zone People Number Of Occupants [](Hourly)",'Eplus results'!$1:$1048576,ROW(),FALSE)</f>
        <v>0</v>
      </c>
      <c r="AC5129" s="580">
        <f>HLOOKUP("*"&amp;'Output annual'!$AC$2&amp;'Output annual'!$AD$2&amp;"*FangerPMV(Hourly)",'Eplus results'!$1:$1048576,ROW(),FALSE)</f>
        <v>0</v>
      </c>
      <c r="AD5129" s="580">
        <f t="shared" si="436"/>
        <v>5</v>
      </c>
      <c r="AE5129" s="580">
        <f t="shared" si="437"/>
        <v>2.5</v>
      </c>
      <c r="AF5129" s="580">
        <f t="shared" si="438"/>
        <v>2.5</v>
      </c>
      <c r="AG5129" s="580">
        <f t="shared" si="439"/>
        <v>0</v>
      </c>
      <c r="AH5129" s="580">
        <f t="shared" si="440"/>
        <v>0</v>
      </c>
    </row>
    <row r="5130" spans="28:34">
      <c r="AB5130" s="580">
        <f>HLOOKUP("*"&amp;'Output annual'!$AC$2&amp;'Output annual'!$AD$2&amp;"*Zone People Number Of Occupants [](Hourly)",'Eplus results'!$1:$1048576,ROW(),FALSE)</f>
        <v>0</v>
      </c>
      <c r="AC5130" s="580">
        <f>HLOOKUP("*"&amp;'Output annual'!$AC$2&amp;'Output annual'!$AD$2&amp;"*FangerPMV(Hourly)",'Eplus results'!$1:$1048576,ROW(),FALSE)</f>
        <v>0</v>
      </c>
      <c r="AD5130" s="580">
        <f t="shared" si="436"/>
        <v>5</v>
      </c>
      <c r="AE5130" s="580">
        <f t="shared" si="437"/>
        <v>2.5</v>
      </c>
      <c r="AF5130" s="580">
        <f t="shared" si="438"/>
        <v>2.5</v>
      </c>
      <c r="AG5130" s="580">
        <f t="shared" si="439"/>
        <v>0</v>
      </c>
      <c r="AH5130" s="580">
        <f t="shared" si="440"/>
        <v>0</v>
      </c>
    </row>
    <row r="5131" spans="28:34">
      <c r="AB5131" s="580">
        <f>HLOOKUP("*"&amp;'Output annual'!$AC$2&amp;'Output annual'!$AD$2&amp;"*Zone People Number Of Occupants [](Hourly)",'Eplus results'!$1:$1048576,ROW(),FALSE)</f>
        <v>0</v>
      </c>
      <c r="AC5131" s="580">
        <f>HLOOKUP("*"&amp;'Output annual'!$AC$2&amp;'Output annual'!$AD$2&amp;"*FangerPMV(Hourly)",'Eplus results'!$1:$1048576,ROW(),FALSE)</f>
        <v>0</v>
      </c>
      <c r="AD5131" s="580">
        <f t="shared" si="436"/>
        <v>5</v>
      </c>
      <c r="AE5131" s="580">
        <f t="shared" si="437"/>
        <v>2.5</v>
      </c>
      <c r="AF5131" s="580">
        <f t="shared" si="438"/>
        <v>2.5</v>
      </c>
      <c r="AG5131" s="580">
        <f t="shared" si="439"/>
        <v>0</v>
      </c>
      <c r="AH5131" s="580">
        <f t="shared" si="440"/>
        <v>0</v>
      </c>
    </row>
    <row r="5132" spans="28:34">
      <c r="AB5132" s="580">
        <f>HLOOKUP("*"&amp;'Output annual'!$AC$2&amp;'Output annual'!$AD$2&amp;"*Zone People Number Of Occupants [](Hourly)",'Eplus results'!$1:$1048576,ROW(),FALSE)</f>
        <v>0</v>
      </c>
      <c r="AC5132" s="580">
        <f>HLOOKUP("*"&amp;'Output annual'!$AC$2&amp;'Output annual'!$AD$2&amp;"*FangerPMV(Hourly)",'Eplus results'!$1:$1048576,ROW(),FALSE)</f>
        <v>0</v>
      </c>
      <c r="AD5132" s="580">
        <f t="shared" si="436"/>
        <v>5</v>
      </c>
      <c r="AE5132" s="580">
        <f t="shared" si="437"/>
        <v>2.5</v>
      </c>
      <c r="AF5132" s="580">
        <f t="shared" si="438"/>
        <v>2.5</v>
      </c>
      <c r="AG5132" s="580">
        <f t="shared" si="439"/>
        <v>0</v>
      </c>
      <c r="AH5132" s="580">
        <f t="shared" si="440"/>
        <v>0</v>
      </c>
    </row>
    <row r="5133" spans="28:34">
      <c r="AB5133" s="580">
        <f>HLOOKUP("*"&amp;'Output annual'!$AC$2&amp;'Output annual'!$AD$2&amp;"*Zone People Number Of Occupants [](Hourly)",'Eplus results'!$1:$1048576,ROW(),FALSE)</f>
        <v>0</v>
      </c>
      <c r="AC5133" s="580">
        <f>HLOOKUP("*"&amp;'Output annual'!$AC$2&amp;'Output annual'!$AD$2&amp;"*FangerPMV(Hourly)",'Eplus results'!$1:$1048576,ROW(),FALSE)</f>
        <v>0</v>
      </c>
      <c r="AD5133" s="580">
        <f t="shared" si="436"/>
        <v>5</v>
      </c>
      <c r="AE5133" s="580">
        <f t="shared" si="437"/>
        <v>2.5</v>
      </c>
      <c r="AF5133" s="580">
        <f t="shared" si="438"/>
        <v>2.5</v>
      </c>
      <c r="AG5133" s="580">
        <f t="shared" si="439"/>
        <v>0</v>
      </c>
      <c r="AH5133" s="580">
        <f t="shared" si="440"/>
        <v>0</v>
      </c>
    </row>
    <row r="5134" spans="28:34">
      <c r="AB5134" s="580">
        <f>HLOOKUP("*"&amp;'Output annual'!$AC$2&amp;'Output annual'!$AD$2&amp;"*Zone People Number Of Occupants [](Hourly)",'Eplus results'!$1:$1048576,ROW(),FALSE)</f>
        <v>0</v>
      </c>
      <c r="AC5134" s="580">
        <f>HLOOKUP("*"&amp;'Output annual'!$AC$2&amp;'Output annual'!$AD$2&amp;"*FangerPMV(Hourly)",'Eplus results'!$1:$1048576,ROW(),FALSE)</f>
        <v>0</v>
      </c>
      <c r="AD5134" s="580">
        <f t="shared" si="436"/>
        <v>5</v>
      </c>
      <c r="AE5134" s="580">
        <f t="shared" si="437"/>
        <v>2.5</v>
      </c>
      <c r="AF5134" s="580">
        <f t="shared" si="438"/>
        <v>2.5</v>
      </c>
      <c r="AG5134" s="580">
        <f t="shared" si="439"/>
        <v>0</v>
      </c>
      <c r="AH5134" s="580">
        <f t="shared" si="440"/>
        <v>0</v>
      </c>
    </row>
    <row r="5135" spans="28:34">
      <c r="AB5135" s="580">
        <f>HLOOKUP("*"&amp;'Output annual'!$AC$2&amp;'Output annual'!$AD$2&amp;"*Zone People Number Of Occupants [](Hourly)",'Eplus results'!$1:$1048576,ROW(),FALSE)</f>
        <v>0</v>
      </c>
      <c r="AC5135" s="580">
        <f>HLOOKUP("*"&amp;'Output annual'!$AC$2&amp;'Output annual'!$AD$2&amp;"*FangerPMV(Hourly)",'Eplus results'!$1:$1048576,ROW(),FALSE)</f>
        <v>0</v>
      </c>
      <c r="AD5135" s="580">
        <f t="shared" si="436"/>
        <v>5</v>
      </c>
      <c r="AE5135" s="580">
        <f t="shared" si="437"/>
        <v>2.5</v>
      </c>
      <c r="AF5135" s="580">
        <f t="shared" si="438"/>
        <v>2.5</v>
      </c>
      <c r="AG5135" s="580">
        <f t="shared" si="439"/>
        <v>0</v>
      </c>
      <c r="AH5135" s="580">
        <f t="shared" si="440"/>
        <v>0</v>
      </c>
    </row>
    <row r="5136" spans="28:34">
      <c r="AB5136" s="580">
        <f>HLOOKUP("*"&amp;'Output annual'!$AC$2&amp;'Output annual'!$AD$2&amp;"*Zone People Number Of Occupants [](Hourly)",'Eplus results'!$1:$1048576,ROW(),FALSE)</f>
        <v>0</v>
      </c>
      <c r="AC5136" s="580">
        <f>HLOOKUP("*"&amp;'Output annual'!$AC$2&amp;'Output annual'!$AD$2&amp;"*FangerPMV(Hourly)",'Eplus results'!$1:$1048576,ROW(),FALSE)</f>
        <v>0</v>
      </c>
      <c r="AD5136" s="580">
        <f t="shared" si="436"/>
        <v>5</v>
      </c>
      <c r="AE5136" s="580">
        <f t="shared" si="437"/>
        <v>2.5</v>
      </c>
      <c r="AF5136" s="580">
        <f t="shared" si="438"/>
        <v>2.5</v>
      </c>
      <c r="AG5136" s="580">
        <f t="shared" si="439"/>
        <v>0</v>
      </c>
      <c r="AH5136" s="580">
        <f t="shared" si="440"/>
        <v>0</v>
      </c>
    </row>
    <row r="5137" spans="28:34">
      <c r="AB5137" s="580">
        <f>HLOOKUP("*"&amp;'Output annual'!$AC$2&amp;'Output annual'!$AD$2&amp;"*Zone People Number Of Occupants [](Hourly)",'Eplus results'!$1:$1048576,ROW(),FALSE)</f>
        <v>0</v>
      </c>
      <c r="AC5137" s="580">
        <f>HLOOKUP("*"&amp;'Output annual'!$AC$2&amp;'Output annual'!$AD$2&amp;"*FangerPMV(Hourly)",'Eplus results'!$1:$1048576,ROW(),FALSE)</f>
        <v>0</v>
      </c>
      <c r="AD5137" s="580">
        <f t="shared" si="436"/>
        <v>5</v>
      </c>
      <c r="AE5137" s="580">
        <f t="shared" si="437"/>
        <v>2.5</v>
      </c>
      <c r="AF5137" s="580">
        <f t="shared" si="438"/>
        <v>2.5</v>
      </c>
      <c r="AG5137" s="580">
        <f t="shared" si="439"/>
        <v>0</v>
      </c>
      <c r="AH5137" s="580">
        <f t="shared" si="440"/>
        <v>0</v>
      </c>
    </row>
    <row r="5138" spans="28:34">
      <c r="AB5138" s="580">
        <f>HLOOKUP("*"&amp;'Output annual'!$AC$2&amp;'Output annual'!$AD$2&amp;"*Zone People Number Of Occupants [](Hourly)",'Eplus results'!$1:$1048576,ROW(),FALSE)</f>
        <v>0</v>
      </c>
      <c r="AC5138" s="580">
        <f>HLOOKUP("*"&amp;'Output annual'!$AC$2&amp;'Output annual'!$AD$2&amp;"*FangerPMV(Hourly)",'Eplus results'!$1:$1048576,ROW(),FALSE)</f>
        <v>0</v>
      </c>
      <c r="AD5138" s="580">
        <f t="shared" si="436"/>
        <v>5</v>
      </c>
      <c r="AE5138" s="580">
        <f t="shared" si="437"/>
        <v>2.5</v>
      </c>
      <c r="AF5138" s="580">
        <f t="shared" si="438"/>
        <v>2.5</v>
      </c>
      <c r="AG5138" s="580">
        <f t="shared" si="439"/>
        <v>0</v>
      </c>
      <c r="AH5138" s="580">
        <f t="shared" si="440"/>
        <v>0</v>
      </c>
    </row>
    <row r="5139" spans="28:34">
      <c r="AB5139" s="580">
        <f>HLOOKUP("*"&amp;'Output annual'!$AC$2&amp;'Output annual'!$AD$2&amp;"*Zone People Number Of Occupants [](Hourly)",'Eplus results'!$1:$1048576,ROW(),FALSE)</f>
        <v>0</v>
      </c>
      <c r="AC5139" s="580">
        <f>HLOOKUP("*"&amp;'Output annual'!$AC$2&amp;'Output annual'!$AD$2&amp;"*FangerPMV(Hourly)",'Eplus results'!$1:$1048576,ROW(),FALSE)</f>
        <v>0</v>
      </c>
      <c r="AD5139" s="580">
        <f t="shared" si="436"/>
        <v>5</v>
      </c>
      <c r="AE5139" s="580">
        <f t="shared" si="437"/>
        <v>2.5</v>
      </c>
      <c r="AF5139" s="580">
        <f t="shared" si="438"/>
        <v>2.5</v>
      </c>
      <c r="AG5139" s="580">
        <f t="shared" si="439"/>
        <v>0</v>
      </c>
      <c r="AH5139" s="580">
        <f t="shared" si="440"/>
        <v>0</v>
      </c>
    </row>
    <row r="5140" spans="28:34">
      <c r="AB5140" s="580">
        <f>HLOOKUP("*"&amp;'Output annual'!$AC$2&amp;'Output annual'!$AD$2&amp;"*Zone People Number Of Occupants [](Hourly)",'Eplus results'!$1:$1048576,ROW(),FALSE)</f>
        <v>0</v>
      </c>
      <c r="AC5140" s="580">
        <f>HLOOKUP("*"&amp;'Output annual'!$AC$2&amp;'Output annual'!$AD$2&amp;"*FangerPMV(Hourly)",'Eplus results'!$1:$1048576,ROW(),FALSE)</f>
        <v>0</v>
      </c>
      <c r="AD5140" s="580">
        <f t="shared" si="436"/>
        <v>5</v>
      </c>
      <c r="AE5140" s="580">
        <f t="shared" si="437"/>
        <v>2.5</v>
      </c>
      <c r="AF5140" s="580">
        <f t="shared" si="438"/>
        <v>2.5</v>
      </c>
      <c r="AG5140" s="580">
        <f t="shared" si="439"/>
        <v>0</v>
      </c>
      <c r="AH5140" s="580">
        <f t="shared" si="440"/>
        <v>0</v>
      </c>
    </row>
    <row r="5141" spans="28:34">
      <c r="AB5141" s="580">
        <f>HLOOKUP("*"&amp;'Output annual'!$AC$2&amp;'Output annual'!$AD$2&amp;"*Zone People Number Of Occupants [](Hourly)",'Eplus results'!$1:$1048576,ROW(),FALSE)</f>
        <v>0</v>
      </c>
      <c r="AC5141" s="580">
        <f>HLOOKUP("*"&amp;'Output annual'!$AC$2&amp;'Output annual'!$AD$2&amp;"*FangerPMV(Hourly)",'Eplus results'!$1:$1048576,ROW(),FALSE)</f>
        <v>0</v>
      </c>
      <c r="AD5141" s="580">
        <f t="shared" si="436"/>
        <v>5</v>
      </c>
      <c r="AE5141" s="580">
        <f t="shared" si="437"/>
        <v>2.5</v>
      </c>
      <c r="AF5141" s="580">
        <f t="shared" si="438"/>
        <v>2.5</v>
      </c>
      <c r="AG5141" s="580">
        <f t="shared" si="439"/>
        <v>0</v>
      </c>
      <c r="AH5141" s="580">
        <f t="shared" si="440"/>
        <v>0</v>
      </c>
    </row>
    <row r="5142" spans="28:34">
      <c r="AB5142" s="580">
        <f>HLOOKUP("*"&amp;'Output annual'!$AC$2&amp;'Output annual'!$AD$2&amp;"*Zone People Number Of Occupants [](Hourly)",'Eplus results'!$1:$1048576,ROW(),FALSE)</f>
        <v>0</v>
      </c>
      <c r="AC5142" s="580">
        <f>HLOOKUP("*"&amp;'Output annual'!$AC$2&amp;'Output annual'!$AD$2&amp;"*FangerPMV(Hourly)",'Eplus results'!$1:$1048576,ROW(),FALSE)</f>
        <v>0</v>
      </c>
      <c r="AD5142" s="580">
        <f t="shared" si="436"/>
        <v>5</v>
      </c>
      <c r="AE5142" s="580">
        <f t="shared" si="437"/>
        <v>2.5</v>
      </c>
      <c r="AF5142" s="580">
        <f t="shared" si="438"/>
        <v>2.5</v>
      </c>
      <c r="AG5142" s="580">
        <f t="shared" si="439"/>
        <v>0</v>
      </c>
      <c r="AH5142" s="580">
        <f t="shared" si="440"/>
        <v>0</v>
      </c>
    </row>
    <row r="5143" spans="28:34">
      <c r="AB5143" s="580">
        <f>HLOOKUP("*"&amp;'Output annual'!$AC$2&amp;'Output annual'!$AD$2&amp;"*Zone People Number Of Occupants [](Hourly)",'Eplus results'!$1:$1048576,ROW(),FALSE)</f>
        <v>0</v>
      </c>
      <c r="AC5143" s="580">
        <f>HLOOKUP("*"&amp;'Output annual'!$AC$2&amp;'Output annual'!$AD$2&amp;"*FangerPMV(Hourly)",'Eplus results'!$1:$1048576,ROW(),FALSE)</f>
        <v>0</v>
      </c>
      <c r="AD5143" s="580">
        <f t="shared" si="436"/>
        <v>5</v>
      </c>
      <c r="AE5143" s="580">
        <f t="shared" si="437"/>
        <v>2.5</v>
      </c>
      <c r="AF5143" s="580">
        <f t="shared" si="438"/>
        <v>2.5</v>
      </c>
      <c r="AG5143" s="580">
        <f t="shared" si="439"/>
        <v>0</v>
      </c>
      <c r="AH5143" s="580">
        <f t="shared" si="440"/>
        <v>0</v>
      </c>
    </row>
    <row r="5144" spans="28:34">
      <c r="AB5144" s="580">
        <f>HLOOKUP("*"&amp;'Output annual'!$AC$2&amp;'Output annual'!$AD$2&amp;"*Zone People Number Of Occupants [](Hourly)",'Eplus results'!$1:$1048576,ROW(),FALSE)</f>
        <v>0</v>
      </c>
      <c r="AC5144" s="580">
        <f>HLOOKUP("*"&amp;'Output annual'!$AC$2&amp;'Output annual'!$AD$2&amp;"*FangerPMV(Hourly)",'Eplus results'!$1:$1048576,ROW(),FALSE)</f>
        <v>0</v>
      </c>
      <c r="AD5144" s="580">
        <f t="shared" si="436"/>
        <v>5</v>
      </c>
      <c r="AE5144" s="580">
        <f t="shared" si="437"/>
        <v>2.5</v>
      </c>
      <c r="AF5144" s="580">
        <f t="shared" si="438"/>
        <v>2.5</v>
      </c>
      <c r="AG5144" s="580">
        <f t="shared" si="439"/>
        <v>0</v>
      </c>
      <c r="AH5144" s="580">
        <f t="shared" si="440"/>
        <v>0</v>
      </c>
    </row>
    <row r="5145" spans="28:34">
      <c r="AB5145" s="580">
        <f>HLOOKUP("*"&amp;'Output annual'!$AC$2&amp;'Output annual'!$AD$2&amp;"*Zone People Number Of Occupants [](Hourly)",'Eplus results'!$1:$1048576,ROW(),FALSE)</f>
        <v>0</v>
      </c>
      <c r="AC5145" s="580">
        <f>HLOOKUP("*"&amp;'Output annual'!$AC$2&amp;'Output annual'!$AD$2&amp;"*FangerPMV(Hourly)",'Eplus results'!$1:$1048576,ROW(),FALSE)</f>
        <v>0</v>
      </c>
      <c r="AD5145" s="580">
        <f t="shared" si="436"/>
        <v>5</v>
      </c>
      <c r="AE5145" s="580">
        <f t="shared" si="437"/>
        <v>2.5</v>
      </c>
      <c r="AF5145" s="580">
        <f t="shared" si="438"/>
        <v>2.5</v>
      </c>
      <c r="AG5145" s="580">
        <f t="shared" si="439"/>
        <v>0</v>
      </c>
      <c r="AH5145" s="580">
        <f t="shared" si="440"/>
        <v>0</v>
      </c>
    </row>
    <row r="5146" spans="28:34">
      <c r="AB5146" s="580">
        <f>HLOOKUP("*"&amp;'Output annual'!$AC$2&amp;'Output annual'!$AD$2&amp;"*Zone People Number Of Occupants [](Hourly)",'Eplus results'!$1:$1048576,ROW(),FALSE)</f>
        <v>0</v>
      </c>
      <c r="AC5146" s="580">
        <f>HLOOKUP("*"&amp;'Output annual'!$AC$2&amp;'Output annual'!$AD$2&amp;"*FangerPMV(Hourly)",'Eplus results'!$1:$1048576,ROW(),FALSE)</f>
        <v>0</v>
      </c>
      <c r="AD5146" s="580">
        <f t="shared" si="436"/>
        <v>5</v>
      </c>
      <c r="AE5146" s="580">
        <f t="shared" si="437"/>
        <v>2.5</v>
      </c>
      <c r="AF5146" s="580">
        <f t="shared" si="438"/>
        <v>2.5</v>
      </c>
      <c r="AG5146" s="580">
        <f t="shared" si="439"/>
        <v>0</v>
      </c>
      <c r="AH5146" s="580">
        <f t="shared" si="440"/>
        <v>0</v>
      </c>
    </row>
    <row r="5147" spans="28:34">
      <c r="AB5147" s="580">
        <f>HLOOKUP("*"&amp;'Output annual'!$AC$2&amp;'Output annual'!$AD$2&amp;"*Zone People Number Of Occupants [](Hourly)",'Eplus results'!$1:$1048576,ROW(),FALSE)</f>
        <v>0</v>
      </c>
      <c r="AC5147" s="580">
        <f>HLOOKUP("*"&amp;'Output annual'!$AC$2&amp;'Output annual'!$AD$2&amp;"*FangerPMV(Hourly)",'Eplus results'!$1:$1048576,ROW(),FALSE)</f>
        <v>0</v>
      </c>
      <c r="AD5147" s="580">
        <f t="shared" si="436"/>
        <v>5</v>
      </c>
      <c r="AE5147" s="580">
        <f t="shared" si="437"/>
        <v>2.5</v>
      </c>
      <c r="AF5147" s="580">
        <f t="shared" si="438"/>
        <v>2.5</v>
      </c>
      <c r="AG5147" s="580">
        <f t="shared" si="439"/>
        <v>0</v>
      </c>
      <c r="AH5147" s="580">
        <f t="shared" si="440"/>
        <v>0</v>
      </c>
    </row>
    <row r="5148" spans="28:34">
      <c r="AB5148" s="580">
        <f>HLOOKUP("*"&amp;'Output annual'!$AC$2&amp;'Output annual'!$AD$2&amp;"*Zone People Number Of Occupants [](Hourly)",'Eplus results'!$1:$1048576,ROW(),FALSE)</f>
        <v>0</v>
      </c>
      <c r="AC5148" s="580">
        <f>HLOOKUP("*"&amp;'Output annual'!$AC$2&amp;'Output annual'!$AD$2&amp;"*FangerPMV(Hourly)",'Eplus results'!$1:$1048576,ROW(),FALSE)</f>
        <v>0</v>
      </c>
      <c r="AD5148" s="580">
        <f t="shared" si="436"/>
        <v>5</v>
      </c>
      <c r="AE5148" s="580">
        <f t="shared" si="437"/>
        <v>2.5</v>
      </c>
      <c r="AF5148" s="580">
        <f t="shared" si="438"/>
        <v>2.5</v>
      </c>
      <c r="AG5148" s="580">
        <f t="shared" si="439"/>
        <v>0</v>
      </c>
      <c r="AH5148" s="580">
        <f t="shared" si="440"/>
        <v>0</v>
      </c>
    </row>
    <row r="5149" spans="28:34">
      <c r="AB5149" s="580">
        <f>HLOOKUP("*"&amp;'Output annual'!$AC$2&amp;'Output annual'!$AD$2&amp;"*Zone People Number Of Occupants [](Hourly)",'Eplus results'!$1:$1048576,ROW(),FALSE)</f>
        <v>0</v>
      </c>
      <c r="AC5149" s="580">
        <f>HLOOKUP("*"&amp;'Output annual'!$AC$2&amp;'Output annual'!$AD$2&amp;"*FangerPMV(Hourly)",'Eplus results'!$1:$1048576,ROW(),FALSE)</f>
        <v>0</v>
      </c>
      <c r="AD5149" s="580">
        <f t="shared" si="436"/>
        <v>5</v>
      </c>
      <c r="AE5149" s="580">
        <f t="shared" si="437"/>
        <v>2.5</v>
      </c>
      <c r="AF5149" s="580">
        <f t="shared" si="438"/>
        <v>2.5</v>
      </c>
      <c r="AG5149" s="580">
        <f t="shared" si="439"/>
        <v>0</v>
      </c>
      <c r="AH5149" s="580">
        <f t="shared" si="440"/>
        <v>0</v>
      </c>
    </row>
    <row r="5150" spans="28:34">
      <c r="AB5150" s="580">
        <f>HLOOKUP("*"&amp;'Output annual'!$AC$2&amp;'Output annual'!$AD$2&amp;"*Zone People Number Of Occupants [](Hourly)",'Eplus results'!$1:$1048576,ROW(),FALSE)</f>
        <v>0</v>
      </c>
      <c r="AC5150" s="580">
        <f>HLOOKUP("*"&amp;'Output annual'!$AC$2&amp;'Output annual'!$AD$2&amp;"*FangerPMV(Hourly)",'Eplus results'!$1:$1048576,ROW(),FALSE)</f>
        <v>0</v>
      </c>
      <c r="AD5150" s="580">
        <f t="shared" si="436"/>
        <v>5</v>
      </c>
      <c r="AE5150" s="580">
        <f t="shared" si="437"/>
        <v>2.5</v>
      </c>
      <c r="AF5150" s="580">
        <f t="shared" si="438"/>
        <v>2.5</v>
      </c>
      <c r="AG5150" s="580">
        <f t="shared" si="439"/>
        <v>0</v>
      </c>
      <c r="AH5150" s="580">
        <f t="shared" si="440"/>
        <v>0</v>
      </c>
    </row>
    <row r="5151" spans="28:34">
      <c r="AB5151" s="580">
        <f>HLOOKUP("*"&amp;'Output annual'!$AC$2&amp;'Output annual'!$AD$2&amp;"*Zone People Number Of Occupants [](Hourly)",'Eplus results'!$1:$1048576,ROW(),FALSE)</f>
        <v>0</v>
      </c>
      <c r="AC5151" s="580">
        <f>HLOOKUP("*"&amp;'Output annual'!$AC$2&amp;'Output annual'!$AD$2&amp;"*FangerPMV(Hourly)",'Eplus results'!$1:$1048576,ROW(),FALSE)</f>
        <v>0</v>
      </c>
      <c r="AD5151" s="580">
        <f t="shared" si="436"/>
        <v>5</v>
      </c>
      <c r="AE5151" s="580">
        <f t="shared" si="437"/>
        <v>2.5</v>
      </c>
      <c r="AF5151" s="580">
        <f t="shared" si="438"/>
        <v>2.5</v>
      </c>
      <c r="AG5151" s="580">
        <f t="shared" si="439"/>
        <v>0</v>
      </c>
      <c r="AH5151" s="580">
        <f t="shared" si="440"/>
        <v>0</v>
      </c>
    </row>
    <row r="5152" spans="28:34">
      <c r="AB5152" s="580">
        <f>HLOOKUP("*"&amp;'Output annual'!$AC$2&amp;'Output annual'!$AD$2&amp;"*Zone People Number Of Occupants [](Hourly)",'Eplus results'!$1:$1048576,ROW(),FALSE)</f>
        <v>0</v>
      </c>
      <c r="AC5152" s="580">
        <f>HLOOKUP("*"&amp;'Output annual'!$AC$2&amp;'Output annual'!$AD$2&amp;"*FangerPMV(Hourly)",'Eplus results'!$1:$1048576,ROW(),FALSE)</f>
        <v>0</v>
      </c>
      <c r="AD5152" s="580">
        <f t="shared" si="436"/>
        <v>5</v>
      </c>
      <c r="AE5152" s="580">
        <f t="shared" si="437"/>
        <v>2.5</v>
      </c>
      <c r="AF5152" s="580">
        <f t="shared" si="438"/>
        <v>2.5</v>
      </c>
      <c r="AG5152" s="580">
        <f t="shared" si="439"/>
        <v>0</v>
      </c>
      <c r="AH5152" s="580">
        <f t="shared" si="440"/>
        <v>0</v>
      </c>
    </row>
    <row r="5153" spans="28:34">
      <c r="AB5153" s="580">
        <f>HLOOKUP("*"&amp;'Output annual'!$AC$2&amp;'Output annual'!$AD$2&amp;"*Zone People Number Of Occupants [](Hourly)",'Eplus results'!$1:$1048576,ROW(),FALSE)</f>
        <v>0</v>
      </c>
      <c r="AC5153" s="580">
        <f>HLOOKUP("*"&amp;'Output annual'!$AC$2&amp;'Output annual'!$AD$2&amp;"*FangerPMV(Hourly)",'Eplus results'!$1:$1048576,ROW(),FALSE)</f>
        <v>0</v>
      </c>
      <c r="AD5153" s="580">
        <f t="shared" si="436"/>
        <v>5</v>
      </c>
      <c r="AE5153" s="580">
        <f t="shared" si="437"/>
        <v>2.5</v>
      </c>
      <c r="AF5153" s="580">
        <f t="shared" si="438"/>
        <v>2.5</v>
      </c>
      <c r="AG5153" s="580">
        <f t="shared" si="439"/>
        <v>0</v>
      </c>
      <c r="AH5153" s="580">
        <f t="shared" si="440"/>
        <v>0</v>
      </c>
    </row>
    <row r="5154" spans="28:34">
      <c r="AB5154" s="580">
        <f>HLOOKUP("*"&amp;'Output annual'!$AC$2&amp;'Output annual'!$AD$2&amp;"*Zone People Number Of Occupants [](Hourly)",'Eplus results'!$1:$1048576,ROW(),FALSE)</f>
        <v>0</v>
      </c>
      <c r="AC5154" s="580">
        <f>HLOOKUP("*"&amp;'Output annual'!$AC$2&amp;'Output annual'!$AD$2&amp;"*FangerPMV(Hourly)",'Eplus results'!$1:$1048576,ROW(),FALSE)</f>
        <v>0</v>
      </c>
      <c r="AD5154" s="580">
        <f t="shared" si="436"/>
        <v>5</v>
      </c>
      <c r="AE5154" s="580">
        <f t="shared" si="437"/>
        <v>2.5</v>
      </c>
      <c r="AF5154" s="580">
        <f t="shared" si="438"/>
        <v>2.5</v>
      </c>
      <c r="AG5154" s="580">
        <f t="shared" si="439"/>
        <v>0</v>
      </c>
      <c r="AH5154" s="580">
        <f t="shared" si="440"/>
        <v>0</v>
      </c>
    </row>
    <row r="5155" spans="28:34">
      <c r="AB5155" s="580">
        <f>HLOOKUP("*"&amp;'Output annual'!$AC$2&amp;'Output annual'!$AD$2&amp;"*Zone People Number Of Occupants [](Hourly)",'Eplus results'!$1:$1048576,ROW(),FALSE)</f>
        <v>0</v>
      </c>
      <c r="AC5155" s="580">
        <f>HLOOKUP("*"&amp;'Output annual'!$AC$2&amp;'Output annual'!$AD$2&amp;"*FangerPMV(Hourly)",'Eplus results'!$1:$1048576,ROW(),FALSE)</f>
        <v>0</v>
      </c>
      <c r="AD5155" s="580">
        <f t="shared" si="436"/>
        <v>5</v>
      </c>
      <c r="AE5155" s="580">
        <f t="shared" si="437"/>
        <v>2.5</v>
      </c>
      <c r="AF5155" s="580">
        <f t="shared" si="438"/>
        <v>2.5</v>
      </c>
      <c r="AG5155" s="580">
        <f t="shared" si="439"/>
        <v>0</v>
      </c>
      <c r="AH5155" s="580">
        <f t="shared" si="440"/>
        <v>0</v>
      </c>
    </row>
    <row r="5156" spans="28:34">
      <c r="AB5156" s="580">
        <f>HLOOKUP("*"&amp;'Output annual'!$AC$2&amp;'Output annual'!$AD$2&amp;"*Zone People Number Of Occupants [](Hourly)",'Eplus results'!$1:$1048576,ROW(),FALSE)</f>
        <v>0</v>
      </c>
      <c r="AC5156" s="580">
        <f>HLOOKUP("*"&amp;'Output annual'!$AC$2&amp;'Output annual'!$AD$2&amp;"*FangerPMV(Hourly)",'Eplus results'!$1:$1048576,ROW(),FALSE)</f>
        <v>0</v>
      </c>
      <c r="AD5156" s="580">
        <f t="shared" si="436"/>
        <v>5</v>
      </c>
      <c r="AE5156" s="580">
        <f t="shared" si="437"/>
        <v>2.5</v>
      </c>
      <c r="AF5156" s="580">
        <f t="shared" si="438"/>
        <v>2.5</v>
      </c>
      <c r="AG5156" s="580">
        <f t="shared" si="439"/>
        <v>0</v>
      </c>
      <c r="AH5156" s="580">
        <f t="shared" si="440"/>
        <v>0</v>
      </c>
    </row>
    <row r="5157" spans="28:34">
      <c r="AB5157" s="580">
        <f>HLOOKUP("*"&amp;'Output annual'!$AC$2&amp;'Output annual'!$AD$2&amp;"*Zone People Number Of Occupants [](Hourly)",'Eplus results'!$1:$1048576,ROW(),FALSE)</f>
        <v>0</v>
      </c>
      <c r="AC5157" s="580">
        <f>HLOOKUP("*"&amp;'Output annual'!$AC$2&amp;'Output annual'!$AD$2&amp;"*FangerPMV(Hourly)",'Eplus results'!$1:$1048576,ROW(),FALSE)</f>
        <v>0</v>
      </c>
      <c r="AD5157" s="580">
        <f t="shared" si="436"/>
        <v>5</v>
      </c>
      <c r="AE5157" s="580">
        <f t="shared" si="437"/>
        <v>2.5</v>
      </c>
      <c r="AF5157" s="580">
        <f t="shared" si="438"/>
        <v>2.5</v>
      </c>
      <c r="AG5157" s="580">
        <f t="shared" si="439"/>
        <v>0</v>
      </c>
      <c r="AH5157" s="580">
        <f t="shared" si="440"/>
        <v>0</v>
      </c>
    </row>
    <row r="5158" spans="28:34">
      <c r="AB5158" s="580">
        <f>HLOOKUP("*"&amp;'Output annual'!$AC$2&amp;'Output annual'!$AD$2&amp;"*Zone People Number Of Occupants [](Hourly)",'Eplus results'!$1:$1048576,ROW(),FALSE)</f>
        <v>0</v>
      </c>
      <c r="AC5158" s="580">
        <f>HLOOKUP("*"&amp;'Output annual'!$AC$2&amp;'Output annual'!$AD$2&amp;"*FangerPMV(Hourly)",'Eplus results'!$1:$1048576,ROW(),FALSE)</f>
        <v>0</v>
      </c>
      <c r="AD5158" s="580">
        <f t="shared" si="436"/>
        <v>5</v>
      </c>
      <c r="AE5158" s="580">
        <f t="shared" si="437"/>
        <v>2.5</v>
      </c>
      <c r="AF5158" s="580">
        <f t="shared" si="438"/>
        <v>2.5</v>
      </c>
      <c r="AG5158" s="580">
        <f t="shared" si="439"/>
        <v>0</v>
      </c>
      <c r="AH5158" s="580">
        <f t="shared" si="440"/>
        <v>0</v>
      </c>
    </row>
    <row r="5159" spans="28:34">
      <c r="AB5159" s="580">
        <f>HLOOKUP("*"&amp;'Output annual'!$AC$2&amp;'Output annual'!$AD$2&amp;"*Zone People Number Of Occupants [](Hourly)",'Eplus results'!$1:$1048576,ROW(),FALSE)</f>
        <v>0</v>
      </c>
      <c r="AC5159" s="580">
        <f>HLOOKUP("*"&amp;'Output annual'!$AC$2&amp;'Output annual'!$AD$2&amp;"*FangerPMV(Hourly)",'Eplus results'!$1:$1048576,ROW(),FALSE)</f>
        <v>0</v>
      </c>
      <c r="AD5159" s="580">
        <f t="shared" si="436"/>
        <v>5</v>
      </c>
      <c r="AE5159" s="580">
        <f t="shared" si="437"/>
        <v>2.5</v>
      </c>
      <c r="AF5159" s="580">
        <f t="shared" si="438"/>
        <v>2.5</v>
      </c>
      <c r="AG5159" s="580">
        <f t="shared" si="439"/>
        <v>0</v>
      </c>
      <c r="AH5159" s="580">
        <f t="shared" si="440"/>
        <v>0</v>
      </c>
    </row>
    <row r="5160" spans="28:34">
      <c r="AB5160" s="580">
        <f>HLOOKUP("*"&amp;'Output annual'!$AC$2&amp;'Output annual'!$AD$2&amp;"*Zone People Number Of Occupants [](Hourly)",'Eplus results'!$1:$1048576,ROW(),FALSE)</f>
        <v>0</v>
      </c>
      <c r="AC5160" s="580">
        <f>HLOOKUP("*"&amp;'Output annual'!$AC$2&amp;'Output annual'!$AD$2&amp;"*FangerPMV(Hourly)",'Eplus results'!$1:$1048576,ROW(),FALSE)</f>
        <v>0</v>
      </c>
      <c r="AD5160" s="580">
        <f t="shared" si="436"/>
        <v>5</v>
      </c>
      <c r="AE5160" s="580">
        <f t="shared" si="437"/>
        <v>2.5</v>
      </c>
      <c r="AF5160" s="580">
        <f t="shared" si="438"/>
        <v>2.5</v>
      </c>
      <c r="AG5160" s="580">
        <f t="shared" si="439"/>
        <v>0</v>
      </c>
      <c r="AH5160" s="580">
        <f t="shared" si="440"/>
        <v>0</v>
      </c>
    </row>
    <row r="5161" spans="28:34">
      <c r="AB5161" s="580">
        <f>HLOOKUP("*"&amp;'Output annual'!$AC$2&amp;'Output annual'!$AD$2&amp;"*Zone People Number Of Occupants [](Hourly)",'Eplus results'!$1:$1048576,ROW(),FALSE)</f>
        <v>0</v>
      </c>
      <c r="AC5161" s="580">
        <f>HLOOKUP("*"&amp;'Output annual'!$AC$2&amp;'Output annual'!$AD$2&amp;"*FangerPMV(Hourly)",'Eplus results'!$1:$1048576,ROW(),FALSE)</f>
        <v>0</v>
      </c>
      <c r="AD5161" s="580">
        <f t="shared" si="436"/>
        <v>5</v>
      </c>
      <c r="AE5161" s="580">
        <f t="shared" si="437"/>
        <v>2.5</v>
      </c>
      <c r="AF5161" s="580">
        <f t="shared" si="438"/>
        <v>2.5</v>
      </c>
      <c r="AG5161" s="580">
        <f t="shared" si="439"/>
        <v>0</v>
      </c>
      <c r="AH5161" s="580">
        <f t="shared" si="440"/>
        <v>0</v>
      </c>
    </row>
    <row r="5162" spans="28:34">
      <c r="AB5162" s="580">
        <f>HLOOKUP("*"&amp;'Output annual'!$AC$2&amp;'Output annual'!$AD$2&amp;"*Zone People Number Of Occupants [](Hourly)",'Eplus results'!$1:$1048576,ROW(),FALSE)</f>
        <v>0</v>
      </c>
      <c r="AC5162" s="580">
        <f>HLOOKUP("*"&amp;'Output annual'!$AC$2&amp;'Output annual'!$AD$2&amp;"*FangerPMV(Hourly)",'Eplus results'!$1:$1048576,ROW(),FALSE)</f>
        <v>0</v>
      </c>
      <c r="AD5162" s="580">
        <f t="shared" si="436"/>
        <v>5</v>
      </c>
      <c r="AE5162" s="580">
        <f t="shared" si="437"/>
        <v>2.5</v>
      </c>
      <c r="AF5162" s="580">
        <f t="shared" si="438"/>
        <v>2.5</v>
      </c>
      <c r="AG5162" s="580">
        <f t="shared" si="439"/>
        <v>0</v>
      </c>
      <c r="AH5162" s="580">
        <f t="shared" si="440"/>
        <v>0</v>
      </c>
    </row>
    <row r="5163" spans="28:34">
      <c r="AB5163" s="580">
        <f>HLOOKUP("*"&amp;'Output annual'!$AC$2&amp;'Output annual'!$AD$2&amp;"*Zone People Number Of Occupants [](Hourly)",'Eplus results'!$1:$1048576,ROW(),FALSE)</f>
        <v>0</v>
      </c>
      <c r="AC5163" s="580">
        <f>HLOOKUP("*"&amp;'Output annual'!$AC$2&amp;'Output annual'!$AD$2&amp;"*FangerPMV(Hourly)",'Eplus results'!$1:$1048576,ROW(),FALSE)</f>
        <v>0</v>
      </c>
      <c r="AD5163" s="580">
        <f t="shared" si="436"/>
        <v>5</v>
      </c>
      <c r="AE5163" s="580">
        <f t="shared" si="437"/>
        <v>2.5</v>
      </c>
      <c r="AF5163" s="580">
        <f t="shared" si="438"/>
        <v>2.5</v>
      </c>
      <c r="AG5163" s="580">
        <f t="shared" si="439"/>
        <v>0</v>
      </c>
      <c r="AH5163" s="580">
        <f t="shared" si="440"/>
        <v>0</v>
      </c>
    </row>
    <row r="5164" spans="28:34">
      <c r="AB5164" s="580">
        <f>HLOOKUP("*"&amp;'Output annual'!$AC$2&amp;'Output annual'!$AD$2&amp;"*Zone People Number Of Occupants [](Hourly)",'Eplus results'!$1:$1048576,ROW(),FALSE)</f>
        <v>0</v>
      </c>
      <c r="AC5164" s="580">
        <f>HLOOKUP("*"&amp;'Output annual'!$AC$2&amp;'Output annual'!$AD$2&amp;"*FangerPMV(Hourly)",'Eplus results'!$1:$1048576,ROW(),FALSE)</f>
        <v>0</v>
      </c>
      <c r="AD5164" s="580">
        <f t="shared" si="436"/>
        <v>5</v>
      </c>
      <c r="AE5164" s="580">
        <f t="shared" si="437"/>
        <v>2.5</v>
      </c>
      <c r="AF5164" s="580">
        <f t="shared" si="438"/>
        <v>2.5</v>
      </c>
      <c r="AG5164" s="580">
        <f t="shared" si="439"/>
        <v>0</v>
      </c>
      <c r="AH5164" s="580">
        <f t="shared" si="440"/>
        <v>0</v>
      </c>
    </row>
    <row r="5165" spans="28:34">
      <c r="AB5165" s="580">
        <f>HLOOKUP("*"&amp;'Output annual'!$AC$2&amp;'Output annual'!$AD$2&amp;"*Zone People Number Of Occupants [](Hourly)",'Eplus results'!$1:$1048576,ROW(),FALSE)</f>
        <v>0</v>
      </c>
      <c r="AC5165" s="580">
        <f>HLOOKUP("*"&amp;'Output annual'!$AC$2&amp;'Output annual'!$AD$2&amp;"*FangerPMV(Hourly)",'Eplus results'!$1:$1048576,ROW(),FALSE)</f>
        <v>0</v>
      </c>
      <c r="AD5165" s="580">
        <f t="shared" si="436"/>
        <v>5</v>
      </c>
      <c r="AE5165" s="580">
        <f t="shared" si="437"/>
        <v>2.5</v>
      </c>
      <c r="AF5165" s="580">
        <f t="shared" si="438"/>
        <v>2.5</v>
      </c>
      <c r="AG5165" s="580">
        <f t="shared" si="439"/>
        <v>0</v>
      </c>
      <c r="AH5165" s="580">
        <f t="shared" si="440"/>
        <v>0</v>
      </c>
    </row>
    <row r="5166" spans="28:34">
      <c r="AB5166" s="580">
        <f>HLOOKUP("*"&amp;'Output annual'!$AC$2&amp;'Output annual'!$AD$2&amp;"*Zone People Number Of Occupants [](Hourly)",'Eplus results'!$1:$1048576,ROW(),FALSE)</f>
        <v>0</v>
      </c>
      <c r="AC5166" s="580">
        <f>HLOOKUP("*"&amp;'Output annual'!$AC$2&amp;'Output annual'!$AD$2&amp;"*FangerPMV(Hourly)",'Eplus results'!$1:$1048576,ROW(),FALSE)</f>
        <v>0</v>
      </c>
      <c r="AD5166" s="580">
        <f t="shared" si="436"/>
        <v>5</v>
      </c>
      <c r="AE5166" s="580">
        <f t="shared" si="437"/>
        <v>2.5</v>
      </c>
      <c r="AF5166" s="580">
        <f t="shared" si="438"/>
        <v>2.5</v>
      </c>
      <c r="AG5166" s="580">
        <f t="shared" si="439"/>
        <v>0</v>
      </c>
      <c r="AH5166" s="580">
        <f t="shared" si="440"/>
        <v>0</v>
      </c>
    </row>
    <row r="5167" spans="28:34">
      <c r="AB5167" s="580">
        <f>HLOOKUP("*"&amp;'Output annual'!$AC$2&amp;'Output annual'!$AD$2&amp;"*Zone People Number Of Occupants [](Hourly)",'Eplus results'!$1:$1048576,ROW(),FALSE)</f>
        <v>0</v>
      </c>
      <c r="AC5167" s="580">
        <f>HLOOKUP("*"&amp;'Output annual'!$AC$2&amp;'Output annual'!$AD$2&amp;"*FangerPMV(Hourly)",'Eplus results'!$1:$1048576,ROW(),FALSE)</f>
        <v>0</v>
      </c>
      <c r="AD5167" s="580">
        <f t="shared" si="436"/>
        <v>5</v>
      </c>
      <c r="AE5167" s="580">
        <f t="shared" si="437"/>
        <v>2.5</v>
      </c>
      <c r="AF5167" s="580">
        <f t="shared" si="438"/>
        <v>2.5</v>
      </c>
      <c r="AG5167" s="580">
        <f t="shared" si="439"/>
        <v>0</v>
      </c>
      <c r="AH5167" s="580">
        <f t="shared" si="440"/>
        <v>0</v>
      </c>
    </row>
    <row r="5168" spans="28:34">
      <c r="AB5168" s="580">
        <f>HLOOKUP("*"&amp;'Output annual'!$AC$2&amp;'Output annual'!$AD$2&amp;"*Zone People Number Of Occupants [](Hourly)",'Eplus results'!$1:$1048576,ROW(),FALSE)</f>
        <v>0</v>
      </c>
      <c r="AC5168" s="580">
        <f>HLOOKUP("*"&amp;'Output annual'!$AC$2&amp;'Output annual'!$AD$2&amp;"*FangerPMV(Hourly)",'Eplus results'!$1:$1048576,ROW(),FALSE)</f>
        <v>0</v>
      </c>
      <c r="AD5168" s="580">
        <f t="shared" si="436"/>
        <v>5</v>
      </c>
      <c r="AE5168" s="580">
        <f t="shared" si="437"/>
        <v>2.5</v>
      </c>
      <c r="AF5168" s="580">
        <f t="shared" si="438"/>
        <v>2.5</v>
      </c>
      <c r="AG5168" s="580">
        <f t="shared" si="439"/>
        <v>0</v>
      </c>
      <c r="AH5168" s="580">
        <f t="shared" si="440"/>
        <v>0</v>
      </c>
    </row>
    <row r="5169" spans="28:34">
      <c r="AB5169" s="580">
        <f>HLOOKUP("*"&amp;'Output annual'!$AC$2&amp;'Output annual'!$AD$2&amp;"*Zone People Number Of Occupants [](Hourly)",'Eplus results'!$1:$1048576,ROW(),FALSE)</f>
        <v>0</v>
      </c>
      <c r="AC5169" s="580">
        <f>HLOOKUP("*"&amp;'Output annual'!$AC$2&amp;'Output annual'!$AD$2&amp;"*FangerPMV(Hourly)",'Eplus results'!$1:$1048576,ROW(),FALSE)</f>
        <v>0</v>
      </c>
      <c r="AD5169" s="580">
        <f t="shared" si="436"/>
        <v>5</v>
      </c>
      <c r="AE5169" s="580">
        <f t="shared" si="437"/>
        <v>2.5</v>
      </c>
      <c r="AF5169" s="580">
        <f t="shared" si="438"/>
        <v>2.5</v>
      </c>
      <c r="AG5169" s="580">
        <f t="shared" si="439"/>
        <v>0</v>
      </c>
      <c r="AH5169" s="580">
        <f t="shared" si="440"/>
        <v>0</v>
      </c>
    </row>
    <row r="5170" spans="28:34">
      <c r="AB5170" s="580">
        <f>HLOOKUP("*"&amp;'Output annual'!$AC$2&amp;'Output annual'!$AD$2&amp;"*Zone People Number Of Occupants [](Hourly)",'Eplus results'!$1:$1048576,ROW(),FALSE)</f>
        <v>0</v>
      </c>
      <c r="AC5170" s="580">
        <f>HLOOKUP("*"&amp;'Output annual'!$AC$2&amp;'Output annual'!$AD$2&amp;"*FangerPMV(Hourly)",'Eplus results'!$1:$1048576,ROW(),FALSE)</f>
        <v>0</v>
      </c>
      <c r="AD5170" s="580">
        <f t="shared" si="436"/>
        <v>5</v>
      </c>
      <c r="AE5170" s="580">
        <f t="shared" si="437"/>
        <v>2.5</v>
      </c>
      <c r="AF5170" s="580">
        <f t="shared" si="438"/>
        <v>2.5</v>
      </c>
      <c r="AG5170" s="580">
        <f t="shared" si="439"/>
        <v>0</v>
      </c>
      <c r="AH5170" s="580">
        <f t="shared" si="440"/>
        <v>0</v>
      </c>
    </row>
    <row r="5171" spans="28:34">
      <c r="AB5171" s="580">
        <f>HLOOKUP("*"&amp;'Output annual'!$AC$2&amp;'Output annual'!$AD$2&amp;"*Zone People Number Of Occupants [](Hourly)",'Eplus results'!$1:$1048576,ROW(),FALSE)</f>
        <v>0</v>
      </c>
      <c r="AC5171" s="580">
        <f>HLOOKUP("*"&amp;'Output annual'!$AC$2&amp;'Output annual'!$AD$2&amp;"*FangerPMV(Hourly)",'Eplus results'!$1:$1048576,ROW(),FALSE)</f>
        <v>0</v>
      </c>
      <c r="AD5171" s="580">
        <f t="shared" si="436"/>
        <v>5</v>
      </c>
      <c r="AE5171" s="580">
        <f t="shared" si="437"/>
        <v>2.5</v>
      </c>
      <c r="AF5171" s="580">
        <f t="shared" si="438"/>
        <v>2.5</v>
      </c>
      <c r="AG5171" s="580">
        <f t="shared" si="439"/>
        <v>0</v>
      </c>
      <c r="AH5171" s="580">
        <f t="shared" si="440"/>
        <v>0</v>
      </c>
    </row>
    <row r="5172" spans="28:34">
      <c r="AB5172" s="580">
        <f>HLOOKUP("*"&amp;'Output annual'!$AC$2&amp;'Output annual'!$AD$2&amp;"*Zone People Number Of Occupants [](Hourly)",'Eplus results'!$1:$1048576,ROW(),FALSE)</f>
        <v>0</v>
      </c>
      <c r="AC5172" s="580">
        <f>HLOOKUP("*"&amp;'Output annual'!$AC$2&amp;'Output annual'!$AD$2&amp;"*FangerPMV(Hourly)",'Eplus results'!$1:$1048576,ROW(),FALSE)</f>
        <v>0</v>
      </c>
      <c r="AD5172" s="580">
        <f t="shared" si="436"/>
        <v>5</v>
      </c>
      <c r="AE5172" s="580">
        <f t="shared" si="437"/>
        <v>2.5</v>
      </c>
      <c r="AF5172" s="580">
        <f t="shared" si="438"/>
        <v>2.5</v>
      </c>
      <c r="AG5172" s="580">
        <f t="shared" si="439"/>
        <v>0</v>
      </c>
      <c r="AH5172" s="580">
        <f t="shared" si="440"/>
        <v>0</v>
      </c>
    </row>
    <row r="5173" spans="28:34">
      <c r="AB5173" s="580">
        <f>HLOOKUP("*"&amp;'Output annual'!$AC$2&amp;'Output annual'!$AD$2&amp;"*Zone People Number Of Occupants [](Hourly)",'Eplus results'!$1:$1048576,ROW(),FALSE)</f>
        <v>0</v>
      </c>
      <c r="AC5173" s="580">
        <f>HLOOKUP("*"&amp;'Output annual'!$AC$2&amp;'Output annual'!$AD$2&amp;"*FangerPMV(Hourly)",'Eplus results'!$1:$1048576,ROW(),FALSE)</f>
        <v>0</v>
      </c>
      <c r="AD5173" s="580">
        <f t="shared" si="436"/>
        <v>5</v>
      </c>
      <c r="AE5173" s="580">
        <f t="shared" si="437"/>
        <v>2.5</v>
      </c>
      <c r="AF5173" s="580">
        <f t="shared" si="438"/>
        <v>2.5</v>
      </c>
      <c r="AG5173" s="580">
        <f t="shared" si="439"/>
        <v>0</v>
      </c>
      <c r="AH5173" s="580">
        <f t="shared" si="440"/>
        <v>0</v>
      </c>
    </row>
    <row r="5174" spans="28:34">
      <c r="AB5174" s="580">
        <f>HLOOKUP("*"&amp;'Output annual'!$AC$2&amp;'Output annual'!$AD$2&amp;"*Zone People Number Of Occupants [](Hourly)",'Eplus results'!$1:$1048576,ROW(),FALSE)</f>
        <v>0</v>
      </c>
      <c r="AC5174" s="580">
        <f>HLOOKUP("*"&amp;'Output annual'!$AC$2&amp;'Output annual'!$AD$2&amp;"*FangerPMV(Hourly)",'Eplus results'!$1:$1048576,ROW(),FALSE)</f>
        <v>0</v>
      </c>
      <c r="AD5174" s="580">
        <f t="shared" si="436"/>
        <v>5</v>
      </c>
      <c r="AE5174" s="580">
        <f t="shared" si="437"/>
        <v>2.5</v>
      </c>
      <c r="AF5174" s="580">
        <f t="shared" si="438"/>
        <v>2.5</v>
      </c>
      <c r="AG5174" s="580">
        <f t="shared" si="439"/>
        <v>0</v>
      </c>
      <c r="AH5174" s="580">
        <f t="shared" si="440"/>
        <v>0</v>
      </c>
    </row>
    <row r="5175" spans="28:34">
      <c r="AB5175" s="580">
        <f>HLOOKUP("*"&amp;'Output annual'!$AC$2&amp;'Output annual'!$AD$2&amp;"*Zone People Number Of Occupants [](Hourly)",'Eplus results'!$1:$1048576,ROW(),FALSE)</f>
        <v>0</v>
      </c>
      <c r="AC5175" s="580">
        <f>HLOOKUP("*"&amp;'Output annual'!$AC$2&amp;'Output annual'!$AD$2&amp;"*FangerPMV(Hourly)",'Eplus results'!$1:$1048576,ROW(),FALSE)</f>
        <v>0</v>
      </c>
      <c r="AD5175" s="580">
        <f t="shared" si="436"/>
        <v>5</v>
      </c>
      <c r="AE5175" s="580">
        <f t="shared" si="437"/>
        <v>2.5</v>
      </c>
      <c r="AF5175" s="580">
        <f t="shared" si="438"/>
        <v>2.5</v>
      </c>
      <c r="AG5175" s="580">
        <f t="shared" si="439"/>
        <v>0</v>
      </c>
      <c r="AH5175" s="580">
        <f t="shared" si="440"/>
        <v>0</v>
      </c>
    </row>
    <row r="5176" spans="28:34">
      <c r="AB5176" s="580">
        <f>HLOOKUP("*"&amp;'Output annual'!$AC$2&amp;'Output annual'!$AD$2&amp;"*Zone People Number Of Occupants [](Hourly)",'Eplus results'!$1:$1048576,ROW(),FALSE)</f>
        <v>0</v>
      </c>
      <c r="AC5176" s="580">
        <f>HLOOKUP("*"&amp;'Output annual'!$AC$2&amp;'Output annual'!$AD$2&amp;"*FangerPMV(Hourly)",'Eplus results'!$1:$1048576,ROW(),FALSE)</f>
        <v>0</v>
      </c>
      <c r="AD5176" s="580">
        <f t="shared" si="436"/>
        <v>5</v>
      </c>
      <c r="AE5176" s="580">
        <f t="shared" si="437"/>
        <v>2.5</v>
      </c>
      <c r="AF5176" s="580">
        <f t="shared" si="438"/>
        <v>2.5</v>
      </c>
      <c r="AG5176" s="580">
        <f t="shared" si="439"/>
        <v>0</v>
      </c>
      <c r="AH5176" s="580">
        <f t="shared" si="440"/>
        <v>0</v>
      </c>
    </row>
    <row r="5177" spans="28:34">
      <c r="AB5177" s="580">
        <f>HLOOKUP("*"&amp;'Output annual'!$AC$2&amp;'Output annual'!$AD$2&amp;"*Zone People Number Of Occupants [](Hourly)",'Eplus results'!$1:$1048576,ROW(),FALSE)</f>
        <v>0</v>
      </c>
      <c r="AC5177" s="580">
        <f>HLOOKUP("*"&amp;'Output annual'!$AC$2&amp;'Output annual'!$AD$2&amp;"*FangerPMV(Hourly)",'Eplus results'!$1:$1048576,ROW(),FALSE)</f>
        <v>0</v>
      </c>
      <c r="AD5177" s="580">
        <f t="shared" si="436"/>
        <v>5</v>
      </c>
      <c r="AE5177" s="580">
        <f t="shared" si="437"/>
        <v>2.5</v>
      </c>
      <c r="AF5177" s="580">
        <f t="shared" si="438"/>
        <v>2.5</v>
      </c>
      <c r="AG5177" s="580">
        <f t="shared" si="439"/>
        <v>0</v>
      </c>
      <c r="AH5177" s="580">
        <f t="shared" si="440"/>
        <v>0</v>
      </c>
    </row>
    <row r="5178" spans="28:34">
      <c r="AB5178" s="580">
        <f>HLOOKUP("*"&amp;'Output annual'!$AC$2&amp;'Output annual'!$AD$2&amp;"*Zone People Number Of Occupants [](Hourly)",'Eplus results'!$1:$1048576,ROW(),FALSE)</f>
        <v>0</v>
      </c>
      <c r="AC5178" s="580">
        <f>HLOOKUP("*"&amp;'Output annual'!$AC$2&amp;'Output annual'!$AD$2&amp;"*FangerPMV(Hourly)",'Eplus results'!$1:$1048576,ROW(),FALSE)</f>
        <v>0</v>
      </c>
      <c r="AD5178" s="580">
        <f t="shared" si="436"/>
        <v>5</v>
      </c>
      <c r="AE5178" s="580">
        <f t="shared" si="437"/>
        <v>2.5</v>
      </c>
      <c r="AF5178" s="580">
        <f t="shared" si="438"/>
        <v>2.5</v>
      </c>
      <c r="AG5178" s="580">
        <f t="shared" si="439"/>
        <v>0</v>
      </c>
      <c r="AH5178" s="580">
        <f t="shared" si="440"/>
        <v>0</v>
      </c>
    </row>
    <row r="5179" spans="28:34">
      <c r="AB5179" s="580">
        <f>HLOOKUP("*"&amp;'Output annual'!$AC$2&amp;'Output annual'!$AD$2&amp;"*Zone People Number Of Occupants [](Hourly)",'Eplus results'!$1:$1048576,ROW(),FALSE)</f>
        <v>0</v>
      </c>
      <c r="AC5179" s="580">
        <f>HLOOKUP("*"&amp;'Output annual'!$AC$2&amp;'Output annual'!$AD$2&amp;"*FangerPMV(Hourly)",'Eplus results'!$1:$1048576,ROW(),FALSE)</f>
        <v>0</v>
      </c>
      <c r="AD5179" s="580">
        <f t="shared" si="436"/>
        <v>5</v>
      </c>
      <c r="AE5179" s="580">
        <f t="shared" si="437"/>
        <v>2.5</v>
      </c>
      <c r="AF5179" s="580">
        <f t="shared" si="438"/>
        <v>2.5</v>
      </c>
      <c r="AG5179" s="580">
        <f t="shared" si="439"/>
        <v>0</v>
      </c>
      <c r="AH5179" s="580">
        <f t="shared" si="440"/>
        <v>0</v>
      </c>
    </row>
    <row r="5180" spans="28:34">
      <c r="AB5180" s="580">
        <f>HLOOKUP("*"&amp;'Output annual'!$AC$2&amp;'Output annual'!$AD$2&amp;"*Zone People Number Of Occupants [](Hourly)",'Eplus results'!$1:$1048576,ROW(),FALSE)</f>
        <v>0</v>
      </c>
      <c r="AC5180" s="580">
        <f>HLOOKUP("*"&amp;'Output annual'!$AC$2&amp;'Output annual'!$AD$2&amp;"*FangerPMV(Hourly)",'Eplus results'!$1:$1048576,ROW(),FALSE)</f>
        <v>0</v>
      </c>
      <c r="AD5180" s="580">
        <f t="shared" si="436"/>
        <v>5</v>
      </c>
      <c r="AE5180" s="580">
        <f t="shared" si="437"/>
        <v>2.5</v>
      </c>
      <c r="AF5180" s="580">
        <f t="shared" si="438"/>
        <v>2.5</v>
      </c>
      <c r="AG5180" s="580">
        <f t="shared" si="439"/>
        <v>0</v>
      </c>
      <c r="AH5180" s="580">
        <f t="shared" si="440"/>
        <v>0</v>
      </c>
    </row>
    <row r="5181" spans="28:34">
      <c r="AB5181" s="580">
        <f>HLOOKUP("*"&amp;'Output annual'!$AC$2&amp;'Output annual'!$AD$2&amp;"*Zone People Number Of Occupants [](Hourly)",'Eplus results'!$1:$1048576,ROW(),FALSE)</f>
        <v>0</v>
      </c>
      <c r="AC5181" s="580">
        <f>HLOOKUP("*"&amp;'Output annual'!$AC$2&amp;'Output annual'!$AD$2&amp;"*FangerPMV(Hourly)",'Eplus results'!$1:$1048576,ROW(),FALSE)</f>
        <v>0</v>
      </c>
      <c r="AD5181" s="580">
        <f t="shared" si="436"/>
        <v>5</v>
      </c>
      <c r="AE5181" s="580">
        <f t="shared" si="437"/>
        <v>2.5</v>
      </c>
      <c r="AF5181" s="580">
        <f t="shared" si="438"/>
        <v>2.5</v>
      </c>
      <c r="AG5181" s="580">
        <f t="shared" si="439"/>
        <v>0</v>
      </c>
      <c r="AH5181" s="580">
        <f t="shared" si="440"/>
        <v>0</v>
      </c>
    </row>
    <row r="5182" spans="28:34">
      <c r="AB5182" s="580">
        <f>HLOOKUP("*"&amp;'Output annual'!$AC$2&amp;'Output annual'!$AD$2&amp;"*Zone People Number Of Occupants [](Hourly)",'Eplus results'!$1:$1048576,ROW(),FALSE)</f>
        <v>0</v>
      </c>
      <c r="AC5182" s="580">
        <f>HLOOKUP("*"&amp;'Output annual'!$AC$2&amp;'Output annual'!$AD$2&amp;"*FangerPMV(Hourly)",'Eplus results'!$1:$1048576,ROW(),FALSE)</f>
        <v>0</v>
      </c>
      <c r="AD5182" s="580">
        <f t="shared" si="436"/>
        <v>5</v>
      </c>
      <c r="AE5182" s="580">
        <f t="shared" si="437"/>
        <v>2.5</v>
      </c>
      <c r="AF5182" s="580">
        <f t="shared" si="438"/>
        <v>2.5</v>
      </c>
      <c r="AG5182" s="580">
        <f t="shared" si="439"/>
        <v>0</v>
      </c>
      <c r="AH5182" s="580">
        <f t="shared" si="440"/>
        <v>0</v>
      </c>
    </row>
    <row r="5183" spans="28:34">
      <c r="AB5183" s="580">
        <f>HLOOKUP("*"&amp;'Output annual'!$AC$2&amp;'Output annual'!$AD$2&amp;"*Zone People Number Of Occupants [](Hourly)",'Eplus results'!$1:$1048576,ROW(),FALSE)</f>
        <v>0</v>
      </c>
      <c r="AC5183" s="580">
        <f>HLOOKUP("*"&amp;'Output annual'!$AC$2&amp;'Output annual'!$AD$2&amp;"*FangerPMV(Hourly)",'Eplus results'!$1:$1048576,ROW(),FALSE)</f>
        <v>0</v>
      </c>
      <c r="AD5183" s="580">
        <f t="shared" si="436"/>
        <v>5</v>
      </c>
      <c r="AE5183" s="580">
        <f t="shared" si="437"/>
        <v>2.5</v>
      </c>
      <c r="AF5183" s="580">
        <f t="shared" si="438"/>
        <v>2.5</v>
      </c>
      <c r="AG5183" s="580">
        <f t="shared" si="439"/>
        <v>0</v>
      </c>
      <c r="AH5183" s="580">
        <f t="shared" si="440"/>
        <v>0</v>
      </c>
    </row>
    <row r="5184" spans="28:34">
      <c r="AB5184" s="580">
        <f>HLOOKUP("*"&amp;'Output annual'!$AC$2&amp;'Output annual'!$AD$2&amp;"*Zone People Number Of Occupants [](Hourly)",'Eplus results'!$1:$1048576,ROW(),FALSE)</f>
        <v>0</v>
      </c>
      <c r="AC5184" s="580">
        <f>HLOOKUP("*"&amp;'Output annual'!$AC$2&amp;'Output annual'!$AD$2&amp;"*FangerPMV(Hourly)",'Eplus results'!$1:$1048576,ROW(),FALSE)</f>
        <v>0</v>
      </c>
      <c r="AD5184" s="580">
        <f t="shared" si="436"/>
        <v>5</v>
      </c>
      <c r="AE5184" s="580">
        <f t="shared" si="437"/>
        <v>2.5</v>
      </c>
      <c r="AF5184" s="580">
        <f t="shared" si="438"/>
        <v>2.5</v>
      </c>
      <c r="AG5184" s="580">
        <f t="shared" si="439"/>
        <v>0</v>
      </c>
      <c r="AH5184" s="580">
        <f t="shared" si="440"/>
        <v>0</v>
      </c>
    </row>
    <row r="5185" spans="28:34">
      <c r="AB5185" s="580">
        <f>HLOOKUP("*"&amp;'Output annual'!$AC$2&amp;'Output annual'!$AD$2&amp;"*Zone People Number Of Occupants [](Hourly)",'Eplus results'!$1:$1048576,ROW(),FALSE)</f>
        <v>0</v>
      </c>
      <c r="AC5185" s="580">
        <f>HLOOKUP("*"&amp;'Output annual'!$AC$2&amp;'Output annual'!$AD$2&amp;"*FangerPMV(Hourly)",'Eplus results'!$1:$1048576,ROW(),FALSE)</f>
        <v>0</v>
      </c>
      <c r="AD5185" s="580">
        <f t="shared" si="436"/>
        <v>5</v>
      </c>
      <c r="AE5185" s="580">
        <f t="shared" si="437"/>
        <v>2.5</v>
      </c>
      <c r="AF5185" s="580">
        <f t="shared" si="438"/>
        <v>2.5</v>
      </c>
      <c r="AG5185" s="580">
        <f t="shared" si="439"/>
        <v>0</v>
      </c>
      <c r="AH5185" s="580">
        <f t="shared" si="440"/>
        <v>0</v>
      </c>
    </row>
    <row r="5186" spans="28:34">
      <c r="AB5186" s="580">
        <f>HLOOKUP("*"&amp;'Output annual'!$AC$2&amp;'Output annual'!$AD$2&amp;"*Zone People Number Of Occupants [](Hourly)",'Eplus results'!$1:$1048576,ROW(),FALSE)</f>
        <v>0</v>
      </c>
      <c r="AC5186" s="580">
        <f>HLOOKUP("*"&amp;'Output annual'!$AC$2&amp;'Output annual'!$AD$2&amp;"*FangerPMV(Hourly)",'Eplus results'!$1:$1048576,ROW(),FALSE)</f>
        <v>0</v>
      </c>
      <c r="AD5186" s="580">
        <f t="shared" si="436"/>
        <v>5</v>
      </c>
      <c r="AE5186" s="580">
        <f t="shared" si="437"/>
        <v>2.5</v>
      </c>
      <c r="AF5186" s="580">
        <f t="shared" si="438"/>
        <v>2.5</v>
      </c>
      <c r="AG5186" s="580">
        <f t="shared" si="439"/>
        <v>0</v>
      </c>
      <c r="AH5186" s="580">
        <f t="shared" si="440"/>
        <v>0</v>
      </c>
    </row>
    <row r="5187" spans="28:34">
      <c r="AB5187" s="580">
        <f>HLOOKUP("*"&amp;'Output annual'!$AC$2&amp;'Output annual'!$AD$2&amp;"*Zone People Number Of Occupants [](Hourly)",'Eplus results'!$1:$1048576,ROW(),FALSE)</f>
        <v>0</v>
      </c>
      <c r="AC5187" s="580">
        <f>HLOOKUP("*"&amp;'Output annual'!$AC$2&amp;'Output annual'!$AD$2&amp;"*FangerPMV(Hourly)",'Eplus results'!$1:$1048576,ROW(),FALSE)</f>
        <v>0</v>
      </c>
      <c r="AD5187" s="580">
        <f t="shared" ref="AD5187:AD5250" si="441">100-95*EXP(-0.03353*AC5187^4-0.2179*AC5187^2)</f>
        <v>5</v>
      </c>
      <c r="AE5187" s="580">
        <f t="shared" ref="AE5187:AE5250" si="442">AD5187*(1/(1+EXP(-6.3*$AC5187)))</f>
        <v>2.5</v>
      </c>
      <c r="AF5187" s="580">
        <f t="shared" ref="AF5187:AF5250" si="443">(AD5187-AE5187)</f>
        <v>2.5</v>
      </c>
      <c r="AG5187" s="580">
        <f t="shared" ref="AG5187:AG5250" si="444">AE5187*AB5187</f>
        <v>0</v>
      </c>
      <c r="AH5187" s="580">
        <f t="shared" ref="AH5187:AH5250" si="445">AF5187*AB5187</f>
        <v>0</v>
      </c>
    </row>
    <row r="5188" spans="28:34">
      <c r="AB5188" s="580">
        <f>HLOOKUP("*"&amp;'Output annual'!$AC$2&amp;'Output annual'!$AD$2&amp;"*Zone People Number Of Occupants [](Hourly)",'Eplus results'!$1:$1048576,ROW(),FALSE)</f>
        <v>0</v>
      </c>
      <c r="AC5188" s="580">
        <f>HLOOKUP("*"&amp;'Output annual'!$AC$2&amp;'Output annual'!$AD$2&amp;"*FangerPMV(Hourly)",'Eplus results'!$1:$1048576,ROW(),FALSE)</f>
        <v>0</v>
      </c>
      <c r="AD5188" s="580">
        <f t="shared" si="441"/>
        <v>5</v>
      </c>
      <c r="AE5188" s="580">
        <f t="shared" si="442"/>
        <v>2.5</v>
      </c>
      <c r="AF5188" s="580">
        <f t="shared" si="443"/>
        <v>2.5</v>
      </c>
      <c r="AG5188" s="580">
        <f t="shared" si="444"/>
        <v>0</v>
      </c>
      <c r="AH5188" s="580">
        <f t="shared" si="445"/>
        <v>0</v>
      </c>
    </row>
    <row r="5189" spans="28:34">
      <c r="AB5189" s="580">
        <f>HLOOKUP("*"&amp;'Output annual'!$AC$2&amp;'Output annual'!$AD$2&amp;"*Zone People Number Of Occupants [](Hourly)",'Eplus results'!$1:$1048576,ROW(),FALSE)</f>
        <v>0</v>
      </c>
      <c r="AC5189" s="580">
        <f>HLOOKUP("*"&amp;'Output annual'!$AC$2&amp;'Output annual'!$AD$2&amp;"*FangerPMV(Hourly)",'Eplus results'!$1:$1048576,ROW(),FALSE)</f>
        <v>0</v>
      </c>
      <c r="AD5189" s="580">
        <f t="shared" si="441"/>
        <v>5</v>
      </c>
      <c r="AE5189" s="580">
        <f t="shared" si="442"/>
        <v>2.5</v>
      </c>
      <c r="AF5189" s="580">
        <f t="shared" si="443"/>
        <v>2.5</v>
      </c>
      <c r="AG5189" s="580">
        <f t="shared" si="444"/>
        <v>0</v>
      </c>
      <c r="AH5189" s="580">
        <f t="shared" si="445"/>
        <v>0</v>
      </c>
    </row>
    <row r="5190" spans="28:34">
      <c r="AB5190" s="580">
        <f>HLOOKUP("*"&amp;'Output annual'!$AC$2&amp;'Output annual'!$AD$2&amp;"*Zone People Number Of Occupants [](Hourly)",'Eplus results'!$1:$1048576,ROW(),FALSE)</f>
        <v>0</v>
      </c>
      <c r="AC5190" s="580">
        <f>HLOOKUP("*"&amp;'Output annual'!$AC$2&amp;'Output annual'!$AD$2&amp;"*FangerPMV(Hourly)",'Eplus results'!$1:$1048576,ROW(),FALSE)</f>
        <v>0</v>
      </c>
      <c r="AD5190" s="580">
        <f t="shared" si="441"/>
        <v>5</v>
      </c>
      <c r="AE5190" s="580">
        <f t="shared" si="442"/>
        <v>2.5</v>
      </c>
      <c r="AF5190" s="580">
        <f t="shared" si="443"/>
        <v>2.5</v>
      </c>
      <c r="AG5190" s="580">
        <f t="shared" si="444"/>
        <v>0</v>
      </c>
      <c r="AH5190" s="580">
        <f t="shared" si="445"/>
        <v>0</v>
      </c>
    </row>
    <row r="5191" spans="28:34">
      <c r="AB5191" s="580">
        <f>HLOOKUP("*"&amp;'Output annual'!$AC$2&amp;'Output annual'!$AD$2&amp;"*Zone People Number Of Occupants [](Hourly)",'Eplus results'!$1:$1048576,ROW(),FALSE)</f>
        <v>0</v>
      </c>
      <c r="AC5191" s="580">
        <f>HLOOKUP("*"&amp;'Output annual'!$AC$2&amp;'Output annual'!$AD$2&amp;"*FangerPMV(Hourly)",'Eplus results'!$1:$1048576,ROW(),FALSE)</f>
        <v>0</v>
      </c>
      <c r="AD5191" s="580">
        <f t="shared" si="441"/>
        <v>5</v>
      </c>
      <c r="AE5191" s="580">
        <f t="shared" si="442"/>
        <v>2.5</v>
      </c>
      <c r="AF5191" s="580">
        <f t="shared" si="443"/>
        <v>2.5</v>
      </c>
      <c r="AG5191" s="580">
        <f t="shared" si="444"/>
        <v>0</v>
      </c>
      <c r="AH5191" s="580">
        <f t="shared" si="445"/>
        <v>0</v>
      </c>
    </row>
    <row r="5192" spans="28:34">
      <c r="AB5192" s="580">
        <f>HLOOKUP("*"&amp;'Output annual'!$AC$2&amp;'Output annual'!$AD$2&amp;"*Zone People Number Of Occupants [](Hourly)",'Eplus results'!$1:$1048576,ROW(),FALSE)</f>
        <v>0</v>
      </c>
      <c r="AC5192" s="580">
        <f>HLOOKUP("*"&amp;'Output annual'!$AC$2&amp;'Output annual'!$AD$2&amp;"*FangerPMV(Hourly)",'Eplus results'!$1:$1048576,ROW(),FALSE)</f>
        <v>0</v>
      </c>
      <c r="AD5192" s="580">
        <f t="shared" si="441"/>
        <v>5</v>
      </c>
      <c r="AE5192" s="580">
        <f t="shared" si="442"/>
        <v>2.5</v>
      </c>
      <c r="AF5192" s="580">
        <f t="shared" si="443"/>
        <v>2.5</v>
      </c>
      <c r="AG5192" s="580">
        <f t="shared" si="444"/>
        <v>0</v>
      </c>
      <c r="AH5192" s="580">
        <f t="shared" si="445"/>
        <v>0</v>
      </c>
    </row>
    <row r="5193" spans="28:34">
      <c r="AB5193" s="580">
        <f>HLOOKUP("*"&amp;'Output annual'!$AC$2&amp;'Output annual'!$AD$2&amp;"*Zone People Number Of Occupants [](Hourly)",'Eplus results'!$1:$1048576,ROW(),FALSE)</f>
        <v>0</v>
      </c>
      <c r="AC5193" s="580">
        <f>HLOOKUP("*"&amp;'Output annual'!$AC$2&amp;'Output annual'!$AD$2&amp;"*FangerPMV(Hourly)",'Eplus results'!$1:$1048576,ROW(),FALSE)</f>
        <v>0</v>
      </c>
      <c r="AD5193" s="580">
        <f t="shared" si="441"/>
        <v>5</v>
      </c>
      <c r="AE5193" s="580">
        <f t="shared" si="442"/>
        <v>2.5</v>
      </c>
      <c r="AF5193" s="580">
        <f t="shared" si="443"/>
        <v>2.5</v>
      </c>
      <c r="AG5193" s="580">
        <f t="shared" si="444"/>
        <v>0</v>
      </c>
      <c r="AH5193" s="580">
        <f t="shared" si="445"/>
        <v>0</v>
      </c>
    </row>
    <row r="5194" spans="28:34">
      <c r="AB5194" s="580">
        <f>HLOOKUP("*"&amp;'Output annual'!$AC$2&amp;'Output annual'!$AD$2&amp;"*Zone People Number Of Occupants [](Hourly)",'Eplus results'!$1:$1048576,ROW(),FALSE)</f>
        <v>0</v>
      </c>
      <c r="AC5194" s="580">
        <f>HLOOKUP("*"&amp;'Output annual'!$AC$2&amp;'Output annual'!$AD$2&amp;"*FangerPMV(Hourly)",'Eplus results'!$1:$1048576,ROW(),FALSE)</f>
        <v>0</v>
      </c>
      <c r="AD5194" s="580">
        <f t="shared" si="441"/>
        <v>5</v>
      </c>
      <c r="AE5194" s="580">
        <f t="shared" si="442"/>
        <v>2.5</v>
      </c>
      <c r="AF5194" s="580">
        <f t="shared" si="443"/>
        <v>2.5</v>
      </c>
      <c r="AG5194" s="580">
        <f t="shared" si="444"/>
        <v>0</v>
      </c>
      <c r="AH5194" s="580">
        <f t="shared" si="445"/>
        <v>0</v>
      </c>
    </row>
    <row r="5195" spans="28:34">
      <c r="AB5195" s="580">
        <f>HLOOKUP("*"&amp;'Output annual'!$AC$2&amp;'Output annual'!$AD$2&amp;"*Zone People Number Of Occupants [](Hourly)",'Eplus results'!$1:$1048576,ROW(),FALSE)</f>
        <v>0</v>
      </c>
      <c r="AC5195" s="580">
        <f>HLOOKUP("*"&amp;'Output annual'!$AC$2&amp;'Output annual'!$AD$2&amp;"*FangerPMV(Hourly)",'Eplus results'!$1:$1048576,ROW(),FALSE)</f>
        <v>0</v>
      </c>
      <c r="AD5195" s="580">
        <f t="shared" si="441"/>
        <v>5</v>
      </c>
      <c r="AE5195" s="580">
        <f t="shared" si="442"/>
        <v>2.5</v>
      </c>
      <c r="AF5195" s="580">
        <f t="shared" si="443"/>
        <v>2.5</v>
      </c>
      <c r="AG5195" s="580">
        <f t="shared" si="444"/>
        <v>0</v>
      </c>
      <c r="AH5195" s="580">
        <f t="shared" si="445"/>
        <v>0</v>
      </c>
    </row>
    <row r="5196" spans="28:34">
      <c r="AB5196" s="580">
        <f>HLOOKUP("*"&amp;'Output annual'!$AC$2&amp;'Output annual'!$AD$2&amp;"*Zone People Number Of Occupants [](Hourly)",'Eplus results'!$1:$1048576,ROW(),FALSE)</f>
        <v>0</v>
      </c>
      <c r="AC5196" s="580">
        <f>HLOOKUP("*"&amp;'Output annual'!$AC$2&amp;'Output annual'!$AD$2&amp;"*FangerPMV(Hourly)",'Eplus results'!$1:$1048576,ROW(),FALSE)</f>
        <v>0</v>
      </c>
      <c r="AD5196" s="580">
        <f t="shared" si="441"/>
        <v>5</v>
      </c>
      <c r="AE5196" s="580">
        <f t="shared" si="442"/>
        <v>2.5</v>
      </c>
      <c r="AF5196" s="580">
        <f t="shared" si="443"/>
        <v>2.5</v>
      </c>
      <c r="AG5196" s="580">
        <f t="shared" si="444"/>
        <v>0</v>
      </c>
      <c r="AH5196" s="580">
        <f t="shared" si="445"/>
        <v>0</v>
      </c>
    </row>
    <row r="5197" spans="28:34">
      <c r="AB5197" s="580">
        <f>HLOOKUP("*"&amp;'Output annual'!$AC$2&amp;'Output annual'!$AD$2&amp;"*Zone People Number Of Occupants [](Hourly)",'Eplus results'!$1:$1048576,ROW(),FALSE)</f>
        <v>0</v>
      </c>
      <c r="AC5197" s="580">
        <f>HLOOKUP("*"&amp;'Output annual'!$AC$2&amp;'Output annual'!$AD$2&amp;"*FangerPMV(Hourly)",'Eplus results'!$1:$1048576,ROW(),FALSE)</f>
        <v>0</v>
      </c>
      <c r="AD5197" s="580">
        <f t="shared" si="441"/>
        <v>5</v>
      </c>
      <c r="AE5197" s="580">
        <f t="shared" si="442"/>
        <v>2.5</v>
      </c>
      <c r="AF5197" s="580">
        <f t="shared" si="443"/>
        <v>2.5</v>
      </c>
      <c r="AG5197" s="580">
        <f t="shared" si="444"/>
        <v>0</v>
      </c>
      <c r="AH5197" s="580">
        <f t="shared" si="445"/>
        <v>0</v>
      </c>
    </row>
    <row r="5198" spans="28:34">
      <c r="AB5198" s="580">
        <f>HLOOKUP("*"&amp;'Output annual'!$AC$2&amp;'Output annual'!$AD$2&amp;"*Zone People Number Of Occupants [](Hourly)",'Eplus results'!$1:$1048576,ROW(),FALSE)</f>
        <v>0</v>
      </c>
      <c r="AC5198" s="580">
        <f>HLOOKUP("*"&amp;'Output annual'!$AC$2&amp;'Output annual'!$AD$2&amp;"*FangerPMV(Hourly)",'Eplus results'!$1:$1048576,ROW(),FALSE)</f>
        <v>0</v>
      </c>
      <c r="AD5198" s="580">
        <f t="shared" si="441"/>
        <v>5</v>
      </c>
      <c r="AE5198" s="580">
        <f t="shared" si="442"/>
        <v>2.5</v>
      </c>
      <c r="AF5198" s="580">
        <f t="shared" si="443"/>
        <v>2.5</v>
      </c>
      <c r="AG5198" s="580">
        <f t="shared" si="444"/>
        <v>0</v>
      </c>
      <c r="AH5198" s="580">
        <f t="shared" si="445"/>
        <v>0</v>
      </c>
    </row>
    <row r="5199" spans="28:34">
      <c r="AB5199" s="580">
        <f>HLOOKUP("*"&amp;'Output annual'!$AC$2&amp;'Output annual'!$AD$2&amp;"*Zone People Number Of Occupants [](Hourly)",'Eplus results'!$1:$1048576,ROW(),FALSE)</f>
        <v>0</v>
      </c>
      <c r="AC5199" s="580">
        <f>HLOOKUP("*"&amp;'Output annual'!$AC$2&amp;'Output annual'!$AD$2&amp;"*FangerPMV(Hourly)",'Eplus results'!$1:$1048576,ROW(),FALSE)</f>
        <v>0</v>
      </c>
      <c r="AD5199" s="580">
        <f t="shared" si="441"/>
        <v>5</v>
      </c>
      <c r="AE5199" s="580">
        <f t="shared" si="442"/>
        <v>2.5</v>
      </c>
      <c r="AF5199" s="580">
        <f t="shared" si="443"/>
        <v>2.5</v>
      </c>
      <c r="AG5199" s="580">
        <f t="shared" si="444"/>
        <v>0</v>
      </c>
      <c r="AH5199" s="580">
        <f t="shared" si="445"/>
        <v>0</v>
      </c>
    </row>
    <row r="5200" spans="28:34">
      <c r="AB5200" s="580">
        <f>HLOOKUP("*"&amp;'Output annual'!$AC$2&amp;'Output annual'!$AD$2&amp;"*Zone People Number Of Occupants [](Hourly)",'Eplus results'!$1:$1048576,ROW(),FALSE)</f>
        <v>0</v>
      </c>
      <c r="AC5200" s="580">
        <f>HLOOKUP("*"&amp;'Output annual'!$AC$2&amp;'Output annual'!$AD$2&amp;"*FangerPMV(Hourly)",'Eplus results'!$1:$1048576,ROW(),FALSE)</f>
        <v>0</v>
      </c>
      <c r="AD5200" s="580">
        <f t="shared" si="441"/>
        <v>5</v>
      </c>
      <c r="AE5200" s="580">
        <f t="shared" si="442"/>
        <v>2.5</v>
      </c>
      <c r="AF5200" s="580">
        <f t="shared" si="443"/>
        <v>2.5</v>
      </c>
      <c r="AG5200" s="580">
        <f t="shared" si="444"/>
        <v>0</v>
      </c>
      <c r="AH5200" s="580">
        <f t="shared" si="445"/>
        <v>0</v>
      </c>
    </row>
    <row r="5201" spans="28:34">
      <c r="AB5201" s="580">
        <f>HLOOKUP("*"&amp;'Output annual'!$AC$2&amp;'Output annual'!$AD$2&amp;"*Zone People Number Of Occupants [](Hourly)",'Eplus results'!$1:$1048576,ROW(),FALSE)</f>
        <v>0</v>
      </c>
      <c r="AC5201" s="580">
        <f>HLOOKUP("*"&amp;'Output annual'!$AC$2&amp;'Output annual'!$AD$2&amp;"*FangerPMV(Hourly)",'Eplus results'!$1:$1048576,ROW(),FALSE)</f>
        <v>0</v>
      </c>
      <c r="AD5201" s="580">
        <f t="shared" si="441"/>
        <v>5</v>
      </c>
      <c r="AE5201" s="580">
        <f t="shared" si="442"/>
        <v>2.5</v>
      </c>
      <c r="AF5201" s="580">
        <f t="shared" si="443"/>
        <v>2.5</v>
      </c>
      <c r="AG5201" s="580">
        <f t="shared" si="444"/>
        <v>0</v>
      </c>
      <c r="AH5201" s="580">
        <f t="shared" si="445"/>
        <v>0</v>
      </c>
    </row>
    <row r="5202" spans="28:34">
      <c r="AB5202" s="580">
        <f>HLOOKUP("*"&amp;'Output annual'!$AC$2&amp;'Output annual'!$AD$2&amp;"*Zone People Number Of Occupants [](Hourly)",'Eplus results'!$1:$1048576,ROW(),FALSE)</f>
        <v>0</v>
      </c>
      <c r="AC5202" s="580">
        <f>HLOOKUP("*"&amp;'Output annual'!$AC$2&amp;'Output annual'!$AD$2&amp;"*FangerPMV(Hourly)",'Eplus results'!$1:$1048576,ROW(),FALSE)</f>
        <v>0</v>
      </c>
      <c r="AD5202" s="580">
        <f t="shared" si="441"/>
        <v>5</v>
      </c>
      <c r="AE5202" s="580">
        <f t="shared" si="442"/>
        <v>2.5</v>
      </c>
      <c r="AF5202" s="580">
        <f t="shared" si="443"/>
        <v>2.5</v>
      </c>
      <c r="AG5202" s="580">
        <f t="shared" si="444"/>
        <v>0</v>
      </c>
      <c r="AH5202" s="580">
        <f t="shared" si="445"/>
        <v>0</v>
      </c>
    </row>
    <row r="5203" spans="28:34">
      <c r="AB5203" s="580">
        <f>HLOOKUP("*"&amp;'Output annual'!$AC$2&amp;'Output annual'!$AD$2&amp;"*Zone People Number Of Occupants [](Hourly)",'Eplus results'!$1:$1048576,ROW(),FALSE)</f>
        <v>0</v>
      </c>
      <c r="AC5203" s="580">
        <f>HLOOKUP("*"&amp;'Output annual'!$AC$2&amp;'Output annual'!$AD$2&amp;"*FangerPMV(Hourly)",'Eplus results'!$1:$1048576,ROW(),FALSE)</f>
        <v>0</v>
      </c>
      <c r="AD5203" s="580">
        <f t="shared" si="441"/>
        <v>5</v>
      </c>
      <c r="AE5203" s="580">
        <f t="shared" si="442"/>
        <v>2.5</v>
      </c>
      <c r="AF5203" s="580">
        <f t="shared" si="443"/>
        <v>2.5</v>
      </c>
      <c r="AG5203" s="580">
        <f t="shared" si="444"/>
        <v>0</v>
      </c>
      <c r="AH5203" s="580">
        <f t="shared" si="445"/>
        <v>0</v>
      </c>
    </row>
    <row r="5204" spans="28:34">
      <c r="AB5204" s="580">
        <f>HLOOKUP("*"&amp;'Output annual'!$AC$2&amp;'Output annual'!$AD$2&amp;"*Zone People Number Of Occupants [](Hourly)",'Eplus results'!$1:$1048576,ROW(),FALSE)</f>
        <v>0</v>
      </c>
      <c r="AC5204" s="580">
        <f>HLOOKUP("*"&amp;'Output annual'!$AC$2&amp;'Output annual'!$AD$2&amp;"*FangerPMV(Hourly)",'Eplus results'!$1:$1048576,ROW(),FALSE)</f>
        <v>0</v>
      </c>
      <c r="AD5204" s="580">
        <f t="shared" si="441"/>
        <v>5</v>
      </c>
      <c r="AE5204" s="580">
        <f t="shared" si="442"/>
        <v>2.5</v>
      </c>
      <c r="AF5204" s="580">
        <f t="shared" si="443"/>
        <v>2.5</v>
      </c>
      <c r="AG5204" s="580">
        <f t="shared" si="444"/>
        <v>0</v>
      </c>
      <c r="AH5204" s="580">
        <f t="shared" si="445"/>
        <v>0</v>
      </c>
    </row>
    <row r="5205" spans="28:34">
      <c r="AB5205" s="580">
        <f>HLOOKUP("*"&amp;'Output annual'!$AC$2&amp;'Output annual'!$AD$2&amp;"*Zone People Number Of Occupants [](Hourly)",'Eplus results'!$1:$1048576,ROW(),FALSE)</f>
        <v>0</v>
      </c>
      <c r="AC5205" s="580">
        <f>HLOOKUP("*"&amp;'Output annual'!$AC$2&amp;'Output annual'!$AD$2&amp;"*FangerPMV(Hourly)",'Eplus results'!$1:$1048576,ROW(),FALSE)</f>
        <v>0</v>
      </c>
      <c r="AD5205" s="580">
        <f t="shared" si="441"/>
        <v>5</v>
      </c>
      <c r="AE5205" s="580">
        <f t="shared" si="442"/>
        <v>2.5</v>
      </c>
      <c r="AF5205" s="580">
        <f t="shared" si="443"/>
        <v>2.5</v>
      </c>
      <c r="AG5205" s="580">
        <f t="shared" si="444"/>
        <v>0</v>
      </c>
      <c r="AH5205" s="580">
        <f t="shared" si="445"/>
        <v>0</v>
      </c>
    </row>
    <row r="5206" spans="28:34">
      <c r="AB5206" s="580">
        <f>HLOOKUP("*"&amp;'Output annual'!$AC$2&amp;'Output annual'!$AD$2&amp;"*Zone People Number Of Occupants [](Hourly)",'Eplus results'!$1:$1048576,ROW(),FALSE)</f>
        <v>0</v>
      </c>
      <c r="AC5206" s="580">
        <f>HLOOKUP("*"&amp;'Output annual'!$AC$2&amp;'Output annual'!$AD$2&amp;"*FangerPMV(Hourly)",'Eplus results'!$1:$1048576,ROW(),FALSE)</f>
        <v>0</v>
      </c>
      <c r="AD5206" s="580">
        <f t="shared" si="441"/>
        <v>5</v>
      </c>
      <c r="AE5206" s="580">
        <f t="shared" si="442"/>
        <v>2.5</v>
      </c>
      <c r="AF5206" s="580">
        <f t="shared" si="443"/>
        <v>2.5</v>
      </c>
      <c r="AG5206" s="580">
        <f t="shared" si="444"/>
        <v>0</v>
      </c>
      <c r="AH5206" s="580">
        <f t="shared" si="445"/>
        <v>0</v>
      </c>
    </row>
    <row r="5207" spans="28:34">
      <c r="AB5207" s="580">
        <f>HLOOKUP("*"&amp;'Output annual'!$AC$2&amp;'Output annual'!$AD$2&amp;"*Zone People Number Of Occupants [](Hourly)",'Eplus results'!$1:$1048576,ROW(),FALSE)</f>
        <v>0</v>
      </c>
      <c r="AC5207" s="580">
        <f>HLOOKUP("*"&amp;'Output annual'!$AC$2&amp;'Output annual'!$AD$2&amp;"*FangerPMV(Hourly)",'Eplus results'!$1:$1048576,ROW(),FALSE)</f>
        <v>0</v>
      </c>
      <c r="AD5207" s="580">
        <f t="shared" si="441"/>
        <v>5</v>
      </c>
      <c r="AE5207" s="580">
        <f t="shared" si="442"/>
        <v>2.5</v>
      </c>
      <c r="AF5207" s="580">
        <f t="shared" si="443"/>
        <v>2.5</v>
      </c>
      <c r="AG5207" s="580">
        <f t="shared" si="444"/>
        <v>0</v>
      </c>
      <c r="AH5207" s="580">
        <f t="shared" si="445"/>
        <v>0</v>
      </c>
    </row>
    <row r="5208" spans="28:34">
      <c r="AB5208" s="580">
        <f>HLOOKUP("*"&amp;'Output annual'!$AC$2&amp;'Output annual'!$AD$2&amp;"*Zone People Number Of Occupants [](Hourly)",'Eplus results'!$1:$1048576,ROW(),FALSE)</f>
        <v>0</v>
      </c>
      <c r="AC5208" s="580">
        <f>HLOOKUP("*"&amp;'Output annual'!$AC$2&amp;'Output annual'!$AD$2&amp;"*FangerPMV(Hourly)",'Eplus results'!$1:$1048576,ROW(),FALSE)</f>
        <v>0</v>
      </c>
      <c r="AD5208" s="580">
        <f t="shared" si="441"/>
        <v>5</v>
      </c>
      <c r="AE5208" s="580">
        <f t="shared" si="442"/>
        <v>2.5</v>
      </c>
      <c r="AF5208" s="580">
        <f t="shared" si="443"/>
        <v>2.5</v>
      </c>
      <c r="AG5208" s="580">
        <f t="shared" si="444"/>
        <v>0</v>
      </c>
      <c r="AH5208" s="580">
        <f t="shared" si="445"/>
        <v>0</v>
      </c>
    </row>
    <row r="5209" spans="28:34">
      <c r="AB5209" s="580">
        <f>HLOOKUP("*"&amp;'Output annual'!$AC$2&amp;'Output annual'!$AD$2&amp;"*Zone People Number Of Occupants [](Hourly)",'Eplus results'!$1:$1048576,ROW(),FALSE)</f>
        <v>0</v>
      </c>
      <c r="AC5209" s="580">
        <f>HLOOKUP("*"&amp;'Output annual'!$AC$2&amp;'Output annual'!$AD$2&amp;"*FangerPMV(Hourly)",'Eplus results'!$1:$1048576,ROW(),FALSE)</f>
        <v>0</v>
      </c>
      <c r="AD5209" s="580">
        <f t="shared" si="441"/>
        <v>5</v>
      </c>
      <c r="AE5209" s="580">
        <f t="shared" si="442"/>
        <v>2.5</v>
      </c>
      <c r="AF5209" s="580">
        <f t="shared" si="443"/>
        <v>2.5</v>
      </c>
      <c r="AG5209" s="580">
        <f t="shared" si="444"/>
        <v>0</v>
      </c>
      <c r="AH5209" s="580">
        <f t="shared" si="445"/>
        <v>0</v>
      </c>
    </row>
    <row r="5210" spans="28:34">
      <c r="AB5210" s="580">
        <f>HLOOKUP("*"&amp;'Output annual'!$AC$2&amp;'Output annual'!$AD$2&amp;"*Zone People Number Of Occupants [](Hourly)",'Eplus results'!$1:$1048576,ROW(),FALSE)</f>
        <v>0</v>
      </c>
      <c r="AC5210" s="580">
        <f>HLOOKUP("*"&amp;'Output annual'!$AC$2&amp;'Output annual'!$AD$2&amp;"*FangerPMV(Hourly)",'Eplus results'!$1:$1048576,ROW(),FALSE)</f>
        <v>0</v>
      </c>
      <c r="AD5210" s="580">
        <f t="shared" si="441"/>
        <v>5</v>
      </c>
      <c r="AE5210" s="580">
        <f t="shared" si="442"/>
        <v>2.5</v>
      </c>
      <c r="AF5210" s="580">
        <f t="shared" si="443"/>
        <v>2.5</v>
      </c>
      <c r="AG5210" s="580">
        <f t="shared" si="444"/>
        <v>0</v>
      </c>
      <c r="AH5210" s="580">
        <f t="shared" si="445"/>
        <v>0</v>
      </c>
    </row>
    <row r="5211" spans="28:34">
      <c r="AB5211" s="580">
        <f>HLOOKUP("*"&amp;'Output annual'!$AC$2&amp;'Output annual'!$AD$2&amp;"*Zone People Number Of Occupants [](Hourly)",'Eplus results'!$1:$1048576,ROW(),FALSE)</f>
        <v>0</v>
      </c>
      <c r="AC5211" s="580">
        <f>HLOOKUP("*"&amp;'Output annual'!$AC$2&amp;'Output annual'!$AD$2&amp;"*FangerPMV(Hourly)",'Eplus results'!$1:$1048576,ROW(),FALSE)</f>
        <v>0</v>
      </c>
      <c r="AD5211" s="580">
        <f t="shared" si="441"/>
        <v>5</v>
      </c>
      <c r="AE5211" s="580">
        <f t="shared" si="442"/>
        <v>2.5</v>
      </c>
      <c r="AF5211" s="580">
        <f t="shared" si="443"/>
        <v>2.5</v>
      </c>
      <c r="AG5211" s="580">
        <f t="shared" si="444"/>
        <v>0</v>
      </c>
      <c r="AH5211" s="580">
        <f t="shared" si="445"/>
        <v>0</v>
      </c>
    </row>
    <row r="5212" spans="28:34">
      <c r="AB5212" s="580">
        <f>HLOOKUP("*"&amp;'Output annual'!$AC$2&amp;'Output annual'!$AD$2&amp;"*Zone People Number Of Occupants [](Hourly)",'Eplus results'!$1:$1048576,ROW(),FALSE)</f>
        <v>0</v>
      </c>
      <c r="AC5212" s="580">
        <f>HLOOKUP("*"&amp;'Output annual'!$AC$2&amp;'Output annual'!$AD$2&amp;"*FangerPMV(Hourly)",'Eplus results'!$1:$1048576,ROW(),FALSE)</f>
        <v>0</v>
      </c>
      <c r="AD5212" s="580">
        <f t="shared" si="441"/>
        <v>5</v>
      </c>
      <c r="AE5212" s="580">
        <f t="shared" si="442"/>
        <v>2.5</v>
      </c>
      <c r="AF5212" s="580">
        <f t="shared" si="443"/>
        <v>2.5</v>
      </c>
      <c r="AG5212" s="580">
        <f t="shared" si="444"/>
        <v>0</v>
      </c>
      <c r="AH5212" s="580">
        <f t="shared" si="445"/>
        <v>0</v>
      </c>
    </row>
    <row r="5213" spans="28:34">
      <c r="AB5213" s="580">
        <f>HLOOKUP("*"&amp;'Output annual'!$AC$2&amp;'Output annual'!$AD$2&amp;"*Zone People Number Of Occupants [](Hourly)",'Eplus results'!$1:$1048576,ROW(),FALSE)</f>
        <v>0</v>
      </c>
      <c r="AC5213" s="580">
        <f>HLOOKUP("*"&amp;'Output annual'!$AC$2&amp;'Output annual'!$AD$2&amp;"*FangerPMV(Hourly)",'Eplus results'!$1:$1048576,ROW(),FALSE)</f>
        <v>0</v>
      </c>
      <c r="AD5213" s="580">
        <f t="shared" si="441"/>
        <v>5</v>
      </c>
      <c r="AE5213" s="580">
        <f t="shared" si="442"/>
        <v>2.5</v>
      </c>
      <c r="AF5213" s="580">
        <f t="shared" si="443"/>
        <v>2.5</v>
      </c>
      <c r="AG5213" s="580">
        <f t="shared" si="444"/>
        <v>0</v>
      </c>
      <c r="AH5213" s="580">
        <f t="shared" si="445"/>
        <v>0</v>
      </c>
    </row>
    <row r="5214" spans="28:34">
      <c r="AB5214" s="580">
        <f>HLOOKUP("*"&amp;'Output annual'!$AC$2&amp;'Output annual'!$AD$2&amp;"*Zone People Number Of Occupants [](Hourly)",'Eplus results'!$1:$1048576,ROW(),FALSE)</f>
        <v>0</v>
      </c>
      <c r="AC5214" s="580">
        <f>HLOOKUP("*"&amp;'Output annual'!$AC$2&amp;'Output annual'!$AD$2&amp;"*FangerPMV(Hourly)",'Eplus results'!$1:$1048576,ROW(),FALSE)</f>
        <v>0</v>
      </c>
      <c r="AD5214" s="580">
        <f t="shared" si="441"/>
        <v>5</v>
      </c>
      <c r="AE5214" s="580">
        <f t="shared" si="442"/>
        <v>2.5</v>
      </c>
      <c r="AF5214" s="580">
        <f t="shared" si="443"/>
        <v>2.5</v>
      </c>
      <c r="AG5214" s="580">
        <f t="shared" si="444"/>
        <v>0</v>
      </c>
      <c r="AH5214" s="580">
        <f t="shared" si="445"/>
        <v>0</v>
      </c>
    </row>
    <row r="5215" spans="28:34">
      <c r="AB5215" s="580">
        <f>HLOOKUP("*"&amp;'Output annual'!$AC$2&amp;'Output annual'!$AD$2&amp;"*Zone People Number Of Occupants [](Hourly)",'Eplus results'!$1:$1048576,ROW(),FALSE)</f>
        <v>0</v>
      </c>
      <c r="AC5215" s="580">
        <f>HLOOKUP("*"&amp;'Output annual'!$AC$2&amp;'Output annual'!$AD$2&amp;"*FangerPMV(Hourly)",'Eplus results'!$1:$1048576,ROW(),FALSE)</f>
        <v>0</v>
      </c>
      <c r="AD5215" s="580">
        <f t="shared" si="441"/>
        <v>5</v>
      </c>
      <c r="AE5215" s="580">
        <f t="shared" si="442"/>
        <v>2.5</v>
      </c>
      <c r="AF5215" s="580">
        <f t="shared" si="443"/>
        <v>2.5</v>
      </c>
      <c r="AG5215" s="580">
        <f t="shared" si="444"/>
        <v>0</v>
      </c>
      <c r="AH5215" s="580">
        <f t="shared" si="445"/>
        <v>0</v>
      </c>
    </row>
    <row r="5216" spans="28:34">
      <c r="AB5216" s="580">
        <f>HLOOKUP("*"&amp;'Output annual'!$AC$2&amp;'Output annual'!$AD$2&amp;"*Zone People Number Of Occupants [](Hourly)",'Eplus results'!$1:$1048576,ROW(),FALSE)</f>
        <v>0</v>
      </c>
      <c r="AC5216" s="580">
        <f>HLOOKUP("*"&amp;'Output annual'!$AC$2&amp;'Output annual'!$AD$2&amp;"*FangerPMV(Hourly)",'Eplus results'!$1:$1048576,ROW(),FALSE)</f>
        <v>0</v>
      </c>
      <c r="AD5216" s="580">
        <f t="shared" si="441"/>
        <v>5</v>
      </c>
      <c r="AE5216" s="580">
        <f t="shared" si="442"/>
        <v>2.5</v>
      </c>
      <c r="AF5216" s="580">
        <f t="shared" si="443"/>
        <v>2.5</v>
      </c>
      <c r="AG5216" s="580">
        <f t="shared" si="444"/>
        <v>0</v>
      </c>
      <c r="AH5216" s="580">
        <f t="shared" si="445"/>
        <v>0</v>
      </c>
    </row>
    <row r="5217" spans="28:34">
      <c r="AB5217" s="580">
        <f>HLOOKUP("*"&amp;'Output annual'!$AC$2&amp;'Output annual'!$AD$2&amp;"*Zone People Number Of Occupants [](Hourly)",'Eplus results'!$1:$1048576,ROW(),FALSE)</f>
        <v>0</v>
      </c>
      <c r="AC5217" s="580">
        <f>HLOOKUP("*"&amp;'Output annual'!$AC$2&amp;'Output annual'!$AD$2&amp;"*FangerPMV(Hourly)",'Eplus results'!$1:$1048576,ROW(),FALSE)</f>
        <v>0</v>
      </c>
      <c r="AD5217" s="580">
        <f t="shared" si="441"/>
        <v>5</v>
      </c>
      <c r="AE5217" s="580">
        <f t="shared" si="442"/>
        <v>2.5</v>
      </c>
      <c r="AF5217" s="580">
        <f t="shared" si="443"/>
        <v>2.5</v>
      </c>
      <c r="AG5217" s="580">
        <f t="shared" si="444"/>
        <v>0</v>
      </c>
      <c r="AH5217" s="580">
        <f t="shared" si="445"/>
        <v>0</v>
      </c>
    </row>
    <row r="5218" spans="28:34">
      <c r="AB5218" s="580">
        <f>HLOOKUP("*"&amp;'Output annual'!$AC$2&amp;'Output annual'!$AD$2&amp;"*Zone People Number Of Occupants [](Hourly)",'Eplus results'!$1:$1048576,ROW(),FALSE)</f>
        <v>0</v>
      </c>
      <c r="AC5218" s="580">
        <f>HLOOKUP("*"&amp;'Output annual'!$AC$2&amp;'Output annual'!$AD$2&amp;"*FangerPMV(Hourly)",'Eplus results'!$1:$1048576,ROW(),FALSE)</f>
        <v>0</v>
      </c>
      <c r="AD5218" s="580">
        <f t="shared" si="441"/>
        <v>5</v>
      </c>
      <c r="AE5218" s="580">
        <f t="shared" si="442"/>
        <v>2.5</v>
      </c>
      <c r="AF5218" s="580">
        <f t="shared" si="443"/>
        <v>2.5</v>
      </c>
      <c r="AG5218" s="580">
        <f t="shared" si="444"/>
        <v>0</v>
      </c>
      <c r="AH5218" s="580">
        <f t="shared" si="445"/>
        <v>0</v>
      </c>
    </row>
    <row r="5219" spans="28:34">
      <c r="AB5219" s="580">
        <f>HLOOKUP("*"&amp;'Output annual'!$AC$2&amp;'Output annual'!$AD$2&amp;"*Zone People Number Of Occupants [](Hourly)",'Eplus results'!$1:$1048576,ROW(),FALSE)</f>
        <v>0</v>
      </c>
      <c r="AC5219" s="580">
        <f>HLOOKUP("*"&amp;'Output annual'!$AC$2&amp;'Output annual'!$AD$2&amp;"*FangerPMV(Hourly)",'Eplus results'!$1:$1048576,ROW(),FALSE)</f>
        <v>0</v>
      </c>
      <c r="AD5219" s="580">
        <f t="shared" si="441"/>
        <v>5</v>
      </c>
      <c r="AE5219" s="580">
        <f t="shared" si="442"/>
        <v>2.5</v>
      </c>
      <c r="AF5219" s="580">
        <f t="shared" si="443"/>
        <v>2.5</v>
      </c>
      <c r="AG5219" s="580">
        <f t="shared" si="444"/>
        <v>0</v>
      </c>
      <c r="AH5219" s="580">
        <f t="shared" si="445"/>
        <v>0</v>
      </c>
    </row>
    <row r="5220" spans="28:34">
      <c r="AB5220" s="580">
        <f>HLOOKUP("*"&amp;'Output annual'!$AC$2&amp;'Output annual'!$AD$2&amp;"*Zone People Number Of Occupants [](Hourly)",'Eplus results'!$1:$1048576,ROW(),FALSE)</f>
        <v>0</v>
      </c>
      <c r="AC5220" s="580">
        <f>HLOOKUP("*"&amp;'Output annual'!$AC$2&amp;'Output annual'!$AD$2&amp;"*FangerPMV(Hourly)",'Eplus results'!$1:$1048576,ROW(),FALSE)</f>
        <v>0</v>
      </c>
      <c r="AD5220" s="580">
        <f t="shared" si="441"/>
        <v>5</v>
      </c>
      <c r="AE5220" s="580">
        <f t="shared" si="442"/>
        <v>2.5</v>
      </c>
      <c r="AF5220" s="580">
        <f t="shared" si="443"/>
        <v>2.5</v>
      </c>
      <c r="AG5220" s="580">
        <f t="shared" si="444"/>
        <v>0</v>
      </c>
      <c r="AH5220" s="580">
        <f t="shared" si="445"/>
        <v>0</v>
      </c>
    </row>
    <row r="5221" spans="28:34">
      <c r="AB5221" s="580">
        <f>HLOOKUP("*"&amp;'Output annual'!$AC$2&amp;'Output annual'!$AD$2&amp;"*Zone People Number Of Occupants [](Hourly)",'Eplus results'!$1:$1048576,ROW(),FALSE)</f>
        <v>0</v>
      </c>
      <c r="AC5221" s="580">
        <f>HLOOKUP("*"&amp;'Output annual'!$AC$2&amp;'Output annual'!$AD$2&amp;"*FangerPMV(Hourly)",'Eplus results'!$1:$1048576,ROW(),FALSE)</f>
        <v>0</v>
      </c>
      <c r="AD5221" s="580">
        <f t="shared" si="441"/>
        <v>5</v>
      </c>
      <c r="AE5221" s="580">
        <f t="shared" si="442"/>
        <v>2.5</v>
      </c>
      <c r="AF5221" s="580">
        <f t="shared" si="443"/>
        <v>2.5</v>
      </c>
      <c r="AG5221" s="580">
        <f t="shared" si="444"/>
        <v>0</v>
      </c>
      <c r="AH5221" s="580">
        <f t="shared" si="445"/>
        <v>0</v>
      </c>
    </row>
    <row r="5222" spans="28:34">
      <c r="AB5222" s="580">
        <f>HLOOKUP("*"&amp;'Output annual'!$AC$2&amp;'Output annual'!$AD$2&amp;"*Zone People Number Of Occupants [](Hourly)",'Eplus results'!$1:$1048576,ROW(),FALSE)</f>
        <v>0</v>
      </c>
      <c r="AC5222" s="580">
        <f>HLOOKUP("*"&amp;'Output annual'!$AC$2&amp;'Output annual'!$AD$2&amp;"*FangerPMV(Hourly)",'Eplus results'!$1:$1048576,ROW(),FALSE)</f>
        <v>0</v>
      </c>
      <c r="AD5222" s="580">
        <f t="shared" si="441"/>
        <v>5</v>
      </c>
      <c r="AE5222" s="580">
        <f t="shared" si="442"/>
        <v>2.5</v>
      </c>
      <c r="AF5222" s="580">
        <f t="shared" si="443"/>
        <v>2.5</v>
      </c>
      <c r="AG5222" s="580">
        <f t="shared" si="444"/>
        <v>0</v>
      </c>
      <c r="AH5222" s="580">
        <f t="shared" si="445"/>
        <v>0</v>
      </c>
    </row>
    <row r="5223" spans="28:34">
      <c r="AB5223" s="580">
        <f>HLOOKUP("*"&amp;'Output annual'!$AC$2&amp;'Output annual'!$AD$2&amp;"*Zone People Number Of Occupants [](Hourly)",'Eplus results'!$1:$1048576,ROW(),FALSE)</f>
        <v>0</v>
      </c>
      <c r="AC5223" s="580">
        <f>HLOOKUP("*"&amp;'Output annual'!$AC$2&amp;'Output annual'!$AD$2&amp;"*FangerPMV(Hourly)",'Eplus results'!$1:$1048576,ROW(),FALSE)</f>
        <v>0</v>
      </c>
      <c r="AD5223" s="580">
        <f t="shared" si="441"/>
        <v>5</v>
      </c>
      <c r="AE5223" s="580">
        <f t="shared" si="442"/>
        <v>2.5</v>
      </c>
      <c r="AF5223" s="580">
        <f t="shared" si="443"/>
        <v>2.5</v>
      </c>
      <c r="AG5223" s="580">
        <f t="shared" si="444"/>
        <v>0</v>
      </c>
      <c r="AH5223" s="580">
        <f t="shared" si="445"/>
        <v>0</v>
      </c>
    </row>
    <row r="5224" spans="28:34">
      <c r="AB5224" s="580">
        <f>HLOOKUP("*"&amp;'Output annual'!$AC$2&amp;'Output annual'!$AD$2&amp;"*Zone People Number Of Occupants [](Hourly)",'Eplus results'!$1:$1048576,ROW(),FALSE)</f>
        <v>0</v>
      </c>
      <c r="AC5224" s="580">
        <f>HLOOKUP("*"&amp;'Output annual'!$AC$2&amp;'Output annual'!$AD$2&amp;"*FangerPMV(Hourly)",'Eplus results'!$1:$1048576,ROW(),FALSE)</f>
        <v>0</v>
      </c>
      <c r="AD5224" s="580">
        <f t="shared" si="441"/>
        <v>5</v>
      </c>
      <c r="AE5224" s="580">
        <f t="shared" si="442"/>
        <v>2.5</v>
      </c>
      <c r="AF5224" s="580">
        <f t="shared" si="443"/>
        <v>2.5</v>
      </c>
      <c r="AG5224" s="580">
        <f t="shared" si="444"/>
        <v>0</v>
      </c>
      <c r="AH5224" s="580">
        <f t="shared" si="445"/>
        <v>0</v>
      </c>
    </row>
    <row r="5225" spans="28:34">
      <c r="AB5225" s="580">
        <f>HLOOKUP("*"&amp;'Output annual'!$AC$2&amp;'Output annual'!$AD$2&amp;"*Zone People Number Of Occupants [](Hourly)",'Eplus results'!$1:$1048576,ROW(),FALSE)</f>
        <v>0</v>
      </c>
      <c r="AC5225" s="580">
        <f>HLOOKUP("*"&amp;'Output annual'!$AC$2&amp;'Output annual'!$AD$2&amp;"*FangerPMV(Hourly)",'Eplus results'!$1:$1048576,ROW(),FALSE)</f>
        <v>0</v>
      </c>
      <c r="AD5225" s="580">
        <f t="shared" si="441"/>
        <v>5</v>
      </c>
      <c r="AE5225" s="580">
        <f t="shared" si="442"/>
        <v>2.5</v>
      </c>
      <c r="AF5225" s="580">
        <f t="shared" si="443"/>
        <v>2.5</v>
      </c>
      <c r="AG5225" s="580">
        <f t="shared" si="444"/>
        <v>0</v>
      </c>
      <c r="AH5225" s="580">
        <f t="shared" si="445"/>
        <v>0</v>
      </c>
    </row>
    <row r="5226" spans="28:34">
      <c r="AB5226" s="580">
        <f>HLOOKUP("*"&amp;'Output annual'!$AC$2&amp;'Output annual'!$AD$2&amp;"*Zone People Number Of Occupants [](Hourly)",'Eplus results'!$1:$1048576,ROW(),FALSE)</f>
        <v>0</v>
      </c>
      <c r="AC5226" s="580">
        <f>HLOOKUP("*"&amp;'Output annual'!$AC$2&amp;'Output annual'!$AD$2&amp;"*FangerPMV(Hourly)",'Eplus results'!$1:$1048576,ROW(),FALSE)</f>
        <v>0</v>
      </c>
      <c r="AD5226" s="580">
        <f t="shared" si="441"/>
        <v>5</v>
      </c>
      <c r="AE5226" s="580">
        <f t="shared" si="442"/>
        <v>2.5</v>
      </c>
      <c r="AF5226" s="580">
        <f t="shared" si="443"/>
        <v>2.5</v>
      </c>
      <c r="AG5226" s="580">
        <f t="shared" si="444"/>
        <v>0</v>
      </c>
      <c r="AH5226" s="580">
        <f t="shared" si="445"/>
        <v>0</v>
      </c>
    </row>
    <row r="5227" spans="28:34">
      <c r="AB5227" s="580">
        <f>HLOOKUP("*"&amp;'Output annual'!$AC$2&amp;'Output annual'!$AD$2&amp;"*Zone People Number Of Occupants [](Hourly)",'Eplus results'!$1:$1048576,ROW(),FALSE)</f>
        <v>0</v>
      </c>
      <c r="AC5227" s="580">
        <f>HLOOKUP("*"&amp;'Output annual'!$AC$2&amp;'Output annual'!$AD$2&amp;"*FangerPMV(Hourly)",'Eplus results'!$1:$1048576,ROW(),FALSE)</f>
        <v>0</v>
      </c>
      <c r="AD5227" s="580">
        <f t="shared" si="441"/>
        <v>5</v>
      </c>
      <c r="AE5227" s="580">
        <f t="shared" si="442"/>
        <v>2.5</v>
      </c>
      <c r="AF5227" s="580">
        <f t="shared" si="443"/>
        <v>2.5</v>
      </c>
      <c r="AG5227" s="580">
        <f t="shared" si="444"/>
        <v>0</v>
      </c>
      <c r="AH5227" s="580">
        <f t="shared" si="445"/>
        <v>0</v>
      </c>
    </row>
    <row r="5228" spans="28:34">
      <c r="AB5228" s="580">
        <f>HLOOKUP("*"&amp;'Output annual'!$AC$2&amp;'Output annual'!$AD$2&amp;"*Zone People Number Of Occupants [](Hourly)",'Eplus results'!$1:$1048576,ROW(),FALSE)</f>
        <v>0</v>
      </c>
      <c r="AC5228" s="580">
        <f>HLOOKUP("*"&amp;'Output annual'!$AC$2&amp;'Output annual'!$AD$2&amp;"*FangerPMV(Hourly)",'Eplus results'!$1:$1048576,ROW(),FALSE)</f>
        <v>0</v>
      </c>
      <c r="AD5228" s="580">
        <f t="shared" si="441"/>
        <v>5</v>
      </c>
      <c r="AE5228" s="580">
        <f t="shared" si="442"/>
        <v>2.5</v>
      </c>
      <c r="AF5228" s="580">
        <f t="shared" si="443"/>
        <v>2.5</v>
      </c>
      <c r="AG5228" s="580">
        <f t="shared" si="444"/>
        <v>0</v>
      </c>
      <c r="AH5228" s="580">
        <f t="shared" si="445"/>
        <v>0</v>
      </c>
    </row>
    <row r="5229" spans="28:34">
      <c r="AB5229" s="580">
        <f>HLOOKUP("*"&amp;'Output annual'!$AC$2&amp;'Output annual'!$AD$2&amp;"*Zone People Number Of Occupants [](Hourly)",'Eplus results'!$1:$1048576,ROW(),FALSE)</f>
        <v>0</v>
      </c>
      <c r="AC5229" s="580">
        <f>HLOOKUP("*"&amp;'Output annual'!$AC$2&amp;'Output annual'!$AD$2&amp;"*FangerPMV(Hourly)",'Eplus results'!$1:$1048576,ROW(),FALSE)</f>
        <v>0</v>
      </c>
      <c r="AD5229" s="580">
        <f t="shared" si="441"/>
        <v>5</v>
      </c>
      <c r="AE5229" s="580">
        <f t="shared" si="442"/>
        <v>2.5</v>
      </c>
      <c r="AF5229" s="580">
        <f t="shared" si="443"/>
        <v>2.5</v>
      </c>
      <c r="AG5229" s="580">
        <f t="shared" si="444"/>
        <v>0</v>
      </c>
      <c r="AH5229" s="580">
        <f t="shared" si="445"/>
        <v>0</v>
      </c>
    </row>
    <row r="5230" spans="28:34">
      <c r="AB5230" s="580">
        <f>HLOOKUP("*"&amp;'Output annual'!$AC$2&amp;'Output annual'!$AD$2&amp;"*Zone People Number Of Occupants [](Hourly)",'Eplus results'!$1:$1048576,ROW(),FALSE)</f>
        <v>0</v>
      </c>
      <c r="AC5230" s="580">
        <f>HLOOKUP("*"&amp;'Output annual'!$AC$2&amp;'Output annual'!$AD$2&amp;"*FangerPMV(Hourly)",'Eplus results'!$1:$1048576,ROW(),FALSE)</f>
        <v>0</v>
      </c>
      <c r="AD5230" s="580">
        <f t="shared" si="441"/>
        <v>5</v>
      </c>
      <c r="AE5230" s="580">
        <f t="shared" si="442"/>
        <v>2.5</v>
      </c>
      <c r="AF5230" s="580">
        <f t="shared" si="443"/>
        <v>2.5</v>
      </c>
      <c r="AG5230" s="580">
        <f t="shared" si="444"/>
        <v>0</v>
      </c>
      <c r="AH5230" s="580">
        <f t="shared" si="445"/>
        <v>0</v>
      </c>
    </row>
    <row r="5231" spans="28:34">
      <c r="AB5231" s="580">
        <f>HLOOKUP("*"&amp;'Output annual'!$AC$2&amp;'Output annual'!$AD$2&amp;"*Zone People Number Of Occupants [](Hourly)",'Eplus results'!$1:$1048576,ROW(),FALSE)</f>
        <v>0</v>
      </c>
      <c r="AC5231" s="580">
        <f>HLOOKUP("*"&amp;'Output annual'!$AC$2&amp;'Output annual'!$AD$2&amp;"*FangerPMV(Hourly)",'Eplus results'!$1:$1048576,ROW(),FALSE)</f>
        <v>0</v>
      </c>
      <c r="AD5231" s="580">
        <f t="shared" si="441"/>
        <v>5</v>
      </c>
      <c r="AE5231" s="580">
        <f t="shared" si="442"/>
        <v>2.5</v>
      </c>
      <c r="AF5231" s="580">
        <f t="shared" si="443"/>
        <v>2.5</v>
      </c>
      <c r="AG5231" s="580">
        <f t="shared" si="444"/>
        <v>0</v>
      </c>
      <c r="AH5231" s="580">
        <f t="shared" si="445"/>
        <v>0</v>
      </c>
    </row>
    <row r="5232" spans="28:34">
      <c r="AB5232" s="580">
        <f>HLOOKUP("*"&amp;'Output annual'!$AC$2&amp;'Output annual'!$AD$2&amp;"*Zone People Number Of Occupants [](Hourly)",'Eplus results'!$1:$1048576,ROW(),FALSE)</f>
        <v>0</v>
      </c>
      <c r="AC5232" s="580">
        <f>HLOOKUP("*"&amp;'Output annual'!$AC$2&amp;'Output annual'!$AD$2&amp;"*FangerPMV(Hourly)",'Eplus results'!$1:$1048576,ROW(),FALSE)</f>
        <v>0</v>
      </c>
      <c r="AD5232" s="580">
        <f t="shared" si="441"/>
        <v>5</v>
      </c>
      <c r="AE5232" s="580">
        <f t="shared" si="442"/>
        <v>2.5</v>
      </c>
      <c r="AF5232" s="580">
        <f t="shared" si="443"/>
        <v>2.5</v>
      </c>
      <c r="AG5232" s="580">
        <f t="shared" si="444"/>
        <v>0</v>
      </c>
      <c r="AH5232" s="580">
        <f t="shared" si="445"/>
        <v>0</v>
      </c>
    </row>
    <row r="5233" spans="28:34">
      <c r="AB5233" s="580">
        <f>HLOOKUP("*"&amp;'Output annual'!$AC$2&amp;'Output annual'!$AD$2&amp;"*Zone People Number Of Occupants [](Hourly)",'Eplus results'!$1:$1048576,ROW(),FALSE)</f>
        <v>0</v>
      </c>
      <c r="AC5233" s="580">
        <f>HLOOKUP("*"&amp;'Output annual'!$AC$2&amp;'Output annual'!$AD$2&amp;"*FangerPMV(Hourly)",'Eplus results'!$1:$1048576,ROW(),FALSE)</f>
        <v>0</v>
      </c>
      <c r="AD5233" s="580">
        <f t="shared" si="441"/>
        <v>5</v>
      </c>
      <c r="AE5233" s="580">
        <f t="shared" si="442"/>
        <v>2.5</v>
      </c>
      <c r="AF5233" s="580">
        <f t="shared" si="443"/>
        <v>2.5</v>
      </c>
      <c r="AG5233" s="580">
        <f t="shared" si="444"/>
        <v>0</v>
      </c>
      <c r="AH5233" s="580">
        <f t="shared" si="445"/>
        <v>0</v>
      </c>
    </row>
    <row r="5234" spans="28:34">
      <c r="AB5234" s="580">
        <f>HLOOKUP("*"&amp;'Output annual'!$AC$2&amp;'Output annual'!$AD$2&amp;"*Zone People Number Of Occupants [](Hourly)",'Eplus results'!$1:$1048576,ROW(),FALSE)</f>
        <v>0</v>
      </c>
      <c r="AC5234" s="580">
        <f>HLOOKUP("*"&amp;'Output annual'!$AC$2&amp;'Output annual'!$AD$2&amp;"*FangerPMV(Hourly)",'Eplus results'!$1:$1048576,ROW(),FALSE)</f>
        <v>0</v>
      </c>
      <c r="AD5234" s="580">
        <f t="shared" si="441"/>
        <v>5</v>
      </c>
      <c r="AE5234" s="580">
        <f t="shared" si="442"/>
        <v>2.5</v>
      </c>
      <c r="AF5234" s="580">
        <f t="shared" si="443"/>
        <v>2.5</v>
      </c>
      <c r="AG5234" s="580">
        <f t="shared" si="444"/>
        <v>0</v>
      </c>
      <c r="AH5234" s="580">
        <f t="shared" si="445"/>
        <v>0</v>
      </c>
    </row>
    <row r="5235" spans="28:34">
      <c r="AB5235" s="580">
        <f>HLOOKUP("*"&amp;'Output annual'!$AC$2&amp;'Output annual'!$AD$2&amp;"*Zone People Number Of Occupants [](Hourly)",'Eplus results'!$1:$1048576,ROW(),FALSE)</f>
        <v>0</v>
      </c>
      <c r="AC5235" s="580">
        <f>HLOOKUP("*"&amp;'Output annual'!$AC$2&amp;'Output annual'!$AD$2&amp;"*FangerPMV(Hourly)",'Eplus results'!$1:$1048576,ROW(),FALSE)</f>
        <v>0</v>
      </c>
      <c r="AD5235" s="580">
        <f t="shared" si="441"/>
        <v>5</v>
      </c>
      <c r="AE5235" s="580">
        <f t="shared" si="442"/>
        <v>2.5</v>
      </c>
      <c r="AF5235" s="580">
        <f t="shared" si="443"/>
        <v>2.5</v>
      </c>
      <c r="AG5235" s="580">
        <f t="shared" si="444"/>
        <v>0</v>
      </c>
      <c r="AH5235" s="580">
        <f t="shared" si="445"/>
        <v>0</v>
      </c>
    </row>
    <row r="5236" spans="28:34">
      <c r="AB5236" s="580">
        <f>HLOOKUP("*"&amp;'Output annual'!$AC$2&amp;'Output annual'!$AD$2&amp;"*Zone People Number Of Occupants [](Hourly)",'Eplus results'!$1:$1048576,ROW(),FALSE)</f>
        <v>0</v>
      </c>
      <c r="AC5236" s="580">
        <f>HLOOKUP("*"&amp;'Output annual'!$AC$2&amp;'Output annual'!$AD$2&amp;"*FangerPMV(Hourly)",'Eplus results'!$1:$1048576,ROW(),FALSE)</f>
        <v>0</v>
      </c>
      <c r="AD5236" s="580">
        <f t="shared" si="441"/>
        <v>5</v>
      </c>
      <c r="AE5236" s="580">
        <f t="shared" si="442"/>
        <v>2.5</v>
      </c>
      <c r="AF5236" s="580">
        <f t="shared" si="443"/>
        <v>2.5</v>
      </c>
      <c r="AG5236" s="580">
        <f t="shared" si="444"/>
        <v>0</v>
      </c>
      <c r="AH5236" s="580">
        <f t="shared" si="445"/>
        <v>0</v>
      </c>
    </row>
    <row r="5237" spans="28:34">
      <c r="AB5237" s="580">
        <f>HLOOKUP("*"&amp;'Output annual'!$AC$2&amp;'Output annual'!$AD$2&amp;"*Zone People Number Of Occupants [](Hourly)",'Eplus results'!$1:$1048576,ROW(),FALSE)</f>
        <v>0</v>
      </c>
      <c r="AC5237" s="580">
        <f>HLOOKUP("*"&amp;'Output annual'!$AC$2&amp;'Output annual'!$AD$2&amp;"*FangerPMV(Hourly)",'Eplus results'!$1:$1048576,ROW(),FALSE)</f>
        <v>0</v>
      </c>
      <c r="AD5237" s="580">
        <f t="shared" si="441"/>
        <v>5</v>
      </c>
      <c r="AE5237" s="580">
        <f t="shared" si="442"/>
        <v>2.5</v>
      </c>
      <c r="AF5237" s="580">
        <f t="shared" si="443"/>
        <v>2.5</v>
      </c>
      <c r="AG5237" s="580">
        <f t="shared" si="444"/>
        <v>0</v>
      </c>
      <c r="AH5237" s="580">
        <f t="shared" si="445"/>
        <v>0</v>
      </c>
    </row>
    <row r="5238" spans="28:34">
      <c r="AB5238" s="580">
        <f>HLOOKUP("*"&amp;'Output annual'!$AC$2&amp;'Output annual'!$AD$2&amp;"*Zone People Number Of Occupants [](Hourly)",'Eplus results'!$1:$1048576,ROW(),FALSE)</f>
        <v>0</v>
      </c>
      <c r="AC5238" s="580">
        <f>HLOOKUP("*"&amp;'Output annual'!$AC$2&amp;'Output annual'!$AD$2&amp;"*FangerPMV(Hourly)",'Eplus results'!$1:$1048576,ROW(),FALSE)</f>
        <v>0</v>
      </c>
      <c r="AD5238" s="580">
        <f t="shared" si="441"/>
        <v>5</v>
      </c>
      <c r="AE5238" s="580">
        <f t="shared" si="442"/>
        <v>2.5</v>
      </c>
      <c r="AF5238" s="580">
        <f t="shared" si="443"/>
        <v>2.5</v>
      </c>
      <c r="AG5238" s="580">
        <f t="shared" si="444"/>
        <v>0</v>
      </c>
      <c r="AH5238" s="580">
        <f t="shared" si="445"/>
        <v>0</v>
      </c>
    </row>
    <row r="5239" spans="28:34">
      <c r="AB5239" s="580">
        <f>HLOOKUP("*"&amp;'Output annual'!$AC$2&amp;'Output annual'!$AD$2&amp;"*Zone People Number Of Occupants [](Hourly)",'Eplus results'!$1:$1048576,ROW(),FALSE)</f>
        <v>0</v>
      </c>
      <c r="AC5239" s="580">
        <f>HLOOKUP("*"&amp;'Output annual'!$AC$2&amp;'Output annual'!$AD$2&amp;"*FangerPMV(Hourly)",'Eplus results'!$1:$1048576,ROW(),FALSE)</f>
        <v>0</v>
      </c>
      <c r="AD5239" s="580">
        <f t="shared" si="441"/>
        <v>5</v>
      </c>
      <c r="AE5239" s="580">
        <f t="shared" si="442"/>
        <v>2.5</v>
      </c>
      <c r="AF5239" s="580">
        <f t="shared" si="443"/>
        <v>2.5</v>
      </c>
      <c r="AG5239" s="580">
        <f t="shared" si="444"/>
        <v>0</v>
      </c>
      <c r="AH5239" s="580">
        <f t="shared" si="445"/>
        <v>0</v>
      </c>
    </row>
    <row r="5240" spans="28:34">
      <c r="AB5240" s="580">
        <f>HLOOKUP("*"&amp;'Output annual'!$AC$2&amp;'Output annual'!$AD$2&amp;"*Zone People Number Of Occupants [](Hourly)",'Eplus results'!$1:$1048576,ROW(),FALSE)</f>
        <v>0</v>
      </c>
      <c r="AC5240" s="580">
        <f>HLOOKUP("*"&amp;'Output annual'!$AC$2&amp;'Output annual'!$AD$2&amp;"*FangerPMV(Hourly)",'Eplus results'!$1:$1048576,ROW(),FALSE)</f>
        <v>0</v>
      </c>
      <c r="AD5240" s="580">
        <f t="shared" si="441"/>
        <v>5</v>
      </c>
      <c r="AE5240" s="580">
        <f t="shared" si="442"/>
        <v>2.5</v>
      </c>
      <c r="AF5240" s="580">
        <f t="shared" si="443"/>
        <v>2.5</v>
      </c>
      <c r="AG5240" s="580">
        <f t="shared" si="444"/>
        <v>0</v>
      </c>
      <c r="AH5240" s="580">
        <f t="shared" si="445"/>
        <v>0</v>
      </c>
    </row>
    <row r="5241" spans="28:34">
      <c r="AB5241" s="580">
        <f>HLOOKUP("*"&amp;'Output annual'!$AC$2&amp;'Output annual'!$AD$2&amp;"*Zone People Number Of Occupants [](Hourly)",'Eplus results'!$1:$1048576,ROW(),FALSE)</f>
        <v>0</v>
      </c>
      <c r="AC5241" s="580">
        <f>HLOOKUP("*"&amp;'Output annual'!$AC$2&amp;'Output annual'!$AD$2&amp;"*FangerPMV(Hourly)",'Eplus results'!$1:$1048576,ROW(),FALSE)</f>
        <v>0</v>
      </c>
      <c r="AD5241" s="580">
        <f t="shared" si="441"/>
        <v>5</v>
      </c>
      <c r="AE5241" s="580">
        <f t="shared" si="442"/>
        <v>2.5</v>
      </c>
      <c r="AF5241" s="580">
        <f t="shared" si="443"/>
        <v>2.5</v>
      </c>
      <c r="AG5241" s="580">
        <f t="shared" si="444"/>
        <v>0</v>
      </c>
      <c r="AH5241" s="580">
        <f t="shared" si="445"/>
        <v>0</v>
      </c>
    </row>
    <row r="5242" spans="28:34">
      <c r="AB5242" s="580">
        <f>HLOOKUP("*"&amp;'Output annual'!$AC$2&amp;'Output annual'!$AD$2&amp;"*Zone People Number Of Occupants [](Hourly)",'Eplus results'!$1:$1048576,ROW(),FALSE)</f>
        <v>0</v>
      </c>
      <c r="AC5242" s="580">
        <f>HLOOKUP("*"&amp;'Output annual'!$AC$2&amp;'Output annual'!$AD$2&amp;"*FangerPMV(Hourly)",'Eplus results'!$1:$1048576,ROW(),FALSE)</f>
        <v>0</v>
      </c>
      <c r="AD5242" s="580">
        <f t="shared" si="441"/>
        <v>5</v>
      </c>
      <c r="AE5242" s="580">
        <f t="shared" si="442"/>
        <v>2.5</v>
      </c>
      <c r="AF5242" s="580">
        <f t="shared" si="443"/>
        <v>2.5</v>
      </c>
      <c r="AG5242" s="580">
        <f t="shared" si="444"/>
        <v>0</v>
      </c>
      <c r="AH5242" s="580">
        <f t="shared" si="445"/>
        <v>0</v>
      </c>
    </row>
    <row r="5243" spans="28:34">
      <c r="AB5243" s="580">
        <f>HLOOKUP("*"&amp;'Output annual'!$AC$2&amp;'Output annual'!$AD$2&amp;"*Zone People Number Of Occupants [](Hourly)",'Eplus results'!$1:$1048576,ROW(),FALSE)</f>
        <v>0</v>
      </c>
      <c r="AC5243" s="580">
        <f>HLOOKUP("*"&amp;'Output annual'!$AC$2&amp;'Output annual'!$AD$2&amp;"*FangerPMV(Hourly)",'Eplus results'!$1:$1048576,ROW(),FALSE)</f>
        <v>0</v>
      </c>
      <c r="AD5243" s="580">
        <f t="shared" si="441"/>
        <v>5</v>
      </c>
      <c r="AE5243" s="580">
        <f t="shared" si="442"/>
        <v>2.5</v>
      </c>
      <c r="AF5243" s="580">
        <f t="shared" si="443"/>
        <v>2.5</v>
      </c>
      <c r="AG5243" s="580">
        <f t="shared" si="444"/>
        <v>0</v>
      </c>
      <c r="AH5243" s="580">
        <f t="shared" si="445"/>
        <v>0</v>
      </c>
    </row>
    <row r="5244" spans="28:34">
      <c r="AB5244" s="580">
        <f>HLOOKUP("*"&amp;'Output annual'!$AC$2&amp;'Output annual'!$AD$2&amp;"*Zone People Number Of Occupants [](Hourly)",'Eplus results'!$1:$1048576,ROW(),FALSE)</f>
        <v>0</v>
      </c>
      <c r="AC5244" s="580">
        <f>HLOOKUP("*"&amp;'Output annual'!$AC$2&amp;'Output annual'!$AD$2&amp;"*FangerPMV(Hourly)",'Eplus results'!$1:$1048576,ROW(),FALSE)</f>
        <v>0</v>
      </c>
      <c r="AD5244" s="580">
        <f t="shared" si="441"/>
        <v>5</v>
      </c>
      <c r="AE5244" s="580">
        <f t="shared" si="442"/>
        <v>2.5</v>
      </c>
      <c r="AF5244" s="580">
        <f t="shared" si="443"/>
        <v>2.5</v>
      </c>
      <c r="AG5244" s="580">
        <f t="shared" si="444"/>
        <v>0</v>
      </c>
      <c r="AH5244" s="580">
        <f t="shared" si="445"/>
        <v>0</v>
      </c>
    </row>
    <row r="5245" spans="28:34">
      <c r="AB5245" s="580">
        <f>HLOOKUP("*"&amp;'Output annual'!$AC$2&amp;'Output annual'!$AD$2&amp;"*Zone People Number Of Occupants [](Hourly)",'Eplus results'!$1:$1048576,ROW(),FALSE)</f>
        <v>0</v>
      </c>
      <c r="AC5245" s="580">
        <f>HLOOKUP("*"&amp;'Output annual'!$AC$2&amp;'Output annual'!$AD$2&amp;"*FangerPMV(Hourly)",'Eplus results'!$1:$1048576,ROW(),FALSE)</f>
        <v>0</v>
      </c>
      <c r="AD5245" s="580">
        <f t="shared" si="441"/>
        <v>5</v>
      </c>
      <c r="AE5245" s="580">
        <f t="shared" si="442"/>
        <v>2.5</v>
      </c>
      <c r="AF5245" s="580">
        <f t="shared" si="443"/>
        <v>2.5</v>
      </c>
      <c r="AG5245" s="580">
        <f t="shared" si="444"/>
        <v>0</v>
      </c>
      <c r="AH5245" s="580">
        <f t="shared" si="445"/>
        <v>0</v>
      </c>
    </row>
    <row r="5246" spans="28:34">
      <c r="AB5246" s="580">
        <f>HLOOKUP("*"&amp;'Output annual'!$AC$2&amp;'Output annual'!$AD$2&amp;"*Zone People Number Of Occupants [](Hourly)",'Eplus results'!$1:$1048576,ROW(),FALSE)</f>
        <v>0</v>
      </c>
      <c r="AC5246" s="580">
        <f>HLOOKUP("*"&amp;'Output annual'!$AC$2&amp;'Output annual'!$AD$2&amp;"*FangerPMV(Hourly)",'Eplus results'!$1:$1048576,ROW(),FALSE)</f>
        <v>0</v>
      </c>
      <c r="AD5246" s="580">
        <f t="shared" si="441"/>
        <v>5</v>
      </c>
      <c r="AE5246" s="580">
        <f t="shared" si="442"/>
        <v>2.5</v>
      </c>
      <c r="AF5246" s="580">
        <f t="shared" si="443"/>
        <v>2.5</v>
      </c>
      <c r="AG5246" s="580">
        <f t="shared" si="444"/>
        <v>0</v>
      </c>
      <c r="AH5246" s="580">
        <f t="shared" si="445"/>
        <v>0</v>
      </c>
    </row>
    <row r="5247" spans="28:34">
      <c r="AB5247" s="580">
        <f>HLOOKUP("*"&amp;'Output annual'!$AC$2&amp;'Output annual'!$AD$2&amp;"*Zone People Number Of Occupants [](Hourly)",'Eplus results'!$1:$1048576,ROW(),FALSE)</f>
        <v>0</v>
      </c>
      <c r="AC5247" s="580">
        <f>HLOOKUP("*"&amp;'Output annual'!$AC$2&amp;'Output annual'!$AD$2&amp;"*FangerPMV(Hourly)",'Eplus results'!$1:$1048576,ROW(),FALSE)</f>
        <v>0</v>
      </c>
      <c r="AD5247" s="580">
        <f t="shared" si="441"/>
        <v>5</v>
      </c>
      <c r="AE5247" s="580">
        <f t="shared" si="442"/>
        <v>2.5</v>
      </c>
      <c r="AF5247" s="580">
        <f t="shared" si="443"/>
        <v>2.5</v>
      </c>
      <c r="AG5247" s="580">
        <f t="shared" si="444"/>
        <v>0</v>
      </c>
      <c r="AH5247" s="580">
        <f t="shared" si="445"/>
        <v>0</v>
      </c>
    </row>
    <row r="5248" spans="28:34">
      <c r="AB5248" s="580">
        <f>HLOOKUP("*"&amp;'Output annual'!$AC$2&amp;'Output annual'!$AD$2&amp;"*Zone People Number Of Occupants [](Hourly)",'Eplus results'!$1:$1048576,ROW(),FALSE)</f>
        <v>0</v>
      </c>
      <c r="AC5248" s="580">
        <f>HLOOKUP("*"&amp;'Output annual'!$AC$2&amp;'Output annual'!$AD$2&amp;"*FangerPMV(Hourly)",'Eplus results'!$1:$1048576,ROW(),FALSE)</f>
        <v>0</v>
      </c>
      <c r="AD5248" s="580">
        <f t="shared" si="441"/>
        <v>5</v>
      </c>
      <c r="AE5248" s="580">
        <f t="shared" si="442"/>
        <v>2.5</v>
      </c>
      <c r="AF5248" s="580">
        <f t="shared" si="443"/>
        <v>2.5</v>
      </c>
      <c r="AG5248" s="580">
        <f t="shared" si="444"/>
        <v>0</v>
      </c>
      <c r="AH5248" s="580">
        <f t="shared" si="445"/>
        <v>0</v>
      </c>
    </row>
    <row r="5249" spans="28:34">
      <c r="AB5249" s="580">
        <f>HLOOKUP("*"&amp;'Output annual'!$AC$2&amp;'Output annual'!$AD$2&amp;"*Zone People Number Of Occupants [](Hourly)",'Eplus results'!$1:$1048576,ROW(),FALSE)</f>
        <v>0</v>
      </c>
      <c r="AC5249" s="580">
        <f>HLOOKUP("*"&amp;'Output annual'!$AC$2&amp;'Output annual'!$AD$2&amp;"*FangerPMV(Hourly)",'Eplus results'!$1:$1048576,ROW(),FALSE)</f>
        <v>0</v>
      </c>
      <c r="AD5249" s="580">
        <f t="shared" si="441"/>
        <v>5</v>
      </c>
      <c r="AE5249" s="580">
        <f t="shared" si="442"/>
        <v>2.5</v>
      </c>
      <c r="AF5249" s="580">
        <f t="shared" si="443"/>
        <v>2.5</v>
      </c>
      <c r="AG5249" s="580">
        <f t="shared" si="444"/>
        <v>0</v>
      </c>
      <c r="AH5249" s="580">
        <f t="shared" si="445"/>
        <v>0</v>
      </c>
    </row>
    <row r="5250" spans="28:34">
      <c r="AB5250" s="580">
        <f>HLOOKUP("*"&amp;'Output annual'!$AC$2&amp;'Output annual'!$AD$2&amp;"*Zone People Number Of Occupants [](Hourly)",'Eplus results'!$1:$1048576,ROW(),FALSE)</f>
        <v>0</v>
      </c>
      <c r="AC5250" s="580">
        <f>HLOOKUP("*"&amp;'Output annual'!$AC$2&amp;'Output annual'!$AD$2&amp;"*FangerPMV(Hourly)",'Eplus results'!$1:$1048576,ROW(),FALSE)</f>
        <v>0</v>
      </c>
      <c r="AD5250" s="580">
        <f t="shared" si="441"/>
        <v>5</v>
      </c>
      <c r="AE5250" s="580">
        <f t="shared" si="442"/>
        <v>2.5</v>
      </c>
      <c r="AF5250" s="580">
        <f t="shared" si="443"/>
        <v>2.5</v>
      </c>
      <c r="AG5250" s="580">
        <f t="shared" si="444"/>
        <v>0</v>
      </c>
      <c r="AH5250" s="580">
        <f t="shared" si="445"/>
        <v>0</v>
      </c>
    </row>
    <row r="5251" spans="28:34">
      <c r="AB5251" s="580">
        <f>HLOOKUP("*"&amp;'Output annual'!$AC$2&amp;'Output annual'!$AD$2&amp;"*Zone People Number Of Occupants [](Hourly)",'Eplus results'!$1:$1048576,ROW(),FALSE)</f>
        <v>0</v>
      </c>
      <c r="AC5251" s="580">
        <f>HLOOKUP("*"&amp;'Output annual'!$AC$2&amp;'Output annual'!$AD$2&amp;"*FangerPMV(Hourly)",'Eplus results'!$1:$1048576,ROW(),FALSE)</f>
        <v>0</v>
      </c>
      <c r="AD5251" s="580">
        <f t="shared" ref="AD5251:AD5314" si="446">100-95*EXP(-0.03353*AC5251^4-0.2179*AC5251^2)</f>
        <v>5</v>
      </c>
      <c r="AE5251" s="580">
        <f t="shared" ref="AE5251:AE5314" si="447">AD5251*(1/(1+EXP(-6.3*$AC5251)))</f>
        <v>2.5</v>
      </c>
      <c r="AF5251" s="580">
        <f t="shared" ref="AF5251:AF5314" si="448">(AD5251-AE5251)</f>
        <v>2.5</v>
      </c>
      <c r="AG5251" s="580">
        <f t="shared" ref="AG5251:AG5314" si="449">AE5251*AB5251</f>
        <v>0</v>
      </c>
      <c r="AH5251" s="580">
        <f t="shared" ref="AH5251:AH5314" si="450">AF5251*AB5251</f>
        <v>0</v>
      </c>
    </row>
    <row r="5252" spans="28:34">
      <c r="AB5252" s="580">
        <f>HLOOKUP("*"&amp;'Output annual'!$AC$2&amp;'Output annual'!$AD$2&amp;"*Zone People Number Of Occupants [](Hourly)",'Eplus results'!$1:$1048576,ROW(),FALSE)</f>
        <v>0</v>
      </c>
      <c r="AC5252" s="580">
        <f>HLOOKUP("*"&amp;'Output annual'!$AC$2&amp;'Output annual'!$AD$2&amp;"*FangerPMV(Hourly)",'Eplus results'!$1:$1048576,ROW(),FALSE)</f>
        <v>0</v>
      </c>
      <c r="AD5252" s="580">
        <f t="shared" si="446"/>
        <v>5</v>
      </c>
      <c r="AE5252" s="580">
        <f t="shared" si="447"/>
        <v>2.5</v>
      </c>
      <c r="AF5252" s="580">
        <f t="shared" si="448"/>
        <v>2.5</v>
      </c>
      <c r="AG5252" s="580">
        <f t="shared" si="449"/>
        <v>0</v>
      </c>
      <c r="AH5252" s="580">
        <f t="shared" si="450"/>
        <v>0</v>
      </c>
    </row>
    <row r="5253" spans="28:34">
      <c r="AB5253" s="580">
        <f>HLOOKUP("*"&amp;'Output annual'!$AC$2&amp;'Output annual'!$AD$2&amp;"*Zone People Number Of Occupants [](Hourly)",'Eplus results'!$1:$1048576,ROW(),FALSE)</f>
        <v>0</v>
      </c>
      <c r="AC5253" s="580">
        <f>HLOOKUP("*"&amp;'Output annual'!$AC$2&amp;'Output annual'!$AD$2&amp;"*FangerPMV(Hourly)",'Eplus results'!$1:$1048576,ROW(),FALSE)</f>
        <v>0</v>
      </c>
      <c r="AD5253" s="580">
        <f t="shared" si="446"/>
        <v>5</v>
      </c>
      <c r="AE5253" s="580">
        <f t="shared" si="447"/>
        <v>2.5</v>
      </c>
      <c r="AF5253" s="580">
        <f t="shared" si="448"/>
        <v>2.5</v>
      </c>
      <c r="AG5253" s="580">
        <f t="shared" si="449"/>
        <v>0</v>
      </c>
      <c r="AH5253" s="580">
        <f t="shared" si="450"/>
        <v>0</v>
      </c>
    </row>
    <row r="5254" spans="28:34">
      <c r="AB5254" s="580">
        <f>HLOOKUP("*"&amp;'Output annual'!$AC$2&amp;'Output annual'!$AD$2&amp;"*Zone People Number Of Occupants [](Hourly)",'Eplus results'!$1:$1048576,ROW(),FALSE)</f>
        <v>0</v>
      </c>
      <c r="AC5254" s="580">
        <f>HLOOKUP("*"&amp;'Output annual'!$AC$2&amp;'Output annual'!$AD$2&amp;"*FangerPMV(Hourly)",'Eplus results'!$1:$1048576,ROW(),FALSE)</f>
        <v>0</v>
      </c>
      <c r="AD5254" s="580">
        <f t="shared" si="446"/>
        <v>5</v>
      </c>
      <c r="AE5254" s="580">
        <f t="shared" si="447"/>
        <v>2.5</v>
      </c>
      <c r="AF5254" s="580">
        <f t="shared" si="448"/>
        <v>2.5</v>
      </c>
      <c r="AG5254" s="580">
        <f t="shared" si="449"/>
        <v>0</v>
      </c>
      <c r="AH5254" s="580">
        <f t="shared" si="450"/>
        <v>0</v>
      </c>
    </row>
    <row r="5255" spans="28:34">
      <c r="AB5255" s="580">
        <f>HLOOKUP("*"&amp;'Output annual'!$AC$2&amp;'Output annual'!$AD$2&amp;"*Zone People Number Of Occupants [](Hourly)",'Eplus results'!$1:$1048576,ROW(),FALSE)</f>
        <v>0</v>
      </c>
      <c r="AC5255" s="580">
        <f>HLOOKUP("*"&amp;'Output annual'!$AC$2&amp;'Output annual'!$AD$2&amp;"*FangerPMV(Hourly)",'Eplus results'!$1:$1048576,ROW(),FALSE)</f>
        <v>0</v>
      </c>
      <c r="AD5255" s="580">
        <f t="shared" si="446"/>
        <v>5</v>
      </c>
      <c r="AE5255" s="580">
        <f t="shared" si="447"/>
        <v>2.5</v>
      </c>
      <c r="AF5255" s="580">
        <f t="shared" si="448"/>
        <v>2.5</v>
      </c>
      <c r="AG5255" s="580">
        <f t="shared" si="449"/>
        <v>0</v>
      </c>
      <c r="AH5255" s="580">
        <f t="shared" si="450"/>
        <v>0</v>
      </c>
    </row>
    <row r="5256" spans="28:34">
      <c r="AB5256" s="580">
        <f>HLOOKUP("*"&amp;'Output annual'!$AC$2&amp;'Output annual'!$AD$2&amp;"*Zone People Number Of Occupants [](Hourly)",'Eplus results'!$1:$1048576,ROW(),FALSE)</f>
        <v>0</v>
      </c>
      <c r="AC5256" s="580">
        <f>HLOOKUP("*"&amp;'Output annual'!$AC$2&amp;'Output annual'!$AD$2&amp;"*FangerPMV(Hourly)",'Eplus results'!$1:$1048576,ROW(),FALSE)</f>
        <v>0</v>
      </c>
      <c r="AD5256" s="580">
        <f t="shared" si="446"/>
        <v>5</v>
      </c>
      <c r="AE5256" s="580">
        <f t="shared" si="447"/>
        <v>2.5</v>
      </c>
      <c r="AF5256" s="580">
        <f t="shared" si="448"/>
        <v>2.5</v>
      </c>
      <c r="AG5256" s="580">
        <f t="shared" si="449"/>
        <v>0</v>
      </c>
      <c r="AH5256" s="580">
        <f t="shared" si="450"/>
        <v>0</v>
      </c>
    </row>
    <row r="5257" spans="28:34">
      <c r="AB5257" s="580">
        <f>HLOOKUP("*"&amp;'Output annual'!$AC$2&amp;'Output annual'!$AD$2&amp;"*Zone People Number Of Occupants [](Hourly)",'Eplus results'!$1:$1048576,ROW(),FALSE)</f>
        <v>0</v>
      </c>
      <c r="AC5257" s="580">
        <f>HLOOKUP("*"&amp;'Output annual'!$AC$2&amp;'Output annual'!$AD$2&amp;"*FangerPMV(Hourly)",'Eplus results'!$1:$1048576,ROW(),FALSE)</f>
        <v>0</v>
      </c>
      <c r="AD5257" s="580">
        <f t="shared" si="446"/>
        <v>5</v>
      </c>
      <c r="AE5257" s="580">
        <f t="shared" si="447"/>
        <v>2.5</v>
      </c>
      <c r="AF5257" s="580">
        <f t="shared" si="448"/>
        <v>2.5</v>
      </c>
      <c r="AG5257" s="580">
        <f t="shared" si="449"/>
        <v>0</v>
      </c>
      <c r="AH5257" s="580">
        <f t="shared" si="450"/>
        <v>0</v>
      </c>
    </row>
    <row r="5258" spans="28:34">
      <c r="AB5258" s="580">
        <f>HLOOKUP("*"&amp;'Output annual'!$AC$2&amp;'Output annual'!$AD$2&amp;"*Zone People Number Of Occupants [](Hourly)",'Eplus results'!$1:$1048576,ROW(),FALSE)</f>
        <v>0</v>
      </c>
      <c r="AC5258" s="580">
        <f>HLOOKUP("*"&amp;'Output annual'!$AC$2&amp;'Output annual'!$AD$2&amp;"*FangerPMV(Hourly)",'Eplus results'!$1:$1048576,ROW(),FALSE)</f>
        <v>0</v>
      </c>
      <c r="AD5258" s="580">
        <f t="shared" si="446"/>
        <v>5</v>
      </c>
      <c r="AE5258" s="580">
        <f t="shared" si="447"/>
        <v>2.5</v>
      </c>
      <c r="AF5258" s="580">
        <f t="shared" si="448"/>
        <v>2.5</v>
      </c>
      <c r="AG5258" s="580">
        <f t="shared" si="449"/>
        <v>0</v>
      </c>
      <c r="AH5258" s="580">
        <f t="shared" si="450"/>
        <v>0</v>
      </c>
    </row>
    <row r="5259" spans="28:34">
      <c r="AB5259" s="580">
        <f>HLOOKUP("*"&amp;'Output annual'!$AC$2&amp;'Output annual'!$AD$2&amp;"*Zone People Number Of Occupants [](Hourly)",'Eplus results'!$1:$1048576,ROW(),FALSE)</f>
        <v>0</v>
      </c>
      <c r="AC5259" s="580">
        <f>HLOOKUP("*"&amp;'Output annual'!$AC$2&amp;'Output annual'!$AD$2&amp;"*FangerPMV(Hourly)",'Eplus results'!$1:$1048576,ROW(),FALSE)</f>
        <v>0</v>
      </c>
      <c r="AD5259" s="580">
        <f t="shared" si="446"/>
        <v>5</v>
      </c>
      <c r="AE5259" s="580">
        <f t="shared" si="447"/>
        <v>2.5</v>
      </c>
      <c r="AF5259" s="580">
        <f t="shared" si="448"/>
        <v>2.5</v>
      </c>
      <c r="AG5259" s="580">
        <f t="shared" si="449"/>
        <v>0</v>
      </c>
      <c r="AH5259" s="580">
        <f t="shared" si="450"/>
        <v>0</v>
      </c>
    </row>
    <row r="5260" spans="28:34">
      <c r="AB5260" s="580">
        <f>HLOOKUP("*"&amp;'Output annual'!$AC$2&amp;'Output annual'!$AD$2&amp;"*Zone People Number Of Occupants [](Hourly)",'Eplus results'!$1:$1048576,ROW(),FALSE)</f>
        <v>0</v>
      </c>
      <c r="AC5260" s="580">
        <f>HLOOKUP("*"&amp;'Output annual'!$AC$2&amp;'Output annual'!$AD$2&amp;"*FangerPMV(Hourly)",'Eplus results'!$1:$1048576,ROW(),FALSE)</f>
        <v>0</v>
      </c>
      <c r="AD5260" s="580">
        <f t="shared" si="446"/>
        <v>5</v>
      </c>
      <c r="AE5260" s="580">
        <f t="shared" si="447"/>
        <v>2.5</v>
      </c>
      <c r="AF5260" s="580">
        <f t="shared" si="448"/>
        <v>2.5</v>
      </c>
      <c r="AG5260" s="580">
        <f t="shared" si="449"/>
        <v>0</v>
      </c>
      <c r="AH5260" s="580">
        <f t="shared" si="450"/>
        <v>0</v>
      </c>
    </row>
    <row r="5261" spans="28:34">
      <c r="AB5261" s="580">
        <f>HLOOKUP("*"&amp;'Output annual'!$AC$2&amp;'Output annual'!$AD$2&amp;"*Zone People Number Of Occupants [](Hourly)",'Eplus results'!$1:$1048576,ROW(),FALSE)</f>
        <v>0</v>
      </c>
      <c r="AC5261" s="580">
        <f>HLOOKUP("*"&amp;'Output annual'!$AC$2&amp;'Output annual'!$AD$2&amp;"*FangerPMV(Hourly)",'Eplus results'!$1:$1048576,ROW(),FALSE)</f>
        <v>0</v>
      </c>
      <c r="AD5261" s="580">
        <f t="shared" si="446"/>
        <v>5</v>
      </c>
      <c r="AE5261" s="580">
        <f t="shared" si="447"/>
        <v>2.5</v>
      </c>
      <c r="AF5261" s="580">
        <f t="shared" si="448"/>
        <v>2.5</v>
      </c>
      <c r="AG5261" s="580">
        <f t="shared" si="449"/>
        <v>0</v>
      </c>
      <c r="AH5261" s="580">
        <f t="shared" si="450"/>
        <v>0</v>
      </c>
    </row>
    <row r="5262" spans="28:34">
      <c r="AB5262" s="580">
        <f>HLOOKUP("*"&amp;'Output annual'!$AC$2&amp;'Output annual'!$AD$2&amp;"*Zone People Number Of Occupants [](Hourly)",'Eplus results'!$1:$1048576,ROW(),FALSE)</f>
        <v>0</v>
      </c>
      <c r="AC5262" s="580">
        <f>HLOOKUP("*"&amp;'Output annual'!$AC$2&amp;'Output annual'!$AD$2&amp;"*FangerPMV(Hourly)",'Eplus results'!$1:$1048576,ROW(),FALSE)</f>
        <v>0</v>
      </c>
      <c r="AD5262" s="580">
        <f t="shared" si="446"/>
        <v>5</v>
      </c>
      <c r="AE5262" s="580">
        <f t="shared" si="447"/>
        <v>2.5</v>
      </c>
      <c r="AF5262" s="580">
        <f t="shared" si="448"/>
        <v>2.5</v>
      </c>
      <c r="AG5262" s="580">
        <f t="shared" si="449"/>
        <v>0</v>
      </c>
      <c r="AH5262" s="580">
        <f t="shared" si="450"/>
        <v>0</v>
      </c>
    </row>
    <row r="5263" spans="28:34">
      <c r="AB5263" s="580">
        <f>HLOOKUP("*"&amp;'Output annual'!$AC$2&amp;'Output annual'!$AD$2&amp;"*Zone People Number Of Occupants [](Hourly)",'Eplus results'!$1:$1048576,ROW(),FALSE)</f>
        <v>0</v>
      </c>
      <c r="AC5263" s="580">
        <f>HLOOKUP("*"&amp;'Output annual'!$AC$2&amp;'Output annual'!$AD$2&amp;"*FangerPMV(Hourly)",'Eplus results'!$1:$1048576,ROW(),FALSE)</f>
        <v>0</v>
      </c>
      <c r="AD5263" s="580">
        <f t="shared" si="446"/>
        <v>5</v>
      </c>
      <c r="AE5263" s="580">
        <f t="shared" si="447"/>
        <v>2.5</v>
      </c>
      <c r="AF5263" s="580">
        <f t="shared" si="448"/>
        <v>2.5</v>
      </c>
      <c r="AG5263" s="580">
        <f t="shared" si="449"/>
        <v>0</v>
      </c>
      <c r="AH5263" s="580">
        <f t="shared" si="450"/>
        <v>0</v>
      </c>
    </row>
    <row r="5264" spans="28:34">
      <c r="AB5264" s="580">
        <f>HLOOKUP("*"&amp;'Output annual'!$AC$2&amp;'Output annual'!$AD$2&amp;"*Zone People Number Of Occupants [](Hourly)",'Eplus results'!$1:$1048576,ROW(),FALSE)</f>
        <v>0</v>
      </c>
      <c r="AC5264" s="580">
        <f>HLOOKUP("*"&amp;'Output annual'!$AC$2&amp;'Output annual'!$AD$2&amp;"*FangerPMV(Hourly)",'Eplus results'!$1:$1048576,ROW(),FALSE)</f>
        <v>0</v>
      </c>
      <c r="AD5264" s="580">
        <f t="shared" si="446"/>
        <v>5</v>
      </c>
      <c r="AE5264" s="580">
        <f t="shared" si="447"/>
        <v>2.5</v>
      </c>
      <c r="AF5264" s="580">
        <f t="shared" si="448"/>
        <v>2.5</v>
      </c>
      <c r="AG5264" s="580">
        <f t="shared" si="449"/>
        <v>0</v>
      </c>
      <c r="AH5264" s="580">
        <f t="shared" si="450"/>
        <v>0</v>
      </c>
    </row>
    <row r="5265" spans="28:34">
      <c r="AB5265" s="580">
        <f>HLOOKUP("*"&amp;'Output annual'!$AC$2&amp;'Output annual'!$AD$2&amp;"*Zone People Number Of Occupants [](Hourly)",'Eplus results'!$1:$1048576,ROW(),FALSE)</f>
        <v>0</v>
      </c>
      <c r="AC5265" s="580">
        <f>HLOOKUP("*"&amp;'Output annual'!$AC$2&amp;'Output annual'!$AD$2&amp;"*FangerPMV(Hourly)",'Eplus results'!$1:$1048576,ROW(),FALSE)</f>
        <v>0</v>
      </c>
      <c r="AD5265" s="580">
        <f t="shared" si="446"/>
        <v>5</v>
      </c>
      <c r="AE5265" s="580">
        <f t="shared" si="447"/>
        <v>2.5</v>
      </c>
      <c r="AF5265" s="580">
        <f t="shared" si="448"/>
        <v>2.5</v>
      </c>
      <c r="AG5265" s="580">
        <f t="shared" si="449"/>
        <v>0</v>
      </c>
      <c r="AH5265" s="580">
        <f t="shared" si="450"/>
        <v>0</v>
      </c>
    </row>
    <row r="5266" spans="28:34">
      <c r="AB5266" s="580">
        <f>HLOOKUP("*"&amp;'Output annual'!$AC$2&amp;'Output annual'!$AD$2&amp;"*Zone People Number Of Occupants [](Hourly)",'Eplus results'!$1:$1048576,ROW(),FALSE)</f>
        <v>0</v>
      </c>
      <c r="AC5266" s="580">
        <f>HLOOKUP("*"&amp;'Output annual'!$AC$2&amp;'Output annual'!$AD$2&amp;"*FangerPMV(Hourly)",'Eplus results'!$1:$1048576,ROW(),FALSE)</f>
        <v>0</v>
      </c>
      <c r="AD5266" s="580">
        <f t="shared" si="446"/>
        <v>5</v>
      </c>
      <c r="AE5266" s="580">
        <f t="shared" si="447"/>
        <v>2.5</v>
      </c>
      <c r="AF5266" s="580">
        <f t="shared" si="448"/>
        <v>2.5</v>
      </c>
      <c r="AG5266" s="580">
        <f t="shared" si="449"/>
        <v>0</v>
      </c>
      <c r="AH5266" s="580">
        <f t="shared" si="450"/>
        <v>0</v>
      </c>
    </row>
    <row r="5267" spans="28:34">
      <c r="AB5267" s="580">
        <f>HLOOKUP("*"&amp;'Output annual'!$AC$2&amp;'Output annual'!$AD$2&amp;"*Zone People Number Of Occupants [](Hourly)",'Eplus results'!$1:$1048576,ROW(),FALSE)</f>
        <v>0</v>
      </c>
      <c r="AC5267" s="580">
        <f>HLOOKUP("*"&amp;'Output annual'!$AC$2&amp;'Output annual'!$AD$2&amp;"*FangerPMV(Hourly)",'Eplus results'!$1:$1048576,ROW(),FALSE)</f>
        <v>0</v>
      </c>
      <c r="AD5267" s="580">
        <f t="shared" si="446"/>
        <v>5</v>
      </c>
      <c r="AE5267" s="580">
        <f t="shared" si="447"/>
        <v>2.5</v>
      </c>
      <c r="AF5267" s="580">
        <f t="shared" si="448"/>
        <v>2.5</v>
      </c>
      <c r="AG5267" s="580">
        <f t="shared" si="449"/>
        <v>0</v>
      </c>
      <c r="AH5267" s="580">
        <f t="shared" si="450"/>
        <v>0</v>
      </c>
    </row>
    <row r="5268" spans="28:34">
      <c r="AB5268" s="580">
        <f>HLOOKUP("*"&amp;'Output annual'!$AC$2&amp;'Output annual'!$AD$2&amp;"*Zone People Number Of Occupants [](Hourly)",'Eplus results'!$1:$1048576,ROW(),FALSE)</f>
        <v>0</v>
      </c>
      <c r="AC5268" s="580">
        <f>HLOOKUP("*"&amp;'Output annual'!$AC$2&amp;'Output annual'!$AD$2&amp;"*FangerPMV(Hourly)",'Eplus results'!$1:$1048576,ROW(),FALSE)</f>
        <v>0</v>
      </c>
      <c r="AD5268" s="580">
        <f t="shared" si="446"/>
        <v>5</v>
      </c>
      <c r="AE5268" s="580">
        <f t="shared" si="447"/>
        <v>2.5</v>
      </c>
      <c r="AF5268" s="580">
        <f t="shared" si="448"/>
        <v>2.5</v>
      </c>
      <c r="AG5268" s="580">
        <f t="shared" si="449"/>
        <v>0</v>
      </c>
      <c r="AH5268" s="580">
        <f t="shared" si="450"/>
        <v>0</v>
      </c>
    </row>
    <row r="5269" spans="28:34">
      <c r="AB5269" s="580">
        <f>HLOOKUP("*"&amp;'Output annual'!$AC$2&amp;'Output annual'!$AD$2&amp;"*Zone People Number Of Occupants [](Hourly)",'Eplus results'!$1:$1048576,ROW(),FALSE)</f>
        <v>0</v>
      </c>
      <c r="AC5269" s="580">
        <f>HLOOKUP("*"&amp;'Output annual'!$AC$2&amp;'Output annual'!$AD$2&amp;"*FangerPMV(Hourly)",'Eplus results'!$1:$1048576,ROW(),FALSE)</f>
        <v>0</v>
      </c>
      <c r="AD5269" s="580">
        <f t="shared" si="446"/>
        <v>5</v>
      </c>
      <c r="AE5269" s="580">
        <f t="shared" si="447"/>
        <v>2.5</v>
      </c>
      <c r="AF5269" s="580">
        <f t="shared" si="448"/>
        <v>2.5</v>
      </c>
      <c r="AG5269" s="580">
        <f t="shared" si="449"/>
        <v>0</v>
      </c>
      <c r="AH5269" s="580">
        <f t="shared" si="450"/>
        <v>0</v>
      </c>
    </row>
    <row r="5270" spans="28:34">
      <c r="AB5270" s="580">
        <f>HLOOKUP("*"&amp;'Output annual'!$AC$2&amp;'Output annual'!$AD$2&amp;"*Zone People Number Of Occupants [](Hourly)",'Eplus results'!$1:$1048576,ROW(),FALSE)</f>
        <v>0</v>
      </c>
      <c r="AC5270" s="580">
        <f>HLOOKUP("*"&amp;'Output annual'!$AC$2&amp;'Output annual'!$AD$2&amp;"*FangerPMV(Hourly)",'Eplus results'!$1:$1048576,ROW(),FALSE)</f>
        <v>0</v>
      </c>
      <c r="AD5270" s="580">
        <f t="shared" si="446"/>
        <v>5</v>
      </c>
      <c r="AE5270" s="580">
        <f t="shared" si="447"/>
        <v>2.5</v>
      </c>
      <c r="AF5270" s="580">
        <f t="shared" si="448"/>
        <v>2.5</v>
      </c>
      <c r="AG5270" s="580">
        <f t="shared" si="449"/>
        <v>0</v>
      </c>
      <c r="AH5270" s="580">
        <f t="shared" si="450"/>
        <v>0</v>
      </c>
    </row>
    <row r="5271" spans="28:34">
      <c r="AB5271" s="580">
        <f>HLOOKUP("*"&amp;'Output annual'!$AC$2&amp;'Output annual'!$AD$2&amp;"*Zone People Number Of Occupants [](Hourly)",'Eplus results'!$1:$1048576,ROW(),FALSE)</f>
        <v>0</v>
      </c>
      <c r="AC5271" s="580">
        <f>HLOOKUP("*"&amp;'Output annual'!$AC$2&amp;'Output annual'!$AD$2&amp;"*FangerPMV(Hourly)",'Eplus results'!$1:$1048576,ROW(),FALSE)</f>
        <v>0</v>
      </c>
      <c r="AD5271" s="580">
        <f t="shared" si="446"/>
        <v>5</v>
      </c>
      <c r="AE5271" s="580">
        <f t="shared" si="447"/>
        <v>2.5</v>
      </c>
      <c r="AF5271" s="580">
        <f t="shared" si="448"/>
        <v>2.5</v>
      </c>
      <c r="AG5271" s="580">
        <f t="shared" si="449"/>
        <v>0</v>
      </c>
      <c r="AH5271" s="580">
        <f t="shared" si="450"/>
        <v>0</v>
      </c>
    </row>
    <row r="5272" spans="28:34">
      <c r="AB5272" s="580">
        <f>HLOOKUP("*"&amp;'Output annual'!$AC$2&amp;'Output annual'!$AD$2&amp;"*Zone People Number Of Occupants [](Hourly)",'Eplus results'!$1:$1048576,ROW(),FALSE)</f>
        <v>0</v>
      </c>
      <c r="AC5272" s="580">
        <f>HLOOKUP("*"&amp;'Output annual'!$AC$2&amp;'Output annual'!$AD$2&amp;"*FangerPMV(Hourly)",'Eplus results'!$1:$1048576,ROW(),FALSE)</f>
        <v>0</v>
      </c>
      <c r="AD5272" s="580">
        <f t="shared" si="446"/>
        <v>5</v>
      </c>
      <c r="AE5272" s="580">
        <f t="shared" si="447"/>
        <v>2.5</v>
      </c>
      <c r="AF5272" s="580">
        <f t="shared" si="448"/>
        <v>2.5</v>
      </c>
      <c r="AG5272" s="580">
        <f t="shared" si="449"/>
        <v>0</v>
      </c>
      <c r="AH5272" s="580">
        <f t="shared" si="450"/>
        <v>0</v>
      </c>
    </row>
    <row r="5273" spans="28:34">
      <c r="AB5273" s="580">
        <f>HLOOKUP("*"&amp;'Output annual'!$AC$2&amp;'Output annual'!$AD$2&amp;"*Zone People Number Of Occupants [](Hourly)",'Eplus results'!$1:$1048576,ROW(),FALSE)</f>
        <v>0</v>
      </c>
      <c r="AC5273" s="580">
        <f>HLOOKUP("*"&amp;'Output annual'!$AC$2&amp;'Output annual'!$AD$2&amp;"*FangerPMV(Hourly)",'Eplus results'!$1:$1048576,ROW(),FALSE)</f>
        <v>0</v>
      </c>
      <c r="AD5273" s="580">
        <f t="shared" si="446"/>
        <v>5</v>
      </c>
      <c r="AE5273" s="580">
        <f t="shared" si="447"/>
        <v>2.5</v>
      </c>
      <c r="AF5273" s="580">
        <f t="shared" si="448"/>
        <v>2.5</v>
      </c>
      <c r="AG5273" s="580">
        <f t="shared" si="449"/>
        <v>0</v>
      </c>
      <c r="AH5273" s="580">
        <f t="shared" si="450"/>
        <v>0</v>
      </c>
    </row>
    <row r="5274" spans="28:34">
      <c r="AB5274" s="580">
        <f>HLOOKUP("*"&amp;'Output annual'!$AC$2&amp;'Output annual'!$AD$2&amp;"*Zone People Number Of Occupants [](Hourly)",'Eplus results'!$1:$1048576,ROW(),FALSE)</f>
        <v>0</v>
      </c>
      <c r="AC5274" s="580">
        <f>HLOOKUP("*"&amp;'Output annual'!$AC$2&amp;'Output annual'!$AD$2&amp;"*FangerPMV(Hourly)",'Eplus results'!$1:$1048576,ROW(),FALSE)</f>
        <v>0</v>
      </c>
      <c r="AD5274" s="580">
        <f t="shared" si="446"/>
        <v>5</v>
      </c>
      <c r="AE5274" s="580">
        <f t="shared" si="447"/>
        <v>2.5</v>
      </c>
      <c r="AF5274" s="580">
        <f t="shared" si="448"/>
        <v>2.5</v>
      </c>
      <c r="AG5274" s="580">
        <f t="shared" si="449"/>
        <v>0</v>
      </c>
      <c r="AH5274" s="580">
        <f t="shared" si="450"/>
        <v>0</v>
      </c>
    </row>
    <row r="5275" spans="28:34">
      <c r="AB5275" s="580">
        <f>HLOOKUP("*"&amp;'Output annual'!$AC$2&amp;'Output annual'!$AD$2&amp;"*Zone People Number Of Occupants [](Hourly)",'Eplus results'!$1:$1048576,ROW(),FALSE)</f>
        <v>0</v>
      </c>
      <c r="AC5275" s="580">
        <f>HLOOKUP("*"&amp;'Output annual'!$AC$2&amp;'Output annual'!$AD$2&amp;"*FangerPMV(Hourly)",'Eplus results'!$1:$1048576,ROW(),FALSE)</f>
        <v>0</v>
      </c>
      <c r="AD5275" s="580">
        <f t="shared" si="446"/>
        <v>5</v>
      </c>
      <c r="AE5275" s="580">
        <f t="shared" si="447"/>
        <v>2.5</v>
      </c>
      <c r="AF5275" s="580">
        <f t="shared" si="448"/>
        <v>2.5</v>
      </c>
      <c r="AG5275" s="580">
        <f t="shared" si="449"/>
        <v>0</v>
      </c>
      <c r="AH5275" s="580">
        <f t="shared" si="450"/>
        <v>0</v>
      </c>
    </row>
    <row r="5276" spans="28:34">
      <c r="AB5276" s="580">
        <f>HLOOKUP("*"&amp;'Output annual'!$AC$2&amp;'Output annual'!$AD$2&amp;"*Zone People Number Of Occupants [](Hourly)",'Eplus results'!$1:$1048576,ROW(),FALSE)</f>
        <v>0</v>
      </c>
      <c r="AC5276" s="580">
        <f>HLOOKUP("*"&amp;'Output annual'!$AC$2&amp;'Output annual'!$AD$2&amp;"*FangerPMV(Hourly)",'Eplus results'!$1:$1048576,ROW(),FALSE)</f>
        <v>0</v>
      </c>
      <c r="AD5276" s="580">
        <f t="shared" si="446"/>
        <v>5</v>
      </c>
      <c r="AE5276" s="580">
        <f t="shared" si="447"/>
        <v>2.5</v>
      </c>
      <c r="AF5276" s="580">
        <f t="shared" si="448"/>
        <v>2.5</v>
      </c>
      <c r="AG5276" s="580">
        <f t="shared" si="449"/>
        <v>0</v>
      </c>
      <c r="AH5276" s="580">
        <f t="shared" si="450"/>
        <v>0</v>
      </c>
    </row>
    <row r="5277" spans="28:34">
      <c r="AB5277" s="580">
        <f>HLOOKUP("*"&amp;'Output annual'!$AC$2&amp;'Output annual'!$AD$2&amp;"*Zone People Number Of Occupants [](Hourly)",'Eplus results'!$1:$1048576,ROW(),FALSE)</f>
        <v>0</v>
      </c>
      <c r="AC5277" s="580">
        <f>HLOOKUP("*"&amp;'Output annual'!$AC$2&amp;'Output annual'!$AD$2&amp;"*FangerPMV(Hourly)",'Eplus results'!$1:$1048576,ROW(),FALSE)</f>
        <v>0</v>
      </c>
      <c r="AD5277" s="580">
        <f t="shared" si="446"/>
        <v>5</v>
      </c>
      <c r="AE5277" s="580">
        <f t="shared" si="447"/>
        <v>2.5</v>
      </c>
      <c r="AF5277" s="580">
        <f t="shared" si="448"/>
        <v>2.5</v>
      </c>
      <c r="AG5277" s="580">
        <f t="shared" si="449"/>
        <v>0</v>
      </c>
      <c r="AH5277" s="580">
        <f t="shared" si="450"/>
        <v>0</v>
      </c>
    </row>
    <row r="5278" spans="28:34">
      <c r="AB5278" s="580">
        <f>HLOOKUP("*"&amp;'Output annual'!$AC$2&amp;'Output annual'!$AD$2&amp;"*Zone People Number Of Occupants [](Hourly)",'Eplus results'!$1:$1048576,ROW(),FALSE)</f>
        <v>0</v>
      </c>
      <c r="AC5278" s="580">
        <f>HLOOKUP("*"&amp;'Output annual'!$AC$2&amp;'Output annual'!$AD$2&amp;"*FangerPMV(Hourly)",'Eplus results'!$1:$1048576,ROW(),FALSE)</f>
        <v>0</v>
      </c>
      <c r="AD5278" s="580">
        <f t="shared" si="446"/>
        <v>5</v>
      </c>
      <c r="AE5278" s="580">
        <f t="shared" si="447"/>
        <v>2.5</v>
      </c>
      <c r="AF5278" s="580">
        <f t="shared" si="448"/>
        <v>2.5</v>
      </c>
      <c r="AG5278" s="580">
        <f t="shared" si="449"/>
        <v>0</v>
      </c>
      <c r="AH5278" s="580">
        <f t="shared" si="450"/>
        <v>0</v>
      </c>
    </row>
    <row r="5279" spans="28:34">
      <c r="AB5279" s="580">
        <f>HLOOKUP("*"&amp;'Output annual'!$AC$2&amp;'Output annual'!$AD$2&amp;"*Zone People Number Of Occupants [](Hourly)",'Eplus results'!$1:$1048576,ROW(),FALSE)</f>
        <v>0</v>
      </c>
      <c r="AC5279" s="580">
        <f>HLOOKUP("*"&amp;'Output annual'!$AC$2&amp;'Output annual'!$AD$2&amp;"*FangerPMV(Hourly)",'Eplus results'!$1:$1048576,ROW(),FALSE)</f>
        <v>0</v>
      </c>
      <c r="AD5279" s="580">
        <f t="shared" si="446"/>
        <v>5</v>
      </c>
      <c r="AE5279" s="580">
        <f t="shared" si="447"/>
        <v>2.5</v>
      </c>
      <c r="AF5279" s="580">
        <f t="shared" si="448"/>
        <v>2.5</v>
      </c>
      <c r="AG5279" s="580">
        <f t="shared" si="449"/>
        <v>0</v>
      </c>
      <c r="AH5279" s="580">
        <f t="shared" si="450"/>
        <v>0</v>
      </c>
    </row>
    <row r="5280" spans="28:34">
      <c r="AB5280" s="580">
        <f>HLOOKUP("*"&amp;'Output annual'!$AC$2&amp;'Output annual'!$AD$2&amp;"*Zone People Number Of Occupants [](Hourly)",'Eplus results'!$1:$1048576,ROW(),FALSE)</f>
        <v>0</v>
      </c>
      <c r="AC5280" s="580">
        <f>HLOOKUP("*"&amp;'Output annual'!$AC$2&amp;'Output annual'!$AD$2&amp;"*FangerPMV(Hourly)",'Eplus results'!$1:$1048576,ROW(),FALSE)</f>
        <v>0</v>
      </c>
      <c r="AD5280" s="580">
        <f t="shared" si="446"/>
        <v>5</v>
      </c>
      <c r="AE5280" s="580">
        <f t="shared" si="447"/>
        <v>2.5</v>
      </c>
      <c r="AF5280" s="580">
        <f t="shared" si="448"/>
        <v>2.5</v>
      </c>
      <c r="AG5280" s="580">
        <f t="shared" si="449"/>
        <v>0</v>
      </c>
      <c r="AH5280" s="580">
        <f t="shared" si="450"/>
        <v>0</v>
      </c>
    </row>
    <row r="5281" spans="28:34">
      <c r="AB5281" s="580">
        <f>HLOOKUP("*"&amp;'Output annual'!$AC$2&amp;'Output annual'!$AD$2&amp;"*Zone People Number Of Occupants [](Hourly)",'Eplus results'!$1:$1048576,ROW(),FALSE)</f>
        <v>0</v>
      </c>
      <c r="AC5281" s="580">
        <f>HLOOKUP("*"&amp;'Output annual'!$AC$2&amp;'Output annual'!$AD$2&amp;"*FangerPMV(Hourly)",'Eplus results'!$1:$1048576,ROW(),FALSE)</f>
        <v>0</v>
      </c>
      <c r="AD5281" s="580">
        <f t="shared" si="446"/>
        <v>5</v>
      </c>
      <c r="AE5281" s="580">
        <f t="shared" si="447"/>
        <v>2.5</v>
      </c>
      <c r="AF5281" s="580">
        <f t="shared" si="448"/>
        <v>2.5</v>
      </c>
      <c r="AG5281" s="580">
        <f t="shared" si="449"/>
        <v>0</v>
      </c>
      <c r="AH5281" s="580">
        <f t="shared" si="450"/>
        <v>0</v>
      </c>
    </row>
    <row r="5282" spans="28:34">
      <c r="AB5282" s="580">
        <f>HLOOKUP("*"&amp;'Output annual'!$AC$2&amp;'Output annual'!$AD$2&amp;"*Zone People Number Of Occupants [](Hourly)",'Eplus results'!$1:$1048576,ROW(),FALSE)</f>
        <v>0</v>
      </c>
      <c r="AC5282" s="580">
        <f>HLOOKUP("*"&amp;'Output annual'!$AC$2&amp;'Output annual'!$AD$2&amp;"*FangerPMV(Hourly)",'Eplus results'!$1:$1048576,ROW(),FALSE)</f>
        <v>0</v>
      </c>
      <c r="AD5282" s="580">
        <f t="shared" si="446"/>
        <v>5</v>
      </c>
      <c r="AE5282" s="580">
        <f t="shared" si="447"/>
        <v>2.5</v>
      </c>
      <c r="AF5282" s="580">
        <f t="shared" si="448"/>
        <v>2.5</v>
      </c>
      <c r="AG5282" s="580">
        <f t="shared" si="449"/>
        <v>0</v>
      </c>
      <c r="AH5282" s="580">
        <f t="shared" si="450"/>
        <v>0</v>
      </c>
    </row>
    <row r="5283" spans="28:34">
      <c r="AB5283" s="580">
        <f>HLOOKUP("*"&amp;'Output annual'!$AC$2&amp;'Output annual'!$AD$2&amp;"*Zone People Number Of Occupants [](Hourly)",'Eplus results'!$1:$1048576,ROW(),FALSE)</f>
        <v>0</v>
      </c>
      <c r="AC5283" s="580">
        <f>HLOOKUP("*"&amp;'Output annual'!$AC$2&amp;'Output annual'!$AD$2&amp;"*FangerPMV(Hourly)",'Eplus results'!$1:$1048576,ROW(),FALSE)</f>
        <v>0</v>
      </c>
      <c r="AD5283" s="580">
        <f t="shared" si="446"/>
        <v>5</v>
      </c>
      <c r="AE5283" s="580">
        <f t="shared" si="447"/>
        <v>2.5</v>
      </c>
      <c r="AF5283" s="580">
        <f t="shared" si="448"/>
        <v>2.5</v>
      </c>
      <c r="AG5283" s="580">
        <f t="shared" si="449"/>
        <v>0</v>
      </c>
      <c r="AH5283" s="580">
        <f t="shared" si="450"/>
        <v>0</v>
      </c>
    </row>
    <row r="5284" spans="28:34">
      <c r="AB5284" s="580">
        <f>HLOOKUP("*"&amp;'Output annual'!$AC$2&amp;'Output annual'!$AD$2&amp;"*Zone People Number Of Occupants [](Hourly)",'Eplus results'!$1:$1048576,ROW(),FALSE)</f>
        <v>0</v>
      </c>
      <c r="AC5284" s="580">
        <f>HLOOKUP("*"&amp;'Output annual'!$AC$2&amp;'Output annual'!$AD$2&amp;"*FangerPMV(Hourly)",'Eplus results'!$1:$1048576,ROW(),FALSE)</f>
        <v>0</v>
      </c>
      <c r="AD5284" s="580">
        <f t="shared" si="446"/>
        <v>5</v>
      </c>
      <c r="AE5284" s="580">
        <f t="shared" si="447"/>
        <v>2.5</v>
      </c>
      <c r="AF5284" s="580">
        <f t="shared" si="448"/>
        <v>2.5</v>
      </c>
      <c r="AG5284" s="580">
        <f t="shared" si="449"/>
        <v>0</v>
      </c>
      <c r="AH5284" s="580">
        <f t="shared" si="450"/>
        <v>0</v>
      </c>
    </row>
    <row r="5285" spans="28:34">
      <c r="AB5285" s="580">
        <f>HLOOKUP("*"&amp;'Output annual'!$AC$2&amp;'Output annual'!$AD$2&amp;"*Zone People Number Of Occupants [](Hourly)",'Eplus results'!$1:$1048576,ROW(),FALSE)</f>
        <v>0</v>
      </c>
      <c r="AC5285" s="580">
        <f>HLOOKUP("*"&amp;'Output annual'!$AC$2&amp;'Output annual'!$AD$2&amp;"*FangerPMV(Hourly)",'Eplus results'!$1:$1048576,ROW(),FALSE)</f>
        <v>0</v>
      </c>
      <c r="AD5285" s="580">
        <f t="shared" si="446"/>
        <v>5</v>
      </c>
      <c r="AE5285" s="580">
        <f t="shared" si="447"/>
        <v>2.5</v>
      </c>
      <c r="AF5285" s="580">
        <f t="shared" si="448"/>
        <v>2.5</v>
      </c>
      <c r="AG5285" s="580">
        <f t="shared" si="449"/>
        <v>0</v>
      </c>
      <c r="AH5285" s="580">
        <f t="shared" si="450"/>
        <v>0</v>
      </c>
    </row>
    <row r="5286" spans="28:34">
      <c r="AB5286" s="580">
        <f>HLOOKUP("*"&amp;'Output annual'!$AC$2&amp;'Output annual'!$AD$2&amp;"*Zone People Number Of Occupants [](Hourly)",'Eplus results'!$1:$1048576,ROW(),FALSE)</f>
        <v>0</v>
      </c>
      <c r="AC5286" s="580">
        <f>HLOOKUP("*"&amp;'Output annual'!$AC$2&amp;'Output annual'!$AD$2&amp;"*FangerPMV(Hourly)",'Eplus results'!$1:$1048576,ROW(),FALSE)</f>
        <v>0</v>
      </c>
      <c r="AD5286" s="580">
        <f t="shared" si="446"/>
        <v>5</v>
      </c>
      <c r="AE5286" s="580">
        <f t="shared" si="447"/>
        <v>2.5</v>
      </c>
      <c r="AF5286" s="580">
        <f t="shared" si="448"/>
        <v>2.5</v>
      </c>
      <c r="AG5286" s="580">
        <f t="shared" si="449"/>
        <v>0</v>
      </c>
      <c r="AH5286" s="580">
        <f t="shared" si="450"/>
        <v>0</v>
      </c>
    </row>
    <row r="5287" spans="28:34">
      <c r="AB5287" s="580">
        <f>HLOOKUP("*"&amp;'Output annual'!$AC$2&amp;'Output annual'!$AD$2&amp;"*Zone People Number Of Occupants [](Hourly)",'Eplus results'!$1:$1048576,ROW(),FALSE)</f>
        <v>0</v>
      </c>
      <c r="AC5287" s="580">
        <f>HLOOKUP("*"&amp;'Output annual'!$AC$2&amp;'Output annual'!$AD$2&amp;"*FangerPMV(Hourly)",'Eplus results'!$1:$1048576,ROW(),FALSE)</f>
        <v>0</v>
      </c>
      <c r="AD5287" s="580">
        <f t="shared" si="446"/>
        <v>5</v>
      </c>
      <c r="AE5287" s="580">
        <f t="shared" si="447"/>
        <v>2.5</v>
      </c>
      <c r="AF5287" s="580">
        <f t="shared" si="448"/>
        <v>2.5</v>
      </c>
      <c r="AG5287" s="580">
        <f t="shared" si="449"/>
        <v>0</v>
      </c>
      <c r="AH5287" s="580">
        <f t="shared" si="450"/>
        <v>0</v>
      </c>
    </row>
    <row r="5288" spans="28:34">
      <c r="AB5288" s="580">
        <f>HLOOKUP("*"&amp;'Output annual'!$AC$2&amp;'Output annual'!$AD$2&amp;"*Zone People Number Of Occupants [](Hourly)",'Eplus results'!$1:$1048576,ROW(),FALSE)</f>
        <v>0</v>
      </c>
      <c r="AC5288" s="580">
        <f>HLOOKUP("*"&amp;'Output annual'!$AC$2&amp;'Output annual'!$AD$2&amp;"*FangerPMV(Hourly)",'Eplus results'!$1:$1048576,ROW(),FALSE)</f>
        <v>0</v>
      </c>
      <c r="AD5288" s="580">
        <f t="shared" si="446"/>
        <v>5</v>
      </c>
      <c r="AE5288" s="580">
        <f t="shared" si="447"/>
        <v>2.5</v>
      </c>
      <c r="AF5288" s="580">
        <f t="shared" si="448"/>
        <v>2.5</v>
      </c>
      <c r="AG5288" s="580">
        <f t="shared" si="449"/>
        <v>0</v>
      </c>
      <c r="AH5288" s="580">
        <f t="shared" si="450"/>
        <v>0</v>
      </c>
    </row>
    <row r="5289" spans="28:34">
      <c r="AB5289" s="580">
        <f>HLOOKUP("*"&amp;'Output annual'!$AC$2&amp;'Output annual'!$AD$2&amp;"*Zone People Number Of Occupants [](Hourly)",'Eplus results'!$1:$1048576,ROW(),FALSE)</f>
        <v>0</v>
      </c>
      <c r="AC5289" s="580">
        <f>HLOOKUP("*"&amp;'Output annual'!$AC$2&amp;'Output annual'!$AD$2&amp;"*FangerPMV(Hourly)",'Eplus results'!$1:$1048576,ROW(),FALSE)</f>
        <v>0</v>
      </c>
      <c r="AD5289" s="580">
        <f t="shared" si="446"/>
        <v>5</v>
      </c>
      <c r="AE5289" s="580">
        <f t="shared" si="447"/>
        <v>2.5</v>
      </c>
      <c r="AF5289" s="580">
        <f t="shared" si="448"/>
        <v>2.5</v>
      </c>
      <c r="AG5289" s="580">
        <f t="shared" si="449"/>
        <v>0</v>
      </c>
      <c r="AH5289" s="580">
        <f t="shared" si="450"/>
        <v>0</v>
      </c>
    </row>
    <row r="5290" spans="28:34">
      <c r="AB5290" s="580">
        <f>HLOOKUP("*"&amp;'Output annual'!$AC$2&amp;'Output annual'!$AD$2&amp;"*Zone People Number Of Occupants [](Hourly)",'Eplus results'!$1:$1048576,ROW(),FALSE)</f>
        <v>0</v>
      </c>
      <c r="AC5290" s="580">
        <f>HLOOKUP("*"&amp;'Output annual'!$AC$2&amp;'Output annual'!$AD$2&amp;"*FangerPMV(Hourly)",'Eplus results'!$1:$1048576,ROW(),FALSE)</f>
        <v>0</v>
      </c>
      <c r="AD5290" s="580">
        <f t="shared" si="446"/>
        <v>5</v>
      </c>
      <c r="AE5290" s="580">
        <f t="shared" si="447"/>
        <v>2.5</v>
      </c>
      <c r="AF5290" s="580">
        <f t="shared" si="448"/>
        <v>2.5</v>
      </c>
      <c r="AG5290" s="580">
        <f t="shared" si="449"/>
        <v>0</v>
      </c>
      <c r="AH5290" s="580">
        <f t="shared" si="450"/>
        <v>0</v>
      </c>
    </row>
    <row r="5291" spans="28:34">
      <c r="AB5291" s="580">
        <f>HLOOKUP("*"&amp;'Output annual'!$AC$2&amp;'Output annual'!$AD$2&amp;"*Zone People Number Of Occupants [](Hourly)",'Eplus results'!$1:$1048576,ROW(),FALSE)</f>
        <v>0</v>
      </c>
      <c r="AC5291" s="580">
        <f>HLOOKUP("*"&amp;'Output annual'!$AC$2&amp;'Output annual'!$AD$2&amp;"*FangerPMV(Hourly)",'Eplus results'!$1:$1048576,ROW(),FALSE)</f>
        <v>0</v>
      </c>
      <c r="AD5291" s="580">
        <f t="shared" si="446"/>
        <v>5</v>
      </c>
      <c r="AE5291" s="580">
        <f t="shared" si="447"/>
        <v>2.5</v>
      </c>
      <c r="AF5291" s="580">
        <f t="shared" si="448"/>
        <v>2.5</v>
      </c>
      <c r="AG5291" s="580">
        <f t="shared" si="449"/>
        <v>0</v>
      </c>
      <c r="AH5291" s="580">
        <f t="shared" si="450"/>
        <v>0</v>
      </c>
    </row>
    <row r="5292" spans="28:34">
      <c r="AB5292" s="580">
        <f>HLOOKUP("*"&amp;'Output annual'!$AC$2&amp;'Output annual'!$AD$2&amp;"*Zone People Number Of Occupants [](Hourly)",'Eplus results'!$1:$1048576,ROW(),FALSE)</f>
        <v>0</v>
      </c>
      <c r="AC5292" s="580">
        <f>HLOOKUP("*"&amp;'Output annual'!$AC$2&amp;'Output annual'!$AD$2&amp;"*FangerPMV(Hourly)",'Eplus results'!$1:$1048576,ROW(),FALSE)</f>
        <v>0</v>
      </c>
      <c r="AD5292" s="580">
        <f t="shared" si="446"/>
        <v>5</v>
      </c>
      <c r="AE5292" s="580">
        <f t="shared" si="447"/>
        <v>2.5</v>
      </c>
      <c r="AF5292" s="580">
        <f t="shared" si="448"/>
        <v>2.5</v>
      </c>
      <c r="AG5292" s="580">
        <f t="shared" si="449"/>
        <v>0</v>
      </c>
      <c r="AH5292" s="580">
        <f t="shared" si="450"/>
        <v>0</v>
      </c>
    </row>
    <row r="5293" spans="28:34">
      <c r="AB5293" s="580">
        <f>HLOOKUP("*"&amp;'Output annual'!$AC$2&amp;'Output annual'!$AD$2&amp;"*Zone People Number Of Occupants [](Hourly)",'Eplus results'!$1:$1048576,ROW(),FALSE)</f>
        <v>0</v>
      </c>
      <c r="AC5293" s="580">
        <f>HLOOKUP("*"&amp;'Output annual'!$AC$2&amp;'Output annual'!$AD$2&amp;"*FangerPMV(Hourly)",'Eplus results'!$1:$1048576,ROW(),FALSE)</f>
        <v>0</v>
      </c>
      <c r="AD5293" s="580">
        <f t="shared" si="446"/>
        <v>5</v>
      </c>
      <c r="AE5293" s="580">
        <f t="shared" si="447"/>
        <v>2.5</v>
      </c>
      <c r="AF5293" s="580">
        <f t="shared" si="448"/>
        <v>2.5</v>
      </c>
      <c r="AG5293" s="580">
        <f t="shared" si="449"/>
        <v>0</v>
      </c>
      <c r="AH5293" s="580">
        <f t="shared" si="450"/>
        <v>0</v>
      </c>
    </row>
    <row r="5294" spans="28:34">
      <c r="AB5294" s="580">
        <f>HLOOKUP("*"&amp;'Output annual'!$AC$2&amp;'Output annual'!$AD$2&amp;"*Zone People Number Of Occupants [](Hourly)",'Eplus results'!$1:$1048576,ROW(),FALSE)</f>
        <v>0</v>
      </c>
      <c r="AC5294" s="580">
        <f>HLOOKUP("*"&amp;'Output annual'!$AC$2&amp;'Output annual'!$AD$2&amp;"*FangerPMV(Hourly)",'Eplus results'!$1:$1048576,ROW(),FALSE)</f>
        <v>0</v>
      </c>
      <c r="AD5294" s="580">
        <f t="shared" si="446"/>
        <v>5</v>
      </c>
      <c r="AE5294" s="580">
        <f t="shared" si="447"/>
        <v>2.5</v>
      </c>
      <c r="AF5294" s="580">
        <f t="shared" si="448"/>
        <v>2.5</v>
      </c>
      <c r="AG5294" s="580">
        <f t="shared" si="449"/>
        <v>0</v>
      </c>
      <c r="AH5294" s="580">
        <f t="shared" si="450"/>
        <v>0</v>
      </c>
    </row>
    <row r="5295" spans="28:34">
      <c r="AB5295" s="580">
        <f>HLOOKUP("*"&amp;'Output annual'!$AC$2&amp;'Output annual'!$AD$2&amp;"*Zone People Number Of Occupants [](Hourly)",'Eplus results'!$1:$1048576,ROW(),FALSE)</f>
        <v>0</v>
      </c>
      <c r="AC5295" s="580">
        <f>HLOOKUP("*"&amp;'Output annual'!$AC$2&amp;'Output annual'!$AD$2&amp;"*FangerPMV(Hourly)",'Eplus results'!$1:$1048576,ROW(),FALSE)</f>
        <v>0</v>
      </c>
      <c r="AD5295" s="580">
        <f t="shared" si="446"/>
        <v>5</v>
      </c>
      <c r="AE5295" s="580">
        <f t="shared" si="447"/>
        <v>2.5</v>
      </c>
      <c r="AF5295" s="580">
        <f t="shared" si="448"/>
        <v>2.5</v>
      </c>
      <c r="AG5295" s="580">
        <f t="shared" si="449"/>
        <v>0</v>
      </c>
      <c r="AH5295" s="580">
        <f t="shared" si="450"/>
        <v>0</v>
      </c>
    </row>
    <row r="5296" spans="28:34">
      <c r="AB5296" s="580">
        <f>HLOOKUP("*"&amp;'Output annual'!$AC$2&amp;'Output annual'!$AD$2&amp;"*Zone People Number Of Occupants [](Hourly)",'Eplus results'!$1:$1048576,ROW(),FALSE)</f>
        <v>0</v>
      </c>
      <c r="AC5296" s="580">
        <f>HLOOKUP("*"&amp;'Output annual'!$AC$2&amp;'Output annual'!$AD$2&amp;"*FangerPMV(Hourly)",'Eplus results'!$1:$1048576,ROW(),FALSE)</f>
        <v>0</v>
      </c>
      <c r="AD5296" s="580">
        <f t="shared" si="446"/>
        <v>5</v>
      </c>
      <c r="AE5296" s="580">
        <f t="shared" si="447"/>
        <v>2.5</v>
      </c>
      <c r="AF5296" s="580">
        <f t="shared" si="448"/>
        <v>2.5</v>
      </c>
      <c r="AG5296" s="580">
        <f t="shared" si="449"/>
        <v>0</v>
      </c>
      <c r="AH5296" s="580">
        <f t="shared" si="450"/>
        <v>0</v>
      </c>
    </row>
    <row r="5297" spans="28:34">
      <c r="AB5297" s="580">
        <f>HLOOKUP("*"&amp;'Output annual'!$AC$2&amp;'Output annual'!$AD$2&amp;"*Zone People Number Of Occupants [](Hourly)",'Eplus results'!$1:$1048576,ROW(),FALSE)</f>
        <v>0</v>
      </c>
      <c r="AC5297" s="580">
        <f>HLOOKUP("*"&amp;'Output annual'!$AC$2&amp;'Output annual'!$AD$2&amp;"*FangerPMV(Hourly)",'Eplus results'!$1:$1048576,ROW(),FALSE)</f>
        <v>0</v>
      </c>
      <c r="AD5297" s="580">
        <f t="shared" si="446"/>
        <v>5</v>
      </c>
      <c r="AE5297" s="580">
        <f t="shared" si="447"/>
        <v>2.5</v>
      </c>
      <c r="AF5297" s="580">
        <f t="shared" si="448"/>
        <v>2.5</v>
      </c>
      <c r="AG5297" s="580">
        <f t="shared" si="449"/>
        <v>0</v>
      </c>
      <c r="AH5297" s="580">
        <f t="shared" si="450"/>
        <v>0</v>
      </c>
    </row>
    <row r="5298" spans="28:34">
      <c r="AB5298" s="580">
        <f>HLOOKUP("*"&amp;'Output annual'!$AC$2&amp;'Output annual'!$AD$2&amp;"*Zone People Number Of Occupants [](Hourly)",'Eplus results'!$1:$1048576,ROW(),FALSE)</f>
        <v>0</v>
      </c>
      <c r="AC5298" s="580">
        <f>HLOOKUP("*"&amp;'Output annual'!$AC$2&amp;'Output annual'!$AD$2&amp;"*FangerPMV(Hourly)",'Eplus results'!$1:$1048576,ROW(),FALSE)</f>
        <v>0</v>
      </c>
      <c r="AD5298" s="580">
        <f t="shared" si="446"/>
        <v>5</v>
      </c>
      <c r="AE5298" s="580">
        <f t="shared" si="447"/>
        <v>2.5</v>
      </c>
      <c r="AF5298" s="580">
        <f t="shared" si="448"/>
        <v>2.5</v>
      </c>
      <c r="AG5298" s="580">
        <f t="shared" si="449"/>
        <v>0</v>
      </c>
      <c r="AH5298" s="580">
        <f t="shared" si="450"/>
        <v>0</v>
      </c>
    </row>
    <row r="5299" spans="28:34">
      <c r="AB5299" s="580">
        <f>HLOOKUP("*"&amp;'Output annual'!$AC$2&amp;'Output annual'!$AD$2&amp;"*Zone People Number Of Occupants [](Hourly)",'Eplus results'!$1:$1048576,ROW(),FALSE)</f>
        <v>0</v>
      </c>
      <c r="AC5299" s="580">
        <f>HLOOKUP("*"&amp;'Output annual'!$AC$2&amp;'Output annual'!$AD$2&amp;"*FangerPMV(Hourly)",'Eplus results'!$1:$1048576,ROW(),FALSE)</f>
        <v>0</v>
      </c>
      <c r="AD5299" s="580">
        <f t="shared" si="446"/>
        <v>5</v>
      </c>
      <c r="AE5299" s="580">
        <f t="shared" si="447"/>
        <v>2.5</v>
      </c>
      <c r="AF5299" s="580">
        <f t="shared" si="448"/>
        <v>2.5</v>
      </c>
      <c r="AG5299" s="580">
        <f t="shared" si="449"/>
        <v>0</v>
      </c>
      <c r="AH5299" s="580">
        <f t="shared" si="450"/>
        <v>0</v>
      </c>
    </row>
    <row r="5300" spans="28:34">
      <c r="AB5300" s="580">
        <f>HLOOKUP("*"&amp;'Output annual'!$AC$2&amp;'Output annual'!$AD$2&amp;"*Zone People Number Of Occupants [](Hourly)",'Eplus results'!$1:$1048576,ROW(),FALSE)</f>
        <v>0</v>
      </c>
      <c r="AC5300" s="580">
        <f>HLOOKUP("*"&amp;'Output annual'!$AC$2&amp;'Output annual'!$AD$2&amp;"*FangerPMV(Hourly)",'Eplus results'!$1:$1048576,ROW(),FALSE)</f>
        <v>0</v>
      </c>
      <c r="AD5300" s="580">
        <f t="shared" si="446"/>
        <v>5</v>
      </c>
      <c r="AE5300" s="580">
        <f t="shared" si="447"/>
        <v>2.5</v>
      </c>
      <c r="AF5300" s="580">
        <f t="shared" si="448"/>
        <v>2.5</v>
      </c>
      <c r="AG5300" s="580">
        <f t="shared" si="449"/>
        <v>0</v>
      </c>
      <c r="AH5300" s="580">
        <f t="shared" si="450"/>
        <v>0</v>
      </c>
    </row>
    <row r="5301" spans="28:34">
      <c r="AB5301" s="580">
        <f>HLOOKUP("*"&amp;'Output annual'!$AC$2&amp;'Output annual'!$AD$2&amp;"*Zone People Number Of Occupants [](Hourly)",'Eplus results'!$1:$1048576,ROW(),FALSE)</f>
        <v>0</v>
      </c>
      <c r="AC5301" s="580">
        <f>HLOOKUP("*"&amp;'Output annual'!$AC$2&amp;'Output annual'!$AD$2&amp;"*FangerPMV(Hourly)",'Eplus results'!$1:$1048576,ROW(),FALSE)</f>
        <v>0</v>
      </c>
      <c r="AD5301" s="580">
        <f t="shared" si="446"/>
        <v>5</v>
      </c>
      <c r="AE5301" s="580">
        <f t="shared" si="447"/>
        <v>2.5</v>
      </c>
      <c r="AF5301" s="580">
        <f t="shared" si="448"/>
        <v>2.5</v>
      </c>
      <c r="AG5301" s="580">
        <f t="shared" si="449"/>
        <v>0</v>
      </c>
      <c r="AH5301" s="580">
        <f t="shared" si="450"/>
        <v>0</v>
      </c>
    </row>
    <row r="5302" spans="28:34">
      <c r="AB5302" s="580">
        <f>HLOOKUP("*"&amp;'Output annual'!$AC$2&amp;'Output annual'!$AD$2&amp;"*Zone People Number Of Occupants [](Hourly)",'Eplus results'!$1:$1048576,ROW(),FALSE)</f>
        <v>0</v>
      </c>
      <c r="AC5302" s="580">
        <f>HLOOKUP("*"&amp;'Output annual'!$AC$2&amp;'Output annual'!$AD$2&amp;"*FangerPMV(Hourly)",'Eplus results'!$1:$1048576,ROW(),FALSE)</f>
        <v>0</v>
      </c>
      <c r="AD5302" s="580">
        <f t="shared" si="446"/>
        <v>5</v>
      </c>
      <c r="AE5302" s="580">
        <f t="shared" si="447"/>
        <v>2.5</v>
      </c>
      <c r="AF5302" s="580">
        <f t="shared" si="448"/>
        <v>2.5</v>
      </c>
      <c r="AG5302" s="580">
        <f t="shared" si="449"/>
        <v>0</v>
      </c>
      <c r="AH5302" s="580">
        <f t="shared" si="450"/>
        <v>0</v>
      </c>
    </row>
    <row r="5303" spans="28:34">
      <c r="AB5303" s="580">
        <f>HLOOKUP("*"&amp;'Output annual'!$AC$2&amp;'Output annual'!$AD$2&amp;"*Zone People Number Of Occupants [](Hourly)",'Eplus results'!$1:$1048576,ROW(),FALSE)</f>
        <v>0</v>
      </c>
      <c r="AC5303" s="580">
        <f>HLOOKUP("*"&amp;'Output annual'!$AC$2&amp;'Output annual'!$AD$2&amp;"*FangerPMV(Hourly)",'Eplus results'!$1:$1048576,ROW(),FALSE)</f>
        <v>0</v>
      </c>
      <c r="AD5303" s="580">
        <f t="shared" si="446"/>
        <v>5</v>
      </c>
      <c r="AE5303" s="580">
        <f t="shared" si="447"/>
        <v>2.5</v>
      </c>
      <c r="AF5303" s="580">
        <f t="shared" si="448"/>
        <v>2.5</v>
      </c>
      <c r="AG5303" s="580">
        <f t="shared" si="449"/>
        <v>0</v>
      </c>
      <c r="AH5303" s="580">
        <f t="shared" si="450"/>
        <v>0</v>
      </c>
    </row>
    <row r="5304" spans="28:34">
      <c r="AB5304" s="580">
        <f>HLOOKUP("*"&amp;'Output annual'!$AC$2&amp;'Output annual'!$AD$2&amp;"*Zone People Number Of Occupants [](Hourly)",'Eplus results'!$1:$1048576,ROW(),FALSE)</f>
        <v>0</v>
      </c>
      <c r="AC5304" s="580">
        <f>HLOOKUP("*"&amp;'Output annual'!$AC$2&amp;'Output annual'!$AD$2&amp;"*FangerPMV(Hourly)",'Eplus results'!$1:$1048576,ROW(),FALSE)</f>
        <v>0</v>
      </c>
      <c r="AD5304" s="580">
        <f t="shared" si="446"/>
        <v>5</v>
      </c>
      <c r="AE5304" s="580">
        <f t="shared" si="447"/>
        <v>2.5</v>
      </c>
      <c r="AF5304" s="580">
        <f t="shared" si="448"/>
        <v>2.5</v>
      </c>
      <c r="AG5304" s="580">
        <f t="shared" si="449"/>
        <v>0</v>
      </c>
      <c r="AH5304" s="580">
        <f t="shared" si="450"/>
        <v>0</v>
      </c>
    </row>
    <row r="5305" spans="28:34">
      <c r="AB5305" s="580">
        <f>HLOOKUP("*"&amp;'Output annual'!$AC$2&amp;'Output annual'!$AD$2&amp;"*Zone People Number Of Occupants [](Hourly)",'Eplus results'!$1:$1048576,ROW(),FALSE)</f>
        <v>0</v>
      </c>
      <c r="AC5305" s="580">
        <f>HLOOKUP("*"&amp;'Output annual'!$AC$2&amp;'Output annual'!$AD$2&amp;"*FangerPMV(Hourly)",'Eplus results'!$1:$1048576,ROW(),FALSE)</f>
        <v>0</v>
      </c>
      <c r="AD5305" s="580">
        <f t="shared" si="446"/>
        <v>5</v>
      </c>
      <c r="AE5305" s="580">
        <f t="shared" si="447"/>
        <v>2.5</v>
      </c>
      <c r="AF5305" s="580">
        <f t="shared" si="448"/>
        <v>2.5</v>
      </c>
      <c r="AG5305" s="580">
        <f t="shared" si="449"/>
        <v>0</v>
      </c>
      <c r="AH5305" s="580">
        <f t="shared" si="450"/>
        <v>0</v>
      </c>
    </row>
    <row r="5306" spans="28:34">
      <c r="AB5306" s="580">
        <f>HLOOKUP("*"&amp;'Output annual'!$AC$2&amp;'Output annual'!$AD$2&amp;"*Zone People Number Of Occupants [](Hourly)",'Eplus results'!$1:$1048576,ROW(),FALSE)</f>
        <v>0</v>
      </c>
      <c r="AC5306" s="580">
        <f>HLOOKUP("*"&amp;'Output annual'!$AC$2&amp;'Output annual'!$AD$2&amp;"*FangerPMV(Hourly)",'Eplus results'!$1:$1048576,ROW(),FALSE)</f>
        <v>0</v>
      </c>
      <c r="AD5306" s="580">
        <f t="shared" si="446"/>
        <v>5</v>
      </c>
      <c r="AE5306" s="580">
        <f t="shared" si="447"/>
        <v>2.5</v>
      </c>
      <c r="AF5306" s="580">
        <f t="shared" si="448"/>
        <v>2.5</v>
      </c>
      <c r="AG5306" s="580">
        <f t="shared" si="449"/>
        <v>0</v>
      </c>
      <c r="AH5306" s="580">
        <f t="shared" si="450"/>
        <v>0</v>
      </c>
    </row>
    <row r="5307" spans="28:34">
      <c r="AB5307" s="580">
        <f>HLOOKUP("*"&amp;'Output annual'!$AC$2&amp;'Output annual'!$AD$2&amp;"*Zone People Number Of Occupants [](Hourly)",'Eplus results'!$1:$1048576,ROW(),FALSE)</f>
        <v>0</v>
      </c>
      <c r="AC5307" s="580">
        <f>HLOOKUP("*"&amp;'Output annual'!$AC$2&amp;'Output annual'!$AD$2&amp;"*FangerPMV(Hourly)",'Eplus results'!$1:$1048576,ROW(),FALSE)</f>
        <v>0</v>
      </c>
      <c r="AD5307" s="580">
        <f t="shared" si="446"/>
        <v>5</v>
      </c>
      <c r="AE5307" s="580">
        <f t="shared" si="447"/>
        <v>2.5</v>
      </c>
      <c r="AF5307" s="580">
        <f t="shared" si="448"/>
        <v>2.5</v>
      </c>
      <c r="AG5307" s="580">
        <f t="shared" si="449"/>
        <v>0</v>
      </c>
      <c r="AH5307" s="580">
        <f t="shared" si="450"/>
        <v>0</v>
      </c>
    </row>
    <row r="5308" spans="28:34">
      <c r="AB5308" s="580">
        <f>HLOOKUP("*"&amp;'Output annual'!$AC$2&amp;'Output annual'!$AD$2&amp;"*Zone People Number Of Occupants [](Hourly)",'Eplus results'!$1:$1048576,ROW(),FALSE)</f>
        <v>0</v>
      </c>
      <c r="AC5308" s="580">
        <f>HLOOKUP("*"&amp;'Output annual'!$AC$2&amp;'Output annual'!$AD$2&amp;"*FangerPMV(Hourly)",'Eplus results'!$1:$1048576,ROW(),FALSE)</f>
        <v>0</v>
      </c>
      <c r="AD5308" s="580">
        <f t="shared" si="446"/>
        <v>5</v>
      </c>
      <c r="AE5308" s="580">
        <f t="shared" si="447"/>
        <v>2.5</v>
      </c>
      <c r="AF5308" s="580">
        <f t="shared" si="448"/>
        <v>2.5</v>
      </c>
      <c r="AG5308" s="580">
        <f t="shared" si="449"/>
        <v>0</v>
      </c>
      <c r="AH5308" s="580">
        <f t="shared" si="450"/>
        <v>0</v>
      </c>
    </row>
    <row r="5309" spans="28:34">
      <c r="AB5309" s="580">
        <f>HLOOKUP("*"&amp;'Output annual'!$AC$2&amp;'Output annual'!$AD$2&amp;"*Zone People Number Of Occupants [](Hourly)",'Eplus results'!$1:$1048576,ROW(),FALSE)</f>
        <v>0</v>
      </c>
      <c r="AC5309" s="580">
        <f>HLOOKUP("*"&amp;'Output annual'!$AC$2&amp;'Output annual'!$AD$2&amp;"*FangerPMV(Hourly)",'Eplus results'!$1:$1048576,ROW(),FALSE)</f>
        <v>0</v>
      </c>
      <c r="AD5309" s="580">
        <f t="shared" si="446"/>
        <v>5</v>
      </c>
      <c r="AE5309" s="580">
        <f t="shared" si="447"/>
        <v>2.5</v>
      </c>
      <c r="AF5309" s="580">
        <f t="shared" si="448"/>
        <v>2.5</v>
      </c>
      <c r="AG5309" s="580">
        <f t="shared" si="449"/>
        <v>0</v>
      </c>
      <c r="AH5309" s="580">
        <f t="shared" si="450"/>
        <v>0</v>
      </c>
    </row>
    <row r="5310" spans="28:34">
      <c r="AB5310" s="580">
        <f>HLOOKUP("*"&amp;'Output annual'!$AC$2&amp;'Output annual'!$AD$2&amp;"*Zone People Number Of Occupants [](Hourly)",'Eplus results'!$1:$1048576,ROW(),FALSE)</f>
        <v>0</v>
      </c>
      <c r="AC5310" s="580">
        <f>HLOOKUP("*"&amp;'Output annual'!$AC$2&amp;'Output annual'!$AD$2&amp;"*FangerPMV(Hourly)",'Eplus results'!$1:$1048576,ROW(),FALSE)</f>
        <v>0</v>
      </c>
      <c r="AD5310" s="580">
        <f t="shared" si="446"/>
        <v>5</v>
      </c>
      <c r="AE5310" s="580">
        <f t="shared" si="447"/>
        <v>2.5</v>
      </c>
      <c r="AF5310" s="580">
        <f t="shared" si="448"/>
        <v>2.5</v>
      </c>
      <c r="AG5310" s="580">
        <f t="shared" si="449"/>
        <v>0</v>
      </c>
      <c r="AH5310" s="580">
        <f t="shared" si="450"/>
        <v>0</v>
      </c>
    </row>
    <row r="5311" spans="28:34">
      <c r="AB5311" s="580">
        <f>HLOOKUP("*"&amp;'Output annual'!$AC$2&amp;'Output annual'!$AD$2&amp;"*Zone People Number Of Occupants [](Hourly)",'Eplus results'!$1:$1048576,ROW(),FALSE)</f>
        <v>0</v>
      </c>
      <c r="AC5311" s="580">
        <f>HLOOKUP("*"&amp;'Output annual'!$AC$2&amp;'Output annual'!$AD$2&amp;"*FangerPMV(Hourly)",'Eplus results'!$1:$1048576,ROW(),FALSE)</f>
        <v>0</v>
      </c>
      <c r="AD5311" s="580">
        <f t="shared" si="446"/>
        <v>5</v>
      </c>
      <c r="AE5311" s="580">
        <f t="shared" si="447"/>
        <v>2.5</v>
      </c>
      <c r="AF5311" s="580">
        <f t="shared" si="448"/>
        <v>2.5</v>
      </c>
      <c r="AG5311" s="580">
        <f t="shared" si="449"/>
        <v>0</v>
      </c>
      <c r="AH5311" s="580">
        <f t="shared" si="450"/>
        <v>0</v>
      </c>
    </row>
    <row r="5312" spans="28:34">
      <c r="AB5312" s="580">
        <f>HLOOKUP("*"&amp;'Output annual'!$AC$2&amp;'Output annual'!$AD$2&amp;"*Zone People Number Of Occupants [](Hourly)",'Eplus results'!$1:$1048576,ROW(),FALSE)</f>
        <v>0</v>
      </c>
      <c r="AC5312" s="580">
        <f>HLOOKUP("*"&amp;'Output annual'!$AC$2&amp;'Output annual'!$AD$2&amp;"*FangerPMV(Hourly)",'Eplus results'!$1:$1048576,ROW(),FALSE)</f>
        <v>0</v>
      </c>
      <c r="AD5312" s="580">
        <f t="shared" si="446"/>
        <v>5</v>
      </c>
      <c r="AE5312" s="580">
        <f t="shared" si="447"/>
        <v>2.5</v>
      </c>
      <c r="AF5312" s="580">
        <f t="shared" si="448"/>
        <v>2.5</v>
      </c>
      <c r="AG5312" s="580">
        <f t="shared" si="449"/>
        <v>0</v>
      </c>
      <c r="AH5312" s="580">
        <f t="shared" si="450"/>
        <v>0</v>
      </c>
    </row>
    <row r="5313" spans="28:34">
      <c r="AB5313" s="580">
        <f>HLOOKUP("*"&amp;'Output annual'!$AC$2&amp;'Output annual'!$AD$2&amp;"*Zone People Number Of Occupants [](Hourly)",'Eplus results'!$1:$1048576,ROW(),FALSE)</f>
        <v>0</v>
      </c>
      <c r="AC5313" s="580">
        <f>HLOOKUP("*"&amp;'Output annual'!$AC$2&amp;'Output annual'!$AD$2&amp;"*FangerPMV(Hourly)",'Eplus results'!$1:$1048576,ROW(),FALSE)</f>
        <v>0</v>
      </c>
      <c r="AD5313" s="580">
        <f t="shared" si="446"/>
        <v>5</v>
      </c>
      <c r="AE5313" s="580">
        <f t="shared" si="447"/>
        <v>2.5</v>
      </c>
      <c r="AF5313" s="580">
        <f t="shared" si="448"/>
        <v>2.5</v>
      </c>
      <c r="AG5313" s="580">
        <f t="shared" si="449"/>
        <v>0</v>
      </c>
      <c r="AH5313" s="580">
        <f t="shared" si="450"/>
        <v>0</v>
      </c>
    </row>
    <row r="5314" spans="28:34">
      <c r="AB5314" s="580">
        <f>HLOOKUP("*"&amp;'Output annual'!$AC$2&amp;'Output annual'!$AD$2&amp;"*Zone People Number Of Occupants [](Hourly)",'Eplus results'!$1:$1048576,ROW(),FALSE)</f>
        <v>0</v>
      </c>
      <c r="AC5314" s="580">
        <f>HLOOKUP("*"&amp;'Output annual'!$AC$2&amp;'Output annual'!$AD$2&amp;"*FangerPMV(Hourly)",'Eplus results'!$1:$1048576,ROW(),FALSE)</f>
        <v>0</v>
      </c>
      <c r="AD5314" s="580">
        <f t="shared" si="446"/>
        <v>5</v>
      </c>
      <c r="AE5314" s="580">
        <f t="shared" si="447"/>
        <v>2.5</v>
      </c>
      <c r="AF5314" s="580">
        <f t="shared" si="448"/>
        <v>2.5</v>
      </c>
      <c r="AG5314" s="580">
        <f t="shared" si="449"/>
        <v>0</v>
      </c>
      <c r="AH5314" s="580">
        <f t="shared" si="450"/>
        <v>0</v>
      </c>
    </row>
    <row r="5315" spans="28:34">
      <c r="AB5315" s="580">
        <f>HLOOKUP("*"&amp;'Output annual'!$AC$2&amp;'Output annual'!$AD$2&amp;"*Zone People Number Of Occupants [](Hourly)",'Eplus results'!$1:$1048576,ROW(),FALSE)</f>
        <v>0</v>
      </c>
      <c r="AC5315" s="580">
        <f>HLOOKUP("*"&amp;'Output annual'!$AC$2&amp;'Output annual'!$AD$2&amp;"*FangerPMV(Hourly)",'Eplus results'!$1:$1048576,ROW(),FALSE)</f>
        <v>0</v>
      </c>
      <c r="AD5315" s="580">
        <f t="shared" ref="AD5315:AD5378" si="451">100-95*EXP(-0.03353*AC5315^4-0.2179*AC5315^2)</f>
        <v>5</v>
      </c>
      <c r="AE5315" s="580">
        <f t="shared" ref="AE5315:AE5378" si="452">AD5315*(1/(1+EXP(-6.3*$AC5315)))</f>
        <v>2.5</v>
      </c>
      <c r="AF5315" s="580">
        <f t="shared" ref="AF5315:AF5378" si="453">(AD5315-AE5315)</f>
        <v>2.5</v>
      </c>
      <c r="AG5315" s="580">
        <f t="shared" ref="AG5315:AG5378" si="454">AE5315*AB5315</f>
        <v>0</v>
      </c>
      <c r="AH5315" s="580">
        <f t="shared" ref="AH5315:AH5378" si="455">AF5315*AB5315</f>
        <v>0</v>
      </c>
    </row>
    <row r="5316" spans="28:34">
      <c r="AB5316" s="580">
        <f>HLOOKUP("*"&amp;'Output annual'!$AC$2&amp;'Output annual'!$AD$2&amp;"*Zone People Number Of Occupants [](Hourly)",'Eplus results'!$1:$1048576,ROW(),FALSE)</f>
        <v>0</v>
      </c>
      <c r="AC5316" s="580">
        <f>HLOOKUP("*"&amp;'Output annual'!$AC$2&amp;'Output annual'!$AD$2&amp;"*FangerPMV(Hourly)",'Eplus results'!$1:$1048576,ROW(),FALSE)</f>
        <v>0</v>
      </c>
      <c r="AD5316" s="580">
        <f t="shared" si="451"/>
        <v>5</v>
      </c>
      <c r="AE5316" s="580">
        <f t="shared" si="452"/>
        <v>2.5</v>
      </c>
      <c r="AF5316" s="580">
        <f t="shared" si="453"/>
        <v>2.5</v>
      </c>
      <c r="AG5316" s="580">
        <f t="shared" si="454"/>
        <v>0</v>
      </c>
      <c r="AH5316" s="580">
        <f t="shared" si="455"/>
        <v>0</v>
      </c>
    </row>
    <row r="5317" spans="28:34">
      <c r="AB5317" s="580">
        <f>HLOOKUP("*"&amp;'Output annual'!$AC$2&amp;'Output annual'!$AD$2&amp;"*Zone People Number Of Occupants [](Hourly)",'Eplus results'!$1:$1048576,ROW(),FALSE)</f>
        <v>0</v>
      </c>
      <c r="AC5317" s="580">
        <f>HLOOKUP("*"&amp;'Output annual'!$AC$2&amp;'Output annual'!$AD$2&amp;"*FangerPMV(Hourly)",'Eplus results'!$1:$1048576,ROW(),FALSE)</f>
        <v>0</v>
      </c>
      <c r="AD5317" s="580">
        <f t="shared" si="451"/>
        <v>5</v>
      </c>
      <c r="AE5317" s="580">
        <f t="shared" si="452"/>
        <v>2.5</v>
      </c>
      <c r="AF5317" s="580">
        <f t="shared" si="453"/>
        <v>2.5</v>
      </c>
      <c r="AG5317" s="580">
        <f t="shared" si="454"/>
        <v>0</v>
      </c>
      <c r="AH5317" s="580">
        <f t="shared" si="455"/>
        <v>0</v>
      </c>
    </row>
    <row r="5318" spans="28:34">
      <c r="AB5318" s="580">
        <f>HLOOKUP("*"&amp;'Output annual'!$AC$2&amp;'Output annual'!$AD$2&amp;"*Zone People Number Of Occupants [](Hourly)",'Eplus results'!$1:$1048576,ROW(),FALSE)</f>
        <v>0</v>
      </c>
      <c r="AC5318" s="580">
        <f>HLOOKUP("*"&amp;'Output annual'!$AC$2&amp;'Output annual'!$AD$2&amp;"*FangerPMV(Hourly)",'Eplus results'!$1:$1048576,ROW(),FALSE)</f>
        <v>0</v>
      </c>
      <c r="AD5318" s="580">
        <f t="shared" si="451"/>
        <v>5</v>
      </c>
      <c r="AE5318" s="580">
        <f t="shared" si="452"/>
        <v>2.5</v>
      </c>
      <c r="AF5318" s="580">
        <f t="shared" si="453"/>
        <v>2.5</v>
      </c>
      <c r="AG5318" s="580">
        <f t="shared" si="454"/>
        <v>0</v>
      </c>
      <c r="AH5318" s="580">
        <f t="shared" si="455"/>
        <v>0</v>
      </c>
    </row>
    <row r="5319" spans="28:34">
      <c r="AB5319" s="580">
        <f>HLOOKUP("*"&amp;'Output annual'!$AC$2&amp;'Output annual'!$AD$2&amp;"*Zone People Number Of Occupants [](Hourly)",'Eplus results'!$1:$1048576,ROW(),FALSE)</f>
        <v>0</v>
      </c>
      <c r="AC5319" s="580">
        <f>HLOOKUP("*"&amp;'Output annual'!$AC$2&amp;'Output annual'!$AD$2&amp;"*FangerPMV(Hourly)",'Eplus results'!$1:$1048576,ROW(),FALSE)</f>
        <v>0</v>
      </c>
      <c r="AD5319" s="580">
        <f t="shared" si="451"/>
        <v>5</v>
      </c>
      <c r="AE5319" s="580">
        <f t="shared" si="452"/>
        <v>2.5</v>
      </c>
      <c r="AF5319" s="580">
        <f t="shared" si="453"/>
        <v>2.5</v>
      </c>
      <c r="AG5319" s="580">
        <f t="shared" si="454"/>
        <v>0</v>
      </c>
      <c r="AH5319" s="580">
        <f t="shared" si="455"/>
        <v>0</v>
      </c>
    </row>
    <row r="5320" spans="28:34">
      <c r="AB5320" s="580">
        <f>HLOOKUP("*"&amp;'Output annual'!$AC$2&amp;'Output annual'!$AD$2&amp;"*Zone People Number Of Occupants [](Hourly)",'Eplus results'!$1:$1048576,ROW(),FALSE)</f>
        <v>0</v>
      </c>
      <c r="AC5320" s="580">
        <f>HLOOKUP("*"&amp;'Output annual'!$AC$2&amp;'Output annual'!$AD$2&amp;"*FangerPMV(Hourly)",'Eplus results'!$1:$1048576,ROW(),FALSE)</f>
        <v>0</v>
      </c>
      <c r="AD5320" s="580">
        <f t="shared" si="451"/>
        <v>5</v>
      </c>
      <c r="AE5320" s="580">
        <f t="shared" si="452"/>
        <v>2.5</v>
      </c>
      <c r="AF5320" s="580">
        <f t="shared" si="453"/>
        <v>2.5</v>
      </c>
      <c r="AG5320" s="580">
        <f t="shared" si="454"/>
        <v>0</v>
      </c>
      <c r="AH5320" s="580">
        <f t="shared" si="455"/>
        <v>0</v>
      </c>
    </row>
    <row r="5321" spans="28:34">
      <c r="AB5321" s="580">
        <f>HLOOKUP("*"&amp;'Output annual'!$AC$2&amp;'Output annual'!$AD$2&amp;"*Zone People Number Of Occupants [](Hourly)",'Eplus results'!$1:$1048576,ROW(),FALSE)</f>
        <v>0</v>
      </c>
      <c r="AC5321" s="580">
        <f>HLOOKUP("*"&amp;'Output annual'!$AC$2&amp;'Output annual'!$AD$2&amp;"*FangerPMV(Hourly)",'Eplus results'!$1:$1048576,ROW(),FALSE)</f>
        <v>0</v>
      </c>
      <c r="AD5321" s="580">
        <f t="shared" si="451"/>
        <v>5</v>
      </c>
      <c r="AE5321" s="580">
        <f t="shared" si="452"/>
        <v>2.5</v>
      </c>
      <c r="AF5321" s="580">
        <f t="shared" si="453"/>
        <v>2.5</v>
      </c>
      <c r="AG5321" s="580">
        <f t="shared" si="454"/>
        <v>0</v>
      </c>
      <c r="AH5321" s="580">
        <f t="shared" si="455"/>
        <v>0</v>
      </c>
    </row>
    <row r="5322" spans="28:34">
      <c r="AB5322" s="580">
        <f>HLOOKUP("*"&amp;'Output annual'!$AC$2&amp;'Output annual'!$AD$2&amp;"*Zone People Number Of Occupants [](Hourly)",'Eplus results'!$1:$1048576,ROW(),FALSE)</f>
        <v>0</v>
      </c>
      <c r="AC5322" s="580">
        <f>HLOOKUP("*"&amp;'Output annual'!$AC$2&amp;'Output annual'!$AD$2&amp;"*FangerPMV(Hourly)",'Eplus results'!$1:$1048576,ROW(),FALSE)</f>
        <v>0</v>
      </c>
      <c r="AD5322" s="580">
        <f t="shared" si="451"/>
        <v>5</v>
      </c>
      <c r="AE5322" s="580">
        <f t="shared" si="452"/>
        <v>2.5</v>
      </c>
      <c r="AF5322" s="580">
        <f t="shared" si="453"/>
        <v>2.5</v>
      </c>
      <c r="AG5322" s="580">
        <f t="shared" si="454"/>
        <v>0</v>
      </c>
      <c r="AH5322" s="580">
        <f t="shared" si="455"/>
        <v>0</v>
      </c>
    </row>
    <row r="5323" spans="28:34">
      <c r="AB5323" s="580">
        <f>HLOOKUP("*"&amp;'Output annual'!$AC$2&amp;'Output annual'!$AD$2&amp;"*Zone People Number Of Occupants [](Hourly)",'Eplus results'!$1:$1048576,ROW(),FALSE)</f>
        <v>0</v>
      </c>
      <c r="AC5323" s="580">
        <f>HLOOKUP("*"&amp;'Output annual'!$AC$2&amp;'Output annual'!$AD$2&amp;"*FangerPMV(Hourly)",'Eplus results'!$1:$1048576,ROW(),FALSE)</f>
        <v>0</v>
      </c>
      <c r="AD5323" s="580">
        <f t="shared" si="451"/>
        <v>5</v>
      </c>
      <c r="AE5323" s="580">
        <f t="shared" si="452"/>
        <v>2.5</v>
      </c>
      <c r="AF5323" s="580">
        <f t="shared" si="453"/>
        <v>2.5</v>
      </c>
      <c r="AG5323" s="580">
        <f t="shared" si="454"/>
        <v>0</v>
      </c>
      <c r="AH5323" s="580">
        <f t="shared" si="455"/>
        <v>0</v>
      </c>
    </row>
    <row r="5324" spans="28:34">
      <c r="AB5324" s="580">
        <f>HLOOKUP("*"&amp;'Output annual'!$AC$2&amp;'Output annual'!$AD$2&amp;"*Zone People Number Of Occupants [](Hourly)",'Eplus results'!$1:$1048576,ROW(),FALSE)</f>
        <v>0</v>
      </c>
      <c r="AC5324" s="580">
        <f>HLOOKUP("*"&amp;'Output annual'!$AC$2&amp;'Output annual'!$AD$2&amp;"*FangerPMV(Hourly)",'Eplus results'!$1:$1048576,ROW(),FALSE)</f>
        <v>0</v>
      </c>
      <c r="AD5324" s="580">
        <f t="shared" si="451"/>
        <v>5</v>
      </c>
      <c r="AE5324" s="580">
        <f t="shared" si="452"/>
        <v>2.5</v>
      </c>
      <c r="AF5324" s="580">
        <f t="shared" si="453"/>
        <v>2.5</v>
      </c>
      <c r="AG5324" s="580">
        <f t="shared" si="454"/>
        <v>0</v>
      </c>
      <c r="AH5324" s="580">
        <f t="shared" si="455"/>
        <v>0</v>
      </c>
    </row>
    <row r="5325" spans="28:34">
      <c r="AB5325" s="580">
        <f>HLOOKUP("*"&amp;'Output annual'!$AC$2&amp;'Output annual'!$AD$2&amp;"*Zone People Number Of Occupants [](Hourly)",'Eplus results'!$1:$1048576,ROW(),FALSE)</f>
        <v>0</v>
      </c>
      <c r="AC5325" s="580">
        <f>HLOOKUP("*"&amp;'Output annual'!$AC$2&amp;'Output annual'!$AD$2&amp;"*FangerPMV(Hourly)",'Eplus results'!$1:$1048576,ROW(),FALSE)</f>
        <v>0</v>
      </c>
      <c r="AD5325" s="580">
        <f t="shared" si="451"/>
        <v>5</v>
      </c>
      <c r="AE5325" s="580">
        <f t="shared" si="452"/>
        <v>2.5</v>
      </c>
      <c r="AF5325" s="580">
        <f t="shared" si="453"/>
        <v>2.5</v>
      </c>
      <c r="AG5325" s="580">
        <f t="shared" si="454"/>
        <v>0</v>
      </c>
      <c r="AH5325" s="580">
        <f t="shared" si="455"/>
        <v>0</v>
      </c>
    </row>
    <row r="5326" spans="28:34">
      <c r="AB5326" s="580">
        <f>HLOOKUP("*"&amp;'Output annual'!$AC$2&amp;'Output annual'!$AD$2&amp;"*Zone People Number Of Occupants [](Hourly)",'Eplus results'!$1:$1048576,ROW(),FALSE)</f>
        <v>0</v>
      </c>
      <c r="AC5326" s="580">
        <f>HLOOKUP("*"&amp;'Output annual'!$AC$2&amp;'Output annual'!$AD$2&amp;"*FangerPMV(Hourly)",'Eplus results'!$1:$1048576,ROW(),FALSE)</f>
        <v>0</v>
      </c>
      <c r="AD5326" s="580">
        <f t="shared" si="451"/>
        <v>5</v>
      </c>
      <c r="AE5326" s="580">
        <f t="shared" si="452"/>
        <v>2.5</v>
      </c>
      <c r="AF5326" s="580">
        <f t="shared" si="453"/>
        <v>2.5</v>
      </c>
      <c r="AG5326" s="580">
        <f t="shared" si="454"/>
        <v>0</v>
      </c>
      <c r="AH5326" s="580">
        <f t="shared" si="455"/>
        <v>0</v>
      </c>
    </row>
    <row r="5327" spans="28:34">
      <c r="AB5327" s="580">
        <f>HLOOKUP("*"&amp;'Output annual'!$AC$2&amp;'Output annual'!$AD$2&amp;"*Zone People Number Of Occupants [](Hourly)",'Eplus results'!$1:$1048576,ROW(),FALSE)</f>
        <v>0</v>
      </c>
      <c r="AC5327" s="580">
        <f>HLOOKUP("*"&amp;'Output annual'!$AC$2&amp;'Output annual'!$AD$2&amp;"*FangerPMV(Hourly)",'Eplus results'!$1:$1048576,ROW(),FALSE)</f>
        <v>0</v>
      </c>
      <c r="AD5327" s="580">
        <f t="shared" si="451"/>
        <v>5</v>
      </c>
      <c r="AE5327" s="580">
        <f t="shared" si="452"/>
        <v>2.5</v>
      </c>
      <c r="AF5327" s="580">
        <f t="shared" si="453"/>
        <v>2.5</v>
      </c>
      <c r="AG5327" s="580">
        <f t="shared" si="454"/>
        <v>0</v>
      </c>
      <c r="AH5327" s="580">
        <f t="shared" si="455"/>
        <v>0</v>
      </c>
    </row>
    <row r="5328" spans="28:34">
      <c r="AB5328" s="580">
        <f>HLOOKUP("*"&amp;'Output annual'!$AC$2&amp;'Output annual'!$AD$2&amp;"*Zone People Number Of Occupants [](Hourly)",'Eplus results'!$1:$1048576,ROW(),FALSE)</f>
        <v>0</v>
      </c>
      <c r="AC5328" s="580">
        <f>HLOOKUP("*"&amp;'Output annual'!$AC$2&amp;'Output annual'!$AD$2&amp;"*FangerPMV(Hourly)",'Eplus results'!$1:$1048576,ROW(),FALSE)</f>
        <v>0</v>
      </c>
      <c r="AD5328" s="580">
        <f t="shared" si="451"/>
        <v>5</v>
      </c>
      <c r="AE5328" s="580">
        <f t="shared" si="452"/>
        <v>2.5</v>
      </c>
      <c r="AF5328" s="580">
        <f t="shared" si="453"/>
        <v>2.5</v>
      </c>
      <c r="AG5328" s="580">
        <f t="shared" si="454"/>
        <v>0</v>
      </c>
      <c r="AH5328" s="580">
        <f t="shared" si="455"/>
        <v>0</v>
      </c>
    </row>
    <row r="5329" spans="28:34">
      <c r="AB5329" s="580">
        <f>HLOOKUP("*"&amp;'Output annual'!$AC$2&amp;'Output annual'!$AD$2&amp;"*Zone People Number Of Occupants [](Hourly)",'Eplus results'!$1:$1048576,ROW(),FALSE)</f>
        <v>0</v>
      </c>
      <c r="AC5329" s="580">
        <f>HLOOKUP("*"&amp;'Output annual'!$AC$2&amp;'Output annual'!$AD$2&amp;"*FangerPMV(Hourly)",'Eplus results'!$1:$1048576,ROW(),FALSE)</f>
        <v>0</v>
      </c>
      <c r="AD5329" s="580">
        <f t="shared" si="451"/>
        <v>5</v>
      </c>
      <c r="AE5329" s="580">
        <f t="shared" si="452"/>
        <v>2.5</v>
      </c>
      <c r="AF5329" s="580">
        <f t="shared" si="453"/>
        <v>2.5</v>
      </c>
      <c r="AG5329" s="580">
        <f t="shared" si="454"/>
        <v>0</v>
      </c>
      <c r="AH5329" s="580">
        <f t="shared" si="455"/>
        <v>0</v>
      </c>
    </row>
    <row r="5330" spans="28:34">
      <c r="AB5330" s="580">
        <f>HLOOKUP("*"&amp;'Output annual'!$AC$2&amp;'Output annual'!$AD$2&amp;"*Zone People Number Of Occupants [](Hourly)",'Eplus results'!$1:$1048576,ROW(),FALSE)</f>
        <v>0</v>
      </c>
      <c r="AC5330" s="580">
        <f>HLOOKUP("*"&amp;'Output annual'!$AC$2&amp;'Output annual'!$AD$2&amp;"*FangerPMV(Hourly)",'Eplus results'!$1:$1048576,ROW(),FALSE)</f>
        <v>0</v>
      </c>
      <c r="AD5330" s="580">
        <f t="shared" si="451"/>
        <v>5</v>
      </c>
      <c r="AE5330" s="580">
        <f t="shared" si="452"/>
        <v>2.5</v>
      </c>
      <c r="AF5330" s="580">
        <f t="shared" si="453"/>
        <v>2.5</v>
      </c>
      <c r="AG5330" s="580">
        <f t="shared" si="454"/>
        <v>0</v>
      </c>
      <c r="AH5330" s="580">
        <f t="shared" si="455"/>
        <v>0</v>
      </c>
    </row>
    <row r="5331" spans="28:34">
      <c r="AB5331" s="580">
        <f>HLOOKUP("*"&amp;'Output annual'!$AC$2&amp;'Output annual'!$AD$2&amp;"*Zone People Number Of Occupants [](Hourly)",'Eplus results'!$1:$1048576,ROW(),FALSE)</f>
        <v>0</v>
      </c>
      <c r="AC5331" s="580">
        <f>HLOOKUP("*"&amp;'Output annual'!$AC$2&amp;'Output annual'!$AD$2&amp;"*FangerPMV(Hourly)",'Eplus results'!$1:$1048576,ROW(),FALSE)</f>
        <v>0</v>
      </c>
      <c r="AD5331" s="580">
        <f t="shared" si="451"/>
        <v>5</v>
      </c>
      <c r="AE5331" s="580">
        <f t="shared" si="452"/>
        <v>2.5</v>
      </c>
      <c r="AF5331" s="580">
        <f t="shared" si="453"/>
        <v>2.5</v>
      </c>
      <c r="AG5331" s="580">
        <f t="shared" si="454"/>
        <v>0</v>
      </c>
      <c r="AH5331" s="580">
        <f t="shared" si="455"/>
        <v>0</v>
      </c>
    </row>
    <row r="5332" spans="28:34">
      <c r="AB5332" s="580">
        <f>HLOOKUP("*"&amp;'Output annual'!$AC$2&amp;'Output annual'!$AD$2&amp;"*Zone People Number Of Occupants [](Hourly)",'Eplus results'!$1:$1048576,ROW(),FALSE)</f>
        <v>0</v>
      </c>
      <c r="AC5332" s="580">
        <f>HLOOKUP("*"&amp;'Output annual'!$AC$2&amp;'Output annual'!$AD$2&amp;"*FangerPMV(Hourly)",'Eplus results'!$1:$1048576,ROW(),FALSE)</f>
        <v>0</v>
      </c>
      <c r="AD5332" s="580">
        <f t="shared" si="451"/>
        <v>5</v>
      </c>
      <c r="AE5332" s="580">
        <f t="shared" si="452"/>
        <v>2.5</v>
      </c>
      <c r="AF5332" s="580">
        <f t="shared" si="453"/>
        <v>2.5</v>
      </c>
      <c r="AG5332" s="580">
        <f t="shared" si="454"/>
        <v>0</v>
      </c>
      <c r="AH5332" s="580">
        <f t="shared" si="455"/>
        <v>0</v>
      </c>
    </row>
    <row r="5333" spans="28:34">
      <c r="AB5333" s="580">
        <f>HLOOKUP("*"&amp;'Output annual'!$AC$2&amp;'Output annual'!$AD$2&amp;"*Zone People Number Of Occupants [](Hourly)",'Eplus results'!$1:$1048576,ROW(),FALSE)</f>
        <v>0</v>
      </c>
      <c r="AC5333" s="580">
        <f>HLOOKUP("*"&amp;'Output annual'!$AC$2&amp;'Output annual'!$AD$2&amp;"*FangerPMV(Hourly)",'Eplus results'!$1:$1048576,ROW(),FALSE)</f>
        <v>0</v>
      </c>
      <c r="AD5333" s="580">
        <f t="shared" si="451"/>
        <v>5</v>
      </c>
      <c r="AE5333" s="580">
        <f t="shared" si="452"/>
        <v>2.5</v>
      </c>
      <c r="AF5333" s="580">
        <f t="shared" si="453"/>
        <v>2.5</v>
      </c>
      <c r="AG5333" s="580">
        <f t="shared" si="454"/>
        <v>0</v>
      </c>
      <c r="AH5333" s="580">
        <f t="shared" si="455"/>
        <v>0</v>
      </c>
    </row>
    <row r="5334" spans="28:34">
      <c r="AB5334" s="580">
        <f>HLOOKUP("*"&amp;'Output annual'!$AC$2&amp;'Output annual'!$AD$2&amp;"*Zone People Number Of Occupants [](Hourly)",'Eplus results'!$1:$1048576,ROW(),FALSE)</f>
        <v>0</v>
      </c>
      <c r="AC5334" s="580">
        <f>HLOOKUP("*"&amp;'Output annual'!$AC$2&amp;'Output annual'!$AD$2&amp;"*FangerPMV(Hourly)",'Eplus results'!$1:$1048576,ROW(),FALSE)</f>
        <v>0</v>
      </c>
      <c r="AD5334" s="580">
        <f t="shared" si="451"/>
        <v>5</v>
      </c>
      <c r="AE5334" s="580">
        <f t="shared" si="452"/>
        <v>2.5</v>
      </c>
      <c r="AF5334" s="580">
        <f t="shared" si="453"/>
        <v>2.5</v>
      </c>
      <c r="AG5334" s="580">
        <f t="shared" si="454"/>
        <v>0</v>
      </c>
      <c r="AH5334" s="580">
        <f t="shared" si="455"/>
        <v>0</v>
      </c>
    </row>
    <row r="5335" spans="28:34">
      <c r="AB5335" s="580">
        <f>HLOOKUP("*"&amp;'Output annual'!$AC$2&amp;'Output annual'!$AD$2&amp;"*Zone People Number Of Occupants [](Hourly)",'Eplus results'!$1:$1048576,ROW(),FALSE)</f>
        <v>0</v>
      </c>
      <c r="AC5335" s="580">
        <f>HLOOKUP("*"&amp;'Output annual'!$AC$2&amp;'Output annual'!$AD$2&amp;"*FangerPMV(Hourly)",'Eplus results'!$1:$1048576,ROW(),FALSE)</f>
        <v>0</v>
      </c>
      <c r="AD5335" s="580">
        <f t="shared" si="451"/>
        <v>5</v>
      </c>
      <c r="AE5335" s="580">
        <f t="shared" si="452"/>
        <v>2.5</v>
      </c>
      <c r="AF5335" s="580">
        <f t="shared" si="453"/>
        <v>2.5</v>
      </c>
      <c r="AG5335" s="580">
        <f t="shared" si="454"/>
        <v>0</v>
      </c>
      <c r="AH5335" s="580">
        <f t="shared" si="455"/>
        <v>0</v>
      </c>
    </row>
    <row r="5336" spans="28:34">
      <c r="AB5336" s="580">
        <f>HLOOKUP("*"&amp;'Output annual'!$AC$2&amp;'Output annual'!$AD$2&amp;"*Zone People Number Of Occupants [](Hourly)",'Eplus results'!$1:$1048576,ROW(),FALSE)</f>
        <v>0</v>
      </c>
      <c r="AC5336" s="580">
        <f>HLOOKUP("*"&amp;'Output annual'!$AC$2&amp;'Output annual'!$AD$2&amp;"*FangerPMV(Hourly)",'Eplus results'!$1:$1048576,ROW(),FALSE)</f>
        <v>0</v>
      </c>
      <c r="AD5336" s="580">
        <f t="shared" si="451"/>
        <v>5</v>
      </c>
      <c r="AE5336" s="580">
        <f t="shared" si="452"/>
        <v>2.5</v>
      </c>
      <c r="AF5336" s="580">
        <f t="shared" si="453"/>
        <v>2.5</v>
      </c>
      <c r="AG5336" s="580">
        <f t="shared" si="454"/>
        <v>0</v>
      </c>
      <c r="AH5336" s="580">
        <f t="shared" si="455"/>
        <v>0</v>
      </c>
    </row>
    <row r="5337" spans="28:34">
      <c r="AB5337" s="580">
        <f>HLOOKUP("*"&amp;'Output annual'!$AC$2&amp;'Output annual'!$AD$2&amp;"*Zone People Number Of Occupants [](Hourly)",'Eplus results'!$1:$1048576,ROW(),FALSE)</f>
        <v>0</v>
      </c>
      <c r="AC5337" s="580">
        <f>HLOOKUP("*"&amp;'Output annual'!$AC$2&amp;'Output annual'!$AD$2&amp;"*FangerPMV(Hourly)",'Eplus results'!$1:$1048576,ROW(),FALSE)</f>
        <v>0</v>
      </c>
      <c r="AD5337" s="580">
        <f t="shared" si="451"/>
        <v>5</v>
      </c>
      <c r="AE5337" s="580">
        <f t="shared" si="452"/>
        <v>2.5</v>
      </c>
      <c r="AF5337" s="580">
        <f t="shared" si="453"/>
        <v>2.5</v>
      </c>
      <c r="AG5337" s="580">
        <f t="shared" si="454"/>
        <v>0</v>
      </c>
      <c r="AH5337" s="580">
        <f t="shared" si="455"/>
        <v>0</v>
      </c>
    </row>
    <row r="5338" spans="28:34">
      <c r="AB5338" s="580">
        <f>HLOOKUP("*"&amp;'Output annual'!$AC$2&amp;'Output annual'!$AD$2&amp;"*Zone People Number Of Occupants [](Hourly)",'Eplus results'!$1:$1048576,ROW(),FALSE)</f>
        <v>0</v>
      </c>
      <c r="AC5338" s="580">
        <f>HLOOKUP("*"&amp;'Output annual'!$AC$2&amp;'Output annual'!$AD$2&amp;"*FangerPMV(Hourly)",'Eplus results'!$1:$1048576,ROW(),FALSE)</f>
        <v>0</v>
      </c>
      <c r="AD5338" s="580">
        <f t="shared" si="451"/>
        <v>5</v>
      </c>
      <c r="AE5338" s="580">
        <f t="shared" si="452"/>
        <v>2.5</v>
      </c>
      <c r="AF5338" s="580">
        <f t="shared" si="453"/>
        <v>2.5</v>
      </c>
      <c r="AG5338" s="580">
        <f t="shared" si="454"/>
        <v>0</v>
      </c>
      <c r="AH5338" s="580">
        <f t="shared" si="455"/>
        <v>0</v>
      </c>
    </row>
    <row r="5339" spans="28:34">
      <c r="AB5339" s="580">
        <f>HLOOKUP("*"&amp;'Output annual'!$AC$2&amp;'Output annual'!$AD$2&amp;"*Zone People Number Of Occupants [](Hourly)",'Eplus results'!$1:$1048576,ROW(),FALSE)</f>
        <v>0</v>
      </c>
      <c r="AC5339" s="580">
        <f>HLOOKUP("*"&amp;'Output annual'!$AC$2&amp;'Output annual'!$AD$2&amp;"*FangerPMV(Hourly)",'Eplus results'!$1:$1048576,ROW(),FALSE)</f>
        <v>0</v>
      </c>
      <c r="AD5339" s="580">
        <f t="shared" si="451"/>
        <v>5</v>
      </c>
      <c r="AE5339" s="580">
        <f t="shared" si="452"/>
        <v>2.5</v>
      </c>
      <c r="AF5339" s="580">
        <f t="shared" si="453"/>
        <v>2.5</v>
      </c>
      <c r="AG5339" s="580">
        <f t="shared" si="454"/>
        <v>0</v>
      </c>
      <c r="AH5339" s="580">
        <f t="shared" si="455"/>
        <v>0</v>
      </c>
    </row>
    <row r="5340" spans="28:34">
      <c r="AB5340" s="580">
        <f>HLOOKUP("*"&amp;'Output annual'!$AC$2&amp;'Output annual'!$AD$2&amp;"*Zone People Number Of Occupants [](Hourly)",'Eplus results'!$1:$1048576,ROW(),FALSE)</f>
        <v>0</v>
      </c>
      <c r="AC5340" s="580">
        <f>HLOOKUP("*"&amp;'Output annual'!$AC$2&amp;'Output annual'!$AD$2&amp;"*FangerPMV(Hourly)",'Eplus results'!$1:$1048576,ROW(),FALSE)</f>
        <v>0</v>
      </c>
      <c r="AD5340" s="580">
        <f t="shared" si="451"/>
        <v>5</v>
      </c>
      <c r="AE5340" s="580">
        <f t="shared" si="452"/>
        <v>2.5</v>
      </c>
      <c r="AF5340" s="580">
        <f t="shared" si="453"/>
        <v>2.5</v>
      </c>
      <c r="AG5340" s="580">
        <f t="shared" si="454"/>
        <v>0</v>
      </c>
      <c r="AH5340" s="580">
        <f t="shared" si="455"/>
        <v>0</v>
      </c>
    </row>
    <row r="5341" spans="28:34">
      <c r="AB5341" s="580">
        <f>HLOOKUP("*"&amp;'Output annual'!$AC$2&amp;'Output annual'!$AD$2&amp;"*Zone People Number Of Occupants [](Hourly)",'Eplus results'!$1:$1048576,ROW(),FALSE)</f>
        <v>0</v>
      </c>
      <c r="AC5341" s="580">
        <f>HLOOKUP("*"&amp;'Output annual'!$AC$2&amp;'Output annual'!$AD$2&amp;"*FangerPMV(Hourly)",'Eplus results'!$1:$1048576,ROW(),FALSE)</f>
        <v>0</v>
      </c>
      <c r="AD5341" s="580">
        <f t="shared" si="451"/>
        <v>5</v>
      </c>
      <c r="AE5341" s="580">
        <f t="shared" si="452"/>
        <v>2.5</v>
      </c>
      <c r="AF5341" s="580">
        <f t="shared" si="453"/>
        <v>2.5</v>
      </c>
      <c r="AG5341" s="580">
        <f t="shared" si="454"/>
        <v>0</v>
      </c>
      <c r="AH5341" s="580">
        <f t="shared" si="455"/>
        <v>0</v>
      </c>
    </row>
    <row r="5342" spans="28:34">
      <c r="AB5342" s="580">
        <f>HLOOKUP("*"&amp;'Output annual'!$AC$2&amp;'Output annual'!$AD$2&amp;"*Zone People Number Of Occupants [](Hourly)",'Eplus results'!$1:$1048576,ROW(),FALSE)</f>
        <v>0</v>
      </c>
      <c r="AC5342" s="580">
        <f>HLOOKUP("*"&amp;'Output annual'!$AC$2&amp;'Output annual'!$AD$2&amp;"*FangerPMV(Hourly)",'Eplus results'!$1:$1048576,ROW(),FALSE)</f>
        <v>0</v>
      </c>
      <c r="AD5342" s="580">
        <f t="shared" si="451"/>
        <v>5</v>
      </c>
      <c r="AE5342" s="580">
        <f t="shared" si="452"/>
        <v>2.5</v>
      </c>
      <c r="AF5342" s="580">
        <f t="shared" si="453"/>
        <v>2.5</v>
      </c>
      <c r="AG5342" s="580">
        <f t="shared" si="454"/>
        <v>0</v>
      </c>
      <c r="AH5342" s="580">
        <f t="shared" si="455"/>
        <v>0</v>
      </c>
    </row>
    <row r="5343" spans="28:34">
      <c r="AB5343" s="580">
        <f>HLOOKUP("*"&amp;'Output annual'!$AC$2&amp;'Output annual'!$AD$2&amp;"*Zone People Number Of Occupants [](Hourly)",'Eplus results'!$1:$1048576,ROW(),FALSE)</f>
        <v>0</v>
      </c>
      <c r="AC5343" s="580">
        <f>HLOOKUP("*"&amp;'Output annual'!$AC$2&amp;'Output annual'!$AD$2&amp;"*FangerPMV(Hourly)",'Eplus results'!$1:$1048576,ROW(),FALSE)</f>
        <v>0</v>
      </c>
      <c r="AD5343" s="580">
        <f t="shared" si="451"/>
        <v>5</v>
      </c>
      <c r="AE5343" s="580">
        <f t="shared" si="452"/>
        <v>2.5</v>
      </c>
      <c r="AF5343" s="580">
        <f t="shared" si="453"/>
        <v>2.5</v>
      </c>
      <c r="AG5343" s="580">
        <f t="shared" si="454"/>
        <v>0</v>
      </c>
      <c r="AH5343" s="580">
        <f t="shared" si="455"/>
        <v>0</v>
      </c>
    </row>
    <row r="5344" spans="28:34">
      <c r="AB5344" s="580">
        <f>HLOOKUP("*"&amp;'Output annual'!$AC$2&amp;'Output annual'!$AD$2&amp;"*Zone People Number Of Occupants [](Hourly)",'Eplus results'!$1:$1048576,ROW(),FALSE)</f>
        <v>0</v>
      </c>
      <c r="AC5344" s="580">
        <f>HLOOKUP("*"&amp;'Output annual'!$AC$2&amp;'Output annual'!$AD$2&amp;"*FangerPMV(Hourly)",'Eplus results'!$1:$1048576,ROW(),FALSE)</f>
        <v>0</v>
      </c>
      <c r="AD5344" s="580">
        <f t="shared" si="451"/>
        <v>5</v>
      </c>
      <c r="AE5344" s="580">
        <f t="shared" si="452"/>
        <v>2.5</v>
      </c>
      <c r="AF5344" s="580">
        <f t="shared" si="453"/>
        <v>2.5</v>
      </c>
      <c r="AG5344" s="580">
        <f t="shared" si="454"/>
        <v>0</v>
      </c>
      <c r="AH5344" s="580">
        <f t="shared" si="455"/>
        <v>0</v>
      </c>
    </row>
    <row r="5345" spans="28:34">
      <c r="AB5345" s="580">
        <f>HLOOKUP("*"&amp;'Output annual'!$AC$2&amp;'Output annual'!$AD$2&amp;"*Zone People Number Of Occupants [](Hourly)",'Eplus results'!$1:$1048576,ROW(),FALSE)</f>
        <v>0</v>
      </c>
      <c r="AC5345" s="580">
        <f>HLOOKUP("*"&amp;'Output annual'!$AC$2&amp;'Output annual'!$AD$2&amp;"*FangerPMV(Hourly)",'Eplus results'!$1:$1048576,ROW(),FALSE)</f>
        <v>0</v>
      </c>
      <c r="AD5345" s="580">
        <f t="shared" si="451"/>
        <v>5</v>
      </c>
      <c r="AE5345" s="580">
        <f t="shared" si="452"/>
        <v>2.5</v>
      </c>
      <c r="AF5345" s="580">
        <f t="shared" si="453"/>
        <v>2.5</v>
      </c>
      <c r="AG5345" s="580">
        <f t="shared" si="454"/>
        <v>0</v>
      </c>
      <c r="AH5345" s="580">
        <f t="shared" si="455"/>
        <v>0</v>
      </c>
    </row>
    <row r="5346" spans="28:34">
      <c r="AB5346" s="580">
        <f>HLOOKUP("*"&amp;'Output annual'!$AC$2&amp;'Output annual'!$AD$2&amp;"*Zone People Number Of Occupants [](Hourly)",'Eplus results'!$1:$1048576,ROW(),FALSE)</f>
        <v>0</v>
      </c>
      <c r="AC5346" s="580">
        <f>HLOOKUP("*"&amp;'Output annual'!$AC$2&amp;'Output annual'!$AD$2&amp;"*FangerPMV(Hourly)",'Eplus results'!$1:$1048576,ROW(),FALSE)</f>
        <v>0</v>
      </c>
      <c r="AD5346" s="580">
        <f t="shared" si="451"/>
        <v>5</v>
      </c>
      <c r="AE5346" s="580">
        <f t="shared" si="452"/>
        <v>2.5</v>
      </c>
      <c r="AF5346" s="580">
        <f t="shared" si="453"/>
        <v>2.5</v>
      </c>
      <c r="AG5346" s="580">
        <f t="shared" si="454"/>
        <v>0</v>
      </c>
      <c r="AH5346" s="580">
        <f t="shared" si="455"/>
        <v>0</v>
      </c>
    </row>
    <row r="5347" spans="28:34">
      <c r="AB5347" s="580">
        <f>HLOOKUP("*"&amp;'Output annual'!$AC$2&amp;'Output annual'!$AD$2&amp;"*Zone People Number Of Occupants [](Hourly)",'Eplus results'!$1:$1048576,ROW(),FALSE)</f>
        <v>0</v>
      </c>
      <c r="AC5347" s="580">
        <f>HLOOKUP("*"&amp;'Output annual'!$AC$2&amp;'Output annual'!$AD$2&amp;"*FangerPMV(Hourly)",'Eplus results'!$1:$1048576,ROW(),FALSE)</f>
        <v>0</v>
      </c>
      <c r="AD5347" s="580">
        <f t="shared" si="451"/>
        <v>5</v>
      </c>
      <c r="AE5347" s="580">
        <f t="shared" si="452"/>
        <v>2.5</v>
      </c>
      <c r="AF5347" s="580">
        <f t="shared" si="453"/>
        <v>2.5</v>
      </c>
      <c r="AG5347" s="580">
        <f t="shared" si="454"/>
        <v>0</v>
      </c>
      <c r="AH5347" s="580">
        <f t="shared" si="455"/>
        <v>0</v>
      </c>
    </row>
    <row r="5348" spans="28:34">
      <c r="AB5348" s="580">
        <f>HLOOKUP("*"&amp;'Output annual'!$AC$2&amp;'Output annual'!$AD$2&amp;"*Zone People Number Of Occupants [](Hourly)",'Eplus results'!$1:$1048576,ROW(),FALSE)</f>
        <v>0</v>
      </c>
      <c r="AC5348" s="580">
        <f>HLOOKUP("*"&amp;'Output annual'!$AC$2&amp;'Output annual'!$AD$2&amp;"*FangerPMV(Hourly)",'Eplus results'!$1:$1048576,ROW(),FALSE)</f>
        <v>0</v>
      </c>
      <c r="AD5348" s="580">
        <f t="shared" si="451"/>
        <v>5</v>
      </c>
      <c r="AE5348" s="580">
        <f t="shared" si="452"/>
        <v>2.5</v>
      </c>
      <c r="AF5348" s="580">
        <f t="shared" si="453"/>
        <v>2.5</v>
      </c>
      <c r="AG5348" s="580">
        <f t="shared" si="454"/>
        <v>0</v>
      </c>
      <c r="AH5348" s="580">
        <f t="shared" si="455"/>
        <v>0</v>
      </c>
    </row>
    <row r="5349" spans="28:34">
      <c r="AB5349" s="580">
        <f>HLOOKUP("*"&amp;'Output annual'!$AC$2&amp;'Output annual'!$AD$2&amp;"*Zone People Number Of Occupants [](Hourly)",'Eplus results'!$1:$1048576,ROW(),FALSE)</f>
        <v>0</v>
      </c>
      <c r="AC5349" s="580">
        <f>HLOOKUP("*"&amp;'Output annual'!$AC$2&amp;'Output annual'!$AD$2&amp;"*FangerPMV(Hourly)",'Eplus results'!$1:$1048576,ROW(),FALSE)</f>
        <v>0</v>
      </c>
      <c r="AD5349" s="580">
        <f t="shared" si="451"/>
        <v>5</v>
      </c>
      <c r="AE5349" s="580">
        <f t="shared" si="452"/>
        <v>2.5</v>
      </c>
      <c r="AF5349" s="580">
        <f t="shared" si="453"/>
        <v>2.5</v>
      </c>
      <c r="AG5349" s="580">
        <f t="shared" si="454"/>
        <v>0</v>
      </c>
      <c r="AH5349" s="580">
        <f t="shared" si="455"/>
        <v>0</v>
      </c>
    </row>
    <row r="5350" spans="28:34">
      <c r="AB5350" s="580">
        <f>HLOOKUP("*"&amp;'Output annual'!$AC$2&amp;'Output annual'!$AD$2&amp;"*Zone People Number Of Occupants [](Hourly)",'Eplus results'!$1:$1048576,ROW(),FALSE)</f>
        <v>0</v>
      </c>
      <c r="AC5350" s="580">
        <f>HLOOKUP("*"&amp;'Output annual'!$AC$2&amp;'Output annual'!$AD$2&amp;"*FangerPMV(Hourly)",'Eplus results'!$1:$1048576,ROW(),FALSE)</f>
        <v>0</v>
      </c>
      <c r="AD5350" s="580">
        <f t="shared" si="451"/>
        <v>5</v>
      </c>
      <c r="AE5350" s="580">
        <f t="shared" si="452"/>
        <v>2.5</v>
      </c>
      <c r="AF5350" s="580">
        <f t="shared" si="453"/>
        <v>2.5</v>
      </c>
      <c r="AG5350" s="580">
        <f t="shared" si="454"/>
        <v>0</v>
      </c>
      <c r="AH5350" s="580">
        <f t="shared" si="455"/>
        <v>0</v>
      </c>
    </row>
    <row r="5351" spans="28:34">
      <c r="AB5351" s="580">
        <f>HLOOKUP("*"&amp;'Output annual'!$AC$2&amp;'Output annual'!$AD$2&amp;"*Zone People Number Of Occupants [](Hourly)",'Eplus results'!$1:$1048576,ROW(),FALSE)</f>
        <v>0</v>
      </c>
      <c r="AC5351" s="580">
        <f>HLOOKUP("*"&amp;'Output annual'!$AC$2&amp;'Output annual'!$AD$2&amp;"*FangerPMV(Hourly)",'Eplus results'!$1:$1048576,ROW(),FALSE)</f>
        <v>0</v>
      </c>
      <c r="AD5351" s="580">
        <f t="shared" si="451"/>
        <v>5</v>
      </c>
      <c r="AE5351" s="580">
        <f t="shared" si="452"/>
        <v>2.5</v>
      </c>
      <c r="AF5351" s="580">
        <f t="shared" si="453"/>
        <v>2.5</v>
      </c>
      <c r="AG5351" s="580">
        <f t="shared" si="454"/>
        <v>0</v>
      </c>
      <c r="AH5351" s="580">
        <f t="shared" si="455"/>
        <v>0</v>
      </c>
    </row>
    <row r="5352" spans="28:34">
      <c r="AB5352" s="580">
        <f>HLOOKUP("*"&amp;'Output annual'!$AC$2&amp;'Output annual'!$AD$2&amp;"*Zone People Number Of Occupants [](Hourly)",'Eplus results'!$1:$1048576,ROW(),FALSE)</f>
        <v>0</v>
      </c>
      <c r="AC5352" s="580">
        <f>HLOOKUP("*"&amp;'Output annual'!$AC$2&amp;'Output annual'!$AD$2&amp;"*FangerPMV(Hourly)",'Eplus results'!$1:$1048576,ROW(),FALSE)</f>
        <v>0</v>
      </c>
      <c r="AD5352" s="580">
        <f t="shared" si="451"/>
        <v>5</v>
      </c>
      <c r="AE5352" s="580">
        <f t="shared" si="452"/>
        <v>2.5</v>
      </c>
      <c r="AF5352" s="580">
        <f t="shared" si="453"/>
        <v>2.5</v>
      </c>
      <c r="AG5352" s="580">
        <f t="shared" si="454"/>
        <v>0</v>
      </c>
      <c r="AH5352" s="580">
        <f t="shared" si="455"/>
        <v>0</v>
      </c>
    </row>
    <row r="5353" spans="28:34">
      <c r="AB5353" s="580">
        <f>HLOOKUP("*"&amp;'Output annual'!$AC$2&amp;'Output annual'!$AD$2&amp;"*Zone People Number Of Occupants [](Hourly)",'Eplus results'!$1:$1048576,ROW(),FALSE)</f>
        <v>0</v>
      </c>
      <c r="AC5353" s="580">
        <f>HLOOKUP("*"&amp;'Output annual'!$AC$2&amp;'Output annual'!$AD$2&amp;"*FangerPMV(Hourly)",'Eplus results'!$1:$1048576,ROW(),FALSE)</f>
        <v>0</v>
      </c>
      <c r="AD5353" s="580">
        <f t="shared" si="451"/>
        <v>5</v>
      </c>
      <c r="AE5353" s="580">
        <f t="shared" si="452"/>
        <v>2.5</v>
      </c>
      <c r="AF5353" s="580">
        <f t="shared" si="453"/>
        <v>2.5</v>
      </c>
      <c r="AG5353" s="580">
        <f t="shared" si="454"/>
        <v>0</v>
      </c>
      <c r="AH5353" s="580">
        <f t="shared" si="455"/>
        <v>0</v>
      </c>
    </row>
    <row r="5354" spans="28:34">
      <c r="AB5354" s="580">
        <f>HLOOKUP("*"&amp;'Output annual'!$AC$2&amp;'Output annual'!$AD$2&amp;"*Zone People Number Of Occupants [](Hourly)",'Eplus results'!$1:$1048576,ROW(),FALSE)</f>
        <v>0</v>
      </c>
      <c r="AC5354" s="580">
        <f>HLOOKUP("*"&amp;'Output annual'!$AC$2&amp;'Output annual'!$AD$2&amp;"*FangerPMV(Hourly)",'Eplus results'!$1:$1048576,ROW(),FALSE)</f>
        <v>0</v>
      </c>
      <c r="AD5354" s="580">
        <f t="shared" si="451"/>
        <v>5</v>
      </c>
      <c r="AE5354" s="580">
        <f t="shared" si="452"/>
        <v>2.5</v>
      </c>
      <c r="AF5354" s="580">
        <f t="shared" si="453"/>
        <v>2.5</v>
      </c>
      <c r="AG5354" s="580">
        <f t="shared" si="454"/>
        <v>0</v>
      </c>
      <c r="AH5354" s="580">
        <f t="shared" si="455"/>
        <v>0</v>
      </c>
    </row>
    <row r="5355" spans="28:34">
      <c r="AB5355" s="580">
        <f>HLOOKUP("*"&amp;'Output annual'!$AC$2&amp;'Output annual'!$AD$2&amp;"*Zone People Number Of Occupants [](Hourly)",'Eplus results'!$1:$1048576,ROW(),FALSE)</f>
        <v>0</v>
      </c>
      <c r="AC5355" s="580">
        <f>HLOOKUP("*"&amp;'Output annual'!$AC$2&amp;'Output annual'!$AD$2&amp;"*FangerPMV(Hourly)",'Eplus results'!$1:$1048576,ROW(),FALSE)</f>
        <v>0</v>
      </c>
      <c r="AD5355" s="580">
        <f t="shared" si="451"/>
        <v>5</v>
      </c>
      <c r="AE5355" s="580">
        <f t="shared" si="452"/>
        <v>2.5</v>
      </c>
      <c r="AF5355" s="580">
        <f t="shared" si="453"/>
        <v>2.5</v>
      </c>
      <c r="AG5355" s="580">
        <f t="shared" si="454"/>
        <v>0</v>
      </c>
      <c r="AH5355" s="580">
        <f t="shared" si="455"/>
        <v>0</v>
      </c>
    </row>
    <row r="5356" spans="28:34">
      <c r="AB5356" s="580">
        <f>HLOOKUP("*"&amp;'Output annual'!$AC$2&amp;'Output annual'!$AD$2&amp;"*Zone People Number Of Occupants [](Hourly)",'Eplus results'!$1:$1048576,ROW(),FALSE)</f>
        <v>0</v>
      </c>
      <c r="AC5356" s="580">
        <f>HLOOKUP("*"&amp;'Output annual'!$AC$2&amp;'Output annual'!$AD$2&amp;"*FangerPMV(Hourly)",'Eplus results'!$1:$1048576,ROW(),FALSE)</f>
        <v>0</v>
      </c>
      <c r="AD5356" s="580">
        <f t="shared" si="451"/>
        <v>5</v>
      </c>
      <c r="AE5356" s="580">
        <f t="shared" si="452"/>
        <v>2.5</v>
      </c>
      <c r="AF5356" s="580">
        <f t="shared" si="453"/>
        <v>2.5</v>
      </c>
      <c r="AG5356" s="580">
        <f t="shared" si="454"/>
        <v>0</v>
      </c>
      <c r="AH5356" s="580">
        <f t="shared" si="455"/>
        <v>0</v>
      </c>
    </row>
    <row r="5357" spans="28:34">
      <c r="AB5357" s="580">
        <f>HLOOKUP("*"&amp;'Output annual'!$AC$2&amp;'Output annual'!$AD$2&amp;"*Zone People Number Of Occupants [](Hourly)",'Eplus results'!$1:$1048576,ROW(),FALSE)</f>
        <v>0</v>
      </c>
      <c r="AC5357" s="580">
        <f>HLOOKUP("*"&amp;'Output annual'!$AC$2&amp;'Output annual'!$AD$2&amp;"*FangerPMV(Hourly)",'Eplus results'!$1:$1048576,ROW(),FALSE)</f>
        <v>0</v>
      </c>
      <c r="AD5357" s="580">
        <f t="shared" si="451"/>
        <v>5</v>
      </c>
      <c r="AE5357" s="580">
        <f t="shared" si="452"/>
        <v>2.5</v>
      </c>
      <c r="AF5357" s="580">
        <f t="shared" si="453"/>
        <v>2.5</v>
      </c>
      <c r="AG5357" s="580">
        <f t="shared" si="454"/>
        <v>0</v>
      </c>
      <c r="AH5357" s="580">
        <f t="shared" si="455"/>
        <v>0</v>
      </c>
    </row>
    <row r="5358" spans="28:34">
      <c r="AB5358" s="580">
        <f>HLOOKUP("*"&amp;'Output annual'!$AC$2&amp;'Output annual'!$AD$2&amp;"*Zone People Number Of Occupants [](Hourly)",'Eplus results'!$1:$1048576,ROW(),FALSE)</f>
        <v>0</v>
      </c>
      <c r="AC5358" s="580">
        <f>HLOOKUP("*"&amp;'Output annual'!$AC$2&amp;'Output annual'!$AD$2&amp;"*FangerPMV(Hourly)",'Eplus results'!$1:$1048576,ROW(),FALSE)</f>
        <v>0</v>
      </c>
      <c r="AD5358" s="580">
        <f t="shared" si="451"/>
        <v>5</v>
      </c>
      <c r="AE5358" s="580">
        <f t="shared" si="452"/>
        <v>2.5</v>
      </c>
      <c r="AF5358" s="580">
        <f t="shared" si="453"/>
        <v>2.5</v>
      </c>
      <c r="AG5358" s="580">
        <f t="shared" si="454"/>
        <v>0</v>
      </c>
      <c r="AH5358" s="580">
        <f t="shared" si="455"/>
        <v>0</v>
      </c>
    </row>
    <row r="5359" spans="28:34">
      <c r="AB5359" s="580">
        <f>HLOOKUP("*"&amp;'Output annual'!$AC$2&amp;'Output annual'!$AD$2&amp;"*Zone People Number Of Occupants [](Hourly)",'Eplus results'!$1:$1048576,ROW(),FALSE)</f>
        <v>0</v>
      </c>
      <c r="AC5359" s="580">
        <f>HLOOKUP("*"&amp;'Output annual'!$AC$2&amp;'Output annual'!$AD$2&amp;"*FangerPMV(Hourly)",'Eplus results'!$1:$1048576,ROW(),FALSE)</f>
        <v>0</v>
      </c>
      <c r="AD5359" s="580">
        <f t="shared" si="451"/>
        <v>5</v>
      </c>
      <c r="AE5359" s="580">
        <f t="shared" si="452"/>
        <v>2.5</v>
      </c>
      <c r="AF5359" s="580">
        <f t="shared" si="453"/>
        <v>2.5</v>
      </c>
      <c r="AG5359" s="580">
        <f t="shared" si="454"/>
        <v>0</v>
      </c>
      <c r="AH5359" s="580">
        <f t="shared" si="455"/>
        <v>0</v>
      </c>
    </row>
    <row r="5360" spans="28:34">
      <c r="AB5360" s="580">
        <f>HLOOKUP("*"&amp;'Output annual'!$AC$2&amp;'Output annual'!$AD$2&amp;"*Zone People Number Of Occupants [](Hourly)",'Eplus results'!$1:$1048576,ROW(),FALSE)</f>
        <v>0</v>
      </c>
      <c r="AC5360" s="580">
        <f>HLOOKUP("*"&amp;'Output annual'!$AC$2&amp;'Output annual'!$AD$2&amp;"*FangerPMV(Hourly)",'Eplus results'!$1:$1048576,ROW(),FALSE)</f>
        <v>0</v>
      </c>
      <c r="AD5360" s="580">
        <f t="shared" si="451"/>
        <v>5</v>
      </c>
      <c r="AE5360" s="580">
        <f t="shared" si="452"/>
        <v>2.5</v>
      </c>
      <c r="AF5360" s="580">
        <f t="shared" si="453"/>
        <v>2.5</v>
      </c>
      <c r="AG5360" s="580">
        <f t="shared" si="454"/>
        <v>0</v>
      </c>
      <c r="AH5360" s="580">
        <f t="shared" si="455"/>
        <v>0</v>
      </c>
    </row>
    <row r="5361" spans="28:34">
      <c r="AB5361" s="580">
        <f>HLOOKUP("*"&amp;'Output annual'!$AC$2&amp;'Output annual'!$AD$2&amp;"*Zone People Number Of Occupants [](Hourly)",'Eplus results'!$1:$1048576,ROW(),FALSE)</f>
        <v>0</v>
      </c>
      <c r="AC5361" s="580">
        <f>HLOOKUP("*"&amp;'Output annual'!$AC$2&amp;'Output annual'!$AD$2&amp;"*FangerPMV(Hourly)",'Eplus results'!$1:$1048576,ROW(),FALSE)</f>
        <v>0</v>
      </c>
      <c r="AD5361" s="580">
        <f t="shared" si="451"/>
        <v>5</v>
      </c>
      <c r="AE5361" s="580">
        <f t="shared" si="452"/>
        <v>2.5</v>
      </c>
      <c r="AF5361" s="580">
        <f t="shared" si="453"/>
        <v>2.5</v>
      </c>
      <c r="AG5361" s="580">
        <f t="shared" si="454"/>
        <v>0</v>
      </c>
      <c r="AH5361" s="580">
        <f t="shared" si="455"/>
        <v>0</v>
      </c>
    </row>
    <row r="5362" spans="28:34">
      <c r="AB5362" s="580">
        <f>HLOOKUP("*"&amp;'Output annual'!$AC$2&amp;'Output annual'!$AD$2&amp;"*Zone People Number Of Occupants [](Hourly)",'Eplus results'!$1:$1048576,ROW(),FALSE)</f>
        <v>0</v>
      </c>
      <c r="AC5362" s="580">
        <f>HLOOKUP("*"&amp;'Output annual'!$AC$2&amp;'Output annual'!$AD$2&amp;"*FangerPMV(Hourly)",'Eplus results'!$1:$1048576,ROW(),FALSE)</f>
        <v>0</v>
      </c>
      <c r="AD5362" s="580">
        <f t="shared" si="451"/>
        <v>5</v>
      </c>
      <c r="AE5362" s="580">
        <f t="shared" si="452"/>
        <v>2.5</v>
      </c>
      <c r="AF5362" s="580">
        <f t="shared" si="453"/>
        <v>2.5</v>
      </c>
      <c r="AG5362" s="580">
        <f t="shared" si="454"/>
        <v>0</v>
      </c>
      <c r="AH5362" s="580">
        <f t="shared" si="455"/>
        <v>0</v>
      </c>
    </row>
    <row r="5363" spans="28:34">
      <c r="AB5363" s="580">
        <f>HLOOKUP("*"&amp;'Output annual'!$AC$2&amp;'Output annual'!$AD$2&amp;"*Zone People Number Of Occupants [](Hourly)",'Eplus results'!$1:$1048576,ROW(),FALSE)</f>
        <v>0</v>
      </c>
      <c r="AC5363" s="580">
        <f>HLOOKUP("*"&amp;'Output annual'!$AC$2&amp;'Output annual'!$AD$2&amp;"*FangerPMV(Hourly)",'Eplus results'!$1:$1048576,ROW(),FALSE)</f>
        <v>0</v>
      </c>
      <c r="AD5363" s="580">
        <f t="shared" si="451"/>
        <v>5</v>
      </c>
      <c r="AE5363" s="580">
        <f t="shared" si="452"/>
        <v>2.5</v>
      </c>
      <c r="AF5363" s="580">
        <f t="shared" si="453"/>
        <v>2.5</v>
      </c>
      <c r="AG5363" s="580">
        <f t="shared" si="454"/>
        <v>0</v>
      </c>
      <c r="AH5363" s="580">
        <f t="shared" si="455"/>
        <v>0</v>
      </c>
    </row>
    <row r="5364" spans="28:34">
      <c r="AB5364" s="580">
        <f>HLOOKUP("*"&amp;'Output annual'!$AC$2&amp;'Output annual'!$AD$2&amp;"*Zone People Number Of Occupants [](Hourly)",'Eplus results'!$1:$1048576,ROW(),FALSE)</f>
        <v>0</v>
      </c>
      <c r="AC5364" s="580">
        <f>HLOOKUP("*"&amp;'Output annual'!$AC$2&amp;'Output annual'!$AD$2&amp;"*FangerPMV(Hourly)",'Eplus results'!$1:$1048576,ROW(),FALSE)</f>
        <v>0</v>
      </c>
      <c r="AD5364" s="580">
        <f t="shared" si="451"/>
        <v>5</v>
      </c>
      <c r="AE5364" s="580">
        <f t="shared" si="452"/>
        <v>2.5</v>
      </c>
      <c r="AF5364" s="580">
        <f t="shared" si="453"/>
        <v>2.5</v>
      </c>
      <c r="AG5364" s="580">
        <f t="shared" si="454"/>
        <v>0</v>
      </c>
      <c r="AH5364" s="580">
        <f t="shared" si="455"/>
        <v>0</v>
      </c>
    </row>
    <row r="5365" spans="28:34">
      <c r="AB5365" s="580">
        <f>HLOOKUP("*"&amp;'Output annual'!$AC$2&amp;'Output annual'!$AD$2&amp;"*Zone People Number Of Occupants [](Hourly)",'Eplus results'!$1:$1048576,ROW(),FALSE)</f>
        <v>0</v>
      </c>
      <c r="AC5365" s="580">
        <f>HLOOKUP("*"&amp;'Output annual'!$AC$2&amp;'Output annual'!$AD$2&amp;"*FangerPMV(Hourly)",'Eplus results'!$1:$1048576,ROW(),FALSE)</f>
        <v>0</v>
      </c>
      <c r="AD5365" s="580">
        <f t="shared" si="451"/>
        <v>5</v>
      </c>
      <c r="AE5365" s="580">
        <f t="shared" si="452"/>
        <v>2.5</v>
      </c>
      <c r="AF5365" s="580">
        <f t="shared" si="453"/>
        <v>2.5</v>
      </c>
      <c r="AG5365" s="580">
        <f t="shared" si="454"/>
        <v>0</v>
      </c>
      <c r="AH5365" s="580">
        <f t="shared" si="455"/>
        <v>0</v>
      </c>
    </row>
    <row r="5366" spans="28:34">
      <c r="AB5366" s="580">
        <f>HLOOKUP("*"&amp;'Output annual'!$AC$2&amp;'Output annual'!$AD$2&amp;"*Zone People Number Of Occupants [](Hourly)",'Eplus results'!$1:$1048576,ROW(),FALSE)</f>
        <v>0</v>
      </c>
      <c r="AC5366" s="580">
        <f>HLOOKUP("*"&amp;'Output annual'!$AC$2&amp;'Output annual'!$AD$2&amp;"*FangerPMV(Hourly)",'Eplus results'!$1:$1048576,ROW(),FALSE)</f>
        <v>0</v>
      </c>
      <c r="AD5366" s="580">
        <f t="shared" si="451"/>
        <v>5</v>
      </c>
      <c r="AE5366" s="580">
        <f t="shared" si="452"/>
        <v>2.5</v>
      </c>
      <c r="AF5366" s="580">
        <f t="shared" si="453"/>
        <v>2.5</v>
      </c>
      <c r="AG5366" s="580">
        <f t="shared" si="454"/>
        <v>0</v>
      </c>
      <c r="AH5366" s="580">
        <f t="shared" si="455"/>
        <v>0</v>
      </c>
    </row>
    <row r="5367" spans="28:34">
      <c r="AB5367" s="580">
        <f>HLOOKUP("*"&amp;'Output annual'!$AC$2&amp;'Output annual'!$AD$2&amp;"*Zone People Number Of Occupants [](Hourly)",'Eplus results'!$1:$1048576,ROW(),FALSE)</f>
        <v>0</v>
      </c>
      <c r="AC5367" s="580">
        <f>HLOOKUP("*"&amp;'Output annual'!$AC$2&amp;'Output annual'!$AD$2&amp;"*FangerPMV(Hourly)",'Eplus results'!$1:$1048576,ROW(),FALSE)</f>
        <v>0</v>
      </c>
      <c r="AD5367" s="580">
        <f t="shared" si="451"/>
        <v>5</v>
      </c>
      <c r="AE5367" s="580">
        <f t="shared" si="452"/>
        <v>2.5</v>
      </c>
      <c r="AF5367" s="580">
        <f t="shared" si="453"/>
        <v>2.5</v>
      </c>
      <c r="AG5367" s="580">
        <f t="shared" si="454"/>
        <v>0</v>
      </c>
      <c r="AH5367" s="580">
        <f t="shared" si="455"/>
        <v>0</v>
      </c>
    </row>
    <row r="5368" spans="28:34">
      <c r="AB5368" s="580">
        <f>HLOOKUP("*"&amp;'Output annual'!$AC$2&amp;'Output annual'!$AD$2&amp;"*Zone People Number Of Occupants [](Hourly)",'Eplus results'!$1:$1048576,ROW(),FALSE)</f>
        <v>0</v>
      </c>
      <c r="AC5368" s="580">
        <f>HLOOKUP("*"&amp;'Output annual'!$AC$2&amp;'Output annual'!$AD$2&amp;"*FangerPMV(Hourly)",'Eplus results'!$1:$1048576,ROW(),FALSE)</f>
        <v>0</v>
      </c>
      <c r="AD5368" s="580">
        <f t="shared" si="451"/>
        <v>5</v>
      </c>
      <c r="AE5368" s="580">
        <f t="shared" si="452"/>
        <v>2.5</v>
      </c>
      <c r="AF5368" s="580">
        <f t="shared" si="453"/>
        <v>2.5</v>
      </c>
      <c r="AG5368" s="580">
        <f t="shared" si="454"/>
        <v>0</v>
      </c>
      <c r="AH5368" s="580">
        <f t="shared" si="455"/>
        <v>0</v>
      </c>
    </row>
    <row r="5369" spans="28:34">
      <c r="AB5369" s="580">
        <f>HLOOKUP("*"&amp;'Output annual'!$AC$2&amp;'Output annual'!$AD$2&amp;"*Zone People Number Of Occupants [](Hourly)",'Eplus results'!$1:$1048576,ROW(),FALSE)</f>
        <v>0</v>
      </c>
      <c r="AC5369" s="580">
        <f>HLOOKUP("*"&amp;'Output annual'!$AC$2&amp;'Output annual'!$AD$2&amp;"*FangerPMV(Hourly)",'Eplus results'!$1:$1048576,ROW(),FALSE)</f>
        <v>0</v>
      </c>
      <c r="AD5369" s="580">
        <f t="shared" si="451"/>
        <v>5</v>
      </c>
      <c r="AE5369" s="580">
        <f t="shared" si="452"/>
        <v>2.5</v>
      </c>
      <c r="AF5369" s="580">
        <f t="shared" si="453"/>
        <v>2.5</v>
      </c>
      <c r="AG5369" s="580">
        <f t="shared" si="454"/>
        <v>0</v>
      </c>
      <c r="AH5369" s="580">
        <f t="shared" si="455"/>
        <v>0</v>
      </c>
    </row>
    <row r="5370" spans="28:34">
      <c r="AB5370" s="580">
        <f>HLOOKUP("*"&amp;'Output annual'!$AC$2&amp;'Output annual'!$AD$2&amp;"*Zone People Number Of Occupants [](Hourly)",'Eplus results'!$1:$1048576,ROW(),FALSE)</f>
        <v>0</v>
      </c>
      <c r="AC5370" s="580">
        <f>HLOOKUP("*"&amp;'Output annual'!$AC$2&amp;'Output annual'!$AD$2&amp;"*FangerPMV(Hourly)",'Eplus results'!$1:$1048576,ROW(),FALSE)</f>
        <v>0</v>
      </c>
      <c r="AD5370" s="580">
        <f t="shared" si="451"/>
        <v>5</v>
      </c>
      <c r="AE5370" s="580">
        <f t="shared" si="452"/>
        <v>2.5</v>
      </c>
      <c r="AF5370" s="580">
        <f t="shared" si="453"/>
        <v>2.5</v>
      </c>
      <c r="AG5370" s="580">
        <f t="shared" si="454"/>
        <v>0</v>
      </c>
      <c r="AH5370" s="580">
        <f t="shared" si="455"/>
        <v>0</v>
      </c>
    </row>
    <row r="5371" spans="28:34">
      <c r="AB5371" s="580">
        <f>HLOOKUP("*"&amp;'Output annual'!$AC$2&amp;'Output annual'!$AD$2&amp;"*Zone People Number Of Occupants [](Hourly)",'Eplus results'!$1:$1048576,ROW(),FALSE)</f>
        <v>0</v>
      </c>
      <c r="AC5371" s="580">
        <f>HLOOKUP("*"&amp;'Output annual'!$AC$2&amp;'Output annual'!$AD$2&amp;"*FangerPMV(Hourly)",'Eplus results'!$1:$1048576,ROW(),FALSE)</f>
        <v>0</v>
      </c>
      <c r="AD5371" s="580">
        <f t="shared" si="451"/>
        <v>5</v>
      </c>
      <c r="AE5371" s="580">
        <f t="shared" si="452"/>
        <v>2.5</v>
      </c>
      <c r="AF5371" s="580">
        <f t="shared" si="453"/>
        <v>2.5</v>
      </c>
      <c r="AG5371" s="580">
        <f t="shared" si="454"/>
        <v>0</v>
      </c>
      <c r="AH5371" s="580">
        <f t="shared" si="455"/>
        <v>0</v>
      </c>
    </row>
    <row r="5372" spans="28:34">
      <c r="AB5372" s="580">
        <f>HLOOKUP("*"&amp;'Output annual'!$AC$2&amp;'Output annual'!$AD$2&amp;"*Zone People Number Of Occupants [](Hourly)",'Eplus results'!$1:$1048576,ROW(),FALSE)</f>
        <v>0</v>
      </c>
      <c r="AC5372" s="580">
        <f>HLOOKUP("*"&amp;'Output annual'!$AC$2&amp;'Output annual'!$AD$2&amp;"*FangerPMV(Hourly)",'Eplus results'!$1:$1048576,ROW(),FALSE)</f>
        <v>0</v>
      </c>
      <c r="AD5372" s="580">
        <f t="shared" si="451"/>
        <v>5</v>
      </c>
      <c r="AE5372" s="580">
        <f t="shared" si="452"/>
        <v>2.5</v>
      </c>
      <c r="AF5372" s="580">
        <f t="shared" si="453"/>
        <v>2.5</v>
      </c>
      <c r="AG5372" s="580">
        <f t="shared" si="454"/>
        <v>0</v>
      </c>
      <c r="AH5372" s="580">
        <f t="shared" si="455"/>
        <v>0</v>
      </c>
    </row>
    <row r="5373" spans="28:34">
      <c r="AB5373" s="580">
        <f>HLOOKUP("*"&amp;'Output annual'!$AC$2&amp;'Output annual'!$AD$2&amp;"*Zone People Number Of Occupants [](Hourly)",'Eplus results'!$1:$1048576,ROW(),FALSE)</f>
        <v>0</v>
      </c>
      <c r="AC5373" s="580">
        <f>HLOOKUP("*"&amp;'Output annual'!$AC$2&amp;'Output annual'!$AD$2&amp;"*FangerPMV(Hourly)",'Eplus results'!$1:$1048576,ROW(),FALSE)</f>
        <v>0</v>
      </c>
      <c r="AD5373" s="580">
        <f t="shared" si="451"/>
        <v>5</v>
      </c>
      <c r="AE5373" s="580">
        <f t="shared" si="452"/>
        <v>2.5</v>
      </c>
      <c r="AF5373" s="580">
        <f t="shared" si="453"/>
        <v>2.5</v>
      </c>
      <c r="AG5373" s="580">
        <f t="shared" si="454"/>
        <v>0</v>
      </c>
      <c r="AH5373" s="580">
        <f t="shared" si="455"/>
        <v>0</v>
      </c>
    </row>
    <row r="5374" spans="28:34">
      <c r="AB5374" s="580">
        <f>HLOOKUP("*"&amp;'Output annual'!$AC$2&amp;'Output annual'!$AD$2&amp;"*Zone People Number Of Occupants [](Hourly)",'Eplus results'!$1:$1048576,ROW(),FALSE)</f>
        <v>0</v>
      </c>
      <c r="AC5374" s="580">
        <f>HLOOKUP("*"&amp;'Output annual'!$AC$2&amp;'Output annual'!$AD$2&amp;"*FangerPMV(Hourly)",'Eplus results'!$1:$1048576,ROW(),FALSE)</f>
        <v>0</v>
      </c>
      <c r="AD5374" s="580">
        <f t="shared" si="451"/>
        <v>5</v>
      </c>
      <c r="AE5374" s="580">
        <f t="shared" si="452"/>
        <v>2.5</v>
      </c>
      <c r="AF5374" s="580">
        <f t="shared" si="453"/>
        <v>2.5</v>
      </c>
      <c r="AG5374" s="580">
        <f t="shared" si="454"/>
        <v>0</v>
      </c>
      <c r="AH5374" s="580">
        <f t="shared" si="455"/>
        <v>0</v>
      </c>
    </row>
    <row r="5375" spans="28:34">
      <c r="AB5375" s="580">
        <f>HLOOKUP("*"&amp;'Output annual'!$AC$2&amp;'Output annual'!$AD$2&amp;"*Zone People Number Of Occupants [](Hourly)",'Eplus results'!$1:$1048576,ROW(),FALSE)</f>
        <v>0</v>
      </c>
      <c r="AC5375" s="580">
        <f>HLOOKUP("*"&amp;'Output annual'!$AC$2&amp;'Output annual'!$AD$2&amp;"*FangerPMV(Hourly)",'Eplus results'!$1:$1048576,ROW(),FALSE)</f>
        <v>0</v>
      </c>
      <c r="AD5375" s="580">
        <f t="shared" si="451"/>
        <v>5</v>
      </c>
      <c r="AE5375" s="580">
        <f t="shared" si="452"/>
        <v>2.5</v>
      </c>
      <c r="AF5375" s="580">
        <f t="shared" si="453"/>
        <v>2.5</v>
      </c>
      <c r="AG5375" s="580">
        <f t="shared" si="454"/>
        <v>0</v>
      </c>
      <c r="AH5375" s="580">
        <f t="shared" si="455"/>
        <v>0</v>
      </c>
    </row>
    <row r="5376" spans="28:34">
      <c r="AB5376" s="580">
        <f>HLOOKUP("*"&amp;'Output annual'!$AC$2&amp;'Output annual'!$AD$2&amp;"*Zone People Number Of Occupants [](Hourly)",'Eplus results'!$1:$1048576,ROW(),FALSE)</f>
        <v>0</v>
      </c>
      <c r="AC5376" s="580">
        <f>HLOOKUP("*"&amp;'Output annual'!$AC$2&amp;'Output annual'!$AD$2&amp;"*FangerPMV(Hourly)",'Eplus results'!$1:$1048576,ROW(),FALSE)</f>
        <v>0</v>
      </c>
      <c r="AD5376" s="580">
        <f t="shared" si="451"/>
        <v>5</v>
      </c>
      <c r="AE5376" s="580">
        <f t="shared" si="452"/>
        <v>2.5</v>
      </c>
      <c r="AF5376" s="580">
        <f t="shared" si="453"/>
        <v>2.5</v>
      </c>
      <c r="AG5376" s="580">
        <f t="shared" si="454"/>
        <v>0</v>
      </c>
      <c r="AH5376" s="580">
        <f t="shared" si="455"/>
        <v>0</v>
      </c>
    </row>
    <row r="5377" spans="28:34">
      <c r="AB5377" s="580">
        <f>HLOOKUP("*"&amp;'Output annual'!$AC$2&amp;'Output annual'!$AD$2&amp;"*Zone People Number Of Occupants [](Hourly)",'Eplus results'!$1:$1048576,ROW(),FALSE)</f>
        <v>0</v>
      </c>
      <c r="AC5377" s="580">
        <f>HLOOKUP("*"&amp;'Output annual'!$AC$2&amp;'Output annual'!$AD$2&amp;"*FangerPMV(Hourly)",'Eplus results'!$1:$1048576,ROW(),FALSE)</f>
        <v>0</v>
      </c>
      <c r="AD5377" s="580">
        <f t="shared" si="451"/>
        <v>5</v>
      </c>
      <c r="AE5377" s="580">
        <f t="shared" si="452"/>
        <v>2.5</v>
      </c>
      <c r="AF5377" s="580">
        <f t="shared" si="453"/>
        <v>2.5</v>
      </c>
      <c r="AG5377" s="580">
        <f t="shared" si="454"/>
        <v>0</v>
      </c>
      <c r="AH5377" s="580">
        <f t="shared" si="455"/>
        <v>0</v>
      </c>
    </row>
    <row r="5378" spans="28:34">
      <c r="AB5378" s="580">
        <f>HLOOKUP("*"&amp;'Output annual'!$AC$2&amp;'Output annual'!$AD$2&amp;"*Zone People Number Of Occupants [](Hourly)",'Eplus results'!$1:$1048576,ROW(),FALSE)</f>
        <v>0</v>
      </c>
      <c r="AC5378" s="580">
        <f>HLOOKUP("*"&amp;'Output annual'!$AC$2&amp;'Output annual'!$AD$2&amp;"*FangerPMV(Hourly)",'Eplus results'!$1:$1048576,ROW(),FALSE)</f>
        <v>0</v>
      </c>
      <c r="AD5378" s="580">
        <f t="shared" si="451"/>
        <v>5</v>
      </c>
      <c r="AE5378" s="580">
        <f t="shared" si="452"/>
        <v>2.5</v>
      </c>
      <c r="AF5378" s="580">
        <f t="shared" si="453"/>
        <v>2.5</v>
      </c>
      <c r="AG5378" s="580">
        <f t="shared" si="454"/>
        <v>0</v>
      </c>
      <c r="AH5378" s="580">
        <f t="shared" si="455"/>
        <v>0</v>
      </c>
    </row>
    <row r="5379" spans="28:34">
      <c r="AB5379" s="580">
        <f>HLOOKUP("*"&amp;'Output annual'!$AC$2&amp;'Output annual'!$AD$2&amp;"*Zone People Number Of Occupants [](Hourly)",'Eplus results'!$1:$1048576,ROW(),FALSE)</f>
        <v>0</v>
      </c>
      <c r="AC5379" s="580">
        <f>HLOOKUP("*"&amp;'Output annual'!$AC$2&amp;'Output annual'!$AD$2&amp;"*FangerPMV(Hourly)",'Eplus results'!$1:$1048576,ROW(),FALSE)</f>
        <v>0</v>
      </c>
      <c r="AD5379" s="580">
        <f t="shared" ref="AD5379:AD5442" si="456">100-95*EXP(-0.03353*AC5379^4-0.2179*AC5379^2)</f>
        <v>5</v>
      </c>
      <c r="AE5379" s="580">
        <f t="shared" ref="AE5379:AE5442" si="457">AD5379*(1/(1+EXP(-6.3*$AC5379)))</f>
        <v>2.5</v>
      </c>
      <c r="AF5379" s="580">
        <f t="shared" ref="AF5379:AF5442" si="458">(AD5379-AE5379)</f>
        <v>2.5</v>
      </c>
      <c r="AG5379" s="580">
        <f t="shared" ref="AG5379:AG5442" si="459">AE5379*AB5379</f>
        <v>0</v>
      </c>
      <c r="AH5379" s="580">
        <f t="shared" ref="AH5379:AH5442" si="460">AF5379*AB5379</f>
        <v>0</v>
      </c>
    </row>
    <row r="5380" spans="28:34">
      <c r="AB5380" s="580">
        <f>HLOOKUP("*"&amp;'Output annual'!$AC$2&amp;'Output annual'!$AD$2&amp;"*Zone People Number Of Occupants [](Hourly)",'Eplus results'!$1:$1048576,ROW(),FALSE)</f>
        <v>0</v>
      </c>
      <c r="AC5380" s="580">
        <f>HLOOKUP("*"&amp;'Output annual'!$AC$2&amp;'Output annual'!$AD$2&amp;"*FangerPMV(Hourly)",'Eplus results'!$1:$1048576,ROW(),FALSE)</f>
        <v>0</v>
      </c>
      <c r="AD5380" s="580">
        <f t="shared" si="456"/>
        <v>5</v>
      </c>
      <c r="AE5380" s="580">
        <f t="shared" si="457"/>
        <v>2.5</v>
      </c>
      <c r="AF5380" s="580">
        <f t="shared" si="458"/>
        <v>2.5</v>
      </c>
      <c r="AG5380" s="580">
        <f t="shared" si="459"/>
        <v>0</v>
      </c>
      <c r="AH5380" s="580">
        <f t="shared" si="460"/>
        <v>0</v>
      </c>
    </row>
    <row r="5381" spans="28:34">
      <c r="AB5381" s="580">
        <f>HLOOKUP("*"&amp;'Output annual'!$AC$2&amp;'Output annual'!$AD$2&amp;"*Zone People Number Of Occupants [](Hourly)",'Eplus results'!$1:$1048576,ROW(),FALSE)</f>
        <v>0</v>
      </c>
      <c r="AC5381" s="580">
        <f>HLOOKUP("*"&amp;'Output annual'!$AC$2&amp;'Output annual'!$AD$2&amp;"*FangerPMV(Hourly)",'Eplus results'!$1:$1048576,ROW(),FALSE)</f>
        <v>0</v>
      </c>
      <c r="AD5381" s="580">
        <f t="shared" si="456"/>
        <v>5</v>
      </c>
      <c r="AE5381" s="580">
        <f t="shared" si="457"/>
        <v>2.5</v>
      </c>
      <c r="AF5381" s="580">
        <f t="shared" si="458"/>
        <v>2.5</v>
      </c>
      <c r="AG5381" s="580">
        <f t="shared" si="459"/>
        <v>0</v>
      </c>
      <c r="AH5381" s="580">
        <f t="shared" si="460"/>
        <v>0</v>
      </c>
    </row>
    <row r="5382" spans="28:34">
      <c r="AB5382" s="580">
        <f>HLOOKUP("*"&amp;'Output annual'!$AC$2&amp;'Output annual'!$AD$2&amp;"*Zone People Number Of Occupants [](Hourly)",'Eplus results'!$1:$1048576,ROW(),FALSE)</f>
        <v>0</v>
      </c>
      <c r="AC5382" s="580">
        <f>HLOOKUP("*"&amp;'Output annual'!$AC$2&amp;'Output annual'!$AD$2&amp;"*FangerPMV(Hourly)",'Eplus results'!$1:$1048576,ROW(),FALSE)</f>
        <v>0</v>
      </c>
      <c r="AD5382" s="580">
        <f t="shared" si="456"/>
        <v>5</v>
      </c>
      <c r="AE5382" s="580">
        <f t="shared" si="457"/>
        <v>2.5</v>
      </c>
      <c r="AF5382" s="580">
        <f t="shared" si="458"/>
        <v>2.5</v>
      </c>
      <c r="AG5382" s="580">
        <f t="shared" si="459"/>
        <v>0</v>
      </c>
      <c r="AH5382" s="580">
        <f t="shared" si="460"/>
        <v>0</v>
      </c>
    </row>
    <row r="5383" spans="28:34">
      <c r="AB5383" s="580">
        <f>HLOOKUP("*"&amp;'Output annual'!$AC$2&amp;'Output annual'!$AD$2&amp;"*Zone People Number Of Occupants [](Hourly)",'Eplus results'!$1:$1048576,ROW(),FALSE)</f>
        <v>0</v>
      </c>
      <c r="AC5383" s="580">
        <f>HLOOKUP("*"&amp;'Output annual'!$AC$2&amp;'Output annual'!$AD$2&amp;"*FangerPMV(Hourly)",'Eplus results'!$1:$1048576,ROW(),FALSE)</f>
        <v>0</v>
      </c>
      <c r="AD5383" s="580">
        <f t="shared" si="456"/>
        <v>5</v>
      </c>
      <c r="AE5383" s="580">
        <f t="shared" si="457"/>
        <v>2.5</v>
      </c>
      <c r="AF5383" s="580">
        <f t="shared" si="458"/>
        <v>2.5</v>
      </c>
      <c r="AG5383" s="580">
        <f t="shared" si="459"/>
        <v>0</v>
      </c>
      <c r="AH5383" s="580">
        <f t="shared" si="460"/>
        <v>0</v>
      </c>
    </row>
    <row r="5384" spans="28:34">
      <c r="AB5384" s="580">
        <f>HLOOKUP("*"&amp;'Output annual'!$AC$2&amp;'Output annual'!$AD$2&amp;"*Zone People Number Of Occupants [](Hourly)",'Eplus results'!$1:$1048576,ROW(),FALSE)</f>
        <v>0</v>
      </c>
      <c r="AC5384" s="580">
        <f>HLOOKUP("*"&amp;'Output annual'!$AC$2&amp;'Output annual'!$AD$2&amp;"*FangerPMV(Hourly)",'Eplus results'!$1:$1048576,ROW(),FALSE)</f>
        <v>0</v>
      </c>
      <c r="AD5384" s="580">
        <f t="shared" si="456"/>
        <v>5</v>
      </c>
      <c r="AE5384" s="580">
        <f t="shared" si="457"/>
        <v>2.5</v>
      </c>
      <c r="AF5384" s="580">
        <f t="shared" si="458"/>
        <v>2.5</v>
      </c>
      <c r="AG5384" s="580">
        <f t="shared" si="459"/>
        <v>0</v>
      </c>
      <c r="AH5384" s="580">
        <f t="shared" si="460"/>
        <v>0</v>
      </c>
    </row>
    <row r="5385" spans="28:34">
      <c r="AB5385" s="580">
        <f>HLOOKUP("*"&amp;'Output annual'!$AC$2&amp;'Output annual'!$AD$2&amp;"*Zone People Number Of Occupants [](Hourly)",'Eplus results'!$1:$1048576,ROW(),FALSE)</f>
        <v>0</v>
      </c>
      <c r="AC5385" s="580">
        <f>HLOOKUP("*"&amp;'Output annual'!$AC$2&amp;'Output annual'!$AD$2&amp;"*FangerPMV(Hourly)",'Eplus results'!$1:$1048576,ROW(),FALSE)</f>
        <v>0</v>
      </c>
      <c r="AD5385" s="580">
        <f t="shared" si="456"/>
        <v>5</v>
      </c>
      <c r="AE5385" s="580">
        <f t="shared" si="457"/>
        <v>2.5</v>
      </c>
      <c r="AF5385" s="580">
        <f t="shared" si="458"/>
        <v>2.5</v>
      </c>
      <c r="AG5385" s="580">
        <f t="shared" si="459"/>
        <v>0</v>
      </c>
      <c r="AH5385" s="580">
        <f t="shared" si="460"/>
        <v>0</v>
      </c>
    </row>
    <row r="5386" spans="28:34">
      <c r="AB5386" s="580">
        <f>HLOOKUP("*"&amp;'Output annual'!$AC$2&amp;'Output annual'!$AD$2&amp;"*Zone People Number Of Occupants [](Hourly)",'Eplus results'!$1:$1048576,ROW(),FALSE)</f>
        <v>0</v>
      </c>
      <c r="AC5386" s="580">
        <f>HLOOKUP("*"&amp;'Output annual'!$AC$2&amp;'Output annual'!$AD$2&amp;"*FangerPMV(Hourly)",'Eplus results'!$1:$1048576,ROW(),FALSE)</f>
        <v>0</v>
      </c>
      <c r="AD5386" s="580">
        <f t="shared" si="456"/>
        <v>5</v>
      </c>
      <c r="AE5386" s="580">
        <f t="shared" si="457"/>
        <v>2.5</v>
      </c>
      <c r="AF5386" s="580">
        <f t="shared" si="458"/>
        <v>2.5</v>
      </c>
      <c r="AG5386" s="580">
        <f t="shared" si="459"/>
        <v>0</v>
      </c>
      <c r="AH5386" s="580">
        <f t="shared" si="460"/>
        <v>0</v>
      </c>
    </row>
    <row r="5387" spans="28:34">
      <c r="AB5387" s="580">
        <f>HLOOKUP("*"&amp;'Output annual'!$AC$2&amp;'Output annual'!$AD$2&amp;"*Zone People Number Of Occupants [](Hourly)",'Eplus results'!$1:$1048576,ROW(),FALSE)</f>
        <v>0</v>
      </c>
      <c r="AC5387" s="580">
        <f>HLOOKUP("*"&amp;'Output annual'!$AC$2&amp;'Output annual'!$AD$2&amp;"*FangerPMV(Hourly)",'Eplus results'!$1:$1048576,ROW(),FALSE)</f>
        <v>0</v>
      </c>
      <c r="AD5387" s="580">
        <f t="shared" si="456"/>
        <v>5</v>
      </c>
      <c r="AE5387" s="580">
        <f t="shared" si="457"/>
        <v>2.5</v>
      </c>
      <c r="AF5387" s="580">
        <f t="shared" si="458"/>
        <v>2.5</v>
      </c>
      <c r="AG5387" s="580">
        <f t="shared" si="459"/>
        <v>0</v>
      </c>
      <c r="AH5387" s="580">
        <f t="shared" si="460"/>
        <v>0</v>
      </c>
    </row>
    <row r="5388" spans="28:34">
      <c r="AB5388" s="580">
        <f>HLOOKUP("*"&amp;'Output annual'!$AC$2&amp;'Output annual'!$AD$2&amp;"*Zone People Number Of Occupants [](Hourly)",'Eplus results'!$1:$1048576,ROW(),FALSE)</f>
        <v>0</v>
      </c>
      <c r="AC5388" s="580">
        <f>HLOOKUP("*"&amp;'Output annual'!$AC$2&amp;'Output annual'!$AD$2&amp;"*FangerPMV(Hourly)",'Eplus results'!$1:$1048576,ROW(),FALSE)</f>
        <v>0</v>
      </c>
      <c r="AD5388" s="580">
        <f t="shared" si="456"/>
        <v>5</v>
      </c>
      <c r="AE5388" s="580">
        <f t="shared" si="457"/>
        <v>2.5</v>
      </c>
      <c r="AF5388" s="580">
        <f t="shared" si="458"/>
        <v>2.5</v>
      </c>
      <c r="AG5388" s="580">
        <f t="shared" si="459"/>
        <v>0</v>
      </c>
      <c r="AH5388" s="580">
        <f t="shared" si="460"/>
        <v>0</v>
      </c>
    </row>
    <row r="5389" spans="28:34">
      <c r="AB5389" s="580">
        <f>HLOOKUP("*"&amp;'Output annual'!$AC$2&amp;'Output annual'!$AD$2&amp;"*Zone People Number Of Occupants [](Hourly)",'Eplus results'!$1:$1048576,ROW(),FALSE)</f>
        <v>0</v>
      </c>
      <c r="AC5389" s="580">
        <f>HLOOKUP("*"&amp;'Output annual'!$AC$2&amp;'Output annual'!$AD$2&amp;"*FangerPMV(Hourly)",'Eplus results'!$1:$1048576,ROW(),FALSE)</f>
        <v>0</v>
      </c>
      <c r="AD5389" s="580">
        <f t="shared" si="456"/>
        <v>5</v>
      </c>
      <c r="AE5389" s="580">
        <f t="shared" si="457"/>
        <v>2.5</v>
      </c>
      <c r="AF5389" s="580">
        <f t="shared" si="458"/>
        <v>2.5</v>
      </c>
      <c r="AG5389" s="580">
        <f t="shared" si="459"/>
        <v>0</v>
      </c>
      <c r="AH5389" s="580">
        <f t="shared" si="460"/>
        <v>0</v>
      </c>
    </row>
    <row r="5390" spans="28:34">
      <c r="AB5390" s="580">
        <f>HLOOKUP("*"&amp;'Output annual'!$AC$2&amp;'Output annual'!$AD$2&amp;"*Zone People Number Of Occupants [](Hourly)",'Eplus results'!$1:$1048576,ROW(),FALSE)</f>
        <v>0</v>
      </c>
      <c r="AC5390" s="580">
        <f>HLOOKUP("*"&amp;'Output annual'!$AC$2&amp;'Output annual'!$AD$2&amp;"*FangerPMV(Hourly)",'Eplus results'!$1:$1048576,ROW(),FALSE)</f>
        <v>0</v>
      </c>
      <c r="AD5390" s="580">
        <f t="shared" si="456"/>
        <v>5</v>
      </c>
      <c r="AE5390" s="580">
        <f t="shared" si="457"/>
        <v>2.5</v>
      </c>
      <c r="AF5390" s="580">
        <f t="shared" si="458"/>
        <v>2.5</v>
      </c>
      <c r="AG5390" s="580">
        <f t="shared" si="459"/>
        <v>0</v>
      </c>
      <c r="AH5390" s="580">
        <f t="shared" si="460"/>
        <v>0</v>
      </c>
    </row>
    <row r="5391" spans="28:34">
      <c r="AB5391" s="580">
        <f>HLOOKUP("*"&amp;'Output annual'!$AC$2&amp;'Output annual'!$AD$2&amp;"*Zone People Number Of Occupants [](Hourly)",'Eplus results'!$1:$1048576,ROW(),FALSE)</f>
        <v>0</v>
      </c>
      <c r="AC5391" s="580">
        <f>HLOOKUP("*"&amp;'Output annual'!$AC$2&amp;'Output annual'!$AD$2&amp;"*FangerPMV(Hourly)",'Eplus results'!$1:$1048576,ROW(),FALSE)</f>
        <v>0</v>
      </c>
      <c r="AD5391" s="580">
        <f t="shared" si="456"/>
        <v>5</v>
      </c>
      <c r="AE5391" s="580">
        <f t="shared" si="457"/>
        <v>2.5</v>
      </c>
      <c r="AF5391" s="580">
        <f t="shared" si="458"/>
        <v>2.5</v>
      </c>
      <c r="AG5391" s="580">
        <f t="shared" si="459"/>
        <v>0</v>
      </c>
      <c r="AH5391" s="580">
        <f t="shared" si="460"/>
        <v>0</v>
      </c>
    </row>
    <row r="5392" spans="28:34">
      <c r="AB5392" s="580">
        <f>HLOOKUP("*"&amp;'Output annual'!$AC$2&amp;'Output annual'!$AD$2&amp;"*Zone People Number Of Occupants [](Hourly)",'Eplus results'!$1:$1048576,ROW(),FALSE)</f>
        <v>0</v>
      </c>
      <c r="AC5392" s="580">
        <f>HLOOKUP("*"&amp;'Output annual'!$AC$2&amp;'Output annual'!$AD$2&amp;"*FangerPMV(Hourly)",'Eplus results'!$1:$1048576,ROW(),FALSE)</f>
        <v>0</v>
      </c>
      <c r="AD5392" s="580">
        <f t="shared" si="456"/>
        <v>5</v>
      </c>
      <c r="AE5392" s="580">
        <f t="shared" si="457"/>
        <v>2.5</v>
      </c>
      <c r="AF5392" s="580">
        <f t="shared" si="458"/>
        <v>2.5</v>
      </c>
      <c r="AG5392" s="580">
        <f t="shared" si="459"/>
        <v>0</v>
      </c>
      <c r="AH5392" s="580">
        <f t="shared" si="460"/>
        <v>0</v>
      </c>
    </row>
    <row r="5393" spans="28:34">
      <c r="AB5393" s="580">
        <f>HLOOKUP("*"&amp;'Output annual'!$AC$2&amp;'Output annual'!$AD$2&amp;"*Zone People Number Of Occupants [](Hourly)",'Eplus results'!$1:$1048576,ROW(),FALSE)</f>
        <v>0</v>
      </c>
      <c r="AC5393" s="580">
        <f>HLOOKUP("*"&amp;'Output annual'!$AC$2&amp;'Output annual'!$AD$2&amp;"*FangerPMV(Hourly)",'Eplus results'!$1:$1048576,ROW(),FALSE)</f>
        <v>0</v>
      </c>
      <c r="AD5393" s="580">
        <f t="shared" si="456"/>
        <v>5</v>
      </c>
      <c r="AE5393" s="580">
        <f t="shared" si="457"/>
        <v>2.5</v>
      </c>
      <c r="AF5393" s="580">
        <f t="shared" si="458"/>
        <v>2.5</v>
      </c>
      <c r="AG5393" s="580">
        <f t="shared" si="459"/>
        <v>0</v>
      </c>
      <c r="AH5393" s="580">
        <f t="shared" si="460"/>
        <v>0</v>
      </c>
    </row>
    <row r="5394" spans="28:34">
      <c r="AB5394" s="580">
        <f>HLOOKUP("*"&amp;'Output annual'!$AC$2&amp;'Output annual'!$AD$2&amp;"*Zone People Number Of Occupants [](Hourly)",'Eplus results'!$1:$1048576,ROW(),FALSE)</f>
        <v>0</v>
      </c>
      <c r="AC5394" s="580">
        <f>HLOOKUP("*"&amp;'Output annual'!$AC$2&amp;'Output annual'!$AD$2&amp;"*FangerPMV(Hourly)",'Eplus results'!$1:$1048576,ROW(),FALSE)</f>
        <v>0</v>
      </c>
      <c r="AD5394" s="580">
        <f t="shared" si="456"/>
        <v>5</v>
      </c>
      <c r="AE5394" s="580">
        <f t="shared" si="457"/>
        <v>2.5</v>
      </c>
      <c r="AF5394" s="580">
        <f t="shared" si="458"/>
        <v>2.5</v>
      </c>
      <c r="AG5394" s="580">
        <f t="shared" si="459"/>
        <v>0</v>
      </c>
      <c r="AH5394" s="580">
        <f t="shared" si="460"/>
        <v>0</v>
      </c>
    </row>
    <row r="5395" spans="28:34">
      <c r="AB5395" s="580">
        <f>HLOOKUP("*"&amp;'Output annual'!$AC$2&amp;'Output annual'!$AD$2&amp;"*Zone People Number Of Occupants [](Hourly)",'Eplus results'!$1:$1048576,ROW(),FALSE)</f>
        <v>0</v>
      </c>
      <c r="AC5395" s="580">
        <f>HLOOKUP("*"&amp;'Output annual'!$AC$2&amp;'Output annual'!$AD$2&amp;"*FangerPMV(Hourly)",'Eplus results'!$1:$1048576,ROW(),FALSE)</f>
        <v>0</v>
      </c>
      <c r="AD5395" s="580">
        <f t="shared" si="456"/>
        <v>5</v>
      </c>
      <c r="AE5395" s="580">
        <f t="shared" si="457"/>
        <v>2.5</v>
      </c>
      <c r="AF5395" s="580">
        <f t="shared" si="458"/>
        <v>2.5</v>
      </c>
      <c r="AG5395" s="580">
        <f t="shared" si="459"/>
        <v>0</v>
      </c>
      <c r="AH5395" s="580">
        <f t="shared" si="460"/>
        <v>0</v>
      </c>
    </row>
    <row r="5396" spans="28:34">
      <c r="AB5396" s="580">
        <f>HLOOKUP("*"&amp;'Output annual'!$AC$2&amp;'Output annual'!$AD$2&amp;"*Zone People Number Of Occupants [](Hourly)",'Eplus results'!$1:$1048576,ROW(),FALSE)</f>
        <v>0</v>
      </c>
      <c r="AC5396" s="580">
        <f>HLOOKUP("*"&amp;'Output annual'!$AC$2&amp;'Output annual'!$AD$2&amp;"*FangerPMV(Hourly)",'Eplus results'!$1:$1048576,ROW(),FALSE)</f>
        <v>0</v>
      </c>
      <c r="AD5396" s="580">
        <f t="shared" si="456"/>
        <v>5</v>
      </c>
      <c r="AE5396" s="580">
        <f t="shared" si="457"/>
        <v>2.5</v>
      </c>
      <c r="AF5396" s="580">
        <f t="shared" si="458"/>
        <v>2.5</v>
      </c>
      <c r="AG5396" s="580">
        <f t="shared" si="459"/>
        <v>0</v>
      </c>
      <c r="AH5396" s="580">
        <f t="shared" si="460"/>
        <v>0</v>
      </c>
    </row>
    <row r="5397" spans="28:34">
      <c r="AB5397" s="580">
        <f>HLOOKUP("*"&amp;'Output annual'!$AC$2&amp;'Output annual'!$AD$2&amp;"*Zone People Number Of Occupants [](Hourly)",'Eplus results'!$1:$1048576,ROW(),FALSE)</f>
        <v>0</v>
      </c>
      <c r="AC5397" s="580">
        <f>HLOOKUP("*"&amp;'Output annual'!$AC$2&amp;'Output annual'!$AD$2&amp;"*FangerPMV(Hourly)",'Eplus results'!$1:$1048576,ROW(),FALSE)</f>
        <v>0</v>
      </c>
      <c r="AD5397" s="580">
        <f t="shared" si="456"/>
        <v>5</v>
      </c>
      <c r="AE5397" s="580">
        <f t="shared" si="457"/>
        <v>2.5</v>
      </c>
      <c r="AF5397" s="580">
        <f t="shared" si="458"/>
        <v>2.5</v>
      </c>
      <c r="AG5397" s="580">
        <f t="shared" si="459"/>
        <v>0</v>
      </c>
      <c r="AH5397" s="580">
        <f t="shared" si="460"/>
        <v>0</v>
      </c>
    </row>
    <row r="5398" spans="28:34">
      <c r="AB5398" s="580">
        <f>HLOOKUP("*"&amp;'Output annual'!$AC$2&amp;'Output annual'!$AD$2&amp;"*Zone People Number Of Occupants [](Hourly)",'Eplus results'!$1:$1048576,ROW(),FALSE)</f>
        <v>0</v>
      </c>
      <c r="AC5398" s="580">
        <f>HLOOKUP("*"&amp;'Output annual'!$AC$2&amp;'Output annual'!$AD$2&amp;"*FangerPMV(Hourly)",'Eplus results'!$1:$1048576,ROW(),FALSE)</f>
        <v>0</v>
      </c>
      <c r="AD5398" s="580">
        <f t="shared" si="456"/>
        <v>5</v>
      </c>
      <c r="AE5398" s="580">
        <f t="shared" si="457"/>
        <v>2.5</v>
      </c>
      <c r="AF5398" s="580">
        <f t="shared" si="458"/>
        <v>2.5</v>
      </c>
      <c r="AG5398" s="580">
        <f t="shared" si="459"/>
        <v>0</v>
      </c>
      <c r="AH5398" s="580">
        <f t="shared" si="460"/>
        <v>0</v>
      </c>
    </row>
    <row r="5399" spans="28:34">
      <c r="AB5399" s="580">
        <f>HLOOKUP("*"&amp;'Output annual'!$AC$2&amp;'Output annual'!$AD$2&amp;"*Zone People Number Of Occupants [](Hourly)",'Eplus results'!$1:$1048576,ROW(),FALSE)</f>
        <v>0</v>
      </c>
      <c r="AC5399" s="580">
        <f>HLOOKUP("*"&amp;'Output annual'!$AC$2&amp;'Output annual'!$AD$2&amp;"*FangerPMV(Hourly)",'Eplus results'!$1:$1048576,ROW(),FALSE)</f>
        <v>0</v>
      </c>
      <c r="AD5399" s="580">
        <f t="shared" si="456"/>
        <v>5</v>
      </c>
      <c r="AE5399" s="580">
        <f t="shared" si="457"/>
        <v>2.5</v>
      </c>
      <c r="AF5399" s="580">
        <f t="shared" si="458"/>
        <v>2.5</v>
      </c>
      <c r="AG5399" s="580">
        <f t="shared" si="459"/>
        <v>0</v>
      </c>
      <c r="AH5399" s="580">
        <f t="shared" si="460"/>
        <v>0</v>
      </c>
    </row>
    <row r="5400" spans="28:34">
      <c r="AB5400" s="580">
        <f>HLOOKUP("*"&amp;'Output annual'!$AC$2&amp;'Output annual'!$AD$2&amp;"*Zone People Number Of Occupants [](Hourly)",'Eplus results'!$1:$1048576,ROW(),FALSE)</f>
        <v>0</v>
      </c>
      <c r="AC5400" s="580">
        <f>HLOOKUP("*"&amp;'Output annual'!$AC$2&amp;'Output annual'!$AD$2&amp;"*FangerPMV(Hourly)",'Eplus results'!$1:$1048576,ROW(),FALSE)</f>
        <v>0</v>
      </c>
      <c r="AD5400" s="580">
        <f t="shared" si="456"/>
        <v>5</v>
      </c>
      <c r="AE5400" s="580">
        <f t="shared" si="457"/>
        <v>2.5</v>
      </c>
      <c r="AF5400" s="580">
        <f t="shared" si="458"/>
        <v>2.5</v>
      </c>
      <c r="AG5400" s="580">
        <f t="shared" si="459"/>
        <v>0</v>
      </c>
      <c r="AH5400" s="580">
        <f t="shared" si="460"/>
        <v>0</v>
      </c>
    </row>
    <row r="5401" spans="28:34">
      <c r="AB5401" s="580">
        <f>HLOOKUP("*"&amp;'Output annual'!$AC$2&amp;'Output annual'!$AD$2&amp;"*Zone People Number Of Occupants [](Hourly)",'Eplus results'!$1:$1048576,ROW(),FALSE)</f>
        <v>0</v>
      </c>
      <c r="AC5401" s="580">
        <f>HLOOKUP("*"&amp;'Output annual'!$AC$2&amp;'Output annual'!$AD$2&amp;"*FangerPMV(Hourly)",'Eplus results'!$1:$1048576,ROW(),FALSE)</f>
        <v>0</v>
      </c>
      <c r="AD5401" s="580">
        <f t="shared" si="456"/>
        <v>5</v>
      </c>
      <c r="AE5401" s="580">
        <f t="shared" si="457"/>
        <v>2.5</v>
      </c>
      <c r="AF5401" s="580">
        <f t="shared" si="458"/>
        <v>2.5</v>
      </c>
      <c r="AG5401" s="580">
        <f t="shared" si="459"/>
        <v>0</v>
      </c>
      <c r="AH5401" s="580">
        <f t="shared" si="460"/>
        <v>0</v>
      </c>
    </row>
    <row r="5402" spans="28:34">
      <c r="AB5402" s="580">
        <f>HLOOKUP("*"&amp;'Output annual'!$AC$2&amp;'Output annual'!$AD$2&amp;"*Zone People Number Of Occupants [](Hourly)",'Eplus results'!$1:$1048576,ROW(),FALSE)</f>
        <v>0</v>
      </c>
      <c r="AC5402" s="580">
        <f>HLOOKUP("*"&amp;'Output annual'!$AC$2&amp;'Output annual'!$AD$2&amp;"*FangerPMV(Hourly)",'Eplus results'!$1:$1048576,ROW(),FALSE)</f>
        <v>0</v>
      </c>
      <c r="AD5402" s="580">
        <f t="shared" si="456"/>
        <v>5</v>
      </c>
      <c r="AE5402" s="580">
        <f t="shared" si="457"/>
        <v>2.5</v>
      </c>
      <c r="AF5402" s="580">
        <f t="shared" si="458"/>
        <v>2.5</v>
      </c>
      <c r="AG5402" s="580">
        <f t="shared" si="459"/>
        <v>0</v>
      </c>
      <c r="AH5402" s="580">
        <f t="shared" si="460"/>
        <v>0</v>
      </c>
    </row>
    <row r="5403" spans="28:34">
      <c r="AB5403" s="580">
        <f>HLOOKUP("*"&amp;'Output annual'!$AC$2&amp;'Output annual'!$AD$2&amp;"*Zone People Number Of Occupants [](Hourly)",'Eplus results'!$1:$1048576,ROW(),FALSE)</f>
        <v>0</v>
      </c>
      <c r="AC5403" s="580">
        <f>HLOOKUP("*"&amp;'Output annual'!$AC$2&amp;'Output annual'!$AD$2&amp;"*FangerPMV(Hourly)",'Eplus results'!$1:$1048576,ROW(),FALSE)</f>
        <v>0</v>
      </c>
      <c r="AD5403" s="580">
        <f t="shared" si="456"/>
        <v>5</v>
      </c>
      <c r="AE5403" s="580">
        <f t="shared" si="457"/>
        <v>2.5</v>
      </c>
      <c r="AF5403" s="580">
        <f t="shared" si="458"/>
        <v>2.5</v>
      </c>
      <c r="AG5403" s="580">
        <f t="shared" si="459"/>
        <v>0</v>
      </c>
      <c r="AH5403" s="580">
        <f t="shared" si="460"/>
        <v>0</v>
      </c>
    </row>
    <row r="5404" spans="28:34">
      <c r="AB5404" s="580">
        <f>HLOOKUP("*"&amp;'Output annual'!$AC$2&amp;'Output annual'!$AD$2&amp;"*Zone People Number Of Occupants [](Hourly)",'Eplus results'!$1:$1048576,ROW(),FALSE)</f>
        <v>0</v>
      </c>
      <c r="AC5404" s="580">
        <f>HLOOKUP("*"&amp;'Output annual'!$AC$2&amp;'Output annual'!$AD$2&amp;"*FangerPMV(Hourly)",'Eplus results'!$1:$1048576,ROW(),FALSE)</f>
        <v>0</v>
      </c>
      <c r="AD5404" s="580">
        <f t="shared" si="456"/>
        <v>5</v>
      </c>
      <c r="AE5404" s="580">
        <f t="shared" si="457"/>
        <v>2.5</v>
      </c>
      <c r="AF5404" s="580">
        <f t="shared" si="458"/>
        <v>2.5</v>
      </c>
      <c r="AG5404" s="580">
        <f t="shared" si="459"/>
        <v>0</v>
      </c>
      <c r="AH5404" s="580">
        <f t="shared" si="460"/>
        <v>0</v>
      </c>
    </row>
    <row r="5405" spans="28:34">
      <c r="AB5405" s="580">
        <f>HLOOKUP("*"&amp;'Output annual'!$AC$2&amp;'Output annual'!$AD$2&amp;"*Zone People Number Of Occupants [](Hourly)",'Eplus results'!$1:$1048576,ROW(),FALSE)</f>
        <v>0</v>
      </c>
      <c r="AC5405" s="580">
        <f>HLOOKUP("*"&amp;'Output annual'!$AC$2&amp;'Output annual'!$AD$2&amp;"*FangerPMV(Hourly)",'Eplus results'!$1:$1048576,ROW(),FALSE)</f>
        <v>0</v>
      </c>
      <c r="AD5405" s="580">
        <f t="shared" si="456"/>
        <v>5</v>
      </c>
      <c r="AE5405" s="580">
        <f t="shared" si="457"/>
        <v>2.5</v>
      </c>
      <c r="AF5405" s="580">
        <f t="shared" si="458"/>
        <v>2.5</v>
      </c>
      <c r="AG5405" s="580">
        <f t="shared" si="459"/>
        <v>0</v>
      </c>
      <c r="AH5405" s="580">
        <f t="shared" si="460"/>
        <v>0</v>
      </c>
    </row>
    <row r="5406" spans="28:34">
      <c r="AB5406" s="580">
        <f>HLOOKUP("*"&amp;'Output annual'!$AC$2&amp;'Output annual'!$AD$2&amp;"*Zone People Number Of Occupants [](Hourly)",'Eplus results'!$1:$1048576,ROW(),FALSE)</f>
        <v>0</v>
      </c>
      <c r="AC5406" s="580">
        <f>HLOOKUP("*"&amp;'Output annual'!$AC$2&amp;'Output annual'!$AD$2&amp;"*FangerPMV(Hourly)",'Eplus results'!$1:$1048576,ROW(),FALSE)</f>
        <v>0</v>
      </c>
      <c r="AD5406" s="580">
        <f t="shared" si="456"/>
        <v>5</v>
      </c>
      <c r="AE5406" s="580">
        <f t="shared" si="457"/>
        <v>2.5</v>
      </c>
      <c r="AF5406" s="580">
        <f t="shared" si="458"/>
        <v>2.5</v>
      </c>
      <c r="AG5406" s="580">
        <f t="shared" si="459"/>
        <v>0</v>
      </c>
      <c r="AH5406" s="580">
        <f t="shared" si="460"/>
        <v>0</v>
      </c>
    </row>
    <row r="5407" spans="28:34">
      <c r="AB5407" s="580">
        <f>HLOOKUP("*"&amp;'Output annual'!$AC$2&amp;'Output annual'!$AD$2&amp;"*Zone People Number Of Occupants [](Hourly)",'Eplus results'!$1:$1048576,ROW(),FALSE)</f>
        <v>0</v>
      </c>
      <c r="AC5407" s="580">
        <f>HLOOKUP("*"&amp;'Output annual'!$AC$2&amp;'Output annual'!$AD$2&amp;"*FangerPMV(Hourly)",'Eplus results'!$1:$1048576,ROW(),FALSE)</f>
        <v>0</v>
      </c>
      <c r="AD5407" s="580">
        <f t="shared" si="456"/>
        <v>5</v>
      </c>
      <c r="AE5407" s="580">
        <f t="shared" si="457"/>
        <v>2.5</v>
      </c>
      <c r="AF5407" s="580">
        <f t="shared" si="458"/>
        <v>2.5</v>
      </c>
      <c r="AG5407" s="580">
        <f t="shared" si="459"/>
        <v>0</v>
      </c>
      <c r="AH5407" s="580">
        <f t="shared" si="460"/>
        <v>0</v>
      </c>
    </row>
    <row r="5408" spans="28:34">
      <c r="AB5408" s="580">
        <f>HLOOKUP("*"&amp;'Output annual'!$AC$2&amp;'Output annual'!$AD$2&amp;"*Zone People Number Of Occupants [](Hourly)",'Eplus results'!$1:$1048576,ROW(),FALSE)</f>
        <v>0</v>
      </c>
      <c r="AC5408" s="580">
        <f>HLOOKUP("*"&amp;'Output annual'!$AC$2&amp;'Output annual'!$AD$2&amp;"*FangerPMV(Hourly)",'Eplus results'!$1:$1048576,ROW(),FALSE)</f>
        <v>0</v>
      </c>
      <c r="AD5408" s="580">
        <f t="shared" si="456"/>
        <v>5</v>
      </c>
      <c r="AE5408" s="580">
        <f t="shared" si="457"/>
        <v>2.5</v>
      </c>
      <c r="AF5408" s="580">
        <f t="shared" si="458"/>
        <v>2.5</v>
      </c>
      <c r="AG5408" s="580">
        <f t="shared" si="459"/>
        <v>0</v>
      </c>
      <c r="AH5408" s="580">
        <f t="shared" si="460"/>
        <v>0</v>
      </c>
    </row>
    <row r="5409" spans="28:34">
      <c r="AB5409" s="580">
        <f>HLOOKUP("*"&amp;'Output annual'!$AC$2&amp;'Output annual'!$AD$2&amp;"*Zone People Number Of Occupants [](Hourly)",'Eplus results'!$1:$1048576,ROW(),FALSE)</f>
        <v>0</v>
      </c>
      <c r="AC5409" s="580">
        <f>HLOOKUP("*"&amp;'Output annual'!$AC$2&amp;'Output annual'!$AD$2&amp;"*FangerPMV(Hourly)",'Eplus results'!$1:$1048576,ROW(),FALSE)</f>
        <v>0</v>
      </c>
      <c r="AD5409" s="580">
        <f t="shared" si="456"/>
        <v>5</v>
      </c>
      <c r="AE5409" s="580">
        <f t="shared" si="457"/>
        <v>2.5</v>
      </c>
      <c r="AF5409" s="580">
        <f t="shared" si="458"/>
        <v>2.5</v>
      </c>
      <c r="AG5409" s="580">
        <f t="shared" si="459"/>
        <v>0</v>
      </c>
      <c r="AH5409" s="580">
        <f t="shared" si="460"/>
        <v>0</v>
      </c>
    </row>
    <row r="5410" spans="28:34">
      <c r="AB5410" s="580">
        <f>HLOOKUP("*"&amp;'Output annual'!$AC$2&amp;'Output annual'!$AD$2&amp;"*Zone People Number Of Occupants [](Hourly)",'Eplus results'!$1:$1048576,ROW(),FALSE)</f>
        <v>0</v>
      </c>
      <c r="AC5410" s="580">
        <f>HLOOKUP("*"&amp;'Output annual'!$AC$2&amp;'Output annual'!$AD$2&amp;"*FangerPMV(Hourly)",'Eplus results'!$1:$1048576,ROW(),FALSE)</f>
        <v>0</v>
      </c>
      <c r="AD5410" s="580">
        <f t="shared" si="456"/>
        <v>5</v>
      </c>
      <c r="AE5410" s="580">
        <f t="shared" si="457"/>
        <v>2.5</v>
      </c>
      <c r="AF5410" s="580">
        <f t="shared" si="458"/>
        <v>2.5</v>
      </c>
      <c r="AG5410" s="580">
        <f t="shared" si="459"/>
        <v>0</v>
      </c>
      <c r="AH5410" s="580">
        <f t="shared" si="460"/>
        <v>0</v>
      </c>
    </row>
    <row r="5411" spans="28:34">
      <c r="AB5411" s="580">
        <f>HLOOKUP("*"&amp;'Output annual'!$AC$2&amp;'Output annual'!$AD$2&amp;"*Zone People Number Of Occupants [](Hourly)",'Eplus results'!$1:$1048576,ROW(),FALSE)</f>
        <v>0</v>
      </c>
      <c r="AC5411" s="580">
        <f>HLOOKUP("*"&amp;'Output annual'!$AC$2&amp;'Output annual'!$AD$2&amp;"*FangerPMV(Hourly)",'Eplus results'!$1:$1048576,ROW(),FALSE)</f>
        <v>0</v>
      </c>
      <c r="AD5411" s="580">
        <f t="shared" si="456"/>
        <v>5</v>
      </c>
      <c r="AE5411" s="580">
        <f t="shared" si="457"/>
        <v>2.5</v>
      </c>
      <c r="AF5411" s="580">
        <f t="shared" si="458"/>
        <v>2.5</v>
      </c>
      <c r="AG5411" s="580">
        <f t="shared" si="459"/>
        <v>0</v>
      </c>
      <c r="AH5411" s="580">
        <f t="shared" si="460"/>
        <v>0</v>
      </c>
    </row>
    <row r="5412" spans="28:34">
      <c r="AB5412" s="580">
        <f>HLOOKUP("*"&amp;'Output annual'!$AC$2&amp;'Output annual'!$AD$2&amp;"*Zone People Number Of Occupants [](Hourly)",'Eplus results'!$1:$1048576,ROW(),FALSE)</f>
        <v>0</v>
      </c>
      <c r="AC5412" s="580">
        <f>HLOOKUP("*"&amp;'Output annual'!$AC$2&amp;'Output annual'!$AD$2&amp;"*FangerPMV(Hourly)",'Eplus results'!$1:$1048576,ROW(),FALSE)</f>
        <v>0</v>
      </c>
      <c r="AD5412" s="580">
        <f t="shared" si="456"/>
        <v>5</v>
      </c>
      <c r="AE5412" s="580">
        <f t="shared" si="457"/>
        <v>2.5</v>
      </c>
      <c r="AF5412" s="580">
        <f t="shared" si="458"/>
        <v>2.5</v>
      </c>
      <c r="AG5412" s="580">
        <f t="shared" si="459"/>
        <v>0</v>
      </c>
      <c r="AH5412" s="580">
        <f t="shared" si="460"/>
        <v>0</v>
      </c>
    </row>
    <row r="5413" spans="28:34">
      <c r="AB5413" s="580">
        <f>HLOOKUP("*"&amp;'Output annual'!$AC$2&amp;'Output annual'!$AD$2&amp;"*Zone People Number Of Occupants [](Hourly)",'Eplus results'!$1:$1048576,ROW(),FALSE)</f>
        <v>0</v>
      </c>
      <c r="AC5413" s="580">
        <f>HLOOKUP("*"&amp;'Output annual'!$AC$2&amp;'Output annual'!$AD$2&amp;"*FangerPMV(Hourly)",'Eplus results'!$1:$1048576,ROW(),FALSE)</f>
        <v>0</v>
      </c>
      <c r="AD5413" s="580">
        <f t="shared" si="456"/>
        <v>5</v>
      </c>
      <c r="AE5413" s="580">
        <f t="shared" si="457"/>
        <v>2.5</v>
      </c>
      <c r="AF5413" s="580">
        <f t="shared" si="458"/>
        <v>2.5</v>
      </c>
      <c r="AG5413" s="580">
        <f t="shared" si="459"/>
        <v>0</v>
      </c>
      <c r="AH5413" s="580">
        <f t="shared" si="460"/>
        <v>0</v>
      </c>
    </row>
    <row r="5414" spans="28:34">
      <c r="AB5414" s="580">
        <f>HLOOKUP("*"&amp;'Output annual'!$AC$2&amp;'Output annual'!$AD$2&amp;"*Zone People Number Of Occupants [](Hourly)",'Eplus results'!$1:$1048576,ROW(),FALSE)</f>
        <v>0</v>
      </c>
      <c r="AC5414" s="580">
        <f>HLOOKUP("*"&amp;'Output annual'!$AC$2&amp;'Output annual'!$AD$2&amp;"*FangerPMV(Hourly)",'Eplus results'!$1:$1048576,ROW(),FALSE)</f>
        <v>0</v>
      </c>
      <c r="AD5414" s="580">
        <f t="shared" si="456"/>
        <v>5</v>
      </c>
      <c r="AE5414" s="580">
        <f t="shared" si="457"/>
        <v>2.5</v>
      </c>
      <c r="AF5414" s="580">
        <f t="shared" si="458"/>
        <v>2.5</v>
      </c>
      <c r="AG5414" s="580">
        <f t="shared" si="459"/>
        <v>0</v>
      </c>
      <c r="AH5414" s="580">
        <f t="shared" si="460"/>
        <v>0</v>
      </c>
    </row>
    <row r="5415" spans="28:34">
      <c r="AB5415" s="580">
        <f>HLOOKUP("*"&amp;'Output annual'!$AC$2&amp;'Output annual'!$AD$2&amp;"*Zone People Number Of Occupants [](Hourly)",'Eplus results'!$1:$1048576,ROW(),FALSE)</f>
        <v>0</v>
      </c>
      <c r="AC5415" s="580">
        <f>HLOOKUP("*"&amp;'Output annual'!$AC$2&amp;'Output annual'!$AD$2&amp;"*FangerPMV(Hourly)",'Eplus results'!$1:$1048576,ROW(),FALSE)</f>
        <v>0</v>
      </c>
      <c r="AD5415" s="580">
        <f t="shared" si="456"/>
        <v>5</v>
      </c>
      <c r="AE5415" s="580">
        <f t="shared" si="457"/>
        <v>2.5</v>
      </c>
      <c r="AF5415" s="580">
        <f t="shared" si="458"/>
        <v>2.5</v>
      </c>
      <c r="AG5415" s="580">
        <f t="shared" si="459"/>
        <v>0</v>
      </c>
      <c r="AH5415" s="580">
        <f t="shared" si="460"/>
        <v>0</v>
      </c>
    </row>
    <row r="5416" spans="28:34">
      <c r="AB5416" s="580">
        <f>HLOOKUP("*"&amp;'Output annual'!$AC$2&amp;'Output annual'!$AD$2&amp;"*Zone People Number Of Occupants [](Hourly)",'Eplus results'!$1:$1048576,ROW(),FALSE)</f>
        <v>0</v>
      </c>
      <c r="AC5416" s="580">
        <f>HLOOKUP("*"&amp;'Output annual'!$AC$2&amp;'Output annual'!$AD$2&amp;"*FangerPMV(Hourly)",'Eplus results'!$1:$1048576,ROW(),FALSE)</f>
        <v>0</v>
      </c>
      <c r="AD5416" s="580">
        <f t="shared" si="456"/>
        <v>5</v>
      </c>
      <c r="AE5416" s="580">
        <f t="shared" si="457"/>
        <v>2.5</v>
      </c>
      <c r="AF5416" s="580">
        <f t="shared" si="458"/>
        <v>2.5</v>
      </c>
      <c r="AG5416" s="580">
        <f t="shared" si="459"/>
        <v>0</v>
      </c>
      <c r="AH5416" s="580">
        <f t="shared" si="460"/>
        <v>0</v>
      </c>
    </row>
    <row r="5417" spans="28:34">
      <c r="AB5417" s="580">
        <f>HLOOKUP("*"&amp;'Output annual'!$AC$2&amp;'Output annual'!$AD$2&amp;"*Zone People Number Of Occupants [](Hourly)",'Eplus results'!$1:$1048576,ROW(),FALSE)</f>
        <v>0</v>
      </c>
      <c r="AC5417" s="580">
        <f>HLOOKUP("*"&amp;'Output annual'!$AC$2&amp;'Output annual'!$AD$2&amp;"*FangerPMV(Hourly)",'Eplus results'!$1:$1048576,ROW(),FALSE)</f>
        <v>0</v>
      </c>
      <c r="AD5417" s="580">
        <f t="shared" si="456"/>
        <v>5</v>
      </c>
      <c r="AE5417" s="580">
        <f t="shared" si="457"/>
        <v>2.5</v>
      </c>
      <c r="AF5417" s="580">
        <f t="shared" si="458"/>
        <v>2.5</v>
      </c>
      <c r="AG5417" s="580">
        <f t="shared" si="459"/>
        <v>0</v>
      </c>
      <c r="AH5417" s="580">
        <f t="shared" si="460"/>
        <v>0</v>
      </c>
    </row>
    <row r="5418" spans="28:34">
      <c r="AB5418" s="580">
        <f>HLOOKUP("*"&amp;'Output annual'!$AC$2&amp;'Output annual'!$AD$2&amp;"*Zone People Number Of Occupants [](Hourly)",'Eplus results'!$1:$1048576,ROW(),FALSE)</f>
        <v>0</v>
      </c>
      <c r="AC5418" s="580">
        <f>HLOOKUP("*"&amp;'Output annual'!$AC$2&amp;'Output annual'!$AD$2&amp;"*FangerPMV(Hourly)",'Eplus results'!$1:$1048576,ROW(),FALSE)</f>
        <v>0</v>
      </c>
      <c r="AD5418" s="580">
        <f t="shared" si="456"/>
        <v>5</v>
      </c>
      <c r="AE5418" s="580">
        <f t="shared" si="457"/>
        <v>2.5</v>
      </c>
      <c r="AF5418" s="580">
        <f t="shared" si="458"/>
        <v>2.5</v>
      </c>
      <c r="AG5418" s="580">
        <f t="shared" si="459"/>
        <v>0</v>
      </c>
      <c r="AH5418" s="580">
        <f t="shared" si="460"/>
        <v>0</v>
      </c>
    </row>
    <row r="5419" spans="28:34">
      <c r="AB5419" s="580">
        <f>HLOOKUP("*"&amp;'Output annual'!$AC$2&amp;'Output annual'!$AD$2&amp;"*Zone People Number Of Occupants [](Hourly)",'Eplus results'!$1:$1048576,ROW(),FALSE)</f>
        <v>0</v>
      </c>
      <c r="AC5419" s="580">
        <f>HLOOKUP("*"&amp;'Output annual'!$AC$2&amp;'Output annual'!$AD$2&amp;"*FangerPMV(Hourly)",'Eplus results'!$1:$1048576,ROW(),FALSE)</f>
        <v>0</v>
      </c>
      <c r="AD5419" s="580">
        <f t="shared" si="456"/>
        <v>5</v>
      </c>
      <c r="AE5419" s="580">
        <f t="shared" si="457"/>
        <v>2.5</v>
      </c>
      <c r="AF5419" s="580">
        <f t="shared" si="458"/>
        <v>2.5</v>
      </c>
      <c r="AG5419" s="580">
        <f t="shared" si="459"/>
        <v>0</v>
      </c>
      <c r="AH5419" s="580">
        <f t="shared" si="460"/>
        <v>0</v>
      </c>
    </row>
    <row r="5420" spans="28:34">
      <c r="AB5420" s="580">
        <f>HLOOKUP("*"&amp;'Output annual'!$AC$2&amp;'Output annual'!$AD$2&amp;"*Zone People Number Of Occupants [](Hourly)",'Eplus results'!$1:$1048576,ROW(),FALSE)</f>
        <v>0</v>
      </c>
      <c r="AC5420" s="580">
        <f>HLOOKUP("*"&amp;'Output annual'!$AC$2&amp;'Output annual'!$AD$2&amp;"*FangerPMV(Hourly)",'Eplus results'!$1:$1048576,ROW(),FALSE)</f>
        <v>0</v>
      </c>
      <c r="AD5420" s="580">
        <f t="shared" si="456"/>
        <v>5</v>
      </c>
      <c r="AE5420" s="580">
        <f t="shared" si="457"/>
        <v>2.5</v>
      </c>
      <c r="AF5420" s="580">
        <f t="shared" si="458"/>
        <v>2.5</v>
      </c>
      <c r="AG5420" s="580">
        <f t="shared" si="459"/>
        <v>0</v>
      </c>
      <c r="AH5420" s="580">
        <f t="shared" si="460"/>
        <v>0</v>
      </c>
    </row>
    <row r="5421" spans="28:34">
      <c r="AB5421" s="580">
        <f>HLOOKUP("*"&amp;'Output annual'!$AC$2&amp;'Output annual'!$AD$2&amp;"*Zone People Number Of Occupants [](Hourly)",'Eplus results'!$1:$1048576,ROW(),FALSE)</f>
        <v>0</v>
      </c>
      <c r="AC5421" s="580">
        <f>HLOOKUP("*"&amp;'Output annual'!$AC$2&amp;'Output annual'!$AD$2&amp;"*FangerPMV(Hourly)",'Eplus results'!$1:$1048576,ROW(),FALSE)</f>
        <v>0</v>
      </c>
      <c r="AD5421" s="580">
        <f t="shared" si="456"/>
        <v>5</v>
      </c>
      <c r="AE5421" s="580">
        <f t="shared" si="457"/>
        <v>2.5</v>
      </c>
      <c r="AF5421" s="580">
        <f t="shared" si="458"/>
        <v>2.5</v>
      </c>
      <c r="AG5421" s="580">
        <f t="shared" si="459"/>
        <v>0</v>
      </c>
      <c r="AH5421" s="580">
        <f t="shared" si="460"/>
        <v>0</v>
      </c>
    </row>
    <row r="5422" spans="28:34">
      <c r="AB5422" s="580">
        <f>HLOOKUP("*"&amp;'Output annual'!$AC$2&amp;'Output annual'!$AD$2&amp;"*Zone People Number Of Occupants [](Hourly)",'Eplus results'!$1:$1048576,ROW(),FALSE)</f>
        <v>0</v>
      </c>
      <c r="AC5422" s="580">
        <f>HLOOKUP("*"&amp;'Output annual'!$AC$2&amp;'Output annual'!$AD$2&amp;"*FangerPMV(Hourly)",'Eplus results'!$1:$1048576,ROW(),FALSE)</f>
        <v>0</v>
      </c>
      <c r="AD5422" s="580">
        <f t="shared" si="456"/>
        <v>5</v>
      </c>
      <c r="AE5422" s="580">
        <f t="shared" si="457"/>
        <v>2.5</v>
      </c>
      <c r="AF5422" s="580">
        <f t="shared" si="458"/>
        <v>2.5</v>
      </c>
      <c r="AG5422" s="580">
        <f t="shared" si="459"/>
        <v>0</v>
      </c>
      <c r="AH5422" s="580">
        <f t="shared" si="460"/>
        <v>0</v>
      </c>
    </row>
    <row r="5423" spans="28:34">
      <c r="AB5423" s="580">
        <f>HLOOKUP("*"&amp;'Output annual'!$AC$2&amp;'Output annual'!$AD$2&amp;"*Zone People Number Of Occupants [](Hourly)",'Eplus results'!$1:$1048576,ROW(),FALSE)</f>
        <v>0</v>
      </c>
      <c r="AC5423" s="580">
        <f>HLOOKUP("*"&amp;'Output annual'!$AC$2&amp;'Output annual'!$AD$2&amp;"*FangerPMV(Hourly)",'Eplus results'!$1:$1048576,ROW(),FALSE)</f>
        <v>0</v>
      </c>
      <c r="AD5423" s="580">
        <f t="shared" si="456"/>
        <v>5</v>
      </c>
      <c r="AE5423" s="580">
        <f t="shared" si="457"/>
        <v>2.5</v>
      </c>
      <c r="AF5423" s="580">
        <f t="shared" si="458"/>
        <v>2.5</v>
      </c>
      <c r="AG5423" s="580">
        <f t="shared" si="459"/>
        <v>0</v>
      </c>
      <c r="AH5423" s="580">
        <f t="shared" si="460"/>
        <v>0</v>
      </c>
    </row>
    <row r="5424" spans="28:34">
      <c r="AB5424" s="580">
        <f>HLOOKUP("*"&amp;'Output annual'!$AC$2&amp;'Output annual'!$AD$2&amp;"*Zone People Number Of Occupants [](Hourly)",'Eplus results'!$1:$1048576,ROW(),FALSE)</f>
        <v>0</v>
      </c>
      <c r="AC5424" s="580">
        <f>HLOOKUP("*"&amp;'Output annual'!$AC$2&amp;'Output annual'!$AD$2&amp;"*FangerPMV(Hourly)",'Eplus results'!$1:$1048576,ROW(),FALSE)</f>
        <v>0</v>
      </c>
      <c r="AD5424" s="580">
        <f t="shared" si="456"/>
        <v>5</v>
      </c>
      <c r="AE5424" s="580">
        <f t="shared" si="457"/>
        <v>2.5</v>
      </c>
      <c r="AF5424" s="580">
        <f t="shared" si="458"/>
        <v>2.5</v>
      </c>
      <c r="AG5424" s="580">
        <f t="shared" si="459"/>
        <v>0</v>
      </c>
      <c r="AH5424" s="580">
        <f t="shared" si="460"/>
        <v>0</v>
      </c>
    </row>
    <row r="5425" spans="28:34">
      <c r="AB5425" s="580">
        <f>HLOOKUP("*"&amp;'Output annual'!$AC$2&amp;'Output annual'!$AD$2&amp;"*Zone People Number Of Occupants [](Hourly)",'Eplus results'!$1:$1048576,ROW(),FALSE)</f>
        <v>0</v>
      </c>
      <c r="AC5425" s="580">
        <f>HLOOKUP("*"&amp;'Output annual'!$AC$2&amp;'Output annual'!$AD$2&amp;"*FangerPMV(Hourly)",'Eplus results'!$1:$1048576,ROW(),FALSE)</f>
        <v>0</v>
      </c>
      <c r="AD5425" s="580">
        <f t="shared" si="456"/>
        <v>5</v>
      </c>
      <c r="AE5425" s="580">
        <f t="shared" si="457"/>
        <v>2.5</v>
      </c>
      <c r="AF5425" s="580">
        <f t="shared" si="458"/>
        <v>2.5</v>
      </c>
      <c r="AG5425" s="580">
        <f t="shared" si="459"/>
        <v>0</v>
      </c>
      <c r="AH5425" s="580">
        <f t="shared" si="460"/>
        <v>0</v>
      </c>
    </row>
    <row r="5426" spans="28:34">
      <c r="AB5426" s="580">
        <f>HLOOKUP("*"&amp;'Output annual'!$AC$2&amp;'Output annual'!$AD$2&amp;"*Zone People Number Of Occupants [](Hourly)",'Eplus results'!$1:$1048576,ROW(),FALSE)</f>
        <v>0</v>
      </c>
      <c r="AC5426" s="580">
        <f>HLOOKUP("*"&amp;'Output annual'!$AC$2&amp;'Output annual'!$AD$2&amp;"*FangerPMV(Hourly)",'Eplus results'!$1:$1048576,ROW(),FALSE)</f>
        <v>0</v>
      </c>
      <c r="AD5426" s="580">
        <f t="shared" si="456"/>
        <v>5</v>
      </c>
      <c r="AE5426" s="580">
        <f t="shared" si="457"/>
        <v>2.5</v>
      </c>
      <c r="AF5426" s="580">
        <f t="shared" si="458"/>
        <v>2.5</v>
      </c>
      <c r="AG5426" s="580">
        <f t="shared" si="459"/>
        <v>0</v>
      </c>
      <c r="AH5426" s="580">
        <f t="shared" si="460"/>
        <v>0</v>
      </c>
    </row>
    <row r="5427" spans="28:34">
      <c r="AB5427" s="580">
        <f>HLOOKUP("*"&amp;'Output annual'!$AC$2&amp;'Output annual'!$AD$2&amp;"*Zone People Number Of Occupants [](Hourly)",'Eplus results'!$1:$1048576,ROW(),FALSE)</f>
        <v>0</v>
      </c>
      <c r="AC5427" s="580">
        <f>HLOOKUP("*"&amp;'Output annual'!$AC$2&amp;'Output annual'!$AD$2&amp;"*FangerPMV(Hourly)",'Eplus results'!$1:$1048576,ROW(),FALSE)</f>
        <v>0</v>
      </c>
      <c r="AD5427" s="580">
        <f t="shared" si="456"/>
        <v>5</v>
      </c>
      <c r="AE5427" s="580">
        <f t="shared" si="457"/>
        <v>2.5</v>
      </c>
      <c r="AF5427" s="580">
        <f t="shared" si="458"/>
        <v>2.5</v>
      </c>
      <c r="AG5427" s="580">
        <f t="shared" si="459"/>
        <v>0</v>
      </c>
      <c r="AH5427" s="580">
        <f t="shared" si="460"/>
        <v>0</v>
      </c>
    </row>
    <row r="5428" spans="28:34">
      <c r="AB5428" s="580">
        <f>HLOOKUP("*"&amp;'Output annual'!$AC$2&amp;'Output annual'!$AD$2&amp;"*Zone People Number Of Occupants [](Hourly)",'Eplus results'!$1:$1048576,ROW(),FALSE)</f>
        <v>0</v>
      </c>
      <c r="AC5428" s="580">
        <f>HLOOKUP("*"&amp;'Output annual'!$AC$2&amp;'Output annual'!$AD$2&amp;"*FangerPMV(Hourly)",'Eplus results'!$1:$1048576,ROW(),FALSE)</f>
        <v>0</v>
      </c>
      <c r="AD5428" s="580">
        <f t="shared" si="456"/>
        <v>5</v>
      </c>
      <c r="AE5428" s="580">
        <f t="shared" si="457"/>
        <v>2.5</v>
      </c>
      <c r="AF5428" s="580">
        <f t="shared" si="458"/>
        <v>2.5</v>
      </c>
      <c r="AG5428" s="580">
        <f t="shared" si="459"/>
        <v>0</v>
      </c>
      <c r="AH5428" s="580">
        <f t="shared" si="460"/>
        <v>0</v>
      </c>
    </row>
    <row r="5429" spans="28:34">
      <c r="AB5429" s="580">
        <f>HLOOKUP("*"&amp;'Output annual'!$AC$2&amp;'Output annual'!$AD$2&amp;"*Zone People Number Of Occupants [](Hourly)",'Eplus results'!$1:$1048576,ROW(),FALSE)</f>
        <v>0</v>
      </c>
      <c r="AC5429" s="580">
        <f>HLOOKUP("*"&amp;'Output annual'!$AC$2&amp;'Output annual'!$AD$2&amp;"*FangerPMV(Hourly)",'Eplus results'!$1:$1048576,ROW(),FALSE)</f>
        <v>0</v>
      </c>
      <c r="AD5429" s="580">
        <f t="shared" si="456"/>
        <v>5</v>
      </c>
      <c r="AE5429" s="580">
        <f t="shared" si="457"/>
        <v>2.5</v>
      </c>
      <c r="AF5429" s="580">
        <f t="shared" si="458"/>
        <v>2.5</v>
      </c>
      <c r="AG5429" s="580">
        <f t="shared" si="459"/>
        <v>0</v>
      </c>
      <c r="AH5429" s="580">
        <f t="shared" si="460"/>
        <v>0</v>
      </c>
    </row>
    <row r="5430" spans="28:34">
      <c r="AB5430" s="580">
        <f>HLOOKUP("*"&amp;'Output annual'!$AC$2&amp;'Output annual'!$AD$2&amp;"*Zone People Number Of Occupants [](Hourly)",'Eplus results'!$1:$1048576,ROW(),FALSE)</f>
        <v>0</v>
      </c>
      <c r="AC5430" s="580">
        <f>HLOOKUP("*"&amp;'Output annual'!$AC$2&amp;'Output annual'!$AD$2&amp;"*FangerPMV(Hourly)",'Eplus results'!$1:$1048576,ROW(),FALSE)</f>
        <v>0</v>
      </c>
      <c r="AD5430" s="580">
        <f t="shared" si="456"/>
        <v>5</v>
      </c>
      <c r="AE5430" s="580">
        <f t="shared" si="457"/>
        <v>2.5</v>
      </c>
      <c r="AF5430" s="580">
        <f t="shared" si="458"/>
        <v>2.5</v>
      </c>
      <c r="AG5430" s="580">
        <f t="shared" si="459"/>
        <v>0</v>
      </c>
      <c r="AH5430" s="580">
        <f t="shared" si="460"/>
        <v>0</v>
      </c>
    </row>
    <row r="5431" spans="28:34">
      <c r="AB5431" s="580">
        <f>HLOOKUP("*"&amp;'Output annual'!$AC$2&amp;'Output annual'!$AD$2&amp;"*Zone People Number Of Occupants [](Hourly)",'Eplus results'!$1:$1048576,ROW(),FALSE)</f>
        <v>0</v>
      </c>
      <c r="AC5431" s="580">
        <f>HLOOKUP("*"&amp;'Output annual'!$AC$2&amp;'Output annual'!$AD$2&amp;"*FangerPMV(Hourly)",'Eplus results'!$1:$1048576,ROW(),FALSE)</f>
        <v>0</v>
      </c>
      <c r="AD5431" s="580">
        <f t="shared" si="456"/>
        <v>5</v>
      </c>
      <c r="AE5431" s="580">
        <f t="shared" si="457"/>
        <v>2.5</v>
      </c>
      <c r="AF5431" s="580">
        <f t="shared" si="458"/>
        <v>2.5</v>
      </c>
      <c r="AG5431" s="580">
        <f t="shared" si="459"/>
        <v>0</v>
      </c>
      <c r="AH5431" s="580">
        <f t="shared" si="460"/>
        <v>0</v>
      </c>
    </row>
    <row r="5432" spans="28:34">
      <c r="AB5432" s="580">
        <f>HLOOKUP("*"&amp;'Output annual'!$AC$2&amp;'Output annual'!$AD$2&amp;"*Zone People Number Of Occupants [](Hourly)",'Eplus results'!$1:$1048576,ROW(),FALSE)</f>
        <v>0</v>
      </c>
      <c r="AC5432" s="580">
        <f>HLOOKUP("*"&amp;'Output annual'!$AC$2&amp;'Output annual'!$AD$2&amp;"*FangerPMV(Hourly)",'Eplus results'!$1:$1048576,ROW(),FALSE)</f>
        <v>0</v>
      </c>
      <c r="AD5432" s="580">
        <f t="shared" si="456"/>
        <v>5</v>
      </c>
      <c r="AE5432" s="580">
        <f t="shared" si="457"/>
        <v>2.5</v>
      </c>
      <c r="AF5432" s="580">
        <f t="shared" si="458"/>
        <v>2.5</v>
      </c>
      <c r="AG5432" s="580">
        <f t="shared" si="459"/>
        <v>0</v>
      </c>
      <c r="AH5432" s="580">
        <f t="shared" si="460"/>
        <v>0</v>
      </c>
    </row>
    <row r="5433" spans="28:34">
      <c r="AB5433" s="580">
        <f>HLOOKUP("*"&amp;'Output annual'!$AC$2&amp;'Output annual'!$AD$2&amp;"*Zone People Number Of Occupants [](Hourly)",'Eplus results'!$1:$1048576,ROW(),FALSE)</f>
        <v>0</v>
      </c>
      <c r="AC5433" s="580">
        <f>HLOOKUP("*"&amp;'Output annual'!$AC$2&amp;'Output annual'!$AD$2&amp;"*FangerPMV(Hourly)",'Eplus results'!$1:$1048576,ROW(),FALSE)</f>
        <v>0</v>
      </c>
      <c r="AD5433" s="580">
        <f t="shared" si="456"/>
        <v>5</v>
      </c>
      <c r="AE5433" s="580">
        <f t="shared" si="457"/>
        <v>2.5</v>
      </c>
      <c r="AF5433" s="580">
        <f t="shared" si="458"/>
        <v>2.5</v>
      </c>
      <c r="AG5433" s="580">
        <f t="shared" si="459"/>
        <v>0</v>
      </c>
      <c r="AH5433" s="580">
        <f t="shared" si="460"/>
        <v>0</v>
      </c>
    </row>
    <row r="5434" spans="28:34">
      <c r="AB5434" s="580">
        <f>HLOOKUP("*"&amp;'Output annual'!$AC$2&amp;'Output annual'!$AD$2&amp;"*Zone People Number Of Occupants [](Hourly)",'Eplus results'!$1:$1048576,ROW(),FALSE)</f>
        <v>0</v>
      </c>
      <c r="AC5434" s="580">
        <f>HLOOKUP("*"&amp;'Output annual'!$AC$2&amp;'Output annual'!$AD$2&amp;"*FangerPMV(Hourly)",'Eplus results'!$1:$1048576,ROW(),FALSE)</f>
        <v>0</v>
      </c>
      <c r="AD5434" s="580">
        <f t="shared" si="456"/>
        <v>5</v>
      </c>
      <c r="AE5434" s="580">
        <f t="shared" si="457"/>
        <v>2.5</v>
      </c>
      <c r="AF5434" s="580">
        <f t="shared" si="458"/>
        <v>2.5</v>
      </c>
      <c r="AG5434" s="580">
        <f t="shared" si="459"/>
        <v>0</v>
      </c>
      <c r="AH5434" s="580">
        <f t="shared" si="460"/>
        <v>0</v>
      </c>
    </row>
    <row r="5435" spans="28:34">
      <c r="AB5435" s="580">
        <f>HLOOKUP("*"&amp;'Output annual'!$AC$2&amp;'Output annual'!$AD$2&amp;"*Zone People Number Of Occupants [](Hourly)",'Eplus results'!$1:$1048576,ROW(),FALSE)</f>
        <v>0</v>
      </c>
      <c r="AC5435" s="580">
        <f>HLOOKUP("*"&amp;'Output annual'!$AC$2&amp;'Output annual'!$AD$2&amp;"*FangerPMV(Hourly)",'Eplus results'!$1:$1048576,ROW(),FALSE)</f>
        <v>0</v>
      </c>
      <c r="AD5435" s="580">
        <f t="shared" si="456"/>
        <v>5</v>
      </c>
      <c r="AE5435" s="580">
        <f t="shared" si="457"/>
        <v>2.5</v>
      </c>
      <c r="AF5435" s="580">
        <f t="shared" si="458"/>
        <v>2.5</v>
      </c>
      <c r="AG5435" s="580">
        <f t="shared" si="459"/>
        <v>0</v>
      </c>
      <c r="AH5435" s="580">
        <f t="shared" si="460"/>
        <v>0</v>
      </c>
    </row>
    <row r="5436" spans="28:34">
      <c r="AB5436" s="580">
        <f>HLOOKUP("*"&amp;'Output annual'!$AC$2&amp;'Output annual'!$AD$2&amp;"*Zone People Number Of Occupants [](Hourly)",'Eplus results'!$1:$1048576,ROW(),FALSE)</f>
        <v>0</v>
      </c>
      <c r="AC5436" s="580">
        <f>HLOOKUP("*"&amp;'Output annual'!$AC$2&amp;'Output annual'!$AD$2&amp;"*FangerPMV(Hourly)",'Eplus results'!$1:$1048576,ROW(),FALSE)</f>
        <v>0</v>
      </c>
      <c r="AD5436" s="580">
        <f t="shared" si="456"/>
        <v>5</v>
      </c>
      <c r="AE5436" s="580">
        <f t="shared" si="457"/>
        <v>2.5</v>
      </c>
      <c r="AF5436" s="580">
        <f t="shared" si="458"/>
        <v>2.5</v>
      </c>
      <c r="AG5436" s="580">
        <f t="shared" si="459"/>
        <v>0</v>
      </c>
      <c r="AH5436" s="580">
        <f t="shared" si="460"/>
        <v>0</v>
      </c>
    </row>
    <row r="5437" spans="28:34">
      <c r="AB5437" s="580">
        <f>HLOOKUP("*"&amp;'Output annual'!$AC$2&amp;'Output annual'!$AD$2&amp;"*Zone People Number Of Occupants [](Hourly)",'Eplus results'!$1:$1048576,ROW(),FALSE)</f>
        <v>0</v>
      </c>
      <c r="AC5437" s="580">
        <f>HLOOKUP("*"&amp;'Output annual'!$AC$2&amp;'Output annual'!$AD$2&amp;"*FangerPMV(Hourly)",'Eplus results'!$1:$1048576,ROW(),FALSE)</f>
        <v>0</v>
      </c>
      <c r="AD5437" s="580">
        <f t="shared" si="456"/>
        <v>5</v>
      </c>
      <c r="AE5437" s="580">
        <f t="shared" si="457"/>
        <v>2.5</v>
      </c>
      <c r="AF5437" s="580">
        <f t="shared" si="458"/>
        <v>2.5</v>
      </c>
      <c r="AG5437" s="580">
        <f t="shared" si="459"/>
        <v>0</v>
      </c>
      <c r="AH5437" s="580">
        <f t="shared" si="460"/>
        <v>0</v>
      </c>
    </row>
    <row r="5438" spans="28:34">
      <c r="AB5438" s="580">
        <f>HLOOKUP("*"&amp;'Output annual'!$AC$2&amp;'Output annual'!$AD$2&amp;"*Zone People Number Of Occupants [](Hourly)",'Eplus results'!$1:$1048576,ROW(),FALSE)</f>
        <v>0</v>
      </c>
      <c r="AC5438" s="580">
        <f>HLOOKUP("*"&amp;'Output annual'!$AC$2&amp;'Output annual'!$AD$2&amp;"*FangerPMV(Hourly)",'Eplus results'!$1:$1048576,ROW(),FALSE)</f>
        <v>0</v>
      </c>
      <c r="AD5438" s="580">
        <f t="shared" si="456"/>
        <v>5</v>
      </c>
      <c r="AE5438" s="580">
        <f t="shared" si="457"/>
        <v>2.5</v>
      </c>
      <c r="AF5438" s="580">
        <f t="shared" si="458"/>
        <v>2.5</v>
      </c>
      <c r="AG5438" s="580">
        <f t="shared" si="459"/>
        <v>0</v>
      </c>
      <c r="AH5438" s="580">
        <f t="shared" si="460"/>
        <v>0</v>
      </c>
    </row>
    <row r="5439" spans="28:34">
      <c r="AB5439" s="580">
        <f>HLOOKUP("*"&amp;'Output annual'!$AC$2&amp;'Output annual'!$AD$2&amp;"*Zone People Number Of Occupants [](Hourly)",'Eplus results'!$1:$1048576,ROW(),FALSE)</f>
        <v>0</v>
      </c>
      <c r="AC5439" s="580">
        <f>HLOOKUP("*"&amp;'Output annual'!$AC$2&amp;'Output annual'!$AD$2&amp;"*FangerPMV(Hourly)",'Eplus results'!$1:$1048576,ROW(),FALSE)</f>
        <v>0</v>
      </c>
      <c r="AD5439" s="580">
        <f t="shared" si="456"/>
        <v>5</v>
      </c>
      <c r="AE5439" s="580">
        <f t="shared" si="457"/>
        <v>2.5</v>
      </c>
      <c r="AF5439" s="580">
        <f t="shared" si="458"/>
        <v>2.5</v>
      </c>
      <c r="AG5439" s="580">
        <f t="shared" si="459"/>
        <v>0</v>
      </c>
      <c r="AH5439" s="580">
        <f t="shared" si="460"/>
        <v>0</v>
      </c>
    </row>
    <row r="5440" spans="28:34">
      <c r="AB5440" s="580">
        <f>HLOOKUP("*"&amp;'Output annual'!$AC$2&amp;'Output annual'!$AD$2&amp;"*Zone People Number Of Occupants [](Hourly)",'Eplus results'!$1:$1048576,ROW(),FALSE)</f>
        <v>0</v>
      </c>
      <c r="AC5440" s="580">
        <f>HLOOKUP("*"&amp;'Output annual'!$AC$2&amp;'Output annual'!$AD$2&amp;"*FangerPMV(Hourly)",'Eplus results'!$1:$1048576,ROW(),FALSE)</f>
        <v>0</v>
      </c>
      <c r="AD5440" s="580">
        <f t="shared" si="456"/>
        <v>5</v>
      </c>
      <c r="AE5440" s="580">
        <f t="shared" si="457"/>
        <v>2.5</v>
      </c>
      <c r="AF5440" s="580">
        <f t="shared" si="458"/>
        <v>2.5</v>
      </c>
      <c r="AG5440" s="580">
        <f t="shared" si="459"/>
        <v>0</v>
      </c>
      <c r="AH5440" s="580">
        <f t="shared" si="460"/>
        <v>0</v>
      </c>
    </row>
    <row r="5441" spans="28:34">
      <c r="AB5441" s="580">
        <f>HLOOKUP("*"&amp;'Output annual'!$AC$2&amp;'Output annual'!$AD$2&amp;"*Zone People Number Of Occupants [](Hourly)",'Eplus results'!$1:$1048576,ROW(),FALSE)</f>
        <v>0</v>
      </c>
      <c r="AC5441" s="580">
        <f>HLOOKUP("*"&amp;'Output annual'!$AC$2&amp;'Output annual'!$AD$2&amp;"*FangerPMV(Hourly)",'Eplus results'!$1:$1048576,ROW(),FALSE)</f>
        <v>0</v>
      </c>
      <c r="AD5441" s="580">
        <f t="shared" si="456"/>
        <v>5</v>
      </c>
      <c r="AE5441" s="580">
        <f t="shared" si="457"/>
        <v>2.5</v>
      </c>
      <c r="AF5441" s="580">
        <f t="shared" si="458"/>
        <v>2.5</v>
      </c>
      <c r="AG5441" s="580">
        <f t="shared" si="459"/>
        <v>0</v>
      </c>
      <c r="AH5441" s="580">
        <f t="shared" si="460"/>
        <v>0</v>
      </c>
    </row>
    <row r="5442" spans="28:34">
      <c r="AB5442" s="580">
        <f>HLOOKUP("*"&amp;'Output annual'!$AC$2&amp;'Output annual'!$AD$2&amp;"*Zone People Number Of Occupants [](Hourly)",'Eplus results'!$1:$1048576,ROW(),FALSE)</f>
        <v>0</v>
      </c>
      <c r="AC5442" s="580">
        <f>HLOOKUP("*"&amp;'Output annual'!$AC$2&amp;'Output annual'!$AD$2&amp;"*FangerPMV(Hourly)",'Eplus results'!$1:$1048576,ROW(),FALSE)</f>
        <v>0</v>
      </c>
      <c r="AD5442" s="580">
        <f t="shared" si="456"/>
        <v>5</v>
      </c>
      <c r="AE5442" s="580">
        <f t="shared" si="457"/>
        <v>2.5</v>
      </c>
      <c r="AF5442" s="580">
        <f t="shared" si="458"/>
        <v>2.5</v>
      </c>
      <c r="AG5442" s="580">
        <f t="shared" si="459"/>
        <v>0</v>
      </c>
      <c r="AH5442" s="580">
        <f t="shared" si="460"/>
        <v>0</v>
      </c>
    </row>
    <row r="5443" spans="28:34">
      <c r="AB5443" s="580">
        <f>HLOOKUP("*"&amp;'Output annual'!$AC$2&amp;'Output annual'!$AD$2&amp;"*Zone People Number Of Occupants [](Hourly)",'Eplus results'!$1:$1048576,ROW(),FALSE)</f>
        <v>0</v>
      </c>
      <c r="AC5443" s="580">
        <f>HLOOKUP("*"&amp;'Output annual'!$AC$2&amp;'Output annual'!$AD$2&amp;"*FangerPMV(Hourly)",'Eplus results'!$1:$1048576,ROW(),FALSE)</f>
        <v>0</v>
      </c>
      <c r="AD5443" s="580">
        <f t="shared" ref="AD5443:AD5506" si="461">100-95*EXP(-0.03353*AC5443^4-0.2179*AC5443^2)</f>
        <v>5</v>
      </c>
      <c r="AE5443" s="580">
        <f t="shared" ref="AE5443:AE5506" si="462">AD5443*(1/(1+EXP(-6.3*$AC5443)))</f>
        <v>2.5</v>
      </c>
      <c r="AF5443" s="580">
        <f t="shared" ref="AF5443:AF5506" si="463">(AD5443-AE5443)</f>
        <v>2.5</v>
      </c>
      <c r="AG5443" s="580">
        <f t="shared" ref="AG5443:AG5506" si="464">AE5443*AB5443</f>
        <v>0</v>
      </c>
      <c r="AH5443" s="580">
        <f t="shared" ref="AH5443:AH5506" si="465">AF5443*AB5443</f>
        <v>0</v>
      </c>
    </row>
    <row r="5444" spans="28:34">
      <c r="AB5444" s="580">
        <f>HLOOKUP("*"&amp;'Output annual'!$AC$2&amp;'Output annual'!$AD$2&amp;"*Zone People Number Of Occupants [](Hourly)",'Eplus results'!$1:$1048576,ROW(),FALSE)</f>
        <v>0</v>
      </c>
      <c r="AC5444" s="580">
        <f>HLOOKUP("*"&amp;'Output annual'!$AC$2&amp;'Output annual'!$AD$2&amp;"*FangerPMV(Hourly)",'Eplus results'!$1:$1048576,ROW(),FALSE)</f>
        <v>0</v>
      </c>
      <c r="AD5444" s="580">
        <f t="shared" si="461"/>
        <v>5</v>
      </c>
      <c r="AE5444" s="580">
        <f t="shared" si="462"/>
        <v>2.5</v>
      </c>
      <c r="AF5444" s="580">
        <f t="shared" si="463"/>
        <v>2.5</v>
      </c>
      <c r="AG5444" s="580">
        <f t="shared" si="464"/>
        <v>0</v>
      </c>
      <c r="AH5444" s="580">
        <f t="shared" si="465"/>
        <v>0</v>
      </c>
    </row>
    <row r="5445" spans="28:34">
      <c r="AB5445" s="580">
        <f>HLOOKUP("*"&amp;'Output annual'!$AC$2&amp;'Output annual'!$AD$2&amp;"*Zone People Number Of Occupants [](Hourly)",'Eplus results'!$1:$1048576,ROW(),FALSE)</f>
        <v>0</v>
      </c>
      <c r="AC5445" s="580">
        <f>HLOOKUP("*"&amp;'Output annual'!$AC$2&amp;'Output annual'!$AD$2&amp;"*FangerPMV(Hourly)",'Eplus results'!$1:$1048576,ROW(),FALSE)</f>
        <v>0</v>
      </c>
      <c r="AD5445" s="580">
        <f t="shared" si="461"/>
        <v>5</v>
      </c>
      <c r="AE5445" s="580">
        <f t="shared" si="462"/>
        <v>2.5</v>
      </c>
      <c r="AF5445" s="580">
        <f t="shared" si="463"/>
        <v>2.5</v>
      </c>
      <c r="AG5445" s="580">
        <f t="shared" si="464"/>
        <v>0</v>
      </c>
      <c r="AH5445" s="580">
        <f t="shared" si="465"/>
        <v>0</v>
      </c>
    </row>
    <row r="5446" spans="28:34">
      <c r="AB5446" s="580">
        <f>HLOOKUP("*"&amp;'Output annual'!$AC$2&amp;'Output annual'!$AD$2&amp;"*Zone People Number Of Occupants [](Hourly)",'Eplus results'!$1:$1048576,ROW(),FALSE)</f>
        <v>0</v>
      </c>
      <c r="AC5446" s="580">
        <f>HLOOKUP("*"&amp;'Output annual'!$AC$2&amp;'Output annual'!$AD$2&amp;"*FangerPMV(Hourly)",'Eplus results'!$1:$1048576,ROW(),FALSE)</f>
        <v>0</v>
      </c>
      <c r="AD5446" s="580">
        <f t="shared" si="461"/>
        <v>5</v>
      </c>
      <c r="AE5446" s="580">
        <f t="shared" si="462"/>
        <v>2.5</v>
      </c>
      <c r="AF5446" s="580">
        <f t="shared" si="463"/>
        <v>2.5</v>
      </c>
      <c r="AG5446" s="580">
        <f t="shared" si="464"/>
        <v>0</v>
      </c>
      <c r="AH5446" s="580">
        <f t="shared" si="465"/>
        <v>0</v>
      </c>
    </row>
    <row r="5447" spans="28:34">
      <c r="AB5447" s="580">
        <f>HLOOKUP("*"&amp;'Output annual'!$AC$2&amp;'Output annual'!$AD$2&amp;"*Zone People Number Of Occupants [](Hourly)",'Eplus results'!$1:$1048576,ROW(),FALSE)</f>
        <v>0</v>
      </c>
      <c r="AC5447" s="580">
        <f>HLOOKUP("*"&amp;'Output annual'!$AC$2&amp;'Output annual'!$AD$2&amp;"*FangerPMV(Hourly)",'Eplus results'!$1:$1048576,ROW(),FALSE)</f>
        <v>0</v>
      </c>
      <c r="AD5447" s="580">
        <f t="shared" si="461"/>
        <v>5</v>
      </c>
      <c r="AE5447" s="580">
        <f t="shared" si="462"/>
        <v>2.5</v>
      </c>
      <c r="AF5447" s="580">
        <f t="shared" si="463"/>
        <v>2.5</v>
      </c>
      <c r="AG5447" s="580">
        <f t="shared" si="464"/>
        <v>0</v>
      </c>
      <c r="AH5447" s="580">
        <f t="shared" si="465"/>
        <v>0</v>
      </c>
    </row>
    <row r="5448" spans="28:34">
      <c r="AB5448" s="580">
        <f>HLOOKUP("*"&amp;'Output annual'!$AC$2&amp;'Output annual'!$AD$2&amp;"*Zone People Number Of Occupants [](Hourly)",'Eplus results'!$1:$1048576,ROW(),FALSE)</f>
        <v>0</v>
      </c>
      <c r="AC5448" s="580">
        <f>HLOOKUP("*"&amp;'Output annual'!$AC$2&amp;'Output annual'!$AD$2&amp;"*FangerPMV(Hourly)",'Eplus results'!$1:$1048576,ROW(),FALSE)</f>
        <v>0</v>
      </c>
      <c r="AD5448" s="580">
        <f t="shared" si="461"/>
        <v>5</v>
      </c>
      <c r="AE5448" s="580">
        <f t="shared" si="462"/>
        <v>2.5</v>
      </c>
      <c r="AF5448" s="580">
        <f t="shared" si="463"/>
        <v>2.5</v>
      </c>
      <c r="AG5448" s="580">
        <f t="shared" si="464"/>
        <v>0</v>
      </c>
      <c r="AH5448" s="580">
        <f t="shared" si="465"/>
        <v>0</v>
      </c>
    </row>
    <row r="5449" spans="28:34">
      <c r="AB5449" s="580">
        <f>HLOOKUP("*"&amp;'Output annual'!$AC$2&amp;'Output annual'!$AD$2&amp;"*Zone People Number Of Occupants [](Hourly)",'Eplus results'!$1:$1048576,ROW(),FALSE)</f>
        <v>0</v>
      </c>
      <c r="AC5449" s="580">
        <f>HLOOKUP("*"&amp;'Output annual'!$AC$2&amp;'Output annual'!$AD$2&amp;"*FangerPMV(Hourly)",'Eplus results'!$1:$1048576,ROW(),FALSE)</f>
        <v>0</v>
      </c>
      <c r="AD5449" s="580">
        <f t="shared" si="461"/>
        <v>5</v>
      </c>
      <c r="AE5449" s="580">
        <f t="shared" si="462"/>
        <v>2.5</v>
      </c>
      <c r="AF5449" s="580">
        <f t="shared" si="463"/>
        <v>2.5</v>
      </c>
      <c r="AG5449" s="580">
        <f t="shared" si="464"/>
        <v>0</v>
      </c>
      <c r="AH5449" s="580">
        <f t="shared" si="465"/>
        <v>0</v>
      </c>
    </row>
    <row r="5450" spans="28:34">
      <c r="AB5450" s="580">
        <f>HLOOKUP("*"&amp;'Output annual'!$AC$2&amp;'Output annual'!$AD$2&amp;"*Zone People Number Of Occupants [](Hourly)",'Eplus results'!$1:$1048576,ROW(),FALSE)</f>
        <v>0</v>
      </c>
      <c r="AC5450" s="580">
        <f>HLOOKUP("*"&amp;'Output annual'!$AC$2&amp;'Output annual'!$AD$2&amp;"*FangerPMV(Hourly)",'Eplus results'!$1:$1048576,ROW(),FALSE)</f>
        <v>0</v>
      </c>
      <c r="AD5450" s="580">
        <f t="shared" si="461"/>
        <v>5</v>
      </c>
      <c r="AE5450" s="580">
        <f t="shared" si="462"/>
        <v>2.5</v>
      </c>
      <c r="AF5450" s="580">
        <f t="shared" si="463"/>
        <v>2.5</v>
      </c>
      <c r="AG5450" s="580">
        <f t="shared" si="464"/>
        <v>0</v>
      </c>
      <c r="AH5450" s="580">
        <f t="shared" si="465"/>
        <v>0</v>
      </c>
    </row>
    <row r="5451" spans="28:34">
      <c r="AB5451" s="580">
        <f>HLOOKUP("*"&amp;'Output annual'!$AC$2&amp;'Output annual'!$AD$2&amp;"*Zone People Number Of Occupants [](Hourly)",'Eplus results'!$1:$1048576,ROW(),FALSE)</f>
        <v>0</v>
      </c>
      <c r="AC5451" s="580">
        <f>HLOOKUP("*"&amp;'Output annual'!$AC$2&amp;'Output annual'!$AD$2&amp;"*FangerPMV(Hourly)",'Eplus results'!$1:$1048576,ROW(),FALSE)</f>
        <v>0</v>
      </c>
      <c r="AD5451" s="580">
        <f t="shared" si="461"/>
        <v>5</v>
      </c>
      <c r="AE5451" s="580">
        <f t="shared" si="462"/>
        <v>2.5</v>
      </c>
      <c r="AF5451" s="580">
        <f t="shared" si="463"/>
        <v>2.5</v>
      </c>
      <c r="AG5451" s="580">
        <f t="shared" si="464"/>
        <v>0</v>
      </c>
      <c r="AH5451" s="580">
        <f t="shared" si="465"/>
        <v>0</v>
      </c>
    </row>
    <row r="5452" spans="28:34">
      <c r="AB5452" s="580">
        <f>HLOOKUP("*"&amp;'Output annual'!$AC$2&amp;'Output annual'!$AD$2&amp;"*Zone People Number Of Occupants [](Hourly)",'Eplus results'!$1:$1048576,ROW(),FALSE)</f>
        <v>0</v>
      </c>
      <c r="AC5452" s="580">
        <f>HLOOKUP("*"&amp;'Output annual'!$AC$2&amp;'Output annual'!$AD$2&amp;"*FangerPMV(Hourly)",'Eplus results'!$1:$1048576,ROW(),FALSE)</f>
        <v>0</v>
      </c>
      <c r="AD5452" s="580">
        <f t="shared" si="461"/>
        <v>5</v>
      </c>
      <c r="AE5452" s="580">
        <f t="shared" si="462"/>
        <v>2.5</v>
      </c>
      <c r="AF5452" s="580">
        <f t="shared" si="463"/>
        <v>2.5</v>
      </c>
      <c r="AG5452" s="580">
        <f t="shared" si="464"/>
        <v>0</v>
      </c>
      <c r="AH5452" s="580">
        <f t="shared" si="465"/>
        <v>0</v>
      </c>
    </row>
    <row r="5453" spans="28:34">
      <c r="AB5453" s="580">
        <f>HLOOKUP("*"&amp;'Output annual'!$AC$2&amp;'Output annual'!$AD$2&amp;"*Zone People Number Of Occupants [](Hourly)",'Eplus results'!$1:$1048576,ROW(),FALSE)</f>
        <v>0</v>
      </c>
      <c r="AC5453" s="580">
        <f>HLOOKUP("*"&amp;'Output annual'!$AC$2&amp;'Output annual'!$AD$2&amp;"*FangerPMV(Hourly)",'Eplus results'!$1:$1048576,ROW(),FALSE)</f>
        <v>0</v>
      </c>
      <c r="AD5453" s="580">
        <f t="shared" si="461"/>
        <v>5</v>
      </c>
      <c r="AE5453" s="580">
        <f t="shared" si="462"/>
        <v>2.5</v>
      </c>
      <c r="AF5453" s="580">
        <f t="shared" si="463"/>
        <v>2.5</v>
      </c>
      <c r="AG5453" s="580">
        <f t="shared" si="464"/>
        <v>0</v>
      </c>
      <c r="AH5453" s="580">
        <f t="shared" si="465"/>
        <v>0</v>
      </c>
    </row>
    <row r="5454" spans="28:34">
      <c r="AB5454" s="580">
        <f>HLOOKUP("*"&amp;'Output annual'!$AC$2&amp;'Output annual'!$AD$2&amp;"*Zone People Number Of Occupants [](Hourly)",'Eplus results'!$1:$1048576,ROW(),FALSE)</f>
        <v>0</v>
      </c>
      <c r="AC5454" s="580">
        <f>HLOOKUP("*"&amp;'Output annual'!$AC$2&amp;'Output annual'!$AD$2&amp;"*FangerPMV(Hourly)",'Eplus results'!$1:$1048576,ROW(),FALSE)</f>
        <v>0</v>
      </c>
      <c r="AD5454" s="580">
        <f t="shared" si="461"/>
        <v>5</v>
      </c>
      <c r="AE5454" s="580">
        <f t="shared" si="462"/>
        <v>2.5</v>
      </c>
      <c r="AF5454" s="580">
        <f t="shared" si="463"/>
        <v>2.5</v>
      </c>
      <c r="AG5454" s="580">
        <f t="shared" si="464"/>
        <v>0</v>
      </c>
      <c r="AH5454" s="580">
        <f t="shared" si="465"/>
        <v>0</v>
      </c>
    </row>
    <row r="5455" spans="28:34">
      <c r="AB5455" s="580">
        <f>HLOOKUP("*"&amp;'Output annual'!$AC$2&amp;'Output annual'!$AD$2&amp;"*Zone People Number Of Occupants [](Hourly)",'Eplus results'!$1:$1048576,ROW(),FALSE)</f>
        <v>0</v>
      </c>
      <c r="AC5455" s="580">
        <f>HLOOKUP("*"&amp;'Output annual'!$AC$2&amp;'Output annual'!$AD$2&amp;"*FangerPMV(Hourly)",'Eplus results'!$1:$1048576,ROW(),FALSE)</f>
        <v>0</v>
      </c>
      <c r="AD5455" s="580">
        <f t="shared" si="461"/>
        <v>5</v>
      </c>
      <c r="AE5455" s="580">
        <f t="shared" si="462"/>
        <v>2.5</v>
      </c>
      <c r="AF5455" s="580">
        <f t="shared" si="463"/>
        <v>2.5</v>
      </c>
      <c r="AG5455" s="580">
        <f t="shared" si="464"/>
        <v>0</v>
      </c>
      <c r="AH5455" s="580">
        <f t="shared" si="465"/>
        <v>0</v>
      </c>
    </row>
    <row r="5456" spans="28:34">
      <c r="AB5456" s="580">
        <f>HLOOKUP("*"&amp;'Output annual'!$AC$2&amp;'Output annual'!$AD$2&amp;"*Zone People Number Of Occupants [](Hourly)",'Eplus results'!$1:$1048576,ROW(),FALSE)</f>
        <v>0</v>
      </c>
      <c r="AC5456" s="580">
        <f>HLOOKUP("*"&amp;'Output annual'!$AC$2&amp;'Output annual'!$AD$2&amp;"*FangerPMV(Hourly)",'Eplus results'!$1:$1048576,ROW(),FALSE)</f>
        <v>0</v>
      </c>
      <c r="AD5456" s="580">
        <f t="shared" si="461"/>
        <v>5</v>
      </c>
      <c r="AE5456" s="580">
        <f t="shared" si="462"/>
        <v>2.5</v>
      </c>
      <c r="AF5456" s="580">
        <f t="shared" si="463"/>
        <v>2.5</v>
      </c>
      <c r="AG5456" s="580">
        <f t="shared" si="464"/>
        <v>0</v>
      </c>
      <c r="AH5456" s="580">
        <f t="shared" si="465"/>
        <v>0</v>
      </c>
    </row>
    <row r="5457" spans="28:34">
      <c r="AB5457" s="580">
        <f>HLOOKUP("*"&amp;'Output annual'!$AC$2&amp;'Output annual'!$AD$2&amp;"*Zone People Number Of Occupants [](Hourly)",'Eplus results'!$1:$1048576,ROW(),FALSE)</f>
        <v>0</v>
      </c>
      <c r="AC5457" s="580">
        <f>HLOOKUP("*"&amp;'Output annual'!$AC$2&amp;'Output annual'!$AD$2&amp;"*FangerPMV(Hourly)",'Eplus results'!$1:$1048576,ROW(),FALSE)</f>
        <v>0</v>
      </c>
      <c r="AD5457" s="580">
        <f t="shared" si="461"/>
        <v>5</v>
      </c>
      <c r="AE5457" s="580">
        <f t="shared" si="462"/>
        <v>2.5</v>
      </c>
      <c r="AF5457" s="580">
        <f t="shared" si="463"/>
        <v>2.5</v>
      </c>
      <c r="AG5457" s="580">
        <f t="shared" si="464"/>
        <v>0</v>
      </c>
      <c r="AH5457" s="580">
        <f t="shared" si="465"/>
        <v>0</v>
      </c>
    </row>
    <row r="5458" spans="28:34">
      <c r="AB5458" s="580">
        <f>HLOOKUP("*"&amp;'Output annual'!$AC$2&amp;'Output annual'!$AD$2&amp;"*Zone People Number Of Occupants [](Hourly)",'Eplus results'!$1:$1048576,ROW(),FALSE)</f>
        <v>0</v>
      </c>
      <c r="AC5458" s="580">
        <f>HLOOKUP("*"&amp;'Output annual'!$AC$2&amp;'Output annual'!$AD$2&amp;"*FangerPMV(Hourly)",'Eplus results'!$1:$1048576,ROW(),FALSE)</f>
        <v>0</v>
      </c>
      <c r="AD5458" s="580">
        <f t="shared" si="461"/>
        <v>5</v>
      </c>
      <c r="AE5458" s="580">
        <f t="shared" si="462"/>
        <v>2.5</v>
      </c>
      <c r="AF5458" s="580">
        <f t="shared" si="463"/>
        <v>2.5</v>
      </c>
      <c r="AG5458" s="580">
        <f t="shared" si="464"/>
        <v>0</v>
      </c>
      <c r="AH5458" s="580">
        <f t="shared" si="465"/>
        <v>0</v>
      </c>
    </row>
    <row r="5459" spans="28:34">
      <c r="AB5459" s="580">
        <f>HLOOKUP("*"&amp;'Output annual'!$AC$2&amp;'Output annual'!$AD$2&amp;"*Zone People Number Of Occupants [](Hourly)",'Eplus results'!$1:$1048576,ROW(),FALSE)</f>
        <v>0</v>
      </c>
      <c r="AC5459" s="580">
        <f>HLOOKUP("*"&amp;'Output annual'!$AC$2&amp;'Output annual'!$AD$2&amp;"*FangerPMV(Hourly)",'Eplus results'!$1:$1048576,ROW(),FALSE)</f>
        <v>0</v>
      </c>
      <c r="AD5459" s="580">
        <f t="shared" si="461"/>
        <v>5</v>
      </c>
      <c r="AE5459" s="580">
        <f t="shared" si="462"/>
        <v>2.5</v>
      </c>
      <c r="AF5459" s="580">
        <f t="shared" si="463"/>
        <v>2.5</v>
      </c>
      <c r="AG5459" s="580">
        <f t="shared" si="464"/>
        <v>0</v>
      </c>
      <c r="AH5459" s="580">
        <f t="shared" si="465"/>
        <v>0</v>
      </c>
    </row>
    <row r="5460" spans="28:34">
      <c r="AB5460" s="580">
        <f>HLOOKUP("*"&amp;'Output annual'!$AC$2&amp;'Output annual'!$AD$2&amp;"*Zone People Number Of Occupants [](Hourly)",'Eplus results'!$1:$1048576,ROW(),FALSE)</f>
        <v>0</v>
      </c>
      <c r="AC5460" s="580">
        <f>HLOOKUP("*"&amp;'Output annual'!$AC$2&amp;'Output annual'!$AD$2&amp;"*FangerPMV(Hourly)",'Eplus results'!$1:$1048576,ROW(),FALSE)</f>
        <v>0</v>
      </c>
      <c r="AD5460" s="580">
        <f t="shared" si="461"/>
        <v>5</v>
      </c>
      <c r="AE5460" s="580">
        <f t="shared" si="462"/>
        <v>2.5</v>
      </c>
      <c r="AF5460" s="580">
        <f t="shared" si="463"/>
        <v>2.5</v>
      </c>
      <c r="AG5460" s="580">
        <f t="shared" si="464"/>
        <v>0</v>
      </c>
      <c r="AH5460" s="580">
        <f t="shared" si="465"/>
        <v>0</v>
      </c>
    </row>
    <row r="5461" spans="28:34">
      <c r="AB5461" s="580">
        <f>HLOOKUP("*"&amp;'Output annual'!$AC$2&amp;'Output annual'!$AD$2&amp;"*Zone People Number Of Occupants [](Hourly)",'Eplus results'!$1:$1048576,ROW(),FALSE)</f>
        <v>0</v>
      </c>
      <c r="AC5461" s="580">
        <f>HLOOKUP("*"&amp;'Output annual'!$AC$2&amp;'Output annual'!$AD$2&amp;"*FangerPMV(Hourly)",'Eplus results'!$1:$1048576,ROW(),FALSE)</f>
        <v>0</v>
      </c>
      <c r="AD5461" s="580">
        <f t="shared" si="461"/>
        <v>5</v>
      </c>
      <c r="AE5461" s="580">
        <f t="shared" si="462"/>
        <v>2.5</v>
      </c>
      <c r="AF5461" s="580">
        <f t="shared" si="463"/>
        <v>2.5</v>
      </c>
      <c r="AG5461" s="580">
        <f t="shared" si="464"/>
        <v>0</v>
      </c>
      <c r="AH5461" s="580">
        <f t="shared" si="465"/>
        <v>0</v>
      </c>
    </row>
    <row r="5462" spans="28:34">
      <c r="AB5462" s="580">
        <f>HLOOKUP("*"&amp;'Output annual'!$AC$2&amp;'Output annual'!$AD$2&amp;"*Zone People Number Of Occupants [](Hourly)",'Eplus results'!$1:$1048576,ROW(),FALSE)</f>
        <v>0</v>
      </c>
      <c r="AC5462" s="580">
        <f>HLOOKUP("*"&amp;'Output annual'!$AC$2&amp;'Output annual'!$AD$2&amp;"*FangerPMV(Hourly)",'Eplus results'!$1:$1048576,ROW(),FALSE)</f>
        <v>0</v>
      </c>
      <c r="AD5462" s="580">
        <f t="shared" si="461"/>
        <v>5</v>
      </c>
      <c r="AE5462" s="580">
        <f t="shared" si="462"/>
        <v>2.5</v>
      </c>
      <c r="AF5462" s="580">
        <f t="shared" si="463"/>
        <v>2.5</v>
      </c>
      <c r="AG5462" s="580">
        <f t="shared" si="464"/>
        <v>0</v>
      </c>
      <c r="AH5462" s="580">
        <f t="shared" si="465"/>
        <v>0</v>
      </c>
    </row>
    <row r="5463" spans="28:34">
      <c r="AB5463" s="580">
        <f>HLOOKUP("*"&amp;'Output annual'!$AC$2&amp;'Output annual'!$AD$2&amp;"*Zone People Number Of Occupants [](Hourly)",'Eplus results'!$1:$1048576,ROW(),FALSE)</f>
        <v>0</v>
      </c>
      <c r="AC5463" s="580">
        <f>HLOOKUP("*"&amp;'Output annual'!$AC$2&amp;'Output annual'!$AD$2&amp;"*FangerPMV(Hourly)",'Eplus results'!$1:$1048576,ROW(),FALSE)</f>
        <v>0</v>
      </c>
      <c r="AD5463" s="580">
        <f t="shared" si="461"/>
        <v>5</v>
      </c>
      <c r="AE5463" s="580">
        <f t="shared" si="462"/>
        <v>2.5</v>
      </c>
      <c r="AF5463" s="580">
        <f t="shared" si="463"/>
        <v>2.5</v>
      </c>
      <c r="AG5463" s="580">
        <f t="shared" si="464"/>
        <v>0</v>
      </c>
      <c r="AH5463" s="580">
        <f t="shared" si="465"/>
        <v>0</v>
      </c>
    </row>
    <row r="5464" spans="28:34">
      <c r="AB5464" s="580">
        <f>HLOOKUP("*"&amp;'Output annual'!$AC$2&amp;'Output annual'!$AD$2&amp;"*Zone People Number Of Occupants [](Hourly)",'Eplus results'!$1:$1048576,ROW(),FALSE)</f>
        <v>0</v>
      </c>
      <c r="AC5464" s="580">
        <f>HLOOKUP("*"&amp;'Output annual'!$AC$2&amp;'Output annual'!$AD$2&amp;"*FangerPMV(Hourly)",'Eplus results'!$1:$1048576,ROW(),FALSE)</f>
        <v>0</v>
      </c>
      <c r="AD5464" s="580">
        <f t="shared" si="461"/>
        <v>5</v>
      </c>
      <c r="AE5464" s="580">
        <f t="shared" si="462"/>
        <v>2.5</v>
      </c>
      <c r="AF5464" s="580">
        <f t="shared" si="463"/>
        <v>2.5</v>
      </c>
      <c r="AG5464" s="580">
        <f t="shared" si="464"/>
        <v>0</v>
      </c>
      <c r="AH5464" s="580">
        <f t="shared" si="465"/>
        <v>0</v>
      </c>
    </row>
    <row r="5465" spans="28:34">
      <c r="AB5465" s="580">
        <f>HLOOKUP("*"&amp;'Output annual'!$AC$2&amp;'Output annual'!$AD$2&amp;"*Zone People Number Of Occupants [](Hourly)",'Eplus results'!$1:$1048576,ROW(),FALSE)</f>
        <v>0</v>
      </c>
      <c r="AC5465" s="580">
        <f>HLOOKUP("*"&amp;'Output annual'!$AC$2&amp;'Output annual'!$AD$2&amp;"*FangerPMV(Hourly)",'Eplus results'!$1:$1048576,ROW(),FALSE)</f>
        <v>0</v>
      </c>
      <c r="AD5465" s="580">
        <f t="shared" si="461"/>
        <v>5</v>
      </c>
      <c r="AE5465" s="580">
        <f t="shared" si="462"/>
        <v>2.5</v>
      </c>
      <c r="AF5465" s="580">
        <f t="shared" si="463"/>
        <v>2.5</v>
      </c>
      <c r="AG5465" s="580">
        <f t="shared" si="464"/>
        <v>0</v>
      </c>
      <c r="AH5465" s="580">
        <f t="shared" si="465"/>
        <v>0</v>
      </c>
    </row>
    <row r="5466" spans="28:34">
      <c r="AB5466" s="580">
        <f>HLOOKUP("*"&amp;'Output annual'!$AC$2&amp;'Output annual'!$AD$2&amp;"*Zone People Number Of Occupants [](Hourly)",'Eplus results'!$1:$1048576,ROW(),FALSE)</f>
        <v>0</v>
      </c>
      <c r="AC5466" s="580">
        <f>HLOOKUP("*"&amp;'Output annual'!$AC$2&amp;'Output annual'!$AD$2&amp;"*FangerPMV(Hourly)",'Eplus results'!$1:$1048576,ROW(),FALSE)</f>
        <v>0</v>
      </c>
      <c r="AD5466" s="580">
        <f t="shared" si="461"/>
        <v>5</v>
      </c>
      <c r="AE5466" s="580">
        <f t="shared" si="462"/>
        <v>2.5</v>
      </c>
      <c r="AF5466" s="580">
        <f t="shared" si="463"/>
        <v>2.5</v>
      </c>
      <c r="AG5466" s="580">
        <f t="shared" si="464"/>
        <v>0</v>
      </c>
      <c r="AH5466" s="580">
        <f t="shared" si="465"/>
        <v>0</v>
      </c>
    </row>
    <row r="5467" spans="28:34">
      <c r="AB5467" s="580">
        <f>HLOOKUP("*"&amp;'Output annual'!$AC$2&amp;'Output annual'!$AD$2&amp;"*Zone People Number Of Occupants [](Hourly)",'Eplus results'!$1:$1048576,ROW(),FALSE)</f>
        <v>0</v>
      </c>
      <c r="AC5467" s="580">
        <f>HLOOKUP("*"&amp;'Output annual'!$AC$2&amp;'Output annual'!$AD$2&amp;"*FangerPMV(Hourly)",'Eplus results'!$1:$1048576,ROW(),FALSE)</f>
        <v>0</v>
      </c>
      <c r="AD5467" s="580">
        <f t="shared" si="461"/>
        <v>5</v>
      </c>
      <c r="AE5467" s="580">
        <f t="shared" si="462"/>
        <v>2.5</v>
      </c>
      <c r="AF5467" s="580">
        <f t="shared" si="463"/>
        <v>2.5</v>
      </c>
      <c r="AG5467" s="580">
        <f t="shared" si="464"/>
        <v>0</v>
      </c>
      <c r="AH5467" s="580">
        <f t="shared" si="465"/>
        <v>0</v>
      </c>
    </row>
    <row r="5468" spans="28:34">
      <c r="AB5468" s="580">
        <f>HLOOKUP("*"&amp;'Output annual'!$AC$2&amp;'Output annual'!$AD$2&amp;"*Zone People Number Of Occupants [](Hourly)",'Eplus results'!$1:$1048576,ROW(),FALSE)</f>
        <v>0</v>
      </c>
      <c r="AC5468" s="580">
        <f>HLOOKUP("*"&amp;'Output annual'!$AC$2&amp;'Output annual'!$AD$2&amp;"*FangerPMV(Hourly)",'Eplus results'!$1:$1048576,ROW(),FALSE)</f>
        <v>0</v>
      </c>
      <c r="AD5468" s="580">
        <f t="shared" si="461"/>
        <v>5</v>
      </c>
      <c r="AE5468" s="580">
        <f t="shared" si="462"/>
        <v>2.5</v>
      </c>
      <c r="AF5468" s="580">
        <f t="shared" si="463"/>
        <v>2.5</v>
      </c>
      <c r="AG5468" s="580">
        <f t="shared" si="464"/>
        <v>0</v>
      </c>
      <c r="AH5468" s="580">
        <f t="shared" si="465"/>
        <v>0</v>
      </c>
    </row>
    <row r="5469" spans="28:34">
      <c r="AB5469" s="580">
        <f>HLOOKUP("*"&amp;'Output annual'!$AC$2&amp;'Output annual'!$AD$2&amp;"*Zone People Number Of Occupants [](Hourly)",'Eplus results'!$1:$1048576,ROW(),FALSE)</f>
        <v>0</v>
      </c>
      <c r="AC5469" s="580">
        <f>HLOOKUP("*"&amp;'Output annual'!$AC$2&amp;'Output annual'!$AD$2&amp;"*FangerPMV(Hourly)",'Eplus results'!$1:$1048576,ROW(),FALSE)</f>
        <v>0</v>
      </c>
      <c r="AD5469" s="580">
        <f t="shared" si="461"/>
        <v>5</v>
      </c>
      <c r="AE5469" s="580">
        <f t="shared" si="462"/>
        <v>2.5</v>
      </c>
      <c r="AF5469" s="580">
        <f t="shared" si="463"/>
        <v>2.5</v>
      </c>
      <c r="AG5469" s="580">
        <f t="shared" si="464"/>
        <v>0</v>
      </c>
      <c r="AH5469" s="580">
        <f t="shared" si="465"/>
        <v>0</v>
      </c>
    </row>
    <row r="5470" spans="28:34">
      <c r="AB5470" s="580">
        <f>HLOOKUP("*"&amp;'Output annual'!$AC$2&amp;'Output annual'!$AD$2&amp;"*Zone People Number Of Occupants [](Hourly)",'Eplus results'!$1:$1048576,ROW(),FALSE)</f>
        <v>0</v>
      </c>
      <c r="AC5470" s="580">
        <f>HLOOKUP("*"&amp;'Output annual'!$AC$2&amp;'Output annual'!$AD$2&amp;"*FangerPMV(Hourly)",'Eplus results'!$1:$1048576,ROW(),FALSE)</f>
        <v>0</v>
      </c>
      <c r="AD5470" s="580">
        <f t="shared" si="461"/>
        <v>5</v>
      </c>
      <c r="AE5470" s="580">
        <f t="shared" si="462"/>
        <v>2.5</v>
      </c>
      <c r="AF5470" s="580">
        <f t="shared" si="463"/>
        <v>2.5</v>
      </c>
      <c r="AG5470" s="580">
        <f t="shared" si="464"/>
        <v>0</v>
      </c>
      <c r="AH5470" s="580">
        <f t="shared" si="465"/>
        <v>0</v>
      </c>
    </row>
    <row r="5471" spans="28:34">
      <c r="AB5471" s="580">
        <f>HLOOKUP("*"&amp;'Output annual'!$AC$2&amp;'Output annual'!$AD$2&amp;"*Zone People Number Of Occupants [](Hourly)",'Eplus results'!$1:$1048576,ROW(),FALSE)</f>
        <v>0</v>
      </c>
      <c r="AC5471" s="580">
        <f>HLOOKUP("*"&amp;'Output annual'!$AC$2&amp;'Output annual'!$AD$2&amp;"*FangerPMV(Hourly)",'Eplus results'!$1:$1048576,ROW(),FALSE)</f>
        <v>0</v>
      </c>
      <c r="AD5471" s="580">
        <f t="shared" si="461"/>
        <v>5</v>
      </c>
      <c r="AE5471" s="580">
        <f t="shared" si="462"/>
        <v>2.5</v>
      </c>
      <c r="AF5471" s="580">
        <f t="shared" si="463"/>
        <v>2.5</v>
      </c>
      <c r="AG5471" s="580">
        <f t="shared" si="464"/>
        <v>0</v>
      </c>
      <c r="AH5471" s="580">
        <f t="shared" si="465"/>
        <v>0</v>
      </c>
    </row>
    <row r="5472" spans="28:34">
      <c r="AB5472" s="580">
        <f>HLOOKUP("*"&amp;'Output annual'!$AC$2&amp;'Output annual'!$AD$2&amp;"*Zone People Number Of Occupants [](Hourly)",'Eplus results'!$1:$1048576,ROW(),FALSE)</f>
        <v>0</v>
      </c>
      <c r="AC5472" s="580">
        <f>HLOOKUP("*"&amp;'Output annual'!$AC$2&amp;'Output annual'!$AD$2&amp;"*FangerPMV(Hourly)",'Eplus results'!$1:$1048576,ROW(),FALSE)</f>
        <v>0</v>
      </c>
      <c r="AD5472" s="580">
        <f t="shared" si="461"/>
        <v>5</v>
      </c>
      <c r="AE5472" s="580">
        <f t="shared" si="462"/>
        <v>2.5</v>
      </c>
      <c r="AF5472" s="580">
        <f t="shared" si="463"/>
        <v>2.5</v>
      </c>
      <c r="AG5472" s="580">
        <f t="shared" si="464"/>
        <v>0</v>
      </c>
      <c r="AH5472" s="580">
        <f t="shared" si="465"/>
        <v>0</v>
      </c>
    </row>
    <row r="5473" spans="28:34">
      <c r="AB5473" s="580">
        <f>HLOOKUP("*"&amp;'Output annual'!$AC$2&amp;'Output annual'!$AD$2&amp;"*Zone People Number Of Occupants [](Hourly)",'Eplus results'!$1:$1048576,ROW(),FALSE)</f>
        <v>0</v>
      </c>
      <c r="AC5473" s="580">
        <f>HLOOKUP("*"&amp;'Output annual'!$AC$2&amp;'Output annual'!$AD$2&amp;"*FangerPMV(Hourly)",'Eplus results'!$1:$1048576,ROW(),FALSE)</f>
        <v>0</v>
      </c>
      <c r="AD5473" s="580">
        <f t="shared" si="461"/>
        <v>5</v>
      </c>
      <c r="AE5473" s="580">
        <f t="shared" si="462"/>
        <v>2.5</v>
      </c>
      <c r="AF5473" s="580">
        <f t="shared" si="463"/>
        <v>2.5</v>
      </c>
      <c r="AG5473" s="580">
        <f t="shared" si="464"/>
        <v>0</v>
      </c>
      <c r="AH5473" s="580">
        <f t="shared" si="465"/>
        <v>0</v>
      </c>
    </row>
    <row r="5474" spans="28:34">
      <c r="AB5474" s="580">
        <f>HLOOKUP("*"&amp;'Output annual'!$AC$2&amp;'Output annual'!$AD$2&amp;"*Zone People Number Of Occupants [](Hourly)",'Eplus results'!$1:$1048576,ROW(),FALSE)</f>
        <v>0</v>
      </c>
      <c r="AC5474" s="580">
        <f>HLOOKUP("*"&amp;'Output annual'!$AC$2&amp;'Output annual'!$AD$2&amp;"*FangerPMV(Hourly)",'Eplus results'!$1:$1048576,ROW(),FALSE)</f>
        <v>0</v>
      </c>
      <c r="AD5474" s="580">
        <f t="shared" si="461"/>
        <v>5</v>
      </c>
      <c r="AE5474" s="580">
        <f t="shared" si="462"/>
        <v>2.5</v>
      </c>
      <c r="AF5474" s="580">
        <f t="shared" si="463"/>
        <v>2.5</v>
      </c>
      <c r="AG5474" s="580">
        <f t="shared" si="464"/>
        <v>0</v>
      </c>
      <c r="AH5474" s="580">
        <f t="shared" si="465"/>
        <v>0</v>
      </c>
    </row>
    <row r="5475" spans="28:34">
      <c r="AB5475" s="580">
        <f>HLOOKUP("*"&amp;'Output annual'!$AC$2&amp;'Output annual'!$AD$2&amp;"*Zone People Number Of Occupants [](Hourly)",'Eplus results'!$1:$1048576,ROW(),FALSE)</f>
        <v>0</v>
      </c>
      <c r="AC5475" s="580">
        <f>HLOOKUP("*"&amp;'Output annual'!$AC$2&amp;'Output annual'!$AD$2&amp;"*FangerPMV(Hourly)",'Eplus results'!$1:$1048576,ROW(),FALSE)</f>
        <v>0</v>
      </c>
      <c r="AD5475" s="580">
        <f t="shared" si="461"/>
        <v>5</v>
      </c>
      <c r="AE5475" s="580">
        <f t="shared" si="462"/>
        <v>2.5</v>
      </c>
      <c r="AF5475" s="580">
        <f t="shared" si="463"/>
        <v>2.5</v>
      </c>
      <c r="AG5475" s="580">
        <f t="shared" si="464"/>
        <v>0</v>
      </c>
      <c r="AH5475" s="580">
        <f t="shared" si="465"/>
        <v>0</v>
      </c>
    </row>
    <row r="5476" spans="28:34">
      <c r="AB5476" s="580">
        <f>HLOOKUP("*"&amp;'Output annual'!$AC$2&amp;'Output annual'!$AD$2&amp;"*Zone People Number Of Occupants [](Hourly)",'Eplus results'!$1:$1048576,ROW(),FALSE)</f>
        <v>0</v>
      </c>
      <c r="AC5476" s="580">
        <f>HLOOKUP("*"&amp;'Output annual'!$AC$2&amp;'Output annual'!$AD$2&amp;"*FangerPMV(Hourly)",'Eplus results'!$1:$1048576,ROW(),FALSE)</f>
        <v>0</v>
      </c>
      <c r="AD5476" s="580">
        <f t="shared" si="461"/>
        <v>5</v>
      </c>
      <c r="AE5476" s="580">
        <f t="shared" si="462"/>
        <v>2.5</v>
      </c>
      <c r="AF5476" s="580">
        <f t="shared" si="463"/>
        <v>2.5</v>
      </c>
      <c r="AG5476" s="580">
        <f t="shared" si="464"/>
        <v>0</v>
      </c>
      <c r="AH5476" s="580">
        <f t="shared" si="465"/>
        <v>0</v>
      </c>
    </row>
    <row r="5477" spans="28:34">
      <c r="AB5477" s="580">
        <f>HLOOKUP("*"&amp;'Output annual'!$AC$2&amp;'Output annual'!$AD$2&amp;"*Zone People Number Of Occupants [](Hourly)",'Eplus results'!$1:$1048576,ROW(),FALSE)</f>
        <v>0</v>
      </c>
      <c r="AC5477" s="580">
        <f>HLOOKUP("*"&amp;'Output annual'!$AC$2&amp;'Output annual'!$AD$2&amp;"*FangerPMV(Hourly)",'Eplus results'!$1:$1048576,ROW(),FALSE)</f>
        <v>0</v>
      </c>
      <c r="AD5477" s="580">
        <f t="shared" si="461"/>
        <v>5</v>
      </c>
      <c r="AE5477" s="580">
        <f t="shared" si="462"/>
        <v>2.5</v>
      </c>
      <c r="AF5477" s="580">
        <f t="shared" si="463"/>
        <v>2.5</v>
      </c>
      <c r="AG5477" s="580">
        <f t="shared" si="464"/>
        <v>0</v>
      </c>
      <c r="AH5477" s="580">
        <f t="shared" si="465"/>
        <v>0</v>
      </c>
    </row>
    <row r="5478" spans="28:34">
      <c r="AB5478" s="580">
        <f>HLOOKUP("*"&amp;'Output annual'!$AC$2&amp;'Output annual'!$AD$2&amp;"*Zone People Number Of Occupants [](Hourly)",'Eplus results'!$1:$1048576,ROW(),FALSE)</f>
        <v>0</v>
      </c>
      <c r="AC5478" s="580">
        <f>HLOOKUP("*"&amp;'Output annual'!$AC$2&amp;'Output annual'!$AD$2&amp;"*FangerPMV(Hourly)",'Eplus results'!$1:$1048576,ROW(),FALSE)</f>
        <v>0</v>
      </c>
      <c r="AD5478" s="580">
        <f t="shared" si="461"/>
        <v>5</v>
      </c>
      <c r="AE5478" s="580">
        <f t="shared" si="462"/>
        <v>2.5</v>
      </c>
      <c r="AF5478" s="580">
        <f t="shared" si="463"/>
        <v>2.5</v>
      </c>
      <c r="AG5478" s="580">
        <f t="shared" si="464"/>
        <v>0</v>
      </c>
      <c r="AH5478" s="580">
        <f t="shared" si="465"/>
        <v>0</v>
      </c>
    </row>
    <row r="5479" spans="28:34">
      <c r="AB5479" s="580">
        <f>HLOOKUP("*"&amp;'Output annual'!$AC$2&amp;'Output annual'!$AD$2&amp;"*Zone People Number Of Occupants [](Hourly)",'Eplus results'!$1:$1048576,ROW(),FALSE)</f>
        <v>0</v>
      </c>
      <c r="AC5479" s="580">
        <f>HLOOKUP("*"&amp;'Output annual'!$AC$2&amp;'Output annual'!$AD$2&amp;"*FangerPMV(Hourly)",'Eplus results'!$1:$1048576,ROW(),FALSE)</f>
        <v>0</v>
      </c>
      <c r="AD5479" s="580">
        <f t="shared" si="461"/>
        <v>5</v>
      </c>
      <c r="AE5479" s="580">
        <f t="shared" si="462"/>
        <v>2.5</v>
      </c>
      <c r="AF5479" s="580">
        <f t="shared" si="463"/>
        <v>2.5</v>
      </c>
      <c r="AG5479" s="580">
        <f t="shared" si="464"/>
        <v>0</v>
      </c>
      <c r="AH5479" s="580">
        <f t="shared" si="465"/>
        <v>0</v>
      </c>
    </row>
    <row r="5480" spans="28:34">
      <c r="AB5480" s="580">
        <f>HLOOKUP("*"&amp;'Output annual'!$AC$2&amp;'Output annual'!$AD$2&amp;"*Zone People Number Of Occupants [](Hourly)",'Eplus results'!$1:$1048576,ROW(),FALSE)</f>
        <v>0</v>
      </c>
      <c r="AC5480" s="580">
        <f>HLOOKUP("*"&amp;'Output annual'!$AC$2&amp;'Output annual'!$AD$2&amp;"*FangerPMV(Hourly)",'Eplus results'!$1:$1048576,ROW(),FALSE)</f>
        <v>0</v>
      </c>
      <c r="AD5480" s="580">
        <f t="shared" si="461"/>
        <v>5</v>
      </c>
      <c r="AE5480" s="580">
        <f t="shared" si="462"/>
        <v>2.5</v>
      </c>
      <c r="AF5480" s="580">
        <f t="shared" si="463"/>
        <v>2.5</v>
      </c>
      <c r="AG5480" s="580">
        <f t="shared" si="464"/>
        <v>0</v>
      </c>
      <c r="AH5480" s="580">
        <f t="shared" si="465"/>
        <v>0</v>
      </c>
    </row>
    <row r="5481" spans="28:34">
      <c r="AB5481" s="580">
        <f>HLOOKUP("*"&amp;'Output annual'!$AC$2&amp;'Output annual'!$AD$2&amp;"*Zone People Number Of Occupants [](Hourly)",'Eplus results'!$1:$1048576,ROW(),FALSE)</f>
        <v>0</v>
      </c>
      <c r="AC5481" s="580">
        <f>HLOOKUP("*"&amp;'Output annual'!$AC$2&amp;'Output annual'!$AD$2&amp;"*FangerPMV(Hourly)",'Eplus results'!$1:$1048576,ROW(),FALSE)</f>
        <v>0</v>
      </c>
      <c r="AD5481" s="580">
        <f t="shared" si="461"/>
        <v>5</v>
      </c>
      <c r="AE5481" s="580">
        <f t="shared" si="462"/>
        <v>2.5</v>
      </c>
      <c r="AF5481" s="580">
        <f t="shared" si="463"/>
        <v>2.5</v>
      </c>
      <c r="AG5481" s="580">
        <f t="shared" si="464"/>
        <v>0</v>
      </c>
      <c r="AH5481" s="580">
        <f t="shared" si="465"/>
        <v>0</v>
      </c>
    </row>
    <row r="5482" spans="28:34">
      <c r="AB5482" s="580">
        <f>HLOOKUP("*"&amp;'Output annual'!$AC$2&amp;'Output annual'!$AD$2&amp;"*Zone People Number Of Occupants [](Hourly)",'Eplus results'!$1:$1048576,ROW(),FALSE)</f>
        <v>0</v>
      </c>
      <c r="AC5482" s="580">
        <f>HLOOKUP("*"&amp;'Output annual'!$AC$2&amp;'Output annual'!$AD$2&amp;"*FangerPMV(Hourly)",'Eplus results'!$1:$1048576,ROW(),FALSE)</f>
        <v>0</v>
      </c>
      <c r="AD5482" s="580">
        <f t="shared" si="461"/>
        <v>5</v>
      </c>
      <c r="AE5482" s="580">
        <f t="shared" si="462"/>
        <v>2.5</v>
      </c>
      <c r="AF5482" s="580">
        <f t="shared" si="463"/>
        <v>2.5</v>
      </c>
      <c r="AG5482" s="580">
        <f t="shared" si="464"/>
        <v>0</v>
      </c>
      <c r="AH5482" s="580">
        <f t="shared" si="465"/>
        <v>0</v>
      </c>
    </row>
    <row r="5483" spans="28:34">
      <c r="AB5483" s="580">
        <f>HLOOKUP("*"&amp;'Output annual'!$AC$2&amp;'Output annual'!$AD$2&amp;"*Zone People Number Of Occupants [](Hourly)",'Eplus results'!$1:$1048576,ROW(),FALSE)</f>
        <v>0</v>
      </c>
      <c r="AC5483" s="580">
        <f>HLOOKUP("*"&amp;'Output annual'!$AC$2&amp;'Output annual'!$AD$2&amp;"*FangerPMV(Hourly)",'Eplus results'!$1:$1048576,ROW(),FALSE)</f>
        <v>0</v>
      </c>
      <c r="AD5483" s="580">
        <f t="shared" si="461"/>
        <v>5</v>
      </c>
      <c r="AE5483" s="580">
        <f t="shared" si="462"/>
        <v>2.5</v>
      </c>
      <c r="AF5483" s="580">
        <f t="shared" si="463"/>
        <v>2.5</v>
      </c>
      <c r="AG5483" s="580">
        <f t="shared" si="464"/>
        <v>0</v>
      </c>
      <c r="AH5483" s="580">
        <f t="shared" si="465"/>
        <v>0</v>
      </c>
    </row>
    <row r="5484" spans="28:34">
      <c r="AB5484" s="580">
        <f>HLOOKUP("*"&amp;'Output annual'!$AC$2&amp;'Output annual'!$AD$2&amp;"*Zone People Number Of Occupants [](Hourly)",'Eplus results'!$1:$1048576,ROW(),FALSE)</f>
        <v>0</v>
      </c>
      <c r="AC5484" s="580">
        <f>HLOOKUP("*"&amp;'Output annual'!$AC$2&amp;'Output annual'!$AD$2&amp;"*FangerPMV(Hourly)",'Eplus results'!$1:$1048576,ROW(),FALSE)</f>
        <v>0</v>
      </c>
      <c r="AD5484" s="580">
        <f t="shared" si="461"/>
        <v>5</v>
      </c>
      <c r="AE5484" s="580">
        <f t="shared" si="462"/>
        <v>2.5</v>
      </c>
      <c r="AF5484" s="580">
        <f t="shared" si="463"/>
        <v>2.5</v>
      </c>
      <c r="AG5484" s="580">
        <f t="shared" si="464"/>
        <v>0</v>
      </c>
      <c r="AH5484" s="580">
        <f t="shared" si="465"/>
        <v>0</v>
      </c>
    </row>
    <row r="5485" spans="28:34">
      <c r="AB5485" s="580">
        <f>HLOOKUP("*"&amp;'Output annual'!$AC$2&amp;'Output annual'!$AD$2&amp;"*Zone People Number Of Occupants [](Hourly)",'Eplus results'!$1:$1048576,ROW(),FALSE)</f>
        <v>0</v>
      </c>
      <c r="AC5485" s="580">
        <f>HLOOKUP("*"&amp;'Output annual'!$AC$2&amp;'Output annual'!$AD$2&amp;"*FangerPMV(Hourly)",'Eplus results'!$1:$1048576,ROW(),FALSE)</f>
        <v>0</v>
      </c>
      <c r="AD5485" s="580">
        <f t="shared" si="461"/>
        <v>5</v>
      </c>
      <c r="AE5485" s="580">
        <f t="shared" si="462"/>
        <v>2.5</v>
      </c>
      <c r="AF5485" s="580">
        <f t="shared" si="463"/>
        <v>2.5</v>
      </c>
      <c r="AG5485" s="580">
        <f t="shared" si="464"/>
        <v>0</v>
      </c>
      <c r="AH5485" s="580">
        <f t="shared" si="465"/>
        <v>0</v>
      </c>
    </row>
    <row r="5486" spans="28:34">
      <c r="AB5486" s="580">
        <f>HLOOKUP("*"&amp;'Output annual'!$AC$2&amp;'Output annual'!$AD$2&amp;"*Zone People Number Of Occupants [](Hourly)",'Eplus results'!$1:$1048576,ROW(),FALSE)</f>
        <v>0</v>
      </c>
      <c r="AC5486" s="580">
        <f>HLOOKUP("*"&amp;'Output annual'!$AC$2&amp;'Output annual'!$AD$2&amp;"*FangerPMV(Hourly)",'Eplus results'!$1:$1048576,ROW(),FALSE)</f>
        <v>0</v>
      </c>
      <c r="AD5486" s="580">
        <f t="shared" si="461"/>
        <v>5</v>
      </c>
      <c r="AE5486" s="580">
        <f t="shared" si="462"/>
        <v>2.5</v>
      </c>
      <c r="AF5486" s="580">
        <f t="shared" si="463"/>
        <v>2.5</v>
      </c>
      <c r="AG5486" s="580">
        <f t="shared" si="464"/>
        <v>0</v>
      </c>
      <c r="AH5486" s="580">
        <f t="shared" si="465"/>
        <v>0</v>
      </c>
    </row>
    <row r="5487" spans="28:34">
      <c r="AB5487" s="580">
        <f>HLOOKUP("*"&amp;'Output annual'!$AC$2&amp;'Output annual'!$AD$2&amp;"*Zone People Number Of Occupants [](Hourly)",'Eplus results'!$1:$1048576,ROW(),FALSE)</f>
        <v>0</v>
      </c>
      <c r="AC5487" s="580">
        <f>HLOOKUP("*"&amp;'Output annual'!$AC$2&amp;'Output annual'!$AD$2&amp;"*FangerPMV(Hourly)",'Eplus results'!$1:$1048576,ROW(),FALSE)</f>
        <v>0</v>
      </c>
      <c r="AD5487" s="580">
        <f t="shared" si="461"/>
        <v>5</v>
      </c>
      <c r="AE5487" s="580">
        <f t="shared" si="462"/>
        <v>2.5</v>
      </c>
      <c r="AF5487" s="580">
        <f t="shared" si="463"/>
        <v>2.5</v>
      </c>
      <c r="AG5487" s="580">
        <f t="shared" si="464"/>
        <v>0</v>
      </c>
      <c r="AH5487" s="580">
        <f t="shared" si="465"/>
        <v>0</v>
      </c>
    </row>
    <row r="5488" spans="28:34">
      <c r="AB5488" s="580">
        <f>HLOOKUP("*"&amp;'Output annual'!$AC$2&amp;'Output annual'!$AD$2&amp;"*Zone People Number Of Occupants [](Hourly)",'Eplus results'!$1:$1048576,ROW(),FALSE)</f>
        <v>0</v>
      </c>
      <c r="AC5488" s="580">
        <f>HLOOKUP("*"&amp;'Output annual'!$AC$2&amp;'Output annual'!$AD$2&amp;"*FangerPMV(Hourly)",'Eplus results'!$1:$1048576,ROW(),FALSE)</f>
        <v>0</v>
      </c>
      <c r="AD5488" s="580">
        <f t="shared" si="461"/>
        <v>5</v>
      </c>
      <c r="AE5488" s="580">
        <f t="shared" si="462"/>
        <v>2.5</v>
      </c>
      <c r="AF5488" s="580">
        <f t="shared" si="463"/>
        <v>2.5</v>
      </c>
      <c r="AG5488" s="580">
        <f t="shared" si="464"/>
        <v>0</v>
      </c>
      <c r="AH5488" s="580">
        <f t="shared" si="465"/>
        <v>0</v>
      </c>
    </row>
    <row r="5489" spans="28:34">
      <c r="AB5489" s="580">
        <f>HLOOKUP("*"&amp;'Output annual'!$AC$2&amp;'Output annual'!$AD$2&amp;"*Zone People Number Of Occupants [](Hourly)",'Eplus results'!$1:$1048576,ROW(),FALSE)</f>
        <v>0</v>
      </c>
      <c r="AC5489" s="580">
        <f>HLOOKUP("*"&amp;'Output annual'!$AC$2&amp;'Output annual'!$AD$2&amp;"*FangerPMV(Hourly)",'Eplus results'!$1:$1048576,ROW(),FALSE)</f>
        <v>0</v>
      </c>
      <c r="AD5489" s="580">
        <f t="shared" si="461"/>
        <v>5</v>
      </c>
      <c r="AE5489" s="580">
        <f t="shared" si="462"/>
        <v>2.5</v>
      </c>
      <c r="AF5489" s="580">
        <f t="shared" si="463"/>
        <v>2.5</v>
      </c>
      <c r="AG5489" s="580">
        <f t="shared" si="464"/>
        <v>0</v>
      </c>
      <c r="AH5489" s="580">
        <f t="shared" si="465"/>
        <v>0</v>
      </c>
    </row>
    <row r="5490" spans="28:34">
      <c r="AB5490" s="580">
        <f>HLOOKUP("*"&amp;'Output annual'!$AC$2&amp;'Output annual'!$AD$2&amp;"*Zone People Number Of Occupants [](Hourly)",'Eplus results'!$1:$1048576,ROW(),FALSE)</f>
        <v>0</v>
      </c>
      <c r="AC5490" s="580">
        <f>HLOOKUP("*"&amp;'Output annual'!$AC$2&amp;'Output annual'!$AD$2&amp;"*FangerPMV(Hourly)",'Eplus results'!$1:$1048576,ROW(),FALSE)</f>
        <v>0</v>
      </c>
      <c r="AD5490" s="580">
        <f t="shared" si="461"/>
        <v>5</v>
      </c>
      <c r="AE5490" s="580">
        <f t="shared" si="462"/>
        <v>2.5</v>
      </c>
      <c r="AF5490" s="580">
        <f t="shared" si="463"/>
        <v>2.5</v>
      </c>
      <c r="AG5490" s="580">
        <f t="shared" si="464"/>
        <v>0</v>
      </c>
      <c r="AH5490" s="580">
        <f t="shared" si="465"/>
        <v>0</v>
      </c>
    </row>
    <row r="5491" spans="28:34">
      <c r="AB5491" s="580">
        <f>HLOOKUP("*"&amp;'Output annual'!$AC$2&amp;'Output annual'!$AD$2&amp;"*Zone People Number Of Occupants [](Hourly)",'Eplus results'!$1:$1048576,ROW(),FALSE)</f>
        <v>0</v>
      </c>
      <c r="AC5491" s="580">
        <f>HLOOKUP("*"&amp;'Output annual'!$AC$2&amp;'Output annual'!$AD$2&amp;"*FangerPMV(Hourly)",'Eplus results'!$1:$1048576,ROW(),FALSE)</f>
        <v>0</v>
      </c>
      <c r="AD5491" s="580">
        <f t="shared" si="461"/>
        <v>5</v>
      </c>
      <c r="AE5491" s="580">
        <f t="shared" si="462"/>
        <v>2.5</v>
      </c>
      <c r="AF5491" s="580">
        <f t="shared" si="463"/>
        <v>2.5</v>
      </c>
      <c r="AG5491" s="580">
        <f t="shared" si="464"/>
        <v>0</v>
      </c>
      <c r="AH5491" s="580">
        <f t="shared" si="465"/>
        <v>0</v>
      </c>
    </row>
    <row r="5492" spans="28:34">
      <c r="AB5492" s="580">
        <f>HLOOKUP("*"&amp;'Output annual'!$AC$2&amp;'Output annual'!$AD$2&amp;"*Zone People Number Of Occupants [](Hourly)",'Eplus results'!$1:$1048576,ROW(),FALSE)</f>
        <v>0</v>
      </c>
      <c r="AC5492" s="580">
        <f>HLOOKUP("*"&amp;'Output annual'!$AC$2&amp;'Output annual'!$AD$2&amp;"*FangerPMV(Hourly)",'Eplus results'!$1:$1048576,ROW(),FALSE)</f>
        <v>0</v>
      </c>
      <c r="AD5492" s="580">
        <f t="shared" si="461"/>
        <v>5</v>
      </c>
      <c r="AE5492" s="580">
        <f t="shared" si="462"/>
        <v>2.5</v>
      </c>
      <c r="AF5492" s="580">
        <f t="shared" si="463"/>
        <v>2.5</v>
      </c>
      <c r="AG5492" s="580">
        <f t="shared" si="464"/>
        <v>0</v>
      </c>
      <c r="AH5492" s="580">
        <f t="shared" si="465"/>
        <v>0</v>
      </c>
    </row>
    <row r="5493" spans="28:34">
      <c r="AB5493" s="580">
        <f>HLOOKUP("*"&amp;'Output annual'!$AC$2&amp;'Output annual'!$AD$2&amp;"*Zone People Number Of Occupants [](Hourly)",'Eplus results'!$1:$1048576,ROW(),FALSE)</f>
        <v>0</v>
      </c>
      <c r="AC5493" s="580">
        <f>HLOOKUP("*"&amp;'Output annual'!$AC$2&amp;'Output annual'!$AD$2&amp;"*FangerPMV(Hourly)",'Eplus results'!$1:$1048576,ROW(),FALSE)</f>
        <v>0</v>
      </c>
      <c r="AD5493" s="580">
        <f t="shared" si="461"/>
        <v>5</v>
      </c>
      <c r="AE5493" s="580">
        <f t="shared" si="462"/>
        <v>2.5</v>
      </c>
      <c r="AF5493" s="580">
        <f t="shared" si="463"/>
        <v>2.5</v>
      </c>
      <c r="AG5493" s="580">
        <f t="shared" si="464"/>
        <v>0</v>
      </c>
      <c r="AH5493" s="580">
        <f t="shared" si="465"/>
        <v>0</v>
      </c>
    </row>
    <row r="5494" spans="28:34">
      <c r="AB5494" s="580">
        <f>HLOOKUP("*"&amp;'Output annual'!$AC$2&amp;'Output annual'!$AD$2&amp;"*Zone People Number Of Occupants [](Hourly)",'Eplus results'!$1:$1048576,ROW(),FALSE)</f>
        <v>0</v>
      </c>
      <c r="AC5494" s="580">
        <f>HLOOKUP("*"&amp;'Output annual'!$AC$2&amp;'Output annual'!$AD$2&amp;"*FangerPMV(Hourly)",'Eplus results'!$1:$1048576,ROW(),FALSE)</f>
        <v>0</v>
      </c>
      <c r="AD5494" s="580">
        <f t="shared" si="461"/>
        <v>5</v>
      </c>
      <c r="AE5494" s="580">
        <f t="shared" si="462"/>
        <v>2.5</v>
      </c>
      <c r="AF5494" s="580">
        <f t="shared" si="463"/>
        <v>2.5</v>
      </c>
      <c r="AG5494" s="580">
        <f t="shared" si="464"/>
        <v>0</v>
      </c>
      <c r="AH5494" s="580">
        <f t="shared" si="465"/>
        <v>0</v>
      </c>
    </row>
    <row r="5495" spans="28:34">
      <c r="AB5495" s="580">
        <f>HLOOKUP("*"&amp;'Output annual'!$AC$2&amp;'Output annual'!$AD$2&amp;"*Zone People Number Of Occupants [](Hourly)",'Eplus results'!$1:$1048576,ROW(),FALSE)</f>
        <v>0</v>
      </c>
      <c r="AC5495" s="580">
        <f>HLOOKUP("*"&amp;'Output annual'!$AC$2&amp;'Output annual'!$AD$2&amp;"*FangerPMV(Hourly)",'Eplus results'!$1:$1048576,ROW(),FALSE)</f>
        <v>0</v>
      </c>
      <c r="AD5495" s="580">
        <f t="shared" si="461"/>
        <v>5</v>
      </c>
      <c r="AE5495" s="580">
        <f t="shared" si="462"/>
        <v>2.5</v>
      </c>
      <c r="AF5495" s="580">
        <f t="shared" si="463"/>
        <v>2.5</v>
      </c>
      <c r="AG5495" s="580">
        <f t="shared" si="464"/>
        <v>0</v>
      </c>
      <c r="AH5495" s="580">
        <f t="shared" si="465"/>
        <v>0</v>
      </c>
    </row>
    <row r="5496" spans="28:34">
      <c r="AB5496" s="580">
        <f>HLOOKUP("*"&amp;'Output annual'!$AC$2&amp;'Output annual'!$AD$2&amp;"*Zone People Number Of Occupants [](Hourly)",'Eplus results'!$1:$1048576,ROW(),FALSE)</f>
        <v>0</v>
      </c>
      <c r="AC5496" s="580">
        <f>HLOOKUP("*"&amp;'Output annual'!$AC$2&amp;'Output annual'!$AD$2&amp;"*FangerPMV(Hourly)",'Eplus results'!$1:$1048576,ROW(),FALSE)</f>
        <v>0</v>
      </c>
      <c r="AD5496" s="580">
        <f t="shared" si="461"/>
        <v>5</v>
      </c>
      <c r="AE5496" s="580">
        <f t="shared" si="462"/>
        <v>2.5</v>
      </c>
      <c r="AF5496" s="580">
        <f t="shared" si="463"/>
        <v>2.5</v>
      </c>
      <c r="AG5496" s="580">
        <f t="shared" si="464"/>
        <v>0</v>
      </c>
      <c r="AH5496" s="580">
        <f t="shared" si="465"/>
        <v>0</v>
      </c>
    </row>
    <row r="5497" spans="28:34">
      <c r="AB5497" s="580">
        <f>HLOOKUP("*"&amp;'Output annual'!$AC$2&amp;'Output annual'!$AD$2&amp;"*Zone People Number Of Occupants [](Hourly)",'Eplus results'!$1:$1048576,ROW(),FALSE)</f>
        <v>0</v>
      </c>
      <c r="AC5497" s="580">
        <f>HLOOKUP("*"&amp;'Output annual'!$AC$2&amp;'Output annual'!$AD$2&amp;"*FangerPMV(Hourly)",'Eplus results'!$1:$1048576,ROW(),FALSE)</f>
        <v>0</v>
      </c>
      <c r="AD5497" s="580">
        <f t="shared" si="461"/>
        <v>5</v>
      </c>
      <c r="AE5497" s="580">
        <f t="shared" si="462"/>
        <v>2.5</v>
      </c>
      <c r="AF5497" s="580">
        <f t="shared" si="463"/>
        <v>2.5</v>
      </c>
      <c r="AG5497" s="580">
        <f t="shared" si="464"/>
        <v>0</v>
      </c>
      <c r="AH5497" s="580">
        <f t="shared" si="465"/>
        <v>0</v>
      </c>
    </row>
    <row r="5498" spans="28:34">
      <c r="AB5498" s="580">
        <f>HLOOKUP("*"&amp;'Output annual'!$AC$2&amp;'Output annual'!$AD$2&amp;"*Zone People Number Of Occupants [](Hourly)",'Eplus results'!$1:$1048576,ROW(),FALSE)</f>
        <v>0</v>
      </c>
      <c r="AC5498" s="580">
        <f>HLOOKUP("*"&amp;'Output annual'!$AC$2&amp;'Output annual'!$AD$2&amp;"*FangerPMV(Hourly)",'Eplus results'!$1:$1048576,ROW(),FALSE)</f>
        <v>0</v>
      </c>
      <c r="AD5498" s="580">
        <f t="shared" si="461"/>
        <v>5</v>
      </c>
      <c r="AE5498" s="580">
        <f t="shared" si="462"/>
        <v>2.5</v>
      </c>
      <c r="AF5498" s="580">
        <f t="shared" si="463"/>
        <v>2.5</v>
      </c>
      <c r="AG5498" s="580">
        <f t="shared" si="464"/>
        <v>0</v>
      </c>
      <c r="AH5498" s="580">
        <f t="shared" si="465"/>
        <v>0</v>
      </c>
    </row>
    <row r="5499" spans="28:34">
      <c r="AB5499" s="580">
        <f>HLOOKUP("*"&amp;'Output annual'!$AC$2&amp;'Output annual'!$AD$2&amp;"*Zone People Number Of Occupants [](Hourly)",'Eplus results'!$1:$1048576,ROW(),FALSE)</f>
        <v>0</v>
      </c>
      <c r="AC5499" s="580">
        <f>HLOOKUP("*"&amp;'Output annual'!$AC$2&amp;'Output annual'!$AD$2&amp;"*FangerPMV(Hourly)",'Eplus results'!$1:$1048576,ROW(),FALSE)</f>
        <v>0</v>
      </c>
      <c r="AD5499" s="580">
        <f t="shared" si="461"/>
        <v>5</v>
      </c>
      <c r="AE5499" s="580">
        <f t="shared" si="462"/>
        <v>2.5</v>
      </c>
      <c r="AF5499" s="580">
        <f t="shared" si="463"/>
        <v>2.5</v>
      </c>
      <c r="AG5499" s="580">
        <f t="shared" si="464"/>
        <v>0</v>
      </c>
      <c r="AH5499" s="580">
        <f t="shared" si="465"/>
        <v>0</v>
      </c>
    </row>
    <row r="5500" spans="28:34">
      <c r="AB5500" s="580">
        <f>HLOOKUP("*"&amp;'Output annual'!$AC$2&amp;'Output annual'!$AD$2&amp;"*Zone People Number Of Occupants [](Hourly)",'Eplus results'!$1:$1048576,ROW(),FALSE)</f>
        <v>0</v>
      </c>
      <c r="AC5500" s="580">
        <f>HLOOKUP("*"&amp;'Output annual'!$AC$2&amp;'Output annual'!$AD$2&amp;"*FangerPMV(Hourly)",'Eplus results'!$1:$1048576,ROW(),FALSE)</f>
        <v>0</v>
      </c>
      <c r="AD5500" s="580">
        <f t="shared" si="461"/>
        <v>5</v>
      </c>
      <c r="AE5500" s="580">
        <f t="shared" si="462"/>
        <v>2.5</v>
      </c>
      <c r="AF5500" s="580">
        <f t="shared" si="463"/>
        <v>2.5</v>
      </c>
      <c r="AG5500" s="580">
        <f t="shared" si="464"/>
        <v>0</v>
      </c>
      <c r="AH5500" s="580">
        <f t="shared" si="465"/>
        <v>0</v>
      </c>
    </row>
    <row r="5501" spans="28:34">
      <c r="AB5501" s="580">
        <f>HLOOKUP("*"&amp;'Output annual'!$AC$2&amp;'Output annual'!$AD$2&amp;"*Zone People Number Of Occupants [](Hourly)",'Eplus results'!$1:$1048576,ROW(),FALSE)</f>
        <v>0</v>
      </c>
      <c r="AC5501" s="580">
        <f>HLOOKUP("*"&amp;'Output annual'!$AC$2&amp;'Output annual'!$AD$2&amp;"*FangerPMV(Hourly)",'Eplus results'!$1:$1048576,ROW(),FALSE)</f>
        <v>0</v>
      </c>
      <c r="AD5501" s="580">
        <f t="shared" si="461"/>
        <v>5</v>
      </c>
      <c r="AE5501" s="580">
        <f t="shared" si="462"/>
        <v>2.5</v>
      </c>
      <c r="AF5501" s="580">
        <f t="shared" si="463"/>
        <v>2.5</v>
      </c>
      <c r="AG5501" s="580">
        <f t="shared" si="464"/>
        <v>0</v>
      </c>
      <c r="AH5501" s="580">
        <f t="shared" si="465"/>
        <v>0</v>
      </c>
    </row>
    <row r="5502" spans="28:34">
      <c r="AB5502" s="580">
        <f>HLOOKUP("*"&amp;'Output annual'!$AC$2&amp;'Output annual'!$AD$2&amp;"*Zone People Number Of Occupants [](Hourly)",'Eplus results'!$1:$1048576,ROW(),FALSE)</f>
        <v>0</v>
      </c>
      <c r="AC5502" s="580">
        <f>HLOOKUP("*"&amp;'Output annual'!$AC$2&amp;'Output annual'!$AD$2&amp;"*FangerPMV(Hourly)",'Eplus results'!$1:$1048576,ROW(),FALSE)</f>
        <v>0</v>
      </c>
      <c r="AD5502" s="580">
        <f t="shared" si="461"/>
        <v>5</v>
      </c>
      <c r="AE5502" s="580">
        <f t="shared" si="462"/>
        <v>2.5</v>
      </c>
      <c r="AF5502" s="580">
        <f t="shared" si="463"/>
        <v>2.5</v>
      </c>
      <c r="AG5502" s="580">
        <f t="shared" si="464"/>
        <v>0</v>
      </c>
      <c r="AH5502" s="580">
        <f t="shared" si="465"/>
        <v>0</v>
      </c>
    </row>
    <row r="5503" spans="28:34">
      <c r="AB5503" s="580">
        <f>HLOOKUP("*"&amp;'Output annual'!$AC$2&amp;'Output annual'!$AD$2&amp;"*Zone People Number Of Occupants [](Hourly)",'Eplus results'!$1:$1048576,ROW(),FALSE)</f>
        <v>0</v>
      </c>
      <c r="AC5503" s="580">
        <f>HLOOKUP("*"&amp;'Output annual'!$AC$2&amp;'Output annual'!$AD$2&amp;"*FangerPMV(Hourly)",'Eplus results'!$1:$1048576,ROW(),FALSE)</f>
        <v>0</v>
      </c>
      <c r="AD5503" s="580">
        <f t="shared" si="461"/>
        <v>5</v>
      </c>
      <c r="AE5503" s="580">
        <f t="shared" si="462"/>
        <v>2.5</v>
      </c>
      <c r="AF5503" s="580">
        <f t="shared" si="463"/>
        <v>2.5</v>
      </c>
      <c r="AG5503" s="580">
        <f t="shared" si="464"/>
        <v>0</v>
      </c>
      <c r="AH5503" s="580">
        <f t="shared" si="465"/>
        <v>0</v>
      </c>
    </row>
    <row r="5504" spans="28:34">
      <c r="AB5504" s="580">
        <f>HLOOKUP("*"&amp;'Output annual'!$AC$2&amp;'Output annual'!$AD$2&amp;"*Zone People Number Of Occupants [](Hourly)",'Eplus results'!$1:$1048576,ROW(),FALSE)</f>
        <v>0</v>
      </c>
      <c r="AC5504" s="580">
        <f>HLOOKUP("*"&amp;'Output annual'!$AC$2&amp;'Output annual'!$AD$2&amp;"*FangerPMV(Hourly)",'Eplus results'!$1:$1048576,ROW(),FALSE)</f>
        <v>0</v>
      </c>
      <c r="AD5504" s="580">
        <f t="shared" si="461"/>
        <v>5</v>
      </c>
      <c r="AE5504" s="580">
        <f t="shared" si="462"/>
        <v>2.5</v>
      </c>
      <c r="AF5504" s="580">
        <f t="shared" si="463"/>
        <v>2.5</v>
      </c>
      <c r="AG5504" s="580">
        <f t="shared" si="464"/>
        <v>0</v>
      </c>
      <c r="AH5504" s="580">
        <f t="shared" si="465"/>
        <v>0</v>
      </c>
    </row>
    <row r="5505" spans="28:34">
      <c r="AB5505" s="580">
        <f>HLOOKUP("*"&amp;'Output annual'!$AC$2&amp;'Output annual'!$AD$2&amp;"*Zone People Number Of Occupants [](Hourly)",'Eplus results'!$1:$1048576,ROW(),FALSE)</f>
        <v>0</v>
      </c>
      <c r="AC5505" s="580">
        <f>HLOOKUP("*"&amp;'Output annual'!$AC$2&amp;'Output annual'!$AD$2&amp;"*FangerPMV(Hourly)",'Eplus results'!$1:$1048576,ROW(),FALSE)</f>
        <v>0</v>
      </c>
      <c r="AD5505" s="580">
        <f t="shared" si="461"/>
        <v>5</v>
      </c>
      <c r="AE5505" s="580">
        <f t="shared" si="462"/>
        <v>2.5</v>
      </c>
      <c r="AF5505" s="580">
        <f t="shared" si="463"/>
        <v>2.5</v>
      </c>
      <c r="AG5505" s="580">
        <f t="shared" si="464"/>
        <v>0</v>
      </c>
      <c r="AH5505" s="580">
        <f t="shared" si="465"/>
        <v>0</v>
      </c>
    </row>
    <row r="5506" spans="28:34">
      <c r="AB5506" s="580">
        <f>HLOOKUP("*"&amp;'Output annual'!$AC$2&amp;'Output annual'!$AD$2&amp;"*Zone People Number Of Occupants [](Hourly)",'Eplus results'!$1:$1048576,ROW(),FALSE)</f>
        <v>0</v>
      </c>
      <c r="AC5506" s="580">
        <f>HLOOKUP("*"&amp;'Output annual'!$AC$2&amp;'Output annual'!$AD$2&amp;"*FangerPMV(Hourly)",'Eplus results'!$1:$1048576,ROW(),FALSE)</f>
        <v>0</v>
      </c>
      <c r="AD5506" s="580">
        <f t="shared" si="461"/>
        <v>5</v>
      </c>
      <c r="AE5506" s="580">
        <f t="shared" si="462"/>
        <v>2.5</v>
      </c>
      <c r="AF5506" s="580">
        <f t="shared" si="463"/>
        <v>2.5</v>
      </c>
      <c r="AG5506" s="580">
        <f t="shared" si="464"/>
        <v>0</v>
      </c>
      <c r="AH5506" s="580">
        <f t="shared" si="465"/>
        <v>0</v>
      </c>
    </row>
    <row r="5507" spans="28:34">
      <c r="AB5507" s="580">
        <f>HLOOKUP("*"&amp;'Output annual'!$AC$2&amp;'Output annual'!$AD$2&amp;"*Zone People Number Of Occupants [](Hourly)",'Eplus results'!$1:$1048576,ROW(),FALSE)</f>
        <v>0</v>
      </c>
      <c r="AC5507" s="580">
        <f>HLOOKUP("*"&amp;'Output annual'!$AC$2&amp;'Output annual'!$AD$2&amp;"*FangerPMV(Hourly)",'Eplus results'!$1:$1048576,ROW(),FALSE)</f>
        <v>0</v>
      </c>
      <c r="AD5507" s="580">
        <f t="shared" ref="AD5507:AD5570" si="466">100-95*EXP(-0.03353*AC5507^4-0.2179*AC5507^2)</f>
        <v>5</v>
      </c>
      <c r="AE5507" s="580">
        <f t="shared" ref="AE5507:AE5570" si="467">AD5507*(1/(1+EXP(-6.3*$AC5507)))</f>
        <v>2.5</v>
      </c>
      <c r="AF5507" s="580">
        <f t="shared" ref="AF5507:AF5570" si="468">(AD5507-AE5507)</f>
        <v>2.5</v>
      </c>
      <c r="AG5507" s="580">
        <f t="shared" ref="AG5507:AG5570" si="469">AE5507*AB5507</f>
        <v>0</v>
      </c>
      <c r="AH5507" s="580">
        <f t="shared" ref="AH5507:AH5570" si="470">AF5507*AB5507</f>
        <v>0</v>
      </c>
    </row>
    <row r="5508" spans="28:34">
      <c r="AB5508" s="580">
        <f>HLOOKUP("*"&amp;'Output annual'!$AC$2&amp;'Output annual'!$AD$2&amp;"*Zone People Number Of Occupants [](Hourly)",'Eplus results'!$1:$1048576,ROW(),FALSE)</f>
        <v>0</v>
      </c>
      <c r="AC5508" s="580">
        <f>HLOOKUP("*"&amp;'Output annual'!$AC$2&amp;'Output annual'!$AD$2&amp;"*FangerPMV(Hourly)",'Eplus results'!$1:$1048576,ROW(),FALSE)</f>
        <v>0</v>
      </c>
      <c r="AD5508" s="580">
        <f t="shared" si="466"/>
        <v>5</v>
      </c>
      <c r="AE5508" s="580">
        <f t="shared" si="467"/>
        <v>2.5</v>
      </c>
      <c r="AF5508" s="580">
        <f t="shared" si="468"/>
        <v>2.5</v>
      </c>
      <c r="AG5508" s="580">
        <f t="shared" si="469"/>
        <v>0</v>
      </c>
      <c r="AH5508" s="580">
        <f t="shared" si="470"/>
        <v>0</v>
      </c>
    </row>
    <row r="5509" spans="28:34">
      <c r="AB5509" s="580">
        <f>HLOOKUP("*"&amp;'Output annual'!$AC$2&amp;'Output annual'!$AD$2&amp;"*Zone People Number Of Occupants [](Hourly)",'Eplus results'!$1:$1048576,ROW(),FALSE)</f>
        <v>0</v>
      </c>
      <c r="AC5509" s="580">
        <f>HLOOKUP("*"&amp;'Output annual'!$AC$2&amp;'Output annual'!$AD$2&amp;"*FangerPMV(Hourly)",'Eplus results'!$1:$1048576,ROW(),FALSE)</f>
        <v>0</v>
      </c>
      <c r="AD5509" s="580">
        <f t="shared" si="466"/>
        <v>5</v>
      </c>
      <c r="AE5509" s="580">
        <f t="shared" si="467"/>
        <v>2.5</v>
      </c>
      <c r="AF5509" s="580">
        <f t="shared" si="468"/>
        <v>2.5</v>
      </c>
      <c r="AG5509" s="580">
        <f t="shared" si="469"/>
        <v>0</v>
      </c>
      <c r="AH5509" s="580">
        <f t="shared" si="470"/>
        <v>0</v>
      </c>
    </row>
    <row r="5510" spans="28:34">
      <c r="AB5510" s="580">
        <f>HLOOKUP("*"&amp;'Output annual'!$AC$2&amp;'Output annual'!$AD$2&amp;"*Zone People Number Of Occupants [](Hourly)",'Eplus results'!$1:$1048576,ROW(),FALSE)</f>
        <v>0</v>
      </c>
      <c r="AC5510" s="580">
        <f>HLOOKUP("*"&amp;'Output annual'!$AC$2&amp;'Output annual'!$AD$2&amp;"*FangerPMV(Hourly)",'Eplus results'!$1:$1048576,ROW(),FALSE)</f>
        <v>0</v>
      </c>
      <c r="AD5510" s="580">
        <f t="shared" si="466"/>
        <v>5</v>
      </c>
      <c r="AE5510" s="580">
        <f t="shared" si="467"/>
        <v>2.5</v>
      </c>
      <c r="AF5510" s="580">
        <f t="shared" si="468"/>
        <v>2.5</v>
      </c>
      <c r="AG5510" s="580">
        <f t="shared" si="469"/>
        <v>0</v>
      </c>
      <c r="AH5510" s="580">
        <f t="shared" si="470"/>
        <v>0</v>
      </c>
    </row>
    <row r="5511" spans="28:34">
      <c r="AB5511" s="580">
        <f>HLOOKUP("*"&amp;'Output annual'!$AC$2&amp;'Output annual'!$AD$2&amp;"*Zone People Number Of Occupants [](Hourly)",'Eplus results'!$1:$1048576,ROW(),FALSE)</f>
        <v>0</v>
      </c>
      <c r="AC5511" s="580">
        <f>HLOOKUP("*"&amp;'Output annual'!$AC$2&amp;'Output annual'!$AD$2&amp;"*FangerPMV(Hourly)",'Eplus results'!$1:$1048576,ROW(),FALSE)</f>
        <v>0</v>
      </c>
      <c r="AD5511" s="580">
        <f t="shared" si="466"/>
        <v>5</v>
      </c>
      <c r="AE5511" s="580">
        <f t="shared" si="467"/>
        <v>2.5</v>
      </c>
      <c r="AF5511" s="580">
        <f t="shared" si="468"/>
        <v>2.5</v>
      </c>
      <c r="AG5511" s="580">
        <f t="shared" si="469"/>
        <v>0</v>
      </c>
      <c r="AH5511" s="580">
        <f t="shared" si="470"/>
        <v>0</v>
      </c>
    </row>
    <row r="5512" spans="28:34">
      <c r="AB5512" s="580">
        <f>HLOOKUP("*"&amp;'Output annual'!$AC$2&amp;'Output annual'!$AD$2&amp;"*Zone People Number Of Occupants [](Hourly)",'Eplus results'!$1:$1048576,ROW(),FALSE)</f>
        <v>0</v>
      </c>
      <c r="AC5512" s="580">
        <f>HLOOKUP("*"&amp;'Output annual'!$AC$2&amp;'Output annual'!$AD$2&amp;"*FangerPMV(Hourly)",'Eplus results'!$1:$1048576,ROW(),FALSE)</f>
        <v>0</v>
      </c>
      <c r="AD5512" s="580">
        <f t="shared" si="466"/>
        <v>5</v>
      </c>
      <c r="AE5512" s="580">
        <f t="shared" si="467"/>
        <v>2.5</v>
      </c>
      <c r="AF5512" s="580">
        <f t="shared" si="468"/>
        <v>2.5</v>
      </c>
      <c r="AG5512" s="580">
        <f t="shared" si="469"/>
        <v>0</v>
      </c>
      <c r="AH5512" s="580">
        <f t="shared" si="470"/>
        <v>0</v>
      </c>
    </row>
    <row r="5513" spans="28:34">
      <c r="AB5513" s="580">
        <f>HLOOKUP("*"&amp;'Output annual'!$AC$2&amp;'Output annual'!$AD$2&amp;"*Zone People Number Of Occupants [](Hourly)",'Eplus results'!$1:$1048576,ROW(),FALSE)</f>
        <v>0</v>
      </c>
      <c r="AC5513" s="580">
        <f>HLOOKUP("*"&amp;'Output annual'!$AC$2&amp;'Output annual'!$AD$2&amp;"*FangerPMV(Hourly)",'Eplus results'!$1:$1048576,ROW(),FALSE)</f>
        <v>0</v>
      </c>
      <c r="AD5513" s="580">
        <f t="shared" si="466"/>
        <v>5</v>
      </c>
      <c r="AE5513" s="580">
        <f t="shared" si="467"/>
        <v>2.5</v>
      </c>
      <c r="AF5513" s="580">
        <f t="shared" si="468"/>
        <v>2.5</v>
      </c>
      <c r="AG5513" s="580">
        <f t="shared" si="469"/>
        <v>0</v>
      </c>
      <c r="AH5513" s="580">
        <f t="shared" si="470"/>
        <v>0</v>
      </c>
    </row>
    <row r="5514" spans="28:34">
      <c r="AB5514" s="580">
        <f>HLOOKUP("*"&amp;'Output annual'!$AC$2&amp;'Output annual'!$AD$2&amp;"*Zone People Number Of Occupants [](Hourly)",'Eplus results'!$1:$1048576,ROW(),FALSE)</f>
        <v>0</v>
      </c>
      <c r="AC5514" s="580">
        <f>HLOOKUP("*"&amp;'Output annual'!$AC$2&amp;'Output annual'!$AD$2&amp;"*FangerPMV(Hourly)",'Eplus results'!$1:$1048576,ROW(),FALSE)</f>
        <v>0</v>
      </c>
      <c r="AD5514" s="580">
        <f t="shared" si="466"/>
        <v>5</v>
      </c>
      <c r="AE5514" s="580">
        <f t="shared" si="467"/>
        <v>2.5</v>
      </c>
      <c r="AF5514" s="580">
        <f t="shared" si="468"/>
        <v>2.5</v>
      </c>
      <c r="AG5514" s="580">
        <f t="shared" si="469"/>
        <v>0</v>
      </c>
      <c r="AH5514" s="580">
        <f t="shared" si="470"/>
        <v>0</v>
      </c>
    </row>
    <row r="5515" spans="28:34">
      <c r="AB5515" s="580">
        <f>HLOOKUP("*"&amp;'Output annual'!$AC$2&amp;'Output annual'!$AD$2&amp;"*Zone People Number Of Occupants [](Hourly)",'Eplus results'!$1:$1048576,ROW(),FALSE)</f>
        <v>0</v>
      </c>
      <c r="AC5515" s="580">
        <f>HLOOKUP("*"&amp;'Output annual'!$AC$2&amp;'Output annual'!$AD$2&amp;"*FangerPMV(Hourly)",'Eplus results'!$1:$1048576,ROW(),FALSE)</f>
        <v>0</v>
      </c>
      <c r="AD5515" s="580">
        <f t="shared" si="466"/>
        <v>5</v>
      </c>
      <c r="AE5515" s="580">
        <f t="shared" si="467"/>
        <v>2.5</v>
      </c>
      <c r="AF5515" s="580">
        <f t="shared" si="468"/>
        <v>2.5</v>
      </c>
      <c r="AG5515" s="580">
        <f t="shared" si="469"/>
        <v>0</v>
      </c>
      <c r="AH5515" s="580">
        <f t="shared" si="470"/>
        <v>0</v>
      </c>
    </row>
    <row r="5516" spans="28:34">
      <c r="AB5516" s="580">
        <f>HLOOKUP("*"&amp;'Output annual'!$AC$2&amp;'Output annual'!$AD$2&amp;"*Zone People Number Of Occupants [](Hourly)",'Eplus results'!$1:$1048576,ROW(),FALSE)</f>
        <v>0</v>
      </c>
      <c r="AC5516" s="580">
        <f>HLOOKUP("*"&amp;'Output annual'!$AC$2&amp;'Output annual'!$AD$2&amp;"*FangerPMV(Hourly)",'Eplus results'!$1:$1048576,ROW(),FALSE)</f>
        <v>0</v>
      </c>
      <c r="AD5516" s="580">
        <f t="shared" si="466"/>
        <v>5</v>
      </c>
      <c r="AE5516" s="580">
        <f t="shared" si="467"/>
        <v>2.5</v>
      </c>
      <c r="AF5516" s="580">
        <f t="shared" si="468"/>
        <v>2.5</v>
      </c>
      <c r="AG5516" s="580">
        <f t="shared" si="469"/>
        <v>0</v>
      </c>
      <c r="AH5516" s="580">
        <f t="shared" si="470"/>
        <v>0</v>
      </c>
    </row>
    <row r="5517" spans="28:34">
      <c r="AB5517" s="580">
        <f>HLOOKUP("*"&amp;'Output annual'!$AC$2&amp;'Output annual'!$AD$2&amp;"*Zone People Number Of Occupants [](Hourly)",'Eplus results'!$1:$1048576,ROW(),FALSE)</f>
        <v>0</v>
      </c>
      <c r="AC5517" s="580">
        <f>HLOOKUP("*"&amp;'Output annual'!$AC$2&amp;'Output annual'!$AD$2&amp;"*FangerPMV(Hourly)",'Eplus results'!$1:$1048576,ROW(),FALSE)</f>
        <v>0</v>
      </c>
      <c r="AD5517" s="580">
        <f t="shared" si="466"/>
        <v>5</v>
      </c>
      <c r="AE5517" s="580">
        <f t="shared" si="467"/>
        <v>2.5</v>
      </c>
      <c r="AF5517" s="580">
        <f t="shared" si="468"/>
        <v>2.5</v>
      </c>
      <c r="AG5517" s="580">
        <f t="shared" si="469"/>
        <v>0</v>
      </c>
      <c r="AH5517" s="580">
        <f t="shared" si="470"/>
        <v>0</v>
      </c>
    </row>
    <row r="5518" spans="28:34">
      <c r="AB5518" s="580">
        <f>HLOOKUP("*"&amp;'Output annual'!$AC$2&amp;'Output annual'!$AD$2&amp;"*Zone People Number Of Occupants [](Hourly)",'Eplus results'!$1:$1048576,ROW(),FALSE)</f>
        <v>0</v>
      </c>
      <c r="AC5518" s="580">
        <f>HLOOKUP("*"&amp;'Output annual'!$AC$2&amp;'Output annual'!$AD$2&amp;"*FangerPMV(Hourly)",'Eplus results'!$1:$1048576,ROW(),FALSE)</f>
        <v>0</v>
      </c>
      <c r="AD5518" s="580">
        <f t="shared" si="466"/>
        <v>5</v>
      </c>
      <c r="AE5518" s="580">
        <f t="shared" si="467"/>
        <v>2.5</v>
      </c>
      <c r="AF5518" s="580">
        <f t="shared" si="468"/>
        <v>2.5</v>
      </c>
      <c r="AG5518" s="580">
        <f t="shared" si="469"/>
        <v>0</v>
      </c>
      <c r="AH5518" s="580">
        <f t="shared" si="470"/>
        <v>0</v>
      </c>
    </row>
    <row r="5519" spans="28:34">
      <c r="AB5519" s="580">
        <f>HLOOKUP("*"&amp;'Output annual'!$AC$2&amp;'Output annual'!$AD$2&amp;"*Zone People Number Of Occupants [](Hourly)",'Eplus results'!$1:$1048576,ROW(),FALSE)</f>
        <v>0</v>
      </c>
      <c r="AC5519" s="580">
        <f>HLOOKUP("*"&amp;'Output annual'!$AC$2&amp;'Output annual'!$AD$2&amp;"*FangerPMV(Hourly)",'Eplus results'!$1:$1048576,ROW(),FALSE)</f>
        <v>0</v>
      </c>
      <c r="AD5519" s="580">
        <f t="shared" si="466"/>
        <v>5</v>
      </c>
      <c r="AE5519" s="580">
        <f t="shared" si="467"/>
        <v>2.5</v>
      </c>
      <c r="AF5519" s="580">
        <f t="shared" si="468"/>
        <v>2.5</v>
      </c>
      <c r="AG5519" s="580">
        <f t="shared" si="469"/>
        <v>0</v>
      </c>
      <c r="AH5519" s="580">
        <f t="shared" si="470"/>
        <v>0</v>
      </c>
    </row>
    <row r="5520" spans="28:34">
      <c r="AB5520" s="580">
        <f>HLOOKUP("*"&amp;'Output annual'!$AC$2&amp;'Output annual'!$AD$2&amp;"*Zone People Number Of Occupants [](Hourly)",'Eplus results'!$1:$1048576,ROW(),FALSE)</f>
        <v>0</v>
      </c>
      <c r="AC5520" s="580">
        <f>HLOOKUP("*"&amp;'Output annual'!$AC$2&amp;'Output annual'!$AD$2&amp;"*FangerPMV(Hourly)",'Eplus results'!$1:$1048576,ROW(),FALSE)</f>
        <v>0</v>
      </c>
      <c r="AD5520" s="580">
        <f t="shared" si="466"/>
        <v>5</v>
      </c>
      <c r="AE5520" s="580">
        <f t="shared" si="467"/>
        <v>2.5</v>
      </c>
      <c r="AF5520" s="580">
        <f t="shared" si="468"/>
        <v>2.5</v>
      </c>
      <c r="AG5520" s="580">
        <f t="shared" si="469"/>
        <v>0</v>
      </c>
      <c r="AH5520" s="580">
        <f t="shared" si="470"/>
        <v>0</v>
      </c>
    </row>
    <row r="5521" spans="28:34">
      <c r="AB5521" s="580">
        <f>HLOOKUP("*"&amp;'Output annual'!$AC$2&amp;'Output annual'!$AD$2&amp;"*Zone People Number Of Occupants [](Hourly)",'Eplus results'!$1:$1048576,ROW(),FALSE)</f>
        <v>0</v>
      </c>
      <c r="AC5521" s="580">
        <f>HLOOKUP("*"&amp;'Output annual'!$AC$2&amp;'Output annual'!$AD$2&amp;"*FangerPMV(Hourly)",'Eplus results'!$1:$1048576,ROW(),FALSE)</f>
        <v>0</v>
      </c>
      <c r="AD5521" s="580">
        <f t="shared" si="466"/>
        <v>5</v>
      </c>
      <c r="AE5521" s="580">
        <f t="shared" si="467"/>
        <v>2.5</v>
      </c>
      <c r="AF5521" s="580">
        <f t="shared" si="468"/>
        <v>2.5</v>
      </c>
      <c r="AG5521" s="580">
        <f t="shared" si="469"/>
        <v>0</v>
      </c>
      <c r="AH5521" s="580">
        <f t="shared" si="470"/>
        <v>0</v>
      </c>
    </row>
    <row r="5522" spans="28:34">
      <c r="AB5522" s="580">
        <f>HLOOKUP("*"&amp;'Output annual'!$AC$2&amp;'Output annual'!$AD$2&amp;"*Zone People Number Of Occupants [](Hourly)",'Eplus results'!$1:$1048576,ROW(),FALSE)</f>
        <v>0</v>
      </c>
      <c r="AC5522" s="580">
        <f>HLOOKUP("*"&amp;'Output annual'!$AC$2&amp;'Output annual'!$AD$2&amp;"*FangerPMV(Hourly)",'Eplus results'!$1:$1048576,ROW(),FALSE)</f>
        <v>0</v>
      </c>
      <c r="AD5522" s="580">
        <f t="shared" si="466"/>
        <v>5</v>
      </c>
      <c r="AE5522" s="580">
        <f t="shared" si="467"/>
        <v>2.5</v>
      </c>
      <c r="AF5522" s="580">
        <f t="shared" si="468"/>
        <v>2.5</v>
      </c>
      <c r="AG5522" s="580">
        <f t="shared" si="469"/>
        <v>0</v>
      </c>
      <c r="AH5522" s="580">
        <f t="shared" si="470"/>
        <v>0</v>
      </c>
    </row>
    <row r="5523" spans="28:34">
      <c r="AB5523" s="580">
        <f>HLOOKUP("*"&amp;'Output annual'!$AC$2&amp;'Output annual'!$AD$2&amp;"*Zone People Number Of Occupants [](Hourly)",'Eplus results'!$1:$1048576,ROW(),FALSE)</f>
        <v>0</v>
      </c>
      <c r="AC5523" s="580">
        <f>HLOOKUP("*"&amp;'Output annual'!$AC$2&amp;'Output annual'!$AD$2&amp;"*FangerPMV(Hourly)",'Eplus results'!$1:$1048576,ROW(),FALSE)</f>
        <v>0</v>
      </c>
      <c r="AD5523" s="580">
        <f t="shared" si="466"/>
        <v>5</v>
      </c>
      <c r="AE5523" s="580">
        <f t="shared" si="467"/>
        <v>2.5</v>
      </c>
      <c r="AF5523" s="580">
        <f t="shared" si="468"/>
        <v>2.5</v>
      </c>
      <c r="AG5523" s="580">
        <f t="shared" si="469"/>
        <v>0</v>
      </c>
      <c r="AH5523" s="580">
        <f t="shared" si="470"/>
        <v>0</v>
      </c>
    </row>
    <row r="5524" spans="28:34">
      <c r="AB5524" s="580">
        <f>HLOOKUP("*"&amp;'Output annual'!$AC$2&amp;'Output annual'!$AD$2&amp;"*Zone People Number Of Occupants [](Hourly)",'Eplus results'!$1:$1048576,ROW(),FALSE)</f>
        <v>0</v>
      </c>
      <c r="AC5524" s="580">
        <f>HLOOKUP("*"&amp;'Output annual'!$AC$2&amp;'Output annual'!$AD$2&amp;"*FangerPMV(Hourly)",'Eplus results'!$1:$1048576,ROW(),FALSE)</f>
        <v>0</v>
      </c>
      <c r="AD5524" s="580">
        <f t="shared" si="466"/>
        <v>5</v>
      </c>
      <c r="AE5524" s="580">
        <f t="shared" si="467"/>
        <v>2.5</v>
      </c>
      <c r="AF5524" s="580">
        <f t="shared" si="468"/>
        <v>2.5</v>
      </c>
      <c r="AG5524" s="580">
        <f t="shared" si="469"/>
        <v>0</v>
      </c>
      <c r="AH5524" s="580">
        <f t="shared" si="470"/>
        <v>0</v>
      </c>
    </row>
    <row r="5525" spans="28:34">
      <c r="AB5525" s="580">
        <f>HLOOKUP("*"&amp;'Output annual'!$AC$2&amp;'Output annual'!$AD$2&amp;"*Zone People Number Of Occupants [](Hourly)",'Eplus results'!$1:$1048576,ROW(),FALSE)</f>
        <v>0</v>
      </c>
      <c r="AC5525" s="580">
        <f>HLOOKUP("*"&amp;'Output annual'!$AC$2&amp;'Output annual'!$AD$2&amp;"*FangerPMV(Hourly)",'Eplus results'!$1:$1048576,ROW(),FALSE)</f>
        <v>0</v>
      </c>
      <c r="AD5525" s="580">
        <f t="shared" si="466"/>
        <v>5</v>
      </c>
      <c r="AE5525" s="580">
        <f t="shared" si="467"/>
        <v>2.5</v>
      </c>
      <c r="AF5525" s="580">
        <f t="shared" si="468"/>
        <v>2.5</v>
      </c>
      <c r="AG5525" s="580">
        <f t="shared" si="469"/>
        <v>0</v>
      </c>
      <c r="AH5525" s="580">
        <f t="shared" si="470"/>
        <v>0</v>
      </c>
    </row>
    <row r="5526" spans="28:34">
      <c r="AB5526" s="580">
        <f>HLOOKUP("*"&amp;'Output annual'!$AC$2&amp;'Output annual'!$AD$2&amp;"*Zone People Number Of Occupants [](Hourly)",'Eplus results'!$1:$1048576,ROW(),FALSE)</f>
        <v>0</v>
      </c>
      <c r="AC5526" s="580">
        <f>HLOOKUP("*"&amp;'Output annual'!$AC$2&amp;'Output annual'!$AD$2&amp;"*FangerPMV(Hourly)",'Eplus results'!$1:$1048576,ROW(),FALSE)</f>
        <v>0</v>
      </c>
      <c r="AD5526" s="580">
        <f t="shared" si="466"/>
        <v>5</v>
      </c>
      <c r="AE5526" s="580">
        <f t="shared" si="467"/>
        <v>2.5</v>
      </c>
      <c r="AF5526" s="580">
        <f t="shared" si="468"/>
        <v>2.5</v>
      </c>
      <c r="AG5526" s="580">
        <f t="shared" si="469"/>
        <v>0</v>
      </c>
      <c r="AH5526" s="580">
        <f t="shared" si="470"/>
        <v>0</v>
      </c>
    </row>
    <row r="5527" spans="28:34">
      <c r="AB5527" s="580">
        <f>HLOOKUP("*"&amp;'Output annual'!$AC$2&amp;'Output annual'!$AD$2&amp;"*Zone People Number Of Occupants [](Hourly)",'Eplus results'!$1:$1048576,ROW(),FALSE)</f>
        <v>0</v>
      </c>
      <c r="AC5527" s="580">
        <f>HLOOKUP("*"&amp;'Output annual'!$AC$2&amp;'Output annual'!$AD$2&amp;"*FangerPMV(Hourly)",'Eplus results'!$1:$1048576,ROW(),FALSE)</f>
        <v>0</v>
      </c>
      <c r="AD5527" s="580">
        <f t="shared" si="466"/>
        <v>5</v>
      </c>
      <c r="AE5527" s="580">
        <f t="shared" si="467"/>
        <v>2.5</v>
      </c>
      <c r="AF5527" s="580">
        <f t="shared" si="468"/>
        <v>2.5</v>
      </c>
      <c r="AG5527" s="580">
        <f t="shared" si="469"/>
        <v>0</v>
      </c>
      <c r="AH5527" s="580">
        <f t="shared" si="470"/>
        <v>0</v>
      </c>
    </row>
    <row r="5528" spans="28:34">
      <c r="AB5528" s="580">
        <f>HLOOKUP("*"&amp;'Output annual'!$AC$2&amp;'Output annual'!$AD$2&amp;"*Zone People Number Of Occupants [](Hourly)",'Eplus results'!$1:$1048576,ROW(),FALSE)</f>
        <v>0</v>
      </c>
      <c r="AC5528" s="580">
        <f>HLOOKUP("*"&amp;'Output annual'!$AC$2&amp;'Output annual'!$AD$2&amp;"*FangerPMV(Hourly)",'Eplus results'!$1:$1048576,ROW(),FALSE)</f>
        <v>0</v>
      </c>
      <c r="AD5528" s="580">
        <f t="shared" si="466"/>
        <v>5</v>
      </c>
      <c r="AE5528" s="580">
        <f t="shared" si="467"/>
        <v>2.5</v>
      </c>
      <c r="AF5528" s="580">
        <f t="shared" si="468"/>
        <v>2.5</v>
      </c>
      <c r="AG5528" s="580">
        <f t="shared" si="469"/>
        <v>0</v>
      </c>
      <c r="AH5528" s="580">
        <f t="shared" si="470"/>
        <v>0</v>
      </c>
    </row>
    <row r="5529" spans="28:34">
      <c r="AB5529" s="580">
        <f>HLOOKUP("*"&amp;'Output annual'!$AC$2&amp;'Output annual'!$AD$2&amp;"*Zone People Number Of Occupants [](Hourly)",'Eplus results'!$1:$1048576,ROW(),FALSE)</f>
        <v>0</v>
      </c>
      <c r="AC5529" s="580">
        <f>HLOOKUP("*"&amp;'Output annual'!$AC$2&amp;'Output annual'!$AD$2&amp;"*FangerPMV(Hourly)",'Eplus results'!$1:$1048576,ROW(),FALSE)</f>
        <v>0</v>
      </c>
      <c r="AD5529" s="580">
        <f t="shared" si="466"/>
        <v>5</v>
      </c>
      <c r="AE5529" s="580">
        <f t="shared" si="467"/>
        <v>2.5</v>
      </c>
      <c r="AF5529" s="580">
        <f t="shared" si="468"/>
        <v>2.5</v>
      </c>
      <c r="AG5529" s="580">
        <f t="shared" si="469"/>
        <v>0</v>
      </c>
      <c r="AH5529" s="580">
        <f t="shared" si="470"/>
        <v>0</v>
      </c>
    </row>
    <row r="5530" spans="28:34">
      <c r="AB5530" s="580">
        <f>HLOOKUP("*"&amp;'Output annual'!$AC$2&amp;'Output annual'!$AD$2&amp;"*Zone People Number Of Occupants [](Hourly)",'Eplus results'!$1:$1048576,ROW(),FALSE)</f>
        <v>0</v>
      </c>
      <c r="AC5530" s="580">
        <f>HLOOKUP("*"&amp;'Output annual'!$AC$2&amp;'Output annual'!$AD$2&amp;"*FangerPMV(Hourly)",'Eplus results'!$1:$1048576,ROW(),FALSE)</f>
        <v>0</v>
      </c>
      <c r="AD5530" s="580">
        <f t="shared" si="466"/>
        <v>5</v>
      </c>
      <c r="AE5530" s="580">
        <f t="shared" si="467"/>
        <v>2.5</v>
      </c>
      <c r="AF5530" s="580">
        <f t="shared" si="468"/>
        <v>2.5</v>
      </c>
      <c r="AG5530" s="580">
        <f t="shared" si="469"/>
        <v>0</v>
      </c>
      <c r="AH5530" s="580">
        <f t="shared" si="470"/>
        <v>0</v>
      </c>
    </row>
    <row r="5531" spans="28:34">
      <c r="AB5531" s="580">
        <f>HLOOKUP("*"&amp;'Output annual'!$AC$2&amp;'Output annual'!$AD$2&amp;"*Zone People Number Of Occupants [](Hourly)",'Eplus results'!$1:$1048576,ROW(),FALSE)</f>
        <v>0</v>
      </c>
      <c r="AC5531" s="580">
        <f>HLOOKUP("*"&amp;'Output annual'!$AC$2&amp;'Output annual'!$AD$2&amp;"*FangerPMV(Hourly)",'Eplus results'!$1:$1048576,ROW(),FALSE)</f>
        <v>0</v>
      </c>
      <c r="AD5531" s="580">
        <f t="shared" si="466"/>
        <v>5</v>
      </c>
      <c r="AE5531" s="580">
        <f t="shared" si="467"/>
        <v>2.5</v>
      </c>
      <c r="AF5531" s="580">
        <f t="shared" si="468"/>
        <v>2.5</v>
      </c>
      <c r="AG5531" s="580">
        <f t="shared" si="469"/>
        <v>0</v>
      </c>
      <c r="AH5531" s="580">
        <f t="shared" si="470"/>
        <v>0</v>
      </c>
    </row>
    <row r="5532" spans="28:34">
      <c r="AB5532" s="580">
        <f>HLOOKUP("*"&amp;'Output annual'!$AC$2&amp;'Output annual'!$AD$2&amp;"*Zone People Number Of Occupants [](Hourly)",'Eplus results'!$1:$1048576,ROW(),FALSE)</f>
        <v>0</v>
      </c>
      <c r="AC5532" s="580">
        <f>HLOOKUP("*"&amp;'Output annual'!$AC$2&amp;'Output annual'!$AD$2&amp;"*FangerPMV(Hourly)",'Eplus results'!$1:$1048576,ROW(),FALSE)</f>
        <v>0</v>
      </c>
      <c r="AD5532" s="580">
        <f t="shared" si="466"/>
        <v>5</v>
      </c>
      <c r="AE5532" s="580">
        <f t="shared" si="467"/>
        <v>2.5</v>
      </c>
      <c r="AF5532" s="580">
        <f t="shared" si="468"/>
        <v>2.5</v>
      </c>
      <c r="AG5532" s="580">
        <f t="shared" si="469"/>
        <v>0</v>
      </c>
      <c r="AH5532" s="580">
        <f t="shared" si="470"/>
        <v>0</v>
      </c>
    </row>
    <row r="5533" spans="28:34">
      <c r="AB5533" s="580">
        <f>HLOOKUP("*"&amp;'Output annual'!$AC$2&amp;'Output annual'!$AD$2&amp;"*Zone People Number Of Occupants [](Hourly)",'Eplus results'!$1:$1048576,ROW(),FALSE)</f>
        <v>0</v>
      </c>
      <c r="AC5533" s="580">
        <f>HLOOKUP("*"&amp;'Output annual'!$AC$2&amp;'Output annual'!$AD$2&amp;"*FangerPMV(Hourly)",'Eplus results'!$1:$1048576,ROW(),FALSE)</f>
        <v>0</v>
      </c>
      <c r="AD5533" s="580">
        <f t="shared" si="466"/>
        <v>5</v>
      </c>
      <c r="AE5533" s="580">
        <f t="shared" si="467"/>
        <v>2.5</v>
      </c>
      <c r="AF5533" s="580">
        <f t="shared" si="468"/>
        <v>2.5</v>
      </c>
      <c r="AG5533" s="580">
        <f t="shared" si="469"/>
        <v>0</v>
      </c>
      <c r="AH5533" s="580">
        <f t="shared" si="470"/>
        <v>0</v>
      </c>
    </row>
    <row r="5534" spans="28:34">
      <c r="AB5534" s="580">
        <f>HLOOKUP("*"&amp;'Output annual'!$AC$2&amp;'Output annual'!$AD$2&amp;"*Zone People Number Of Occupants [](Hourly)",'Eplus results'!$1:$1048576,ROW(),FALSE)</f>
        <v>0</v>
      </c>
      <c r="AC5534" s="580">
        <f>HLOOKUP("*"&amp;'Output annual'!$AC$2&amp;'Output annual'!$AD$2&amp;"*FangerPMV(Hourly)",'Eplus results'!$1:$1048576,ROW(),FALSE)</f>
        <v>0</v>
      </c>
      <c r="AD5534" s="580">
        <f t="shared" si="466"/>
        <v>5</v>
      </c>
      <c r="AE5534" s="580">
        <f t="shared" si="467"/>
        <v>2.5</v>
      </c>
      <c r="AF5534" s="580">
        <f t="shared" si="468"/>
        <v>2.5</v>
      </c>
      <c r="AG5534" s="580">
        <f t="shared" si="469"/>
        <v>0</v>
      </c>
      <c r="AH5534" s="580">
        <f t="shared" si="470"/>
        <v>0</v>
      </c>
    </row>
    <row r="5535" spans="28:34">
      <c r="AB5535" s="580">
        <f>HLOOKUP("*"&amp;'Output annual'!$AC$2&amp;'Output annual'!$AD$2&amp;"*Zone People Number Of Occupants [](Hourly)",'Eplus results'!$1:$1048576,ROW(),FALSE)</f>
        <v>0</v>
      </c>
      <c r="AC5535" s="580">
        <f>HLOOKUP("*"&amp;'Output annual'!$AC$2&amp;'Output annual'!$AD$2&amp;"*FangerPMV(Hourly)",'Eplus results'!$1:$1048576,ROW(),FALSE)</f>
        <v>0</v>
      </c>
      <c r="AD5535" s="580">
        <f t="shared" si="466"/>
        <v>5</v>
      </c>
      <c r="AE5535" s="580">
        <f t="shared" si="467"/>
        <v>2.5</v>
      </c>
      <c r="AF5535" s="580">
        <f t="shared" si="468"/>
        <v>2.5</v>
      </c>
      <c r="AG5535" s="580">
        <f t="shared" si="469"/>
        <v>0</v>
      </c>
      <c r="AH5535" s="580">
        <f t="shared" si="470"/>
        <v>0</v>
      </c>
    </row>
    <row r="5536" spans="28:34">
      <c r="AB5536" s="580">
        <f>HLOOKUP("*"&amp;'Output annual'!$AC$2&amp;'Output annual'!$AD$2&amp;"*Zone People Number Of Occupants [](Hourly)",'Eplus results'!$1:$1048576,ROW(),FALSE)</f>
        <v>0</v>
      </c>
      <c r="AC5536" s="580">
        <f>HLOOKUP("*"&amp;'Output annual'!$AC$2&amp;'Output annual'!$AD$2&amp;"*FangerPMV(Hourly)",'Eplus results'!$1:$1048576,ROW(),FALSE)</f>
        <v>0</v>
      </c>
      <c r="AD5536" s="580">
        <f t="shared" si="466"/>
        <v>5</v>
      </c>
      <c r="AE5536" s="580">
        <f t="shared" si="467"/>
        <v>2.5</v>
      </c>
      <c r="AF5536" s="580">
        <f t="shared" si="468"/>
        <v>2.5</v>
      </c>
      <c r="AG5536" s="580">
        <f t="shared" si="469"/>
        <v>0</v>
      </c>
      <c r="AH5536" s="580">
        <f t="shared" si="470"/>
        <v>0</v>
      </c>
    </row>
    <row r="5537" spans="28:34">
      <c r="AB5537" s="580">
        <f>HLOOKUP("*"&amp;'Output annual'!$AC$2&amp;'Output annual'!$AD$2&amp;"*Zone People Number Of Occupants [](Hourly)",'Eplus results'!$1:$1048576,ROW(),FALSE)</f>
        <v>0</v>
      </c>
      <c r="AC5537" s="580">
        <f>HLOOKUP("*"&amp;'Output annual'!$AC$2&amp;'Output annual'!$AD$2&amp;"*FangerPMV(Hourly)",'Eplus results'!$1:$1048576,ROW(),FALSE)</f>
        <v>0</v>
      </c>
      <c r="AD5537" s="580">
        <f t="shared" si="466"/>
        <v>5</v>
      </c>
      <c r="AE5537" s="580">
        <f t="shared" si="467"/>
        <v>2.5</v>
      </c>
      <c r="AF5537" s="580">
        <f t="shared" si="468"/>
        <v>2.5</v>
      </c>
      <c r="AG5537" s="580">
        <f t="shared" si="469"/>
        <v>0</v>
      </c>
      <c r="AH5537" s="580">
        <f t="shared" si="470"/>
        <v>0</v>
      </c>
    </row>
    <row r="5538" spans="28:34">
      <c r="AB5538" s="580">
        <f>HLOOKUP("*"&amp;'Output annual'!$AC$2&amp;'Output annual'!$AD$2&amp;"*Zone People Number Of Occupants [](Hourly)",'Eplus results'!$1:$1048576,ROW(),FALSE)</f>
        <v>0</v>
      </c>
      <c r="AC5538" s="580">
        <f>HLOOKUP("*"&amp;'Output annual'!$AC$2&amp;'Output annual'!$AD$2&amp;"*FangerPMV(Hourly)",'Eplus results'!$1:$1048576,ROW(),FALSE)</f>
        <v>0</v>
      </c>
      <c r="AD5538" s="580">
        <f t="shared" si="466"/>
        <v>5</v>
      </c>
      <c r="AE5538" s="580">
        <f t="shared" si="467"/>
        <v>2.5</v>
      </c>
      <c r="AF5538" s="580">
        <f t="shared" si="468"/>
        <v>2.5</v>
      </c>
      <c r="AG5538" s="580">
        <f t="shared" si="469"/>
        <v>0</v>
      </c>
      <c r="AH5538" s="580">
        <f t="shared" si="470"/>
        <v>0</v>
      </c>
    </row>
    <row r="5539" spans="28:34">
      <c r="AB5539" s="580">
        <f>HLOOKUP("*"&amp;'Output annual'!$AC$2&amp;'Output annual'!$AD$2&amp;"*Zone People Number Of Occupants [](Hourly)",'Eplus results'!$1:$1048576,ROW(),FALSE)</f>
        <v>0</v>
      </c>
      <c r="AC5539" s="580">
        <f>HLOOKUP("*"&amp;'Output annual'!$AC$2&amp;'Output annual'!$AD$2&amp;"*FangerPMV(Hourly)",'Eplus results'!$1:$1048576,ROW(),FALSE)</f>
        <v>0</v>
      </c>
      <c r="AD5539" s="580">
        <f t="shared" si="466"/>
        <v>5</v>
      </c>
      <c r="AE5539" s="580">
        <f t="shared" si="467"/>
        <v>2.5</v>
      </c>
      <c r="AF5539" s="580">
        <f t="shared" si="468"/>
        <v>2.5</v>
      </c>
      <c r="AG5539" s="580">
        <f t="shared" si="469"/>
        <v>0</v>
      </c>
      <c r="AH5539" s="580">
        <f t="shared" si="470"/>
        <v>0</v>
      </c>
    </row>
    <row r="5540" spans="28:34">
      <c r="AB5540" s="580">
        <f>HLOOKUP("*"&amp;'Output annual'!$AC$2&amp;'Output annual'!$AD$2&amp;"*Zone People Number Of Occupants [](Hourly)",'Eplus results'!$1:$1048576,ROW(),FALSE)</f>
        <v>0</v>
      </c>
      <c r="AC5540" s="580">
        <f>HLOOKUP("*"&amp;'Output annual'!$AC$2&amp;'Output annual'!$AD$2&amp;"*FangerPMV(Hourly)",'Eplus results'!$1:$1048576,ROW(),FALSE)</f>
        <v>0</v>
      </c>
      <c r="AD5540" s="580">
        <f t="shared" si="466"/>
        <v>5</v>
      </c>
      <c r="AE5540" s="580">
        <f t="shared" si="467"/>
        <v>2.5</v>
      </c>
      <c r="AF5540" s="580">
        <f t="shared" si="468"/>
        <v>2.5</v>
      </c>
      <c r="AG5540" s="580">
        <f t="shared" si="469"/>
        <v>0</v>
      </c>
      <c r="AH5540" s="580">
        <f t="shared" si="470"/>
        <v>0</v>
      </c>
    </row>
    <row r="5541" spans="28:34">
      <c r="AB5541" s="580">
        <f>HLOOKUP("*"&amp;'Output annual'!$AC$2&amp;'Output annual'!$AD$2&amp;"*Zone People Number Of Occupants [](Hourly)",'Eplus results'!$1:$1048576,ROW(),FALSE)</f>
        <v>0</v>
      </c>
      <c r="AC5541" s="580">
        <f>HLOOKUP("*"&amp;'Output annual'!$AC$2&amp;'Output annual'!$AD$2&amp;"*FangerPMV(Hourly)",'Eplus results'!$1:$1048576,ROW(),FALSE)</f>
        <v>0</v>
      </c>
      <c r="AD5541" s="580">
        <f t="shared" si="466"/>
        <v>5</v>
      </c>
      <c r="AE5541" s="580">
        <f t="shared" si="467"/>
        <v>2.5</v>
      </c>
      <c r="AF5541" s="580">
        <f t="shared" si="468"/>
        <v>2.5</v>
      </c>
      <c r="AG5541" s="580">
        <f t="shared" si="469"/>
        <v>0</v>
      </c>
      <c r="AH5541" s="580">
        <f t="shared" si="470"/>
        <v>0</v>
      </c>
    </row>
    <row r="5542" spans="28:34">
      <c r="AB5542" s="580">
        <f>HLOOKUP("*"&amp;'Output annual'!$AC$2&amp;'Output annual'!$AD$2&amp;"*Zone People Number Of Occupants [](Hourly)",'Eplus results'!$1:$1048576,ROW(),FALSE)</f>
        <v>0</v>
      </c>
      <c r="AC5542" s="580">
        <f>HLOOKUP("*"&amp;'Output annual'!$AC$2&amp;'Output annual'!$AD$2&amp;"*FangerPMV(Hourly)",'Eplus results'!$1:$1048576,ROW(),FALSE)</f>
        <v>0</v>
      </c>
      <c r="AD5542" s="580">
        <f t="shared" si="466"/>
        <v>5</v>
      </c>
      <c r="AE5542" s="580">
        <f t="shared" si="467"/>
        <v>2.5</v>
      </c>
      <c r="AF5542" s="580">
        <f t="shared" si="468"/>
        <v>2.5</v>
      </c>
      <c r="AG5542" s="580">
        <f t="shared" si="469"/>
        <v>0</v>
      </c>
      <c r="AH5542" s="580">
        <f t="shared" si="470"/>
        <v>0</v>
      </c>
    </row>
    <row r="5543" spans="28:34">
      <c r="AB5543" s="580">
        <f>HLOOKUP("*"&amp;'Output annual'!$AC$2&amp;'Output annual'!$AD$2&amp;"*Zone People Number Of Occupants [](Hourly)",'Eplus results'!$1:$1048576,ROW(),FALSE)</f>
        <v>0</v>
      </c>
      <c r="AC5543" s="580">
        <f>HLOOKUP("*"&amp;'Output annual'!$AC$2&amp;'Output annual'!$AD$2&amp;"*FangerPMV(Hourly)",'Eplus results'!$1:$1048576,ROW(),FALSE)</f>
        <v>0</v>
      </c>
      <c r="AD5543" s="580">
        <f t="shared" si="466"/>
        <v>5</v>
      </c>
      <c r="AE5543" s="580">
        <f t="shared" si="467"/>
        <v>2.5</v>
      </c>
      <c r="AF5543" s="580">
        <f t="shared" si="468"/>
        <v>2.5</v>
      </c>
      <c r="AG5543" s="580">
        <f t="shared" si="469"/>
        <v>0</v>
      </c>
      <c r="AH5543" s="580">
        <f t="shared" si="470"/>
        <v>0</v>
      </c>
    </row>
    <row r="5544" spans="28:34">
      <c r="AB5544" s="580">
        <f>HLOOKUP("*"&amp;'Output annual'!$AC$2&amp;'Output annual'!$AD$2&amp;"*Zone People Number Of Occupants [](Hourly)",'Eplus results'!$1:$1048576,ROW(),FALSE)</f>
        <v>0</v>
      </c>
      <c r="AC5544" s="580">
        <f>HLOOKUP("*"&amp;'Output annual'!$AC$2&amp;'Output annual'!$AD$2&amp;"*FangerPMV(Hourly)",'Eplus results'!$1:$1048576,ROW(),FALSE)</f>
        <v>0</v>
      </c>
      <c r="AD5544" s="580">
        <f t="shared" si="466"/>
        <v>5</v>
      </c>
      <c r="AE5544" s="580">
        <f t="shared" si="467"/>
        <v>2.5</v>
      </c>
      <c r="AF5544" s="580">
        <f t="shared" si="468"/>
        <v>2.5</v>
      </c>
      <c r="AG5544" s="580">
        <f t="shared" si="469"/>
        <v>0</v>
      </c>
      <c r="AH5544" s="580">
        <f t="shared" si="470"/>
        <v>0</v>
      </c>
    </row>
    <row r="5545" spans="28:34">
      <c r="AB5545" s="580">
        <f>HLOOKUP("*"&amp;'Output annual'!$AC$2&amp;'Output annual'!$AD$2&amp;"*Zone People Number Of Occupants [](Hourly)",'Eplus results'!$1:$1048576,ROW(),FALSE)</f>
        <v>0</v>
      </c>
      <c r="AC5545" s="580">
        <f>HLOOKUP("*"&amp;'Output annual'!$AC$2&amp;'Output annual'!$AD$2&amp;"*FangerPMV(Hourly)",'Eplus results'!$1:$1048576,ROW(),FALSE)</f>
        <v>0</v>
      </c>
      <c r="AD5545" s="580">
        <f t="shared" si="466"/>
        <v>5</v>
      </c>
      <c r="AE5545" s="580">
        <f t="shared" si="467"/>
        <v>2.5</v>
      </c>
      <c r="AF5545" s="580">
        <f t="shared" si="468"/>
        <v>2.5</v>
      </c>
      <c r="AG5545" s="580">
        <f t="shared" si="469"/>
        <v>0</v>
      </c>
      <c r="AH5545" s="580">
        <f t="shared" si="470"/>
        <v>0</v>
      </c>
    </row>
    <row r="5546" spans="28:34">
      <c r="AB5546" s="580">
        <f>HLOOKUP("*"&amp;'Output annual'!$AC$2&amp;'Output annual'!$AD$2&amp;"*Zone People Number Of Occupants [](Hourly)",'Eplus results'!$1:$1048576,ROW(),FALSE)</f>
        <v>0</v>
      </c>
      <c r="AC5546" s="580">
        <f>HLOOKUP("*"&amp;'Output annual'!$AC$2&amp;'Output annual'!$AD$2&amp;"*FangerPMV(Hourly)",'Eplus results'!$1:$1048576,ROW(),FALSE)</f>
        <v>0</v>
      </c>
      <c r="AD5546" s="580">
        <f t="shared" si="466"/>
        <v>5</v>
      </c>
      <c r="AE5546" s="580">
        <f t="shared" si="467"/>
        <v>2.5</v>
      </c>
      <c r="AF5546" s="580">
        <f t="shared" si="468"/>
        <v>2.5</v>
      </c>
      <c r="AG5546" s="580">
        <f t="shared" si="469"/>
        <v>0</v>
      </c>
      <c r="AH5546" s="580">
        <f t="shared" si="470"/>
        <v>0</v>
      </c>
    </row>
    <row r="5547" spans="28:34">
      <c r="AB5547" s="580">
        <f>HLOOKUP("*"&amp;'Output annual'!$AC$2&amp;'Output annual'!$AD$2&amp;"*Zone People Number Of Occupants [](Hourly)",'Eplus results'!$1:$1048576,ROW(),FALSE)</f>
        <v>0</v>
      </c>
      <c r="AC5547" s="580">
        <f>HLOOKUP("*"&amp;'Output annual'!$AC$2&amp;'Output annual'!$AD$2&amp;"*FangerPMV(Hourly)",'Eplus results'!$1:$1048576,ROW(),FALSE)</f>
        <v>0</v>
      </c>
      <c r="AD5547" s="580">
        <f t="shared" si="466"/>
        <v>5</v>
      </c>
      <c r="AE5547" s="580">
        <f t="shared" si="467"/>
        <v>2.5</v>
      </c>
      <c r="AF5547" s="580">
        <f t="shared" si="468"/>
        <v>2.5</v>
      </c>
      <c r="AG5547" s="580">
        <f t="shared" si="469"/>
        <v>0</v>
      </c>
      <c r="AH5547" s="580">
        <f t="shared" si="470"/>
        <v>0</v>
      </c>
    </row>
    <row r="5548" spans="28:34">
      <c r="AB5548" s="580">
        <f>HLOOKUP("*"&amp;'Output annual'!$AC$2&amp;'Output annual'!$AD$2&amp;"*Zone People Number Of Occupants [](Hourly)",'Eplus results'!$1:$1048576,ROW(),FALSE)</f>
        <v>0</v>
      </c>
      <c r="AC5548" s="580">
        <f>HLOOKUP("*"&amp;'Output annual'!$AC$2&amp;'Output annual'!$AD$2&amp;"*FangerPMV(Hourly)",'Eplus results'!$1:$1048576,ROW(),FALSE)</f>
        <v>0</v>
      </c>
      <c r="AD5548" s="580">
        <f t="shared" si="466"/>
        <v>5</v>
      </c>
      <c r="AE5548" s="580">
        <f t="shared" si="467"/>
        <v>2.5</v>
      </c>
      <c r="AF5548" s="580">
        <f t="shared" si="468"/>
        <v>2.5</v>
      </c>
      <c r="AG5548" s="580">
        <f t="shared" si="469"/>
        <v>0</v>
      </c>
      <c r="AH5548" s="580">
        <f t="shared" si="470"/>
        <v>0</v>
      </c>
    </row>
    <row r="5549" spans="28:34">
      <c r="AB5549" s="580">
        <f>HLOOKUP("*"&amp;'Output annual'!$AC$2&amp;'Output annual'!$AD$2&amp;"*Zone People Number Of Occupants [](Hourly)",'Eplus results'!$1:$1048576,ROW(),FALSE)</f>
        <v>0</v>
      </c>
      <c r="AC5549" s="580">
        <f>HLOOKUP("*"&amp;'Output annual'!$AC$2&amp;'Output annual'!$AD$2&amp;"*FangerPMV(Hourly)",'Eplus results'!$1:$1048576,ROW(),FALSE)</f>
        <v>0</v>
      </c>
      <c r="AD5549" s="580">
        <f t="shared" si="466"/>
        <v>5</v>
      </c>
      <c r="AE5549" s="580">
        <f t="shared" si="467"/>
        <v>2.5</v>
      </c>
      <c r="AF5549" s="580">
        <f t="shared" si="468"/>
        <v>2.5</v>
      </c>
      <c r="AG5549" s="580">
        <f t="shared" si="469"/>
        <v>0</v>
      </c>
      <c r="AH5549" s="580">
        <f t="shared" si="470"/>
        <v>0</v>
      </c>
    </row>
    <row r="5550" spans="28:34">
      <c r="AB5550" s="580">
        <f>HLOOKUP("*"&amp;'Output annual'!$AC$2&amp;'Output annual'!$AD$2&amp;"*Zone People Number Of Occupants [](Hourly)",'Eplus results'!$1:$1048576,ROW(),FALSE)</f>
        <v>0</v>
      </c>
      <c r="AC5550" s="580">
        <f>HLOOKUP("*"&amp;'Output annual'!$AC$2&amp;'Output annual'!$AD$2&amp;"*FangerPMV(Hourly)",'Eplus results'!$1:$1048576,ROW(),FALSE)</f>
        <v>0</v>
      </c>
      <c r="AD5550" s="580">
        <f t="shared" si="466"/>
        <v>5</v>
      </c>
      <c r="AE5550" s="580">
        <f t="shared" si="467"/>
        <v>2.5</v>
      </c>
      <c r="AF5550" s="580">
        <f t="shared" si="468"/>
        <v>2.5</v>
      </c>
      <c r="AG5550" s="580">
        <f t="shared" si="469"/>
        <v>0</v>
      </c>
      <c r="AH5550" s="580">
        <f t="shared" si="470"/>
        <v>0</v>
      </c>
    </row>
    <row r="5551" spans="28:34">
      <c r="AB5551" s="580">
        <f>HLOOKUP("*"&amp;'Output annual'!$AC$2&amp;'Output annual'!$AD$2&amp;"*Zone People Number Of Occupants [](Hourly)",'Eplus results'!$1:$1048576,ROW(),FALSE)</f>
        <v>0</v>
      </c>
      <c r="AC5551" s="580">
        <f>HLOOKUP("*"&amp;'Output annual'!$AC$2&amp;'Output annual'!$AD$2&amp;"*FangerPMV(Hourly)",'Eplus results'!$1:$1048576,ROW(),FALSE)</f>
        <v>0</v>
      </c>
      <c r="AD5551" s="580">
        <f t="shared" si="466"/>
        <v>5</v>
      </c>
      <c r="AE5551" s="580">
        <f t="shared" si="467"/>
        <v>2.5</v>
      </c>
      <c r="AF5551" s="580">
        <f t="shared" si="468"/>
        <v>2.5</v>
      </c>
      <c r="AG5551" s="580">
        <f t="shared" si="469"/>
        <v>0</v>
      </c>
      <c r="AH5551" s="580">
        <f t="shared" si="470"/>
        <v>0</v>
      </c>
    </row>
    <row r="5552" spans="28:34">
      <c r="AB5552" s="580">
        <f>HLOOKUP("*"&amp;'Output annual'!$AC$2&amp;'Output annual'!$AD$2&amp;"*Zone People Number Of Occupants [](Hourly)",'Eplus results'!$1:$1048576,ROW(),FALSE)</f>
        <v>0</v>
      </c>
      <c r="AC5552" s="580">
        <f>HLOOKUP("*"&amp;'Output annual'!$AC$2&amp;'Output annual'!$AD$2&amp;"*FangerPMV(Hourly)",'Eplus results'!$1:$1048576,ROW(),FALSE)</f>
        <v>0</v>
      </c>
      <c r="AD5552" s="580">
        <f t="shared" si="466"/>
        <v>5</v>
      </c>
      <c r="AE5552" s="580">
        <f t="shared" si="467"/>
        <v>2.5</v>
      </c>
      <c r="AF5552" s="580">
        <f t="shared" si="468"/>
        <v>2.5</v>
      </c>
      <c r="AG5552" s="580">
        <f t="shared" si="469"/>
        <v>0</v>
      </c>
      <c r="AH5552" s="580">
        <f t="shared" si="470"/>
        <v>0</v>
      </c>
    </row>
    <row r="5553" spans="28:34">
      <c r="AB5553" s="580">
        <f>HLOOKUP("*"&amp;'Output annual'!$AC$2&amp;'Output annual'!$AD$2&amp;"*Zone People Number Of Occupants [](Hourly)",'Eplus results'!$1:$1048576,ROW(),FALSE)</f>
        <v>0</v>
      </c>
      <c r="AC5553" s="580">
        <f>HLOOKUP("*"&amp;'Output annual'!$AC$2&amp;'Output annual'!$AD$2&amp;"*FangerPMV(Hourly)",'Eplus results'!$1:$1048576,ROW(),FALSE)</f>
        <v>0</v>
      </c>
      <c r="AD5553" s="580">
        <f t="shared" si="466"/>
        <v>5</v>
      </c>
      <c r="AE5553" s="580">
        <f t="shared" si="467"/>
        <v>2.5</v>
      </c>
      <c r="AF5553" s="580">
        <f t="shared" si="468"/>
        <v>2.5</v>
      </c>
      <c r="AG5553" s="580">
        <f t="shared" si="469"/>
        <v>0</v>
      </c>
      <c r="AH5553" s="580">
        <f t="shared" si="470"/>
        <v>0</v>
      </c>
    </row>
    <row r="5554" spans="28:34">
      <c r="AB5554" s="580">
        <f>HLOOKUP("*"&amp;'Output annual'!$AC$2&amp;'Output annual'!$AD$2&amp;"*Zone People Number Of Occupants [](Hourly)",'Eplus results'!$1:$1048576,ROW(),FALSE)</f>
        <v>0</v>
      </c>
      <c r="AC5554" s="580">
        <f>HLOOKUP("*"&amp;'Output annual'!$AC$2&amp;'Output annual'!$AD$2&amp;"*FangerPMV(Hourly)",'Eplus results'!$1:$1048576,ROW(),FALSE)</f>
        <v>0</v>
      </c>
      <c r="AD5554" s="580">
        <f t="shared" si="466"/>
        <v>5</v>
      </c>
      <c r="AE5554" s="580">
        <f t="shared" si="467"/>
        <v>2.5</v>
      </c>
      <c r="AF5554" s="580">
        <f t="shared" si="468"/>
        <v>2.5</v>
      </c>
      <c r="AG5554" s="580">
        <f t="shared" si="469"/>
        <v>0</v>
      </c>
      <c r="AH5554" s="580">
        <f t="shared" si="470"/>
        <v>0</v>
      </c>
    </row>
    <row r="5555" spans="28:34">
      <c r="AB5555" s="580">
        <f>HLOOKUP("*"&amp;'Output annual'!$AC$2&amp;'Output annual'!$AD$2&amp;"*Zone People Number Of Occupants [](Hourly)",'Eplus results'!$1:$1048576,ROW(),FALSE)</f>
        <v>0</v>
      </c>
      <c r="AC5555" s="580">
        <f>HLOOKUP("*"&amp;'Output annual'!$AC$2&amp;'Output annual'!$AD$2&amp;"*FangerPMV(Hourly)",'Eplus results'!$1:$1048576,ROW(),FALSE)</f>
        <v>0</v>
      </c>
      <c r="AD5555" s="580">
        <f t="shared" si="466"/>
        <v>5</v>
      </c>
      <c r="AE5555" s="580">
        <f t="shared" si="467"/>
        <v>2.5</v>
      </c>
      <c r="AF5555" s="580">
        <f t="shared" si="468"/>
        <v>2.5</v>
      </c>
      <c r="AG5555" s="580">
        <f t="shared" si="469"/>
        <v>0</v>
      </c>
      <c r="AH5555" s="580">
        <f t="shared" si="470"/>
        <v>0</v>
      </c>
    </row>
    <row r="5556" spans="28:34">
      <c r="AB5556" s="580">
        <f>HLOOKUP("*"&amp;'Output annual'!$AC$2&amp;'Output annual'!$AD$2&amp;"*Zone People Number Of Occupants [](Hourly)",'Eplus results'!$1:$1048576,ROW(),FALSE)</f>
        <v>0</v>
      </c>
      <c r="AC5556" s="580">
        <f>HLOOKUP("*"&amp;'Output annual'!$AC$2&amp;'Output annual'!$AD$2&amp;"*FangerPMV(Hourly)",'Eplus results'!$1:$1048576,ROW(),FALSE)</f>
        <v>0</v>
      </c>
      <c r="AD5556" s="580">
        <f t="shared" si="466"/>
        <v>5</v>
      </c>
      <c r="AE5556" s="580">
        <f t="shared" si="467"/>
        <v>2.5</v>
      </c>
      <c r="AF5556" s="580">
        <f t="shared" si="468"/>
        <v>2.5</v>
      </c>
      <c r="AG5556" s="580">
        <f t="shared" si="469"/>
        <v>0</v>
      </c>
      <c r="AH5556" s="580">
        <f t="shared" si="470"/>
        <v>0</v>
      </c>
    </row>
    <row r="5557" spans="28:34">
      <c r="AB5557" s="580">
        <f>HLOOKUP("*"&amp;'Output annual'!$AC$2&amp;'Output annual'!$AD$2&amp;"*Zone People Number Of Occupants [](Hourly)",'Eplus results'!$1:$1048576,ROW(),FALSE)</f>
        <v>0</v>
      </c>
      <c r="AC5557" s="580">
        <f>HLOOKUP("*"&amp;'Output annual'!$AC$2&amp;'Output annual'!$AD$2&amp;"*FangerPMV(Hourly)",'Eplus results'!$1:$1048576,ROW(),FALSE)</f>
        <v>0</v>
      </c>
      <c r="AD5557" s="580">
        <f t="shared" si="466"/>
        <v>5</v>
      </c>
      <c r="AE5557" s="580">
        <f t="shared" si="467"/>
        <v>2.5</v>
      </c>
      <c r="AF5557" s="580">
        <f t="shared" si="468"/>
        <v>2.5</v>
      </c>
      <c r="AG5557" s="580">
        <f t="shared" si="469"/>
        <v>0</v>
      </c>
      <c r="AH5557" s="580">
        <f t="shared" si="470"/>
        <v>0</v>
      </c>
    </row>
    <row r="5558" spans="28:34">
      <c r="AB5558" s="580">
        <f>HLOOKUP("*"&amp;'Output annual'!$AC$2&amp;'Output annual'!$AD$2&amp;"*Zone People Number Of Occupants [](Hourly)",'Eplus results'!$1:$1048576,ROW(),FALSE)</f>
        <v>0</v>
      </c>
      <c r="AC5558" s="580">
        <f>HLOOKUP("*"&amp;'Output annual'!$AC$2&amp;'Output annual'!$AD$2&amp;"*FangerPMV(Hourly)",'Eplus results'!$1:$1048576,ROW(),FALSE)</f>
        <v>0</v>
      </c>
      <c r="AD5558" s="580">
        <f t="shared" si="466"/>
        <v>5</v>
      </c>
      <c r="AE5558" s="580">
        <f t="shared" si="467"/>
        <v>2.5</v>
      </c>
      <c r="AF5558" s="580">
        <f t="shared" si="468"/>
        <v>2.5</v>
      </c>
      <c r="AG5558" s="580">
        <f t="shared" si="469"/>
        <v>0</v>
      </c>
      <c r="AH5558" s="580">
        <f t="shared" si="470"/>
        <v>0</v>
      </c>
    </row>
    <row r="5559" spans="28:34">
      <c r="AB5559" s="580">
        <f>HLOOKUP("*"&amp;'Output annual'!$AC$2&amp;'Output annual'!$AD$2&amp;"*Zone People Number Of Occupants [](Hourly)",'Eplus results'!$1:$1048576,ROW(),FALSE)</f>
        <v>0</v>
      </c>
      <c r="AC5559" s="580">
        <f>HLOOKUP("*"&amp;'Output annual'!$AC$2&amp;'Output annual'!$AD$2&amp;"*FangerPMV(Hourly)",'Eplus results'!$1:$1048576,ROW(),FALSE)</f>
        <v>0</v>
      </c>
      <c r="AD5559" s="580">
        <f t="shared" si="466"/>
        <v>5</v>
      </c>
      <c r="AE5559" s="580">
        <f t="shared" si="467"/>
        <v>2.5</v>
      </c>
      <c r="AF5559" s="580">
        <f t="shared" si="468"/>
        <v>2.5</v>
      </c>
      <c r="AG5559" s="580">
        <f t="shared" si="469"/>
        <v>0</v>
      </c>
      <c r="AH5559" s="580">
        <f t="shared" si="470"/>
        <v>0</v>
      </c>
    </row>
    <row r="5560" spans="28:34">
      <c r="AB5560" s="580">
        <f>HLOOKUP("*"&amp;'Output annual'!$AC$2&amp;'Output annual'!$AD$2&amp;"*Zone People Number Of Occupants [](Hourly)",'Eplus results'!$1:$1048576,ROW(),FALSE)</f>
        <v>0</v>
      </c>
      <c r="AC5560" s="580">
        <f>HLOOKUP("*"&amp;'Output annual'!$AC$2&amp;'Output annual'!$AD$2&amp;"*FangerPMV(Hourly)",'Eplus results'!$1:$1048576,ROW(),FALSE)</f>
        <v>0</v>
      </c>
      <c r="AD5560" s="580">
        <f t="shared" si="466"/>
        <v>5</v>
      </c>
      <c r="AE5560" s="580">
        <f t="shared" si="467"/>
        <v>2.5</v>
      </c>
      <c r="AF5560" s="580">
        <f t="shared" si="468"/>
        <v>2.5</v>
      </c>
      <c r="AG5560" s="580">
        <f t="shared" si="469"/>
        <v>0</v>
      </c>
      <c r="AH5560" s="580">
        <f t="shared" si="470"/>
        <v>0</v>
      </c>
    </row>
    <row r="5561" spans="28:34">
      <c r="AB5561" s="580">
        <f>HLOOKUP("*"&amp;'Output annual'!$AC$2&amp;'Output annual'!$AD$2&amp;"*Zone People Number Of Occupants [](Hourly)",'Eplus results'!$1:$1048576,ROW(),FALSE)</f>
        <v>0</v>
      </c>
      <c r="AC5561" s="580">
        <f>HLOOKUP("*"&amp;'Output annual'!$AC$2&amp;'Output annual'!$AD$2&amp;"*FangerPMV(Hourly)",'Eplus results'!$1:$1048576,ROW(),FALSE)</f>
        <v>0</v>
      </c>
      <c r="AD5561" s="580">
        <f t="shared" si="466"/>
        <v>5</v>
      </c>
      <c r="AE5561" s="580">
        <f t="shared" si="467"/>
        <v>2.5</v>
      </c>
      <c r="AF5561" s="580">
        <f t="shared" si="468"/>
        <v>2.5</v>
      </c>
      <c r="AG5561" s="580">
        <f t="shared" si="469"/>
        <v>0</v>
      </c>
      <c r="AH5561" s="580">
        <f t="shared" si="470"/>
        <v>0</v>
      </c>
    </row>
    <row r="5562" spans="28:34">
      <c r="AB5562" s="580">
        <f>HLOOKUP("*"&amp;'Output annual'!$AC$2&amp;'Output annual'!$AD$2&amp;"*Zone People Number Of Occupants [](Hourly)",'Eplus results'!$1:$1048576,ROW(),FALSE)</f>
        <v>0</v>
      </c>
      <c r="AC5562" s="580">
        <f>HLOOKUP("*"&amp;'Output annual'!$AC$2&amp;'Output annual'!$AD$2&amp;"*FangerPMV(Hourly)",'Eplus results'!$1:$1048576,ROW(),FALSE)</f>
        <v>0</v>
      </c>
      <c r="AD5562" s="580">
        <f t="shared" si="466"/>
        <v>5</v>
      </c>
      <c r="AE5562" s="580">
        <f t="shared" si="467"/>
        <v>2.5</v>
      </c>
      <c r="AF5562" s="580">
        <f t="shared" si="468"/>
        <v>2.5</v>
      </c>
      <c r="AG5562" s="580">
        <f t="shared" si="469"/>
        <v>0</v>
      </c>
      <c r="AH5562" s="580">
        <f t="shared" si="470"/>
        <v>0</v>
      </c>
    </row>
    <row r="5563" spans="28:34">
      <c r="AB5563" s="580">
        <f>HLOOKUP("*"&amp;'Output annual'!$AC$2&amp;'Output annual'!$AD$2&amp;"*Zone People Number Of Occupants [](Hourly)",'Eplus results'!$1:$1048576,ROW(),FALSE)</f>
        <v>0</v>
      </c>
      <c r="AC5563" s="580">
        <f>HLOOKUP("*"&amp;'Output annual'!$AC$2&amp;'Output annual'!$AD$2&amp;"*FangerPMV(Hourly)",'Eplus results'!$1:$1048576,ROW(),FALSE)</f>
        <v>0</v>
      </c>
      <c r="AD5563" s="580">
        <f t="shared" si="466"/>
        <v>5</v>
      </c>
      <c r="AE5563" s="580">
        <f t="shared" si="467"/>
        <v>2.5</v>
      </c>
      <c r="AF5563" s="580">
        <f t="shared" si="468"/>
        <v>2.5</v>
      </c>
      <c r="AG5563" s="580">
        <f t="shared" si="469"/>
        <v>0</v>
      </c>
      <c r="AH5563" s="580">
        <f t="shared" si="470"/>
        <v>0</v>
      </c>
    </row>
    <row r="5564" spans="28:34">
      <c r="AB5564" s="580">
        <f>HLOOKUP("*"&amp;'Output annual'!$AC$2&amp;'Output annual'!$AD$2&amp;"*Zone People Number Of Occupants [](Hourly)",'Eplus results'!$1:$1048576,ROW(),FALSE)</f>
        <v>0</v>
      </c>
      <c r="AC5564" s="580">
        <f>HLOOKUP("*"&amp;'Output annual'!$AC$2&amp;'Output annual'!$AD$2&amp;"*FangerPMV(Hourly)",'Eplus results'!$1:$1048576,ROW(),FALSE)</f>
        <v>0</v>
      </c>
      <c r="AD5564" s="580">
        <f t="shared" si="466"/>
        <v>5</v>
      </c>
      <c r="AE5564" s="580">
        <f t="shared" si="467"/>
        <v>2.5</v>
      </c>
      <c r="AF5564" s="580">
        <f t="shared" si="468"/>
        <v>2.5</v>
      </c>
      <c r="AG5564" s="580">
        <f t="shared" si="469"/>
        <v>0</v>
      </c>
      <c r="AH5564" s="580">
        <f t="shared" si="470"/>
        <v>0</v>
      </c>
    </row>
    <row r="5565" spans="28:34">
      <c r="AB5565" s="580">
        <f>HLOOKUP("*"&amp;'Output annual'!$AC$2&amp;'Output annual'!$AD$2&amp;"*Zone People Number Of Occupants [](Hourly)",'Eplus results'!$1:$1048576,ROW(),FALSE)</f>
        <v>0</v>
      </c>
      <c r="AC5565" s="580">
        <f>HLOOKUP("*"&amp;'Output annual'!$AC$2&amp;'Output annual'!$AD$2&amp;"*FangerPMV(Hourly)",'Eplus results'!$1:$1048576,ROW(),FALSE)</f>
        <v>0</v>
      </c>
      <c r="AD5565" s="580">
        <f t="shared" si="466"/>
        <v>5</v>
      </c>
      <c r="AE5565" s="580">
        <f t="shared" si="467"/>
        <v>2.5</v>
      </c>
      <c r="AF5565" s="580">
        <f t="shared" si="468"/>
        <v>2.5</v>
      </c>
      <c r="AG5565" s="580">
        <f t="shared" si="469"/>
        <v>0</v>
      </c>
      <c r="AH5565" s="580">
        <f t="shared" si="470"/>
        <v>0</v>
      </c>
    </row>
    <row r="5566" spans="28:34">
      <c r="AB5566" s="580">
        <f>HLOOKUP("*"&amp;'Output annual'!$AC$2&amp;'Output annual'!$AD$2&amp;"*Zone People Number Of Occupants [](Hourly)",'Eplus results'!$1:$1048576,ROW(),FALSE)</f>
        <v>0</v>
      </c>
      <c r="AC5566" s="580">
        <f>HLOOKUP("*"&amp;'Output annual'!$AC$2&amp;'Output annual'!$AD$2&amp;"*FangerPMV(Hourly)",'Eplus results'!$1:$1048576,ROW(),FALSE)</f>
        <v>0</v>
      </c>
      <c r="AD5566" s="580">
        <f t="shared" si="466"/>
        <v>5</v>
      </c>
      <c r="AE5566" s="580">
        <f t="shared" si="467"/>
        <v>2.5</v>
      </c>
      <c r="AF5566" s="580">
        <f t="shared" si="468"/>
        <v>2.5</v>
      </c>
      <c r="AG5566" s="580">
        <f t="shared" si="469"/>
        <v>0</v>
      </c>
      <c r="AH5566" s="580">
        <f t="shared" si="470"/>
        <v>0</v>
      </c>
    </row>
    <row r="5567" spans="28:34">
      <c r="AB5567" s="580">
        <f>HLOOKUP("*"&amp;'Output annual'!$AC$2&amp;'Output annual'!$AD$2&amp;"*Zone People Number Of Occupants [](Hourly)",'Eplus results'!$1:$1048576,ROW(),FALSE)</f>
        <v>0</v>
      </c>
      <c r="AC5567" s="580">
        <f>HLOOKUP("*"&amp;'Output annual'!$AC$2&amp;'Output annual'!$AD$2&amp;"*FangerPMV(Hourly)",'Eplus results'!$1:$1048576,ROW(),FALSE)</f>
        <v>0</v>
      </c>
      <c r="AD5567" s="580">
        <f t="shared" si="466"/>
        <v>5</v>
      </c>
      <c r="AE5567" s="580">
        <f t="shared" si="467"/>
        <v>2.5</v>
      </c>
      <c r="AF5567" s="580">
        <f t="shared" si="468"/>
        <v>2.5</v>
      </c>
      <c r="AG5567" s="580">
        <f t="shared" si="469"/>
        <v>0</v>
      </c>
      <c r="AH5567" s="580">
        <f t="shared" si="470"/>
        <v>0</v>
      </c>
    </row>
    <row r="5568" spans="28:34">
      <c r="AB5568" s="580">
        <f>HLOOKUP("*"&amp;'Output annual'!$AC$2&amp;'Output annual'!$AD$2&amp;"*Zone People Number Of Occupants [](Hourly)",'Eplus results'!$1:$1048576,ROW(),FALSE)</f>
        <v>0</v>
      </c>
      <c r="AC5568" s="580">
        <f>HLOOKUP("*"&amp;'Output annual'!$AC$2&amp;'Output annual'!$AD$2&amp;"*FangerPMV(Hourly)",'Eplus results'!$1:$1048576,ROW(),FALSE)</f>
        <v>0</v>
      </c>
      <c r="AD5568" s="580">
        <f t="shared" si="466"/>
        <v>5</v>
      </c>
      <c r="AE5568" s="580">
        <f t="shared" si="467"/>
        <v>2.5</v>
      </c>
      <c r="AF5568" s="580">
        <f t="shared" si="468"/>
        <v>2.5</v>
      </c>
      <c r="AG5568" s="580">
        <f t="shared" si="469"/>
        <v>0</v>
      </c>
      <c r="AH5568" s="580">
        <f t="shared" si="470"/>
        <v>0</v>
      </c>
    </row>
    <row r="5569" spans="28:34">
      <c r="AB5569" s="580">
        <f>HLOOKUP("*"&amp;'Output annual'!$AC$2&amp;'Output annual'!$AD$2&amp;"*Zone People Number Of Occupants [](Hourly)",'Eplus results'!$1:$1048576,ROW(),FALSE)</f>
        <v>0</v>
      </c>
      <c r="AC5569" s="580">
        <f>HLOOKUP("*"&amp;'Output annual'!$AC$2&amp;'Output annual'!$AD$2&amp;"*FangerPMV(Hourly)",'Eplus results'!$1:$1048576,ROW(),FALSE)</f>
        <v>0</v>
      </c>
      <c r="AD5569" s="580">
        <f t="shared" si="466"/>
        <v>5</v>
      </c>
      <c r="AE5569" s="580">
        <f t="shared" si="467"/>
        <v>2.5</v>
      </c>
      <c r="AF5569" s="580">
        <f t="shared" si="468"/>
        <v>2.5</v>
      </c>
      <c r="AG5569" s="580">
        <f t="shared" si="469"/>
        <v>0</v>
      </c>
      <c r="AH5569" s="580">
        <f t="shared" si="470"/>
        <v>0</v>
      </c>
    </row>
    <row r="5570" spans="28:34">
      <c r="AB5570" s="580">
        <f>HLOOKUP("*"&amp;'Output annual'!$AC$2&amp;'Output annual'!$AD$2&amp;"*Zone People Number Of Occupants [](Hourly)",'Eplus results'!$1:$1048576,ROW(),FALSE)</f>
        <v>0</v>
      </c>
      <c r="AC5570" s="580">
        <f>HLOOKUP("*"&amp;'Output annual'!$AC$2&amp;'Output annual'!$AD$2&amp;"*FangerPMV(Hourly)",'Eplus results'!$1:$1048576,ROW(),FALSE)</f>
        <v>0</v>
      </c>
      <c r="AD5570" s="580">
        <f t="shared" si="466"/>
        <v>5</v>
      </c>
      <c r="AE5570" s="580">
        <f t="shared" si="467"/>
        <v>2.5</v>
      </c>
      <c r="AF5570" s="580">
        <f t="shared" si="468"/>
        <v>2.5</v>
      </c>
      <c r="AG5570" s="580">
        <f t="shared" si="469"/>
        <v>0</v>
      </c>
      <c r="AH5570" s="580">
        <f t="shared" si="470"/>
        <v>0</v>
      </c>
    </row>
    <row r="5571" spans="28:34">
      <c r="AB5571" s="580">
        <f>HLOOKUP("*"&amp;'Output annual'!$AC$2&amp;'Output annual'!$AD$2&amp;"*Zone People Number Of Occupants [](Hourly)",'Eplus results'!$1:$1048576,ROW(),FALSE)</f>
        <v>0</v>
      </c>
      <c r="AC5571" s="580">
        <f>HLOOKUP("*"&amp;'Output annual'!$AC$2&amp;'Output annual'!$AD$2&amp;"*FangerPMV(Hourly)",'Eplus results'!$1:$1048576,ROW(),FALSE)</f>
        <v>0</v>
      </c>
      <c r="AD5571" s="580">
        <f t="shared" ref="AD5571:AD5634" si="471">100-95*EXP(-0.03353*AC5571^4-0.2179*AC5571^2)</f>
        <v>5</v>
      </c>
      <c r="AE5571" s="580">
        <f t="shared" ref="AE5571:AE5634" si="472">AD5571*(1/(1+EXP(-6.3*$AC5571)))</f>
        <v>2.5</v>
      </c>
      <c r="AF5571" s="580">
        <f t="shared" ref="AF5571:AF5634" si="473">(AD5571-AE5571)</f>
        <v>2.5</v>
      </c>
      <c r="AG5571" s="580">
        <f t="shared" ref="AG5571:AG5634" si="474">AE5571*AB5571</f>
        <v>0</v>
      </c>
      <c r="AH5571" s="580">
        <f t="shared" ref="AH5571:AH5634" si="475">AF5571*AB5571</f>
        <v>0</v>
      </c>
    </row>
    <row r="5572" spans="28:34">
      <c r="AB5572" s="580">
        <f>HLOOKUP("*"&amp;'Output annual'!$AC$2&amp;'Output annual'!$AD$2&amp;"*Zone People Number Of Occupants [](Hourly)",'Eplus results'!$1:$1048576,ROW(),FALSE)</f>
        <v>0</v>
      </c>
      <c r="AC5572" s="580">
        <f>HLOOKUP("*"&amp;'Output annual'!$AC$2&amp;'Output annual'!$AD$2&amp;"*FangerPMV(Hourly)",'Eplus results'!$1:$1048576,ROW(),FALSE)</f>
        <v>0</v>
      </c>
      <c r="AD5572" s="580">
        <f t="shared" si="471"/>
        <v>5</v>
      </c>
      <c r="AE5572" s="580">
        <f t="shared" si="472"/>
        <v>2.5</v>
      </c>
      <c r="AF5572" s="580">
        <f t="shared" si="473"/>
        <v>2.5</v>
      </c>
      <c r="AG5572" s="580">
        <f t="shared" si="474"/>
        <v>0</v>
      </c>
      <c r="AH5572" s="580">
        <f t="shared" si="475"/>
        <v>0</v>
      </c>
    </row>
    <row r="5573" spans="28:34">
      <c r="AB5573" s="580">
        <f>HLOOKUP("*"&amp;'Output annual'!$AC$2&amp;'Output annual'!$AD$2&amp;"*Zone People Number Of Occupants [](Hourly)",'Eplus results'!$1:$1048576,ROW(),FALSE)</f>
        <v>0</v>
      </c>
      <c r="AC5573" s="580">
        <f>HLOOKUP("*"&amp;'Output annual'!$AC$2&amp;'Output annual'!$AD$2&amp;"*FangerPMV(Hourly)",'Eplus results'!$1:$1048576,ROW(),FALSE)</f>
        <v>0</v>
      </c>
      <c r="AD5573" s="580">
        <f t="shared" si="471"/>
        <v>5</v>
      </c>
      <c r="AE5573" s="580">
        <f t="shared" si="472"/>
        <v>2.5</v>
      </c>
      <c r="AF5573" s="580">
        <f t="shared" si="473"/>
        <v>2.5</v>
      </c>
      <c r="AG5573" s="580">
        <f t="shared" si="474"/>
        <v>0</v>
      </c>
      <c r="AH5573" s="580">
        <f t="shared" si="475"/>
        <v>0</v>
      </c>
    </row>
    <row r="5574" spans="28:34">
      <c r="AB5574" s="580">
        <f>HLOOKUP("*"&amp;'Output annual'!$AC$2&amp;'Output annual'!$AD$2&amp;"*Zone People Number Of Occupants [](Hourly)",'Eplus results'!$1:$1048576,ROW(),FALSE)</f>
        <v>0</v>
      </c>
      <c r="AC5574" s="580">
        <f>HLOOKUP("*"&amp;'Output annual'!$AC$2&amp;'Output annual'!$AD$2&amp;"*FangerPMV(Hourly)",'Eplus results'!$1:$1048576,ROW(),FALSE)</f>
        <v>0</v>
      </c>
      <c r="AD5574" s="580">
        <f t="shared" si="471"/>
        <v>5</v>
      </c>
      <c r="AE5574" s="580">
        <f t="shared" si="472"/>
        <v>2.5</v>
      </c>
      <c r="AF5574" s="580">
        <f t="shared" si="473"/>
        <v>2.5</v>
      </c>
      <c r="AG5574" s="580">
        <f t="shared" si="474"/>
        <v>0</v>
      </c>
      <c r="AH5574" s="580">
        <f t="shared" si="475"/>
        <v>0</v>
      </c>
    </row>
    <row r="5575" spans="28:34">
      <c r="AB5575" s="580">
        <f>HLOOKUP("*"&amp;'Output annual'!$AC$2&amp;'Output annual'!$AD$2&amp;"*Zone People Number Of Occupants [](Hourly)",'Eplus results'!$1:$1048576,ROW(),FALSE)</f>
        <v>0</v>
      </c>
      <c r="AC5575" s="580">
        <f>HLOOKUP("*"&amp;'Output annual'!$AC$2&amp;'Output annual'!$AD$2&amp;"*FangerPMV(Hourly)",'Eplus results'!$1:$1048576,ROW(),FALSE)</f>
        <v>0</v>
      </c>
      <c r="AD5575" s="580">
        <f t="shared" si="471"/>
        <v>5</v>
      </c>
      <c r="AE5575" s="580">
        <f t="shared" si="472"/>
        <v>2.5</v>
      </c>
      <c r="AF5575" s="580">
        <f t="shared" si="473"/>
        <v>2.5</v>
      </c>
      <c r="AG5575" s="580">
        <f t="shared" si="474"/>
        <v>0</v>
      </c>
      <c r="AH5575" s="580">
        <f t="shared" si="475"/>
        <v>0</v>
      </c>
    </row>
    <row r="5576" spans="28:34">
      <c r="AB5576" s="580">
        <f>HLOOKUP("*"&amp;'Output annual'!$AC$2&amp;'Output annual'!$AD$2&amp;"*Zone People Number Of Occupants [](Hourly)",'Eplus results'!$1:$1048576,ROW(),FALSE)</f>
        <v>0</v>
      </c>
      <c r="AC5576" s="580">
        <f>HLOOKUP("*"&amp;'Output annual'!$AC$2&amp;'Output annual'!$AD$2&amp;"*FangerPMV(Hourly)",'Eplus results'!$1:$1048576,ROW(),FALSE)</f>
        <v>0</v>
      </c>
      <c r="AD5576" s="580">
        <f t="shared" si="471"/>
        <v>5</v>
      </c>
      <c r="AE5576" s="580">
        <f t="shared" si="472"/>
        <v>2.5</v>
      </c>
      <c r="AF5576" s="580">
        <f t="shared" si="473"/>
        <v>2.5</v>
      </c>
      <c r="AG5576" s="580">
        <f t="shared" si="474"/>
        <v>0</v>
      </c>
      <c r="AH5576" s="580">
        <f t="shared" si="475"/>
        <v>0</v>
      </c>
    </row>
    <row r="5577" spans="28:34">
      <c r="AB5577" s="580">
        <f>HLOOKUP("*"&amp;'Output annual'!$AC$2&amp;'Output annual'!$AD$2&amp;"*Zone People Number Of Occupants [](Hourly)",'Eplus results'!$1:$1048576,ROW(),FALSE)</f>
        <v>0</v>
      </c>
      <c r="AC5577" s="580">
        <f>HLOOKUP("*"&amp;'Output annual'!$AC$2&amp;'Output annual'!$AD$2&amp;"*FangerPMV(Hourly)",'Eplus results'!$1:$1048576,ROW(),FALSE)</f>
        <v>0</v>
      </c>
      <c r="AD5577" s="580">
        <f t="shared" si="471"/>
        <v>5</v>
      </c>
      <c r="AE5577" s="580">
        <f t="shared" si="472"/>
        <v>2.5</v>
      </c>
      <c r="AF5577" s="580">
        <f t="shared" si="473"/>
        <v>2.5</v>
      </c>
      <c r="AG5577" s="580">
        <f t="shared" si="474"/>
        <v>0</v>
      </c>
      <c r="AH5577" s="580">
        <f t="shared" si="475"/>
        <v>0</v>
      </c>
    </row>
    <row r="5578" spans="28:34">
      <c r="AB5578" s="580">
        <f>HLOOKUP("*"&amp;'Output annual'!$AC$2&amp;'Output annual'!$AD$2&amp;"*Zone People Number Of Occupants [](Hourly)",'Eplus results'!$1:$1048576,ROW(),FALSE)</f>
        <v>0</v>
      </c>
      <c r="AC5578" s="580">
        <f>HLOOKUP("*"&amp;'Output annual'!$AC$2&amp;'Output annual'!$AD$2&amp;"*FangerPMV(Hourly)",'Eplus results'!$1:$1048576,ROW(),FALSE)</f>
        <v>0</v>
      </c>
      <c r="AD5578" s="580">
        <f t="shared" si="471"/>
        <v>5</v>
      </c>
      <c r="AE5578" s="580">
        <f t="shared" si="472"/>
        <v>2.5</v>
      </c>
      <c r="AF5578" s="580">
        <f t="shared" si="473"/>
        <v>2.5</v>
      </c>
      <c r="AG5578" s="580">
        <f t="shared" si="474"/>
        <v>0</v>
      </c>
      <c r="AH5578" s="580">
        <f t="shared" si="475"/>
        <v>0</v>
      </c>
    </row>
    <row r="5579" spans="28:34">
      <c r="AB5579" s="580">
        <f>HLOOKUP("*"&amp;'Output annual'!$AC$2&amp;'Output annual'!$AD$2&amp;"*Zone People Number Of Occupants [](Hourly)",'Eplus results'!$1:$1048576,ROW(),FALSE)</f>
        <v>0</v>
      </c>
      <c r="AC5579" s="580">
        <f>HLOOKUP("*"&amp;'Output annual'!$AC$2&amp;'Output annual'!$AD$2&amp;"*FangerPMV(Hourly)",'Eplus results'!$1:$1048576,ROW(),FALSE)</f>
        <v>0</v>
      </c>
      <c r="AD5579" s="580">
        <f t="shared" si="471"/>
        <v>5</v>
      </c>
      <c r="AE5579" s="580">
        <f t="shared" si="472"/>
        <v>2.5</v>
      </c>
      <c r="AF5579" s="580">
        <f t="shared" si="473"/>
        <v>2.5</v>
      </c>
      <c r="AG5579" s="580">
        <f t="shared" si="474"/>
        <v>0</v>
      </c>
      <c r="AH5579" s="580">
        <f t="shared" si="475"/>
        <v>0</v>
      </c>
    </row>
    <row r="5580" spans="28:34">
      <c r="AB5580" s="580">
        <f>HLOOKUP("*"&amp;'Output annual'!$AC$2&amp;'Output annual'!$AD$2&amp;"*Zone People Number Of Occupants [](Hourly)",'Eplus results'!$1:$1048576,ROW(),FALSE)</f>
        <v>0</v>
      </c>
      <c r="AC5580" s="580">
        <f>HLOOKUP("*"&amp;'Output annual'!$AC$2&amp;'Output annual'!$AD$2&amp;"*FangerPMV(Hourly)",'Eplus results'!$1:$1048576,ROW(),FALSE)</f>
        <v>0</v>
      </c>
      <c r="AD5580" s="580">
        <f t="shared" si="471"/>
        <v>5</v>
      </c>
      <c r="AE5580" s="580">
        <f t="shared" si="472"/>
        <v>2.5</v>
      </c>
      <c r="AF5580" s="580">
        <f t="shared" si="473"/>
        <v>2.5</v>
      </c>
      <c r="AG5580" s="580">
        <f t="shared" si="474"/>
        <v>0</v>
      </c>
      <c r="AH5580" s="580">
        <f t="shared" si="475"/>
        <v>0</v>
      </c>
    </row>
    <row r="5581" spans="28:34">
      <c r="AB5581" s="580">
        <f>HLOOKUP("*"&amp;'Output annual'!$AC$2&amp;'Output annual'!$AD$2&amp;"*Zone People Number Of Occupants [](Hourly)",'Eplus results'!$1:$1048576,ROW(),FALSE)</f>
        <v>0</v>
      </c>
      <c r="AC5581" s="580">
        <f>HLOOKUP("*"&amp;'Output annual'!$AC$2&amp;'Output annual'!$AD$2&amp;"*FangerPMV(Hourly)",'Eplus results'!$1:$1048576,ROW(),FALSE)</f>
        <v>0</v>
      </c>
      <c r="AD5581" s="580">
        <f t="shared" si="471"/>
        <v>5</v>
      </c>
      <c r="AE5581" s="580">
        <f t="shared" si="472"/>
        <v>2.5</v>
      </c>
      <c r="AF5581" s="580">
        <f t="shared" si="473"/>
        <v>2.5</v>
      </c>
      <c r="AG5581" s="580">
        <f t="shared" si="474"/>
        <v>0</v>
      </c>
      <c r="AH5581" s="580">
        <f t="shared" si="475"/>
        <v>0</v>
      </c>
    </row>
    <row r="5582" spans="28:34">
      <c r="AB5582" s="580">
        <f>HLOOKUP("*"&amp;'Output annual'!$AC$2&amp;'Output annual'!$AD$2&amp;"*Zone People Number Of Occupants [](Hourly)",'Eplus results'!$1:$1048576,ROW(),FALSE)</f>
        <v>0</v>
      </c>
      <c r="AC5582" s="580">
        <f>HLOOKUP("*"&amp;'Output annual'!$AC$2&amp;'Output annual'!$AD$2&amp;"*FangerPMV(Hourly)",'Eplus results'!$1:$1048576,ROW(),FALSE)</f>
        <v>0</v>
      </c>
      <c r="AD5582" s="580">
        <f t="shared" si="471"/>
        <v>5</v>
      </c>
      <c r="AE5582" s="580">
        <f t="shared" si="472"/>
        <v>2.5</v>
      </c>
      <c r="AF5582" s="580">
        <f t="shared" si="473"/>
        <v>2.5</v>
      </c>
      <c r="AG5582" s="580">
        <f t="shared" si="474"/>
        <v>0</v>
      </c>
      <c r="AH5582" s="580">
        <f t="shared" si="475"/>
        <v>0</v>
      </c>
    </row>
    <row r="5583" spans="28:34">
      <c r="AB5583" s="580">
        <f>HLOOKUP("*"&amp;'Output annual'!$AC$2&amp;'Output annual'!$AD$2&amp;"*Zone People Number Of Occupants [](Hourly)",'Eplus results'!$1:$1048576,ROW(),FALSE)</f>
        <v>0</v>
      </c>
      <c r="AC5583" s="580">
        <f>HLOOKUP("*"&amp;'Output annual'!$AC$2&amp;'Output annual'!$AD$2&amp;"*FangerPMV(Hourly)",'Eplus results'!$1:$1048576,ROW(),FALSE)</f>
        <v>0</v>
      </c>
      <c r="AD5583" s="580">
        <f t="shared" si="471"/>
        <v>5</v>
      </c>
      <c r="AE5583" s="580">
        <f t="shared" si="472"/>
        <v>2.5</v>
      </c>
      <c r="AF5583" s="580">
        <f t="shared" si="473"/>
        <v>2.5</v>
      </c>
      <c r="AG5583" s="580">
        <f t="shared" si="474"/>
        <v>0</v>
      </c>
      <c r="AH5583" s="580">
        <f t="shared" si="475"/>
        <v>0</v>
      </c>
    </row>
    <row r="5584" spans="28:34">
      <c r="AB5584" s="580">
        <f>HLOOKUP("*"&amp;'Output annual'!$AC$2&amp;'Output annual'!$AD$2&amp;"*Zone People Number Of Occupants [](Hourly)",'Eplus results'!$1:$1048576,ROW(),FALSE)</f>
        <v>0</v>
      </c>
      <c r="AC5584" s="580">
        <f>HLOOKUP("*"&amp;'Output annual'!$AC$2&amp;'Output annual'!$AD$2&amp;"*FangerPMV(Hourly)",'Eplus results'!$1:$1048576,ROW(),FALSE)</f>
        <v>0</v>
      </c>
      <c r="AD5584" s="580">
        <f t="shared" si="471"/>
        <v>5</v>
      </c>
      <c r="AE5584" s="580">
        <f t="shared" si="472"/>
        <v>2.5</v>
      </c>
      <c r="AF5584" s="580">
        <f t="shared" si="473"/>
        <v>2.5</v>
      </c>
      <c r="AG5584" s="580">
        <f t="shared" si="474"/>
        <v>0</v>
      </c>
      <c r="AH5584" s="580">
        <f t="shared" si="475"/>
        <v>0</v>
      </c>
    </row>
    <row r="5585" spans="28:34">
      <c r="AB5585" s="580">
        <f>HLOOKUP("*"&amp;'Output annual'!$AC$2&amp;'Output annual'!$AD$2&amp;"*Zone People Number Of Occupants [](Hourly)",'Eplus results'!$1:$1048576,ROW(),FALSE)</f>
        <v>0</v>
      </c>
      <c r="AC5585" s="580">
        <f>HLOOKUP("*"&amp;'Output annual'!$AC$2&amp;'Output annual'!$AD$2&amp;"*FangerPMV(Hourly)",'Eplus results'!$1:$1048576,ROW(),FALSE)</f>
        <v>0</v>
      </c>
      <c r="AD5585" s="580">
        <f t="shared" si="471"/>
        <v>5</v>
      </c>
      <c r="AE5585" s="580">
        <f t="shared" si="472"/>
        <v>2.5</v>
      </c>
      <c r="AF5585" s="580">
        <f t="shared" si="473"/>
        <v>2.5</v>
      </c>
      <c r="AG5585" s="580">
        <f t="shared" si="474"/>
        <v>0</v>
      </c>
      <c r="AH5585" s="580">
        <f t="shared" si="475"/>
        <v>0</v>
      </c>
    </row>
    <row r="5586" spans="28:34">
      <c r="AB5586" s="580">
        <f>HLOOKUP("*"&amp;'Output annual'!$AC$2&amp;'Output annual'!$AD$2&amp;"*Zone People Number Of Occupants [](Hourly)",'Eplus results'!$1:$1048576,ROW(),FALSE)</f>
        <v>0</v>
      </c>
      <c r="AC5586" s="580">
        <f>HLOOKUP("*"&amp;'Output annual'!$AC$2&amp;'Output annual'!$AD$2&amp;"*FangerPMV(Hourly)",'Eplus results'!$1:$1048576,ROW(),FALSE)</f>
        <v>0</v>
      </c>
      <c r="AD5586" s="580">
        <f t="shared" si="471"/>
        <v>5</v>
      </c>
      <c r="AE5586" s="580">
        <f t="shared" si="472"/>
        <v>2.5</v>
      </c>
      <c r="AF5586" s="580">
        <f t="shared" si="473"/>
        <v>2.5</v>
      </c>
      <c r="AG5586" s="580">
        <f t="shared" si="474"/>
        <v>0</v>
      </c>
      <c r="AH5586" s="580">
        <f t="shared" si="475"/>
        <v>0</v>
      </c>
    </row>
    <row r="5587" spans="28:34">
      <c r="AB5587" s="580">
        <f>HLOOKUP("*"&amp;'Output annual'!$AC$2&amp;'Output annual'!$AD$2&amp;"*Zone People Number Of Occupants [](Hourly)",'Eplus results'!$1:$1048576,ROW(),FALSE)</f>
        <v>0</v>
      </c>
      <c r="AC5587" s="580">
        <f>HLOOKUP("*"&amp;'Output annual'!$AC$2&amp;'Output annual'!$AD$2&amp;"*FangerPMV(Hourly)",'Eplus results'!$1:$1048576,ROW(),FALSE)</f>
        <v>0</v>
      </c>
      <c r="AD5587" s="580">
        <f t="shared" si="471"/>
        <v>5</v>
      </c>
      <c r="AE5587" s="580">
        <f t="shared" si="472"/>
        <v>2.5</v>
      </c>
      <c r="AF5587" s="580">
        <f t="shared" si="473"/>
        <v>2.5</v>
      </c>
      <c r="AG5587" s="580">
        <f t="shared" si="474"/>
        <v>0</v>
      </c>
      <c r="AH5587" s="580">
        <f t="shared" si="475"/>
        <v>0</v>
      </c>
    </row>
    <row r="5588" spans="28:34">
      <c r="AB5588" s="580">
        <f>HLOOKUP("*"&amp;'Output annual'!$AC$2&amp;'Output annual'!$AD$2&amp;"*Zone People Number Of Occupants [](Hourly)",'Eplus results'!$1:$1048576,ROW(),FALSE)</f>
        <v>0</v>
      </c>
      <c r="AC5588" s="580">
        <f>HLOOKUP("*"&amp;'Output annual'!$AC$2&amp;'Output annual'!$AD$2&amp;"*FangerPMV(Hourly)",'Eplus results'!$1:$1048576,ROW(),FALSE)</f>
        <v>0</v>
      </c>
      <c r="AD5588" s="580">
        <f t="shared" si="471"/>
        <v>5</v>
      </c>
      <c r="AE5588" s="580">
        <f t="shared" si="472"/>
        <v>2.5</v>
      </c>
      <c r="AF5588" s="580">
        <f t="shared" si="473"/>
        <v>2.5</v>
      </c>
      <c r="AG5588" s="580">
        <f t="shared" si="474"/>
        <v>0</v>
      </c>
      <c r="AH5588" s="580">
        <f t="shared" si="475"/>
        <v>0</v>
      </c>
    </row>
    <row r="5589" spans="28:34">
      <c r="AB5589" s="580">
        <f>HLOOKUP("*"&amp;'Output annual'!$AC$2&amp;'Output annual'!$AD$2&amp;"*Zone People Number Of Occupants [](Hourly)",'Eplus results'!$1:$1048576,ROW(),FALSE)</f>
        <v>0</v>
      </c>
      <c r="AC5589" s="580">
        <f>HLOOKUP("*"&amp;'Output annual'!$AC$2&amp;'Output annual'!$AD$2&amp;"*FangerPMV(Hourly)",'Eplus results'!$1:$1048576,ROW(),FALSE)</f>
        <v>0</v>
      </c>
      <c r="AD5589" s="580">
        <f t="shared" si="471"/>
        <v>5</v>
      </c>
      <c r="AE5589" s="580">
        <f t="shared" si="472"/>
        <v>2.5</v>
      </c>
      <c r="AF5589" s="580">
        <f t="shared" si="473"/>
        <v>2.5</v>
      </c>
      <c r="AG5589" s="580">
        <f t="shared" si="474"/>
        <v>0</v>
      </c>
      <c r="AH5589" s="580">
        <f t="shared" si="475"/>
        <v>0</v>
      </c>
    </row>
    <row r="5590" spans="28:34">
      <c r="AB5590" s="580">
        <f>HLOOKUP("*"&amp;'Output annual'!$AC$2&amp;'Output annual'!$AD$2&amp;"*Zone People Number Of Occupants [](Hourly)",'Eplus results'!$1:$1048576,ROW(),FALSE)</f>
        <v>0</v>
      </c>
      <c r="AC5590" s="580">
        <f>HLOOKUP("*"&amp;'Output annual'!$AC$2&amp;'Output annual'!$AD$2&amp;"*FangerPMV(Hourly)",'Eplus results'!$1:$1048576,ROW(),FALSE)</f>
        <v>0</v>
      </c>
      <c r="AD5590" s="580">
        <f t="shared" si="471"/>
        <v>5</v>
      </c>
      <c r="AE5590" s="580">
        <f t="shared" si="472"/>
        <v>2.5</v>
      </c>
      <c r="AF5590" s="580">
        <f t="shared" si="473"/>
        <v>2.5</v>
      </c>
      <c r="AG5590" s="580">
        <f t="shared" si="474"/>
        <v>0</v>
      </c>
      <c r="AH5590" s="580">
        <f t="shared" si="475"/>
        <v>0</v>
      </c>
    </row>
    <row r="5591" spans="28:34">
      <c r="AB5591" s="580">
        <f>HLOOKUP("*"&amp;'Output annual'!$AC$2&amp;'Output annual'!$AD$2&amp;"*Zone People Number Of Occupants [](Hourly)",'Eplus results'!$1:$1048576,ROW(),FALSE)</f>
        <v>0</v>
      </c>
      <c r="AC5591" s="580">
        <f>HLOOKUP("*"&amp;'Output annual'!$AC$2&amp;'Output annual'!$AD$2&amp;"*FangerPMV(Hourly)",'Eplus results'!$1:$1048576,ROW(),FALSE)</f>
        <v>0</v>
      </c>
      <c r="AD5591" s="580">
        <f t="shared" si="471"/>
        <v>5</v>
      </c>
      <c r="AE5591" s="580">
        <f t="shared" si="472"/>
        <v>2.5</v>
      </c>
      <c r="AF5591" s="580">
        <f t="shared" si="473"/>
        <v>2.5</v>
      </c>
      <c r="AG5591" s="580">
        <f t="shared" si="474"/>
        <v>0</v>
      </c>
      <c r="AH5591" s="580">
        <f t="shared" si="475"/>
        <v>0</v>
      </c>
    </row>
    <row r="5592" spans="28:34">
      <c r="AB5592" s="580">
        <f>HLOOKUP("*"&amp;'Output annual'!$AC$2&amp;'Output annual'!$AD$2&amp;"*Zone People Number Of Occupants [](Hourly)",'Eplus results'!$1:$1048576,ROW(),FALSE)</f>
        <v>0</v>
      </c>
      <c r="AC5592" s="580">
        <f>HLOOKUP("*"&amp;'Output annual'!$AC$2&amp;'Output annual'!$AD$2&amp;"*FangerPMV(Hourly)",'Eplus results'!$1:$1048576,ROW(),FALSE)</f>
        <v>0</v>
      </c>
      <c r="AD5592" s="580">
        <f t="shared" si="471"/>
        <v>5</v>
      </c>
      <c r="AE5592" s="580">
        <f t="shared" si="472"/>
        <v>2.5</v>
      </c>
      <c r="AF5592" s="580">
        <f t="shared" si="473"/>
        <v>2.5</v>
      </c>
      <c r="AG5592" s="580">
        <f t="shared" si="474"/>
        <v>0</v>
      </c>
      <c r="AH5592" s="580">
        <f t="shared" si="475"/>
        <v>0</v>
      </c>
    </row>
    <row r="5593" spans="28:34">
      <c r="AB5593" s="580">
        <f>HLOOKUP("*"&amp;'Output annual'!$AC$2&amp;'Output annual'!$AD$2&amp;"*Zone People Number Of Occupants [](Hourly)",'Eplus results'!$1:$1048576,ROW(),FALSE)</f>
        <v>0</v>
      </c>
      <c r="AC5593" s="580">
        <f>HLOOKUP("*"&amp;'Output annual'!$AC$2&amp;'Output annual'!$AD$2&amp;"*FangerPMV(Hourly)",'Eplus results'!$1:$1048576,ROW(),FALSE)</f>
        <v>0</v>
      </c>
      <c r="AD5593" s="580">
        <f t="shared" si="471"/>
        <v>5</v>
      </c>
      <c r="AE5593" s="580">
        <f t="shared" si="472"/>
        <v>2.5</v>
      </c>
      <c r="AF5593" s="580">
        <f t="shared" si="473"/>
        <v>2.5</v>
      </c>
      <c r="AG5593" s="580">
        <f t="shared" si="474"/>
        <v>0</v>
      </c>
      <c r="AH5593" s="580">
        <f t="shared" si="475"/>
        <v>0</v>
      </c>
    </row>
    <row r="5594" spans="28:34">
      <c r="AB5594" s="580">
        <f>HLOOKUP("*"&amp;'Output annual'!$AC$2&amp;'Output annual'!$AD$2&amp;"*Zone People Number Of Occupants [](Hourly)",'Eplus results'!$1:$1048576,ROW(),FALSE)</f>
        <v>0</v>
      </c>
      <c r="AC5594" s="580">
        <f>HLOOKUP("*"&amp;'Output annual'!$AC$2&amp;'Output annual'!$AD$2&amp;"*FangerPMV(Hourly)",'Eplus results'!$1:$1048576,ROW(),FALSE)</f>
        <v>0</v>
      </c>
      <c r="AD5594" s="580">
        <f t="shared" si="471"/>
        <v>5</v>
      </c>
      <c r="AE5594" s="580">
        <f t="shared" si="472"/>
        <v>2.5</v>
      </c>
      <c r="AF5594" s="580">
        <f t="shared" si="473"/>
        <v>2.5</v>
      </c>
      <c r="AG5594" s="580">
        <f t="shared" si="474"/>
        <v>0</v>
      </c>
      <c r="AH5594" s="580">
        <f t="shared" si="475"/>
        <v>0</v>
      </c>
    </row>
    <row r="5595" spans="28:34">
      <c r="AB5595" s="580">
        <f>HLOOKUP("*"&amp;'Output annual'!$AC$2&amp;'Output annual'!$AD$2&amp;"*Zone People Number Of Occupants [](Hourly)",'Eplus results'!$1:$1048576,ROW(),FALSE)</f>
        <v>0</v>
      </c>
      <c r="AC5595" s="580">
        <f>HLOOKUP("*"&amp;'Output annual'!$AC$2&amp;'Output annual'!$AD$2&amp;"*FangerPMV(Hourly)",'Eplus results'!$1:$1048576,ROW(),FALSE)</f>
        <v>0</v>
      </c>
      <c r="AD5595" s="580">
        <f t="shared" si="471"/>
        <v>5</v>
      </c>
      <c r="AE5595" s="580">
        <f t="shared" si="472"/>
        <v>2.5</v>
      </c>
      <c r="AF5595" s="580">
        <f t="shared" si="473"/>
        <v>2.5</v>
      </c>
      <c r="AG5595" s="580">
        <f t="shared" si="474"/>
        <v>0</v>
      </c>
      <c r="AH5595" s="580">
        <f t="shared" si="475"/>
        <v>0</v>
      </c>
    </row>
    <row r="5596" spans="28:34">
      <c r="AB5596" s="580">
        <f>HLOOKUP("*"&amp;'Output annual'!$AC$2&amp;'Output annual'!$AD$2&amp;"*Zone People Number Of Occupants [](Hourly)",'Eplus results'!$1:$1048576,ROW(),FALSE)</f>
        <v>0</v>
      </c>
      <c r="AC5596" s="580">
        <f>HLOOKUP("*"&amp;'Output annual'!$AC$2&amp;'Output annual'!$AD$2&amp;"*FangerPMV(Hourly)",'Eplus results'!$1:$1048576,ROW(),FALSE)</f>
        <v>0</v>
      </c>
      <c r="AD5596" s="580">
        <f t="shared" si="471"/>
        <v>5</v>
      </c>
      <c r="AE5596" s="580">
        <f t="shared" si="472"/>
        <v>2.5</v>
      </c>
      <c r="AF5596" s="580">
        <f t="shared" si="473"/>
        <v>2.5</v>
      </c>
      <c r="AG5596" s="580">
        <f t="shared" si="474"/>
        <v>0</v>
      </c>
      <c r="AH5596" s="580">
        <f t="shared" si="475"/>
        <v>0</v>
      </c>
    </row>
    <row r="5597" spans="28:34">
      <c r="AB5597" s="580">
        <f>HLOOKUP("*"&amp;'Output annual'!$AC$2&amp;'Output annual'!$AD$2&amp;"*Zone People Number Of Occupants [](Hourly)",'Eplus results'!$1:$1048576,ROW(),FALSE)</f>
        <v>0</v>
      </c>
      <c r="AC5597" s="580">
        <f>HLOOKUP("*"&amp;'Output annual'!$AC$2&amp;'Output annual'!$AD$2&amp;"*FangerPMV(Hourly)",'Eplus results'!$1:$1048576,ROW(),FALSE)</f>
        <v>0</v>
      </c>
      <c r="AD5597" s="580">
        <f t="shared" si="471"/>
        <v>5</v>
      </c>
      <c r="AE5597" s="580">
        <f t="shared" si="472"/>
        <v>2.5</v>
      </c>
      <c r="AF5597" s="580">
        <f t="shared" si="473"/>
        <v>2.5</v>
      </c>
      <c r="AG5597" s="580">
        <f t="shared" si="474"/>
        <v>0</v>
      </c>
      <c r="AH5597" s="580">
        <f t="shared" si="475"/>
        <v>0</v>
      </c>
    </row>
    <row r="5598" spans="28:34">
      <c r="AB5598" s="580">
        <f>HLOOKUP("*"&amp;'Output annual'!$AC$2&amp;'Output annual'!$AD$2&amp;"*Zone People Number Of Occupants [](Hourly)",'Eplus results'!$1:$1048576,ROW(),FALSE)</f>
        <v>0</v>
      </c>
      <c r="AC5598" s="580">
        <f>HLOOKUP("*"&amp;'Output annual'!$AC$2&amp;'Output annual'!$AD$2&amp;"*FangerPMV(Hourly)",'Eplus results'!$1:$1048576,ROW(),FALSE)</f>
        <v>0</v>
      </c>
      <c r="AD5598" s="580">
        <f t="shared" si="471"/>
        <v>5</v>
      </c>
      <c r="AE5598" s="580">
        <f t="shared" si="472"/>
        <v>2.5</v>
      </c>
      <c r="AF5598" s="580">
        <f t="shared" si="473"/>
        <v>2.5</v>
      </c>
      <c r="AG5598" s="580">
        <f t="shared" si="474"/>
        <v>0</v>
      </c>
      <c r="AH5598" s="580">
        <f t="shared" si="475"/>
        <v>0</v>
      </c>
    </row>
    <row r="5599" spans="28:34">
      <c r="AB5599" s="580">
        <f>HLOOKUP("*"&amp;'Output annual'!$AC$2&amp;'Output annual'!$AD$2&amp;"*Zone People Number Of Occupants [](Hourly)",'Eplus results'!$1:$1048576,ROW(),FALSE)</f>
        <v>0</v>
      </c>
      <c r="AC5599" s="580">
        <f>HLOOKUP("*"&amp;'Output annual'!$AC$2&amp;'Output annual'!$AD$2&amp;"*FangerPMV(Hourly)",'Eplus results'!$1:$1048576,ROW(),FALSE)</f>
        <v>0</v>
      </c>
      <c r="AD5599" s="580">
        <f t="shared" si="471"/>
        <v>5</v>
      </c>
      <c r="AE5599" s="580">
        <f t="shared" si="472"/>
        <v>2.5</v>
      </c>
      <c r="AF5599" s="580">
        <f t="shared" si="473"/>
        <v>2.5</v>
      </c>
      <c r="AG5599" s="580">
        <f t="shared" si="474"/>
        <v>0</v>
      </c>
      <c r="AH5599" s="580">
        <f t="shared" si="475"/>
        <v>0</v>
      </c>
    </row>
    <row r="5600" spans="28:34">
      <c r="AB5600" s="580">
        <f>HLOOKUP("*"&amp;'Output annual'!$AC$2&amp;'Output annual'!$AD$2&amp;"*Zone People Number Of Occupants [](Hourly)",'Eplus results'!$1:$1048576,ROW(),FALSE)</f>
        <v>0</v>
      </c>
      <c r="AC5600" s="580">
        <f>HLOOKUP("*"&amp;'Output annual'!$AC$2&amp;'Output annual'!$AD$2&amp;"*FangerPMV(Hourly)",'Eplus results'!$1:$1048576,ROW(),FALSE)</f>
        <v>0</v>
      </c>
      <c r="AD5600" s="580">
        <f t="shared" si="471"/>
        <v>5</v>
      </c>
      <c r="AE5600" s="580">
        <f t="shared" si="472"/>
        <v>2.5</v>
      </c>
      <c r="AF5600" s="580">
        <f t="shared" si="473"/>
        <v>2.5</v>
      </c>
      <c r="AG5600" s="580">
        <f t="shared" si="474"/>
        <v>0</v>
      </c>
      <c r="AH5600" s="580">
        <f t="shared" si="475"/>
        <v>0</v>
      </c>
    </row>
    <row r="5601" spans="28:34">
      <c r="AB5601" s="580">
        <f>HLOOKUP("*"&amp;'Output annual'!$AC$2&amp;'Output annual'!$AD$2&amp;"*Zone People Number Of Occupants [](Hourly)",'Eplus results'!$1:$1048576,ROW(),FALSE)</f>
        <v>0</v>
      </c>
      <c r="AC5601" s="580">
        <f>HLOOKUP("*"&amp;'Output annual'!$AC$2&amp;'Output annual'!$AD$2&amp;"*FangerPMV(Hourly)",'Eplus results'!$1:$1048576,ROW(),FALSE)</f>
        <v>0</v>
      </c>
      <c r="AD5601" s="580">
        <f t="shared" si="471"/>
        <v>5</v>
      </c>
      <c r="AE5601" s="580">
        <f t="shared" si="472"/>
        <v>2.5</v>
      </c>
      <c r="AF5601" s="580">
        <f t="shared" si="473"/>
        <v>2.5</v>
      </c>
      <c r="AG5601" s="580">
        <f t="shared" si="474"/>
        <v>0</v>
      </c>
      <c r="AH5601" s="580">
        <f t="shared" si="475"/>
        <v>0</v>
      </c>
    </row>
    <row r="5602" spans="28:34">
      <c r="AB5602" s="580">
        <f>HLOOKUP("*"&amp;'Output annual'!$AC$2&amp;'Output annual'!$AD$2&amp;"*Zone People Number Of Occupants [](Hourly)",'Eplus results'!$1:$1048576,ROW(),FALSE)</f>
        <v>0</v>
      </c>
      <c r="AC5602" s="580">
        <f>HLOOKUP("*"&amp;'Output annual'!$AC$2&amp;'Output annual'!$AD$2&amp;"*FangerPMV(Hourly)",'Eplus results'!$1:$1048576,ROW(),FALSE)</f>
        <v>0</v>
      </c>
      <c r="AD5602" s="580">
        <f t="shared" si="471"/>
        <v>5</v>
      </c>
      <c r="AE5602" s="580">
        <f t="shared" si="472"/>
        <v>2.5</v>
      </c>
      <c r="AF5602" s="580">
        <f t="shared" si="473"/>
        <v>2.5</v>
      </c>
      <c r="AG5602" s="580">
        <f t="shared" si="474"/>
        <v>0</v>
      </c>
      <c r="AH5602" s="580">
        <f t="shared" si="475"/>
        <v>0</v>
      </c>
    </row>
    <row r="5603" spans="28:34">
      <c r="AB5603" s="580">
        <f>HLOOKUP("*"&amp;'Output annual'!$AC$2&amp;'Output annual'!$AD$2&amp;"*Zone People Number Of Occupants [](Hourly)",'Eplus results'!$1:$1048576,ROW(),FALSE)</f>
        <v>0</v>
      </c>
      <c r="AC5603" s="580">
        <f>HLOOKUP("*"&amp;'Output annual'!$AC$2&amp;'Output annual'!$AD$2&amp;"*FangerPMV(Hourly)",'Eplus results'!$1:$1048576,ROW(),FALSE)</f>
        <v>0</v>
      </c>
      <c r="AD5603" s="580">
        <f t="shared" si="471"/>
        <v>5</v>
      </c>
      <c r="AE5603" s="580">
        <f t="shared" si="472"/>
        <v>2.5</v>
      </c>
      <c r="AF5603" s="580">
        <f t="shared" si="473"/>
        <v>2.5</v>
      </c>
      <c r="AG5603" s="580">
        <f t="shared" si="474"/>
        <v>0</v>
      </c>
      <c r="AH5603" s="580">
        <f t="shared" si="475"/>
        <v>0</v>
      </c>
    </row>
    <row r="5604" spans="28:34">
      <c r="AB5604" s="580">
        <f>HLOOKUP("*"&amp;'Output annual'!$AC$2&amp;'Output annual'!$AD$2&amp;"*Zone People Number Of Occupants [](Hourly)",'Eplus results'!$1:$1048576,ROW(),FALSE)</f>
        <v>0</v>
      </c>
      <c r="AC5604" s="580">
        <f>HLOOKUP("*"&amp;'Output annual'!$AC$2&amp;'Output annual'!$AD$2&amp;"*FangerPMV(Hourly)",'Eplus results'!$1:$1048576,ROW(),FALSE)</f>
        <v>0</v>
      </c>
      <c r="AD5604" s="580">
        <f t="shared" si="471"/>
        <v>5</v>
      </c>
      <c r="AE5604" s="580">
        <f t="shared" si="472"/>
        <v>2.5</v>
      </c>
      <c r="AF5604" s="580">
        <f t="shared" si="473"/>
        <v>2.5</v>
      </c>
      <c r="AG5604" s="580">
        <f t="shared" si="474"/>
        <v>0</v>
      </c>
      <c r="AH5604" s="580">
        <f t="shared" si="475"/>
        <v>0</v>
      </c>
    </row>
    <row r="5605" spans="28:34">
      <c r="AB5605" s="580">
        <f>HLOOKUP("*"&amp;'Output annual'!$AC$2&amp;'Output annual'!$AD$2&amp;"*Zone People Number Of Occupants [](Hourly)",'Eplus results'!$1:$1048576,ROW(),FALSE)</f>
        <v>0</v>
      </c>
      <c r="AC5605" s="580">
        <f>HLOOKUP("*"&amp;'Output annual'!$AC$2&amp;'Output annual'!$AD$2&amp;"*FangerPMV(Hourly)",'Eplus results'!$1:$1048576,ROW(),FALSE)</f>
        <v>0</v>
      </c>
      <c r="AD5605" s="580">
        <f t="shared" si="471"/>
        <v>5</v>
      </c>
      <c r="AE5605" s="580">
        <f t="shared" si="472"/>
        <v>2.5</v>
      </c>
      <c r="AF5605" s="580">
        <f t="shared" si="473"/>
        <v>2.5</v>
      </c>
      <c r="AG5605" s="580">
        <f t="shared" si="474"/>
        <v>0</v>
      </c>
      <c r="AH5605" s="580">
        <f t="shared" si="475"/>
        <v>0</v>
      </c>
    </row>
    <row r="5606" spans="28:34">
      <c r="AB5606" s="580">
        <f>HLOOKUP("*"&amp;'Output annual'!$AC$2&amp;'Output annual'!$AD$2&amp;"*Zone People Number Of Occupants [](Hourly)",'Eplus results'!$1:$1048576,ROW(),FALSE)</f>
        <v>0</v>
      </c>
      <c r="AC5606" s="580">
        <f>HLOOKUP("*"&amp;'Output annual'!$AC$2&amp;'Output annual'!$AD$2&amp;"*FangerPMV(Hourly)",'Eplus results'!$1:$1048576,ROW(),FALSE)</f>
        <v>0</v>
      </c>
      <c r="AD5606" s="580">
        <f t="shared" si="471"/>
        <v>5</v>
      </c>
      <c r="AE5606" s="580">
        <f t="shared" si="472"/>
        <v>2.5</v>
      </c>
      <c r="AF5606" s="580">
        <f t="shared" si="473"/>
        <v>2.5</v>
      </c>
      <c r="AG5606" s="580">
        <f t="shared" si="474"/>
        <v>0</v>
      </c>
      <c r="AH5606" s="580">
        <f t="shared" si="475"/>
        <v>0</v>
      </c>
    </row>
    <row r="5607" spans="28:34">
      <c r="AB5607" s="580">
        <f>HLOOKUP("*"&amp;'Output annual'!$AC$2&amp;'Output annual'!$AD$2&amp;"*Zone People Number Of Occupants [](Hourly)",'Eplus results'!$1:$1048576,ROW(),FALSE)</f>
        <v>0</v>
      </c>
      <c r="AC5607" s="580">
        <f>HLOOKUP("*"&amp;'Output annual'!$AC$2&amp;'Output annual'!$AD$2&amp;"*FangerPMV(Hourly)",'Eplus results'!$1:$1048576,ROW(),FALSE)</f>
        <v>0</v>
      </c>
      <c r="AD5607" s="580">
        <f t="shared" si="471"/>
        <v>5</v>
      </c>
      <c r="AE5607" s="580">
        <f t="shared" si="472"/>
        <v>2.5</v>
      </c>
      <c r="AF5607" s="580">
        <f t="shared" si="473"/>
        <v>2.5</v>
      </c>
      <c r="AG5607" s="580">
        <f t="shared" si="474"/>
        <v>0</v>
      </c>
      <c r="AH5607" s="580">
        <f t="shared" si="475"/>
        <v>0</v>
      </c>
    </row>
    <row r="5608" spans="28:34">
      <c r="AB5608" s="580">
        <f>HLOOKUP("*"&amp;'Output annual'!$AC$2&amp;'Output annual'!$AD$2&amp;"*Zone People Number Of Occupants [](Hourly)",'Eplus results'!$1:$1048576,ROW(),FALSE)</f>
        <v>0</v>
      </c>
      <c r="AC5608" s="580">
        <f>HLOOKUP("*"&amp;'Output annual'!$AC$2&amp;'Output annual'!$AD$2&amp;"*FangerPMV(Hourly)",'Eplus results'!$1:$1048576,ROW(),FALSE)</f>
        <v>0</v>
      </c>
      <c r="AD5608" s="580">
        <f t="shared" si="471"/>
        <v>5</v>
      </c>
      <c r="AE5608" s="580">
        <f t="shared" si="472"/>
        <v>2.5</v>
      </c>
      <c r="AF5608" s="580">
        <f t="shared" si="473"/>
        <v>2.5</v>
      </c>
      <c r="AG5608" s="580">
        <f t="shared" si="474"/>
        <v>0</v>
      </c>
      <c r="AH5608" s="580">
        <f t="shared" si="475"/>
        <v>0</v>
      </c>
    </row>
    <row r="5609" spans="28:34">
      <c r="AB5609" s="580">
        <f>HLOOKUP("*"&amp;'Output annual'!$AC$2&amp;'Output annual'!$AD$2&amp;"*Zone People Number Of Occupants [](Hourly)",'Eplus results'!$1:$1048576,ROW(),FALSE)</f>
        <v>0</v>
      </c>
      <c r="AC5609" s="580">
        <f>HLOOKUP("*"&amp;'Output annual'!$AC$2&amp;'Output annual'!$AD$2&amp;"*FangerPMV(Hourly)",'Eplus results'!$1:$1048576,ROW(),FALSE)</f>
        <v>0</v>
      </c>
      <c r="AD5609" s="580">
        <f t="shared" si="471"/>
        <v>5</v>
      </c>
      <c r="AE5609" s="580">
        <f t="shared" si="472"/>
        <v>2.5</v>
      </c>
      <c r="AF5609" s="580">
        <f t="shared" si="473"/>
        <v>2.5</v>
      </c>
      <c r="AG5609" s="580">
        <f t="shared" si="474"/>
        <v>0</v>
      </c>
      <c r="AH5609" s="580">
        <f t="shared" si="475"/>
        <v>0</v>
      </c>
    </row>
    <row r="5610" spans="28:34">
      <c r="AB5610" s="580">
        <f>HLOOKUP("*"&amp;'Output annual'!$AC$2&amp;'Output annual'!$AD$2&amp;"*Zone People Number Of Occupants [](Hourly)",'Eplus results'!$1:$1048576,ROW(),FALSE)</f>
        <v>0</v>
      </c>
      <c r="AC5610" s="580">
        <f>HLOOKUP("*"&amp;'Output annual'!$AC$2&amp;'Output annual'!$AD$2&amp;"*FangerPMV(Hourly)",'Eplus results'!$1:$1048576,ROW(),FALSE)</f>
        <v>0</v>
      </c>
      <c r="AD5610" s="580">
        <f t="shared" si="471"/>
        <v>5</v>
      </c>
      <c r="AE5610" s="580">
        <f t="shared" si="472"/>
        <v>2.5</v>
      </c>
      <c r="AF5610" s="580">
        <f t="shared" si="473"/>
        <v>2.5</v>
      </c>
      <c r="AG5610" s="580">
        <f t="shared" si="474"/>
        <v>0</v>
      </c>
      <c r="AH5610" s="580">
        <f t="shared" si="475"/>
        <v>0</v>
      </c>
    </row>
    <row r="5611" spans="28:34">
      <c r="AB5611" s="580">
        <f>HLOOKUP("*"&amp;'Output annual'!$AC$2&amp;'Output annual'!$AD$2&amp;"*Zone People Number Of Occupants [](Hourly)",'Eplus results'!$1:$1048576,ROW(),FALSE)</f>
        <v>0</v>
      </c>
      <c r="AC5611" s="580">
        <f>HLOOKUP("*"&amp;'Output annual'!$AC$2&amp;'Output annual'!$AD$2&amp;"*FangerPMV(Hourly)",'Eplus results'!$1:$1048576,ROW(),FALSE)</f>
        <v>0</v>
      </c>
      <c r="AD5611" s="580">
        <f t="shared" si="471"/>
        <v>5</v>
      </c>
      <c r="AE5611" s="580">
        <f t="shared" si="472"/>
        <v>2.5</v>
      </c>
      <c r="AF5611" s="580">
        <f t="shared" si="473"/>
        <v>2.5</v>
      </c>
      <c r="AG5611" s="580">
        <f t="shared" si="474"/>
        <v>0</v>
      </c>
      <c r="AH5611" s="580">
        <f t="shared" si="475"/>
        <v>0</v>
      </c>
    </row>
    <row r="5612" spans="28:34">
      <c r="AB5612" s="580">
        <f>HLOOKUP("*"&amp;'Output annual'!$AC$2&amp;'Output annual'!$AD$2&amp;"*Zone People Number Of Occupants [](Hourly)",'Eplus results'!$1:$1048576,ROW(),FALSE)</f>
        <v>0</v>
      </c>
      <c r="AC5612" s="580">
        <f>HLOOKUP("*"&amp;'Output annual'!$AC$2&amp;'Output annual'!$AD$2&amp;"*FangerPMV(Hourly)",'Eplus results'!$1:$1048576,ROW(),FALSE)</f>
        <v>0</v>
      </c>
      <c r="AD5612" s="580">
        <f t="shared" si="471"/>
        <v>5</v>
      </c>
      <c r="AE5612" s="580">
        <f t="shared" si="472"/>
        <v>2.5</v>
      </c>
      <c r="AF5612" s="580">
        <f t="shared" si="473"/>
        <v>2.5</v>
      </c>
      <c r="AG5612" s="580">
        <f t="shared" si="474"/>
        <v>0</v>
      </c>
      <c r="AH5612" s="580">
        <f t="shared" si="475"/>
        <v>0</v>
      </c>
    </row>
    <row r="5613" spans="28:34">
      <c r="AB5613" s="580">
        <f>HLOOKUP("*"&amp;'Output annual'!$AC$2&amp;'Output annual'!$AD$2&amp;"*Zone People Number Of Occupants [](Hourly)",'Eplus results'!$1:$1048576,ROW(),FALSE)</f>
        <v>0</v>
      </c>
      <c r="AC5613" s="580">
        <f>HLOOKUP("*"&amp;'Output annual'!$AC$2&amp;'Output annual'!$AD$2&amp;"*FangerPMV(Hourly)",'Eplus results'!$1:$1048576,ROW(),FALSE)</f>
        <v>0</v>
      </c>
      <c r="AD5613" s="580">
        <f t="shared" si="471"/>
        <v>5</v>
      </c>
      <c r="AE5613" s="580">
        <f t="shared" si="472"/>
        <v>2.5</v>
      </c>
      <c r="AF5613" s="580">
        <f t="shared" si="473"/>
        <v>2.5</v>
      </c>
      <c r="AG5613" s="580">
        <f t="shared" si="474"/>
        <v>0</v>
      </c>
      <c r="AH5613" s="580">
        <f t="shared" si="475"/>
        <v>0</v>
      </c>
    </row>
    <row r="5614" spans="28:34">
      <c r="AB5614" s="580">
        <f>HLOOKUP("*"&amp;'Output annual'!$AC$2&amp;'Output annual'!$AD$2&amp;"*Zone People Number Of Occupants [](Hourly)",'Eplus results'!$1:$1048576,ROW(),FALSE)</f>
        <v>0</v>
      </c>
      <c r="AC5614" s="580">
        <f>HLOOKUP("*"&amp;'Output annual'!$AC$2&amp;'Output annual'!$AD$2&amp;"*FangerPMV(Hourly)",'Eplus results'!$1:$1048576,ROW(),FALSE)</f>
        <v>0</v>
      </c>
      <c r="AD5614" s="580">
        <f t="shared" si="471"/>
        <v>5</v>
      </c>
      <c r="AE5614" s="580">
        <f t="shared" si="472"/>
        <v>2.5</v>
      </c>
      <c r="AF5614" s="580">
        <f t="shared" si="473"/>
        <v>2.5</v>
      </c>
      <c r="AG5614" s="580">
        <f t="shared" si="474"/>
        <v>0</v>
      </c>
      <c r="AH5614" s="580">
        <f t="shared" si="475"/>
        <v>0</v>
      </c>
    </row>
    <row r="5615" spans="28:34">
      <c r="AB5615" s="580">
        <f>HLOOKUP("*"&amp;'Output annual'!$AC$2&amp;'Output annual'!$AD$2&amp;"*Zone People Number Of Occupants [](Hourly)",'Eplus results'!$1:$1048576,ROW(),FALSE)</f>
        <v>0</v>
      </c>
      <c r="AC5615" s="580">
        <f>HLOOKUP("*"&amp;'Output annual'!$AC$2&amp;'Output annual'!$AD$2&amp;"*FangerPMV(Hourly)",'Eplus results'!$1:$1048576,ROW(),FALSE)</f>
        <v>0</v>
      </c>
      <c r="AD5615" s="580">
        <f t="shared" si="471"/>
        <v>5</v>
      </c>
      <c r="AE5615" s="580">
        <f t="shared" si="472"/>
        <v>2.5</v>
      </c>
      <c r="AF5615" s="580">
        <f t="shared" si="473"/>
        <v>2.5</v>
      </c>
      <c r="AG5615" s="580">
        <f t="shared" si="474"/>
        <v>0</v>
      </c>
      <c r="AH5615" s="580">
        <f t="shared" si="475"/>
        <v>0</v>
      </c>
    </row>
    <row r="5616" spans="28:34">
      <c r="AB5616" s="580">
        <f>HLOOKUP("*"&amp;'Output annual'!$AC$2&amp;'Output annual'!$AD$2&amp;"*Zone People Number Of Occupants [](Hourly)",'Eplus results'!$1:$1048576,ROW(),FALSE)</f>
        <v>0</v>
      </c>
      <c r="AC5616" s="580">
        <f>HLOOKUP("*"&amp;'Output annual'!$AC$2&amp;'Output annual'!$AD$2&amp;"*FangerPMV(Hourly)",'Eplus results'!$1:$1048576,ROW(),FALSE)</f>
        <v>0</v>
      </c>
      <c r="AD5616" s="580">
        <f t="shared" si="471"/>
        <v>5</v>
      </c>
      <c r="AE5616" s="580">
        <f t="shared" si="472"/>
        <v>2.5</v>
      </c>
      <c r="AF5616" s="580">
        <f t="shared" si="473"/>
        <v>2.5</v>
      </c>
      <c r="AG5616" s="580">
        <f t="shared" si="474"/>
        <v>0</v>
      </c>
      <c r="AH5616" s="580">
        <f t="shared" si="475"/>
        <v>0</v>
      </c>
    </row>
    <row r="5617" spans="28:34">
      <c r="AB5617" s="580">
        <f>HLOOKUP("*"&amp;'Output annual'!$AC$2&amp;'Output annual'!$AD$2&amp;"*Zone People Number Of Occupants [](Hourly)",'Eplus results'!$1:$1048576,ROW(),FALSE)</f>
        <v>0</v>
      </c>
      <c r="AC5617" s="580">
        <f>HLOOKUP("*"&amp;'Output annual'!$AC$2&amp;'Output annual'!$AD$2&amp;"*FangerPMV(Hourly)",'Eplus results'!$1:$1048576,ROW(),FALSE)</f>
        <v>0</v>
      </c>
      <c r="AD5617" s="580">
        <f t="shared" si="471"/>
        <v>5</v>
      </c>
      <c r="AE5617" s="580">
        <f t="shared" si="472"/>
        <v>2.5</v>
      </c>
      <c r="AF5617" s="580">
        <f t="shared" si="473"/>
        <v>2.5</v>
      </c>
      <c r="AG5617" s="580">
        <f t="shared" si="474"/>
        <v>0</v>
      </c>
      <c r="AH5617" s="580">
        <f t="shared" si="475"/>
        <v>0</v>
      </c>
    </row>
    <row r="5618" spans="28:34">
      <c r="AB5618" s="580">
        <f>HLOOKUP("*"&amp;'Output annual'!$AC$2&amp;'Output annual'!$AD$2&amp;"*Zone People Number Of Occupants [](Hourly)",'Eplus results'!$1:$1048576,ROW(),FALSE)</f>
        <v>0</v>
      </c>
      <c r="AC5618" s="580">
        <f>HLOOKUP("*"&amp;'Output annual'!$AC$2&amp;'Output annual'!$AD$2&amp;"*FangerPMV(Hourly)",'Eplus results'!$1:$1048576,ROW(),FALSE)</f>
        <v>0</v>
      </c>
      <c r="AD5618" s="580">
        <f t="shared" si="471"/>
        <v>5</v>
      </c>
      <c r="AE5618" s="580">
        <f t="shared" si="472"/>
        <v>2.5</v>
      </c>
      <c r="AF5618" s="580">
        <f t="shared" si="473"/>
        <v>2.5</v>
      </c>
      <c r="AG5618" s="580">
        <f t="shared" si="474"/>
        <v>0</v>
      </c>
      <c r="AH5618" s="580">
        <f t="shared" si="475"/>
        <v>0</v>
      </c>
    </row>
    <row r="5619" spans="28:34">
      <c r="AB5619" s="580">
        <f>HLOOKUP("*"&amp;'Output annual'!$AC$2&amp;'Output annual'!$AD$2&amp;"*Zone People Number Of Occupants [](Hourly)",'Eplus results'!$1:$1048576,ROW(),FALSE)</f>
        <v>0</v>
      </c>
      <c r="AC5619" s="580">
        <f>HLOOKUP("*"&amp;'Output annual'!$AC$2&amp;'Output annual'!$AD$2&amp;"*FangerPMV(Hourly)",'Eplus results'!$1:$1048576,ROW(),FALSE)</f>
        <v>0</v>
      </c>
      <c r="AD5619" s="580">
        <f t="shared" si="471"/>
        <v>5</v>
      </c>
      <c r="AE5619" s="580">
        <f t="shared" si="472"/>
        <v>2.5</v>
      </c>
      <c r="AF5619" s="580">
        <f t="shared" si="473"/>
        <v>2.5</v>
      </c>
      <c r="AG5619" s="580">
        <f t="shared" si="474"/>
        <v>0</v>
      </c>
      <c r="AH5619" s="580">
        <f t="shared" si="475"/>
        <v>0</v>
      </c>
    </row>
    <row r="5620" spans="28:34">
      <c r="AB5620" s="580">
        <f>HLOOKUP("*"&amp;'Output annual'!$AC$2&amp;'Output annual'!$AD$2&amp;"*Zone People Number Of Occupants [](Hourly)",'Eplus results'!$1:$1048576,ROW(),FALSE)</f>
        <v>0</v>
      </c>
      <c r="AC5620" s="580">
        <f>HLOOKUP("*"&amp;'Output annual'!$AC$2&amp;'Output annual'!$AD$2&amp;"*FangerPMV(Hourly)",'Eplus results'!$1:$1048576,ROW(),FALSE)</f>
        <v>0</v>
      </c>
      <c r="AD5620" s="580">
        <f t="shared" si="471"/>
        <v>5</v>
      </c>
      <c r="AE5620" s="580">
        <f t="shared" si="472"/>
        <v>2.5</v>
      </c>
      <c r="AF5620" s="580">
        <f t="shared" si="473"/>
        <v>2.5</v>
      </c>
      <c r="AG5620" s="580">
        <f t="shared" si="474"/>
        <v>0</v>
      </c>
      <c r="AH5620" s="580">
        <f t="shared" si="475"/>
        <v>0</v>
      </c>
    </row>
    <row r="5621" spans="28:34">
      <c r="AB5621" s="580">
        <f>HLOOKUP("*"&amp;'Output annual'!$AC$2&amp;'Output annual'!$AD$2&amp;"*Zone People Number Of Occupants [](Hourly)",'Eplus results'!$1:$1048576,ROW(),FALSE)</f>
        <v>0</v>
      </c>
      <c r="AC5621" s="580">
        <f>HLOOKUP("*"&amp;'Output annual'!$AC$2&amp;'Output annual'!$AD$2&amp;"*FangerPMV(Hourly)",'Eplus results'!$1:$1048576,ROW(),FALSE)</f>
        <v>0</v>
      </c>
      <c r="AD5621" s="580">
        <f t="shared" si="471"/>
        <v>5</v>
      </c>
      <c r="AE5621" s="580">
        <f t="shared" si="472"/>
        <v>2.5</v>
      </c>
      <c r="AF5621" s="580">
        <f t="shared" si="473"/>
        <v>2.5</v>
      </c>
      <c r="AG5621" s="580">
        <f t="shared" si="474"/>
        <v>0</v>
      </c>
      <c r="AH5621" s="580">
        <f t="shared" si="475"/>
        <v>0</v>
      </c>
    </row>
    <row r="5622" spans="28:34">
      <c r="AB5622" s="580">
        <f>HLOOKUP("*"&amp;'Output annual'!$AC$2&amp;'Output annual'!$AD$2&amp;"*Zone People Number Of Occupants [](Hourly)",'Eplus results'!$1:$1048576,ROW(),FALSE)</f>
        <v>0</v>
      </c>
      <c r="AC5622" s="580">
        <f>HLOOKUP("*"&amp;'Output annual'!$AC$2&amp;'Output annual'!$AD$2&amp;"*FangerPMV(Hourly)",'Eplus results'!$1:$1048576,ROW(),FALSE)</f>
        <v>0</v>
      </c>
      <c r="AD5622" s="580">
        <f t="shared" si="471"/>
        <v>5</v>
      </c>
      <c r="AE5622" s="580">
        <f t="shared" si="472"/>
        <v>2.5</v>
      </c>
      <c r="AF5622" s="580">
        <f t="shared" si="473"/>
        <v>2.5</v>
      </c>
      <c r="AG5622" s="580">
        <f t="shared" si="474"/>
        <v>0</v>
      </c>
      <c r="AH5622" s="580">
        <f t="shared" si="475"/>
        <v>0</v>
      </c>
    </row>
    <row r="5623" spans="28:34">
      <c r="AB5623" s="580">
        <f>HLOOKUP("*"&amp;'Output annual'!$AC$2&amp;'Output annual'!$AD$2&amp;"*Zone People Number Of Occupants [](Hourly)",'Eplus results'!$1:$1048576,ROW(),FALSE)</f>
        <v>0</v>
      </c>
      <c r="AC5623" s="580">
        <f>HLOOKUP("*"&amp;'Output annual'!$AC$2&amp;'Output annual'!$AD$2&amp;"*FangerPMV(Hourly)",'Eplus results'!$1:$1048576,ROW(),FALSE)</f>
        <v>0</v>
      </c>
      <c r="AD5623" s="580">
        <f t="shared" si="471"/>
        <v>5</v>
      </c>
      <c r="AE5623" s="580">
        <f t="shared" si="472"/>
        <v>2.5</v>
      </c>
      <c r="AF5623" s="580">
        <f t="shared" si="473"/>
        <v>2.5</v>
      </c>
      <c r="AG5623" s="580">
        <f t="shared" si="474"/>
        <v>0</v>
      </c>
      <c r="AH5623" s="580">
        <f t="shared" si="475"/>
        <v>0</v>
      </c>
    </row>
    <row r="5624" spans="28:34">
      <c r="AB5624" s="580">
        <f>HLOOKUP("*"&amp;'Output annual'!$AC$2&amp;'Output annual'!$AD$2&amp;"*Zone People Number Of Occupants [](Hourly)",'Eplus results'!$1:$1048576,ROW(),FALSE)</f>
        <v>0</v>
      </c>
      <c r="AC5624" s="580">
        <f>HLOOKUP("*"&amp;'Output annual'!$AC$2&amp;'Output annual'!$AD$2&amp;"*FangerPMV(Hourly)",'Eplus results'!$1:$1048576,ROW(),FALSE)</f>
        <v>0</v>
      </c>
      <c r="AD5624" s="580">
        <f t="shared" si="471"/>
        <v>5</v>
      </c>
      <c r="AE5624" s="580">
        <f t="shared" si="472"/>
        <v>2.5</v>
      </c>
      <c r="AF5624" s="580">
        <f t="shared" si="473"/>
        <v>2.5</v>
      </c>
      <c r="AG5624" s="580">
        <f t="shared" si="474"/>
        <v>0</v>
      </c>
      <c r="AH5624" s="580">
        <f t="shared" si="475"/>
        <v>0</v>
      </c>
    </row>
    <row r="5625" spans="28:34">
      <c r="AB5625" s="580">
        <f>HLOOKUP("*"&amp;'Output annual'!$AC$2&amp;'Output annual'!$AD$2&amp;"*Zone People Number Of Occupants [](Hourly)",'Eplus results'!$1:$1048576,ROW(),FALSE)</f>
        <v>0</v>
      </c>
      <c r="AC5625" s="580">
        <f>HLOOKUP("*"&amp;'Output annual'!$AC$2&amp;'Output annual'!$AD$2&amp;"*FangerPMV(Hourly)",'Eplus results'!$1:$1048576,ROW(),FALSE)</f>
        <v>0</v>
      </c>
      <c r="AD5625" s="580">
        <f t="shared" si="471"/>
        <v>5</v>
      </c>
      <c r="AE5625" s="580">
        <f t="shared" si="472"/>
        <v>2.5</v>
      </c>
      <c r="AF5625" s="580">
        <f t="shared" si="473"/>
        <v>2.5</v>
      </c>
      <c r="AG5625" s="580">
        <f t="shared" si="474"/>
        <v>0</v>
      </c>
      <c r="AH5625" s="580">
        <f t="shared" si="475"/>
        <v>0</v>
      </c>
    </row>
    <row r="5626" spans="28:34">
      <c r="AB5626" s="580">
        <f>HLOOKUP("*"&amp;'Output annual'!$AC$2&amp;'Output annual'!$AD$2&amp;"*Zone People Number Of Occupants [](Hourly)",'Eplus results'!$1:$1048576,ROW(),FALSE)</f>
        <v>0</v>
      </c>
      <c r="AC5626" s="580">
        <f>HLOOKUP("*"&amp;'Output annual'!$AC$2&amp;'Output annual'!$AD$2&amp;"*FangerPMV(Hourly)",'Eplus results'!$1:$1048576,ROW(),FALSE)</f>
        <v>0</v>
      </c>
      <c r="AD5626" s="580">
        <f t="shared" si="471"/>
        <v>5</v>
      </c>
      <c r="AE5626" s="580">
        <f t="shared" si="472"/>
        <v>2.5</v>
      </c>
      <c r="AF5626" s="580">
        <f t="shared" si="473"/>
        <v>2.5</v>
      </c>
      <c r="AG5626" s="580">
        <f t="shared" si="474"/>
        <v>0</v>
      </c>
      <c r="AH5626" s="580">
        <f t="shared" si="475"/>
        <v>0</v>
      </c>
    </row>
    <row r="5627" spans="28:34">
      <c r="AB5627" s="580">
        <f>HLOOKUP("*"&amp;'Output annual'!$AC$2&amp;'Output annual'!$AD$2&amp;"*Zone People Number Of Occupants [](Hourly)",'Eplus results'!$1:$1048576,ROW(),FALSE)</f>
        <v>0</v>
      </c>
      <c r="AC5627" s="580">
        <f>HLOOKUP("*"&amp;'Output annual'!$AC$2&amp;'Output annual'!$AD$2&amp;"*FangerPMV(Hourly)",'Eplus results'!$1:$1048576,ROW(),FALSE)</f>
        <v>0</v>
      </c>
      <c r="AD5627" s="580">
        <f t="shared" si="471"/>
        <v>5</v>
      </c>
      <c r="AE5627" s="580">
        <f t="shared" si="472"/>
        <v>2.5</v>
      </c>
      <c r="AF5627" s="580">
        <f t="shared" si="473"/>
        <v>2.5</v>
      </c>
      <c r="AG5627" s="580">
        <f t="shared" si="474"/>
        <v>0</v>
      </c>
      <c r="AH5627" s="580">
        <f t="shared" si="475"/>
        <v>0</v>
      </c>
    </row>
    <row r="5628" spans="28:34">
      <c r="AB5628" s="580">
        <f>HLOOKUP("*"&amp;'Output annual'!$AC$2&amp;'Output annual'!$AD$2&amp;"*Zone People Number Of Occupants [](Hourly)",'Eplus results'!$1:$1048576,ROW(),FALSE)</f>
        <v>0</v>
      </c>
      <c r="AC5628" s="580">
        <f>HLOOKUP("*"&amp;'Output annual'!$AC$2&amp;'Output annual'!$AD$2&amp;"*FangerPMV(Hourly)",'Eplus results'!$1:$1048576,ROW(),FALSE)</f>
        <v>0</v>
      </c>
      <c r="AD5628" s="580">
        <f t="shared" si="471"/>
        <v>5</v>
      </c>
      <c r="AE5628" s="580">
        <f t="shared" si="472"/>
        <v>2.5</v>
      </c>
      <c r="AF5628" s="580">
        <f t="shared" si="473"/>
        <v>2.5</v>
      </c>
      <c r="AG5628" s="580">
        <f t="shared" si="474"/>
        <v>0</v>
      </c>
      <c r="AH5628" s="580">
        <f t="shared" si="475"/>
        <v>0</v>
      </c>
    </row>
    <row r="5629" spans="28:34">
      <c r="AB5629" s="580">
        <f>HLOOKUP("*"&amp;'Output annual'!$AC$2&amp;'Output annual'!$AD$2&amp;"*Zone People Number Of Occupants [](Hourly)",'Eplus results'!$1:$1048576,ROW(),FALSE)</f>
        <v>0</v>
      </c>
      <c r="AC5629" s="580">
        <f>HLOOKUP("*"&amp;'Output annual'!$AC$2&amp;'Output annual'!$AD$2&amp;"*FangerPMV(Hourly)",'Eplus results'!$1:$1048576,ROW(),FALSE)</f>
        <v>0</v>
      </c>
      <c r="AD5629" s="580">
        <f t="shared" si="471"/>
        <v>5</v>
      </c>
      <c r="AE5629" s="580">
        <f t="shared" si="472"/>
        <v>2.5</v>
      </c>
      <c r="AF5629" s="580">
        <f t="shared" si="473"/>
        <v>2.5</v>
      </c>
      <c r="AG5629" s="580">
        <f t="shared" si="474"/>
        <v>0</v>
      </c>
      <c r="AH5629" s="580">
        <f t="shared" si="475"/>
        <v>0</v>
      </c>
    </row>
    <row r="5630" spans="28:34">
      <c r="AB5630" s="580">
        <f>HLOOKUP("*"&amp;'Output annual'!$AC$2&amp;'Output annual'!$AD$2&amp;"*Zone People Number Of Occupants [](Hourly)",'Eplus results'!$1:$1048576,ROW(),FALSE)</f>
        <v>0</v>
      </c>
      <c r="AC5630" s="580">
        <f>HLOOKUP("*"&amp;'Output annual'!$AC$2&amp;'Output annual'!$AD$2&amp;"*FangerPMV(Hourly)",'Eplus results'!$1:$1048576,ROW(),FALSE)</f>
        <v>0</v>
      </c>
      <c r="AD5630" s="580">
        <f t="shared" si="471"/>
        <v>5</v>
      </c>
      <c r="AE5630" s="580">
        <f t="shared" si="472"/>
        <v>2.5</v>
      </c>
      <c r="AF5630" s="580">
        <f t="shared" si="473"/>
        <v>2.5</v>
      </c>
      <c r="AG5630" s="580">
        <f t="shared" si="474"/>
        <v>0</v>
      </c>
      <c r="AH5630" s="580">
        <f t="shared" si="475"/>
        <v>0</v>
      </c>
    </row>
    <row r="5631" spans="28:34">
      <c r="AB5631" s="580">
        <f>HLOOKUP("*"&amp;'Output annual'!$AC$2&amp;'Output annual'!$AD$2&amp;"*Zone People Number Of Occupants [](Hourly)",'Eplus results'!$1:$1048576,ROW(),FALSE)</f>
        <v>0</v>
      </c>
      <c r="AC5631" s="580">
        <f>HLOOKUP("*"&amp;'Output annual'!$AC$2&amp;'Output annual'!$AD$2&amp;"*FangerPMV(Hourly)",'Eplus results'!$1:$1048576,ROW(),FALSE)</f>
        <v>0</v>
      </c>
      <c r="AD5631" s="580">
        <f t="shared" si="471"/>
        <v>5</v>
      </c>
      <c r="AE5631" s="580">
        <f t="shared" si="472"/>
        <v>2.5</v>
      </c>
      <c r="AF5631" s="580">
        <f t="shared" si="473"/>
        <v>2.5</v>
      </c>
      <c r="AG5631" s="580">
        <f t="shared" si="474"/>
        <v>0</v>
      </c>
      <c r="AH5631" s="580">
        <f t="shared" si="475"/>
        <v>0</v>
      </c>
    </row>
    <row r="5632" spans="28:34">
      <c r="AB5632" s="580">
        <f>HLOOKUP("*"&amp;'Output annual'!$AC$2&amp;'Output annual'!$AD$2&amp;"*Zone People Number Of Occupants [](Hourly)",'Eplus results'!$1:$1048576,ROW(),FALSE)</f>
        <v>0</v>
      </c>
      <c r="AC5632" s="580">
        <f>HLOOKUP("*"&amp;'Output annual'!$AC$2&amp;'Output annual'!$AD$2&amp;"*FangerPMV(Hourly)",'Eplus results'!$1:$1048576,ROW(),FALSE)</f>
        <v>0</v>
      </c>
      <c r="AD5632" s="580">
        <f t="shared" si="471"/>
        <v>5</v>
      </c>
      <c r="AE5632" s="580">
        <f t="shared" si="472"/>
        <v>2.5</v>
      </c>
      <c r="AF5632" s="580">
        <f t="shared" si="473"/>
        <v>2.5</v>
      </c>
      <c r="AG5632" s="580">
        <f t="shared" si="474"/>
        <v>0</v>
      </c>
      <c r="AH5632" s="580">
        <f t="shared" si="475"/>
        <v>0</v>
      </c>
    </row>
    <row r="5633" spans="28:34">
      <c r="AB5633" s="580">
        <f>HLOOKUP("*"&amp;'Output annual'!$AC$2&amp;'Output annual'!$AD$2&amp;"*Zone People Number Of Occupants [](Hourly)",'Eplus results'!$1:$1048576,ROW(),FALSE)</f>
        <v>0</v>
      </c>
      <c r="AC5633" s="580">
        <f>HLOOKUP("*"&amp;'Output annual'!$AC$2&amp;'Output annual'!$AD$2&amp;"*FangerPMV(Hourly)",'Eplus results'!$1:$1048576,ROW(),FALSE)</f>
        <v>0</v>
      </c>
      <c r="AD5633" s="580">
        <f t="shared" si="471"/>
        <v>5</v>
      </c>
      <c r="AE5633" s="580">
        <f t="shared" si="472"/>
        <v>2.5</v>
      </c>
      <c r="AF5633" s="580">
        <f t="shared" si="473"/>
        <v>2.5</v>
      </c>
      <c r="AG5633" s="580">
        <f t="shared" si="474"/>
        <v>0</v>
      </c>
      <c r="AH5633" s="580">
        <f t="shared" si="475"/>
        <v>0</v>
      </c>
    </row>
    <row r="5634" spans="28:34">
      <c r="AB5634" s="580">
        <f>HLOOKUP("*"&amp;'Output annual'!$AC$2&amp;'Output annual'!$AD$2&amp;"*Zone People Number Of Occupants [](Hourly)",'Eplus results'!$1:$1048576,ROW(),FALSE)</f>
        <v>0</v>
      </c>
      <c r="AC5634" s="580">
        <f>HLOOKUP("*"&amp;'Output annual'!$AC$2&amp;'Output annual'!$AD$2&amp;"*FangerPMV(Hourly)",'Eplus results'!$1:$1048576,ROW(),FALSE)</f>
        <v>0</v>
      </c>
      <c r="AD5634" s="580">
        <f t="shared" si="471"/>
        <v>5</v>
      </c>
      <c r="AE5634" s="580">
        <f t="shared" si="472"/>
        <v>2.5</v>
      </c>
      <c r="AF5634" s="580">
        <f t="shared" si="473"/>
        <v>2.5</v>
      </c>
      <c r="AG5634" s="580">
        <f t="shared" si="474"/>
        <v>0</v>
      </c>
      <c r="AH5634" s="580">
        <f t="shared" si="475"/>
        <v>0</v>
      </c>
    </row>
    <row r="5635" spans="28:34">
      <c r="AB5635" s="580">
        <f>HLOOKUP("*"&amp;'Output annual'!$AC$2&amp;'Output annual'!$AD$2&amp;"*Zone People Number Of Occupants [](Hourly)",'Eplus results'!$1:$1048576,ROW(),FALSE)</f>
        <v>0</v>
      </c>
      <c r="AC5635" s="580">
        <f>HLOOKUP("*"&amp;'Output annual'!$AC$2&amp;'Output annual'!$AD$2&amp;"*FangerPMV(Hourly)",'Eplus results'!$1:$1048576,ROW(),FALSE)</f>
        <v>0</v>
      </c>
      <c r="AD5635" s="580">
        <f t="shared" ref="AD5635:AD5698" si="476">100-95*EXP(-0.03353*AC5635^4-0.2179*AC5635^2)</f>
        <v>5</v>
      </c>
      <c r="AE5635" s="580">
        <f t="shared" ref="AE5635:AE5698" si="477">AD5635*(1/(1+EXP(-6.3*$AC5635)))</f>
        <v>2.5</v>
      </c>
      <c r="AF5635" s="580">
        <f t="shared" ref="AF5635:AF5698" si="478">(AD5635-AE5635)</f>
        <v>2.5</v>
      </c>
      <c r="AG5635" s="580">
        <f t="shared" ref="AG5635:AG5698" si="479">AE5635*AB5635</f>
        <v>0</v>
      </c>
      <c r="AH5635" s="580">
        <f t="shared" ref="AH5635:AH5698" si="480">AF5635*AB5635</f>
        <v>0</v>
      </c>
    </row>
    <row r="5636" spans="28:34">
      <c r="AB5636" s="580">
        <f>HLOOKUP("*"&amp;'Output annual'!$AC$2&amp;'Output annual'!$AD$2&amp;"*Zone People Number Of Occupants [](Hourly)",'Eplus results'!$1:$1048576,ROW(),FALSE)</f>
        <v>0</v>
      </c>
      <c r="AC5636" s="580">
        <f>HLOOKUP("*"&amp;'Output annual'!$AC$2&amp;'Output annual'!$AD$2&amp;"*FangerPMV(Hourly)",'Eplus results'!$1:$1048576,ROW(),FALSE)</f>
        <v>0</v>
      </c>
      <c r="AD5636" s="580">
        <f t="shared" si="476"/>
        <v>5</v>
      </c>
      <c r="AE5636" s="580">
        <f t="shared" si="477"/>
        <v>2.5</v>
      </c>
      <c r="AF5636" s="580">
        <f t="shared" si="478"/>
        <v>2.5</v>
      </c>
      <c r="AG5636" s="580">
        <f t="shared" si="479"/>
        <v>0</v>
      </c>
      <c r="AH5636" s="580">
        <f t="shared" si="480"/>
        <v>0</v>
      </c>
    </row>
    <row r="5637" spans="28:34">
      <c r="AB5637" s="580">
        <f>HLOOKUP("*"&amp;'Output annual'!$AC$2&amp;'Output annual'!$AD$2&amp;"*Zone People Number Of Occupants [](Hourly)",'Eplus results'!$1:$1048576,ROW(),FALSE)</f>
        <v>0</v>
      </c>
      <c r="AC5637" s="580">
        <f>HLOOKUP("*"&amp;'Output annual'!$AC$2&amp;'Output annual'!$AD$2&amp;"*FangerPMV(Hourly)",'Eplus results'!$1:$1048576,ROW(),FALSE)</f>
        <v>0</v>
      </c>
      <c r="AD5637" s="580">
        <f t="shared" si="476"/>
        <v>5</v>
      </c>
      <c r="AE5637" s="580">
        <f t="shared" si="477"/>
        <v>2.5</v>
      </c>
      <c r="AF5637" s="580">
        <f t="shared" si="478"/>
        <v>2.5</v>
      </c>
      <c r="AG5637" s="580">
        <f t="shared" si="479"/>
        <v>0</v>
      </c>
      <c r="AH5637" s="580">
        <f t="shared" si="480"/>
        <v>0</v>
      </c>
    </row>
    <row r="5638" spans="28:34">
      <c r="AB5638" s="580">
        <f>HLOOKUP("*"&amp;'Output annual'!$AC$2&amp;'Output annual'!$AD$2&amp;"*Zone People Number Of Occupants [](Hourly)",'Eplus results'!$1:$1048576,ROW(),FALSE)</f>
        <v>0</v>
      </c>
      <c r="AC5638" s="580">
        <f>HLOOKUP("*"&amp;'Output annual'!$AC$2&amp;'Output annual'!$AD$2&amp;"*FangerPMV(Hourly)",'Eplus results'!$1:$1048576,ROW(),FALSE)</f>
        <v>0</v>
      </c>
      <c r="AD5638" s="580">
        <f t="shared" si="476"/>
        <v>5</v>
      </c>
      <c r="AE5638" s="580">
        <f t="shared" si="477"/>
        <v>2.5</v>
      </c>
      <c r="AF5638" s="580">
        <f t="shared" si="478"/>
        <v>2.5</v>
      </c>
      <c r="AG5638" s="580">
        <f t="shared" si="479"/>
        <v>0</v>
      </c>
      <c r="AH5638" s="580">
        <f t="shared" si="480"/>
        <v>0</v>
      </c>
    </row>
    <row r="5639" spans="28:34">
      <c r="AB5639" s="580">
        <f>HLOOKUP("*"&amp;'Output annual'!$AC$2&amp;'Output annual'!$AD$2&amp;"*Zone People Number Of Occupants [](Hourly)",'Eplus results'!$1:$1048576,ROW(),FALSE)</f>
        <v>0</v>
      </c>
      <c r="AC5639" s="580">
        <f>HLOOKUP("*"&amp;'Output annual'!$AC$2&amp;'Output annual'!$AD$2&amp;"*FangerPMV(Hourly)",'Eplus results'!$1:$1048576,ROW(),FALSE)</f>
        <v>0</v>
      </c>
      <c r="AD5639" s="580">
        <f t="shared" si="476"/>
        <v>5</v>
      </c>
      <c r="AE5639" s="580">
        <f t="shared" si="477"/>
        <v>2.5</v>
      </c>
      <c r="AF5639" s="580">
        <f t="shared" si="478"/>
        <v>2.5</v>
      </c>
      <c r="AG5639" s="580">
        <f t="shared" si="479"/>
        <v>0</v>
      </c>
      <c r="AH5639" s="580">
        <f t="shared" si="480"/>
        <v>0</v>
      </c>
    </row>
    <row r="5640" spans="28:34">
      <c r="AB5640" s="580">
        <f>HLOOKUP("*"&amp;'Output annual'!$AC$2&amp;'Output annual'!$AD$2&amp;"*Zone People Number Of Occupants [](Hourly)",'Eplus results'!$1:$1048576,ROW(),FALSE)</f>
        <v>0</v>
      </c>
      <c r="AC5640" s="580">
        <f>HLOOKUP("*"&amp;'Output annual'!$AC$2&amp;'Output annual'!$AD$2&amp;"*FangerPMV(Hourly)",'Eplus results'!$1:$1048576,ROW(),FALSE)</f>
        <v>0</v>
      </c>
      <c r="AD5640" s="580">
        <f t="shared" si="476"/>
        <v>5</v>
      </c>
      <c r="AE5640" s="580">
        <f t="shared" si="477"/>
        <v>2.5</v>
      </c>
      <c r="AF5640" s="580">
        <f t="shared" si="478"/>
        <v>2.5</v>
      </c>
      <c r="AG5640" s="580">
        <f t="shared" si="479"/>
        <v>0</v>
      </c>
      <c r="AH5640" s="580">
        <f t="shared" si="480"/>
        <v>0</v>
      </c>
    </row>
    <row r="5641" spans="28:34">
      <c r="AB5641" s="580">
        <f>HLOOKUP("*"&amp;'Output annual'!$AC$2&amp;'Output annual'!$AD$2&amp;"*Zone People Number Of Occupants [](Hourly)",'Eplus results'!$1:$1048576,ROW(),FALSE)</f>
        <v>0</v>
      </c>
      <c r="AC5641" s="580">
        <f>HLOOKUP("*"&amp;'Output annual'!$AC$2&amp;'Output annual'!$AD$2&amp;"*FangerPMV(Hourly)",'Eplus results'!$1:$1048576,ROW(),FALSE)</f>
        <v>0</v>
      </c>
      <c r="AD5641" s="580">
        <f t="shared" si="476"/>
        <v>5</v>
      </c>
      <c r="AE5641" s="580">
        <f t="shared" si="477"/>
        <v>2.5</v>
      </c>
      <c r="AF5641" s="580">
        <f t="shared" si="478"/>
        <v>2.5</v>
      </c>
      <c r="AG5641" s="580">
        <f t="shared" si="479"/>
        <v>0</v>
      </c>
      <c r="AH5641" s="580">
        <f t="shared" si="480"/>
        <v>0</v>
      </c>
    </row>
    <row r="5642" spans="28:34">
      <c r="AB5642" s="580">
        <f>HLOOKUP("*"&amp;'Output annual'!$AC$2&amp;'Output annual'!$AD$2&amp;"*Zone People Number Of Occupants [](Hourly)",'Eplus results'!$1:$1048576,ROW(),FALSE)</f>
        <v>0</v>
      </c>
      <c r="AC5642" s="580">
        <f>HLOOKUP("*"&amp;'Output annual'!$AC$2&amp;'Output annual'!$AD$2&amp;"*FangerPMV(Hourly)",'Eplus results'!$1:$1048576,ROW(),FALSE)</f>
        <v>0</v>
      </c>
      <c r="AD5642" s="580">
        <f t="shared" si="476"/>
        <v>5</v>
      </c>
      <c r="AE5642" s="580">
        <f t="shared" si="477"/>
        <v>2.5</v>
      </c>
      <c r="AF5642" s="580">
        <f t="shared" si="478"/>
        <v>2.5</v>
      </c>
      <c r="AG5642" s="580">
        <f t="shared" si="479"/>
        <v>0</v>
      </c>
      <c r="AH5642" s="580">
        <f t="shared" si="480"/>
        <v>0</v>
      </c>
    </row>
    <row r="5643" spans="28:34">
      <c r="AB5643" s="580">
        <f>HLOOKUP("*"&amp;'Output annual'!$AC$2&amp;'Output annual'!$AD$2&amp;"*Zone People Number Of Occupants [](Hourly)",'Eplus results'!$1:$1048576,ROW(),FALSE)</f>
        <v>0</v>
      </c>
      <c r="AC5643" s="580">
        <f>HLOOKUP("*"&amp;'Output annual'!$AC$2&amp;'Output annual'!$AD$2&amp;"*FangerPMV(Hourly)",'Eplus results'!$1:$1048576,ROW(),FALSE)</f>
        <v>0</v>
      </c>
      <c r="AD5643" s="580">
        <f t="shared" si="476"/>
        <v>5</v>
      </c>
      <c r="AE5643" s="580">
        <f t="shared" si="477"/>
        <v>2.5</v>
      </c>
      <c r="AF5643" s="580">
        <f t="shared" si="478"/>
        <v>2.5</v>
      </c>
      <c r="AG5643" s="580">
        <f t="shared" si="479"/>
        <v>0</v>
      </c>
      <c r="AH5643" s="580">
        <f t="shared" si="480"/>
        <v>0</v>
      </c>
    </row>
    <row r="5644" spans="28:34">
      <c r="AB5644" s="580">
        <f>HLOOKUP("*"&amp;'Output annual'!$AC$2&amp;'Output annual'!$AD$2&amp;"*Zone People Number Of Occupants [](Hourly)",'Eplus results'!$1:$1048576,ROW(),FALSE)</f>
        <v>0</v>
      </c>
      <c r="AC5644" s="580">
        <f>HLOOKUP("*"&amp;'Output annual'!$AC$2&amp;'Output annual'!$AD$2&amp;"*FangerPMV(Hourly)",'Eplus results'!$1:$1048576,ROW(),FALSE)</f>
        <v>0</v>
      </c>
      <c r="AD5644" s="580">
        <f t="shared" si="476"/>
        <v>5</v>
      </c>
      <c r="AE5644" s="580">
        <f t="shared" si="477"/>
        <v>2.5</v>
      </c>
      <c r="AF5644" s="580">
        <f t="shared" si="478"/>
        <v>2.5</v>
      </c>
      <c r="AG5644" s="580">
        <f t="shared" si="479"/>
        <v>0</v>
      </c>
      <c r="AH5644" s="580">
        <f t="shared" si="480"/>
        <v>0</v>
      </c>
    </row>
    <row r="5645" spans="28:34">
      <c r="AB5645" s="580">
        <f>HLOOKUP("*"&amp;'Output annual'!$AC$2&amp;'Output annual'!$AD$2&amp;"*Zone People Number Of Occupants [](Hourly)",'Eplus results'!$1:$1048576,ROW(),FALSE)</f>
        <v>0</v>
      </c>
      <c r="AC5645" s="580">
        <f>HLOOKUP("*"&amp;'Output annual'!$AC$2&amp;'Output annual'!$AD$2&amp;"*FangerPMV(Hourly)",'Eplus results'!$1:$1048576,ROW(),FALSE)</f>
        <v>0</v>
      </c>
      <c r="AD5645" s="580">
        <f t="shared" si="476"/>
        <v>5</v>
      </c>
      <c r="AE5645" s="580">
        <f t="shared" si="477"/>
        <v>2.5</v>
      </c>
      <c r="AF5645" s="580">
        <f t="shared" si="478"/>
        <v>2.5</v>
      </c>
      <c r="AG5645" s="580">
        <f t="shared" si="479"/>
        <v>0</v>
      </c>
      <c r="AH5645" s="580">
        <f t="shared" si="480"/>
        <v>0</v>
      </c>
    </row>
    <row r="5646" spans="28:34">
      <c r="AB5646" s="580">
        <f>HLOOKUP("*"&amp;'Output annual'!$AC$2&amp;'Output annual'!$AD$2&amp;"*Zone People Number Of Occupants [](Hourly)",'Eplus results'!$1:$1048576,ROW(),FALSE)</f>
        <v>0</v>
      </c>
      <c r="AC5646" s="580">
        <f>HLOOKUP("*"&amp;'Output annual'!$AC$2&amp;'Output annual'!$AD$2&amp;"*FangerPMV(Hourly)",'Eplus results'!$1:$1048576,ROW(),FALSE)</f>
        <v>0</v>
      </c>
      <c r="AD5646" s="580">
        <f t="shared" si="476"/>
        <v>5</v>
      </c>
      <c r="AE5646" s="580">
        <f t="shared" si="477"/>
        <v>2.5</v>
      </c>
      <c r="AF5646" s="580">
        <f t="shared" si="478"/>
        <v>2.5</v>
      </c>
      <c r="AG5646" s="580">
        <f t="shared" si="479"/>
        <v>0</v>
      </c>
      <c r="AH5646" s="580">
        <f t="shared" si="480"/>
        <v>0</v>
      </c>
    </row>
    <row r="5647" spans="28:34">
      <c r="AB5647" s="580">
        <f>HLOOKUP("*"&amp;'Output annual'!$AC$2&amp;'Output annual'!$AD$2&amp;"*Zone People Number Of Occupants [](Hourly)",'Eplus results'!$1:$1048576,ROW(),FALSE)</f>
        <v>0</v>
      </c>
      <c r="AC5647" s="580">
        <f>HLOOKUP("*"&amp;'Output annual'!$AC$2&amp;'Output annual'!$AD$2&amp;"*FangerPMV(Hourly)",'Eplus results'!$1:$1048576,ROW(),FALSE)</f>
        <v>0</v>
      </c>
      <c r="AD5647" s="580">
        <f t="shared" si="476"/>
        <v>5</v>
      </c>
      <c r="AE5647" s="580">
        <f t="shared" si="477"/>
        <v>2.5</v>
      </c>
      <c r="AF5647" s="580">
        <f t="shared" si="478"/>
        <v>2.5</v>
      </c>
      <c r="AG5647" s="580">
        <f t="shared" si="479"/>
        <v>0</v>
      </c>
      <c r="AH5647" s="580">
        <f t="shared" si="480"/>
        <v>0</v>
      </c>
    </row>
    <row r="5648" spans="28:34">
      <c r="AB5648" s="580">
        <f>HLOOKUP("*"&amp;'Output annual'!$AC$2&amp;'Output annual'!$AD$2&amp;"*Zone People Number Of Occupants [](Hourly)",'Eplus results'!$1:$1048576,ROW(),FALSE)</f>
        <v>0</v>
      </c>
      <c r="AC5648" s="580">
        <f>HLOOKUP("*"&amp;'Output annual'!$AC$2&amp;'Output annual'!$AD$2&amp;"*FangerPMV(Hourly)",'Eplus results'!$1:$1048576,ROW(),FALSE)</f>
        <v>0</v>
      </c>
      <c r="AD5648" s="580">
        <f t="shared" si="476"/>
        <v>5</v>
      </c>
      <c r="AE5648" s="580">
        <f t="shared" si="477"/>
        <v>2.5</v>
      </c>
      <c r="AF5648" s="580">
        <f t="shared" si="478"/>
        <v>2.5</v>
      </c>
      <c r="AG5648" s="580">
        <f t="shared" si="479"/>
        <v>0</v>
      </c>
      <c r="AH5648" s="580">
        <f t="shared" si="480"/>
        <v>0</v>
      </c>
    </row>
    <row r="5649" spans="28:34">
      <c r="AB5649" s="580">
        <f>HLOOKUP("*"&amp;'Output annual'!$AC$2&amp;'Output annual'!$AD$2&amp;"*Zone People Number Of Occupants [](Hourly)",'Eplus results'!$1:$1048576,ROW(),FALSE)</f>
        <v>0</v>
      </c>
      <c r="AC5649" s="580">
        <f>HLOOKUP("*"&amp;'Output annual'!$AC$2&amp;'Output annual'!$AD$2&amp;"*FangerPMV(Hourly)",'Eplus results'!$1:$1048576,ROW(),FALSE)</f>
        <v>0</v>
      </c>
      <c r="AD5649" s="580">
        <f t="shared" si="476"/>
        <v>5</v>
      </c>
      <c r="AE5649" s="580">
        <f t="shared" si="477"/>
        <v>2.5</v>
      </c>
      <c r="AF5649" s="580">
        <f t="shared" si="478"/>
        <v>2.5</v>
      </c>
      <c r="AG5649" s="580">
        <f t="shared" si="479"/>
        <v>0</v>
      </c>
      <c r="AH5649" s="580">
        <f t="shared" si="480"/>
        <v>0</v>
      </c>
    </row>
    <row r="5650" spans="28:34">
      <c r="AB5650" s="580">
        <f>HLOOKUP("*"&amp;'Output annual'!$AC$2&amp;'Output annual'!$AD$2&amp;"*Zone People Number Of Occupants [](Hourly)",'Eplus results'!$1:$1048576,ROW(),FALSE)</f>
        <v>0</v>
      </c>
      <c r="AC5650" s="580">
        <f>HLOOKUP("*"&amp;'Output annual'!$AC$2&amp;'Output annual'!$AD$2&amp;"*FangerPMV(Hourly)",'Eplus results'!$1:$1048576,ROW(),FALSE)</f>
        <v>0</v>
      </c>
      <c r="AD5650" s="580">
        <f t="shared" si="476"/>
        <v>5</v>
      </c>
      <c r="AE5650" s="580">
        <f t="shared" si="477"/>
        <v>2.5</v>
      </c>
      <c r="AF5650" s="580">
        <f t="shared" si="478"/>
        <v>2.5</v>
      </c>
      <c r="AG5650" s="580">
        <f t="shared" si="479"/>
        <v>0</v>
      </c>
      <c r="AH5650" s="580">
        <f t="shared" si="480"/>
        <v>0</v>
      </c>
    </row>
    <row r="5651" spans="28:34">
      <c r="AB5651" s="580">
        <f>HLOOKUP("*"&amp;'Output annual'!$AC$2&amp;'Output annual'!$AD$2&amp;"*Zone People Number Of Occupants [](Hourly)",'Eplus results'!$1:$1048576,ROW(),FALSE)</f>
        <v>0</v>
      </c>
      <c r="AC5651" s="580">
        <f>HLOOKUP("*"&amp;'Output annual'!$AC$2&amp;'Output annual'!$AD$2&amp;"*FangerPMV(Hourly)",'Eplus results'!$1:$1048576,ROW(),FALSE)</f>
        <v>0</v>
      </c>
      <c r="AD5651" s="580">
        <f t="shared" si="476"/>
        <v>5</v>
      </c>
      <c r="AE5651" s="580">
        <f t="shared" si="477"/>
        <v>2.5</v>
      </c>
      <c r="AF5651" s="580">
        <f t="shared" si="478"/>
        <v>2.5</v>
      </c>
      <c r="AG5651" s="580">
        <f t="shared" si="479"/>
        <v>0</v>
      </c>
      <c r="AH5651" s="580">
        <f t="shared" si="480"/>
        <v>0</v>
      </c>
    </row>
    <row r="5652" spans="28:34">
      <c r="AB5652" s="580">
        <f>HLOOKUP("*"&amp;'Output annual'!$AC$2&amp;'Output annual'!$AD$2&amp;"*Zone People Number Of Occupants [](Hourly)",'Eplus results'!$1:$1048576,ROW(),FALSE)</f>
        <v>0</v>
      </c>
      <c r="AC5652" s="580">
        <f>HLOOKUP("*"&amp;'Output annual'!$AC$2&amp;'Output annual'!$AD$2&amp;"*FangerPMV(Hourly)",'Eplus results'!$1:$1048576,ROW(),FALSE)</f>
        <v>0</v>
      </c>
      <c r="AD5652" s="580">
        <f t="shared" si="476"/>
        <v>5</v>
      </c>
      <c r="AE5652" s="580">
        <f t="shared" si="477"/>
        <v>2.5</v>
      </c>
      <c r="AF5652" s="580">
        <f t="shared" si="478"/>
        <v>2.5</v>
      </c>
      <c r="AG5652" s="580">
        <f t="shared" si="479"/>
        <v>0</v>
      </c>
      <c r="AH5652" s="580">
        <f t="shared" si="480"/>
        <v>0</v>
      </c>
    </row>
    <row r="5653" spans="28:34">
      <c r="AB5653" s="580">
        <f>HLOOKUP("*"&amp;'Output annual'!$AC$2&amp;'Output annual'!$AD$2&amp;"*Zone People Number Of Occupants [](Hourly)",'Eplus results'!$1:$1048576,ROW(),FALSE)</f>
        <v>0</v>
      </c>
      <c r="AC5653" s="580">
        <f>HLOOKUP("*"&amp;'Output annual'!$AC$2&amp;'Output annual'!$AD$2&amp;"*FangerPMV(Hourly)",'Eplus results'!$1:$1048576,ROW(),FALSE)</f>
        <v>0</v>
      </c>
      <c r="AD5653" s="580">
        <f t="shared" si="476"/>
        <v>5</v>
      </c>
      <c r="AE5653" s="580">
        <f t="shared" si="477"/>
        <v>2.5</v>
      </c>
      <c r="AF5653" s="580">
        <f t="shared" si="478"/>
        <v>2.5</v>
      </c>
      <c r="AG5653" s="580">
        <f t="shared" si="479"/>
        <v>0</v>
      </c>
      <c r="AH5653" s="580">
        <f t="shared" si="480"/>
        <v>0</v>
      </c>
    </row>
    <row r="5654" spans="28:34">
      <c r="AB5654" s="580">
        <f>HLOOKUP("*"&amp;'Output annual'!$AC$2&amp;'Output annual'!$AD$2&amp;"*Zone People Number Of Occupants [](Hourly)",'Eplus results'!$1:$1048576,ROW(),FALSE)</f>
        <v>0</v>
      </c>
      <c r="AC5654" s="580">
        <f>HLOOKUP("*"&amp;'Output annual'!$AC$2&amp;'Output annual'!$AD$2&amp;"*FangerPMV(Hourly)",'Eplus results'!$1:$1048576,ROW(),FALSE)</f>
        <v>0</v>
      </c>
      <c r="AD5654" s="580">
        <f t="shared" si="476"/>
        <v>5</v>
      </c>
      <c r="AE5654" s="580">
        <f t="shared" si="477"/>
        <v>2.5</v>
      </c>
      <c r="AF5654" s="580">
        <f t="shared" si="478"/>
        <v>2.5</v>
      </c>
      <c r="AG5654" s="580">
        <f t="shared" si="479"/>
        <v>0</v>
      </c>
      <c r="AH5654" s="580">
        <f t="shared" si="480"/>
        <v>0</v>
      </c>
    </row>
    <row r="5655" spans="28:34">
      <c r="AB5655" s="580">
        <f>HLOOKUP("*"&amp;'Output annual'!$AC$2&amp;'Output annual'!$AD$2&amp;"*Zone People Number Of Occupants [](Hourly)",'Eplus results'!$1:$1048576,ROW(),FALSE)</f>
        <v>0</v>
      </c>
      <c r="AC5655" s="580">
        <f>HLOOKUP("*"&amp;'Output annual'!$AC$2&amp;'Output annual'!$AD$2&amp;"*FangerPMV(Hourly)",'Eplus results'!$1:$1048576,ROW(),FALSE)</f>
        <v>0</v>
      </c>
      <c r="AD5655" s="580">
        <f t="shared" si="476"/>
        <v>5</v>
      </c>
      <c r="AE5655" s="580">
        <f t="shared" si="477"/>
        <v>2.5</v>
      </c>
      <c r="AF5655" s="580">
        <f t="shared" si="478"/>
        <v>2.5</v>
      </c>
      <c r="AG5655" s="580">
        <f t="shared" si="479"/>
        <v>0</v>
      </c>
      <c r="AH5655" s="580">
        <f t="shared" si="480"/>
        <v>0</v>
      </c>
    </row>
    <row r="5656" spans="28:34">
      <c r="AB5656" s="580">
        <f>HLOOKUP("*"&amp;'Output annual'!$AC$2&amp;'Output annual'!$AD$2&amp;"*Zone People Number Of Occupants [](Hourly)",'Eplus results'!$1:$1048576,ROW(),FALSE)</f>
        <v>0</v>
      </c>
      <c r="AC5656" s="580">
        <f>HLOOKUP("*"&amp;'Output annual'!$AC$2&amp;'Output annual'!$AD$2&amp;"*FangerPMV(Hourly)",'Eplus results'!$1:$1048576,ROW(),FALSE)</f>
        <v>0</v>
      </c>
      <c r="AD5656" s="580">
        <f t="shared" si="476"/>
        <v>5</v>
      </c>
      <c r="AE5656" s="580">
        <f t="shared" si="477"/>
        <v>2.5</v>
      </c>
      <c r="AF5656" s="580">
        <f t="shared" si="478"/>
        <v>2.5</v>
      </c>
      <c r="AG5656" s="580">
        <f t="shared" si="479"/>
        <v>0</v>
      </c>
      <c r="AH5656" s="580">
        <f t="shared" si="480"/>
        <v>0</v>
      </c>
    </row>
    <row r="5657" spans="28:34">
      <c r="AB5657" s="580">
        <f>HLOOKUP("*"&amp;'Output annual'!$AC$2&amp;'Output annual'!$AD$2&amp;"*Zone People Number Of Occupants [](Hourly)",'Eplus results'!$1:$1048576,ROW(),FALSE)</f>
        <v>0</v>
      </c>
      <c r="AC5657" s="580">
        <f>HLOOKUP("*"&amp;'Output annual'!$AC$2&amp;'Output annual'!$AD$2&amp;"*FangerPMV(Hourly)",'Eplus results'!$1:$1048576,ROW(),FALSE)</f>
        <v>0</v>
      </c>
      <c r="AD5657" s="580">
        <f t="shared" si="476"/>
        <v>5</v>
      </c>
      <c r="AE5657" s="580">
        <f t="shared" si="477"/>
        <v>2.5</v>
      </c>
      <c r="AF5657" s="580">
        <f t="shared" si="478"/>
        <v>2.5</v>
      </c>
      <c r="AG5657" s="580">
        <f t="shared" si="479"/>
        <v>0</v>
      </c>
      <c r="AH5657" s="580">
        <f t="shared" si="480"/>
        <v>0</v>
      </c>
    </row>
    <row r="5658" spans="28:34">
      <c r="AB5658" s="580">
        <f>HLOOKUP("*"&amp;'Output annual'!$AC$2&amp;'Output annual'!$AD$2&amp;"*Zone People Number Of Occupants [](Hourly)",'Eplus results'!$1:$1048576,ROW(),FALSE)</f>
        <v>0</v>
      </c>
      <c r="AC5658" s="580">
        <f>HLOOKUP("*"&amp;'Output annual'!$AC$2&amp;'Output annual'!$AD$2&amp;"*FangerPMV(Hourly)",'Eplus results'!$1:$1048576,ROW(),FALSE)</f>
        <v>0</v>
      </c>
      <c r="AD5658" s="580">
        <f t="shared" si="476"/>
        <v>5</v>
      </c>
      <c r="AE5658" s="580">
        <f t="shared" si="477"/>
        <v>2.5</v>
      </c>
      <c r="AF5658" s="580">
        <f t="shared" si="478"/>
        <v>2.5</v>
      </c>
      <c r="AG5658" s="580">
        <f t="shared" si="479"/>
        <v>0</v>
      </c>
      <c r="AH5658" s="580">
        <f t="shared" si="480"/>
        <v>0</v>
      </c>
    </row>
    <row r="5659" spans="28:34">
      <c r="AB5659" s="580">
        <f>HLOOKUP("*"&amp;'Output annual'!$AC$2&amp;'Output annual'!$AD$2&amp;"*Zone People Number Of Occupants [](Hourly)",'Eplus results'!$1:$1048576,ROW(),FALSE)</f>
        <v>0</v>
      </c>
      <c r="AC5659" s="580">
        <f>HLOOKUP("*"&amp;'Output annual'!$AC$2&amp;'Output annual'!$AD$2&amp;"*FangerPMV(Hourly)",'Eplus results'!$1:$1048576,ROW(),FALSE)</f>
        <v>0</v>
      </c>
      <c r="AD5659" s="580">
        <f t="shared" si="476"/>
        <v>5</v>
      </c>
      <c r="AE5659" s="580">
        <f t="shared" si="477"/>
        <v>2.5</v>
      </c>
      <c r="AF5659" s="580">
        <f t="shared" si="478"/>
        <v>2.5</v>
      </c>
      <c r="AG5659" s="580">
        <f t="shared" si="479"/>
        <v>0</v>
      </c>
      <c r="AH5659" s="580">
        <f t="shared" si="480"/>
        <v>0</v>
      </c>
    </row>
    <row r="5660" spans="28:34">
      <c r="AB5660" s="580">
        <f>HLOOKUP("*"&amp;'Output annual'!$AC$2&amp;'Output annual'!$AD$2&amp;"*Zone People Number Of Occupants [](Hourly)",'Eplus results'!$1:$1048576,ROW(),FALSE)</f>
        <v>0</v>
      </c>
      <c r="AC5660" s="580">
        <f>HLOOKUP("*"&amp;'Output annual'!$AC$2&amp;'Output annual'!$AD$2&amp;"*FangerPMV(Hourly)",'Eplus results'!$1:$1048576,ROW(),FALSE)</f>
        <v>0</v>
      </c>
      <c r="AD5660" s="580">
        <f t="shared" si="476"/>
        <v>5</v>
      </c>
      <c r="AE5660" s="580">
        <f t="shared" si="477"/>
        <v>2.5</v>
      </c>
      <c r="AF5660" s="580">
        <f t="shared" si="478"/>
        <v>2.5</v>
      </c>
      <c r="AG5660" s="580">
        <f t="shared" si="479"/>
        <v>0</v>
      </c>
      <c r="AH5660" s="580">
        <f t="shared" si="480"/>
        <v>0</v>
      </c>
    </row>
    <row r="5661" spans="28:34">
      <c r="AB5661" s="580">
        <f>HLOOKUP("*"&amp;'Output annual'!$AC$2&amp;'Output annual'!$AD$2&amp;"*Zone People Number Of Occupants [](Hourly)",'Eplus results'!$1:$1048576,ROW(),FALSE)</f>
        <v>0</v>
      </c>
      <c r="AC5661" s="580">
        <f>HLOOKUP("*"&amp;'Output annual'!$AC$2&amp;'Output annual'!$AD$2&amp;"*FangerPMV(Hourly)",'Eplus results'!$1:$1048576,ROW(),FALSE)</f>
        <v>0</v>
      </c>
      <c r="AD5661" s="580">
        <f t="shared" si="476"/>
        <v>5</v>
      </c>
      <c r="AE5661" s="580">
        <f t="shared" si="477"/>
        <v>2.5</v>
      </c>
      <c r="AF5661" s="580">
        <f t="shared" si="478"/>
        <v>2.5</v>
      </c>
      <c r="AG5661" s="580">
        <f t="shared" si="479"/>
        <v>0</v>
      </c>
      <c r="AH5661" s="580">
        <f t="shared" si="480"/>
        <v>0</v>
      </c>
    </row>
    <row r="5662" spans="28:34">
      <c r="AB5662" s="580">
        <f>HLOOKUP("*"&amp;'Output annual'!$AC$2&amp;'Output annual'!$AD$2&amp;"*Zone People Number Of Occupants [](Hourly)",'Eplus results'!$1:$1048576,ROW(),FALSE)</f>
        <v>0</v>
      </c>
      <c r="AC5662" s="580">
        <f>HLOOKUP("*"&amp;'Output annual'!$AC$2&amp;'Output annual'!$AD$2&amp;"*FangerPMV(Hourly)",'Eplus results'!$1:$1048576,ROW(),FALSE)</f>
        <v>0</v>
      </c>
      <c r="AD5662" s="580">
        <f t="shared" si="476"/>
        <v>5</v>
      </c>
      <c r="AE5662" s="580">
        <f t="shared" si="477"/>
        <v>2.5</v>
      </c>
      <c r="AF5662" s="580">
        <f t="shared" si="478"/>
        <v>2.5</v>
      </c>
      <c r="AG5662" s="580">
        <f t="shared" si="479"/>
        <v>0</v>
      </c>
      <c r="AH5662" s="580">
        <f t="shared" si="480"/>
        <v>0</v>
      </c>
    </row>
    <row r="5663" spans="28:34">
      <c r="AB5663" s="580">
        <f>HLOOKUP("*"&amp;'Output annual'!$AC$2&amp;'Output annual'!$AD$2&amp;"*Zone People Number Of Occupants [](Hourly)",'Eplus results'!$1:$1048576,ROW(),FALSE)</f>
        <v>0</v>
      </c>
      <c r="AC5663" s="580">
        <f>HLOOKUP("*"&amp;'Output annual'!$AC$2&amp;'Output annual'!$AD$2&amp;"*FangerPMV(Hourly)",'Eplus results'!$1:$1048576,ROW(),FALSE)</f>
        <v>0</v>
      </c>
      <c r="AD5663" s="580">
        <f t="shared" si="476"/>
        <v>5</v>
      </c>
      <c r="AE5663" s="580">
        <f t="shared" si="477"/>
        <v>2.5</v>
      </c>
      <c r="AF5663" s="580">
        <f t="shared" si="478"/>
        <v>2.5</v>
      </c>
      <c r="AG5663" s="580">
        <f t="shared" si="479"/>
        <v>0</v>
      </c>
      <c r="AH5663" s="580">
        <f t="shared" si="480"/>
        <v>0</v>
      </c>
    </row>
    <row r="5664" spans="28:34">
      <c r="AB5664" s="580">
        <f>HLOOKUP("*"&amp;'Output annual'!$AC$2&amp;'Output annual'!$AD$2&amp;"*Zone People Number Of Occupants [](Hourly)",'Eplus results'!$1:$1048576,ROW(),FALSE)</f>
        <v>0</v>
      </c>
      <c r="AC5664" s="580">
        <f>HLOOKUP("*"&amp;'Output annual'!$AC$2&amp;'Output annual'!$AD$2&amp;"*FangerPMV(Hourly)",'Eplus results'!$1:$1048576,ROW(),FALSE)</f>
        <v>0</v>
      </c>
      <c r="AD5664" s="580">
        <f t="shared" si="476"/>
        <v>5</v>
      </c>
      <c r="AE5664" s="580">
        <f t="shared" si="477"/>
        <v>2.5</v>
      </c>
      <c r="AF5664" s="580">
        <f t="shared" si="478"/>
        <v>2.5</v>
      </c>
      <c r="AG5664" s="580">
        <f t="shared" si="479"/>
        <v>0</v>
      </c>
      <c r="AH5664" s="580">
        <f t="shared" si="480"/>
        <v>0</v>
      </c>
    </row>
    <row r="5665" spans="28:34">
      <c r="AB5665" s="580">
        <f>HLOOKUP("*"&amp;'Output annual'!$AC$2&amp;'Output annual'!$AD$2&amp;"*Zone People Number Of Occupants [](Hourly)",'Eplus results'!$1:$1048576,ROW(),FALSE)</f>
        <v>0</v>
      </c>
      <c r="AC5665" s="580">
        <f>HLOOKUP("*"&amp;'Output annual'!$AC$2&amp;'Output annual'!$AD$2&amp;"*FangerPMV(Hourly)",'Eplus results'!$1:$1048576,ROW(),FALSE)</f>
        <v>0</v>
      </c>
      <c r="AD5665" s="580">
        <f t="shared" si="476"/>
        <v>5</v>
      </c>
      <c r="AE5665" s="580">
        <f t="shared" si="477"/>
        <v>2.5</v>
      </c>
      <c r="AF5665" s="580">
        <f t="shared" si="478"/>
        <v>2.5</v>
      </c>
      <c r="AG5665" s="580">
        <f t="shared" si="479"/>
        <v>0</v>
      </c>
      <c r="AH5665" s="580">
        <f t="shared" si="480"/>
        <v>0</v>
      </c>
    </row>
    <row r="5666" spans="28:34">
      <c r="AB5666" s="580">
        <f>HLOOKUP("*"&amp;'Output annual'!$AC$2&amp;'Output annual'!$AD$2&amp;"*Zone People Number Of Occupants [](Hourly)",'Eplus results'!$1:$1048576,ROW(),FALSE)</f>
        <v>0</v>
      </c>
      <c r="AC5666" s="580">
        <f>HLOOKUP("*"&amp;'Output annual'!$AC$2&amp;'Output annual'!$AD$2&amp;"*FangerPMV(Hourly)",'Eplus results'!$1:$1048576,ROW(),FALSE)</f>
        <v>0</v>
      </c>
      <c r="AD5666" s="580">
        <f t="shared" si="476"/>
        <v>5</v>
      </c>
      <c r="AE5666" s="580">
        <f t="shared" si="477"/>
        <v>2.5</v>
      </c>
      <c r="AF5666" s="580">
        <f t="shared" si="478"/>
        <v>2.5</v>
      </c>
      <c r="AG5666" s="580">
        <f t="shared" si="479"/>
        <v>0</v>
      </c>
      <c r="AH5666" s="580">
        <f t="shared" si="480"/>
        <v>0</v>
      </c>
    </row>
    <row r="5667" spans="28:34">
      <c r="AB5667" s="580">
        <f>HLOOKUP("*"&amp;'Output annual'!$AC$2&amp;'Output annual'!$AD$2&amp;"*Zone People Number Of Occupants [](Hourly)",'Eplus results'!$1:$1048576,ROW(),FALSE)</f>
        <v>0</v>
      </c>
      <c r="AC5667" s="580">
        <f>HLOOKUP("*"&amp;'Output annual'!$AC$2&amp;'Output annual'!$AD$2&amp;"*FangerPMV(Hourly)",'Eplus results'!$1:$1048576,ROW(),FALSE)</f>
        <v>0</v>
      </c>
      <c r="AD5667" s="580">
        <f t="shared" si="476"/>
        <v>5</v>
      </c>
      <c r="AE5667" s="580">
        <f t="shared" si="477"/>
        <v>2.5</v>
      </c>
      <c r="AF5667" s="580">
        <f t="shared" si="478"/>
        <v>2.5</v>
      </c>
      <c r="AG5667" s="580">
        <f t="shared" si="479"/>
        <v>0</v>
      </c>
      <c r="AH5667" s="580">
        <f t="shared" si="480"/>
        <v>0</v>
      </c>
    </row>
    <row r="5668" spans="28:34">
      <c r="AB5668" s="580">
        <f>HLOOKUP("*"&amp;'Output annual'!$AC$2&amp;'Output annual'!$AD$2&amp;"*Zone People Number Of Occupants [](Hourly)",'Eplus results'!$1:$1048576,ROW(),FALSE)</f>
        <v>0</v>
      </c>
      <c r="AC5668" s="580">
        <f>HLOOKUP("*"&amp;'Output annual'!$AC$2&amp;'Output annual'!$AD$2&amp;"*FangerPMV(Hourly)",'Eplus results'!$1:$1048576,ROW(),FALSE)</f>
        <v>0</v>
      </c>
      <c r="AD5668" s="580">
        <f t="shared" si="476"/>
        <v>5</v>
      </c>
      <c r="AE5668" s="580">
        <f t="shared" si="477"/>
        <v>2.5</v>
      </c>
      <c r="AF5668" s="580">
        <f t="shared" si="478"/>
        <v>2.5</v>
      </c>
      <c r="AG5668" s="580">
        <f t="shared" si="479"/>
        <v>0</v>
      </c>
      <c r="AH5668" s="580">
        <f t="shared" si="480"/>
        <v>0</v>
      </c>
    </row>
    <row r="5669" spans="28:34">
      <c r="AB5669" s="580">
        <f>HLOOKUP("*"&amp;'Output annual'!$AC$2&amp;'Output annual'!$AD$2&amp;"*Zone People Number Of Occupants [](Hourly)",'Eplus results'!$1:$1048576,ROW(),FALSE)</f>
        <v>0</v>
      </c>
      <c r="AC5669" s="580">
        <f>HLOOKUP("*"&amp;'Output annual'!$AC$2&amp;'Output annual'!$AD$2&amp;"*FangerPMV(Hourly)",'Eplus results'!$1:$1048576,ROW(),FALSE)</f>
        <v>0</v>
      </c>
      <c r="AD5669" s="580">
        <f t="shared" si="476"/>
        <v>5</v>
      </c>
      <c r="AE5669" s="580">
        <f t="shared" si="477"/>
        <v>2.5</v>
      </c>
      <c r="AF5669" s="580">
        <f t="shared" si="478"/>
        <v>2.5</v>
      </c>
      <c r="AG5669" s="580">
        <f t="shared" si="479"/>
        <v>0</v>
      </c>
      <c r="AH5669" s="580">
        <f t="shared" si="480"/>
        <v>0</v>
      </c>
    </row>
    <row r="5670" spans="28:34">
      <c r="AB5670" s="580">
        <f>HLOOKUP("*"&amp;'Output annual'!$AC$2&amp;'Output annual'!$AD$2&amp;"*Zone People Number Of Occupants [](Hourly)",'Eplus results'!$1:$1048576,ROW(),FALSE)</f>
        <v>0</v>
      </c>
      <c r="AC5670" s="580">
        <f>HLOOKUP("*"&amp;'Output annual'!$AC$2&amp;'Output annual'!$AD$2&amp;"*FangerPMV(Hourly)",'Eplus results'!$1:$1048576,ROW(),FALSE)</f>
        <v>0</v>
      </c>
      <c r="AD5670" s="580">
        <f t="shared" si="476"/>
        <v>5</v>
      </c>
      <c r="AE5670" s="580">
        <f t="shared" si="477"/>
        <v>2.5</v>
      </c>
      <c r="AF5670" s="580">
        <f t="shared" si="478"/>
        <v>2.5</v>
      </c>
      <c r="AG5670" s="580">
        <f t="shared" si="479"/>
        <v>0</v>
      </c>
      <c r="AH5670" s="580">
        <f t="shared" si="480"/>
        <v>0</v>
      </c>
    </row>
    <row r="5671" spans="28:34">
      <c r="AB5671" s="580">
        <f>HLOOKUP("*"&amp;'Output annual'!$AC$2&amp;'Output annual'!$AD$2&amp;"*Zone People Number Of Occupants [](Hourly)",'Eplus results'!$1:$1048576,ROW(),FALSE)</f>
        <v>0</v>
      </c>
      <c r="AC5671" s="580">
        <f>HLOOKUP("*"&amp;'Output annual'!$AC$2&amp;'Output annual'!$AD$2&amp;"*FangerPMV(Hourly)",'Eplus results'!$1:$1048576,ROW(),FALSE)</f>
        <v>0</v>
      </c>
      <c r="AD5671" s="580">
        <f t="shared" si="476"/>
        <v>5</v>
      </c>
      <c r="AE5671" s="580">
        <f t="shared" si="477"/>
        <v>2.5</v>
      </c>
      <c r="AF5671" s="580">
        <f t="shared" si="478"/>
        <v>2.5</v>
      </c>
      <c r="AG5671" s="580">
        <f t="shared" si="479"/>
        <v>0</v>
      </c>
      <c r="AH5671" s="580">
        <f t="shared" si="480"/>
        <v>0</v>
      </c>
    </row>
    <row r="5672" spans="28:34">
      <c r="AB5672" s="580">
        <f>HLOOKUP("*"&amp;'Output annual'!$AC$2&amp;'Output annual'!$AD$2&amp;"*Zone People Number Of Occupants [](Hourly)",'Eplus results'!$1:$1048576,ROW(),FALSE)</f>
        <v>0</v>
      </c>
      <c r="AC5672" s="580">
        <f>HLOOKUP("*"&amp;'Output annual'!$AC$2&amp;'Output annual'!$AD$2&amp;"*FangerPMV(Hourly)",'Eplus results'!$1:$1048576,ROW(),FALSE)</f>
        <v>0</v>
      </c>
      <c r="AD5672" s="580">
        <f t="shared" si="476"/>
        <v>5</v>
      </c>
      <c r="AE5672" s="580">
        <f t="shared" si="477"/>
        <v>2.5</v>
      </c>
      <c r="AF5672" s="580">
        <f t="shared" si="478"/>
        <v>2.5</v>
      </c>
      <c r="AG5672" s="580">
        <f t="shared" si="479"/>
        <v>0</v>
      </c>
      <c r="AH5672" s="580">
        <f t="shared" si="480"/>
        <v>0</v>
      </c>
    </row>
    <row r="5673" spans="28:34">
      <c r="AB5673" s="580">
        <f>HLOOKUP("*"&amp;'Output annual'!$AC$2&amp;'Output annual'!$AD$2&amp;"*Zone People Number Of Occupants [](Hourly)",'Eplus results'!$1:$1048576,ROW(),FALSE)</f>
        <v>0</v>
      </c>
      <c r="AC5673" s="580">
        <f>HLOOKUP("*"&amp;'Output annual'!$AC$2&amp;'Output annual'!$AD$2&amp;"*FangerPMV(Hourly)",'Eplus results'!$1:$1048576,ROW(),FALSE)</f>
        <v>0</v>
      </c>
      <c r="AD5673" s="580">
        <f t="shared" si="476"/>
        <v>5</v>
      </c>
      <c r="AE5673" s="580">
        <f t="shared" si="477"/>
        <v>2.5</v>
      </c>
      <c r="AF5673" s="580">
        <f t="shared" si="478"/>
        <v>2.5</v>
      </c>
      <c r="AG5673" s="580">
        <f t="shared" si="479"/>
        <v>0</v>
      </c>
      <c r="AH5673" s="580">
        <f t="shared" si="480"/>
        <v>0</v>
      </c>
    </row>
    <row r="5674" spans="28:34">
      <c r="AB5674" s="580">
        <f>HLOOKUP("*"&amp;'Output annual'!$AC$2&amp;'Output annual'!$AD$2&amp;"*Zone People Number Of Occupants [](Hourly)",'Eplus results'!$1:$1048576,ROW(),FALSE)</f>
        <v>0</v>
      </c>
      <c r="AC5674" s="580">
        <f>HLOOKUP("*"&amp;'Output annual'!$AC$2&amp;'Output annual'!$AD$2&amp;"*FangerPMV(Hourly)",'Eplus results'!$1:$1048576,ROW(),FALSE)</f>
        <v>0</v>
      </c>
      <c r="AD5674" s="580">
        <f t="shared" si="476"/>
        <v>5</v>
      </c>
      <c r="AE5674" s="580">
        <f t="shared" si="477"/>
        <v>2.5</v>
      </c>
      <c r="AF5674" s="580">
        <f t="shared" si="478"/>
        <v>2.5</v>
      </c>
      <c r="AG5674" s="580">
        <f t="shared" si="479"/>
        <v>0</v>
      </c>
      <c r="AH5674" s="580">
        <f t="shared" si="480"/>
        <v>0</v>
      </c>
    </row>
    <row r="5675" spans="28:34">
      <c r="AB5675" s="580">
        <f>HLOOKUP("*"&amp;'Output annual'!$AC$2&amp;'Output annual'!$AD$2&amp;"*Zone People Number Of Occupants [](Hourly)",'Eplus results'!$1:$1048576,ROW(),FALSE)</f>
        <v>0</v>
      </c>
      <c r="AC5675" s="580">
        <f>HLOOKUP("*"&amp;'Output annual'!$AC$2&amp;'Output annual'!$AD$2&amp;"*FangerPMV(Hourly)",'Eplus results'!$1:$1048576,ROW(),FALSE)</f>
        <v>0</v>
      </c>
      <c r="AD5675" s="580">
        <f t="shared" si="476"/>
        <v>5</v>
      </c>
      <c r="AE5675" s="580">
        <f t="shared" si="477"/>
        <v>2.5</v>
      </c>
      <c r="AF5675" s="580">
        <f t="shared" si="478"/>
        <v>2.5</v>
      </c>
      <c r="AG5675" s="580">
        <f t="shared" si="479"/>
        <v>0</v>
      </c>
      <c r="AH5675" s="580">
        <f t="shared" si="480"/>
        <v>0</v>
      </c>
    </row>
    <row r="5676" spans="28:34">
      <c r="AB5676" s="580">
        <f>HLOOKUP("*"&amp;'Output annual'!$AC$2&amp;'Output annual'!$AD$2&amp;"*Zone People Number Of Occupants [](Hourly)",'Eplus results'!$1:$1048576,ROW(),FALSE)</f>
        <v>0</v>
      </c>
      <c r="AC5676" s="580">
        <f>HLOOKUP("*"&amp;'Output annual'!$AC$2&amp;'Output annual'!$AD$2&amp;"*FangerPMV(Hourly)",'Eplus results'!$1:$1048576,ROW(),FALSE)</f>
        <v>0</v>
      </c>
      <c r="AD5676" s="580">
        <f t="shared" si="476"/>
        <v>5</v>
      </c>
      <c r="AE5676" s="580">
        <f t="shared" si="477"/>
        <v>2.5</v>
      </c>
      <c r="AF5676" s="580">
        <f t="shared" si="478"/>
        <v>2.5</v>
      </c>
      <c r="AG5676" s="580">
        <f t="shared" si="479"/>
        <v>0</v>
      </c>
      <c r="AH5676" s="580">
        <f t="shared" si="480"/>
        <v>0</v>
      </c>
    </row>
    <row r="5677" spans="28:34">
      <c r="AB5677" s="580">
        <f>HLOOKUP("*"&amp;'Output annual'!$AC$2&amp;'Output annual'!$AD$2&amp;"*Zone People Number Of Occupants [](Hourly)",'Eplus results'!$1:$1048576,ROW(),FALSE)</f>
        <v>0</v>
      </c>
      <c r="AC5677" s="580">
        <f>HLOOKUP("*"&amp;'Output annual'!$AC$2&amp;'Output annual'!$AD$2&amp;"*FangerPMV(Hourly)",'Eplus results'!$1:$1048576,ROW(),FALSE)</f>
        <v>0</v>
      </c>
      <c r="AD5677" s="580">
        <f t="shared" si="476"/>
        <v>5</v>
      </c>
      <c r="AE5677" s="580">
        <f t="shared" si="477"/>
        <v>2.5</v>
      </c>
      <c r="AF5677" s="580">
        <f t="shared" si="478"/>
        <v>2.5</v>
      </c>
      <c r="AG5677" s="580">
        <f t="shared" si="479"/>
        <v>0</v>
      </c>
      <c r="AH5677" s="580">
        <f t="shared" si="480"/>
        <v>0</v>
      </c>
    </row>
    <row r="5678" spans="28:34">
      <c r="AB5678" s="580">
        <f>HLOOKUP("*"&amp;'Output annual'!$AC$2&amp;'Output annual'!$AD$2&amp;"*Zone People Number Of Occupants [](Hourly)",'Eplus results'!$1:$1048576,ROW(),FALSE)</f>
        <v>0</v>
      </c>
      <c r="AC5678" s="580">
        <f>HLOOKUP("*"&amp;'Output annual'!$AC$2&amp;'Output annual'!$AD$2&amp;"*FangerPMV(Hourly)",'Eplus results'!$1:$1048576,ROW(),FALSE)</f>
        <v>0</v>
      </c>
      <c r="AD5678" s="580">
        <f t="shared" si="476"/>
        <v>5</v>
      </c>
      <c r="AE5678" s="580">
        <f t="shared" si="477"/>
        <v>2.5</v>
      </c>
      <c r="AF5678" s="580">
        <f t="shared" si="478"/>
        <v>2.5</v>
      </c>
      <c r="AG5678" s="580">
        <f t="shared" si="479"/>
        <v>0</v>
      </c>
      <c r="AH5678" s="580">
        <f t="shared" si="480"/>
        <v>0</v>
      </c>
    </row>
    <row r="5679" spans="28:34">
      <c r="AB5679" s="580">
        <f>HLOOKUP("*"&amp;'Output annual'!$AC$2&amp;'Output annual'!$AD$2&amp;"*Zone People Number Of Occupants [](Hourly)",'Eplus results'!$1:$1048576,ROW(),FALSE)</f>
        <v>0</v>
      </c>
      <c r="AC5679" s="580">
        <f>HLOOKUP("*"&amp;'Output annual'!$AC$2&amp;'Output annual'!$AD$2&amp;"*FangerPMV(Hourly)",'Eplus results'!$1:$1048576,ROW(),FALSE)</f>
        <v>0</v>
      </c>
      <c r="AD5679" s="580">
        <f t="shared" si="476"/>
        <v>5</v>
      </c>
      <c r="AE5679" s="580">
        <f t="shared" si="477"/>
        <v>2.5</v>
      </c>
      <c r="AF5679" s="580">
        <f t="shared" si="478"/>
        <v>2.5</v>
      </c>
      <c r="AG5679" s="580">
        <f t="shared" si="479"/>
        <v>0</v>
      </c>
      <c r="AH5679" s="580">
        <f t="shared" si="480"/>
        <v>0</v>
      </c>
    </row>
    <row r="5680" spans="28:34">
      <c r="AB5680" s="580">
        <f>HLOOKUP("*"&amp;'Output annual'!$AC$2&amp;'Output annual'!$AD$2&amp;"*Zone People Number Of Occupants [](Hourly)",'Eplus results'!$1:$1048576,ROW(),FALSE)</f>
        <v>0</v>
      </c>
      <c r="AC5680" s="580">
        <f>HLOOKUP("*"&amp;'Output annual'!$AC$2&amp;'Output annual'!$AD$2&amp;"*FangerPMV(Hourly)",'Eplus results'!$1:$1048576,ROW(),FALSE)</f>
        <v>0</v>
      </c>
      <c r="AD5680" s="580">
        <f t="shared" si="476"/>
        <v>5</v>
      </c>
      <c r="AE5680" s="580">
        <f t="shared" si="477"/>
        <v>2.5</v>
      </c>
      <c r="AF5680" s="580">
        <f t="shared" si="478"/>
        <v>2.5</v>
      </c>
      <c r="AG5680" s="580">
        <f t="shared" si="479"/>
        <v>0</v>
      </c>
      <c r="AH5680" s="580">
        <f t="shared" si="480"/>
        <v>0</v>
      </c>
    </row>
    <row r="5681" spans="28:34">
      <c r="AB5681" s="580">
        <f>HLOOKUP("*"&amp;'Output annual'!$AC$2&amp;'Output annual'!$AD$2&amp;"*Zone People Number Of Occupants [](Hourly)",'Eplus results'!$1:$1048576,ROW(),FALSE)</f>
        <v>0</v>
      </c>
      <c r="AC5681" s="580">
        <f>HLOOKUP("*"&amp;'Output annual'!$AC$2&amp;'Output annual'!$AD$2&amp;"*FangerPMV(Hourly)",'Eplus results'!$1:$1048576,ROW(),FALSE)</f>
        <v>0</v>
      </c>
      <c r="AD5681" s="580">
        <f t="shared" si="476"/>
        <v>5</v>
      </c>
      <c r="AE5681" s="580">
        <f t="shared" si="477"/>
        <v>2.5</v>
      </c>
      <c r="AF5681" s="580">
        <f t="shared" si="478"/>
        <v>2.5</v>
      </c>
      <c r="AG5681" s="580">
        <f t="shared" si="479"/>
        <v>0</v>
      </c>
      <c r="AH5681" s="580">
        <f t="shared" si="480"/>
        <v>0</v>
      </c>
    </row>
    <row r="5682" spans="28:34">
      <c r="AB5682" s="580">
        <f>HLOOKUP("*"&amp;'Output annual'!$AC$2&amp;'Output annual'!$AD$2&amp;"*Zone People Number Of Occupants [](Hourly)",'Eplus results'!$1:$1048576,ROW(),FALSE)</f>
        <v>0</v>
      </c>
      <c r="AC5682" s="580">
        <f>HLOOKUP("*"&amp;'Output annual'!$AC$2&amp;'Output annual'!$AD$2&amp;"*FangerPMV(Hourly)",'Eplus results'!$1:$1048576,ROW(),FALSE)</f>
        <v>0</v>
      </c>
      <c r="AD5682" s="580">
        <f t="shared" si="476"/>
        <v>5</v>
      </c>
      <c r="AE5682" s="580">
        <f t="shared" si="477"/>
        <v>2.5</v>
      </c>
      <c r="AF5682" s="580">
        <f t="shared" si="478"/>
        <v>2.5</v>
      </c>
      <c r="AG5682" s="580">
        <f t="shared" si="479"/>
        <v>0</v>
      </c>
      <c r="AH5682" s="580">
        <f t="shared" si="480"/>
        <v>0</v>
      </c>
    </row>
    <row r="5683" spans="28:34">
      <c r="AB5683" s="580">
        <f>HLOOKUP("*"&amp;'Output annual'!$AC$2&amp;'Output annual'!$AD$2&amp;"*Zone People Number Of Occupants [](Hourly)",'Eplus results'!$1:$1048576,ROW(),FALSE)</f>
        <v>0</v>
      </c>
      <c r="AC5683" s="580">
        <f>HLOOKUP("*"&amp;'Output annual'!$AC$2&amp;'Output annual'!$AD$2&amp;"*FangerPMV(Hourly)",'Eplus results'!$1:$1048576,ROW(),FALSE)</f>
        <v>0</v>
      </c>
      <c r="AD5683" s="580">
        <f t="shared" si="476"/>
        <v>5</v>
      </c>
      <c r="AE5683" s="580">
        <f t="shared" si="477"/>
        <v>2.5</v>
      </c>
      <c r="AF5683" s="580">
        <f t="shared" si="478"/>
        <v>2.5</v>
      </c>
      <c r="AG5683" s="580">
        <f t="shared" si="479"/>
        <v>0</v>
      </c>
      <c r="AH5683" s="580">
        <f t="shared" si="480"/>
        <v>0</v>
      </c>
    </row>
    <row r="5684" spans="28:34">
      <c r="AB5684" s="580">
        <f>HLOOKUP("*"&amp;'Output annual'!$AC$2&amp;'Output annual'!$AD$2&amp;"*Zone People Number Of Occupants [](Hourly)",'Eplus results'!$1:$1048576,ROW(),FALSE)</f>
        <v>0</v>
      </c>
      <c r="AC5684" s="580">
        <f>HLOOKUP("*"&amp;'Output annual'!$AC$2&amp;'Output annual'!$AD$2&amp;"*FangerPMV(Hourly)",'Eplus results'!$1:$1048576,ROW(),FALSE)</f>
        <v>0</v>
      </c>
      <c r="AD5684" s="580">
        <f t="shared" si="476"/>
        <v>5</v>
      </c>
      <c r="AE5684" s="580">
        <f t="shared" si="477"/>
        <v>2.5</v>
      </c>
      <c r="AF5684" s="580">
        <f t="shared" si="478"/>
        <v>2.5</v>
      </c>
      <c r="AG5684" s="580">
        <f t="shared" si="479"/>
        <v>0</v>
      </c>
      <c r="AH5684" s="580">
        <f t="shared" si="480"/>
        <v>0</v>
      </c>
    </row>
    <row r="5685" spans="28:34">
      <c r="AB5685" s="580">
        <f>HLOOKUP("*"&amp;'Output annual'!$AC$2&amp;'Output annual'!$AD$2&amp;"*Zone People Number Of Occupants [](Hourly)",'Eplus results'!$1:$1048576,ROW(),FALSE)</f>
        <v>0</v>
      </c>
      <c r="AC5685" s="580">
        <f>HLOOKUP("*"&amp;'Output annual'!$AC$2&amp;'Output annual'!$AD$2&amp;"*FangerPMV(Hourly)",'Eplus results'!$1:$1048576,ROW(),FALSE)</f>
        <v>0</v>
      </c>
      <c r="AD5685" s="580">
        <f t="shared" si="476"/>
        <v>5</v>
      </c>
      <c r="AE5685" s="580">
        <f t="shared" si="477"/>
        <v>2.5</v>
      </c>
      <c r="AF5685" s="580">
        <f t="shared" si="478"/>
        <v>2.5</v>
      </c>
      <c r="AG5685" s="580">
        <f t="shared" si="479"/>
        <v>0</v>
      </c>
      <c r="AH5685" s="580">
        <f t="shared" si="480"/>
        <v>0</v>
      </c>
    </row>
    <row r="5686" spans="28:34">
      <c r="AB5686" s="580">
        <f>HLOOKUP("*"&amp;'Output annual'!$AC$2&amp;'Output annual'!$AD$2&amp;"*Zone People Number Of Occupants [](Hourly)",'Eplus results'!$1:$1048576,ROW(),FALSE)</f>
        <v>0</v>
      </c>
      <c r="AC5686" s="580">
        <f>HLOOKUP("*"&amp;'Output annual'!$AC$2&amp;'Output annual'!$AD$2&amp;"*FangerPMV(Hourly)",'Eplus results'!$1:$1048576,ROW(),FALSE)</f>
        <v>0</v>
      </c>
      <c r="AD5686" s="580">
        <f t="shared" si="476"/>
        <v>5</v>
      </c>
      <c r="AE5686" s="580">
        <f t="shared" si="477"/>
        <v>2.5</v>
      </c>
      <c r="AF5686" s="580">
        <f t="shared" si="478"/>
        <v>2.5</v>
      </c>
      <c r="AG5686" s="580">
        <f t="shared" si="479"/>
        <v>0</v>
      </c>
      <c r="AH5686" s="580">
        <f t="shared" si="480"/>
        <v>0</v>
      </c>
    </row>
    <row r="5687" spans="28:34">
      <c r="AB5687" s="580">
        <f>HLOOKUP("*"&amp;'Output annual'!$AC$2&amp;'Output annual'!$AD$2&amp;"*Zone People Number Of Occupants [](Hourly)",'Eplus results'!$1:$1048576,ROW(),FALSE)</f>
        <v>0</v>
      </c>
      <c r="AC5687" s="580">
        <f>HLOOKUP("*"&amp;'Output annual'!$AC$2&amp;'Output annual'!$AD$2&amp;"*FangerPMV(Hourly)",'Eplus results'!$1:$1048576,ROW(),FALSE)</f>
        <v>0</v>
      </c>
      <c r="AD5687" s="580">
        <f t="shared" si="476"/>
        <v>5</v>
      </c>
      <c r="AE5687" s="580">
        <f t="shared" si="477"/>
        <v>2.5</v>
      </c>
      <c r="AF5687" s="580">
        <f t="shared" si="478"/>
        <v>2.5</v>
      </c>
      <c r="AG5687" s="580">
        <f t="shared" si="479"/>
        <v>0</v>
      </c>
      <c r="AH5687" s="580">
        <f t="shared" si="480"/>
        <v>0</v>
      </c>
    </row>
    <row r="5688" spans="28:34">
      <c r="AB5688" s="580">
        <f>HLOOKUP("*"&amp;'Output annual'!$AC$2&amp;'Output annual'!$AD$2&amp;"*Zone People Number Of Occupants [](Hourly)",'Eplus results'!$1:$1048576,ROW(),FALSE)</f>
        <v>0</v>
      </c>
      <c r="AC5688" s="580">
        <f>HLOOKUP("*"&amp;'Output annual'!$AC$2&amp;'Output annual'!$AD$2&amp;"*FangerPMV(Hourly)",'Eplus results'!$1:$1048576,ROW(),FALSE)</f>
        <v>0</v>
      </c>
      <c r="AD5688" s="580">
        <f t="shared" si="476"/>
        <v>5</v>
      </c>
      <c r="AE5688" s="580">
        <f t="shared" si="477"/>
        <v>2.5</v>
      </c>
      <c r="AF5688" s="580">
        <f t="shared" si="478"/>
        <v>2.5</v>
      </c>
      <c r="AG5688" s="580">
        <f t="shared" si="479"/>
        <v>0</v>
      </c>
      <c r="AH5688" s="580">
        <f t="shared" si="480"/>
        <v>0</v>
      </c>
    </row>
    <row r="5689" spans="28:34">
      <c r="AB5689" s="580">
        <f>HLOOKUP("*"&amp;'Output annual'!$AC$2&amp;'Output annual'!$AD$2&amp;"*Zone People Number Of Occupants [](Hourly)",'Eplus results'!$1:$1048576,ROW(),FALSE)</f>
        <v>0</v>
      </c>
      <c r="AC5689" s="580">
        <f>HLOOKUP("*"&amp;'Output annual'!$AC$2&amp;'Output annual'!$AD$2&amp;"*FangerPMV(Hourly)",'Eplus results'!$1:$1048576,ROW(),FALSE)</f>
        <v>0</v>
      </c>
      <c r="AD5689" s="580">
        <f t="shared" si="476"/>
        <v>5</v>
      </c>
      <c r="AE5689" s="580">
        <f t="shared" si="477"/>
        <v>2.5</v>
      </c>
      <c r="AF5689" s="580">
        <f t="shared" si="478"/>
        <v>2.5</v>
      </c>
      <c r="AG5689" s="580">
        <f t="shared" si="479"/>
        <v>0</v>
      </c>
      <c r="AH5689" s="580">
        <f t="shared" si="480"/>
        <v>0</v>
      </c>
    </row>
    <row r="5690" spans="28:34">
      <c r="AB5690" s="580">
        <f>HLOOKUP("*"&amp;'Output annual'!$AC$2&amp;'Output annual'!$AD$2&amp;"*Zone People Number Of Occupants [](Hourly)",'Eplus results'!$1:$1048576,ROW(),FALSE)</f>
        <v>0</v>
      </c>
      <c r="AC5690" s="580">
        <f>HLOOKUP("*"&amp;'Output annual'!$AC$2&amp;'Output annual'!$AD$2&amp;"*FangerPMV(Hourly)",'Eplus results'!$1:$1048576,ROW(),FALSE)</f>
        <v>0</v>
      </c>
      <c r="AD5690" s="580">
        <f t="shared" si="476"/>
        <v>5</v>
      </c>
      <c r="AE5690" s="580">
        <f t="shared" si="477"/>
        <v>2.5</v>
      </c>
      <c r="AF5690" s="580">
        <f t="shared" si="478"/>
        <v>2.5</v>
      </c>
      <c r="AG5690" s="580">
        <f t="shared" si="479"/>
        <v>0</v>
      </c>
      <c r="AH5690" s="580">
        <f t="shared" si="480"/>
        <v>0</v>
      </c>
    </row>
    <row r="5691" spans="28:34">
      <c r="AB5691" s="580">
        <f>HLOOKUP("*"&amp;'Output annual'!$AC$2&amp;'Output annual'!$AD$2&amp;"*Zone People Number Of Occupants [](Hourly)",'Eplus results'!$1:$1048576,ROW(),FALSE)</f>
        <v>0</v>
      </c>
      <c r="AC5691" s="580">
        <f>HLOOKUP("*"&amp;'Output annual'!$AC$2&amp;'Output annual'!$AD$2&amp;"*FangerPMV(Hourly)",'Eplus results'!$1:$1048576,ROW(),FALSE)</f>
        <v>0</v>
      </c>
      <c r="AD5691" s="580">
        <f t="shared" si="476"/>
        <v>5</v>
      </c>
      <c r="AE5691" s="580">
        <f t="shared" si="477"/>
        <v>2.5</v>
      </c>
      <c r="AF5691" s="580">
        <f t="shared" si="478"/>
        <v>2.5</v>
      </c>
      <c r="AG5691" s="580">
        <f t="shared" si="479"/>
        <v>0</v>
      </c>
      <c r="AH5691" s="580">
        <f t="shared" si="480"/>
        <v>0</v>
      </c>
    </row>
    <row r="5692" spans="28:34">
      <c r="AB5692" s="580">
        <f>HLOOKUP("*"&amp;'Output annual'!$AC$2&amp;'Output annual'!$AD$2&amp;"*Zone People Number Of Occupants [](Hourly)",'Eplus results'!$1:$1048576,ROW(),FALSE)</f>
        <v>0</v>
      </c>
      <c r="AC5692" s="580">
        <f>HLOOKUP("*"&amp;'Output annual'!$AC$2&amp;'Output annual'!$AD$2&amp;"*FangerPMV(Hourly)",'Eplus results'!$1:$1048576,ROW(),FALSE)</f>
        <v>0</v>
      </c>
      <c r="AD5692" s="580">
        <f t="shared" si="476"/>
        <v>5</v>
      </c>
      <c r="AE5692" s="580">
        <f t="shared" si="477"/>
        <v>2.5</v>
      </c>
      <c r="AF5692" s="580">
        <f t="shared" si="478"/>
        <v>2.5</v>
      </c>
      <c r="AG5692" s="580">
        <f t="shared" si="479"/>
        <v>0</v>
      </c>
      <c r="AH5692" s="580">
        <f t="shared" si="480"/>
        <v>0</v>
      </c>
    </row>
    <row r="5693" spans="28:34">
      <c r="AB5693" s="580">
        <f>HLOOKUP("*"&amp;'Output annual'!$AC$2&amp;'Output annual'!$AD$2&amp;"*Zone People Number Of Occupants [](Hourly)",'Eplus results'!$1:$1048576,ROW(),FALSE)</f>
        <v>0</v>
      </c>
      <c r="AC5693" s="580">
        <f>HLOOKUP("*"&amp;'Output annual'!$AC$2&amp;'Output annual'!$AD$2&amp;"*FangerPMV(Hourly)",'Eplus results'!$1:$1048576,ROW(),FALSE)</f>
        <v>0</v>
      </c>
      <c r="AD5693" s="580">
        <f t="shared" si="476"/>
        <v>5</v>
      </c>
      <c r="AE5693" s="580">
        <f t="shared" si="477"/>
        <v>2.5</v>
      </c>
      <c r="AF5693" s="580">
        <f t="shared" si="478"/>
        <v>2.5</v>
      </c>
      <c r="AG5693" s="580">
        <f t="shared" si="479"/>
        <v>0</v>
      </c>
      <c r="AH5693" s="580">
        <f t="shared" si="480"/>
        <v>0</v>
      </c>
    </row>
    <row r="5694" spans="28:34">
      <c r="AB5694" s="580">
        <f>HLOOKUP("*"&amp;'Output annual'!$AC$2&amp;'Output annual'!$AD$2&amp;"*Zone People Number Of Occupants [](Hourly)",'Eplus results'!$1:$1048576,ROW(),FALSE)</f>
        <v>0</v>
      </c>
      <c r="AC5694" s="580">
        <f>HLOOKUP("*"&amp;'Output annual'!$AC$2&amp;'Output annual'!$AD$2&amp;"*FangerPMV(Hourly)",'Eplus results'!$1:$1048576,ROW(),FALSE)</f>
        <v>0</v>
      </c>
      <c r="AD5694" s="580">
        <f t="shared" si="476"/>
        <v>5</v>
      </c>
      <c r="AE5694" s="580">
        <f t="shared" si="477"/>
        <v>2.5</v>
      </c>
      <c r="AF5694" s="580">
        <f t="shared" si="478"/>
        <v>2.5</v>
      </c>
      <c r="AG5694" s="580">
        <f t="shared" si="479"/>
        <v>0</v>
      </c>
      <c r="AH5694" s="580">
        <f t="shared" si="480"/>
        <v>0</v>
      </c>
    </row>
    <row r="5695" spans="28:34">
      <c r="AB5695" s="580">
        <f>HLOOKUP("*"&amp;'Output annual'!$AC$2&amp;'Output annual'!$AD$2&amp;"*Zone People Number Of Occupants [](Hourly)",'Eplus results'!$1:$1048576,ROW(),FALSE)</f>
        <v>0</v>
      </c>
      <c r="AC5695" s="580">
        <f>HLOOKUP("*"&amp;'Output annual'!$AC$2&amp;'Output annual'!$AD$2&amp;"*FangerPMV(Hourly)",'Eplus results'!$1:$1048576,ROW(),FALSE)</f>
        <v>0</v>
      </c>
      <c r="AD5695" s="580">
        <f t="shared" si="476"/>
        <v>5</v>
      </c>
      <c r="AE5695" s="580">
        <f t="shared" si="477"/>
        <v>2.5</v>
      </c>
      <c r="AF5695" s="580">
        <f t="shared" si="478"/>
        <v>2.5</v>
      </c>
      <c r="AG5695" s="580">
        <f t="shared" si="479"/>
        <v>0</v>
      </c>
      <c r="AH5695" s="580">
        <f t="shared" si="480"/>
        <v>0</v>
      </c>
    </row>
    <row r="5696" spans="28:34">
      <c r="AB5696" s="580">
        <f>HLOOKUP("*"&amp;'Output annual'!$AC$2&amp;'Output annual'!$AD$2&amp;"*Zone People Number Of Occupants [](Hourly)",'Eplus results'!$1:$1048576,ROW(),FALSE)</f>
        <v>0</v>
      </c>
      <c r="AC5696" s="580">
        <f>HLOOKUP("*"&amp;'Output annual'!$AC$2&amp;'Output annual'!$AD$2&amp;"*FangerPMV(Hourly)",'Eplus results'!$1:$1048576,ROW(),FALSE)</f>
        <v>0</v>
      </c>
      <c r="AD5696" s="580">
        <f t="shared" si="476"/>
        <v>5</v>
      </c>
      <c r="AE5696" s="580">
        <f t="shared" si="477"/>
        <v>2.5</v>
      </c>
      <c r="AF5696" s="580">
        <f t="shared" si="478"/>
        <v>2.5</v>
      </c>
      <c r="AG5696" s="580">
        <f t="shared" si="479"/>
        <v>0</v>
      </c>
      <c r="AH5696" s="580">
        <f t="shared" si="480"/>
        <v>0</v>
      </c>
    </row>
    <row r="5697" spans="28:34">
      <c r="AB5697" s="580">
        <f>HLOOKUP("*"&amp;'Output annual'!$AC$2&amp;'Output annual'!$AD$2&amp;"*Zone People Number Of Occupants [](Hourly)",'Eplus results'!$1:$1048576,ROW(),FALSE)</f>
        <v>0</v>
      </c>
      <c r="AC5697" s="580">
        <f>HLOOKUP("*"&amp;'Output annual'!$AC$2&amp;'Output annual'!$AD$2&amp;"*FangerPMV(Hourly)",'Eplus results'!$1:$1048576,ROW(),FALSE)</f>
        <v>0</v>
      </c>
      <c r="AD5697" s="580">
        <f t="shared" si="476"/>
        <v>5</v>
      </c>
      <c r="AE5697" s="580">
        <f t="shared" si="477"/>
        <v>2.5</v>
      </c>
      <c r="AF5697" s="580">
        <f t="shared" si="478"/>
        <v>2.5</v>
      </c>
      <c r="AG5697" s="580">
        <f t="shared" si="479"/>
        <v>0</v>
      </c>
      <c r="AH5697" s="580">
        <f t="shared" si="480"/>
        <v>0</v>
      </c>
    </row>
    <row r="5698" spans="28:34">
      <c r="AB5698" s="580">
        <f>HLOOKUP("*"&amp;'Output annual'!$AC$2&amp;'Output annual'!$AD$2&amp;"*Zone People Number Of Occupants [](Hourly)",'Eplus results'!$1:$1048576,ROW(),FALSE)</f>
        <v>0</v>
      </c>
      <c r="AC5698" s="580">
        <f>HLOOKUP("*"&amp;'Output annual'!$AC$2&amp;'Output annual'!$AD$2&amp;"*FangerPMV(Hourly)",'Eplus results'!$1:$1048576,ROW(),FALSE)</f>
        <v>0</v>
      </c>
      <c r="AD5698" s="580">
        <f t="shared" si="476"/>
        <v>5</v>
      </c>
      <c r="AE5698" s="580">
        <f t="shared" si="477"/>
        <v>2.5</v>
      </c>
      <c r="AF5698" s="580">
        <f t="shared" si="478"/>
        <v>2.5</v>
      </c>
      <c r="AG5698" s="580">
        <f t="shared" si="479"/>
        <v>0</v>
      </c>
      <c r="AH5698" s="580">
        <f t="shared" si="480"/>
        <v>0</v>
      </c>
    </row>
    <row r="5699" spans="28:34">
      <c r="AB5699" s="580">
        <f>HLOOKUP("*"&amp;'Output annual'!$AC$2&amp;'Output annual'!$AD$2&amp;"*Zone People Number Of Occupants [](Hourly)",'Eplus results'!$1:$1048576,ROW(),FALSE)</f>
        <v>0</v>
      </c>
      <c r="AC5699" s="580">
        <f>HLOOKUP("*"&amp;'Output annual'!$AC$2&amp;'Output annual'!$AD$2&amp;"*FangerPMV(Hourly)",'Eplus results'!$1:$1048576,ROW(),FALSE)</f>
        <v>0</v>
      </c>
      <c r="AD5699" s="580">
        <f t="shared" ref="AD5699:AD5762" si="481">100-95*EXP(-0.03353*AC5699^4-0.2179*AC5699^2)</f>
        <v>5</v>
      </c>
      <c r="AE5699" s="580">
        <f t="shared" ref="AE5699:AE5762" si="482">AD5699*(1/(1+EXP(-6.3*$AC5699)))</f>
        <v>2.5</v>
      </c>
      <c r="AF5699" s="580">
        <f t="shared" ref="AF5699:AF5762" si="483">(AD5699-AE5699)</f>
        <v>2.5</v>
      </c>
      <c r="AG5699" s="580">
        <f t="shared" ref="AG5699:AG5762" si="484">AE5699*AB5699</f>
        <v>0</v>
      </c>
      <c r="AH5699" s="580">
        <f t="shared" ref="AH5699:AH5762" si="485">AF5699*AB5699</f>
        <v>0</v>
      </c>
    </row>
    <row r="5700" spans="28:34">
      <c r="AB5700" s="580">
        <f>HLOOKUP("*"&amp;'Output annual'!$AC$2&amp;'Output annual'!$AD$2&amp;"*Zone People Number Of Occupants [](Hourly)",'Eplus results'!$1:$1048576,ROW(),FALSE)</f>
        <v>0</v>
      </c>
      <c r="AC5700" s="580">
        <f>HLOOKUP("*"&amp;'Output annual'!$AC$2&amp;'Output annual'!$AD$2&amp;"*FangerPMV(Hourly)",'Eplus results'!$1:$1048576,ROW(),FALSE)</f>
        <v>0</v>
      </c>
      <c r="AD5700" s="580">
        <f t="shared" si="481"/>
        <v>5</v>
      </c>
      <c r="AE5700" s="580">
        <f t="shared" si="482"/>
        <v>2.5</v>
      </c>
      <c r="AF5700" s="580">
        <f t="shared" si="483"/>
        <v>2.5</v>
      </c>
      <c r="AG5700" s="580">
        <f t="shared" si="484"/>
        <v>0</v>
      </c>
      <c r="AH5700" s="580">
        <f t="shared" si="485"/>
        <v>0</v>
      </c>
    </row>
    <row r="5701" spans="28:34">
      <c r="AB5701" s="580">
        <f>HLOOKUP("*"&amp;'Output annual'!$AC$2&amp;'Output annual'!$AD$2&amp;"*Zone People Number Of Occupants [](Hourly)",'Eplus results'!$1:$1048576,ROW(),FALSE)</f>
        <v>0</v>
      </c>
      <c r="AC5701" s="580">
        <f>HLOOKUP("*"&amp;'Output annual'!$AC$2&amp;'Output annual'!$AD$2&amp;"*FangerPMV(Hourly)",'Eplus results'!$1:$1048576,ROW(),FALSE)</f>
        <v>0</v>
      </c>
      <c r="AD5701" s="580">
        <f t="shared" si="481"/>
        <v>5</v>
      </c>
      <c r="AE5701" s="580">
        <f t="shared" si="482"/>
        <v>2.5</v>
      </c>
      <c r="AF5701" s="580">
        <f t="shared" si="483"/>
        <v>2.5</v>
      </c>
      <c r="AG5701" s="580">
        <f t="shared" si="484"/>
        <v>0</v>
      </c>
      <c r="AH5701" s="580">
        <f t="shared" si="485"/>
        <v>0</v>
      </c>
    </row>
    <row r="5702" spans="28:34">
      <c r="AB5702" s="580">
        <f>HLOOKUP("*"&amp;'Output annual'!$AC$2&amp;'Output annual'!$AD$2&amp;"*Zone People Number Of Occupants [](Hourly)",'Eplus results'!$1:$1048576,ROW(),FALSE)</f>
        <v>0</v>
      </c>
      <c r="AC5702" s="580">
        <f>HLOOKUP("*"&amp;'Output annual'!$AC$2&amp;'Output annual'!$AD$2&amp;"*FangerPMV(Hourly)",'Eplus results'!$1:$1048576,ROW(),FALSE)</f>
        <v>0</v>
      </c>
      <c r="AD5702" s="580">
        <f t="shared" si="481"/>
        <v>5</v>
      </c>
      <c r="AE5702" s="580">
        <f t="shared" si="482"/>
        <v>2.5</v>
      </c>
      <c r="AF5702" s="580">
        <f t="shared" si="483"/>
        <v>2.5</v>
      </c>
      <c r="AG5702" s="580">
        <f t="shared" si="484"/>
        <v>0</v>
      </c>
      <c r="AH5702" s="580">
        <f t="shared" si="485"/>
        <v>0</v>
      </c>
    </row>
    <row r="5703" spans="28:34">
      <c r="AB5703" s="580">
        <f>HLOOKUP("*"&amp;'Output annual'!$AC$2&amp;'Output annual'!$AD$2&amp;"*Zone People Number Of Occupants [](Hourly)",'Eplus results'!$1:$1048576,ROW(),FALSE)</f>
        <v>0</v>
      </c>
      <c r="AC5703" s="580">
        <f>HLOOKUP("*"&amp;'Output annual'!$AC$2&amp;'Output annual'!$AD$2&amp;"*FangerPMV(Hourly)",'Eplus results'!$1:$1048576,ROW(),FALSE)</f>
        <v>0</v>
      </c>
      <c r="AD5703" s="580">
        <f t="shared" si="481"/>
        <v>5</v>
      </c>
      <c r="AE5703" s="580">
        <f t="shared" si="482"/>
        <v>2.5</v>
      </c>
      <c r="AF5703" s="580">
        <f t="shared" si="483"/>
        <v>2.5</v>
      </c>
      <c r="AG5703" s="580">
        <f t="shared" si="484"/>
        <v>0</v>
      </c>
      <c r="AH5703" s="580">
        <f t="shared" si="485"/>
        <v>0</v>
      </c>
    </row>
    <row r="5704" spans="28:34">
      <c r="AB5704" s="580">
        <f>HLOOKUP("*"&amp;'Output annual'!$AC$2&amp;'Output annual'!$AD$2&amp;"*Zone People Number Of Occupants [](Hourly)",'Eplus results'!$1:$1048576,ROW(),FALSE)</f>
        <v>0</v>
      </c>
      <c r="AC5704" s="580">
        <f>HLOOKUP("*"&amp;'Output annual'!$AC$2&amp;'Output annual'!$AD$2&amp;"*FangerPMV(Hourly)",'Eplus results'!$1:$1048576,ROW(),FALSE)</f>
        <v>0</v>
      </c>
      <c r="AD5704" s="580">
        <f t="shared" si="481"/>
        <v>5</v>
      </c>
      <c r="AE5704" s="580">
        <f t="shared" si="482"/>
        <v>2.5</v>
      </c>
      <c r="AF5704" s="580">
        <f t="shared" si="483"/>
        <v>2.5</v>
      </c>
      <c r="AG5704" s="580">
        <f t="shared" si="484"/>
        <v>0</v>
      </c>
      <c r="AH5704" s="580">
        <f t="shared" si="485"/>
        <v>0</v>
      </c>
    </row>
    <row r="5705" spans="28:34">
      <c r="AB5705" s="580">
        <f>HLOOKUP("*"&amp;'Output annual'!$AC$2&amp;'Output annual'!$AD$2&amp;"*Zone People Number Of Occupants [](Hourly)",'Eplus results'!$1:$1048576,ROW(),FALSE)</f>
        <v>0</v>
      </c>
      <c r="AC5705" s="580">
        <f>HLOOKUP("*"&amp;'Output annual'!$AC$2&amp;'Output annual'!$AD$2&amp;"*FangerPMV(Hourly)",'Eplus results'!$1:$1048576,ROW(),FALSE)</f>
        <v>0</v>
      </c>
      <c r="AD5705" s="580">
        <f t="shared" si="481"/>
        <v>5</v>
      </c>
      <c r="AE5705" s="580">
        <f t="shared" si="482"/>
        <v>2.5</v>
      </c>
      <c r="AF5705" s="580">
        <f t="shared" si="483"/>
        <v>2.5</v>
      </c>
      <c r="AG5705" s="580">
        <f t="shared" si="484"/>
        <v>0</v>
      </c>
      <c r="AH5705" s="580">
        <f t="shared" si="485"/>
        <v>0</v>
      </c>
    </row>
    <row r="5706" spans="28:34">
      <c r="AB5706" s="580">
        <f>HLOOKUP("*"&amp;'Output annual'!$AC$2&amp;'Output annual'!$AD$2&amp;"*Zone People Number Of Occupants [](Hourly)",'Eplus results'!$1:$1048576,ROW(),FALSE)</f>
        <v>0</v>
      </c>
      <c r="AC5706" s="580">
        <f>HLOOKUP("*"&amp;'Output annual'!$AC$2&amp;'Output annual'!$AD$2&amp;"*FangerPMV(Hourly)",'Eplus results'!$1:$1048576,ROW(),FALSE)</f>
        <v>0</v>
      </c>
      <c r="AD5706" s="580">
        <f t="shared" si="481"/>
        <v>5</v>
      </c>
      <c r="AE5706" s="580">
        <f t="shared" si="482"/>
        <v>2.5</v>
      </c>
      <c r="AF5706" s="580">
        <f t="shared" si="483"/>
        <v>2.5</v>
      </c>
      <c r="AG5706" s="580">
        <f t="shared" si="484"/>
        <v>0</v>
      </c>
      <c r="AH5706" s="580">
        <f t="shared" si="485"/>
        <v>0</v>
      </c>
    </row>
    <row r="5707" spans="28:34">
      <c r="AB5707" s="580">
        <f>HLOOKUP("*"&amp;'Output annual'!$AC$2&amp;'Output annual'!$AD$2&amp;"*Zone People Number Of Occupants [](Hourly)",'Eplus results'!$1:$1048576,ROW(),FALSE)</f>
        <v>0</v>
      </c>
      <c r="AC5707" s="580">
        <f>HLOOKUP("*"&amp;'Output annual'!$AC$2&amp;'Output annual'!$AD$2&amp;"*FangerPMV(Hourly)",'Eplus results'!$1:$1048576,ROW(),FALSE)</f>
        <v>0</v>
      </c>
      <c r="AD5707" s="580">
        <f t="shared" si="481"/>
        <v>5</v>
      </c>
      <c r="AE5707" s="580">
        <f t="shared" si="482"/>
        <v>2.5</v>
      </c>
      <c r="AF5707" s="580">
        <f t="shared" si="483"/>
        <v>2.5</v>
      </c>
      <c r="AG5707" s="580">
        <f t="shared" si="484"/>
        <v>0</v>
      </c>
      <c r="AH5707" s="580">
        <f t="shared" si="485"/>
        <v>0</v>
      </c>
    </row>
    <row r="5708" spans="28:34">
      <c r="AB5708" s="580">
        <f>HLOOKUP("*"&amp;'Output annual'!$AC$2&amp;'Output annual'!$AD$2&amp;"*Zone People Number Of Occupants [](Hourly)",'Eplus results'!$1:$1048576,ROW(),FALSE)</f>
        <v>0</v>
      </c>
      <c r="AC5708" s="580">
        <f>HLOOKUP("*"&amp;'Output annual'!$AC$2&amp;'Output annual'!$AD$2&amp;"*FangerPMV(Hourly)",'Eplus results'!$1:$1048576,ROW(),FALSE)</f>
        <v>0</v>
      </c>
      <c r="AD5708" s="580">
        <f t="shared" si="481"/>
        <v>5</v>
      </c>
      <c r="AE5708" s="580">
        <f t="shared" si="482"/>
        <v>2.5</v>
      </c>
      <c r="AF5708" s="580">
        <f t="shared" si="483"/>
        <v>2.5</v>
      </c>
      <c r="AG5708" s="580">
        <f t="shared" si="484"/>
        <v>0</v>
      </c>
      <c r="AH5708" s="580">
        <f t="shared" si="485"/>
        <v>0</v>
      </c>
    </row>
    <row r="5709" spans="28:34">
      <c r="AB5709" s="580">
        <f>HLOOKUP("*"&amp;'Output annual'!$AC$2&amp;'Output annual'!$AD$2&amp;"*Zone People Number Of Occupants [](Hourly)",'Eplus results'!$1:$1048576,ROW(),FALSE)</f>
        <v>0</v>
      </c>
      <c r="AC5709" s="580">
        <f>HLOOKUP("*"&amp;'Output annual'!$AC$2&amp;'Output annual'!$AD$2&amp;"*FangerPMV(Hourly)",'Eplus results'!$1:$1048576,ROW(),FALSE)</f>
        <v>0</v>
      </c>
      <c r="AD5709" s="580">
        <f t="shared" si="481"/>
        <v>5</v>
      </c>
      <c r="AE5709" s="580">
        <f t="shared" si="482"/>
        <v>2.5</v>
      </c>
      <c r="AF5709" s="580">
        <f t="shared" si="483"/>
        <v>2.5</v>
      </c>
      <c r="AG5709" s="580">
        <f t="shared" si="484"/>
        <v>0</v>
      </c>
      <c r="AH5709" s="580">
        <f t="shared" si="485"/>
        <v>0</v>
      </c>
    </row>
    <row r="5710" spans="28:34">
      <c r="AB5710" s="580">
        <f>HLOOKUP("*"&amp;'Output annual'!$AC$2&amp;'Output annual'!$AD$2&amp;"*Zone People Number Of Occupants [](Hourly)",'Eplus results'!$1:$1048576,ROW(),FALSE)</f>
        <v>0</v>
      </c>
      <c r="AC5710" s="580">
        <f>HLOOKUP("*"&amp;'Output annual'!$AC$2&amp;'Output annual'!$AD$2&amp;"*FangerPMV(Hourly)",'Eplus results'!$1:$1048576,ROW(),FALSE)</f>
        <v>0</v>
      </c>
      <c r="AD5710" s="580">
        <f t="shared" si="481"/>
        <v>5</v>
      </c>
      <c r="AE5710" s="580">
        <f t="shared" si="482"/>
        <v>2.5</v>
      </c>
      <c r="AF5710" s="580">
        <f t="shared" si="483"/>
        <v>2.5</v>
      </c>
      <c r="AG5710" s="580">
        <f t="shared" si="484"/>
        <v>0</v>
      </c>
      <c r="AH5710" s="580">
        <f t="shared" si="485"/>
        <v>0</v>
      </c>
    </row>
    <row r="5711" spans="28:34">
      <c r="AB5711" s="580">
        <f>HLOOKUP("*"&amp;'Output annual'!$AC$2&amp;'Output annual'!$AD$2&amp;"*Zone People Number Of Occupants [](Hourly)",'Eplus results'!$1:$1048576,ROW(),FALSE)</f>
        <v>0</v>
      </c>
      <c r="AC5711" s="580">
        <f>HLOOKUP("*"&amp;'Output annual'!$AC$2&amp;'Output annual'!$AD$2&amp;"*FangerPMV(Hourly)",'Eplus results'!$1:$1048576,ROW(),FALSE)</f>
        <v>0</v>
      </c>
      <c r="AD5711" s="580">
        <f t="shared" si="481"/>
        <v>5</v>
      </c>
      <c r="AE5711" s="580">
        <f t="shared" si="482"/>
        <v>2.5</v>
      </c>
      <c r="AF5711" s="580">
        <f t="shared" si="483"/>
        <v>2.5</v>
      </c>
      <c r="AG5711" s="580">
        <f t="shared" si="484"/>
        <v>0</v>
      </c>
      <c r="AH5711" s="580">
        <f t="shared" si="485"/>
        <v>0</v>
      </c>
    </row>
    <row r="5712" spans="28:34">
      <c r="AB5712" s="580">
        <f>HLOOKUP("*"&amp;'Output annual'!$AC$2&amp;'Output annual'!$AD$2&amp;"*Zone People Number Of Occupants [](Hourly)",'Eplus results'!$1:$1048576,ROW(),FALSE)</f>
        <v>0</v>
      </c>
      <c r="AC5712" s="580">
        <f>HLOOKUP("*"&amp;'Output annual'!$AC$2&amp;'Output annual'!$AD$2&amp;"*FangerPMV(Hourly)",'Eplus results'!$1:$1048576,ROW(),FALSE)</f>
        <v>0</v>
      </c>
      <c r="AD5712" s="580">
        <f t="shared" si="481"/>
        <v>5</v>
      </c>
      <c r="AE5712" s="580">
        <f t="shared" si="482"/>
        <v>2.5</v>
      </c>
      <c r="AF5712" s="580">
        <f t="shared" si="483"/>
        <v>2.5</v>
      </c>
      <c r="AG5712" s="580">
        <f t="shared" si="484"/>
        <v>0</v>
      </c>
      <c r="AH5712" s="580">
        <f t="shared" si="485"/>
        <v>0</v>
      </c>
    </row>
    <row r="5713" spans="28:34">
      <c r="AB5713" s="580">
        <f>HLOOKUP("*"&amp;'Output annual'!$AC$2&amp;'Output annual'!$AD$2&amp;"*Zone People Number Of Occupants [](Hourly)",'Eplus results'!$1:$1048576,ROW(),FALSE)</f>
        <v>0</v>
      </c>
      <c r="AC5713" s="580">
        <f>HLOOKUP("*"&amp;'Output annual'!$AC$2&amp;'Output annual'!$AD$2&amp;"*FangerPMV(Hourly)",'Eplus results'!$1:$1048576,ROW(),FALSE)</f>
        <v>0</v>
      </c>
      <c r="AD5713" s="580">
        <f t="shared" si="481"/>
        <v>5</v>
      </c>
      <c r="AE5713" s="580">
        <f t="shared" si="482"/>
        <v>2.5</v>
      </c>
      <c r="AF5713" s="580">
        <f t="shared" si="483"/>
        <v>2.5</v>
      </c>
      <c r="AG5713" s="580">
        <f t="shared" si="484"/>
        <v>0</v>
      </c>
      <c r="AH5713" s="580">
        <f t="shared" si="485"/>
        <v>0</v>
      </c>
    </row>
    <row r="5714" spans="28:34">
      <c r="AB5714" s="580">
        <f>HLOOKUP("*"&amp;'Output annual'!$AC$2&amp;'Output annual'!$AD$2&amp;"*Zone People Number Of Occupants [](Hourly)",'Eplus results'!$1:$1048576,ROW(),FALSE)</f>
        <v>0</v>
      </c>
      <c r="AC5714" s="580">
        <f>HLOOKUP("*"&amp;'Output annual'!$AC$2&amp;'Output annual'!$AD$2&amp;"*FangerPMV(Hourly)",'Eplus results'!$1:$1048576,ROW(),FALSE)</f>
        <v>0</v>
      </c>
      <c r="AD5714" s="580">
        <f t="shared" si="481"/>
        <v>5</v>
      </c>
      <c r="AE5714" s="580">
        <f t="shared" si="482"/>
        <v>2.5</v>
      </c>
      <c r="AF5714" s="580">
        <f t="shared" si="483"/>
        <v>2.5</v>
      </c>
      <c r="AG5714" s="580">
        <f t="shared" si="484"/>
        <v>0</v>
      </c>
      <c r="AH5714" s="580">
        <f t="shared" si="485"/>
        <v>0</v>
      </c>
    </row>
    <row r="5715" spans="28:34">
      <c r="AB5715" s="580">
        <f>HLOOKUP("*"&amp;'Output annual'!$AC$2&amp;'Output annual'!$AD$2&amp;"*Zone People Number Of Occupants [](Hourly)",'Eplus results'!$1:$1048576,ROW(),FALSE)</f>
        <v>0</v>
      </c>
      <c r="AC5715" s="580">
        <f>HLOOKUP("*"&amp;'Output annual'!$AC$2&amp;'Output annual'!$AD$2&amp;"*FangerPMV(Hourly)",'Eplus results'!$1:$1048576,ROW(),FALSE)</f>
        <v>0</v>
      </c>
      <c r="AD5715" s="580">
        <f t="shared" si="481"/>
        <v>5</v>
      </c>
      <c r="AE5715" s="580">
        <f t="shared" si="482"/>
        <v>2.5</v>
      </c>
      <c r="AF5715" s="580">
        <f t="shared" si="483"/>
        <v>2.5</v>
      </c>
      <c r="AG5715" s="580">
        <f t="shared" si="484"/>
        <v>0</v>
      </c>
      <c r="AH5715" s="580">
        <f t="shared" si="485"/>
        <v>0</v>
      </c>
    </row>
    <row r="5716" spans="28:34">
      <c r="AB5716" s="580">
        <f>HLOOKUP("*"&amp;'Output annual'!$AC$2&amp;'Output annual'!$AD$2&amp;"*Zone People Number Of Occupants [](Hourly)",'Eplus results'!$1:$1048576,ROW(),FALSE)</f>
        <v>0</v>
      </c>
      <c r="AC5716" s="580">
        <f>HLOOKUP("*"&amp;'Output annual'!$AC$2&amp;'Output annual'!$AD$2&amp;"*FangerPMV(Hourly)",'Eplus results'!$1:$1048576,ROW(),FALSE)</f>
        <v>0</v>
      </c>
      <c r="AD5716" s="580">
        <f t="shared" si="481"/>
        <v>5</v>
      </c>
      <c r="AE5716" s="580">
        <f t="shared" si="482"/>
        <v>2.5</v>
      </c>
      <c r="AF5716" s="580">
        <f t="shared" si="483"/>
        <v>2.5</v>
      </c>
      <c r="AG5716" s="580">
        <f t="shared" si="484"/>
        <v>0</v>
      </c>
      <c r="AH5716" s="580">
        <f t="shared" si="485"/>
        <v>0</v>
      </c>
    </row>
    <row r="5717" spans="28:34">
      <c r="AB5717" s="580">
        <f>HLOOKUP("*"&amp;'Output annual'!$AC$2&amp;'Output annual'!$AD$2&amp;"*Zone People Number Of Occupants [](Hourly)",'Eplus results'!$1:$1048576,ROW(),FALSE)</f>
        <v>0</v>
      </c>
      <c r="AC5717" s="580">
        <f>HLOOKUP("*"&amp;'Output annual'!$AC$2&amp;'Output annual'!$AD$2&amp;"*FangerPMV(Hourly)",'Eplus results'!$1:$1048576,ROW(),FALSE)</f>
        <v>0</v>
      </c>
      <c r="AD5717" s="580">
        <f t="shared" si="481"/>
        <v>5</v>
      </c>
      <c r="AE5717" s="580">
        <f t="shared" si="482"/>
        <v>2.5</v>
      </c>
      <c r="AF5717" s="580">
        <f t="shared" si="483"/>
        <v>2.5</v>
      </c>
      <c r="AG5717" s="580">
        <f t="shared" si="484"/>
        <v>0</v>
      </c>
      <c r="AH5717" s="580">
        <f t="shared" si="485"/>
        <v>0</v>
      </c>
    </row>
    <row r="5718" spans="28:34">
      <c r="AB5718" s="580">
        <f>HLOOKUP("*"&amp;'Output annual'!$AC$2&amp;'Output annual'!$AD$2&amp;"*Zone People Number Of Occupants [](Hourly)",'Eplus results'!$1:$1048576,ROW(),FALSE)</f>
        <v>0</v>
      </c>
      <c r="AC5718" s="580">
        <f>HLOOKUP("*"&amp;'Output annual'!$AC$2&amp;'Output annual'!$AD$2&amp;"*FangerPMV(Hourly)",'Eplus results'!$1:$1048576,ROW(),FALSE)</f>
        <v>0</v>
      </c>
      <c r="AD5718" s="580">
        <f t="shared" si="481"/>
        <v>5</v>
      </c>
      <c r="AE5718" s="580">
        <f t="shared" si="482"/>
        <v>2.5</v>
      </c>
      <c r="AF5718" s="580">
        <f t="shared" si="483"/>
        <v>2.5</v>
      </c>
      <c r="AG5718" s="580">
        <f t="shared" si="484"/>
        <v>0</v>
      </c>
      <c r="AH5718" s="580">
        <f t="shared" si="485"/>
        <v>0</v>
      </c>
    </row>
    <row r="5719" spans="28:34">
      <c r="AB5719" s="580">
        <f>HLOOKUP("*"&amp;'Output annual'!$AC$2&amp;'Output annual'!$AD$2&amp;"*Zone People Number Of Occupants [](Hourly)",'Eplus results'!$1:$1048576,ROW(),FALSE)</f>
        <v>0</v>
      </c>
      <c r="AC5719" s="580">
        <f>HLOOKUP("*"&amp;'Output annual'!$AC$2&amp;'Output annual'!$AD$2&amp;"*FangerPMV(Hourly)",'Eplus results'!$1:$1048576,ROW(),FALSE)</f>
        <v>0</v>
      </c>
      <c r="AD5719" s="580">
        <f t="shared" si="481"/>
        <v>5</v>
      </c>
      <c r="AE5719" s="580">
        <f t="shared" si="482"/>
        <v>2.5</v>
      </c>
      <c r="AF5719" s="580">
        <f t="shared" si="483"/>
        <v>2.5</v>
      </c>
      <c r="AG5719" s="580">
        <f t="shared" si="484"/>
        <v>0</v>
      </c>
      <c r="AH5719" s="580">
        <f t="shared" si="485"/>
        <v>0</v>
      </c>
    </row>
    <row r="5720" spans="28:34">
      <c r="AB5720" s="580">
        <f>HLOOKUP("*"&amp;'Output annual'!$AC$2&amp;'Output annual'!$AD$2&amp;"*Zone People Number Of Occupants [](Hourly)",'Eplus results'!$1:$1048576,ROW(),FALSE)</f>
        <v>0</v>
      </c>
      <c r="AC5720" s="580">
        <f>HLOOKUP("*"&amp;'Output annual'!$AC$2&amp;'Output annual'!$AD$2&amp;"*FangerPMV(Hourly)",'Eplus results'!$1:$1048576,ROW(),FALSE)</f>
        <v>0</v>
      </c>
      <c r="AD5720" s="580">
        <f t="shared" si="481"/>
        <v>5</v>
      </c>
      <c r="AE5720" s="580">
        <f t="shared" si="482"/>
        <v>2.5</v>
      </c>
      <c r="AF5720" s="580">
        <f t="shared" si="483"/>
        <v>2.5</v>
      </c>
      <c r="AG5720" s="580">
        <f t="shared" si="484"/>
        <v>0</v>
      </c>
      <c r="AH5720" s="580">
        <f t="shared" si="485"/>
        <v>0</v>
      </c>
    </row>
    <row r="5721" spans="28:34">
      <c r="AB5721" s="580">
        <f>HLOOKUP("*"&amp;'Output annual'!$AC$2&amp;'Output annual'!$AD$2&amp;"*Zone People Number Of Occupants [](Hourly)",'Eplus results'!$1:$1048576,ROW(),FALSE)</f>
        <v>0</v>
      </c>
      <c r="AC5721" s="580">
        <f>HLOOKUP("*"&amp;'Output annual'!$AC$2&amp;'Output annual'!$AD$2&amp;"*FangerPMV(Hourly)",'Eplus results'!$1:$1048576,ROW(),FALSE)</f>
        <v>0</v>
      </c>
      <c r="AD5721" s="580">
        <f t="shared" si="481"/>
        <v>5</v>
      </c>
      <c r="AE5721" s="580">
        <f t="shared" si="482"/>
        <v>2.5</v>
      </c>
      <c r="AF5721" s="580">
        <f t="shared" si="483"/>
        <v>2.5</v>
      </c>
      <c r="AG5721" s="580">
        <f t="shared" si="484"/>
        <v>0</v>
      </c>
      <c r="AH5721" s="580">
        <f t="shared" si="485"/>
        <v>0</v>
      </c>
    </row>
    <row r="5722" spans="28:34">
      <c r="AB5722" s="580">
        <f>HLOOKUP("*"&amp;'Output annual'!$AC$2&amp;'Output annual'!$AD$2&amp;"*Zone People Number Of Occupants [](Hourly)",'Eplus results'!$1:$1048576,ROW(),FALSE)</f>
        <v>0</v>
      </c>
      <c r="AC5722" s="580">
        <f>HLOOKUP("*"&amp;'Output annual'!$AC$2&amp;'Output annual'!$AD$2&amp;"*FangerPMV(Hourly)",'Eplus results'!$1:$1048576,ROW(),FALSE)</f>
        <v>0</v>
      </c>
      <c r="AD5722" s="580">
        <f t="shared" si="481"/>
        <v>5</v>
      </c>
      <c r="AE5722" s="580">
        <f t="shared" si="482"/>
        <v>2.5</v>
      </c>
      <c r="AF5722" s="580">
        <f t="shared" si="483"/>
        <v>2.5</v>
      </c>
      <c r="AG5722" s="580">
        <f t="shared" si="484"/>
        <v>0</v>
      </c>
      <c r="AH5722" s="580">
        <f t="shared" si="485"/>
        <v>0</v>
      </c>
    </row>
    <row r="5723" spans="28:34">
      <c r="AB5723" s="580">
        <f>HLOOKUP("*"&amp;'Output annual'!$AC$2&amp;'Output annual'!$AD$2&amp;"*Zone People Number Of Occupants [](Hourly)",'Eplus results'!$1:$1048576,ROW(),FALSE)</f>
        <v>0</v>
      </c>
      <c r="AC5723" s="580">
        <f>HLOOKUP("*"&amp;'Output annual'!$AC$2&amp;'Output annual'!$AD$2&amp;"*FangerPMV(Hourly)",'Eplus results'!$1:$1048576,ROW(),FALSE)</f>
        <v>0</v>
      </c>
      <c r="AD5723" s="580">
        <f t="shared" si="481"/>
        <v>5</v>
      </c>
      <c r="AE5723" s="580">
        <f t="shared" si="482"/>
        <v>2.5</v>
      </c>
      <c r="AF5723" s="580">
        <f t="shared" si="483"/>
        <v>2.5</v>
      </c>
      <c r="AG5723" s="580">
        <f t="shared" si="484"/>
        <v>0</v>
      </c>
      <c r="AH5723" s="580">
        <f t="shared" si="485"/>
        <v>0</v>
      </c>
    </row>
    <row r="5724" spans="28:34">
      <c r="AB5724" s="580">
        <f>HLOOKUP("*"&amp;'Output annual'!$AC$2&amp;'Output annual'!$AD$2&amp;"*Zone People Number Of Occupants [](Hourly)",'Eplus results'!$1:$1048576,ROW(),FALSE)</f>
        <v>0</v>
      </c>
      <c r="AC5724" s="580">
        <f>HLOOKUP("*"&amp;'Output annual'!$AC$2&amp;'Output annual'!$AD$2&amp;"*FangerPMV(Hourly)",'Eplus results'!$1:$1048576,ROW(),FALSE)</f>
        <v>0</v>
      </c>
      <c r="AD5724" s="580">
        <f t="shared" si="481"/>
        <v>5</v>
      </c>
      <c r="AE5724" s="580">
        <f t="shared" si="482"/>
        <v>2.5</v>
      </c>
      <c r="AF5724" s="580">
        <f t="shared" si="483"/>
        <v>2.5</v>
      </c>
      <c r="AG5724" s="580">
        <f t="shared" si="484"/>
        <v>0</v>
      </c>
      <c r="AH5724" s="580">
        <f t="shared" si="485"/>
        <v>0</v>
      </c>
    </row>
    <row r="5725" spans="28:34">
      <c r="AB5725" s="580">
        <f>HLOOKUP("*"&amp;'Output annual'!$AC$2&amp;'Output annual'!$AD$2&amp;"*Zone People Number Of Occupants [](Hourly)",'Eplus results'!$1:$1048576,ROW(),FALSE)</f>
        <v>0</v>
      </c>
      <c r="AC5725" s="580">
        <f>HLOOKUP("*"&amp;'Output annual'!$AC$2&amp;'Output annual'!$AD$2&amp;"*FangerPMV(Hourly)",'Eplus results'!$1:$1048576,ROW(),FALSE)</f>
        <v>0</v>
      </c>
      <c r="AD5725" s="580">
        <f t="shared" si="481"/>
        <v>5</v>
      </c>
      <c r="AE5725" s="580">
        <f t="shared" si="482"/>
        <v>2.5</v>
      </c>
      <c r="AF5725" s="580">
        <f t="shared" si="483"/>
        <v>2.5</v>
      </c>
      <c r="AG5725" s="580">
        <f t="shared" si="484"/>
        <v>0</v>
      </c>
      <c r="AH5725" s="580">
        <f t="shared" si="485"/>
        <v>0</v>
      </c>
    </row>
    <row r="5726" spans="28:34">
      <c r="AB5726" s="580">
        <f>HLOOKUP("*"&amp;'Output annual'!$AC$2&amp;'Output annual'!$AD$2&amp;"*Zone People Number Of Occupants [](Hourly)",'Eplus results'!$1:$1048576,ROW(),FALSE)</f>
        <v>0</v>
      </c>
      <c r="AC5726" s="580">
        <f>HLOOKUP("*"&amp;'Output annual'!$AC$2&amp;'Output annual'!$AD$2&amp;"*FangerPMV(Hourly)",'Eplus results'!$1:$1048576,ROW(),FALSE)</f>
        <v>0</v>
      </c>
      <c r="AD5726" s="580">
        <f t="shared" si="481"/>
        <v>5</v>
      </c>
      <c r="AE5726" s="580">
        <f t="shared" si="482"/>
        <v>2.5</v>
      </c>
      <c r="AF5726" s="580">
        <f t="shared" si="483"/>
        <v>2.5</v>
      </c>
      <c r="AG5726" s="580">
        <f t="shared" si="484"/>
        <v>0</v>
      </c>
      <c r="AH5726" s="580">
        <f t="shared" si="485"/>
        <v>0</v>
      </c>
    </row>
    <row r="5727" spans="28:34">
      <c r="AB5727" s="580">
        <f>HLOOKUP("*"&amp;'Output annual'!$AC$2&amp;'Output annual'!$AD$2&amp;"*Zone People Number Of Occupants [](Hourly)",'Eplus results'!$1:$1048576,ROW(),FALSE)</f>
        <v>0</v>
      </c>
      <c r="AC5727" s="580">
        <f>HLOOKUP("*"&amp;'Output annual'!$AC$2&amp;'Output annual'!$AD$2&amp;"*FangerPMV(Hourly)",'Eplus results'!$1:$1048576,ROW(),FALSE)</f>
        <v>0</v>
      </c>
      <c r="AD5727" s="580">
        <f t="shared" si="481"/>
        <v>5</v>
      </c>
      <c r="AE5727" s="580">
        <f t="shared" si="482"/>
        <v>2.5</v>
      </c>
      <c r="AF5727" s="580">
        <f t="shared" si="483"/>
        <v>2.5</v>
      </c>
      <c r="AG5727" s="580">
        <f t="shared" si="484"/>
        <v>0</v>
      </c>
      <c r="AH5727" s="580">
        <f t="shared" si="485"/>
        <v>0</v>
      </c>
    </row>
    <row r="5728" spans="28:34">
      <c r="AB5728" s="580">
        <f>HLOOKUP("*"&amp;'Output annual'!$AC$2&amp;'Output annual'!$AD$2&amp;"*Zone People Number Of Occupants [](Hourly)",'Eplus results'!$1:$1048576,ROW(),FALSE)</f>
        <v>0</v>
      </c>
      <c r="AC5728" s="580">
        <f>HLOOKUP("*"&amp;'Output annual'!$AC$2&amp;'Output annual'!$AD$2&amp;"*FangerPMV(Hourly)",'Eplus results'!$1:$1048576,ROW(),FALSE)</f>
        <v>0</v>
      </c>
      <c r="AD5728" s="580">
        <f t="shared" si="481"/>
        <v>5</v>
      </c>
      <c r="AE5728" s="580">
        <f t="shared" si="482"/>
        <v>2.5</v>
      </c>
      <c r="AF5728" s="580">
        <f t="shared" si="483"/>
        <v>2.5</v>
      </c>
      <c r="AG5728" s="580">
        <f t="shared" si="484"/>
        <v>0</v>
      </c>
      <c r="AH5728" s="580">
        <f t="shared" si="485"/>
        <v>0</v>
      </c>
    </row>
    <row r="5729" spans="28:34">
      <c r="AB5729" s="580">
        <f>HLOOKUP("*"&amp;'Output annual'!$AC$2&amp;'Output annual'!$AD$2&amp;"*Zone People Number Of Occupants [](Hourly)",'Eplus results'!$1:$1048576,ROW(),FALSE)</f>
        <v>0</v>
      </c>
      <c r="AC5729" s="580">
        <f>HLOOKUP("*"&amp;'Output annual'!$AC$2&amp;'Output annual'!$AD$2&amp;"*FangerPMV(Hourly)",'Eplus results'!$1:$1048576,ROW(),FALSE)</f>
        <v>0</v>
      </c>
      <c r="AD5729" s="580">
        <f t="shared" si="481"/>
        <v>5</v>
      </c>
      <c r="AE5729" s="580">
        <f t="shared" si="482"/>
        <v>2.5</v>
      </c>
      <c r="AF5729" s="580">
        <f t="shared" si="483"/>
        <v>2.5</v>
      </c>
      <c r="AG5729" s="580">
        <f t="shared" si="484"/>
        <v>0</v>
      </c>
      <c r="AH5729" s="580">
        <f t="shared" si="485"/>
        <v>0</v>
      </c>
    </row>
    <row r="5730" spans="28:34">
      <c r="AB5730" s="580">
        <f>HLOOKUP("*"&amp;'Output annual'!$AC$2&amp;'Output annual'!$AD$2&amp;"*Zone People Number Of Occupants [](Hourly)",'Eplus results'!$1:$1048576,ROW(),FALSE)</f>
        <v>0</v>
      </c>
      <c r="AC5730" s="580">
        <f>HLOOKUP("*"&amp;'Output annual'!$AC$2&amp;'Output annual'!$AD$2&amp;"*FangerPMV(Hourly)",'Eplus results'!$1:$1048576,ROW(),FALSE)</f>
        <v>0</v>
      </c>
      <c r="AD5730" s="580">
        <f t="shared" si="481"/>
        <v>5</v>
      </c>
      <c r="AE5730" s="580">
        <f t="shared" si="482"/>
        <v>2.5</v>
      </c>
      <c r="AF5730" s="580">
        <f t="shared" si="483"/>
        <v>2.5</v>
      </c>
      <c r="AG5730" s="580">
        <f t="shared" si="484"/>
        <v>0</v>
      </c>
      <c r="AH5730" s="580">
        <f t="shared" si="485"/>
        <v>0</v>
      </c>
    </row>
    <row r="5731" spans="28:34">
      <c r="AB5731" s="580">
        <f>HLOOKUP("*"&amp;'Output annual'!$AC$2&amp;'Output annual'!$AD$2&amp;"*Zone People Number Of Occupants [](Hourly)",'Eplus results'!$1:$1048576,ROW(),FALSE)</f>
        <v>0</v>
      </c>
      <c r="AC5731" s="580">
        <f>HLOOKUP("*"&amp;'Output annual'!$AC$2&amp;'Output annual'!$AD$2&amp;"*FangerPMV(Hourly)",'Eplus results'!$1:$1048576,ROW(),FALSE)</f>
        <v>0</v>
      </c>
      <c r="AD5731" s="580">
        <f t="shared" si="481"/>
        <v>5</v>
      </c>
      <c r="AE5731" s="580">
        <f t="shared" si="482"/>
        <v>2.5</v>
      </c>
      <c r="AF5731" s="580">
        <f t="shared" si="483"/>
        <v>2.5</v>
      </c>
      <c r="AG5731" s="580">
        <f t="shared" si="484"/>
        <v>0</v>
      </c>
      <c r="AH5731" s="580">
        <f t="shared" si="485"/>
        <v>0</v>
      </c>
    </row>
    <row r="5732" spans="28:34">
      <c r="AB5732" s="580">
        <f>HLOOKUP("*"&amp;'Output annual'!$AC$2&amp;'Output annual'!$AD$2&amp;"*Zone People Number Of Occupants [](Hourly)",'Eplus results'!$1:$1048576,ROW(),FALSE)</f>
        <v>0</v>
      </c>
      <c r="AC5732" s="580">
        <f>HLOOKUP("*"&amp;'Output annual'!$AC$2&amp;'Output annual'!$AD$2&amp;"*FangerPMV(Hourly)",'Eplus results'!$1:$1048576,ROW(),FALSE)</f>
        <v>0</v>
      </c>
      <c r="AD5732" s="580">
        <f t="shared" si="481"/>
        <v>5</v>
      </c>
      <c r="AE5732" s="580">
        <f t="shared" si="482"/>
        <v>2.5</v>
      </c>
      <c r="AF5732" s="580">
        <f t="shared" si="483"/>
        <v>2.5</v>
      </c>
      <c r="AG5732" s="580">
        <f t="shared" si="484"/>
        <v>0</v>
      </c>
      <c r="AH5732" s="580">
        <f t="shared" si="485"/>
        <v>0</v>
      </c>
    </row>
    <row r="5733" spans="28:34">
      <c r="AB5733" s="580">
        <f>HLOOKUP("*"&amp;'Output annual'!$AC$2&amp;'Output annual'!$AD$2&amp;"*Zone People Number Of Occupants [](Hourly)",'Eplus results'!$1:$1048576,ROW(),FALSE)</f>
        <v>0</v>
      </c>
      <c r="AC5733" s="580">
        <f>HLOOKUP("*"&amp;'Output annual'!$AC$2&amp;'Output annual'!$AD$2&amp;"*FangerPMV(Hourly)",'Eplus results'!$1:$1048576,ROW(),FALSE)</f>
        <v>0</v>
      </c>
      <c r="AD5733" s="580">
        <f t="shared" si="481"/>
        <v>5</v>
      </c>
      <c r="AE5733" s="580">
        <f t="shared" si="482"/>
        <v>2.5</v>
      </c>
      <c r="AF5733" s="580">
        <f t="shared" si="483"/>
        <v>2.5</v>
      </c>
      <c r="AG5733" s="580">
        <f t="shared" si="484"/>
        <v>0</v>
      </c>
      <c r="AH5733" s="580">
        <f t="shared" si="485"/>
        <v>0</v>
      </c>
    </row>
    <row r="5734" spans="28:34">
      <c r="AB5734" s="580">
        <f>HLOOKUP("*"&amp;'Output annual'!$AC$2&amp;'Output annual'!$AD$2&amp;"*Zone People Number Of Occupants [](Hourly)",'Eplus results'!$1:$1048576,ROW(),FALSE)</f>
        <v>0</v>
      </c>
      <c r="AC5734" s="580">
        <f>HLOOKUP("*"&amp;'Output annual'!$AC$2&amp;'Output annual'!$AD$2&amp;"*FangerPMV(Hourly)",'Eplus results'!$1:$1048576,ROW(),FALSE)</f>
        <v>0</v>
      </c>
      <c r="AD5734" s="580">
        <f t="shared" si="481"/>
        <v>5</v>
      </c>
      <c r="AE5734" s="580">
        <f t="shared" si="482"/>
        <v>2.5</v>
      </c>
      <c r="AF5734" s="580">
        <f t="shared" si="483"/>
        <v>2.5</v>
      </c>
      <c r="AG5734" s="580">
        <f t="shared" si="484"/>
        <v>0</v>
      </c>
      <c r="AH5734" s="580">
        <f t="shared" si="485"/>
        <v>0</v>
      </c>
    </row>
    <row r="5735" spans="28:34">
      <c r="AB5735" s="580">
        <f>HLOOKUP("*"&amp;'Output annual'!$AC$2&amp;'Output annual'!$AD$2&amp;"*Zone People Number Of Occupants [](Hourly)",'Eplus results'!$1:$1048576,ROW(),FALSE)</f>
        <v>0</v>
      </c>
      <c r="AC5735" s="580">
        <f>HLOOKUP("*"&amp;'Output annual'!$AC$2&amp;'Output annual'!$AD$2&amp;"*FangerPMV(Hourly)",'Eplus results'!$1:$1048576,ROW(),FALSE)</f>
        <v>0</v>
      </c>
      <c r="AD5735" s="580">
        <f t="shared" si="481"/>
        <v>5</v>
      </c>
      <c r="AE5735" s="580">
        <f t="shared" si="482"/>
        <v>2.5</v>
      </c>
      <c r="AF5735" s="580">
        <f t="shared" si="483"/>
        <v>2.5</v>
      </c>
      <c r="AG5735" s="580">
        <f t="shared" si="484"/>
        <v>0</v>
      </c>
      <c r="AH5735" s="580">
        <f t="shared" si="485"/>
        <v>0</v>
      </c>
    </row>
    <row r="5736" spans="28:34">
      <c r="AB5736" s="580">
        <f>HLOOKUP("*"&amp;'Output annual'!$AC$2&amp;'Output annual'!$AD$2&amp;"*Zone People Number Of Occupants [](Hourly)",'Eplus results'!$1:$1048576,ROW(),FALSE)</f>
        <v>0</v>
      </c>
      <c r="AC5736" s="580">
        <f>HLOOKUP("*"&amp;'Output annual'!$AC$2&amp;'Output annual'!$AD$2&amp;"*FangerPMV(Hourly)",'Eplus results'!$1:$1048576,ROW(),FALSE)</f>
        <v>0</v>
      </c>
      <c r="AD5736" s="580">
        <f t="shared" si="481"/>
        <v>5</v>
      </c>
      <c r="AE5736" s="580">
        <f t="shared" si="482"/>
        <v>2.5</v>
      </c>
      <c r="AF5736" s="580">
        <f t="shared" si="483"/>
        <v>2.5</v>
      </c>
      <c r="AG5736" s="580">
        <f t="shared" si="484"/>
        <v>0</v>
      </c>
      <c r="AH5736" s="580">
        <f t="shared" si="485"/>
        <v>0</v>
      </c>
    </row>
    <row r="5737" spans="28:34">
      <c r="AB5737" s="580">
        <f>HLOOKUP("*"&amp;'Output annual'!$AC$2&amp;'Output annual'!$AD$2&amp;"*Zone People Number Of Occupants [](Hourly)",'Eplus results'!$1:$1048576,ROW(),FALSE)</f>
        <v>0</v>
      </c>
      <c r="AC5737" s="580">
        <f>HLOOKUP("*"&amp;'Output annual'!$AC$2&amp;'Output annual'!$AD$2&amp;"*FangerPMV(Hourly)",'Eplus results'!$1:$1048576,ROW(),FALSE)</f>
        <v>0</v>
      </c>
      <c r="AD5737" s="580">
        <f t="shared" si="481"/>
        <v>5</v>
      </c>
      <c r="AE5737" s="580">
        <f t="shared" si="482"/>
        <v>2.5</v>
      </c>
      <c r="AF5737" s="580">
        <f t="shared" si="483"/>
        <v>2.5</v>
      </c>
      <c r="AG5737" s="580">
        <f t="shared" si="484"/>
        <v>0</v>
      </c>
      <c r="AH5737" s="580">
        <f t="shared" si="485"/>
        <v>0</v>
      </c>
    </row>
    <row r="5738" spans="28:34">
      <c r="AB5738" s="580">
        <f>HLOOKUP("*"&amp;'Output annual'!$AC$2&amp;'Output annual'!$AD$2&amp;"*Zone People Number Of Occupants [](Hourly)",'Eplus results'!$1:$1048576,ROW(),FALSE)</f>
        <v>0</v>
      </c>
      <c r="AC5738" s="580">
        <f>HLOOKUP("*"&amp;'Output annual'!$AC$2&amp;'Output annual'!$AD$2&amp;"*FangerPMV(Hourly)",'Eplus results'!$1:$1048576,ROW(),FALSE)</f>
        <v>0</v>
      </c>
      <c r="AD5738" s="580">
        <f t="shared" si="481"/>
        <v>5</v>
      </c>
      <c r="AE5738" s="580">
        <f t="shared" si="482"/>
        <v>2.5</v>
      </c>
      <c r="AF5738" s="580">
        <f t="shared" si="483"/>
        <v>2.5</v>
      </c>
      <c r="AG5738" s="580">
        <f t="shared" si="484"/>
        <v>0</v>
      </c>
      <c r="AH5738" s="580">
        <f t="shared" si="485"/>
        <v>0</v>
      </c>
    </row>
    <row r="5739" spans="28:34">
      <c r="AB5739" s="580">
        <f>HLOOKUP("*"&amp;'Output annual'!$AC$2&amp;'Output annual'!$AD$2&amp;"*Zone People Number Of Occupants [](Hourly)",'Eplus results'!$1:$1048576,ROW(),FALSE)</f>
        <v>0</v>
      </c>
      <c r="AC5739" s="580">
        <f>HLOOKUP("*"&amp;'Output annual'!$AC$2&amp;'Output annual'!$AD$2&amp;"*FangerPMV(Hourly)",'Eplus results'!$1:$1048576,ROW(),FALSE)</f>
        <v>0</v>
      </c>
      <c r="AD5739" s="580">
        <f t="shared" si="481"/>
        <v>5</v>
      </c>
      <c r="AE5739" s="580">
        <f t="shared" si="482"/>
        <v>2.5</v>
      </c>
      <c r="AF5739" s="580">
        <f t="shared" si="483"/>
        <v>2.5</v>
      </c>
      <c r="AG5739" s="580">
        <f t="shared" si="484"/>
        <v>0</v>
      </c>
      <c r="AH5739" s="580">
        <f t="shared" si="485"/>
        <v>0</v>
      </c>
    </row>
    <row r="5740" spans="28:34">
      <c r="AB5740" s="580">
        <f>HLOOKUP("*"&amp;'Output annual'!$AC$2&amp;'Output annual'!$AD$2&amp;"*Zone People Number Of Occupants [](Hourly)",'Eplus results'!$1:$1048576,ROW(),FALSE)</f>
        <v>0</v>
      </c>
      <c r="AC5740" s="580">
        <f>HLOOKUP("*"&amp;'Output annual'!$AC$2&amp;'Output annual'!$AD$2&amp;"*FangerPMV(Hourly)",'Eplus results'!$1:$1048576,ROW(),FALSE)</f>
        <v>0</v>
      </c>
      <c r="AD5740" s="580">
        <f t="shared" si="481"/>
        <v>5</v>
      </c>
      <c r="AE5740" s="580">
        <f t="shared" si="482"/>
        <v>2.5</v>
      </c>
      <c r="AF5740" s="580">
        <f t="shared" si="483"/>
        <v>2.5</v>
      </c>
      <c r="AG5740" s="580">
        <f t="shared" si="484"/>
        <v>0</v>
      </c>
      <c r="AH5740" s="580">
        <f t="shared" si="485"/>
        <v>0</v>
      </c>
    </row>
    <row r="5741" spans="28:34">
      <c r="AB5741" s="580">
        <f>HLOOKUP("*"&amp;'Output annual'!$AC$2&amp;'Output annual'!$AD$2&amp;"*Zone People Number Of Occupants [](Hourly)",'Eplus results'!$1:$1048576,ROW(),FALSE)</f>
        <v>0</v>
      </c>
      <c r="AC5741" s="580">
        <f>HLOOKUP("*"&amp;'Output annual'!$AC$2&amp;'Output annual'!$AD$2&amp;"*FangerPMV(Hourly)",'Eplus results'!$1:$1048576,ROW(),FALSE)</f>
        <v>0</v>
      </c>
      <c r="AD5741" s="580">
        <f t="shared" si="481"/>
        <v>5</v>
      </c>
      <c r="AE5741" s="580">
        <f t="shared" si="482"/>
        <v>2.5</v>
      </c>
      <c r="AF5741" s="580">
        <f t="shared" si="483"/>
        <v>2.5</v>
      </c>
      <c r="AG5741" s="580">
        <f t="shared" si="484"/>
        <v>0</v>
      </c>
      <c r="AH5741" s="580">
        <f t="shared" si="485"/>
        <v>0</v>
      </c>
    </row>
    <row r="5742" spans="28:34">
      <c r="AB5742" s="580">
        <f>HLOOKUP("*"&amp;'Output annual'!$AC$2&amp;'Output annual'!$AD$2&amp;"*Zone People Number Of Occupants [](Hourly)",'Eplus results'!$1:$1048576,ROW(),FALSE)</f>
        <v>0</v>
      </c>
      <c r="AC5742" s="580">
        <f>HLOOKUP("*"&amp;'Output annual'!$AC$2&amp;'Output annual'!$AD$2&amp;"*FangerPMV(Hourly)",'Eplus results'!$1:$1048576,ROW(),FALSE)</f>
        <v>0</v>
      </c>
      <c r="AD5742" s="580">
        <f t="shared" si="481"/>
        <v>5</v>
      </c>
      <c r="AE5742" s="580">
        <f t="shared" si="482"/>
        <v>2.5</v>
      </c>
      <c r="AF5742" s="580">
        <f t="shared" si="483"/>
        <v>2.5</v>
      </c>
      <c r="AG5742" s="580">
        <f t="shared" si="484"/>
        <v>0</v>
      </c>
      <c r="AH5742" s="580">
        <f t="shared" si="485"/>
        <v>0</v>
      </c>
    </row>
    <row r="5743" spans="28:34">
      <c r="AB5743" s="580">
        <f>HLOOKUP("*"&amp;'Output annual'!$AC$2&amp;'Output annual'!$AD$2&amp;"*Zone People Number Of Occupants [](Hourly)",'Eplus results'!$1:$1048576,ROW(),FALSE)</f>
        <v>0</v>
      </c>
      <c r="AC5743" s="580">
        <f>HLOOKUP("*"&amp;'Output annual'!$AC$2&amp;'Output annual'!$AD$2&amp;"*FangerPMV(Hourly)",'Eplus results'!$1:$1048576,ROW(),FALSE)</f>
        <v>0</v>
      </c>
      <c r="AD5743" s="580">
        <f t="shared" si="481"/>
        <v>5</v>
      </c>
      <c r="AE5743" s="580">
        <f t="shared" si="482"/>
        <v>2.5</v>
      </c>
      <c r="AF5743" s="580">
        <f t="shared" si="483"/>
        <v>2.5</v>
      </c>
      <c r="AG5743" s="580">
        <f t="shared" si="484"/>
        <v>0</v>
      </c>
      <c r="AH5743" s="580">
        <f t="shared" si="485"/>
        <v>0</v>
      </c>
    </row>
    <row r="5744" spans="28:34">
      <c r="AB5744" s="580">
        <f>HLOOKUP("*"&amp;'Output annual'!$AC$2&amp;'Output annual'!$AD$2&amp;"*Zone People Number Of Occupants [](Hourly)",'Eplus results'!$1:$1048576,ROW(),FALSE)</f>
        <v>0</v>
      </c>
      <c r="AC5744" s="580">
        <f>HLOOKUP("*"&amp;'Output annual'!$AC$2&amp;'Output annual'!$AD$2&amp;"*FangerPMV(Hourly)",'Eplus results'!$1:$1048576,ROW(),FALSE)</f>
        <v>0</v>
      </c>
      <c r="AD5744" s="580">
        <f t="shared" si="481"/>
        <v>5</v>
      </c>
      <c r="AE5744" s="580">
        <f t="shared" si="482"/>
        <v>2.5</v>
      </c>
      <c r="AF5744" s="580">
        <f t="shared" si="483"/>
        <v>2.5</v>
      </c>
      <c r="AG5744" s="580">
        <f t="shared" si="484"/>
        <v>0</v>
      </c>
      <c r="AH5744" s="580">
        <f t="shared" si="485"/>
        <v>0</v>
      </c>
    </row>
    <row r="5745" spans="28:34">
      <c r="AB5745" s="580">
        <f>HLOOKUP("*"&amp;'Output annual'!$AC$2&amp;'Output annual'!$AD$2&amp;"*Zone People Number Of Occupants [](Hourly)",'Eplus results'!$1:$1048576,ROW(),FALSE)</f>
        <v>0</v>
      </c>
      <c r="AC5745" s="580">
        <f>HLOOKUP("*"&amp;'Output annual'!$AC$2&amp;'Output annual'!$AD$2&amp;"*FangerPMV(Hourly)",'Eplus results'!$1:$1048576,ROW(),FALSE)</f>
        <v>0</v>
      </c>
      <c r="AD5745" s="580">
        <f t="shared" si="481"/>
        <v>5</v>
      </c>
      <c r="AE5745" s="580">
        <f t="shared" si="482"/>
        <v>2.5</v>
      </c>
      <c r="AF5745" s="580">
        <f t="shared" si="483"/>
        <v>2.5</v>
      </c>
      <c r="AG5745" s="580">
        <f t="shared" si="484"/>
        <v>0</v>
      </c>
      <c r="AH5745" s="580">
        <f t="shared" si="485"/>
        <v>0</v>
      </c>
    </row>
    <row r="5746" spans="28:34">
      <c r="AB5746" s="580">
        <f>HLOOKUP("*"&amp;'Output annual'!$AC$2&amp;'Output annual'!$AD$2&amp;"*Zone People Number Of Occupants [](Hourly)",'Eplus results'!$1:$1048576,ROW(),FALSE)</f>
        <v>0</v>
      </c>
      <c r="AC5746" s="580">
        <f>HLOOKUP("*"&amp;'Output annual'!$AC$2&amp;'Output annual'!$AD$2&amp;"*FangerPMV(Hourly)",'Eplus results'!$1:$1048576,ROW(),FALSE)</f>
        <v>0</v>
      </c>
      <c r="AD5746" s="580">
        <f t="shared" si="481"/>
        <v>5</v>
      </c>
      <c r="AE5746" s="580">
        <f t="shared" si="482"/>
        <v>2.5</v>
      </c>
      <c r="AF5746" s="580">
        <f t="shared" si="483"/>
        <v>2.5</v>
      </c>
      <c r="AG5746" s="580">
        <f t="shared" si="484"/>
        <v>0</v>
      </c>
      <c r="AH5746" s="580">
        <f t="shared" si="485"/>
        <v>0</v>
      </c>
    </row>
    <row r="5747" spans="28:34">
      <c r="AB5747" s="580">
        <f>HLOOKUP("*"&amp;'Output annual'!$AC$2&amp;'Output annual'!$AD$2&amp;"*Zone People Number Of Occupants [](Hourly)",'Eplus results'!$1:$1048576,ROW(),FALSE)</f>
        <v>0</v>
      </c>
      <c r="AC5747" s="580">
        <f>HLOOKUP("*"&amp;'Output annual'!$AC$2&amp;'Output annual'!$AD$2&amp;"*FangerPMV(Hourly)",'Eplus results'!$1:$1048576,ROW(),FALSE)</f>
        <v>0</v>
      </c>
      <c r="AD5747" s="580">
        <f t="shared" si="481"/>
        <v>5</v>
      </c>
      <c r="AE5747" s="580">
        <f t="shared" si="482"/>
        <v>2.5</v>
      </c>
      <c r="AF5747" s="580">
        <f t="shared" si="483"/>
        <v>2.5</v>
      </c>
      <c r="AG5747" s="580">
        <f t="shared" si="484"/>
        <v>0</v>
      </c>
      <c r="AH5747" s="580">
        <f t="shared" si="485"/>
        <v>0</v>
      </c>
    </row>
    <row r="5748" spans="28:34">
      <c r="AB5748" s="580">
        <f>HLOOKUP("*"&amp;'Output annual'!$AC$2&amp;'Output annual'!$AD$2&amp;"*Zone People Number Of Occupants [](Hourly)",'Eplus results'!$1:$1048576,ROW(),FALSE)</f>
        <v>0</v>
      </c>
      <c r="AC5748" s="580">
        <f>HLOOKUP("*"&amp;'Output annual'!$AC$2&amp;'Output annual'!$AD$2&amp;"*FangerPMV(Hourly)",'Eplus results'!$1:$1048576,ROW(),FALSE)</f>
        <v>0</v>
      </c>
      <c r="AD5748" s="580">
        <f t="shared" si="481"/>
        <v>5</v>
      </c>
      <c r="AE5748" s="580">
        <f t="shared" si="482"/>
        <v>2.5</v>
      </c>
      <c r="AF5748" s="580">
        <f t="shared" si="483"/>
        <v>2.5</v>
      </c>
      <c r="AG5748" s="580">
        <f t="shared" si="484"/>
        <v>0</v>
      </c>
      <c r="AH5748" s="580">
        <f t="shared" si="485"/>
        <v>0</v>
      </c>
    </row>
    <row r="5749" spans="28:34">
      <c r="AB5749" s="580">
        <f>HLOOKUP("*"&amp;'Output annual'!$AC$2&amp;'Output annual'!$AD$2&amp;"*Zone People Number Of Occupants [](Hourly)",'Eplus results'!$1:$1048576,ROW(),FALSE)</f>
        <v>0</v>
      </c>
      <c r="AC5749" s="580">
        <f>HLOOKUP("*"&amp;'Output annual'!$AC$2&amp;'Output annual'!$AD$2&amp;"*FangerPMV(Hourly)",'Eplus results'!$1:$1048576,ROW(),FALSE)</f>
        <v>0</v>
      </c>
      <c r="AD5749" s="580">
        <f t="shared" si="481"/>
        <v>5</v>
      </c>
      <c r="AE5749" s="580">
        <f t="shared" si="482"/>
        <v>2.5</v>
      </c>
      <c r="AF5749" s="580">
        <f t="shared" si="483"/>
        <v>2.5</v>
      </c>
      <c r="AG5749" s="580">
        <f t="shared" si="484"/>
        <v>0</v>
      </c>
      <c r="AH5749" s="580">
        <f t="shared" si="485"/>
        <v>0</v>
      </c>
    </row>
    <row r="5750" spans="28:34">
      <c r="AB5750" s="580">
        <f>HLOOKUP("*"&amp;'Output annual'!$AC$2&amp;'Output annual'!$AD$2&amp;"*Zone People Number Of Occupants [](Hourly)",'Eplus results'!$1:$1048576,ROW(),FALSE)</f>
        <v>0</v>
      </c>
      <c r="AC5750" s="580">
        <f>HLOOKUP("*"&amp;'Output annual'!$AC$2&amp;'Output annual'!$AD$2&amp;"*FangerPMV(Hourly)",'Eplus results'!$1:$1048576,ROW(),FALSE)</f>
        <v>0</v>
      </c>
      <c r="AD5750" s="580">
        <f t="shared" si="481"/>
        <v>5</v>
      </c>
      <c r="AE5750" s="580">
        <f t="shared" si="482"/>
        <v>2.5</v>
      </c>
      <c r="AF5750" s="580">
        <f t="shared" si="483"/>
        <v>2.5</v>
      </c>
      <c r="AG5750" s="580">
        <f t="shared" si="484"/>
        <v>0</v>
      </c>
      <c r="AH5750" s="580">
        <f t="shared" si="485"/>
        <v>0</v>
      </c>
    </row>
    <row r="5751" spans="28:34">
      <c r="AB5751" s="580">
        <f>HLOOKUP("*"&amp;'Output annual'!$AC$2&amp;'Output annual'!$AD$2&amp;"*Zone People Number Of Occupants [](Hourly)",'Eplus results'!$1:$1048576,ROW(),FALSE)</f>
        <v>0</v>
      </c>
      <c r="AC5751" s="580">
        <f>HLOOKUP("*"&amp;'Output annual'!$AC$2&amp;'Output annual'!$AD$2&amp;"*FangerPMV(Hourly)",'Eplus results'!$1:$1048576,ROW(),FALSE)</f>
        <v>0</v>
      </c>
      <c r="AD5751" s="580">
        <f t="shared" si="481"/>
        <v>5</v>
      </c>
      <c r="AE5751" s="580">
        <f t="shared" si="482"/>
        <v>2.5</v>
      </c>
      <c r="AF5751" s="580">
        <f t="shared" si="483"/>
        <v>2.5</v>
      </c>
      <c r="AG5751" s="580">
        <f t="shared" si="484"/>
        <v>0</v>
      </c>
      <c r="AH5751" s="580">
        <f t="shared" si="485"/>
        <v>0</v>
      </c>
    </row>
    <row r="5752" spans="28:34">
      <c r="AB5752" s="580">
        <f>HLOOKUP("*"&amp;'Output annual'!$AC$2&amp;'Output annual'!$AD$2&amp;"*Zone People Number Of Occupants [](Hourly)",'Eplus results'!$1:$1048576,ROW(),FALSE)</f>
        <v>0</v>
      </c>
      <c r="AC5752" s="580">
        <f>HLOOKUP("*"&amp;'Output annual'!$AC$2&amp;'Output annual'!$AD$2&amp;"*FangerPMV(Hourly)",'Eplus results'!$1:$1048576,ROW(),FALSE)</f>
        <v>0</v>
      </c>
      <c r="AD5752" s="580">
        <f t="shared" si="481"/>
        <v>5</v>
      </c>
      <c r="AE5752" s="580">
        <f t="shared" si="482"/>
        <v>2.5</v>
      </c>
      <c r="AF5752" s="580">
        <f t="shared" si="483"/>
        <v>2.5</v>
      </c>
      <c r="AG5752" s="580">
        <f t="shared" si="484"/>
        <v>0</v>
      </c>
      <c r="AH5752" s="580">
        <f t="shared" si="485"/>
        <v>0</v>
      </c>
    </row>
    <row r="5753" spans="28:34">
      <c r="AB5753" s="580">
        <f>HLOOKUP("*"&amp;'Output annual'!$AC$2&amp;'Output annual'!$AD$2&amp;"*Zone People Number Of Occupants [](Hourly)",'Eplus results'!$1:$1048576,ROW(),FALSE)</f>
        <v>0</v>
      </c>
      <c r="AC5753" s="580">
        <f>HLOOKUP("*"&amp;'Output annual'!$AC$2&amp;'Output annual'!$AD$2&amp;"*FangerPMV(Hourly)",'Eplus results'!$1:$1048576,ROW(),FALSE)</f>
        <v>0</v>
      </c>
      <c r="AD5753" s="580">
        <f t="shared" si="481"/>
        <v>5</v>
      </c>
      <c r="AE5753" s="580">
        <f t="shared" si="482"/>
        <v>2.5</v>
      </c>
      <c r="AF5753" s="580">
        <f t="shared" si="483"/>
        <v>2.5</v>
      </c>
      <c r="AG5753" s="580">
        <f t="shared" si="484"/>
        <v>0</v>
      </c>
      <c r="AH5753" s="580">
        <f t="shared" si="485"/>
        <v>0</v>
      </c>
    </row>
    <row r="5754" spans="28:34">
      <c r="AB5754" s="580">
        <f>HLOOKUP("*"&amp;'Output annual'!$AC$2&amp;'Output annual'!$AD$2&amp;"*Zone People Number Of Occupants [](Hourly)",'Eplus results'!$1:$1048576,ROW(),FALSE)</f>
        <v>0</v>
      </c>
      <c r="AC5754" s="580">
        <f>HLOOKUP("*"&amp;'Output annual'!$AC$2&amp;'Output annual'!$AD$2&amp;"*FangerPMV(Hourly)",'Eplus results'!$1:$1048576,ROW(),FALSE)</f>
        <v>0</v>
      </c>
      <c r="AD5754" s="580">
        <f t="shared" si="481"/>
        <v>5</v>
      </c>
      <c r="AE5754" s="580">
        <f t="shared" si="482"/>
        <v>2.5</v>
      </c>
      <c r="AF5754" s="580">
        <f t="shared" si="483"/>
        <v>2.5</v>
      </c>
      <c r="AG5754" s="580">
        <f t="shared" si="484"/>
        <v>0</v>
      </c>
      <c r="AH5754" s="580">
        <f t="shared" si="485"/>
        <v>0</v>
      </c>
    </row>
    <row r="5755" spans="28:34">
      <c r="AB5755" s="580">
        <f>HLOOKUP("*"&amp;'Output annual'!$AC$2&amp;'Output annual'!$AD$2&amp;"*Zone People Number Of Occupants [](Hourly)",'Eplus results'!$1:$1048576,ROW(),FALSE)</f>
        <v>0</v>
      </c>
      <c r="AC5755" s="580">
        <f>HLOOKUP("*"&amp;'Output annual'!$AC$2&amp;'Output annual'!$AD$2&amp;"*FangerPMV(Hourly)",'Eplus results'!$1:$1048576,ROW(),FALSE)</f>
        <v>0</v>
      </c>
      <c r="AD5755" s="580">
        <f t="shared" si="481"/>
        <v>5</v>
      </c>
      <c r="AE5755" s="580">
        <f t="shared" si="482"/>
        <v>2.5</v>
      </c>
      <c r="AF5755" s="580">
        <f t="shared" si="483"/>
        <v>2.5</v>
      </c>
      <c r="AG5755" s="580">
        <f t="shared" si="484"/>
        <v>0</v>
      </c>
      <c r="AH5755" s="580">
        <f t="shared" si="485"/>
        <v>0</v>
      </c>
    </row>
    <row r="5756" spans="28:34">
      <c r="AB5756" s="580">
        <f>HLOOKUP("*"&amp;'Output annual'!$AC$2&amp;'Output annual'!$AD$2&amp;"*Zone People Number Of Occupants [](Hourly)",'Eplus results'!$1:$1048576,ROW(),FALSE)</f>
        <v>0</v>
      </c>
      <c r="AC5756" s="580">
        <f>HLOOKUP("*"&amp;'Output annual'!$AC$2&amp;'Output annual'!$AD$2&amp;"*FangerPMV(Hourly)",'Eplus results'!$1:$1048576,ROW(),FALSE)</f>
        <v>0</v>
      </c>
      <c r="AD5756" s="580">
        <f t="shared" si="481"/>
        <v>5</v>
      </c>
      <c r="AE5756" s="580">
        <f t="shared" si="482"/>
        <v>2.5</v>
      </c>
      <c r="AF5756" s="580">
        <f t="shared" si="483"/>
        <v>2.5</v>
      </c>
      <c r="AG5756" s="580">
        <f t="shared" si="484"/>
        <v>0</v>
      </c>
      <c r="AH5756" s="580">
        <f t="shared" si="485"/>
        <v>0</v>
      </c>
    </row>
    <row r="5757" spans="28:34">
      <c r="AB5757" s="580">
        <f>HLOOKUP("*"&amp;'Output annual'!$AC$2&amp;'Output annual'!$AD$2&amp;"*Zone People Number Of Occupants [](Hourly)",'Eplus results'!$1:$1048576,ROW(),FALSE)</f>
        <v>0</v>
      </c>
      <c r="AC5757" s="580">
        <f>HLOOKUP("*"&amp;'Output annual'!$AC$2&amp;'Output annual'!$AD$2&amp;"*FangerPMV(Hourly)",'Eplus results'!$1:$1048576,ROW(),FALSE)</f>
        <v>0</v>
      </c>
      <c r="AD5757" s="580">
        <f t="shared" si="481"/>
        <v>5</v>
      </c>
      <c r="AE5757" s="580">
        <f t="shared" si="482"/>
        <v>2.5</v>
      </c>
      <c r="AF5757" s="580">
        <f t="shared" si="483"/>
        <v>2.5</v>
      </c>
      <c r="AG5757" s="580">
        <f t="shared" si="484"/>
        <v>0</v>
      </c>
      <c r="AH5757" s="580">
        <f t="shared" si="485"/>
        <v>0</v>
      </c>
    </row>
    <row r="5758" spans="28:34">
      <c r="AB5758" s="580">
        <f>HLOOKUP("*"&amp;'Output annual'!$AC$2&amp;'Output annual'!$AD$2&amp;"*Zone People Number Of Occupants [](Hourly)",'Eplus results'!$1:$1048576,ROW(),FALSE)</f>
        <v>0</v>
      </c>
      <c r="AC5758" s="580">
        <f>HLOOKUP("*"&amp;'Output annual'!$AC$2&amp;'Output annual'!$AD$2&amp;"*FangerPMV(Hourly)",'Eplus results'!$1:$1048576,ROW(),FALSE)</f>
        <v>0</v>
      </c>
      <c r="AD5758" s="580">
        <f t="shared" si="481"/>
        <v>5</v>
      </c>
      <c r="AE5758" s="580">
        <f t="shared" si="482"/>
        <v>2.5</v>
      </c>
      <c r="AF5758" s="580">
        <f t="shared" si="483"/>
        <v>2.5</v>
      </c>
      <c r="AG5758" s="580">
        <f t="shared" si="484"/>
        <v>0</v>
      </c>
      <c r="AH5758" s="580">
        <f t="shared" si="485"/>
        <v>0</v>
      </c>
    </row>
    <row r="5759" spans="28:34">
      <c r="AB5759" s="580">
        <f>HLOOKUP("*"&amp;'Output annual'!$AC$2&amp;'Output annual'!$AD$2&amp;"*Zone People Number Of Occupants [](Hourly)",'Eplus results'!$1:$1048576,ROW(),FALSE)</f>
        <v>0</v>
      </c>
      <c r="AC5759" s="580">
        <f>HLOOKUP("*"&amp;'Output annual'!$AC$2&amp;'Output annual'!$AD$2&amp;"*FangerPMV(Hourly)",'Eplus results'!$1:$1048576,ROW(),FALSE)</f>
        <v>0</v>
      </c>
      <c r="AD5759" s="580">
        <f t="shared" si="481"/>
        <v>5</v>
      </c>
      <c r="AE5759" s="580">
        <f t="shared" si="482"/>
        <v>2.5</v>
      </c>
      <c r="AF5759" s="580">
        <f t="shared" si="483"/>
        <v>2.5</v>
      </c>
      <c r="AG5759" s="580">
        <f t="shared" si="484"/>
        <v>0</v>
      </c>
      <c r="AH5759" s="580">
        <f t="shared" si="485"/>
        <v>0</v>
      </c>
    </row>
    <row r="5760" spans="28:34">
      <c r="AB5760" s="580">
        <f>HLOOKUP("*"&amp;'Output annual'!$AC$2&amp;'Output annual'!$AD$2&amp;"*Zone People Number Of Occupants [](Hourly)",'Eplus results'!$1:$1048576,ROW(),FALSE)</f>
        <v>0</v>
      </c>
      <c r="AC5760" s="580">
        <f>HLOOKUP("*"&amp;'Output annual'!$AC$2&amp;'Output annual'!$AD$2&amp;"*FangerPMV(Hourly)",'Eplus results'!$1:$1048576,ROW(),FALSE)</f>
        <v>0</v>
      </c>
      <c r="AD5760" s="580">
        <f t="shared" si="481"/>
        <v>5</v>
      </c>
      <c r="AE5760" s="580">
        <f t="shared" si="482"/>
        <v>2.5</v>
      </c>
      <c r="AF5760" s="580">
        <f t="shared" si="483"/>
        <v>2.5</v>
      </c>
      <c r="AG5760" s="580">
        <f t="shared" si="484"/>
        <v>0</v>
      </c>
      <c r="AH5760" s="580">
        <f t="shared" si="485"/>
        <v>0</v>
      </c>
    </row>
    <row r="5761" spans="28:34">
      <c r="AB5761" s="580">
        <f>HLOOKUP("*"&amp;'Output annual'!$AC$2&amp;'Output annual'!$AD$2&amp;"*Zone People Number Of Occupants [](Hourly)",'Eplus results'!$1:$1048576,ROW(),FALSE)</f>
        <v>0</v>
      </c>
      <c r="AC5761" s="580">
        <f>HLOOKUP("*"&amp;'Output annual'!$AC$2&amp;'Output annual'!$AD$2&amp;"*FangerPMV(Hourly)",'Eplus results'!$1:$1048576,ROW(),FALSE)</f>
        <v>0</v>
      </c>
      <c r="AD5761" s="580">
        <f t="shared" si="481"/>
        <v>5</v>
      </c>
      <c r="AE5761" s="580">
        <f t="shared" si="482"/>
        <v>2.5</v>
      </c>
      <c r="AF5761" s="580">
        <f t="shared" si="483"/>
        <v>2.5</v>
      </c>
      <c r="AG5761" s="580">
        <f t="shared" si="484"/>
        <v>0</v>
      </c>
      <c r="AH5761" s="580">
        <f t="shared" si="485"/>
        <v>0</v>
      </c>
    </row>
    <row r="5762" spans="28:34">
      <c r="AB5762" s="580">
        <f>HLOOKUP("*"&amp;'Output annual'!$AC$2&amp;'Output annual'!$AD$2&amp;"*Zone People Number Of Occupants [](Hourly)",'Eplus results'!$1:$1048576,ROW(),FALSE)</f>
        <v>0</v>
      </c>
      <c r="AC5762" s="580">
        <f>HLOOKUP("*"&amp;'Output annual'!$AC$2&amp;'Output annual'!$AD$2&amp;"*FangerPMV(Hourly)",'Eplus results'!$1:$1048576,ROW(),FALSE)</f>
        <v>0</v>
      </c>
      <c r="AD5762" s="580">
        <f t="shared" si="481"/>
        <v>5</v>
      </c>
      <c r="AE5762" s="580">
        <f t="shared" si="482"/>
        <v>2.5</v>
      </c>
      <c r="AF5762" s="580">
        <f t="shared" si="483"/>
        <v>2.5</v>
      </c>
      <c r="AG5762" s="580">
        <f t="shared" si="484"/>
        <v>0</v>
      </c>
      <c r="AH5762" s="580">
        <f t="shared" si="485"/>
        <v>0</v>
      </c>
    </row>
    <row r="5763" spans="28:34">
      <c r="AB5763" s="580">
        <f>HLOOKUP("*"&amp;'Output annual'!$AC$2&amp;'Output annual'!$AD$2&amp;"*Zone People Number Of Occupants [](Hourly)",'Eplus results'!$1:$1048576,ROW(),FALSE)</f>
        <v>0</v>
      </c>
      <c r="AC5763" s="580">
        <f>HLOOKUP("*"&amp;'Output annual'!$AC$2&amp;'Output annual'!$AD$2&amp;"*FangerPMV(Hourly)",'Eplus results'!$1:$1048576,ROW(),FALSE)</f>
        <v>0</v>
      </c>
      <c r="AD5763" s="580">
        <f t="shared" ref="AD5763:AD5826" si="486">100-95*EXP(-0.03353*AC5763^4-0.2179*AC5763^2)</f>
        <v>5</v>
      </c>
      <c r="AE5763" s="580">
        <f t="shared" ref="AE5763:AE5826" si="487">AD5763*(1/(1+EXP(-6.3*$AC5763)))</f>
        <v>2.5</v>
      </c>
      <c r="AF5763" s="580">
        <f t="shared" ref="AF5763:AF5826" si="488">(AD5763-AE5763)</f>
        <v>2.5</v>
      </c>
      <c r="AG5763" s="580">
        <f t="shared" ref="AG5763:AG5826" si="489">AE5763*AB5763</f>
        <v>0</v>
      </c>
      <c r="AH5763" s="580">
        <f t="shared" ref="AH5763:AH5826" si="490">AF5763*AB5763</f>
        <v>0</v>
      </c>
    </row>
    <row r="5764" spans="28:34">
      <c r="AB5764" s="580">
        <f>HLOOKUP("*"&amp;'Output annual'!$AC$2&amp;'Output annual'!$AD$2&amp;"*Zone People Number Of Occupants [](Hourly)",'Eplus results'!$1:$1048576,ROW(),FALSE)</f>
        <v>0</v>
      </c>
      <c r="AC5764" s="580">
        <f>HLOOKUP("*"&amp;'Output annual'!$AC$2&amp;'Output annual'!$AD$2&amp;"*FangerPMV(Hourly)",'Eplus results'!$1:$1048576,ROW(),FALSE)</f>
        <v>0</v>
      </c>
      <c r="AD5764" s="580">
        <f t="shared" si="486"/>
        <v>5</v>
      </c>
      <c r="AE5764" s="580">
        <f t="shared" si="487"/>
        <v>2.5</v>
      </c>
      <c r="AF5764" s="580">
        <f t="shared" si="488"/>
        <v>2.5</v>
      </c>
      <c r="AG5764" s="580">
        <f t="shared" si="489"/>
        <v>0</v>
      </c>
      <c r="AH5764" s="580">
        <f t="shared" si="490"/>
        <v>0</v>
      </c>
    </row>
    <row r="5765" spans="28:34">
      <c r="AB5765" s="580">
        <f>HLOOKUP("*"&amp;'Output annual'!$AC$2&amp;'Output annual'!$AD$2&amp;"*Zone People Number Of Occupants [](Hourly)",'Eplus results'!$1:$1048576,ROW(),FALSE)</f>
        <v>0</v>
      </c>
      <c r="AC5765" s="580">
        <f>HLOOKUP("*"&amp;'Output annual'!$AC$2&amp;'Output annual'!$AD$2&amp;"*FangerPMV(Hourly)",'Eplus results'!$1:$1048576,ROW(),FALSE)</f>
        <v>0</v>
      </c>
      <c r="AD5765" s="580">
        <f t="shared" si="486"/>
        <v>5</v>
      </c>
      <c r="AE5765" s="580">
        <f t="shared" si="487"/>
        <v>2.5</v>
      </c>
      <c r="AF5765" s="580">
        <f t="shared" si="488"/>
        <v>2.5</v>
      </c>
      <c r="AG5765" s="580">
        <f t="shared" si="489"/>
        <v>0</v>
      </c>
      <c r="AH5765" s="580">
        <f t="shared" si="490"/>
        <v>0</v>
      </c>
    </row>
    <row r="5766" spans="28:34">
      <c r="AB5766" s="580">
        <f>HLOOKUP("*"&amp;'Output annual'!$AC$2&amp;'Output annual'!$AD$2&amp;"*Zone People Number Of Occupants [](Hourly)",'Eplus results'!$1:$1048576,ROW(),FALSE)</f>
        <v>0</v>
      </c>
      <c r="AC5766" s="580">
        <f>HLOOKUP("*"&amp;'Output annual'!$AC$2&amp;'Output annual'!$AD$2&amp;"*FangerPMV(Hourly)",'Eplus results'!$1:$1048576,ROW(),FALSE)</f>
        <v>0</v>
      </c>
      <c r="AD5766" s="580">
        <f t="shared" si="486"/>
        <v>5</v>
      </c>
      <c r="AE5766" s="580">
        <f t="shared" si="487"/>
        <v>2.5</v>
      </c>
      <c r="AF5766" s="580">
        <f t="shared" si="488"/>
        <v>2.5</v>
      </c>
      <c r="AG5766" s="580">
        <f t="shared" si="489"/>
        <v>0</v>
      </c>
      <c r="AH5766" s="580">
        <f t="shared" si="490"/>
        <v>0</v>
      </c>
    </row>
    <row r="5767" spans="28:34">
      <c r="AB5767" s="580">
        <f>HLOOKUP("*"&amp;'Output annual'!$AC$2&amp;'Output annual'!$AD$2&amp;"*Zone People Number Of Occupants [](Hourly)",'Eplus results'!$1:$1048576,ROW(),FALSE)</f>
        <v>0</v>
      </c>
      <c r="AC5767" s="580">
        <f>HLOOKUP("*"&amp;'Output annual'!$AC$2&amp;'Output annual'!$AD$2&amp;"*FangerPMV(Hourly)",'Eplus results'!$1:$1048576,ROW(),FALSE)</f>
        <v>0</v>
      </c>
      <c r="AD5767" s="580">
        <f t="shared" si="486"/>
        <v>5</v>
      </c>
      <c r="AE5767" s="580">
        <f t="shared" si="487"/>
        <v>2.5</v>
      </c>
      <c r="AF5767" s="580">
        <f t="shared" si="488"/>
        <v>2.5</v>
      </c>
      <c r="AG5767" s="580">
        <f t="shared" si="489"/>
        <v>0</v>
      </c>
      <c r="AH5767" s="580">
        <f t="shared" si="490"/>
        <v>0</v>
      </c>
    </row>
    <row r="5768" spans="28:34">
      <c r="AB5768" s="580">
        <f>HLOOKUP("*"&amp;'Output annual'!$AC$2&amp;'Output annual'!$AD$2&amp;"*Zone People Number Of Occupants [](Hourly)",'Eplus results'!$1:$1048576,ROW(),FALSE)</f>
        <v>0</v>
      </c>
      <c r="AC5768" s="580">
        <f>HLOOKUP("*"&amp;'Output annual'!$AC$2&amp;'Output annual'!$AD$2&amp;"*FangerPMV(Hourly)",'Eplus results'!$1:$1048576,ROW(),FALSE)</f>
        <v>0</v>
      </c>
      <c r="AD5768" s="580">
        <f t="shared" si="486"/>
        <v>5</v>
      </c>
      <c r="AE5768" s="580">
        <f t="shared" si="487"/>
        <v>2.5</v>
      </c>
      <c r="AF5768" s="580">
        <f t="shared" si="488"/>
        <v>2.5</v>
      </c>
      <c r="AG5768" s="580">
        <f t="shared" si="489"/>
        <v>0</v>
      </c>
      <c r="AH5768" s="580">
        <f t="shared" si="490"/>
        <v>0</v>
      </c>
    </row>
    <row r="5769" spans="28:34">
      <c r="AB5769" s="580">
        <f>HLOOKUP("*"&amp;'Output annual'!$AC$2&amp;'Output annual'!$AD$2&amp;"*Zone People Number Of Occupants [](Hourly)",'Eplus results'!$1:$1048576,ROW(),FALSE)</f>
        <v>0</v>
      </c>
      <c r="AC5769" s="580">
        <f>HLOOKUP("*"&amp;'Output annual'!$AC$2&amp;'Output annual'!$AD$2&amp;"*FangerPMV(Hourly)",'Eplus results'!$1:$1048576,ROW(),FALSE)</f>
        <v>0</v>
      </c>
      <c r="AD5769" s="580">
        <f t="shared" si="486"/>
        <v>5</v>
      </c>
      <c r="AE5769" s="580">
        <f t="shared" si="487"/>
        <v>2.5</v>
      </c>
      <c r="AF5769" s="580">
        <f t="shared" si="488"/>
        <v>2.5</v>
      </c>
      <c r="AG5769" s="580">
        <f t="shared" si="489"/>
        <v>0</v>
      </c>
      <c r="AH5769" s="580">
        <f t="shared" si="490"/>
        <v>0</v>
      </c>
    </row>
    <row r="5770" spans="28:34">
      <c r="AB5770" s="580">
        <f>HLOOKUP("*"&amp;'Output annual'!$AC$2&amp;'Output annual'!$AD$2&amp;"*Zone People Number Of Occupants [](Hourly)",'Eplus results'!$1:$1048576,ROW(),FALSE)</f>
        <v>0</v>
      </c>
      <c r="AC5770" s="580">
        <f>HLOOKUP("*"&amp;'Output annual'!$AC$2&amp;'Output annual'!$AD$2&amp;"*FangerPMV(Hourly)",'Eplus results'!$1:$1048576,ROW(),FALSE)</f>
        <v>0</v>
      </c>
      <c r="AD5770" s="580">
        <f t="shared" si="486"/>
        <v>5</v>
      </c>
      <c r="AE5770" s="580">
        <f t="shared" si="487"/>
        <v>2.5</v>
      </c>
      <c r="AF5770" s="580">
        <f t="shared" si="488"/>
        <v>2.5</v>
      </c>
      <c r="AG5770" s="580">
        <f t="shared" si="489"/>
        <v>0</v>
      </c>
      <c r="AH5770" s="580">
        <f t="shared" si="490"/>
        <v>0</v>
      </c>
    </row>
    <row r="5771" spans="28:34">
      <c r="AB5771" s="580">
        <f>HLOOKUP("*"&amp;'Output annual'!$AC$2&amp;'Output annual'!$AD$2&amp;"*Zone People Number Of Occupants [](Hourly)",'Eplus results'!$1:$1048576,ROW(),FALSE)</f>
        <v>0</v>
      </c>
      <c r="AC5771" s="580">
        <f>HLOOKUP("*"&amp;'Output annual'!$AC$2&amp;'Output annual'!$AD$2&amp;"*FangerPMV(Hourly)",'Eplus results'!$1:$1048576,ROW(),FALSE)</f>
        <v>0</v>
      </c>
      <c r="AD5771" s="580">
        <f t="shared" si="486"/>
        <v>5</v>
      </c>
      <c r="AE5771" s="580">
        <f t="shared" si="487"/>
        <v>2.5</v>
      </c>
      <c r="AF5771" s="580">
        <f t="shared" si="488"/>
        <v>2.5</v>
      </c>
      <c r="AG5771" s="580">
        <f t="shared" si="489"/>
        <v>0</v>
      </c>
      <c r="AH5771" s="580">
        <f t="shared" si="490"/>
        <v>0</v>
      </c>
    </row>
    <row r="5772" spans="28:34">
      <c r="AB5772" s="580">
        <f>HLOOKUP("*"&amp;'Output annual'!$AC$2&amp;'Output annual'!$AD$2&amp;"*Zone People Number Of Occupants [](Hourly)",'Eplus results'!$1:$1048576,ROW(),FALSE)</f>
        <v>0</v>
      </c>
      <c r="AC5772" s="580">
        <f>HLOOKUP("*"&amp;'Output annual'!$AC$2&amp;'Output annual'!$AD$2&amp;"*FangerPMV(Hourly)",'Eplus results'!$1:$1048576,ROW(),FALSE)</f>
        <v>0</v>
      </c>
      <c r="AD5772" s="580">
        <f t="shared" si="486"/>
        <v>5</v>
      </c>
      <c r="AE5772" s="580">
        <f t="shared" si="487"/>
        <v>2.5</v>
      </c>
      <c r="AF5772" s="580">
        <f t="shared" si="488"/>
        <v>2.5</v>
      </c>
      <c r="AG5772" s="580">
        <f t="shared" si="489"/>
        <v>0</v>
      </c>
      <c r="AH5772" s="580">
        <f t="shared" si="490"/>
        <v>0</v>
      </c>
    </row>
    <row r="5773" spans="28:34">
      <c r="AB5773" s="580">
        <f>HLOOKUP("*"&amp;'Output annual'!$AC$2&amp;'Output annual'!$AD$2&amp;"*Zone People Number Of Occupants [](Hourly)",'Eplus results'!$1:$1048576,ROW(),FALSE)</f>
        <v>0</v>
      </c>
      <c r="AC5773" s="580">
        <f>HLOOKUP("*"&amp;'Output annual'!$AC$2&amp;'Output annual'!$AD$2&amp;"*FangerPMV(Hourly)",'Eplus results'!$1:$1048576,ROW(),FALSE)</f>
        <v>0</v>
      </c>
      <c r="AD5773" s="580">
        <f t="shared" si="486"/>
        <v>5</v>
      </c>
      <c r="AE5773" s="580">
        <f t="shared" si="487"/>
        <v>2.5</v>
      </c>
      <c r="AF5773" s="580">
        <f t="shared" si="488"/>
        <v>2.5</v>
      </c>
      <c r="AG5773" s="580">
        <f t="shared" si="489"/>
        <v>0</v>
      </c>
      <c r="AH5773" s="580">
        <f t="shared" si="490"/>
        <v>0</v>
      </c>
    </row>
    <row r="5774" spans="28:34">
      <c r="AB5774" s="580">
        <f>HLOOKUP("*"&amp;'Output annual'!$AC$2&amp;'Output annual'!$AD$2&amp;"*Zone People Number Of Occupants [](Hourly)",'Eplus results'!$1:$1048576,ROW(),FALSE)</f>
        <v>0</v>
      </c>
      <c r="AC5774" s="580">
        <f>HLOOKUP("*"&amp;'Output annual'!$AC$2&amp;'Output annual'!$AD$2&amp;"*FangerPMV(Hourly)",'Eplus results'!$1:$1048576,ROW(),FALSE)</f>
        <v>0</v>
      </c>
      <c r="AD5774" s="580">
        <f t="shared" si="486"/>
        <v>5</v>
      </c>
      <c r="AE5774" s="580">
        <f t="shared" si="487"/>
        <v>2.5</v>
      </c>
      <c r="AF5774" s="580">
        <f t="shared" si="488"/>
        <v>2.5</v>
      </c>
      <c r="AG5774" s="580">
        <f t="shared" si="489"/>
        <v>0</v>
      </c>
      <c r="AH5774" s="580">
        <f t="shared" si="490"/>
        <v>0</v>
      </c>
    </row>
    <row r="5775" spans="28:34">
      <c r="AB5775" s="580">
        <f>HLOOKUP("*"&amp;'Output annual'!$AC$2&amp;'Output annual'!$AD$2&amp;"*Zone People Number Of Occupants [](Hourly)",'Eplus results'!$1:$1048576,ROW(),FALSE)</f>
        <v>0</v>
      </c>
      <c r="AC5775" s="580">
        <f>HLOOKUP("*"&amp;'Output annual'!$AC$2&amp;'Output annual'!$AD$2&amp;"*FangerPMV(Hourly)",'Eplus results'!$1:$1048576,ROW(),FALSE)</f>
        <v>0</v>
      </c>
      <c r="AD5775" s="580">
        <f t="shared" si="486"/>
        <v>5</v>
      </c>
      <c r="AE5775" s="580">
        <f t="shared" si="487"/>
        <v>2.5</v>
      </c>
      <c r="AF5775" s="580">
        <f t="shared" si="488"/>
        <v>2.5</v>
      </c>
      <c r="AG5775" s="580">
        <f t="shared" si="489"/>
        <v>0</v>
      </c>
      <c r="AH5775" s="580">
        <f t="shared" si="490"/>
        <v>0</v>
      </c>
    </row>
    <row r="5776" spans="28:34">
      <c r="AB5776" s="580">
        <f>HLOOKUP("*"&amp;'Output annual'!$AC$2&amp;'Output annual'!$AD$2&amp;"*Zone People Number Of Occupants [](Hourly)",'Eplus results'!$1:$1048576,ROW(),FALSE)</f>
        <v>0</v>
      </c>
      <c r="AC5776" s="580">
        <f>HLOOKUP("*"&amp;'Output annual'!$AC$2&amp;'Output annual'!$AD$2&amp;"*FangerPMV(Hourly)",'Eplus results'!$1:$1048576,ROW(),FALSE)</f>
        <v>0</v>
      </c>
      <c r="AD5776" s="580">
        <f t="shared" si="486"/>
        <v>5</v>
      </c>
      <c r="AE5776" s="580">
        <f t="shared" si="487"/>
        <v>2.5</v>
      </c>
      <c r="AF5776" s="580">
        <f t="shared" si="488"/>
        <v>2.5</v>
      </c>
      <c r="AG5776" s="580">
        <f t="shared" si="489"/>
        <v>0</v>
      </c>
      <c r="AH5776" s="580">
        <f t="shared" si="490"/>
        <v>0</v>
      </c>
    </row>
    <row r="5777" spans="28:34">
      <c r="AB5777" s="580">
        <f>HLOOKUP("*"&amp;'Output annual'!$AC$2&amp;'Output annual'!$AD$2&amp;"*Zone People Number Of Occupants [](Hourly)",'Eplus results'!$1:$1048576,ROW(),FALSE)</f>
        <v>0</v>
      </c>
      <c r="AC5777" s="580">
        <f>HLOOKUP("*"&amp;'Output annual'!$AC$2&amp;'Output annual'!$AD$2&amp;"*FangerPMV(Hourly)",'Eplus results'!$1:$1048576,ROW(),FALSE)</f>
        <v>0</v>
      </c>
      <c r="AD5777" s="580">
        <f t="shared" si="486"/>
        <v>5</v>
      </c>
      <c r="AE5777" s="580">
        <f t="shared" si="487"/>
        <v>2.5</v>
      </c>
      <c r="AF5777" s="580">
        <f t="shared" si="488"/>
        <v>2.5</v>
      </c>
      <c r="AG5777" s="580">
        <f t="shared" si="489"/>
        <v>0</v>
      </c>
      <c r="AH5777" s="580">
        <f t="shared" si="490"/>
        <v>0</v>
      </c>
    </row>
    <row r="5778" spans="28:34">
      <c r="AB5778" s="580">
        <f>HLOOKUP("*"&amp;'Output annual'!$AC$2&amp;'Output annual'!$AD$2&amp;"*Zone People Number Of Occupants [](Hourly)",'Eplus results'!$1:$1048576,ROW(),FALSE)</f>
        <v>0</v>
      </c>
      <c r="AC5778" s="580">
        <f>HLOOKUP("*"&amp;'Output annual'!$AC$2&amp;'Output annual'!$AD$2&amp;"*FangerPMV(Hourly)",'Eplus results'!$1:$1048576,ROW(),FALSE)</f>
        <v>0</v>
      </c>
      <c r="AD5778" s="580">
        <f t="shared" si="486"/>
        <v>5</v>
      </c>
      <c r="AE5778" s="580">
        <f t="shared" si="487"/>
        <v>2.5</v>
      </c>
      <c r="AF5778" s="580">
        <f t="shared" si="488"/>
        <v>2.5</v>
      </c>
      <c r="AG5778" s="580">
        <f t="shared" si="489"/>
        <v>0</v>
      </c>
      <c r="AH5778" s="580">
        <f t="shared" si="490"/>
        <v>0</v>
      </c>
    </row>
    <row r="5779" spans="28:34">
      <c r="AB5779" s="580">
        <f>HLOOKUP("*"&amp;'Output annual'!$AC$2&amp;'Output annual'!$AD$2&amp;"*Zone People Number Of Occupants [](Hourly)",'Eplus results'!$1:$1048576,ROW(),FALSE)</f>
        <v>0</v>
      </c>
      <c r="AC5779" s="580">
        <f>HLOOKUP("*"&amp;'Output annual'!$AC$2&amp;'Output annual'!$AD$2&amp;"*FangerPMV(Hourly)",'Eplus results'!$1:$1048576,ROW(),FALSE)</f>
        <v>0</v>
      </c>
      <c r="AD5779" s="580">
        <f t="shared" si="486"/>
        <v>5</v>
      </c>
      <c r="AE5779" s="580">
        <f t="shared" si="487"/>
        <v>2.5</v>
      </c>
      <c r="AF5779" s="580">
        <f t="shared" si="488"/>
        <v>2.5</v>
      </c>
      <c r="AG5779" s="580">
        <f t="shared" si="489"/>
        <v>0</v>
      </c>
      <c r="AH5779" s="580">
        <f t="shared" si="490"/>
        <v>0</v>
      </c>
    </row>
    <row r="5780" spans="28:34">
      <c r="AB5780" s="580">
        <f>HLOOKUP("*"&amp;'Output annual'!$AC$2&amp;'Output annual'!$AD$2&amp;"*Zone People Number Of Occupants [](Hourly)",'Eplus results'!$1:$1048576,ROW(),FALSE)</f>
        <v>0</v>
      </c>
      <c r="AC5780" s="580">
        <f>HLOOKUP("*"&amp;'Output annual'!$AC$2&amp;'Output annual'!$AD$2&amp;"*FangerPMV(Hourly)",'Eplus results'!$1:$1048576,ROW(),FALSE)</f>
        <v>0</v>
      </c>
      <c r="AD5780" s="580">
        <f t="shared" si="486"/>
        <v>5</v>
      </c>
      <c r="AE5780" s="580">
        <f t="shared" si="487"/>
        <v>2.5</v>
      </c>
      <c r="AF5780" s="580">
        <f t="shared" si="488"/>
        <v>2.5</v>
      </c>
      <c r="AG5780" s="580">
        <f t="shared" si="489"/>
        <v>0</v>
      </c>
      <c r="AH5780" s="580">
        <f t="shared" si="490"/>
        <v>0</v>
      </c>
    </row>
    <row r="5781" spans="28:34">
      <c r="AB5781" s="580">
        <f>HLOOKUP("*"&amp;'Output annual'!$AC$2&amp;'Output annual'!$AD$2&amp;"*Zone People Number Of Occupants [](Hourly)",'Eplus results'!$1:$1048576,ROW(),FALSE)</f>
        <v>0</v>
      </c>
      <c r="AC5781" s="580">
        <f>HLOOKUP("*"&amp;'Output annual'!$AC$2&amp;'Output annual'!$AD$2&amp;"*FangerPMV(Hourly)",'Eplus results'!$1:$1048576,ROW(),FALSE)</f>
        <v>0</v>
      </c>
      <c r="AD5781" s="580">
        <f t="shared" si="486"/>
        <v>5</v>
      </c>
      <c r="AE5781" s="580">
        <f t="shared" si="487"/>
        <v>2.5</v>
      </c>
      <c r="AF5781" s="580">
        <f t="shared" si="488"/>
        <v>2.5</v>
      </c>
      <c r="AG5781" s="580">
        <f t="shared" si="489"/>
        <v>0</v>
      </c>
      <c r="AH5781" s="580">
        <f t="shared" si="490"/>
        <v>0</v>
      </c>
    </row>
    <row r="5782" spans="28:34">
      <c r="AB5782" s="580">
        <f>HLOOKUP("*"&amp;'Output annual'!$AC$2&amp;'Output annual'!$AD$2&amp;"*Zone People Number Of Occupants [](Hourly)",'Eplus results'!$1:$1048576,ROW(),FALSE)</f>
        <v>0</v>
      </c>
      <c r="AC5782" s="580">
        <f>HLOOKUP("*"&amp;'Output annual'!$AC$2&amp;'Output annual'!$AD$2&amp;"*FangerPMV(Hourly)",'Eplus results'!$1:$1048576,ROW(),FALSE)</f>
        <v>0</v>
      </c>
      <c r="AD5782" s="580">
        <f t="shared" si="486"/>
        <v>5</v>
      </c>
      <c r="AE5782" s="580">
        <f t="shared" si="487"/>
        <v>2.5</v>
      </c>
      <c r="AF5782" s="580">
        <f t="shared" si="488"/>
        <v>2.5</v>
      </c>
      <c r="AG5782" s="580">
        <f t="shared" si="489"/>
        <v>0</v>
      </c>
      <c r="AH5782" s="580">
        <f t="shared" si="490"/>
        <v>0</v>
      </c>
    </row>
    <row r="5783" spans="28:34">
      <c r="AB5783" s="580">
        <f>HLOOKUP("*"&amp;'Output annual'!$AC$2&amp;'Output annual'!$AD$2&amp;"*Zone People Number Of Occupants [](Hourly)",'Eplus results'!$1:$1048576,ROW(),FALSE)</f>
        <v>0</v>
      </c>
      <c r="AC5783" s="580">
        <f>HLOOKUP("*"&amp;'Output annual'!$AC$2&amp;'Output annual'!$AD$2&amp;"*FangerPMV(Hourly)",'Eplus results'!$1:$1048576,ROW(),FALSE)</f>
        <v>0</v>
      </c>
      <c r="AD5783" s="580">
        <f t="shared" si="486"/>
        <v>5</v>
      </c>
      <c r="AE5783" s="580">
        <f t="shared" si="487"/>
        <v>2.5</v>
      </c>
      <c r="AF5783" s="580">
        <f t="shared" si="488"/>
        <v>2.5</v>
      </c>
      <c r="AG5783" s="580">
        <f t="shared" si="489"/>
        <v>0</v>
      </c>
      <c r="AH5783" s="580">
        <f t="shared" si="490"/>
        <v>0</v>
      </c>
    </row>
    <row r="5784" spans="28:34">
      <c r="AB5784" s="580">
        <f>HLOOKUP("*"&amp;'Output annual'!$AC$2&amp;'Output annual'!$AD$2&amp;"*Zone People Number Of Occupants [](Hourly)",'Eplus results'!$1:$1048576,ROW(),FALSE)</f>
        <v>0</v>
      </c>
      <c r="AC5784" s="580">
        <f>HLOOKUP("*"&amp;'Output annual'!$AC$2&amp;'Output annual'!$AD$2&amp;"*FangerPMV(Hourly)",'Eplus results'!$1:$1048576,ROW(),FALSE)</f>
        <v>0</v>
      </c>
      <c r="AD5784" s="580">
        <f t="shared" si="486"/>
        <v>5</v>
      </c>
      <c r="AE5784" s="580">
        <f t="shared" si="487"/>
        <v>2.5</v>
      </c>
      <c r="AF5784" s="580">
        <f t="shared" si="488"/>
        <v>2.5</v>
      </c>
      <c r="AG5784" s="580">
        <f t="shared" si="489"/>
        <v>0</v>
      </c>
      <c r="AH5784" s="580">
        <f t="shared" si="490"/>
        <v>0</v>
      </c>
    </row>
    <row r="5785" spans="28:34">
      <c r="AB5785" s="580">
        <f>HLOOKUP("*"&amp;'Output annual'!$AC$2&amp;'Output annual'!$AD$2&amp;"*Zone People Number Of Occupants [](Hourly)",'Eplus results'!$1:$1048576,ROW(),FALSE)</f>
        <v>0</v>
      </c>
      <c r="AC5785" s="580">
        <f>HLOOKUP("*"&amp;'Output annual'!$AC$2&amp;'Output annual'!$AD$2&amp;"*FangerPMV(Hourly)",'Eplus results'!$1:$1048576,ROW(),FALSE)</f>
        <v>0</v>
      </c>
      <c r="AD5785" s="580">
        <f t="shared" si="486"/>
        <v>5</v>
      </c>
      <c r="AE5785" s="580">
        <f t="shared" si="487"/>
        <v>2.5</v>
      </c>
      <c r="AF5785" s="580">
        <f t="shared" si="488"/>
        <v>2.5</v>
      </c>
      <c r="AG5785" s="580">
        <f t="shared" si="489"/>
        <v>0</v>
      </c>
      <c r="AH5785" s="580">
        <f t="shared" si="490"/>
        <v>0</v>
      </c>
    </row>
    <row r="5786" spans="28:34">
      <c r="AB5786" s="580">
        <f>HLOOKUP("*"&amp;'Output annual'!$AC$2&amp;'Output annual'!$AD$2&amp;"*Zone People Number Of Occupants [](Hourly)",'Eplus results'!$1:$1048576,ROW(),FALSE)</f>
        <v>0</v>
      </c>
      <c r="AC5786" s="580">
        <f>HLOOKUP("*"&amp;'Output annual'!$AC$2&amp;'Output annual'!$AD$2&amp;"*FangerPMV(Hourly)",'Eplus results'!$1:$1048576,ROW(),FALSE)</f>
        <v>0</v>
      </c>
      <c r="AD5786" s="580">
        <f t="shared" si="486"/>
        <v>5</v>
      </c>
      <c r="AE5786" s="580">
        <f t="shared" si="487"/>
        <v>2.5</v>
      </c>
      <c r="AF5786" s="580">
        <f t="shared" si="488"/>
        <v>2.5</v>
      </c>
      <c r="AG5786" s="580">
        <f t="shared" si="489"/>
        <v>0</v>
      </c>
      <c r="AH5786" s="580">
        <f t="shared" si="490"/>
        <v>0</v>
      </c>
    </row>
    <row r="5787" spans="28:34">
      <c r="AB5787" s="580">
        <f>HLOOKUP("*"&amp;'Output annual'!$AC$2&amp;'Output annual'!$AD$2&amp;"*Zone People Number Of Occupants [](Hourly)",'Eplus results'!$1:$1048576,ROW(),FALSE)</f>
        <v>0</v>
      </c>
      <c r="AC5787" s="580">
        <f>HLOOKUP("*"&amp;'Output annual'!$AC$2&amp;'Output annual'!$AD$2&amp;"*FangerPMV(Hourly)",'Eplus results'!$1:$1048576,ROW(),FALSE)</f>
        <v>0</v>
      </c>
      <c r="AD5787" s="580">
        <f t="shared" si="486"/>
        <v>5</v>
      </c>
      <c r="AE5787" s="580">
        <f t="shared" si="487"/>
        <v>2.5</v>
      </c>
      <c r="AF5787" s="580">
        <f t="shared" si="488"/>
        <v>2.5</v>
      </c>
      <c r="AG5787" s="580">
        <f t="shared" si="489"/>
        <v>0</v>
      </c>
      <c r="AH5787" s="580">
        <f t="shared" si="490"/>
        <v>0</v>
      </c>
    </row>
    <row r="5788" spans="28:34">
      <c r="AB5788" s="580">
        <f>HLOOKUP("*"&amp;'Output annual'!$AC$2&amp;'Output annual'!$AD$2&amp;"*Zone People Number Of Occupants [](Hourly)",'Eplus results'!$1:$1048576,ROW(),FALSE)</f>
        <v>0</v>
      </c>
      <c r="AC5788" s="580">
        <f>HLOOKUP("*"&amp;'Output annual'!$AC$2&amp;'Output annual'!$AD$2&amp;"*FangerPMV(Hourly)",'Eplus results'!$1:$1048576,ROW(),FALSE)</f>
        <v>0</v>
      </c>
      <c r="AD5788" s="580">
        <f t="shared" si="486"/>
        <v>5</v>
      </c>
      <c r="AE5788" s="580">
        <f t="shared" si="487"/>
        <v>2.5</v>
      </c>
      <c r="AF5788" s="580">
        <f t="shared" si="488"/>
        <v>2.5</v>
      </c>
      <c r="AG5788" s="580">
        <f t="shared" si="489"/>
        <v>0</v>
      </c>
      <c r="AH5788" s="580">
        <f t="shared" si="490"/>
        <v>0</v>
      </c>
    </row>
    <row r="5789" spans="28:34">
      <c r="AB5789" s="580">
        <f>HLOOKUP("*"&amp;'Output annual'!$AC$2&amp;'Output annual'!$AD$2&amp;"*Zone People Number Of Occupants [](Hourly)",'Eplus results'!$1:$1048576,ROW(),FALSE)</f>
        <v>0</v>
      </c>
      <c r="AC5789" s="580">
        <f>HLOOKUP("*"&amp;'Output annual'!$AC$2&amp;'Output annual'!$AD$2&amp;"*FangerPMV(Hourly)",'Eplus results'!$1:$1048576,ROW(),FALSE)</f>
        <v>0</v>
      </c>
      <c r="AD5789" s="580">
        <f t="shared" si="486"/>
        <v>5</v>
      </c>
      <c r="AE5789" s="580">
        <f t="shared" si="487"/>
        <v>2.5</v>
      </c>
      <c r="AF5789" s="580">
        <f t="shared" si="488"/>
        <v>2.5</v>
      </c>
      <c r="AG5789" s="580">
        <f t="shared" si="489"/>
        <v>0</v>
      </c>
      <c r="AH5789" s="580">
        <f t="shared" si="490"/>
        <v>0</v>
      </c>
    </row>
    <row r="5790" spans="28:34">
      <c r="AB5790" s="580">
        <f>HLOOKUP("*"&amp;'Output annual'!$AC$2&amp;'Output annual'!$AD$2&amp;"*Zone People Number Of Occupants [](Hourly)",'Eplus results'!$1:$1048576,ROW(),FALSE)</f>
        <v>0</v>
      </c>
      <c r="AC5790" s="580">
        <f>HLOOKUP("*"&amp;'Output annual'!$AC$2&amp;'Output annual'!$AD$2&amp;"*FangerPMV(Hourly)",'Eplus results'!$1:$1048576,ROW(),FALSE)</f>
        <v>0</v>
      </c>
      <c r="AD5790" s="580">
        <f t="shared" si="486"/>
        <v>5</v>
      </c>
      <c r="AE5790" s="580">
        <f t="shared" si="487"/>
        <v>2.5</v>
      </c>
      <c r="AF5790" s="580">
        <f t="shared" si="488"/>
        <v>2.5</v>
      </c>
      <c r="AG5790" s="580">
        <f t="shared" si="489"/>
        <v>0</v>
      </c>
      <c r="AH5790" s="580">
        <f t="shared" si="490"/>
        <v>0</v>
      </c>
    </row>
    <row r="5791" spans="28:34">
      <c r="AB5791" s="580">
        <f>HLOOKUP("*"&amp;'Output annual'!$AC$2&amp;'Output annual'!$AD$2&amp;"*Zone People Number Of Occupants [](Hourly)",'Eplus results'!$1:$1048576,ROW(),FALSE)</f>
        <v>0</v>
      </c>
      <c r="AC5791" s="580">
        <f>HLOOKUP("*"&amp;'Output annual'!$AC$2&amp;'Output annual'!$AD$2&amp;"*FangerPMV(Hourly)",'Eplus results'!$1:$1048576,ROW(),FALSE)</f>
        <v>0</v>
      </c>
      <c r="AD5791" s="580">
        <f t="shared" si="486"/>
        <v>5</v>
      </c>
      <c r="AE5791" s="580">
        <f t="shared" si="487"/>
        <v>2.5</v>
      </c>
      <c r="AF5791" s="580">
        <f t="shared" si="488"/>
        <v>2.5</v>
      </c>
      <c r="AG5791" s="580">
        <f t="shared" si="489"/>
        <v>0</v>
      </c>
      <c r="AH5791" s="580">
        <f t="shared" si="490"/>
        <v>0</v>
      </c>
    </row>
    <row r="5792" spans="28:34">
      <c r="AB5792" s="580">
        <f>HLOOKUP("*"&amp;'Output annual'!$AC$2&amp;'Output annual'!$AD$2&amp;"*Zone People Number Of Occupants [](Hourly)",'Eplus results'!$1:$1048576,ROW(),FALSE)</f>
        <v>0</v>
      </c>
      <c r="AC5792" s="580">
        <f>HLOOKUP("*"&amp;'Output annual'!$AC$2&amp;'Output annual'!$AD$2&amp;"*FangerPMV(Hourly)",'Eplus results'!$1:$1048576,ROW(),FALSE)</f>
        <v>0</v>
      </c>
      <c r="AD5792" s="580">
        <f t="shared" si="486"/>
        <v>5</v>
      </c>
      <c r="AE5792" s="580">
        <f t="shared" si="487"/>
        <v>2.5</v>
      </c>
      <c r="AF5792" s="580">
        <f t="shared" si="488"/>
        <v>2.5</v>
      </c>
      <c r="AG5792" s="580">
        <f t="shared" si="489"/>
        <v>0</v>
      </c>
      <c r="AH5792" s="580">
        <f t="shared" si="490"/>
        <v>0</v>
      </c>
    </row>
    <row r="5793" spans="28:34">
      <c r="AB5793" s="580">
        <f>HLOOKUP("*"&amp;'Output annual'!$AC$2&amp;'Output annual'!$AD$2&amp;"*Zone People Number Of Occupants [](Hourly)",'Eplus results'!$1:$1048576,ROW(),FALSE)</f>
        <v>0</v>
      </c>
      <c r="AC5793" s="580">
        <f>HLOOKUP("*"&amp;'Output annual'!$AC$2&amp;'Output annual'!$AD$2&amp;"*FangerPMV(Hourly)",'Eplus results'!$1:$1048576,ROW(),FALSE)</f>
        <v>0</v>
      </c>
      <c r="AD5793" s="580">
        <f t="shared" si="486"/>
        <v>5</v>
      </c>
      <c r="AE5793" s="580">
        <f t="shared" si="487"/>
        <v>2.5</v>
      </c>
      <c r="AF5793" s="580">
        <f t="shared" si="488"/>
        <v>2.5</v>
      </c>
      <c r="AG5793" s="580">
        <f t="shared" si="489"/>
        <v>0</v>
      </c>
      <c r="AH5793" s="580">
        <f t="shared" si="490"/>
        <v>0</v>
      </c>
    </row>
    <row r="5794" spans="28:34">
      <c r="AB5794" s="580">
        <f>HLOOKUP("*"&amp;'Output annual'!$AC$2&amp;'Output annual'!$AD$2&amp;"*Zone People Number Of Occupants [](Hourly)",'Eplus results'!$1:$1048576,ROW(),FALSE)</f>
        <v>0</v>
      </c>
      <c r="AC5794" s="580">
        <f>HLOOKUP("*"&amp;'Output annual'!$AC$2&amp;'Output annual'!$AD$2&amp;"*FangerPMV(Hourly)",'Eplus results'!$1:$1048576,ROW(),FALSE)</f>
        <v>0</v>
      </c>
      <c r="AD5794" s="580">
        <f t="shared" si="486"/>
        <v>5</v>
      </c>
      <c r="AE5794" s="580">
        <f t="shared" si="487"/>
        <v>2.5</v>
      </c>
      <c r="AF5794" s="580">
        <f t="shared" si="488"/>
        <v>2.5</v>
      </c>
      <c r="AG5794" s="580">
        <f t="shared" si="489"/>
        <v>0</v>
      </c>
      <c r="AH5794" s="580">
        <f t="shared" si="490"/>
        <v>0</v>
      </c>
    </row>
    <row r="5795" spans="28:34">
      <c r="AB5795" s="580">
        <f>HLOOKUP("*"&amp;'Output annual'!$AC$2&amp;'Output annual'!$AD$2&amp;"*Zone People Number Of Occupants [](Hourly)",'Eplus results'!$1:$1048576,ROW(),FALSE)</f>
        <v>0</v>
      </c>
      <c r="AC5795" s="580">
        <f>HLOOKUP("*"&amp;'Output annual'!$AC$2&amp;'Output annual'!$AD$2&amp;"*FangerPMV(Hourly)",'Eplus results'!$1:$1048576,ROW(),FALSE)</f>
        <v>0</v>
      </c>
      <c r="AD5795" s="580">
        <f t="shared" si="486"/>
        <v>5</v>
      </c>
      <c r="AE5795" s="580">
        <f t="shared" si="487"/>
        <v>2.5</v>
      </c>
      <c r="AF5795" s="580">
        <f t="shared" si="488"/>
        <v>2.5</v>
      </c>
      <c r="AG5795" s="580">
        <f t="shared" si="489"/>
        <v>0</v>
      </c>
      <c r="AH5795" s="580">
        <f t="shared" si="490"/>
        <v>0</v>
      </c>
    </row>
    <row r="5796" spans="28:34">
      <c r="AB5796" s="580">
        <f>HLOOKUP("*"&amp;'Output annual'!$AC$2&amp;'Output annual'!$AD$2&amp;"*Zone People Number Of Occupants [](Hourly)",'Eplus results'!$1:$1048576,ROW(),FALSE)</f>
        <v>0</v>
      </c>
      <c r="AC5796" s="580">
        <f>HLOOKUP("*"&amp;'Output annual'!$AC$2&amp;'Output annual'!$AD$2&amp;"*FangerPMV(Hourly)",'Eplus results'!$1:$1048576,ROW(),FALSE)</f>
        <v>0</v>
      </c>
      <c r="AD5796" s="580">
        <f t="shared" si="486"/>
        <v>5</v>
      </c>
      <c r="AE5796" s="580">
        <f t="shared" si="487"/>
        <v>2.5</v>
      </c>
      <c r="AF5796" s="580">
        <f t="shared" si="488"/>
        <v>2.5</v>
      </c>
      <c r="AG5796" s="580">
        <f t="shared" si="489"/>
        <v>0</v>
      </c>
      <c r="AH5796" s="580">
        <f t="shared" si="490"/>
        <v>0</v>
      </c>
    </row>
    <row r="5797" spans="28:34">
      <c r="AB5797" s="580">
        <f>HLOOKUP("*"&amp;'Output annual'!$AC$2&amp;'Output annual'!$AD$2&amp;"*Zone People Number Of Occupants [](Hourly)",'Eplus results'!$1:$1048576,ROW(),FALSE)</f>
        <v>0</v>
      </c>
      <c r="AC5797" s="580">
        <f>HLOOKUP("*"&amp;'Output annual'!$AC$2&amp;'Output annual'!$AD$2&amp;"*FangerPMV(Hourly)",'Eplus results'!$1:$1048576,ROW(),FALSE)</f>
        <v>0</v>
      </c>
      <c r="AD5797" s="580">
        <f t="shared" si="486"/>
        <v>5</v>
      </c>
      <c r="AE5797" s="580">
        <f t="shared" si="487"/>
        <v>2.5</v>
      </c>
      <c r="AF5797" s="580">
        <f t="shared" si="488"/>
        <v>2.5</v>
      </c>
      <c r="AG5797" s="580">
        <f t="shared" si="489"/>
        <v>0</v>
      </c>
      <c r="AH5797" s="580">
        <f t="shared" si="490"/>
        <v>0</v>
      </c>
    </row>
    <row r="5798" spans="28:34">
      <c r="AB5798" s="580">
        <f>HLOOKUP("*"&amp;'Output annual'!$AC$2&amp;'Output annual'!$AD$2&amp;"*Zone People Number Of Occupants [](Hourly)",'Eplus results'!$1:$1048576,ROW(),FALSE)</f>
        <v>0</v>
      </c>
      <c r="AC5798" s="580">
        <f>HLOOKUP("*"&amp;'Output annual'!$AC$2&amp;'Output annual'!$AD$2&amp;"*FangerPMV(Hourly)",'Eplus results'!$1:$1048576,ROW(),FALSE)</f>
        <v>0</v>
      </c>
      <c r="AD5798" s="580">
        <f t="shared" si="486"/>
        <v>5</v>
      </c>
      <c r="AE5798" s="580">
        <f t="shared" si="487"/>
        <v>2.5</v>
      </c>
      <c r="AF5798" s="580">
        <f t="shared" si="488"/>
        <v>2.5</v>
      </c>
      <c r="AG5798" s="580">
        <f t="shared" si="489"/>
        <v>0</v>
      </c>
      <c r="AH5798" s="580">
        <f t="shared" si="490"/>
        <v>0</v>
      </c>
    </row>
    <row r="5799" spans="28:34">
      <c r="AB5799" s="580">
        <f>HLOOKUP("*"&amp;'Output annual'!$AC$2&amp;'Output annual'!$AD$2&amp;"*Zone People Number Of Occupants [](Hourly)",'Eplus results'!$1:$1048576,ROW(),FALSE)</f>
        <v>0</v>
      </c>
      <c r="AC5799" s="580">
        <f>HLOOKUP("*"&amp;'Output annual'!$AC$2&amp;'Output annual'!$AD$2&amp;"*FangerPMV(Hourly)",'Eplus results'!$1:$1048576,ROW(),FALSE)</f>
        <v>0</v>
      </c>
      <c r="AD5799" s="580">
        <f t="shared" si="486"/>
        <v>5</v>
      </c>
      <c r="AE5799" s="580">
        <f t="shared" si="487"/>
        <v>2.5</v>
      </c>
      <c r="AF5799" s="580">
        <f t="shared" si="488"/>
        <v>2.5</v>
      </c>
      <c r="AG5799" s="580">
        <f t="shared" si="489"/>
        <v>0</v>
      </c>
      <c r="AH5799" s="580">
        <f t="shared" si="490"/>
        <v>0</v>
      </c>
    </row>
    <row r="5800" spans="28:34">
      <c r="AB5800" s="580">
        <f>HLOOKUP("*"&amp;'Output annual'!$AC$2&amp;'Output annual'!$AD$2&amp;"*Zone People Number Of Occupants [](Hourly)",'Eplus results'!$1:$1048576,ROW(),FALSE)</f>
        <v>0</v>
      </c>
      <c r="AC5800" s="580">
        <f>HLOOKUP("*"&amp;'Output annual'!$AC$2&amp;'Output annual'!$AD$2&amp;"*FangerPMV(Hourly)",'Eplus results'!$1:$1048576,ROW(),FALSE)</f>
        <v>0</v>
      </c>
      <c r="AD5800" s="580">
        <f t="shared" si="486"/>
        <v>5</v>
      </c>
      <c r="AE5800" s="580">
        <f t="shared" si="487"/>
        <v>2.5</v>
      </c>
      <c r="AF5800" s="580">
        <f t="shared" si="488"/>
        <v>2.5</v>
      </c>
      <c r="AG5800" s="580">
        <f t="shared" si="489"/>
        <v>0</v>
      </c>
      <c r="AH5800" s="580">
        <f t="shared" si="490"/>
        <v>0</v>
      </c>
    </row>
    <row r="5801" spans="28:34">
      <c r="AB5801" s="580">
        <f>HLOOKUP("*"&amp;'Output annual'!$AC$2&amp;'Output annual'!$AD$2&amp;"*Zone People Number Of Occupants [](Hourly)",'Eplus results'!$1:$1048576,ROW(),FALSE)</f>
        <v>0</v>
      </c>
      <c r="AC5801" s="580">
        <f>HLOOKUP("*"&amp;'Output annual'!$AC$2&amp;'Output annual'!$AD$2&amp;"*FangerPMV(Hourly)",'Eplus results'!$1:$1048576,ROW(),FALSE)</f>
        <v>0</v>
      </c>
      <c r="AD5801" s="580">
        <f t="shared" si="486"/>
        <v>5</v>
      </c>
      <c r="AE5801" s="580">
        <f t="shared" si="487"/>
        <v>2.5</v>
      </c>
      <c r="AF5801" s="580">
        <f t="shared" si="488"/>
        <v>2.5</v>
      </c>
      <c r="AG5801" s="580">
        <f t="shared" si="489"/>
        <v>0</v>
      </c>
      <c r="AH5801" s="580">
        <f t="shared" si="490"/>
        <v>0</v>
      </c>
    </row>
    <row r="5802" spans="28:34">
      <c r="AB5802" s="580">
        <f>HLOOKUP("*"&amp;'Output annual'!$AC$2&amp;'Output annual'!$AD$2&amp;"*Zone People Number Of Occupants [](Hourly)",'Eplus results'!$1:$1048576,ROW(),FALSE)</f>
        <v>0</v>
      </c>
      <c r="AC5802" s="580">
        <f>HLOOKUP("*"&amp;'Output annual'!$AC$2&amp;'Output annual'!$AD$2&amp;"*FangerPMV(Hourly)",'Eplus results'!$1:$1048576,ROW(),FALSE)</f>
        <v>0</v>
      </c>
      <c r="AD5802" s="580">
        <f t="shared" si="486"/>
        <v>5</v>
      </c>
      <c r="AE5802" s="580">
        <f t="shared" si="487"/>
        <v>2.5</v>
      </c>
      <c r="AF5802" s="580">
        <f t="shared" si="488"/>
        <v>2.5</v>
      </c>
      <c r="AG5802" s="580">
        <f t="shared" si="489"/>
        <v>0</v>
      </c>
      <c r="AH5802" s="580">
        <f t="shared" si="490"/>
        <v>0</v>
      </c>
    </row>
    <row r="5803" spans="28:34">
      <c r="AB5803" s="580">
        <f>HLOOKUP("*"&amp;'Output annual'!$AC$2&amp;'Output annual'!$AD$2&amp;"*Zone People Number Of Occupants [](Hourly)",'Eplus results'!$1:$1048576,ROW(),FALSE)</f>
        <v>0</v>
      </c>
      <c r="AC5803" s="580">
        <f>HLOOKUP("*"&amp;'Output annual'!$AC$2&amp;'Output annual'!$AD$2&amp;"*FangerPMV(Hourly)",'Eplus results'!$1:$1048576,ROW(),FALSE)</f>
        <v>0</v>
      </c>
      <c r="AD5803" s="580">
        <f t="shared" si="486"/>
        <v>5</v>
      </c>
      <c r="AE5803" s="580">
        <f t="shared" si="487"/>
        <v>2.5</v>
      </c>
      <c r="AF5803" s="580">
        <f t="shared" si="488"/>
        <v>2.5</v>
      </c>
      <c r="AG5803" s="580">
        <f t="shared" si="489"/>
        <v>0</v>
      </c>
      <c r="AH5803" s="580">
        <f t="shared" si="490"/>
        <v>0</v>
      </c>
    </row>
    <row r="5804" spans="28:34">
      <c r="AB5804" s="580">
        <f>HLOOKUP("*"&amp;'Output annual'!$AC$2&amp;'Output annual'!$AD$2&amp;"*Zone People Number Of Occupants [](Hourly)",'Eplus results'!$1:$1048576,ROW(),FALSE)</f>
        <v>0</v>
      </c>
      <c r="AC5804" s="580">
        <f>HLOOKUP("*"&amp;'Output annual'!$AC$2&amp;'Output annual'!$AD$2&amp;"*FangerPMV(Hourly)",'Eplus results'!$1:$1048576,ROW(),FALSE)</f>
        <v>0</v>
      </c>
      <c r="AD5804" s="580">
        <f t="shared" si="486"/>
        <v>5</v>
      </c>
      <c r="AE5804" s="580">
        <f t="shared" si="487"/>
        <v>2.5</v>
      </c>
      <c r="AF5804" s="580">
        <f t="shared" si="488"/>
        <v>2.5</v>
      </c>
      <c r="AG5804" s="580">
        <f t="shared" si="489"/>
        <v>0</v>
      </c>
      <c r="AH5804" s="580">
        <f t="shared" si="490"/>
        <v>0</v>
      </c>
    </row>
    <row r="5805" spans="28:34">
      <c r="AB5805" s="580">
        <f>HLOOKUP("*"&amp;'Output annual'!$AC$2&amp;'Output annual'!$AD$2&amp;"*Zone People Number Of Occupants [](Hourly)",'Eplus results'!$1:$1048576,ROW(),FALSE)</f>
        <v>0</v>
      </c>
      <c r="AC5805" s="580">
        <f>HLOOKUP("*"&amp;'Output annual'!$AC$2&amp;'Output annual'!$AD$2&amp;"*FangerPMV(Hourly)",'Eplus results'!$1:$1048576,ROW(),FALSE)</f>
        <v>0</v>
      </c>
      <c r="AD5805" s="580">
        <f t="shared" si="486"/>
        <v>5</v>
      </c>
      <c r="AE5805" s="580">
        <f t="shared" si="487"/>
        <v>2.5</v>
      </c>
      <c r="AF5805" s="580">
        <f t="shared" si="488"/>
        <v>2.5</v>
      </c>
      <c r="AG5805" s="580">
        <f t="shared" si="489"/>
        <v>0</v>
      </c>
      <c r="AH5805" s="580">
        <f t="shared" si="490"/>
        <v>0</v>
      </c>
    </row>
    <row r="5806" spans="28:34">
      <c r="AB5806" s="580">
        <f>HLOOKUP("*"&amp;'Output annual'!$AC$2&amp;'Output annual'!$AD$2&amp;"*Zone People Number Of Occupants [](Hourly)",'Eplus results'!$1:$1048576,ROW(),FALSE)</f>
        <v>0</v>
      </c>
      <c r="AC5806" s="580">
        <f>HLOOKUP("*"&amp;'Output annual'!$AC$2&amp;'Output annual'!$AD$2&amp;"*FangerPMV(Hourly)",'Eplus results'!$1:$1048576,ROW(),FALSE)</f>
        <v>0</v>
      </c>
      <c r="AD5806" s="580">
        <f t="shared" si="486"/>
        <v>5</v>
      </c>
      <c r="AE5806" s="580">
        <f t="shared" si="487"/>
        <v>2.5</v>
      </c>
      <c r="AF5806" s="580">
        <f t="shared" si="488"/>
        <v>2.5</v>
      </c>
      <c r="AG5806" s="580">
        <f t="shared" si="489"/>
        <v>0</v>
      </c>
      <c r="AH5806" s="580">
        <f t="shared" si="490"/>
        <v>0</v>
      </c>
    </row>
    <row r="5807" spans="28:34">
      <c r="AB5807" s="580">
        <f>HLOOKUP("*"&amp;'Output annual'!$AC$2&amp;'Output annual'!$AD$2&amp;"*Zone People Number Of Occupants [](Hourly)",'Eplus results'!$1:$1048576,ROW(),FALSE)</f>
        <v>0</v>
      </c>
      <c r="AC5807" s="580">
        <f>HLOOKUP("*"&amp;'Output annual'!$AC$2&amp;'Output annual'!$AD$2&amp;"*FangerPMV(Hourly)",'Eplus results'!$1:$1048576,ROW(),FALSE)</f>
        <v>0</v>
      </c>
      <c r="AD5807" s="580">
        <f t="shared" si="486"/>
        <v>5</v>
      </c>
      <c r="AE5807" s="580">
        <f t="shared" si="487"/>
        <v>2.5</v>
      </c>
      <c r="AF5807" s="580">
        <f t="shared" si="488"/>
        <v>2.5</v>
      </c>
      <c r="AG5807" s="580">
        <f t="shared" si="489"/>
        <v>0</v>
      </c>
      <c r="AH5807" s="580">
        <f t="shared" si="490"/>
        <v>0</v>
      </c>
    </row>
    <row r="5808" spans="28:34">
      <c r="AB5808" s="580">
        <f>HLOOKUP("*"&amp;'Output annual'!$AC$2&amp;'Output annual'!$AD$2&amp;"*Zone People Number Of Occupants [](Hourly)",'Eplus results'!$1:$1048576,ROW(),FALSE)</f>
        <v>0</v>
      </c>
      <c r="AC5808" s="580">
        <f>HLOOKUP("*"&amp;'Output annual'!$AC$2&amp;'Output annual'!$AD$2&amp;"*FangerPMV(Hourly)",'Eplus results'!$1:$1048576,ROW(),FALSE)</f>
        <v>0</v>
      </c>
      <c r="AD5808" s="580">
        <f t="shared" si="486"/>
        <v>5</v>
      </c>
      <c r="AE5808" s="580">
        <f t="shared" si="487"/>
        <v>2.5</v>
      </c>
      <c r="AF5808" s="580">
        <f t="shared" si="488"/>
        <v>2.5</v>
      </c>
      <c r="AG5808" s="580">
        <f t="shared" si="489"/>
        <v>0</v>
      </c>
      <c r="AH5808" s="580">
        <f t="shared" si="490"/>
        <v>0</v>
      </c>
    </row>
    <row r="5809" spans="28:34">
      <c r="AB5809" s="580">
        <f>HLOOKUP("*"&amp;'Output annual'!$AC$2&amp;'Output annual'!$AD$2&amp;"*Zone People Number Of Occupants [](Hourly)",'Eplus results'!$1:$1048576,ROW(),FALSE)</f>
        <v>0</v>
      </c>
      <c r="AC5809" s="580">
        <f>HLOOKUP("*"&amp;'Output annual'!$AC$2&amp;'Output annual'!$AD$2&amp;"*FangerPMV(Hourly)",'Eplus results'!$1:$1048576,ROW(),FALSE)</f>
        <v>0</v>
      </c>
      <c r="AD5809" s="580">
        <f t="shared" si="486"/>
        <v>5</v>
      </c>
      <c r="AE5809" s="580">
        <f t="shared" si="487"/>
        <v>2.5</v>
      </c>
      <c r="AF5809" s="580">
        <f t="shared" si="488"/>
        <v>2.5</v>
      </c>
      <c r="AG5809" s="580">
        <f t="shared" si="489"/>
        <v>0</v>
      </c>
      <c r="AH5809" s="580">
        <f t="shared" si="490"/>
        <v>0</v>
      </c>
    </row>
    <row r="5810" spans="28:34">
      <c r="AB5810" s="580">
        <f>HLOOKUP("*"&amp;'Output annual'!$AC$2&amp;'Output annual'!$AD$2&amp;"*Zone People Number Of Occupants [](Hourly)",'Eplus results'!$1:$1048576,ROW(),FALSE)</f>
        <v>0</v>
      </c>
      <c r="AC5810" s="580">
        <f>HLOOKUP("*"&amp;'Output annual'!$AC$2&amp;'Output annual'!$AD$2&amp;"*FangerPMV(Hourly)",'Eplus results'!$1:$1048576,ROW(),FALSE)</f>
        <v>0</v>
      </c>
      <c r="AD5810" s="580">
        <f t="shared" si="486"/>
        <v>5</v>
      </c>
      <c r="AE5810" s="580">
        <f t="shared" si="487"/>
        <v>2.5</v>
      </c>
      <c r="AF5810" s="580">
        <f t="shared" si="488"/>
        <v>2.5</v>
      </c>
      <c r="AG5810" s="580">
        <f t="shared" si="489"/>
        <v>0</v>
      </c>
      <c r="AH5810" s="580">
        <f t="shared" si="490"/>
        <v>0</v>
      </c>
    </row>
    <row r="5811" spans="28:34">
      <c r="AB5811" s="580">
        <f>HLOOKUP("*"&amp;'Output annual'!$AC$2&amp;'Output annual'!$AD$2&amp;"*Zone People Number Of Occupants [](Hourly)",'Eplus results'!$1:$1048576,ROW(),FALSE)</f>
        <v>0</v>
      </c>
      <c r="AC5811" s="580">
        <f>HLOOKUP("*"&amp;'Output annual'!$AC$2&amp;'Output annual'!$AD$2&amp;"*FangerPMV(Hourly)",'Eplus results'!$1:$1048576,ROW(),FALSE)</f>
        <v>0</v>
      </c>
      <c r="AD5811" s="580">
        <f t="shared" si="486"/>
        <v>5</v>
      </c>
      <c r="AE5811" s="580">
        <f t="shared" si="487"/>
        <v>2.5</v>
      </c>
      <c r="AF5811" s="580">
        <f t="shared" si="488"/>
        <v>2.5</v>
      </c>
      <c r="AG5811" s="580">
        <f t="shared" si="489"/>
        <v>0</v>
      </c>
      <c r="AH5811" s="580">
        <f t="shared" si="490"/>
        <v>0</v>
      </c>
    </row>
    <row r="5812" spans="28:34">
      <c r="AB5812" s="580">
        <f>HLOOKUP("*"&amp;'Output annual'!$AC$2&amp;'Output annual'!$AD$2&amp;"*Zone People Number Of Occupants [](Hourly)",'Eplus results'!$1:$1048576,ROW(),FALSE)</f>
        <v>0</v>
      </c>
      <c r="AC5812" s="580">
        <f>HLOOKUP("*"&amp;'Output annual'!$AC$2&amp;'Output annual'!$AD$2&amp;"*FangerPMV(Hourly)",'Eplus results'!$1:$1048576,ROW(),FALSE)</f>
        <v>0</v>
      </c>
      <c r="AD5812" s="580">
        <f t="shared" si="486"/>
        <v>5</v>
      </c>
      <c r="AE5812" s="580">
        <f t="shared" si="487"/>
        <v>2.5</v>
      </c>
      <c r="AF5812" s="580">
        <f t="shared" si="488"/>
        <v>2.5</v>
      </c>
      <c r="AG5812" s="580">
        <f t="shared" si="489"/>
        <v>0</v>
      </c>
      <c r="AH5812" s="580">
        <f t="shared" si="490"/>
        <v>0</v>
      </c>
    </row>
    <row r="5813" spans="28:34">
      <c r="AB5813" s="580">
        <f>HLOOKUP("*"&amp;'Output annual'!$AC$2&amp;'Output annual'!$AD$2&amp;"*Zone People Number Of Occupants [](Hourly)",'Eplus results'!$1:$1048576,ROW(),FALSE)</f>
        <v>0</v>
      </c>
      <c r="AC5813" s="580">
        <f>HLOOKUP("*"&amp;'Output annual'!$AC$2&amp;'Output annual'!$AD$2&amp;"*FangerPMV(Hourly)",'Eplus results'!$1:$1048576,ROW(),FALSE)</f>
        <v>0</v>
      </c>
      <c r="AD5813" s="580">
        <f t="shared" si="486"/>
        <v>5</v>
      </c>
      <c r="AE5813" s="580">
        <f t="shared" si="487"/>
        <v>2.5</v>
      </c>
      <c r="AF5813" s="580">
        <f t="shared" si="488"/>
        <v>2.5</v>
      </c>
      <c r="AG5813" s="580">
        <f t="shared" si="489"/>
        <v>0</v>
      </c>
      <c r="AH5813" s="580">
        <f t="shared" si="490"/>
        <v>0</v>
      </c>
    </row>
    <row r="5814" spans="28:34">
      <c r="AB5814" s="580">
        <f>HLOOKUP("*"&amp;'Output annual'!$AC$2&amp;'Output annual'!$AD$2&amp;"*Zone People Number Of Occupants [](Hourly)",'Eplus results'!$1:$1048576,ROW(),FALSE)</f>
        <v>0</v>
      </c>
      <c r="AC5814" s="580">
        <f>HLOOKUP("*"&amp;'Output annual'!$AC$2&amp;'Output annual'!$AD$2&amp;"*FangerPMV(Hourly)",'Eplus results'!$1:$1048576,ROW(),FALSE)</f>
        <v>0</v>
      </c>
      <c r="AD5814" s="580">
        <f t="shared" si="486"/>
        <v>5</v>
      </c>
      <c r="AE5814" s="580">
        <f t="shared" si="487"/>
        <v>2.5</v>
      </c>
      <c r="AF5814" s="580">
        <f t="shared" si="488"/>
        <v>2.5</v>
      </c>
      <c r="AG5814" s="580">
        <f t="shared" si="489"/>
        <v>0</v>
      </c>
      <c r="AH5814" s="580">
        <f t="shared" si="490"/>
        <v>0</v>
      </c>
    </row>
    <row r="5815" spans="28:34">
      <c r="AB5815" s="580">
        <f>HLOOKUP("*"&amp;'Output annual'!$AC$2&amp;'Output annual'!$AD$2&amp;"*Zone People Number Of Occupants [](Hourly)",'Eplus results'!$1:$1048576,ROW(),FALSE)</f>
        <v>0</v>
      </c>
      <c r="AC5815" s="580">
        <f>HLOOKUP("*"&amp;'Output annual'!$AC$2&amp;'Output annual'!$AD$2&amp;"*FangerPMV(Hourly)",'Eplus results'!$1:$1048576,ROW(),FALSE)</f>
        <v>0</v>
      </c>
      <c r="AD5815" s="580">
        <f t="shared" si="486"/>
        <v>5</v>
      </c>
      <c r="AE5815" s="580">
        <f t="shared" si="487"/>
        <v>2.5</v>
      </c>
      <c r="AF5815" s="580">
        <f t="shared" si="488"/>
        <v>2.5</v>
      </c>
      <c r="AG5815" s="580">
        <f t="shared" si="489"/>
        <v>0</v>
      </c>
      <c r="AH5815" s="580">
        <f t="shared" si="490"/>
        <v>0</v>
      </c>
    </row>
    <row r="5816" spans="28:34">
      <c r="AB5816" s="580">
        <f>HLOOKUP("*"&amp;'Output annual'!$AC$2&amp;'Output annual'!$AD$2&amp;"*Zone People Number Of Occupants [](Hourly)",'Eplus results'!$1:$1048576,ROW(),FALSE)</f>
        <v>0</v>
      </c>
      <c r="AC5816" s="580">
        <f>HLOOKUP("*"&amp;'Output annual'!$AC$2&amp;'Output annual'!$AD$2&amp;"*FangerPMV(Hourly)",'Eplus results'!$1:$1048576,ROW(),FALSE)</f>
        <v>0</v>
      </c>
      <c r="AD5816" s="580">
        <f t="shared" si="486"/>
        <v>5</v>
      </c>
      <c r="AE5816" s="580">
        <f t="shared" si="487"/>
        <v>2.5</v>
      </c>
      <c r="AF5816" s="580">
        <f t="shared" si="488"/>
        <v>2.5</v>
      </c>
      <c r="AG5816" s="580">
        <f t="shared" si="489"/>
        <v>0</v>
      </c>
      <c r="AH5816" s="580">
        <f t="shared" si="490"/>
        <v>0</v>
      </c>
    </row>
    <row r="5817" spans="28:34">
      <c r="AB5817" s="580">
        <f>HLOOKUP("*"&amp;'Output annual'!$AC$2&amp;'Output annual'!$AD$2&amp;"*Zone People Number Of Occupants [](Hourly)",'Eplus results'!$1:$1048576,ROW(),FALSE)</f>
        <v>0</v>
      </c>
      <c r="AC5817" s="580">
        <f>HLOOKUP("*"&amp;'Output annual'!$AC$2&amp;'Output annual'!$AD$2&amp;"*FangerPMV(Hourly)",'Eplus results'!$1:$1048576,ROW(),FALSE)</f>
        <v>0</v>
      </c>
      <c r="AD5817" s="580">
        <f t="shared" si="486"/>
        <v>5</v>
      </c>
      <c r="AE5817" s="580">
        <f t="shared" si="487"/>
        <v>2.5</v>
      </c>
      <c r="AF5817" s="580">
        <f t="shared" si="488"/>
        <v>2.5</v>
      </c>
      <c r="AG5817" s="580">
        <f t="shared" si="489"/>
        <v>0</v>
      </c>
      <c r="AH5817" s="580">
        <f t="shared" si="490"/>
        <v>0</v>
      </c>
    </row>
    <row r="5818" spans="28:34">
      <c r="AB5818" s="580">
        <f>HLOOKUP("*"&amp;'Output annual'!$AC$2&amp;'Output annual'!$AD$2&amp;"*Zone People Number Of Occupants [](Hourly)",'Eplus results'!$1:$1048576,ROW(),FALSE)</f>
        <v>0</v>
      </c>
      <c r="AC5818" s="580">
        <f>HLOOKUP("*"&amp;'Output annual'!$AC$2&amp;'Output annual'!$AD$2&amp;"*FangerPMV(Hourly)",'Eplus results'!$1:$1048576,ROW(),FALSE)</f>
        <v>0</v>
      </c>
      <c r="AD5818" s="580">
        <f t="shared" si="486"/>
        <v>5</v>
      </c>
      <c r="AE5818" s="580">
        <f t="shared" si="487"/>
        <v>2.5</v>
      </c>
      <c r="AF5818" s="580">
        <f t="shared" si="488"/>
        <v>2.5</v>
      </c>
      <c r="AG5818" s="580">
        <f t="shared" si="489"/>
        <v>0</v>
      </c>
      <c r="AH5818" s="580">
        <f t="shared" si="490"/>
        <v>0</v>
      </c>
    </row>
    <row r="5819" spans="28:34">
      <c r="AB5819" s="580">
        <f>HLOOKUP("*"&amp;'Output annual'!$AC$2&amp;'Output annual'!$AD$2&amp;"*Zone People Number Of Occupants [](Hourly)",'Eplus results'!$1:$1048576,ROW(),FALSE)</f>
        <v>0</v>
      </c>
      <c r="AC5819" s="580">
        <f>HLOOKUP("*"&amp;'Output annual'!$AC$2&amp;'Output annual'!$AD$2&amp;"*FangerPMV(Hourly)",'Eplus results'!$1:$1048576,ROW(),FALSE)</f>
        <v>0</v>
      </c>
      <c r="AD5819" s="580">
        <f t="shared" si="486"/>
        <v>5</v>
      </c>
      <c r="AE5819" s="580">
        <f t="shared" si="487"/>
        <v>2.5</v>
      </c>
      <c r="AF5819" s="580">
        <f t="shared" si="488"/>
        <v>2.5</v>
      </c>
      <c r="AG5819" s="580">
        <f t="shared" si="489"/>
        <v>0</v>
      </c>
      <c r="AH5819" s="580">
        <f t="shared" si="490"/>
        <v>0</v>
      </c>
    </row>
    <row r="5820" spans="28:34">
      <c r="AB5820" s="580">
        <f>HLOOKUP("*"&amp;'Output annual'!$AC$2&amp;'Output annual'!$AD$2&amp;"*Zone People Number Of Occupants [](Hourly)",'Eplus results'!$1:$1048576,ROW(),FALSE)</f>
        <v>0</v>
      </c>
      <c r="AC5820" s="580">
        <f>HLOOKUP("*"&amp;'Output annual'!$AC$2&amp;'Output annual'!$AD$2&amp;"*FangerPMV(Hourly)",'Eplus results'!$1:$1048576,ROW(),FALSE)</f>
        <v>0</v>
      </c>
      <c r="AD5820" s="580">
        <f t="shared" si="486"/>
        <v>5</v>
      </c>
      <c r="AE5820" s="580">
        <f t="shared" si="487"/>
        <v>2.5</v>
      </c>
      <c r="AF5820" s="580">
        <f t="shared" si="488"/>
        <v>2.5</v>
      </c>
      <c r="AG5820" s="580">
        <f t="shared" si="489"/>
        <v>0</v>
      </c>
      <c r="AH5820" s="580">
        <f t="shared" si="490"/>
        <v>0</v>
      </c>
    </row>
    <row r="5821" spans="28:34">
      <c r="AB5821" s="580">
        <f>HLOOKUP("*"&amp;'Output annual'!$AC$2&amp;'Output annual'!$AD$2&amp;"*Zone People Number Of Occupants [](Hourly)",'Eplus results'!$1:$1048576,ROW(),FALSE)</f>
        <v>0</v>
      </c>
      <c r="AC5821" s="580">
        <f>HLOOKUP("*"&amp;'Output annual'!$AC$2&amp;'Output annual'!$AD$2&amp;"*FangerPMV(Hourly)",'Eplus results'!$1:$1048576,ROW(),FALSE)</f>
        <v>0</v>
      </c>
      <c r="AD5821" s="580">
        <f t="shared" si="486"/>
        <v>5</v>
      </c>
      <c r="AE5821" s="580">
        <f t="shared" si="487"/>
        <v>2.5</v>
      </c>
      <c r="AF5821" s="580">
        <f t="shared" si="488"/>
        <v>2.5</v>
      </c>
      <c r="AG5821" s="580">
        <f t="shared" si="489"/>
        <v>0</v>
      </c>
      <c r="AH5821" s="580">
        <f t="shared" si="490"/>
        <v>0</v>
      </c>
    </row>
    <row r="5822" spans="28:34">
      <c r="AB5822" s="580">
        <f>HLOOKUP("*"&amp;'Output annual'!$AC$2&amp;'Output annual'!$AD$2&amp;"*Zone People Number Of Occupants [](Hourly)",'Eplus results'!$1:$1048576,ROW(),FALSE)</f>
        <v>0</v>
      </c>
      <c r="AC5822" s="580">
        <f>HLOOKUP("*"&amp;'Output annual'!$AC$2&amp;'Output annual'!$AD$2&amp;"*FangerPMV(Hourly)",'Eplus results'!$1:$1048576,ROW(),FALSE)</f>
        <v>0</v>
      </c>
      <c r="AD5822" s="580">
        <f t="shared" si="486"/>
        <v>5</v>
      </c>
      <c r="AE5822" s="580">
        <f t="shared" si="487"/>
        <v>2.5</v>
      </c>
      <c r="AF5822" s="580">
        <f t="shared" si="488"/>
        <v>2.5</v>
      </c>
      <c r="AG5822" s="580">
        <f t="shared" si="489"/>
        <v>0</v>
      </c>
      <c r="AH5822" s="580">
        <f t="shared" si="490"/>
        <v>0</v>
      </c>
    </row>
    <row r="5823" spans="28:34">
      <c r="AB5823" s="580">
        <f>HLOOKUP("*"&amp;'Output annual'!$AC$2&amp;'Output annual'!$AD$2&amp;"*Zone People Number Of Occupants [](Hourly)",'Eplus results'!$1:$1048576,ROW(),FALSE)</f>
        <v>0</v>
      </c>
      <c r="AC5823" s="580">
        <f>HLOOKUP("*"&amp;'Output annual'!$AC$2&amp;'Output annual'!$AD$2&amp;"*FangerPMV(Hourly)",'Eplus results'!$1:$1048576,ROW(),FALSE)</f>
        <v>0</v>
      </c>
      <c r="AD5823" s="580">
        <f t="shared" si="486"/>
        <v>5</v>
      </c>
      <c r="AE5823" s="580">
        <f t="shared" si="487"/>
        <v>2.5</v>
      </c>
      <c r="AF5823" s="580">
        <f t="shared" si="488"/>
        <v>2.5</v>
      </c>
      <c r="AG5823" s="580">
        <f t="shared" si="489"/>
        <v>0</v>
      </c>
      <c r="AH5823" s="580">
        <f t="shared" si="490"/>
        <v>0</v>
      </c>
    </row>
    <row r="5824" spans="28:34">
      <c r="AB5824" s="580">
        <f>HLOOKUP("*"&amp;'Output annual'!$AC$2&amp;'Output annual'!$AD$2&amp;"*Zone People Number Of Occupants [](Hourly)",'Eplus results'!$1:$1048576,ROW(),FALSE)</f>
        <v>0</v>
      </c>
      <c r="AC5824" s="580">
        <f>HLOOKUP("*"&amp;'Output annual'!$AC$2&amp;'Output annual'!$AD$2&amp;"*FangerPMV(Hourly)",'Eplus results'!$1:$1048576,ROW(),FALSE)</f>
        <v>0</v>
      </c>
      <c r="AD5824" s="580">
        <f t="shared" si="486"/>
        <v>5</v>
      </c>
      <c r="AE5824" s="580">
        <f t="shared" si="487"/>
        <v>2.5</v>
      </c>
      <c r="AF5824" s="580">
        <f t="shared" si="488"/>
        <v>2.5</v>
      </c>
      <c r="AG5824" s="580">
        <f t="shared" si="489"/>
        <v>0</v>
      </c>
      <c r="AH5824" s="580">
        <f t="shared" si="490"/>
        <v>0</v>
      </c>
    </row>
    <row r="5825" spans="28:34">
      <c r="AB5825" s="580">
        <f>HLOOKUP("*"&amp;'Output annual'!$AC$2&amp;'Output annual'!$AD$2&amp;"*Zone People Number Of Occupants [](Hourly)",'Eplus results'!$1:$1048576,ROW(),FALSE)</f>
        <v>0</v>
      </c>
      <c r="AC5825" s="580">
        <f>HLOOKUP("*"&amp;'Output annual'!$AC$2&amp;'Output annual'!$AD$2&amp;"*FangerPMV(Hourly)",'Eplus results'!$1:$1048576,ROW(),FALSE)</f>
        <v>0</v>
      </c>
      <c r="AD5825" s="580">
        <f t="shared" si="486"/>
        <v>5</v>
      </c>
      <c r="AE5825" s="580">
        <f t="shared" si="487"/>
        <v>2.5</v>
      </c>
      <c r="AF5825" s="580">
        <f t="shared" si="488"/>
        <v>2.5</v>
      </c>
      <c r="AG5825" s="580">
        <f t="shared" si="489"/>
        <v>0</v>
      </c>
      <c r="AH5825" s="580">
        <f t="shared" si="490"/>
        <v>0</v>
      </c>
    </row>
    <row r="5826" spans="28:34">
      <c r="AB5826" s="580">
        <f>HLOOKUP("*"&amp;'Output annual'!$AC$2&amp;'Output annual'!$AD$2&amp;"*Zone People Number Of Occupants [](Hourly)",'Eplus results'!$1:$1048576,ROW(),FALSE)</f>
        <v>0</v>
      </c>
      <c r="AC5826" s="580">
        <f>HLOOKUP("*"&amp;'Output annual'!$AC$2&amp;'Output annual'!$AD$2&amp;"*FangerPMV(Hourly)",'Eplus results'!$1:$1048576,ROW(),FALSE)</f>
        <v>0</v>
      </c>
      <c r="AD5826" s="580">
        <f t="shared" si="486"/>
        <v>5</v>
      </c>
      <c r="AE5826" s="580">
        <f t="shared" si="487"/>
        <v>2.5</v>
      </c>
      <c r="AF5826" s="580">
        <f t="shared" si="488"/>
        <v>2.5</v>
      </c>
      <c r="AG5826" s="580">
        <f t="shared" si="489"/>
        <v>0</v>
      </c>
      <c r="AH5826" s="580">
        <f t="shared" si="490"/>
        <v>0</v>
      </c>
    </row>
    <row r="5827" spans="28:34">
      <c r="AB5827" s="580">
        <f>HLOOKUP("*"&amp;'Output annual'!$AC$2&amp;'Output annual'!$AD$2&amp;"*Zone People Number Of Occupants [](Hourly)",'Eplus results'!$1:$1048576,ROW(),FALSE)</f>
        <v>0</v>
      </c>
      <c r="AC5827" s="580">
        <f>HLOOKUP("*"&amp;'Output annual'!$AC$2&amp;'Output annual'!$AD$2&amp;"*FangerPMV(Hourly)",'Eplus results'!$1:$1048576,ROW(),FALSE)</f>
        <v>0</v>
      </c>
      <c r="AD5827" s="580">
        <f t="shared" ref="AD5827:AD5890" si="491">100-95*EXP(-0.03353*AC5827^4-0.2179*AC5827^2)</f>
        <v>5</v>
      </c>
      <c r="AE5827" s="580">
        <f t="shared" ref="AE5827:AE5890" si="492">AD5827*(1/(1+EXP(-6.3*$AC5827)))</f>
        <v>2.5</v>
      </c>
      <c r="AF5827" s="580">
        <f t="shared" ref="AF5827:AF5890" si="493">(AD5827-AE5827)</f>
        <v>2.5</v>
      </c>
      <c r="AG5827" s="580">
        <f t="shared" ref="AG5827:AG5890" si="494">AE5827*AB5827</f>
        <v>0</v>
      </c>
      <c r="AH5827" s="580">
        <f t="shared" ref="AH5827:AH5890" si="495">AF5827*AB5827</f>
        <v>0</v>
      </c>
    </row>
    <row r="5828" spans="28:34">
      <c r="AB5828" s="580">
        <f>HLOOKUP("*"&amp;'Output annual'!$AC$2&amp;'Output annual'!$AD$2&amp;"*Zone People Number Of Occupants [](Hourly)",'Eplus results'!$1:$1048576,ROW(),FALSE)</f>
        <v>0</v>
      </c>
      <c r="AC5828" s="580">
        <f>HLOOKUP("*"&amp;'Output annual'!$AC$2&amp;'Output annual'!$AD$2&amp;"*FangerPMV(Hourly)",'Eplus results'!$1:$1048576,ROW(),FALSE)</f>
        <v>0</v>
      </c>
      <c r="AD5828" s="580">
        <f t="shared" si="491"/>
        <v>5</v>
      </c>
      <c r="AE5828" s="580">
        <f t="shared" si="492"/>
        <v>2.5</v>
      </c>
      <c r="AF5828" s="580">
        <f t="shared" si="493"/>
        <v>2.5</v>
      </c>
      <c r="AG5828" s="580">
        <f t="shared" si="494"/>
        <v>0</v>
      </c>
      <c r="AH5828" s="580">
        <f t="shared" si="495"/>
        <v>0</v>
      </c>
    </row>
    <row r="5829" spans="28:34">
      <c r="AB5829" s="580">
        <f>HLOOKUP("*"&amp;'Output annual'!$AC$2&amp;'Output annual'!$AD$2&amp;"*Zone People Number Of Occupants [](Hourly)",'Eplus results'!$1:$1048576,ROW(),FALSE)</f>
        <v>0</v>
      </c>
      <c r="AC5829" s="580">
        <f>HLOOKUP("*"&amp;'Output annual'!$AC$2&amp;'Output annual'!$AD$2&amp;"*FangerPMV(Hourly)",'Eplus results'!$1:$1048576,ROW(),FALSE)</f>
        <v>0</v>
      </c>
      <c r="AD5829" s="580">
        <f t="shared" si="491"/>
        <v>5</v>
      </c>
      <c r="AE5829" s="580">
        <f t="shared" si="492"/>
        <v>2.5</v>
      </c>
      <c r="AF5829" s="580">
        <f t="shared" si="493"/>
        <v>2.5</v>
      </c>
      <c r="AG5829" s="580">
        <f t="shared" si="494"/>
        <v>0</v>
      </c>
      <c r="AH5829" s="580">
        <f t="shared" si="495"/>
        <v>0</v>
      </c>
    </row>
    <row r="5830" spans="28:34">
      <c r="AB5830" s="580">
        <f>HLOOKUP("*"&amp;'Output annual'!$AC$2&amp;'Output annual'!$AD$2&amp;"*Zone People Number Of Occupants [](Hourly)",'Eplus results'!$1:$1048576,ROW(),FALSE)</f>
        <v>0</v>
      </c>
      <c r="AC5830" s="580">
        <f>HLOOKUP("*"&amp;'Output annual'!$AC$2&amp;'Output annual'!$AD$2&amp;"*FangerPMV(Hourly)",'Eplus results'!$1:$1048576,ROW(),FALSE)</f>
        <v>0</v>
      </c>
      <c r="AD5830" s="580">
        <f t="shared" si="491"/>
        <v>5</v>
      </c>
      <c r="AE5830" s="580">
        <f t="shared" si="492"/>
        <v>2.5</v>
      </c>
      <c r="AF5830" s="580">
        <f t="shared" si="493"/>
        <v>2.5</v>
      </c>
      <c r="AG5830" s="580">
        <f t="shared" si="494"/>
        <v>0</v>
      </c>
      <c r="AH5830" s="580">
        <f t="shared" si="495"/>
        <v>0</v>
      </c>
    </row>
    <row r="5831" spans="28:34">
      <c r="AB5831" s="580">
        <f>HLOOKUP("*"&amp;'Output annual'!$AC$2&amp;'Output annual'!$AD$2&amp;"*Zone People Number Of Occupants [](Hourly)",'Eplus results'!$1:$1048576,ROW(),FALSE)</f>
        <v>0</v>
      </c>
      <c r="AC5831" s="580">
        <f>HLOOKUP("*"&amp;'Output annual'!$AC$2&amp;'Output annual'!$AD$2&amp;"*FangerPMV(Hourly)",'Eplus results'!$1:$1048576,ROW(),FALSE)</f>
        <v>0</v>
      </c>
      <c r="AD5831" s="580">
        <f t="shared" si="491"/>
        <v>5</v>
      </c>
      <c r="AE5831" s="580">
        <f t="shared" si="492"/>
        <v>2.5</v>
      </c>
      <c r="AF5831" s="580">
        <f t="shared" si="493"/>
        <v>2.5</v>
      </c>
      <c r="AG5831" s="580">
        <f t="shared" si="494"/>
        <v>0</v>
      </c>
      <c r="AH5831" s="580">
        <f t="shared" si="495"/>
        <v>0</v>
      </c>
    </row>
    <row r="5832" spans="28:34">
      <c r="AB5832" s="580">
        <f>HLOOKUP("*"&amp;'Output annual'!$AC$2&amp;'Output annual'!$AD$2&amp;"*Zone People Number Of Occupants [](Hourly)",'Eplus results'!$1:$1048576,ROW(),FALSE)</f>
        <v>0</v>
      </c>
      <c r="AC5832" s="580">
        <f>HLOOKUP("*"&amp;'Output annual'!$AC$2&amp;'Output annual'!$AD$2&amp;"*FangerPMV(Hourly)",'Eplus results'!$1:$1048576,ROW(),FALSE)</f>
        <v>0</v>
      </c>
      <c r="AD5832" s="580">
        <f t="shared" si="491"/>
        <v>5</v>
      </c>
      <c r="AE5832" s="580">
        <f t="shared" si="492"/>
        <v>2.5</v>
      </c>
      <c r="AF5832" s="580">
        <f t="shared" si="493"/>
        <v>2.5</v>
      </c>
      <c r="AG5832" s="580">
        <f t="shared" si="494"/>
        <v>0</v>
      </c>
      <c r="AH5832" s="580">
        <f t="shared" si="495"/>
        <v>0</v>
      </c>
    </row>
    <row r="5833" spans="28:34">
      <c r="AB5833" s="580">
        <f>HLOOKUP("*"&amp;'Output annual'!$AC$2&amp;'Output annual'!$AD$2&amp;"*Zone People Number Of Occupants [](Hourly)",'Eplus results'!$1:$1048576,ROW(),FALSE)</f>
        <v>0</v>
      </c>
      <c r="AC5833" s="580">
        <f>HLOOKUP("*"&amp;'Output annual'!$AC$2&amp;'Output annual'!$AD$2&amp;"*FangerPMV(Hourly)",'Eplus results'!$1:$1048576,ROW(),FALSE)</f>
        <v>0</v>
      </c>
      <c r="AD5833" s="580">
        <f t="shared" si="491"/>
        <v>5</v>
      </c>
      <c r="AE5833" s="580">
        <f t="shared" si="492"/>
        <v>2.5</v>
      </c>
      <c r="AF5833" s="580">
        <f t="shared" si="493"/>
        <v>2.5</v>
      </c>
      <c r="AG5833" s="580">
        <f t="shared" si="494"/>
        <v>0</v>
      </c>
      <c r="AH5833" s="580">
        <f t="shared" si="495"/>
        <v>0</v>
      </c>
    </row>
    <row r="5834" spans="28:34">
      <c r="AB5834" s="580">
        <f>HLOOKUP("*"&amp;'Output annual'!$AC$2&amp;'Output annual'!$AD$2&amp;"*Zone People Number Of Occupants [](Hourly)",'Eplus results'!$1:$1048576,ROW(),FALSE)</f>
        <v>0</v>
      </c>
      <c r="AC5834" s="580">
        <f>HLOOKUP("*"&amp;'Output annual'!$AC$2&amp;'Output annual'!$AD$2&amp;"*FangerPMV(Hourly)",'Eplus results'!$1:$1048576,ROW(),FALSE)</f>
        <v>0</v>
      </c>
      <c r="AD5834" s="580">
        <f t="shared" si="491"/>
        <v>5</v>
      </c>
      <c r="AE5834" s="580">
        <f t="shared" si="492"/>
        <v>2.5</v>
      </c>
      <c r="AF5834" s="580">
        <f t="shared" si="493"/>
        <v>2.5</v>
      </c>
      <c r="AG5834" s="580">
        <f t="shared" si="494"/>
        <v>0</v>
      </c>
      <c r="AH5834" s="580">
        <f t="shared" si="495"/>
        <v>0</v>
      </c>
    </row>
    <row r="5835" spans="28:34">
      <c r="AB5835" s="580">
        <f>HLOOKUP("*"&amp;'Output annual'!$AC$2&amp;'Output annual'!$AD$2&amp;"*Zone People Number Of Occupants [](Hourly)",'Eplus results'!$1:$1048576,ROW(),FALSE)</f>
        <v>0</v>
      </c>
      <c r="AC5835" s="580">
        <f>HLOOKUP("*"&amp;'Output annual'!$AC$2&amp;'Output annual'!$AD$2&amp;"*FangerPMV(Hourly)",'Eplus results'!$1:$1048576,ROW(),FALSE)</f>
        <v>0</v>
      </c>
      <c r="AD5835" s="580">
        <f t="shared" si="491"/>
        <v>5</v>
      </c>
      <c r="AE5835" s="580">
        <f t="shared" si="492"/>
        <v>2.5</v>
      </c>
      <c r="AF5835" s="580">
        <f t="shared" si="493"/>
        <v>2.5</v>
      </c>
      <c r="AG5835" s="580">
        <f t="shared" si="494"/>
        <v>0</v>
      </c>
      <c r="AH5835" s="580">
        <f t="shared" si="495"/>
        <v>0</v>
      </c>
    </row>
    <row r="5836" spans="28:34">
      <c r="AB5836" s="580">
        <f>HLOOKUP("*"&amp;'Output annual'!$AC$2&amp;'Output annual'!$AD$2&amp;"*Zone People Number Of Occupants [](Hourly)",'Eplus results'!$1:$1048576,ROW(),FALSE)</f>
        <v>0</v>
      </c>
      <c r="AC5836" s="580">
        <f>HLOOKUP("*"&amp;'Output annual'!$AC$2&amp;'Output annual'!$AD$2&amp;"*FangerPMV(Hourly)",'Eplus results'!$1:$1048576,ROW(),FALSE)</f>
        <v>0</v>
      </c>
      <c r="AD5836" s="580">
        <f t="shared" si="491"/>
        <v>5</v>
      </c>
      <c r="AE5836" s="580">
        <f t="shared" si="492"/>
        <v>2.5</v>
      </c>
      <c r="AF5836" s="580">
        <f t="shared" si="493"/>
        <v>2.5</v>
      </c>
      <c r="AG5836" s="580">
        <f t="shared" si="494"/>
        <v>0</v>
      </c>
      <c r="AH5836" s="580">
        <f t="shared" si="495"/>
        <v>0</v>
      </c>
    </row>
    <row r="5837" spans="28:34">
      <c r="AB5837" s="580">
        <f>HLOOKUP("*"&amp;'Output annual'!$AC$2&amp;'Output annual'!$AD$2&amp;"*Zone People Number Of Occupants [](Hourly)",'Eplus results'!$1:$1048576,ROW(),FALSE)</f>
        <v>0</v>
      </c>
      <c r="AC5837" s="580">
        <f>HLOOKUP("*"&amp;'Output annual'!$AC$2&amp;'Output annual'!$AD$2&amp;"*FangerPMV(Hourly)",'Eplus results'!$1:$1048576,ROW(),FALSE)</f>
        <v>0</v>
      </c>
      <c r="AD5837" s="580">
        <f t="shared" si="491"/>
        <v>5</v>
      </c>
      <c r="AE5837" s="580">
        <f t="shared" si="492"/>
        <v>2.5</v>
      </c>
      <c r="AF5837" s="580">
        <f t="shared" si="493"/>
        <v>2.5</v>
      </c>
      <c r="AG5837" s="580">
        <f t="shared" si="494"/>
        <v>0</v>
      </c>
      <c r="AH5837" s="580">
        <f t="shared" si="495"/>
        <v>0</v>
      </c>
    </row>
    <row r="5838" spans="28:34">
      <c r="AB5838" s="580">
        <f>HLOOKUP("*"&amp;'Output annual'!$AC$2&amp;'Output annual'!$AD$2&amp;"*Zone People Number Of Occupants [](Hourly)",'Eplus results'!$1:$1048576,ROW(),FALSE)</f>
        <v>0</v>
      </c>
      <c r="AC5838" s="580">
        <f>HLOOKUP("*"&amp;'Output annual'!$AC$2&amp;'Output annual'!$AD$2&amp;"*FangerPMV(Hourly)",'Eplus results'!$1:$1048576,ROW(),FALSE)</f>
        <v>0</v>
      </c>
      <c r="AD5838" s="580">
        <f t="shared" si="491"/>
        <v>5</v>
      </c>
      <c r="AE5838" s="580">
        <f t="shared" si="492"/>
        <v>2.5</v>
      </c>
      <c r="AF5838" s="580">
        <f t="shared" si="493"/>
        <v>2.5</v>
      </c>
      <c r="AG5838" s="580">
        <f t="shared" si="494"/>
        <v>0</v>
      </c>
      <c r="AH5838" s="580">
        <f t="shared" si="495"/>
        <v>0</v>
      </c>
    </row>
    <row r="5839" spans="28:34">
      <c r="AB5839" s="580">
        <f>HLOOKUP("*"&amp;'Output annual'!$AC$2&amp;'Output annual'!$AD$2&amp;"*Zone People Number Of Occupants [](Hourly)",'Eplus results'!$1:$1048576,ROW(),FALSE)</f>
        <v>0</v>
      </c>
      <c r="AC5839" s="580">
        <f>HLOOKUP("*"&amp;'Output annual'!$AC$2&amp;'Output annual'!$AD$2&amp;"*FangerPMV(Hourly)",'Eplus results'!$1:$1048576,ROW(),FALSE)</f>
        <v>0</v>
      </c>
      <c r="AD5839" s="580">
        <f t="shared" si="491"/>
        <v>5</v>
      </c>
      <c r="AE5839" s="580">
        <f t="shared" si="492"/>
        <v>2.5</v>
      </c>
      <c r="AF5839" s="580">
        <f t="shared" si="493"/>
        <v>2.5</v>
      </c>
      <c r="AG5839" s="580">
        <f t="shared" si="494"/>
        <v>0</v>
      </c>
      <c r="AH5839" s="580">
        <f t="shared" si="495"/>
        <v>0</v>
      </c>
    </row>
    <row r="5840" spans="28:34">
      <c r="AB5840" s="580">
        <f>HLOOKUP("*"&amp;'Output annual'!$AC$2&amp;'Output annual'!$AD$2&amp;"*Zone People Number Of Occupants [](Hourly)",'Eplus results'!$1:$1048576,ROW(),FALSE)</f>
        <v>0</v>
      </c>
      <c r="AC5840" s="580">
        <f>HLOOKUP("*"&amp;'Output annual'!$AC$2&amp;'Output annual'!$AD$2&amp;"*FangerPMV(Hourly)",'Eplus results'!$1:$1048576,ROW(),FALSE)</f>
        <v>0</v>
      </c>
      <c r="AD5840" s="580">
        <f t="shared" si="491"/>
        <v>5</v>
      </c>
      <c r="AE5840" s="580">
        <f t="shared" si="492"/>
        <v>2.5</v>
      </c>
      <c r="AF5840" s="580">
        <f t="shared" si="493"/>
        <v>2.5</v>
      </c>
      <c r="AG5840" s="580">
        <f t="shared" si="494"/>
        <v>0</v>
      </c>
      <c r="AH5840" s="580">
        <f t="shared" si="495"/>
        <v>0</v>
      </c>
    </row>
    <row r="5841" spans="28:34">
      <c r="AB5841" s="580">
        <f>HLOOKUP("*"&amp;'Output annual'!$AC$2&amp;'Output annual'!$AD$2&amp;"*Zone People Number Of Occupants [](Hourly)",'Eplus results'!$1:$1048576,ROW(),FALSE)</f>
        <v>0</v>
      </c>
      <c r="AC5841" s="580">
        <f>HLOOKUP("*"&amp;'Output annual'!$AC$2&amp;'Output annual'!$AD$2&amp;"*FangerPMV(Hourly)",'Eplus results'!$1:$1048576,ROW(),FALSE)</f>
        <v>0</v>
      </c>
      <c r="AD5841" s="580">
        <f t="shared" si="491"/>
        <v>5</v>
      </c>
      <c r="AE5841" s="580">
        <f t="shared" si="492"/>
        <v>2.5</v>
      </c>
      <c r="AF5841" s="580">
        <f t="shared" si="493"/>
        <v>2.5</v>
      </c>
      <c r="AG5841" s="580">
        <f t="shared" si="494"/>
        <v>0</v>
      </c>
      <c r="AH5841" s="580">
        <f t="shared" si="495"/>
        <v>0</v>
      </c>
    </row>
    <row r="5842" spans="28:34">
      <c r="AB5842" s="580">
        <f>HLOOKUP("*"&amp;'Output annual'!$AC$2&amp;'Output annual'!$AD$2&amp;"*Zone People Number Of Occupants [](Hourly)",'Eplus results'!$1:$1048576,ROW(),FALSE)</f>
        <v>0</v>
      </c>
      <c r="AC5842" s="580">
        <f>HLOOKUP("*"&amp;'Output annual'!$AC$2&amp;'Output annual'!$AD$2&amp;"*FangerPMV(Hourly)",'Eplus results'!$1:$1048576,ROW(),FALSE)</f>
        <v>0</v>
      </c>
      <c r="AD5842" s="580">
        <f t="shared" si="491"/>
        <v>5</v>
      </c>
      <c r="AE5842" s="580">
        <f t="shared" si="492"/>
        <v>2.5</v>
      </c>
      <c r="AF5842" s="580">
        <f t="shared" si="493"/>
        <v>2.5</v>
      </c>
      <c r="AG5842" s="580">
        <f t="shared" si="494"/>
        <v>0</v>
      </c>
      <c r="AH5842" s="580">
        <f t="shared" si="495"/>
        <v>0</v>
      </c>
    </row>
    <row r="5843" spans="28:34">
      <c r="AB5843" s="580">
        <f>HLOOKUP("*"&amp;'Output annual'!$AC$2&amp;'Output annual'!$AD$2&amp;"*Zone People Number Of Occupants [](Hourly)",'Eplus results'!$1:$1048576,ROW(),FALSE)</f>
        <v>0</v>
      </c>
      <c r="AC5843" s="580">
        <f>HLOOKUP("*"&amp;'Output annual'!$AC$2&amp;'Output annual'!$AD$2&amp;"*FangerPMV(Hourly)",'Eplus results'!$1:$1048576,ROW(),FALSE)</f>
        <v>0</v>
      </c>
      <c r="AD5843" s="580">
        <f t="shared" si="491"/>
        <v>5</v>
      </c>
      <c r="AE5843" s="580">
        <f t="shared" si="492"/>
        <v>2.5</v>
      </c>
      <c r="AF5843" s="580">
        <f t="shared" si="493"/>
        <v>2.5</v>
      </c>
      <c r="AG5843" s="580">
        <f t="shared" si="494"/>
        <v>0</v>
      </c>
      <c r="AH5843" s="580">
        <f t="shared" si="495"/>
        <v>0</v>
      </c>
    </row>
    <row r="5844" spans="28:34">
      <c r="AB5844" s="580">
        <f>HLOOKUP("*"&amp;'Output annual'!$AC$2&amp;'Output annual'!$AD$2&amp;"*Zone People Number Of Occupants [](Hourly)",'Eplus results'!$1:$1048576,ROW(),FALSE)</f>
        <v>0</v>
      </c>
      <c r="AC5844" s="580">
        <f>HLOOKUP("*"&amp;'Output annual'!$AC$2&amp;'Output annual'!$AD$2&amp;"*FangerPMV(Hourly)",'Eplus results'!$1:$1048576,ROW(),FALSE)</f>
        <v>0</v>
      </c>
      <c r="AD5844" s="580">
        <f t="shared" si="491"/>
        <v>5</v>
      </c>
      <c r="AE5844" s="580">
        <f t="shared" si="492"/>
        <v>2.5</v>
      </c>
      <c r="AF5844" s="580">
        <f t="shared" si="493"/>
        <v>2.5</v>
      </c>
      <c r="AG5844" s="580">
        <f t="shared" si="494"/>
        <v>0</v>
      </c>
      <c r="AH5844" s="580">
        <f t="shared" si="495"/>
        <v>0</v>
      </c>
    </row>
    <row r="5845" spans="28:34">
      <c r="AB5845" s="580">
        <f>HLOOKUP("*"&amp;'Output annual'!$AC$2&amp;'Output annual'!$AD$2&amp;"*Zone People Number Of Occupants [](Hourly)",'Eplus results'!$1:$1048576,ROW(),FALSE)</f>
        <v>0</v>
      </c>
      <c r="AC5845" s="580">
        <f>HLOOKUP("*"&amp;'Output annual'!$AC$2&amp;'Output annual'!$AD$2&amp;"*FangerPMV(Hourly)",'Eplus results'!$1:$1048576,ROW(),FALSE)</f>
        <v>0</v>
      </c>
      <c r="AD5845" s="580">
        <f t="shared" si="491"/>
        <v>5</v>
      </c>
      <c r="AE5845" s="580">
        <f t="shared" si="492"/>
        <v>2.5</v>
      </c>
      <c r="AF5845" s="580">
        <f t="shared" si="493"/>
        <v>2.5</v>
      </c>
      <c r="AG5845" s="580">
        <f t="shared" si="494"/>
        <v>0</v>
      </c>
      <c r="AH5845" s="580">
        <f t="shared" si="495"/>
        <v>0</v>
      </c>
    </row>
    <row r="5846" spans="28:34">
      <c r="AB5846" s="580">
        <f>HLOOKUP("*"&amp;'Output annual'!$AC$2&amp;'Output annual'!$AD$2&amp;"*Zone People Number Of Occupants [](Hourly)",'Eplus results'!$1:$1048576,ROW(),FALSE)</f>
        <v>0</v>
      </c>
      <c r="AC5846" s="580">
        <f>HLOOKUP("*"&amp;'Output annual'!$AC$2&amp;'Output annual'!$AD$2&amp;"*FangerPMV(Hourly)",'Eplus results'!$1:$1048576,ROW(),FALSE)</f>
        <v>0</v>
      </c>
      <c r="AD5846" s="580">
        <f t="shared" si="491"/>
        <v>5</v>
      </c>
      <c r="AE5846" s="580">
        <f t="shared" si="492"/>
        <v>2.5</v>
      </c>
      <c r="AF5846" s="580">
        <f t="shared" si="493"/>
        <v>2.5</v>
      </c>
      <c r="AG5846" s="580">
        <f t="shared" si="494"/>
        <v>0</v>
      </c>
      <c r="AH5846" s="580">
        <f t="shared" si="495"/>
        <v>0</v>
      </c>
    </row>
    <row r="5847" spans="28:34">
      <c r="AB5847" s="580">
        <f>HLOOKUP("*"&amp;'Output annual'!$AC$2&amp;'Output annual'!$AD$2&amp;"*Zone People Number Of Occupants [](Hourly)",'Eplus results'!$1:$1048576,ROW(),FALSE)</f>
        <v>0</v>
      </c>
      <c r="AC5847" s="580">
        <f>HLOOKUP("*"&amp;'Output annual'!$AC$2&amp;'Output annual'!$AD$2&amp;"*FangerPMV(Hourly)",'Eplus results'!$1:$1048576,ROW(),FALSE)</f>
        <v>0</v>
      </c>
      <c r="AD5847" s="580">
        <f t="shared" si="491"/>
        <v>5</v>
      </c>
      <c r="AE5847" s="580">
        <f t="shared" si="492"/>
        <v>2.5</v>
      </c>
      <c r="AF5847" s="580">
        <f t="shared" si="493"/>
        <v>2.5</v>
      </c>
      <c r="AG5847" s="580">
        <f t="shared" si="494"/>
        <v>0</v>
      </c>
      <c r="AH5847" s="580">
        <f t="shared" si="495"/>
        <v>0</v>
      </c>
    </row>
    <row r="5848" spans="28:34">
      <c r="AB5848" s="580">
        <f>HLOOKUP("*"&amp;'Output annual'!$AC$2&amp;'Output annual'!$AD$2&amp;"*Zone People Number Of Occupants [](Hourly)",'Eplus results'!$1:$1048576,ROW(),FALSE)</f>
        <v>0</v>
      </c>
      <c r="AC5848" s="580">
        <f>HLOOKUP("*"&amp;'Output annual'!$AC$2&amp;'Output annual'!$AD$2&amp;"*FangerPMV(Hourly)",'Eplus results'!$1:$1048576,ROW(),FALSE)</f>
        <v>0</v>
      </c>
      <c r="AD5848" s="580">
        <f t="shared" si="491"/>
        <v>5</v>
      </c>
      <c r="AE5848" s="580">
        <f t="shared" si="492"/>
        <v>2.5</v>
      </c>
      <c r="AF5848" s="580">
        <f t="shared" si="493"/>
        <v>2.5</v>
      </c>
      <c r="AG5848" s="580">
        <f t="shared" si="494"/>
        <v>0</v>
      </c>
      <c r="AH5848" s="580">
        <f t="shared" si="495"/>
        <v>0</v>
      </c>
    </row>
    <row r="5849" spans="28:34">
      <c r="AB5849" s="580">
        <f>HLOOKUP("*"&amp;'Output annual'!$AC$2&amp;'Output annual'!$AD$2&amp;"*Zone People Number Of Occupants [](Hourly)",'Eplus results'!$1:$1048576,ROW(),FALSE)</f>
        <v>0</v>
      </c>
      <c r="AC5849" s="580">
        <f>HLOOKUP("*"&amp;'Output annual'!$AC$2&amp;'Output annual'!$AD$2&amp;"*FangerPMV(Hourly)",'Eplus results'!$1:$1048576,ROW(),FALSE)</f>
        <v>0</v>
      </c>
      <c r="AD5849" s="580">
        <f t="shared" si="491"/>
        <v>5</v>
      </c>
      <c r="AE5849" s="580">
        <f t="shared" si="492"/>
        <v>2.5</v>
      </c>
      <c r="AF5849" s="580">
        <f t="shared" si="493"/>
        <v>2.5</v>
      </c>
      <c r="AG5849" s="580">
        <f t="shared" si="494"/>
        <v>0</v>
      </c>
      <c r="AH5849" s="580">
        <f t="shared" si="495"/>
        <v>0</v>
      </c>
    </row>
    <row r="5850" spans="28:34">
      <c r="AB5850" s="580">
        <f>HLOOKUP("*"&amp;'Output annual'!$AC$2&amp;'Output annual'!$AD$2&amp;"*Zone People Number Of Occupants [](Hourly)",'Eplus results'!$1:$1048576,ROW(),FALSE)</f>
        <v>0</v>
      </c>
      <c r="AC5850" s="580">
        <f>HLOOKUP("*"&amp;'Output annual'!$AC$2&amp;'Output annual'!$AD$2&amp;"*FangerPMV(Hourly)",'Eplus results'!$1:$1048576,ROW(),FALSE)</f>
        <v>0</v>
      </c>
      <c r="AD5850" s="580">
        <f t="shared" si="491"/>
        <v>5</v>
      </c>
      <c r="AE5850" s="580">
        <f t="shared" si="492"/>
        <v>2.5</v>
      </c>
      <c r="AF5850" s="580">
        <f t="shared" si="493"/>
        <v>2.5</v>
      </c>
      <c r="AG5850" s="580">
        <f t="shared" si="494"/>
        <v>0</v>
      </c>
      <c r="AH5850" s="580">
        <f t="shared" si="495"/>
        <v>0</v>
      </c>
    </row>
    <row r="5851" spans="28:34">
      <c r="AB5851" s="580">
        <f>HLOOKUP("*"&amp;'Output annual'!$AC$2&amp;'Output annual'!$AD$2&amp;"*Zone People Number Of Occupants [](Hourly)",'Eplus results'!$1:$1048576,ROW(),FALSE)</f>
        <v>0</v>
      </c>
      <c r="AC5851" s="580">
        <f>HLOOKUP("*"&amp;'Output annual'!$AC$2&amp;'Output annual'!$AD$2&amp;"*FangerPMV(Hourly)",'Eplus results'!$1:$1048576,ROW(),FALSE)</f>
        <v>0</v>
      </c>
      <c r="AD5851" s="580">
        <f t="shared" si="491"/>
        <v>5</v>
      </c>
      <c r="AE5851" s="580">
        <f t="shared" si="492"/>
        <v>2.5</v>
      </c>
      <c r="AF5851" s="580">
        <f t="shared" si="493"/>
        <v>2.5</v>
      </c>
      <c r="AG5851" s="580">
        <f t="shared" si="494"/>
        <v>0</v>
      </c>
      <c r="AH5851" s="580">
        <f t="shared" si="495"/>
        <v>0</v>
      </c>
    </row>
    <row r="5852" spans="28:34">
      <c r="AB5852" s="580">
        <f>HLOOKUP("*"&amp;'Output annual'!$AC$2&amp;'Output annual'!$AD$2&amp;"*Zone People Number Of Occupants [](Hourly)",'Eplus results'!$1:$1048576,ROW(),FALSE)</f>
        <v>0</v>
      </c>
      <c r="AC5852" s="580">
        <f>HLOOKUP("*"&amp;'Output annual'!$AC$2&amp;'Output annual'!$AD$2&amp;"*FangerPMV(Hourly)",'Eplus results'!$1:$1048576,ROW(),FALSE)</f>
        <v>0</v>
      </c>
      <c r="AD5852" s="580">
        <f t="shared" si="491"/>
        <v>5</v>
      </c>
      <c r="AE5852" s="580">
        <f t="shared" si="492"/>
        <v>2.5</v>
      </c>
      <c r="AF5852" s="580">
        <f t="shared" si="493"/>
        <v>2.5</v>
      </c>
      <c r="AG5852" s="580">
        <f t="shared" si="494"/>
        <v>0</v>
      </c>
      <c r="AH5852" s="580">
        <f t="shared" si="495"/>
        <v>0</v>
      </c>
    </row>
    <row r="5853" spans="28:34">
      <c r="AB5853" s="580">
        <f>HLOOKUP("*"&amp;'Output annual'!$AC$2&amp;'Output annual'!$AD$2&amp;"*Zone People Number Of Occupants [](Hourly)",'Eplus results'!$1:$1048576,ROW(),FALSE)</f>
        <v>0</v>
      </c>
      <c r="AC5853" s="580">
        <f>HLOOKUP("*"&amp;'Output annual'!$AC$2&amp;'Output annual'!$AD$2&amp;"*FangerPMV(Hourly)",'Eplus results'!$1:$1048576,ROW(),FALSE)</f>
        <v>0</v>
      </c>
      <c r="AD5853" s="580">
        <f t="shared" si="491"/>
        <v>5</v>
      </c>
      <c r="AE5853" s="580">
        <f t="shared" si="492"/>
        <v>2.5</v>
      </c>
      <c r="AF5853" s="580">
        <f t="shared" si="493"/>
        <v>2.5</v>
      </c>
      <c r="AG5853" s="580">
        <f t="shared" si="494"/>
        <v>0</v>
      </c>
      <c r="AH5853" s="580">
        <f t="shared" si="495"/>
        <v>0</v>
      </c>
    </row>
    <row r="5854" spans="28:34">
      <c r="AB5854" s="580">
        <f>HLOOKUP("*"&amp;'Output annual'!$AC$2&amp;'Output annual'!$AD$2&amp;"*Zone People Number Of Occupants [](Hourly)",'Eplus results'!$1:$1048576,ROW(),FALSE)</f>
        <v>0</v>
      </c>
      <c r="AC5854" s="580">
        <f>HLOOKUP("*"&amp;'Output annual'!$AC$2&amp;'Output annual'!$AD$2&amp;"*FangerPMV(Hourly)",'Eplus results'!$1:$1048576,ROW(),FALSE)</f>
        <v>0</v>
      </c>
      <c r="AD5854" s="580">
        <f t="shared" si="491"/>
        <v>5</v>
      </c>
      <c r="AE5854" s="580">
        <f t="shared" si="492"/>
        <v>2.5</v>
      </c>
      <c r="AF5854" s="580">
        <f t="shared" si="493"/>
        <v>2.5</v>
      </c>
      <c r="AG5854" s="580">
        <f t="shared" si="494"/>
        <v>0</v>
      </c>
      <c r="AH5854" s="580">
        <f t="shared" si="495"/>
        <v>0</v>
      </c>
    </row>
    <row r="5855" spans="28:34">
      <c r="AB5855" s="580">
        <f>HLOOKUP("*"&amp;'Output annual'!$AC$2&amp;'Output annual'!$AD$2&amp;"*Zone People Number Of Occupants [](Hourly)",'Eplus results'!$1:$1048576,ROW(),FALSE)</f>
        <v>0</v>
      </c>
      <c r="AC5855" s="580">
        <f>HLOOKUP("*"&amp;'Output annual'!$AC$2&amp;'Output annual'!$AD$2&amp;"*FangerPMV(Hourly)",'Eplus results'!$1:$1048576,ROW(),FALSE)</f>
        <v>0</v>
      </c>
      <c r="AD5855" s="580">
        <f t="shared" si="491"/>
        <v>5</v>
      </c>
      <c r="AE5855" s="580">
        <f t="shared" si="492"/>
        <v>2.5</v>
      </c>
      <c r="AF5855" s="580">
        <f t="shared" si="493"/>
        <v>2.5</v>
      </c>
      <c r="AG5855" s="580">
        <f t="shared" si="494"/>
        <v>0</v>
      </c>
      <c r="AH5855" s="580">
        <f t="shared" si="495"/>
        <v>0</v>
      </c>
    </row>
    <row r="5856" spans="28:34">
      <c r="AB5856" s="580">
        <f>HLOOKUP("*"&amp;'Output annual'!$AC$2&amp;'Output annual'!$AD$2&amp;"*Zone People Number Of Occupants [](Hourly)",'Eplus results'!$1:$1048576,ROW(),FALSE)</f>
        <v>0</v>
      </c>
      <c r="AC5856" s="580">
        <f>HLOOKUP("*"&amp;'Output annual'!$AC$2&amp;'Output annual'!$AD$2&amp;"*FangerPMV(Hourly)",'Eplus results'!$1:$1048576,ROW(),FALSE)</f>
        <v>0</v>
      </c>
      <c r="AD5856" s="580">
        <f t="shared" si="491"/>
        <v>5</v>
      </c>
      <c r="AE5856" s="580">
        <f t="shared" si="492"/>
        <v>2.5</v>
      </c>
      <c r="AF5856" s="580">
        <f t="shared" si="493"/>
        <v>2.5</v>
      </c>
      <c r="AG5856" s="580">
        <f t="shared" si="494"/>
        <v>0</v>
      </c>
      <c r="AH5856" s="580">
        <f t="shared" si="495"/>
        <v>0</v>
      </c>
    </row>
    <row r="5857" spans="28:34">
      <c r="AB5857" s="580">
        <f>HLOOKUP("*"&amp;'Output annual'!$AC$2&amp;'Output annual'!$AD$2&amp;"*Zone People Number Of Occupants [](Hourly)",'Eplus results'!$1:$1048576,ROW(),FALSE)</f>
        <v>0</v>
      </c>
      <c r="AC5857" s="580">
        <f>HLOOKUP("*"&amp;'Output annual'!$AC$2&amp;'Output annual'!$AD$2&amp;"*FangerPMV(Hourly)",'Eplus results'!$1:$1048576,ROW(),FALSE)</f>
        <v>0</v>
      </c>
      <c r="AD5857" s="580">
        <f t="shared" si="491"/>
        <v>5</v>
      </c>
      <c r="AE5857" s="580">
        <f t="shared" si="492"/>
        <v>2.5</v>
      </c>
      <c r="AF5857" s="580">
        <f t="shared" si="493"/>
        <v>2.5</v>
      </c>
      <c r="AG5857" s="580">
        <f t="shared" si="494"/>
        <v>0</v>
      </c>
      <c r="AH5857" s="580">
        <f t="shared" si="495"/>
        <v>0</v>
      </c>
    </row>
    <row r="5858" spans="28:34">
      <c r="AB5858" s="580">
        <f>HLOOKUP("*"&amp;'Output annual'!$AC$2&amp;'Output annual'!$AD$2&amp;"*Zone People Number Of Occupants [](Hourly)",'Eplus results'!$1:$1048576,ROW(),FALSE)</f>
        <v>0</v>
      </c>
      <c r="AC5858" s="580">
        <f>HLOOKUP("*"&amp;'Output annual'!$AC$2&amp;'Output annual'!$AD$2&amp;"*FangerPMV(Hourly)",'Eplus results'!$1:$1048576,ROW(),FALSE)</f>
        <v>0</v>
      </c>
      <c r="AD5858" s="580">
        <f t="shared" si="491"/>
        <v>5</v>
      </c>
      <c r="AE5858" s="580">
        <f t="shared" si="492"/>
        <v>2.5</v>
      </c>
      <c r="AF5858" s="580">
        <f t="shared" si="493"/>
        <v>2.5</v>
      </c>
      <c r="AG5858" s="580">
        <f t="shared" si="494"/>
        <v>0</v>
      </c>
      <c r="AH5858" s="580">
        <f t="shared" si="495"/>
        <v>0</v>
      </c>
    </row>
    <row r="5859" spans="28:34">
      <c r="AB5859" s="580">
        <f>HLOOKUP("*"&amp;'Output annual'!$AC$2&amp;'Output annual'!$AD$2&amp;"*Zone People Number Of Occupants [](Hourly)",'Eplus results'!$1:$1048576,ROW(),FALSE)</f>
        <v>0</v>
      </c>
      <c r="AC5859" s="580">
        <f>HLOOKUP("*"&amp;'Output annual'!$AC$2&amp;'Output annual'!$AD$2&amp;"*FangerPMV(Hourly)",'Eplus results'!$1:$1048576,ROW(),FALSE)</f>
        <v>0</v>
      </c>
      <c r="AD5859" s="580">
        <f t="shared" si="491"/>
        <v>5</v>
      </c>
      <c r="AE5859" s="580">
        <f t="shared" si="492"/>
        <v>2.5</v>
      </c>
      <c r="AF5859" s="580">
        <f t="shared" si="493"/>
        <v>2.5</v>
      </c>
      <c r="AG5859" s="580">
        <f t="shared" si="494"/>
        <v>0</v>
      </c>
      <c r="AH5859" s="580">
        <f t="shared" si="495"/>
        <v>0</v>
      </c>
    </row>
    <row r="5860" spans="28:34">
      <c r="AB5860" s="580">
        <f>HLOOKUP("*"&amp;'Output annual'!$AC$2&amp;'Output annual'!$AD$2&amp;"*Zone People Number Of Occupants [](Hourly)",'Eplus results'!$1:$1048576,ROW(),FALSE)</f>
        <v>0</v>
      </c>
      <c r="AC5860" s="580">
        <f>HLOOKUP("*"&amp;'Output annual'!$AC$2&amp;'Output annual'!$AD$2&amp;"*FangerPMV(Hourly)",'Eplus results'!$1:$1048576,ROW(),FALSE)</f>
        <v>0</v>
      </c>
      <c r="AD5860" s="580">
        <f t="shared" si="491"/>
        <v>5</v>
      </c>
      <c r="AE5860" s="580">
        <f t="shared" si="492"/>
        <v>2.5</v>
      </c>
      <c r="AF5860" s="580">
        <f t="shared" si="493"/>
        <v>2.5</v>
      </c>
      <c r="AG5860" s="580">
        <f t="shared" si="494"/>
        <v>0</v>
      </c>
      <c r="AH5860" s="580">
        <f t="shared" si="495"/>
        <v>0</v>
      </c>
    </row>
    <row r="5861" spans="28:34">
      <c r="AB5861" s="580">
        <f>HLOOKUP("*"&amp;'Output annual'!$AC$2&amp;'Output annual'!$AD$2&amp;"*Zone People Number Of Occupants [](Hourly)",'Eplus results'!$1:$1048576,ROW(),FALSE)</f>
        <v>0</v>
      </c>
      <c r="AC5861" s="580">
        <f>HLOOKUP("*"&amp;'Output annual'!$AC$2&amp;'Output annual'!$AD$2&amp;"*FangerPMV(Hourly)",'Eplus results'!$1:$1048576,ROW(),FALSE)</f>
        <v>0</v>
      </c>
      <c r="AD5861" s="580">
        <f t="shared" si="491"/>
        <v>5</v>
      </c>
      <c r="AE5861" s="580">
        <f t="shared" si="492"/>
        <v>2.5</v>
      </c>
      <c r="AF5861" s="580">
        <f t="shared" si="493"/>
        <v>2.5</v>
      </c>
      <c r="AG5861" s="580">
        <f t="shared" si="494"/>
        <v>0</v>
      </c>
      <c r="AH5861" s="580">
        <f t="shared" si="495"/>
        <v>0</v>
      </c>
    </row>
    <row r="5862" spans="28:34">
      <c r="AB5862" s="580">
        <f>HLOOKUP("*"&amp;'Output annual'!$AC$2&amp;'Output annual'!$AD$2&amp;"*Zone People Number Of Occupants [](Hourly)",'Eplus results'!$1:$1048576,ROW(),FALSE)</f>
        <v>0</v>
      </c>
      <c r="AC5862" s="580">
        <f>HLOOKUP("*"&amp;'Output annual'!$AC$2&amp;'Output annual'!$AD$2&amp;"*FangerPMV(Hourly)",'Eplus results'!$1:$1048576,ROW(),FALSE)</f>
        <v>0</v>
      </c>
      <c r="AD5862" s="580">
        <f t="shared" si="491"/>
        <v>5</v>
      </c>
      <c r="AE5862" s="580">
        <f t="shared" si="492"/>
        <v>2.5</v>
      </c>
      <c r="AF5862" s="580">
        <f t="shared" si="493"/>
        <v>2.5</v>
      </c>
      <c r="AG5862" s="580">
        <f t="shared" si="494"/>
        <v>0</v>
      </c>
      <c r="AH5862" s="580">
        <f t="shared" si="495"/>
        <v>0</v>
      </c>
    </row>
    <row r="5863" spans="28:34">
      <c r="AB5863" s="580">
        <f>HLOOKUP("*"&amp;'Output annual'!$AC$2&amp;'Output annual'!$AD$2&amp;"*Zone People Number Of Occupants [](Hourly)",'Eplus results'!$1:$1048576,ROW(),FALSE)</f>
        <v>0</v>
      </c>
      <c r="AC5863" s="580">
        <f>HLOOKUP("*"&amp;'Output annual'!$AC$2&amp;'Output annual'!$AD$2&amp;"*FangerPMV(Hourly)",'Eplus results'!$1:$1048576,ROW(),FALSE)</f>
        <v>0</v>
      </c>
      <c r="AD5863" s="580">
        <f t="shared" si="491"/>
        <v>5</v>
      </c>
      <c r="AE5863" s="580">
        <f t="shared" si="492"/>
        <v>2.5</v>
      </c>
      <c r="AF5863" s="580">
        <f t="shared" si="493"/>
        <v>2.5</v>
      </c>
      <c r="AG5863" s="580">
        <f t="shared" si="494"/>
        <v>0</v>
      </c>
      <c r="AH5863" s="580">
        <f t="shared" si="495"/>
        <v>0</v>
      </c>
    </row>
    <row r="5864" spans="28:34">
      <c r="AB5864" s="580">
        <f>HLOOKUP("*"&amp;'Output annual'!$AC$2&amp;'Output annual'!$AD$2&amp;"*Zone People Number Of Occupants [](Hourly)",'Eplus results'!$1:$1048576,ROW(),FALSE)</f>
        <v>0</v>
      </c>
      <c r="AC5864" s="580">
        <f>HLOOKUP("*"&amp;'Output annual'!$AC$2&amp;'Output annual'!$AD$2&amp;"*FangerPMV(Hourly)",'Eplus results'!$1:$1048576,ROW(),FALSE)</f>
        <v>0</v>
      </c>
      <c r="AD5864" s="580">
        <f t="shared" si="491"/>
        <v>5</v>
      </c>
      <c r="AE5864" s="580">
        <f t="shared" si="492"/>
        <v>2.5</v>
      </c>
      <c r="AF5864" s="580">
        <f t="shared" si="493"/>
        <v>2.5</v>
      </c>
      <c r="AG5864" s="580">
        <f t="shared" si="494"/>
        <v>0</v>
      </c>
      <c r="AH5864" s="580">
        <f t="shared" si="495"/>
        <v>0</v>
      </c>
    </row>
    <row r="5865" spans="28:34">
      <c r="AB5865" s="580">
        <f>HLOOKUP("*"&amp;'Output annual'!$AC$2&amp;'Output annual'!$AD$2&amp;"*Zone People Number Of Occupants [](Hourly)",'Eplus results'!$1:$1048576,ROW(),FALSE)</f>
        <v>0</v>
      </c>
      <c r="AC5865" s="580">
        <f>HLOOKUP("*"&amp;'Output annual'!$AC$2&amp;'Output annual'!$AD$2&amp;"*FangerPMV(Hourly)",'Eplus results'!$1:$1048576,ROW(),FALSE)</f>
        <v>0</v>
      </c>
      <c r="AD5865" s="580">
        <f t="shared" si="491"/>
        <v>5</v>
      </c>
      <c r="AE5865" s="580">
        <f t="shared" si="492"/>
        <v>2.5</v>
      </c>
      <c r="AF5865" s="580">
        <f t="shared" si="493"/>
        <v>2.5</v>
      </c>
      <c r="AG5865" s="580">
        <f t="shared" si="494"/>
        <v>0</v>
      </c>
      <c r="AH5865" s="580">
        <f t="shared" si="495"/>
        <v>0</v>
      </c>
    </row>
    <row r="5866" spans="28:34">
      <c r="AB5866" s="580">
        <f>HLOOKUP("*"&amp;'Output annual'!$AC$2&amp;'Output annual'!$AD$2&amp;"*Zone People Number Of Occupants [](Hourly)",'Eplus results'!$1:$1048576,ROW(),FALSE)</f>
        <v>0</v>
      </c>
      <c r="AC5866" s="580">
        <f>HLOOKUP("*"&amp;'Output annual'!$AC$2&amp;'Output annual'!$AD$2&amp;"*FangerPMV(Hourly)",'Eplus results'!$1:$1048576,ROW(),FALSE)</f>
        <v>0</v>
      </c>
      <c r="AD5866" s="580">
        <f t="shared" si="491"/>
        <v>5</v>
      </c>
      <c r="AE5866" s="580">
        <f t="shared" si="492"/>
        <v>2.5</v>
      </c>
      <c r="AF5866" s="580">
        <f t="shared" si="493"/>
        <v>2.5</v>
      </c>
      <c r="AG5866" s="580">
        <f t="shared" si="494"/>
        <v>0</v>
      </c>
      <c r="AH5866" s="580">
        <f t="shared" si="495"/>
        <v>0</v>
      </c>
    </row>
    <row r="5867" spans="28:34">
      <c r="AB5867" s="580">
        <f>HLOOKUP("*"&amp;'Output annual'!$AC$2&amp;'Output annual'!$AD$2&amp;"*Zone People Number Of Occupants [](Hourly)",'Eplus results'!$1:$1048576,ROW(),FALSE)</f>
        <v>0</v>
      </c>
      <c r="AC5867" s="580">
        <f>HLOOKUP("*"&amp;'Output annual'!$AC$2&amp;'Output annual'!$AD$2&amp;"*FangerPMV(Hourly)",'Eplus results'!$1:$1048576,ROW(),FALSE)</f>
        <v>0</v>
      </c>
      <c r="AD5867" s="580">
        <f t="shared" si="491"/>
        <v>5</v>
      </c>
      <c r="AE5867" s="580">
        <f t="shared" si="492"/>
        <v>2.5</v>
      </c>
      <c r="AF5867" s="580">
        <f t="shared" si="493"/>
        <v>2.5</v>
      </c>
      <c r="AG5867" s="580">
        <f t="shared" si="494"/>
        <v>0</v>
      </c>
      <c r="AH5867" s="580">
        <f t="shared" si="495"/>
        <v>0</v>
      </c>
    </row>
    <row r="5868" spans="28:34">
      <c r="AB5868" s="580">
        <f>HLOOKUP("*"&amp;'Output annual'!$AC$2&amp;'Output annual'!$AD$2&amp;"*Zone People Number Of Occupants [](Hourly)",'Eplus results'!$1:$1048576,ROW(),FALSE)</f>
        <v>0</v>
      </c>
      <c r="AC5868" s="580">
        <f>HLOOKUP("*"&amp;'Output annual'!$AC$2&amp;'Output annual'!$AD$2&amp;"*FangerPMV(Hourly)",'Eplus results'!$1:$1048576,ROW(),FALSE)</f>
        <v>0</v>
      </c>
      <c r="AD5868" s="580">
        <f t="shared" si="491"/>
        <v>5</v>
      </c>
      <c r="AE5868" s="580">
        <f t="shared" si="492"/>
        <v>2.5</v>
      </c>
      <c r="AF5868" s="580">
        <f t="shared" si="493"/>
        <v>2.5</v>
      </c>
      <c r="AG5868" s="580">
        <f t="shared" si="494"/>
        <v>0</v>
      </c>
      <c r="AH5868" s="580">
        <f t="shared" si="495"/>
        <v>0</v>
      </c>
    </row>
    <row r="5869" spans="28:34">
      <c r="AB5869" s="580">
        <f>HLOOKUP("*"&amp;'Output annual'!$AC$2&amp;'Output annual'!$AD$2&amp;"*Zone People Number Of Occupants [](Hourly)",'Eplus results'!$1:$1048576,ROW(),FALSE)</f>
        <v>0</v>
      </c>
      <c r="AC5869" s="580">
        <f>HLOOKUP("*"&amp;'Output annual'!$AC$2&amp;'Output annual'!$AD$2&amp;"*FangerPMV(Hourly)",'Eplus results'!$1:$1048576,ROW(),FALSE)</f>
        <v>0</v>
      </c>
      <c r="AD5869" s="580">
        <f t="shared" si="491"/>
        <v>5</v>
      </c>
      <c r="AE5869" s="580">
        <f t="shared" si="492"/>
        <v>2.5</v>
      </c>
      <c r="AF5869" s="580">
        <f t="shared" si="493"/>
        <v>2.5</v>
      </c>
      <c r="AG5869" s="580">
        <f t="shared" si="494"/>
        <v>0</v>
      </c>
      <c r="AH5869" s="580">
        <f t="shared" si="495"/>
        <v>0</v>
      </c>
    </row>
    <row r="5870" spans="28:34">
      <c r="AB5870" s="580">
        <f>HLOOKUP("*"&amp;'Output annual'!$AC$2&amp;'Output annual'!$AD$2&amp;"*Zone People Number Of Occupants [](Hourly)",'Eplus results'!$1:$1048576,ROW(),FALSE)</f>
        <v>0</v>
      </c>
      <c r="AC5870" s="580">
        <f>HLOOKUP("*"&amp;'Output annual'!$AC$2&amp;'Output annual'!$AD$2&amp;"*FangerPMV(Hourly)",'Eplus results'!$1:$1048576,ROW(),FALSE)</f>
        <v>0</v>
      </c>
      <c r="AD5870" s="580">
        <f t="shared" si="491"/>
        <v>5</v>
      </c>
      <c r="AE5870" s="580">
        <f t="shared" si="492"/>
        <v>2.5</v>
      </c>
      <c r="AF5870" s="580">
        <f t="shared" si="493"/>
        <v>2.5</v>
      </c>
      <c r="AG5870" s="580">
        <f t="shared" si="494"/>
        <v>0</v>
      </c>
      <c r="AH5870" s="580">
        <f t="shared" si="495"/>
        <v>0</v>
      </c>
    </row>
    <row r="5871" spans="28:34">
      <c r="AB5871" s="580">
        <f>HLOOKUP("*"&amp;'Output annual'!$AC$2&amp;'Output annual'!$AD$2&amp;"*Zone People Number Of Occupants [](Hourly)",'Eplus results'!$1:$1048576,ROW(),FALSE)</f>
        <v>0</v>
      </c>
      <c r="AC5871" s="580">
        <f>HLOOKUP("*"&amp;'Output annual'!$AC$2&amp;'Output annual'!$AD$2&amp;"*FangerPMV(Hourly)",'Eplus results'!$1:$1048576,ROW(),FALSE)</f>
        <v>0</v>
      </c>
      <c r="AD5871" s="580">
        <f t="shared" si="491"/>
        <v>5</v>
      </c>
      <c r="AE5871" s="580">
        <f t="shared" si="492"/>
        <v>2.5</v>
      </c>
      <c r="AF5871" s="580">
        <f t="shared" si="493"/>
        <v>2.5</v>
      </c>
      <c r="AG5871" s="580">
        <f t="shared" si="494"/>
        <v>0</v>
      </c>
      <c r="AH5871" s="580">
        <f t="shared" si="495"/>
        <v>0</v>
      </c>
    </row>
    <row r="5872" spans="28:34">
      <c r="AB5872" s="580">
        <f>HLOOKUP("*"&amp;'Output annual'!$AC$2&amp;'Output annual'!$AD$2&amp;"*Zone People Number Of Occupants [](Hourly)",'Eplus results'!$1:$1048576,ROW(),FALSE)</f>
        <v>0</v>
      </c>
      <c r="AC5872" s="580">
        <f>HLOOKUP("*"&amp;'Output annual'!$AC$2&amp;'Output annual'!$AD$2&amp;"*FangerPMV(Hourly)",'Eplus results'!$1:$1048576,ROW(),FALSE)</f>
        <v>0</v>
      </c>
      <c r="AD5872" s="580">
        <f t="shared" si="491"/>
        <v>5</v>
      </c>
      <c r="AE5872" s="580">
        <f t="shared" si="492"/>
        <v>2.5</v>
      </c>
      <c r="AF5872" s="580">
        <f t="shared" si="493"/>
        <v>2.5</v>
      </c>
      <c r="AG5872" s="580">
        <f t="shared" si="494"/>
        <v>0</v>
      </c>
      <c r="AH5872" s="580">
        <f t="shared" si="495"/>
        <v>0</v>
      </c>
    </row>
    <row r="5873" spans="28:34">
      <c r="AB5873" s="580">
        <f>HLOOKUP("*"&amp;'Output annual'!$AC$2&amp;'Output annual'!$AD$2&amp;"*Zone People Number Of Occupants [](Hourly)",'Eplus results'!$1:$1048576,ROW(),FALSE)</f>
        <v>0</v>
      </c>
      <c r="AC5873" s="580">
        <f>HLOOKUP("*"&amp;'Output annual'!$AC$2&amp;'Output annual'!$AD$2&amp;"*FangerPMV(Hourly)",'Eplus results'!$1:$1048576,ROW(),FALSE)</f>
        <v>0</v>
      </c>
      <c r="AD5873" s="580">
        <f t="shared" si="491"/>
        <v>5</v>
      </c>
      <c r="AE5873" s="580">
        <f t="shared" si="492"/>
        <v>2.5</v>
      </c>
      <c r="AF5873" s="580">
        <f t="shared" si="493"/>
        <v>2.5</v>
      </c>
      <c r="AG5873" s="580">
        <f t="shared" si="494"/>
        <v>0</v>
      </c>
      <c r="AH5873" s="580">
        <f t="shared" si="495"/>
        <v>0</v>
      </c>
    </row>
    <row r="5874" spans="28:34">
      <c r="AB5874" s="580">
        <f>HLOOKUP("*"&amp;'Output annual'!$AC$2&amp;'Output annual'!$AD$2&amp;"*Zone People Number Of Occupants [](Hourly)",'Eplus results'!$1:$1048576,ROW(),FALSE)</f>
        <v>0</v>
      </c>
      <c r="AC5874" s="580">
        <f>HLOOKUP("*"&amp;'Output annual'!$AC$2&amp;'Output annual'!$AD$2&amp;"*FangerPMV(Hourly)",'Eplus results'!$1:$1048576,ROW(),FALSE)</f>
        <v>0</v>
      </c>
      <c r="AD5874" s="580">
        <f t="shared" si="491"/>
        <v>5</v>
      </c>
      <c r="AE5874" s="580">
        <f t="shared" si="492"/>
        <v>2.5</v>
      </c>
      <c r="AF5874" s="580">
        <f t="shared" si="493"/>
        <v>2.5</v>
      </c>
      <c r="AG5874" s="580">
        <f t="shared" si="494"/>
        <v>0</v>
      </c>
      <c r="AH5874" s="580">
        <f t="shared" si="495"/>
        <v>0</v>
      </c>
    </row>
    <row r="5875" spans="28:34">
      <c r="AB5875" s="580">
        <f>HLOOKUP("*"&amp;'Output annual'!$AC$2&amp;'Output annual'!$AD$2&amp;"*Zone People Number Of Occupants [](Hourly)",'Eplus results'!$1:$1048576,ROW(),FALSE)</f>
        <v>0</v>
      </c>
      <c r="AC5875" s="580">
        <f>HLOOKUP("*"&amp;'Output annual'!$AC$2&amp;'Output annual'!$AD$2&amp;"*FangerPMV(Hourly)",'Eplus results'!$1:$1048576,ROW(),FALSE)</f>
        <v>0</v>
      </c>
      <c r="AD5875" s="580">
        <f t="shared" si="491"/>
        <v>5</v>
      </c>
      <c r="AE5875" s="580">
        <f t="shared" si="492"/>
        <v>2.5</v>
      </c>
      <c r="AF5875" s="580">
        <f t="shared" si="493"/>
        <v>2.5</v>
      </c>
      <c r="AG5875" s="580">
        <f t="shared" si="494"/>
        <v>0</v>
      </c>
      <c r="AH5875" s="580">
        <f t="shared" si="495"/>
        <v>0</v>
      </c>
    </row>
    <row r="5876" spans="28:34">
      <c r="AB5876" s="580">
        <f>HLOOKUP("*"&amp;'Output annual'!$AC$2&amp;'Output annual'!$AD$2&amp;"*Zone People Number Of Occupants [](Hourly)",'Eplus results'!$1:$1048576,ROW(),FALSE)</f>
        <v>0</v>
      </c>
      <c r="AC5876" s="580">
        <f>HLOOKUP("*"&amp;'Output annual'!$AC$2&amp;'Output annual'!$AD$2&amp;"*FangerPMV(Hourly)",'Eplus results'!$1:$1048576,ROW(),FALSE)</f>
        <v>0</v>
      </c>
      <c r="AD5876" s="580">
        <f t="shared" si="491"/>
        <v>5</v>
      </c>
      <c r="AE5876" s="580">
        <f t="shared" si="492"/>
        <v>2.5</v>
      </c>
      <c r="AF5876" s="580">
        <f t="shared" si="493"/>
        <v>2.5</v>
      </c>
      <c r="AG5876" s="580">
        <f t="shared" si="494"/>
        <v>0</v>
      </c>
      <c r="AH5876" s="580">
        <f t="shared" si="495"/>
        <v>0</v>
      </c>
    </row>
    <row r="5877" spans="28:34">
      <c r="AB5877" s="580">
        <f>HLOOKUP("*"&amp;'Output annual'!$AC$2&amp;'Output annual'!$AD$2&amp;"*Zone People Number Of Occupants [](Hourly)",'Eplus results'!$1:$1048576,ROW(),FALSE)</f>
        <v>0</v>
      </c>
      <c r="AC5877" s="580">
        <f>HLOOKUP("*"&amp;'Output annual'!$AC$2&amp;'Output annual'!$AD$2&amp;"*FangerPMV(Hourly)",'Eplus results'!$1:$1048576,ROW(),FALSE)</f>
        <v>0</v>
      </c>
      <c r="AD5877" s="580">
        <f t="shared" si="491"/>
        <v>5</v>
      </c>
      <c r="AE5877" s="580">
        <f t="shared" si="492"/>
        <v>2.5</v>
      </c>
      <c r="AF5877" s="580">
        <f t="shared" si="493"/>
        <v>2.5</v>
      </c>
      <c r="AG5877" s="580">
        <f t="shared" si="494"/>
        <v>0</v>
      </c>
      <c r="AH5877" s="580">
        <f t="shared" si="495"/>
        <v>0</v>
      </c>
    </row>
    <row r="5878" spans="28:34">
      <c r="AB5878" s="580">
        <f>HLOOKUP("*"&amp;'Output annual'!$AC$2&amp;'Output annual'!$AD$2&amp;"*Zone People Number Of Occupants [](Hourly)",'Eplus results'!$1:$1048576,ROW(),FALSE)</f>
        <v>0</v>
      </c>
      <c r="AC5878" s="580">
        <f>HLOOKUP("*"&amp;'Output annual'!$AC$2&amp;'Output annual'!$AD$2&amp;"*FangerPMV(Hourly)",'Eplus results'!$1:$1048576,ROW(),FALSE)</f>
        <v>0</v>
      </c>
      <c r="AD5878" s="580">
        <f t="shared" si="491"/>
        <v>5</v>
      </c>
      <c r="AE5878" s="580">
        <f t="shared" si="492"/>
        <v>2.5</v>
      </c>
      <c r="AF5878" s="580">
        <f t="shared" si="493"/>
        <v>2.5</v>
      </c>
      <c r="AG5878" s="580">
        <f t="shared" si="494"/>
        <v>0</v>
      </c>
      <c r="AH5878" s="580">
        <f t="shared" si="495"/>
        <v>0</v>
      </c>
    </row>
    <row r="5879" spans="28:34">
      <c r="AB5879" s="580">
        <f>HLOOKUP("*"&amp;'Output annual'!$AC$2&amp;'Output annual'!$AD$2&amp;"*Zone People Number Of Occupants [](Hourly)",'Eplus results'!$1:$1048576,ROW(),FALSE)</f>
        <v>0</v>
      </c>
      <c r="AC5879" s="580">
        <f>HLOOKUP("*"&amp;'Output annual'!$AC$2&amp;'Output annual'!$AD$2&amp;"*FangerPMV(Hourly)",'Eplus results'!$1:$1048576,ROW(),FALSE)</f>
        <v>0</v>
      </c>
      <c r="AD5879" s="580">
        <f t="shared" si="491"/>
        <v>5</v>
      </c>
      <c r="AE5879" s="580">
        <f t="shared" si="492"/>
        <v>2.5</v>
      </c>
      <c r="AF5879" s="580">
        <f t="shared" si="493"/>
        <v>2.5</v>
      </c>
      <c r="AG5879" s="580">
        <f t="shared" si="494"/>
        <v>0</v>
      </c>
      <c r="AH5879" s="580">
        <f t="shared" si="495"/>
        <v>0</v>
      </c>
    </row>
    <row r="5880" spans="28:34">
      <c r="AB5880" s="580">
        <f>HLOOKUP("*"&amp;'Output annual'!$AC$2&amp;'Output annual'!$AD$2&amp;"*Zone People Number Of Occupants [](Hourly)",'Eplus results'!$1:$1048576,ROW(),FALSE)</f>
        <v>0</v>
      </c>
      <c r="AC5880" s="580">
        <f>HLOOKUP("*"&amp;'Output annual'!$AC$2&amp;'Output annual'!$AD$2&amp;"*FangerPMV(Hourly)",'Eplus results'!$1:$1048576,ROW(),FALSE)</f>
        <v>0</v>
      </c>
      <c r="AD5880" s="580">
        <f t="shared" si="491"/>
        <v>5</v>
      </c>
      <c r="AE5880" s="580">
        <f t="shared" si="492"/>
        <v>2.5</v>
      </c>
      <c r="AF5880" s="580">
        <f t="shared" si="493"/>
        <v>2.5</v>
      </c>
      <c r="AG5880" s="580">
        <f t="shared" si="494"/>
        <v>0</v>
      </c>
      <c r="AH5880" s="580">
        <f t="shared" si="495"/>
        <v>0</v>
      </c>
    </row>
    <row r="5881" spans="28:34">
      <c r="AB5881" s="580">
        <f>HLOOKUP("*"&amp;'Output annual'!$AC$2&amp;'Output annual'!$AD$2&amp;"*Zone People Number Of Occupants [](Hourly)",'Eplus results'!$1:$1048576,ROW(),FALSE)</f>
        <v>0</v>
      </c>
      <c r="AC5881" s="580">
        <f>HLOOKUP("*"&amp;'Output annual'!$AC$2&amp;'Output annual'!$AD$2&amp;"*FangerPMV(Hourly)",'Eplus results'!$1:$1048576,ROW(),FALSE)</f>
        <v>0</v>
      </c>
      <c r="AD5881" s="580">
        <f t="shared" si="491"/>
        <v>5</v>
      </c>
      <c r="AE5881" s="580">
        <f t="shared" si="492"/>
        <v>2.5</v>
      </c>
      <c r="AF5881" s="580">
        <f t="shared" si="493"/>
        <v>2.5</v>
      </c>
      <c r="AG5881" s="580">
        <f t="shared" si="494"/>
        <v>0</v>
      </c>
      <c r="AH5881" s="580">
        <f t="shared" si="495"/>
        <v>0</v>
      </c>
    </row>
    <row r="5882" spans="28:34">
      <c r="AB5882" s="580">
        <f>HLOOKUP("*"&amp;'Output annual'!$AC$2&amp;'Output annual'!$AD$2&amp;"*Zone People Number Of Occupants [](Hourly)",'Eplus results'!$1:$1048576,ROW(),FALSE)</f>
        <v>0</v>
      </c>
      <c r="AC5882" s="580">
        <f>HLOOKUP("*"&amp;'Output annual'!$AC$2&amp;'Output annual'!$AD$2&amp;"*FangerPMV(Hourly)",'Eplus results'!$1:$1048576,ROW(),FALSE)</f>
        <v>0</v>
      </c>
      <c r="AD5882" s="580">
        <f t="shared" si="491"/>
        <v>5</v>
      </c>
      <c r="AE5882" s="580">
        <f t="shared" si="492"/>
        <v>2.5</v>
      </c>
      <c r="AF5882" s="580">
        <f t="shared" si="493"/>
        <v>2.5</v>
      </c>
      <c r="AG5882" s="580">
        <f t="shared" si="494"/>
        <v>0</v>
      </c>
      <c r="AH5882" s="580">
        <f t="shared" si="495"/>
        <v>0</v>
      </c>
    </row>
    <row r="5883" spans="28:34">
      <c r="AB5883" s="580">
        <f>HLOOKUP("*"&amp;'Output annual'!$AC$2&amp;'Output annual'!$AD$2&amp;"*Zone People Number Of Occupants [](Hourly)",'Eplus results'!$1:$1048576,ROW(),FALSE)</f>
        <v>0</v>
      </c>
      <c r="AC5883" s="580">
        <f>HLOOKUP("*"&amp;'Output annual'!$AC$2&amp;'Output annual'!$AD$2&amp;"*FangerPMV(Hourly)",'Eplus results'!$1:$1048576,ROW(),FALSE)</f>
        <v>0</v>
      </c>
      <c r="AD5883" s="580">
        <f t="shared" si="491"/>
        <v>5</v>
      </c>
      <c r="AE5883" s="580">
        <f t="shared" si="492"/>
        <v>2.5</v>
      </c>
      <c r="AF5883" s="580">
        <f t="shared" si="493"/>
        <v>2.5</v>
      </c>
      <c r="AG5883" s="580">
        <f t="shared" si="494"/>
        <v>0</v>
      </c>
      <c r="AH5883" s="580">
        <f t="shared" si="495"/>
        <v>0</v>
      </c>
    </row>
    <row r="5884" spans="28:34">
      <c r="AB5884" s="580">
        <f>HLOOKUP("*"&amp;'Output annual'!$AC$2&amp;'Output annual'!$AD$2&amp;"*Zone People Number Of Occupants [](Hourly)",'Eplus results'!$1:$1048576,ROW(),FALSE)</f>
        <v>0</v>
      </c>
      <c r="AC5884" s="580">
        <f>HLOOKUP("*"&amp;'Output annual'!$AC$2&amp;'Output annual'!$AD$2&amp;"*FangerPMV(Hourly)",'Eplus results'!$1:$1048576,ROW(),FALSE)</f>
        <v>0</v>
      </c>
      <c r="AD5884" s="580">
        <f t="shared" si="491"/>
        <v>5</v>
      </c>
      <c r="AE5884" s="580">
        <f t="shared" si="492"/>
        <v>2.5</v>
      </c>
      <c r="AF5884" s="580">
        <f t="shared" si="493"/>
        <v>2.5</v>
      </c>
      <c r="AG5884" s="580">
        <f t="shared" si="494"/>
        <v>0</v>
      </c>
      <c r="AH5884" s="580">
        <f t="shared" si="495"/>
        <v>0</v>
      </c>
    </row>
    <row r="5885" spans="28:34">
      <c r="AB5885" s="580">
        <f>HLOOKUP("*"&amp;'Output annual'!$AC$2&amp;'Output annual'!$AD$2&amp;"*Zone People Number Of Occupants [](Hourly)",'Eplus results'!$1:$1048576,ROW(),FALSE)</f>
        <v>0</v>
      </c>
      <c r="AC5885" s="580">
        <f>HLOOKUP("*"&amp;'Output annual'!$AC$2&amp;'Output annual'!$AD$2&amp;"*FangerPMV(Hourly)",'Eplus results'!$1:$1048576,ROW(),FALSE)</f>
        <v>0</v>
      </c>
      <c r="AD5885" s="580">
        <f t="shared" si="491"/>
        <v>5</v>
      </c>
      <c r="AE5885" s="580">
        <f t="shared" si="492"/>
        <v>2.5</v>
      </c>
      <c r="AF5885" s="580">
        <f t="shared" si="493"/>
        <v>2.5</v>
      </c>
      <c r="AG5885" s="580">
        <f t="shared" si="494"/>
        <v>0</v>
      </c>
      <c r="AH5885" s="580">
        <f t="shared" si="495"/>
        <v>0</v>
      </c>
    </row>
    <row r="5886" spans="28:34">
      <c r="AB5886" s="580">
        <f>HLOOKUP("*"&amp;'Output annual'!$AC$2&amp;'Output annual'!$AD$2&amp;"*Zone People Number Of Occupants [](Hourly)",'Eplus results'!$1:$1048576,ROW(),FALSE)</f>
        <v>0</v>
      </c>
      <c r="AC5886" s="580">
        <f>HLOOKUP("*"&amp;'Output annual'!$AC$2&amp;'Output annual'!$AD$2&amp;"*FangerPMV(Hourly)",'Eplus results'!$1:$1048576,ROW(),FALSE)</f>
        <v>0</v>
      </c>
      <c r="AD5886" s="580">
        <f t="shared" si="491"/>
        <v>5</v>
      </c>
      <c r="AE5886" s="580">
        <f t="shared" si="492"/>
        <v>2.5</v>
      </c>
      <c r="AF5886" s="580">
        <f t="shared" si="493"/>
        <v>2.5</v>
      </c>
      <c r="AG5886" s="580">
        <f t="shared" si="494"/>
        <v>0</v>
      </c>
      <c r="AH5886" s="580">
        <f t="shared" si="495"/>
        <v>0</v>
      </c>
    </row>
    <row r="5887" spans="28:34">
      <c r="AB5887" s="580">
        <f>HLOOKUP("*"&amp;'Output annual'!$AC$2&amp;'Output annual'!$AD$2&amp;"*Zone People Number Of Occupants [](Hourly)",'Eplus results'!$1:$1048576,ROW(),FALSE)</f>
        <v>0</v>
      </c>
      <c r="AC5887" s="580">
        <f>HLOOKUP("*"&amp;'Output annual'!$AC$2&amp;'Output annual'!$AD$2&amp;"*FangerPMV(Hourly)",'Eplus results'!$1:$1048576,ROW(),FALSE)</f>
        <v>0</v>
      </c>
      <c r="AD5887" s="580">
        <f t="shared" si="491"/>
        <v>5</v>
      </c>
      <c r="AE5887" s="580">
        <f t="shared" si="492"/>
        <v>2.5</v>
      </c>
      <c r="AF5887" s="580">
        <f t="shared" si="493"/>
        <v>2.5</v>
      </c>
      <c r="AG5887" s="580">
        <f t="shared" si="494"/>
        <v>0</v>
      </c>
      <c r="AH5887" s="580">
        <f t="shared" si="495"/>
        <v>0</v>
      </c>
    </row>
    <row r="5888" spans="28:34">
      <c r="AB5888" s="580">
        <f>HLOOKUP("*"&amp;'Output annual'!$AC$2&amp;'Output annual'!$AD$2&amp;"*Zone People Number Of Occupants [](Hourly)",'Eplus results'!$1:$1048576,ROW(),FALSE)</f>
        <v>0</v>
      </c>
      <c r="AC5888" s="580">
        <f>HLOOKUP("*"&amp;'Output annual'!$AC$2&amp;'Output annual'!$AD$2&amp;"*FangerPMV(Hourly)",'Eplus results'!$1:$1048576,ROW(),FALSE)</f>
        <v>0</v>
      </c>
      <c r="AD5888" s="580">
        <f t="shared" si="491"/>
        <v>5</v>
      </c>
      <c r="AE5888" s="580">
        <f t="shared" si="492"/>
        <v>2.5</v>
      </c>
      <c r="AF5888" s="580">
        <f t="shared" si="493"/>
        <v>2.5</v>
      </c>
      <c r="AG5888" s="580">
        <f t="shared" si="494"/>
        <v>0</v>
      </c>
      <c r="AH5888" s="580">
        <f t="shared" si="495"/>
        <v>0</v>
      </c>
    </row>
    <row r="5889" spans="28:34">
      <c r="AB5889" s="580">
        <f>HLOOKUP("*"&amp;'Output annual'!$AC$2&amp;'Output annual'!$AD$2&amp;"*Zone People Number Of Occupants [](Hourly)",'Eplus results'!$1:$1048576,ROW(),FALSE)</f>
        <v>0</v>
      </c>
      <c r="AC5889" s="580">
        <f>HLOOKUP("*"&amp;'Output annual'!$AC$2&amp;'Output annual'!$AD$2&amp;"*FangerPMV(Hourly)",'Eplus results'!$1:$1048576,ROW(),FALSE)</f>
        <v>0</v>
      </c>
      <c r="AD5889" s="580">
        <f t="shared" si="491"/>
        <v>5</v>
      </c>
      <c r="AE5889" s="580">
        <f t="shared" si="492"/>
        <v>2.5</v>
      </c>
      <c r="AF5889" s="580">
        <f t="shared" si="493"/>
        <v>2.5</v>
      </c>
      <c r="AG5889" s="580">
        <f t="shared" si="494"/>
        <v>0</v>
      </c>
      <c r="AH5889" s="580">
        <f t="shared" si="495"/>
        <v>0</v>
      </c>
    </row>
    <row r="5890" spans="28:34">
      <c r="AB5890" s="580">
        <f>HLOOKUP("*"&amp;'Output annual'!$AC$2&amp;'Output annual'!$AD$2&amp;"*Zone People Number Of Occupants [](Hourly)",'Eplus results'!$1:$1048576,ROW(),FALSE)</f>
        <v>0</v>
      </c>
      <c r="AC5890" s="580">
        <f>HLOOKUP("*"&amp;'Output annual'!$AC$2&amp;'Output annual'!$AD$2&amp;"*FangerPMV(Hourly)",'Eplus results'!$1:$1048576,ROW(),FALSE)</f>
        <v>0</v>
      </c>
      <c r="AD5890" s="580">
        <f t="shared" si="491"/>
        <v>5</v>
      </c>
      <c r="AE5890" s="580">
        <f t="shared" si="492"/>
        <v>2.5</v>
      </c>
      <c r="AF5890" s="580">
        <f t="shared" si="493"/>
        <v>2.5</v>
      </c>
      <c r="AG5890" s="580">
        <f t="shared" si="494"/>
        <v>0</v>
      </c>
      <c r="AH5890" s="580">
        <f t="shared" si="495"/>
        <v>0</v>
      </c>
    </row>
    <row r="5891" spans="28:34">
      <c r="AB5891" s="580">
        <f>HLOOKUP("*"&amp;'Output annual'!$AC$2&amp;'Output annual'!$AD$2&amp;"*Zone People Number Of Occupants [](Hourly)",'Eplus results'!$1:$1048576,ROW(),FALSE)</f>
        <v>0</v>
      </c>
      <c r="AC5891" s="580">
        <f>HLOOKUP("*"&amp;'Output annual'!$AC$2&amp;'Output annual'!$AD$2&amp;"*FangerPMV(Hourly)",'Eplus results'!$1:$1048576,ROW(),FALSE)</f>
        <v>0</v>
      </c>
      <c r="AD5891" s="580">
        <f t="shared" ref="AD5891:AD5954" si="496">100-95*EXP(-0.03353*AC5891^4-0.2179*AC5891^2)</f>
        <v>5</v>
      </c>
      <c r="AE5891" s="580">
        <f t="shared" ref="AE5891:AE5954" si="497">AD5891*(1/(1+EXP(-6.3*$AC5891)))</f>
        <v>2.5</v>
      </c>
      <c r="AF5891" s="580">
        <f t="shared" ref="AF5891:AF5954" si="498">(AD5891-AE5891)</f>
        <v>2.5</v>
      </c>
      <c r="AG5891" s="580">
        <f t="shared" ref="AG5891:AG5954" si="499">AE5891*AB5891</f>
        <v>0</v>
      </c>
      <c r="AH5891" s="580">
        <f t="shared" ref="AH5891:AH5954" si="500">AF5891*AB5891</f>
        <v>0</v>
      </c>
    </row>
    <row r="5892" spans="28:34">
      <c r="AB5892" s="580">
        <f>HLOOKUP("*"&amp;'Output annual'!$AC$2&amp;'Output annual'!$AD$2&amp;"*Zone People Number Of Occupants [](Hourly)",'Eplus results'!$1:$1048576,ROW(),FALSE)</f>
        <v>0</v>
      </c>
      <c r="AC5892" s="580">
        <f>HLOOKUP("*"&amp;'Output annual'!$AC$2&amp;'Output annual'!$AD$2&amp;"*FangerPMV(Hourly)",'Eplus results'!$1:$1048576,ROW(),FALSE)</f>
        <v>0</v>
      </c>
      <c r="AD5892" s="580">
        <f t="shared" si="496"/>
        <v>5</v>
      </c>
      <c r="AE5892" s="580">
        <f t="shared" si="497"/>
        <v>2.5</v>
      </c>
      <c r="AF5892" s="580">
        <f t="shared" si="498"/>
        <v>2.5</v>
      </c>
      <c r="AG5892" s="580">
        <f t="shared" si="499"/>
        <v>0</v>
      </c>
      <c r="AH5892" s="580">
        <f t="shared" si="500"/>
        <v>0</v>
      </c>
    </row>
    <row r="5893" spans="28:34">
      <c r="AB5893" s="580">
        <f>HLOOKUP("*"&amp;'Output annual'!$AC$2&amp;'Output annual'!$AD$2&amp;"*Zone People Number Of Occupants [](Hourly)",'Eplus results'!$1:$1048576,ROW(),FALSE)</f>
        <v>0</v>
      </c>
      <c r="AC5893" s="580">
        <f>HLOOKUP("*"&amp;'Output annual'!$AC$2&amp;'Output annual'!$AD$2&amp;"*FangerPMV(Hourly)",'Eplus results'!$1:$1048576,ROW(),FALSE)</f>
        <v>0</v>
      </c>
      <c r="AD5893" s="580">
        <f t="shared" si="496"/>
        <v>5</v>
      </c>
      <c r="AE5893" s="580">
        <f t="shared" si="497"/>
        <v>2.5</v>
      </c>
      <c r="AF5893" s="580">
        <f t="shared" si="498"/>
        <v>2.5</v>
      </c>
      <c r="AG5893" s="580">
        <f t="shared" si="499"/>
        <v>0</v>
      </c>
      <c r="AH5893" s="580">
        <f t="shared" si="500"/>
        <v>0</v>
      </c>
    </row>
    <row r="5894" spans="28:34">
      <c r="AB5894" s="580">
        <f>HLOOKUP("*"&amp;'Output annual'!$AC$2&amp;'Output annual'!$AD$2&amp;"*Zone People Number Of Occupants [](Hourly)",'Eplus results'!$1:$1048576,ROW(),FALSE)</f>
        <v>0</v>
      </c>
      <c r="AC5894" s="580">
        <f>HLOOKUP("*"&amp;'Output annual'!$AC$2&amp;'Output annual'!$AD$2&amp;"*FangerPMV(Hourly)",'Eplus results'!$1:$1048576,ROW(),FALSE)</f>
        <v>0</v>
      </c>
      <c r="AD5894" s="580">
        <f t="shared" si="496"/>
        <v>5</v>
      </c>
      <c r="AE5894" s="580">
        <f t="shared" si="497"/>
        <v>2.5</v>
      </c>
      <c r="AF5894" s="580">
        <f t="shared" si="498"/>
        <v>2.5</v>
      </c>
      <c r="AG5894" s="580">
        <f t="shared" si="499"/>
        <v>0</v>
      </c>
      <c r="AH5894" s="580">
        <f t="shared" si="500"/>
        <v>0</v>
      </c>
    </row>
    <row r="5895" spans="28:34">
      <c r="AB5895" s="580">
        <f>HLOOKUP("*"&amp;'Output annual'!$AC$2&amp;'Output annual'!$AD$2&amp;"*Zone People Number Of Occupants [](Hourly)",'Eplus results'!$1:$1048576,ROW(),FALSE)</f>
        <v>0</v>
      </c>
      <c r="AC5895" s="580">
        <f>HLOOKUP("*"&amp;'Output annual'!$AC$2&amp;'Output annual'!$AD$2&amp;"*FangerPMV(Hourly)",'Eplus results'!$1:$1048576,ROW(),FALSE)</f>
        <v>0</v>
      </c>
      <c r="AD5895" s="580">
        <f t="shared" si="496"/>
        <v>5</v>
      </c>
      <c r="AE5895" s="580">
        <f t="shared" si="497"/>
        <v>2.5</v>
      </c>
      <c r="AF5895" s="580">
        <f t="shared" si="498"/>
        <v>2.5</v>
      </c>
      <c r="AG5895" s="580">
        <f t="shared" si="499"/>
        <v>0</v>
      </c>
      <c r="AH5895" s="580">
        <f t="shared" si="500"/>
        <v>0</v>
      </c>
    </row>
    <row r="5896" spans="28:34">
      <c r="AB5896" s="580">
        <f>HLOOKUP("*"&amp;'Output annual'!$AC$2&amp;'Output annual'!$AD$2&amp;"*Zone People Number Of Occupants [](Hourly)",'Eplus results'!$1:$1048576,ROW(),FALSE)</f>
        <v>0</v>
      </c>
      <c r="AC5896" s="580">
        <f>HLOOKUP("*"&amp;'Output annual'!$AC$2&amp;'Output annual'!$AD$2&amp;"*FangerPMV(Hourly)",'Eplus results'!$1:$1048576,ROW(),FALSE)</f>
        <v>0</v>
      </c>
      <c r="AD5896" s="580">
        <f t="shared" si="496"/>
        <v>5</v>
      </c>
      <c r="AE5896" s="580">
        <f t="shared" si="497"/>
        <v>2.5</v>
      </c>
      <c r="AF5896" s="580">
        <f t="shared" si="498"/>
        <v>2.5</v>
      </c>
      <c r="AG5896" s="580">
        <f t="shared" si="499"/>
        <v>0</v>
      </c>
      <c r="AH5896" s="580">
        <f t="shared" si="500"/>
        <v>0</v>
      </c>
    </row>
    <row r="5897" spans="28:34">
      <c r="AB5897" s="580">
        <f>HLOOKUP("*"&amp;'Output annual'!$AC$2&amp;'Output annual'!$AD$2&amp;"*Zone People Number Of Occupants [](Hourly)",'Eplus results'!$1:$1048576,ROW(),FALSE)</f>
        <v>0</v>
      </c>
      <c r="AC5897" s="580">
        <f>HLOOKUP("*"&amp;'Output annual'!$AC$2&amp;'Output annual'!$AD$2&amp;"*FangerPMV(Hourly)",'Eplus results'!$1:$1048576,ROW(),FALSE)</f>
        <v>0</v>
      </c>
      <c r="AD5897" s="580">
        <f t="shared" si="496"/>
        <v>5</v>
      </c>
      <c r="AE5897" s="580">
        <f t="shared" si="497"/>
        <v>2.5</v>
      </c>
      <c r="AF5897" s="580">
        <f t="shared" si="498"/>
        <v>2.5</v>
      </c>
      <c r="AG5897" s="580">
        <f t="shared" si="499"/>
        <v>0</v>
      </c>
      <c r="AH5897" s="580">
        <f t="shared" si="500"/>
        <v>0</v>
      </c>
    </row>
    <row r="5898" spans="28:34">
      <c r="AB5898" s="580">
        <f>HLOOKUP("*"&amp;'Output annual'!$AC$2&amp;'Output annual'!$AD$2&amp;"*Zone People Number Of Occupants [](Hourly)",'Eplus results'!$1:$1048576,ROW(),FALSE)</f>
        <v>0</v>
      </c>
      <c r="AC5898" s="580">
        <f>HLOOKUP("*"&amp;'Output annual'!$AC$2&amp;'Output annual'!$AD$2&amp;"*FangerPMV(Hourly)",'Eplus results'!$1:$1048576,ROW(),FALSE)</f>
        <v>0</v>
      </c>
      <c r="AD5898" s="580">
        <f t="shared" si="496"/>
        <v>5</v>
      </c>
      <c r="AE5898" s="580">
        <f t="shared" si="497"/>
        <v>2.5</v>
      </c>
      <c r="AF5898" s="580">
        <f t="shared" si="498"/>
        <v>2.5</v>
      </c>
      <c r="AG5898" s="580">
        <f t="shared" si="499"/>
        <v>0</v>
      </c>
      <c r="AH5898" s="580">
        <f t="shared" si="500"/>
        <v>0</v>
      </c>
    </row>
    <row r="5899" spans="28:34">
      <c r="AB5899" s="580">
        <f>HLOOKUP("*"&amp;'Output annual'!$AC$2&amp;'Output annual'!$AD$2&amp;"*Zone People Number Of Occupants [](Hourly)",'Eplus results'!$1:$1048576,ROW(),FALSE)</f>
        <v>0</v>
      </c>
      <c r="AC5899" s="580">
        <f>HLOOKUP("*"&amp;'Output annual'!$AC$2&amp;'Output annual'!$AD$2&amp;"*FangerPMV(Hourly)",'Eplus results'!$1:$1048576,ROW(),FALSE)</f>
        <v>0</v>
      </c>
      <c r="AD5899" s="580">
        <f t="shared" si="496"/>
        <v>5</v>
      </c>
      <c r="AE5899" s="580">
        <f t="shared" si="497"/>
        <v>2.5</v>
      </c>
      <c r="AF5899" s="580">
        <f t="shared" si="498"/>
        <v>2.5</v>
      </c>
      <c r="AG5899" s="580">
        <f t="shared" si="499"/>
        <v>0</v>
      </c>
      <c r="AH5899" s="580">
        <f t="shared" si="500"/>
        <v>0</v>
      </c>
    </row>
    <row r="5900" spans="28:34">
      <c r="AB5900" s="580">
        <f>HLOOKUP("*"&amp;'Output annual'!$AC$2&amp;'Output annual'!$AD$2&amp;"*Zone People Number Of Occupants [](Hourly)",'Eplus results'!$1:$1048576,ROW(),FALSE)</f>
        <v>0</v>
      </c>
      <c r="AC5900" s="580">
        <f>HLOOKUP("*"&amp;'Output annual'!$AC$2&amp;'Output annual'!$AD$2&amp;"*FangerPMV(Hourly)",'Eplus results'!$1:$1048576,ROW(),FALSE)</f>
        <v>0</v>
      </c>
      <c r="AD5900" s="580">
        <f t="shared" si="496"/>
        <v>5</v>
      </c>
      <c r="AE5900" s="580">
        <f t="shared" si="497"/>
        <v>2.5</v>
      </c>
      <c r="AF5900" s="580">
        <f t="shared" si="498"/>
        <v>2.5</v>
      </c>
      <c r="AG5900" s="580">
        <f t="shared" si="499"/>
        <v>0</v>
      </c>
      <c r="AH5900" s="580">
        <f t="shared" si="500"/>
        <v>0</v>
      </c>
    </row>
    <row r="5901" spans="28:34">
      <c r="AB5901" s="580">
        <f>HLOOKUP("*"&amp;'Output annual'!$AC$2&amp;'Output annual'!$AD$2&amp;"*Zone People Number Of Occupants [](Hourly)",'Eplus results'!$1:$1048576,ROW(),FALSE)</f>
        <v>0</v>
      </c>
      <c r="AC5901" s="580">
        <f>HLOOKUP("*"&amp;'Output annual'!$AC$2&amp;'Output annual'!$AD$2&amp;"*FangerPMV(Hourly)",'Eplus results'!$1:$1048576,ROW(),FALSE)</f>
        <v>0</v>
      </c>
      <c r="AD5901" s="580">
        <f t="shared" si="496"/>
        <v>5</v>
      </c>
      <c r="AE5901" s="580">
        <f t="shared" si="497"/>
        <v>2.5</v>
      </c>
      <c r="AF5901" s="580">
        <f t="shared" si="498"/>
        <v>2.5</v>
      </c>
      <c r="AG5901" s="580">
        <f t="shared" si="499"/>
        <v>0</v>
      </c>
      <c r="AH5901" s="580">
        <f t="shared" si="500"/>
        <v>0</v>
      </c>
    </row>
    <row r="5902" spans="28:34">
      <c r="AB5902" s="580">
        <f>HLOOKUP("*"&amp;'Output annual'!$AC$2&amp;'Output annual'!$AD$2&amp;"*Zone People Number Of Occupants [](Hourly)",'Eplus results'!$1:$1048576,ROW(),FALSE)</f>
        <v>0</v>
      </c>
      <c r="AC5902" s="580">
        <f>HLOOKUP("*"&amp;'Output annual'!$AC$2&amp;'Output annual'!$AD$2&amp;"*FangerPMV(Hourly)",'Eplus results'!$1:$1048576,ROW(),FALSE)</f>
        <v>0</v>
      </c>
      <c r="AD5902" s="580">
        <f t="shared" si="496"/>
        <v>5</v>
      </c>
      <c r="AE5902" s="580">
        <f t="shared" si="497"/>
        <v>2.5</v>
      </c>
      <c r="AF5902" s="580">
        <f t="shared" si="498"/>
        <v>2.5</v>
      </c>
      <c r="AG5902" s="580">
        <f t="shared" si="499"/>
        <v>0</v>
      </c>
      <c r="AH5902" s="580">
        <f t="shared" si="500"/>
        <v>0</v>
      </c>
    </row>
    <row r="5903" spans="28:34">
      <c r="AB5903" s="580">
        <f>HLOOKUP("*"&amp;'Output annual'!$AC$2&amp;'Output annual'!$AD$2&amp;"*Zone People Number Of Occupants [](Hourly)",'Eplus results'!$1:$1048576,ROW(),FALSE)</f>
        <v>0</v>
      </c>
      <c r="AC5903" s="580">
        <f>HLOOKUP("*"&amp;'Output annual'!$AC$2&amp;'Output annual'!$AD$2&amp;"*FangerPMV(Hourly)",'Eplus results'!$1:$1048576,ROW(),FALSE)</f>
        <v>0</v>
      </c>
      <c r="AD5903" s="580">
        <f t="shared" si="496"/>
        <v>5</v>
      </c>
      <c r="AE5903" s="580">
        <f t="shared" si="497"/>
        <v>2.5</v>
      </c>
      <c r="AF5903" s="580">
        <f t="shared" si="498"/>
        <v>2.5</v>
      </c>
      <c r="AG5903" s="580">
        <f t="shared" si="499"/>
        <v>0</v>
      </c>
      <c r="AH5903" s="580">
        <f t="shared" si="500"/>
        <v>0</v>
      </c>
    </row>
    <row r="5904" spans="28:34">
      <c r="AB5904" s="580">
        <f>HLOOKUP("*"&amp;'Output annual'!$AC$2&amp;'Output annual'!$AD$2&amp;"*Zone People Number Of Occupants [](Hourly)",'Eplus results'!$1:$1048576,ROW(),FALSE)</f>
        <v>0</v>
      </c>
      <c r="AC5904" s="580">
        <f>HLOOKUP("*"&amp;'Output annual'!$AC$2&amp;'Output annual'!$AD$2&amp;"*FangerPMV(Hourly)",'Eplus results'!$1:$1048576,ROW(),FALSE)</f>
        <v>0</v>
      </c>
      <c r="AD5904" s="580">
        <f t="shared" si="496"/>
        <v>5</v>
      </c>
      <c r="AE5904" s="580">
        <f t="shared" si="497"/>
        <v>2.5</v>
      </c>
      <c r="AF5904" s="580">
        <f t="shared" si="498"/>
        <v>2.5</v>
      </c>
      <c r="AG5904" s="580">
        <f t="shared" si="499"/>
        <v>0</v>
      </c>
      <c r="AH5904" s="580">
        <f t="shared" si="500"/>
        <v>0</v>
      </c>
    </row>
    <row r="5905" spans="28:34">
      <c r="AB5905" s="580">
        <f>HLOOKUP("*"&amp;'Output annual'!$AC$2&amp;'Output annual'!$AD$2&amp;"*Zone People Number Of Occupants [](Hourly)",'Eplus results'!$1:$1048576,ROW(),FALSE)</f>
        <v>0</v>
      </c>
      <c r="AC5905" s="580">
        <f>HLOOKUP("*"&amp;'Output annual'!$AC$2&amp;'Output annual'!$AD$2&amp;"*FangerPMV(Hourly)",'Eplus results'!$1:$1048576,ROW(),FALSE)</f>
        <v>0</v>
      </c>
      <c r="AD5905" s="580">
        <f t="shared" si="496"/>
        <v>5</v>
      </c>
      <c r="AE5905" s="580">
        <f t="shared" si="497"/>
        <v>2.5</v>
      </c>
      <c r="AF5905" s="580">
        <f t="shared" si="498"/>
        <v>2.5</v>
      </c>
      <c r="AG5905" s="580">
        <f t="shared" si="499"/>
        <v>0</v>
      </c>
      <c r="AH5905" s="580">
        <f t="shared" si="500"/>
        <v>0</v>
      </c>
    </row>
    <row r="5906" spans="28:34">
      <c r="AB5906" s="580">
        <f>HLOOKUP("*"&amp;'Output annual'!$AC$2&amp;'Output annual'!$AD$2&amp;"*Zone People Number Of Occupants [](Hourly)",'Eplus results'!$1:$1048576,ROW(),FALSE)</f>
        <v>0</v>
      </c>
      <c r="AC5906" s="580">
        <f>HLOOKUP("*"&amp;'Output annual'!$AC$2&amp;'Output annual'!$AD$2&amp;"*FangerPMV(Hourly)",'Eplus results'!$1:$1048576,ROW(),FALSE)</f>
        <v>0</v>
      </c>
      <c r="AD5906" s="580">
        <f t="shared" si="496"/>
        <v>5</v>
      </c>
      <c r="AE5906" s="580">
        <f t="shared" si="497"/>
        <v>2.5</v>
      </c>
      <c r="AF5906" s="580">
        <f t="shared" si="498"/>
        <v>2.5</v>
      </c>
      <c r="AG5906" s="580">
        <f t="shared" si="499"/>
        <v>0</v>
      </c>
      <c r="AH5906" s="580">
        <f t="shared" si="500"/>
        <v>0</v>
      </c>
    </row>
    <row r="5907" spans="28:34">
      <c r="AB5907" s="580">
        <f>HLOOKUP("*"&amp;'Output annual'!$AC$2&amp;'Output annual'!$AD$2&amp;"*Zone People Number Of Occupants [](Hourly)",'Eplus results'!$1:$1048576,ROW(),FALSE)</f>
        <v>0</v>
      </c>
      <c r="AC5907" s="580">
        <f>HLOOKUP("*"&amp;'Output annual'!$AC$2&amp;'Output annual'!$AD$2&amp;"*FangerPMV(Hourly)",'Eplus results'!$1:$1048576,ROW(),FALSE)</f>
        <v>0</v>
      </c>
      <c r="AD5907" s="580">
        <f t="shared" si="496"/>
        <v>5</v>
      </c>
      <c r="AE5907" s="580">
        <f t="shared" si="497"/>
        <v>2.5</v>
      </c>
      <c r="AF5907" s="580">
        <f t="shared" si="498"/>
        <v>2.5</v>
      </c>
      <c r="AG5907" s="580">
        <f t="shared" si="499"/>
        <v>0</v>
      </c>
      <c r="AH5907" s="580">
        <f t="shared" si="500"/>
        <v>0</v>
      </c>
    </row>
    <row r="5908" spans="28:34">
      <c r="AB5908" s="580">
        <f>HLOOKUP("*"&amp;'Output annual'!$AC$2&amp;'Output annual'!$AD$2&amp;"*Zone People Number Of Occupants [](Hourly)",'Eplus results'!$1:$1048576,ROW(),FALSE)</f>
        <v>0</v>
      </c>
      <c r="AC5908" s="580">
        <f>HLOOKUP("*"&amp;'Output annual'!$AC$2&amp;'Output annual'!$AD$2&amp;"*FangerPMV(Hourly)",'Eplus results'!$1:$1048576,ROW(),FALSE)</f>
        <v>0</v>
      </c>
      <c r="AD5908" s="580">
        <f t="shared" si="496"/>
        <v>5</v>
      </c>
      <c r="AE5908" s="580">
        <f t="shared" si="497"/>
        <v>2.5</v>
      </c>
      <c r="AF5908" s="580">
        <f t="shared" si="498"/>
        <v>2.5</v>
      </c>
      <c r="AG5908" s="580">
        <f t="shared" si="499"/>
        <v>0</v>
      </c>
      <c r="AH5908" s="580">
        <f t="shared" si="500"/>
        <v>0</v>
      </c>
    </row>
    <row r="5909" spans="28:34">
      <c r="AB5909" s="580">
        <f>HLOOKUP("*"&amp;'Output annual'!$AC$2&amp;'Output annual'!$AD$2&amp;"*Zone People Number Of Occupants [](Hourly)",'Eplus results'!$1:$1048576,ROW(),FALSE)</f>
        <v>0</v>
      </c>
      <c r="AC5909" s="580">
        <f>HLOOKUP("*"&amp;'Output annual'!$AC$2&amp;'Output annual'!$AD$2&amp;"*FangerPMV(Hourly)",'Eplus results'!$1:$1048576,ROW(),FALSE)</f>
        <v>0</v>
      </c>
      <c r="AD5909" s="580">
        <f t="shared" si="496"/>
        <v>5</v>
      </c>
      <c r="AE5909" s="580">
        <f t="shared" si="497"/>
        <v>2.5</v>
      </c>
      <c r="AF5909" s="580">
        <f t="shared" si="498"/>
        <v>2.5</v>
      </c>
      <c r="AG5909" s="580">
        <f t="shared" si="499"/>
        <v>0</v>
      </c>
      <c r="AH5909" s="580">
        <f t="shared" si="500"/>
        <v>0</v>
      </c>
    </row>
    <row r="5910" spans="28:34">
      <c r="AB5910" s="580">
        <f>HLOOKUP("*"&amp;'Output annual'!$AC$2&amp;'Output annual'!$AD$2&amp;"*Zone People Number Of Occupants [](Hourly)",'Eplus results'!$1:$1048576,ROW(),FALSE)</f>
        <v>0</v>
      </c>
      <c r="AC5910" s="580">
        <f>HLOOKUP("*"&amp;'Output annual'!$AC$2&amp;'Output annual'!$AD$2&amp;"*FangerPMV(Hourly)",'Eplus results'!$1:$1048576,ROW(),FALSE)</f>
        <v>0</v>
      </c>
      <c r="AD5910" s="580">
        <f t="shared" si="496"/>
        <v>5</v>
      </c>
      <c r="AE5910" s="580">
        <f t="shared" si="497"/>
        <v>2.5</v>
      </c>
      <c r="AF5910" s="580">
        <f t="shared" si="498"/>
        <v>2.5</v>
      </c>
      <c r="AG5910" s="580">
        <f t="shared" si="499"/>
        <v>0</v>
      </c>
      <c r="AH5910" s="580">
        <f t="shared" si="500"/>
        <v>0</v>
      </c>
    </row>
    <row r="5911" spans="28:34">
      <c r="AB5911" s="580">
        <f>HLOOKUP("*"&amp;'Output annual'!$AC$2&amp;'Output annual'!$AD$2&amp;"*Zone People Number Of Occupants [](Hourly)",'Eplus results'!$1:$1048576,ROW(),FALSE)</f>
        <v>0</v>
      </c>
      <c r="AC5911" s="580">
        <f>HLOOKUP("*"&amp;'Output annual'!$AC$2&amp;'Output annual'!$AD$2&amp;"*FangerPMV(Hourly)",'Eplus results'!$1:$1048576,ROW(),FALSE)</f>
        <v>0</v>
      </c>
      <c r="AD5911" s="580">
        <f t="shared" si="496"/>
        <v>5</v>
      </c>
      <c r="AE5911" s="580">
        <f t="shared" si="497"/>
        <v>2.5</v>
      </c>
      <c r="AF5911" s="580">
        <f t="shared" si="498"/>
        <v>2.5</v>
      </c>
      <c r="AG5911" s="580">
        <f t="shared" si="499"/>
        <v>0</v>
      </c>
      <c r="AH5911" s="580">
        <f t="shared" si="500"/>
        <v>0</v>
      </c>
    </row>
    <row r="5912" spans="28:34">
      <c r="AB5912" s="580">
        <f>HLOOKUP("*"&amp;'Output annual'!$AC$2&amp;'Output annual'!$AD$2&amp;"*Zone People Number Of Occupants [](Hourly)",'Eplus results'!$1:$1048576,ROW(),FALSE)</f>
        <v>0</v>
      </c>
      <c r="AC5912" s="580">
        <f>HLOOKUP("*"&amp;'Output annual'!$AC$2&amp;'Output annual'!$AD$2&amp;"*FangerPMV(Hourly)",'Eplus results'!$1:$1048576,ROW(),FALSE)</f>
        <v>0</v>
      </c>
      <c r="AD5912" s="580">
        <f t="shared" si="496"/>
        <v>5</v>
      </c>
      <c r="AE5912" s="580">
        <f t="shared" si="497"/>
        <v>2.5</v>
      </c>
      <c r="AF5912" s="580">
        <f t="shared" si="498"/>
        <v>2.5</v>
      </c>
      <c r="AG5912" s="580">
        <f t="shared" si="499"/>
        <v>0</v>
      </c>
      <c r="AH5912" s="580">
        <f t="shared" si="500"/>
        <v>0</v>
      </c>
    </row>
    <row r="5913" spans="28:34">
      <c r="AB5913" s="580">
        <f>HLOOKUP("*"&amp;'Output annual'!$AC$2&amp;'Output annual'!$AD$2&amp;"*Zone People Number Of Occupants [](Hourly)",'Eplus results'!$1:$1048576,ROW(),FALSE)</f>
        <v>0</v>
      </c>
      <c r="AC5913" s="580">
        <f>HLOOKUP("*"&amp;'Output annual'!$AC$2&amp;'Output annual'!$AD$2&amp;"*FangerPMV(Hourly)",'Eplus results'!$1:$1048576,ROW(),FALSE)</f>
        <v>0</v>
      </c>
      <c r="AD5913" s="580">
        <f t="shared" si="496"/>
        <v>5</v>
      </c>
      <c r="AE5913" s="580">
        <f t="shared" si="497"/>
        <v>2.5</v>
      </c>
      <c r="AF5913" s="580">
        <f t="shared" si="498"/>
        <v>2.5</v>
      </c>
      <c r="AG5913" s="580">
        <f t="shared" si="499"/>
        <v>0</v>
      </c>
      <c r="AH5913" s="580">
        <f t="shared" si="500"/>
        <v>0</v>
      </c>
    </row>
    <row r="5914" spans="28:34">
      <c r="AB5914" s="580">
        <f>HLOOKUP("*"&amp;'Output annual'!$AC$2&amp;'Output annual'!$AD$2&amp;"*Zone People Number Of Occupants [](Hourly)",'Eplus results'!$1:$1048576,ROW(),FALSE)</f>
        <v>0</v>
      </c>
      <c r="AC5914" s="580">
        <f>HLOOKUP("*"&amp;'Output annual'!$AC$2&amp;'Output annual'!$AD$2&amp;"*FangerPMV(Hourly)",'Eplus results'!$1:$1048576,ROW(),FALSE)</f>
        <v>0</v>
      </c>
      <c r="AD5914" s="580">
        <f t="shared" si="496"/>
        <v>5</v>
      </c>
      <c r="AE5914" s="580">
        <f t="shared" si="497"/>
        <v>2.5</v>
      </c>
      <c r="AF5914" s="580">
        <f t="shared" si="498"/>
        <v>2.5</v>
      </c>
      <c r="AG5914" s="580">
        <f t="shared" si="499"/>
        <v>0</v>
      </c>
      <c r="AH5914" s="580">
        <f t="shared" si="500"/>
        <v>0</v>
      </c>
    </row>
    <row r="5915" spans="28:34">
      <c r="AB5915" s="580">
        <f>HLOOKUP("*"&amp;'Output annual'!$AC$2&amp;'Output annual'!$AD$2&amp;"*Zone People Number Of Occupants [](Hourly)",'Eplus results'!$1:$1048576,ROW(),FALSE)</f>
        <v>0</v>
      </c>
      <c r="AC5915" s="580">
        <f>HLOOKUP("*"&amp;'Output annual'!$AC$2&amp;'Output annual'!$AD$2&amp;"*FangerPMV(Hourly)",'Eplus results'!$1:$1048576,ROW(),FALSE)</f>
        <v>0</v>
      </c>
      <c r="AD5915" s="580">
        <f t="shared" si="496"/>
        <v>5</v>
      </c>
      <c r="AE5915" s="580">
        <f t="shared" si="497"/>
        <v>2.5</v>
      </c>
      <c r="AF5915" s="580">
        <f t="shared" si="498"/>
        <v>2.5</v>
      </c>
      <c r="AG5915" s="580">
        <f t="shared" si="499"/>
        <v>0</v>
      </c>
      <c r="AH5915" s="580">
        <f t="shared" si="500"/>
        <v>0</v>
      </c>
    </row>
    <row r="5916" spans="28:34">
      <c r="AB5916" s="580">
        <f>HLOOKUP("*"&amp;'Output annual'!$AC$2&amp;'Output annual'!$AD$2&amp;"*Zone People Number Of Occupants [](Hourly)",'Eplus results'!$1:$1048576,ROW(),FALSE)</f>
        <v>0</v>
      </c>
      <c r="AC5916" s="580">
        <f>HLOOKUP("*"&amp;'Output annual'!$AC$2&amp;'Output annual'!$AD$2&amp;"*FangerPMV(Hourly)",'Eplus results'!$1:$1048576,ROW(),FALSE)</f>
        <v>0</v>
      </c>
      <c r="AD5916" s="580">
        <f t="shared" si="496"/>
        <v>5</v>
      </c>
      <c r="AE5916" s="580">
        <f t="shared" si="497"/>
        <v>2.5</v>
      </c>
      <c r="AF5916" s="580">
        <f t="shared" si="498"/>
        <v>2.5</v>
      </c>
      <c r="AG5916" s="580">
        <f t="shared" si="499"/>
        <v>0</v>
      </c>
      <c r="AH5916" s="580">
        <f t="shared" si="500"/>
        <v>0</v>
      </c>
    </row>
    <row r="5917" spans="28:34">
      <c r="AB5917" s="580">
        <f>HLOOKUP("*"&amp;'Output annual'!$AC$2&amp;'Output annual'!$AD$2&amp;"*Zone People Number Of Occupants [](Hourly)",'Eplus results'!$1:$1048576,ROW(),FALSE)</f>
        <v>0</v>
      </c>
      <c r="AC5917" s="580">
        <f>HLOOKUP("*"&amp;'Output annual'!$AC$2&amp;'Output annual'!$AD$2&amp;"*FangerPMV(Hourly)",'Eplus results'!$1:$1048576,ROW(),FALSE)</f>
        <v>0</v>
      </c>
      <c r="AD5917" s="580">
        <f t="shared" si="496"/>
        <v>5</v>
      </c>
      <c r="AE5917" s="580">
        <f t="shared" si="497"/>
        <v>2.5</v>
      </c>
      <c r="AF5917" s="580">
        <f t="shared" si="498"/>
        <v>2.5</v>
      </c>
      <c r="AG5917" s="580">
        <f t="shared" si="499"/>
        <v>0</v>
      </c>
      <c r="AH5917" s="580">
        <f t="shared" si="500"/>
        <v>0</v>
      </c>
    </row>
    <row r="5918" spans="28:34">
      <c r="AB5918" s="580">
        <f>HLOOKUP("*"&amp;'Output annual'!$AC$2&amp;'Output annual'!$AD$2&amp;"*Zone People Number Of Occupants [](Hourly)",'Eplus results'!$1:$1048576,ROW(),FALSE)</f>
        <v>0</v>
      </c>
      <c r="AC5918" s="580">
        <f>HLOOKUP("*"&amp;'Output annual'!$AC$2&amp;'Output annual'!$AD$2&amp;"*FangerPMV(Hourly)",'Eplus results'!$1:$1048576,ROW(),FALSE)</f>
        <v>0</v>
      </c>
      <c r="AD5918" s="580">
        <f t="shared" si="496"/>
        <v>5</v>
      </c>
      <c r="AE5918" s="580">
        <f t="shared" si="497"/>
        <v>2.5</v>
      </c>
      <c r="AF5918" s="580">
        <f t="shared" si="498"/>
        <v>2.5</v>
      </c>
      <c r="AG5918" s="580">
        <f t="shared" si="499"/>
        <v>0</v>
      </c>
      <c r="AH5918" s="580">
        <f t="shared" si="500"/>
        <v>0</v>
      </c>
    </row>
    <row r="5919" spans="28:34">
      <c r="AB5919" s="580">
        <f>HLOOKUP("*"&amp;'Output annual'!$AC$2&amp;'Output annual'!$AD$2&amp;"*Zone People Number Of Occupants [](Hourly)",'Eplus results'!$1:$1048576,ROW(),FALSE)</f>
        <v>0</v>
      </c>
      <c r="AC5919" s="580">
        <f>HLOOKUP("*"&amp;'Output annual'!$AC$2&amp;'Output annual'!$AD$2&amp;"*FangerPMV(Hourly)",'Eplus results'!$1:$1048576,ROW(),FALSE)</f>
        <v>0</v>
      </c>
      <c r="AD5919" s="580">
        <f t="shared" si="496"/>
        <v>5</v>
      </c>
      <c r="AE5919" s="580">
        <f t="shared" si="497"/>
        <v>2.5</v>
      </c>
      <c r="AF5919" s="580">
        <f t="shared" si="498"/>
        <v>2.5</v>
      </c>
      <c r="AG5919" s="580">
        <f t="shared" si="499"/>
        <v>0</v>
      </c>
      <c r="AH5919" s="580">
        <f t="shared" si="500"/>
        <v>0</v>
      </c>
    </row>
    <row r="5920" spans="28:34">
      <c r="AB5920" s="580">
        <f>HLOOKUP("*"&amp;'Output annual'!$AC$2&amp;'Output annual'!$AD$2&amp;"*Zone People Number Of Occupants [](Hourly)",'Eplus results'!$1:$1048576,ROW(),FALSE)</f>
        <v>0</v>
      </c>
      <c r="AC5920" s="580">
        <f>HLOOKUP("*"&amp;'Output annual'!$AC$2&amp;'Output annual'!$AD$2&amp;"*FangerPMV(Hourly)",'Eplus results'!$1:$1048576,ROW(),FALSE)</f>
        <v>0</v>
      </c>
      <c r="AD5920" s="580">
        <f t="shared" si="496"/>
        <v>5</v>
      </c>
      <c r="AE5920" s="580">
        <f t="shared" si="497"/>
        <v>2.5</v>
      </c>
      <c r="AF5920" s="580">
        <f t="shared" si="498"/>
        <v>2.5</v>
      </c>
      <c r="AG5920" s="580">
        <f t="shared" si="499"/>
        <v>0</v>
      </c>
      <c r="AH5920" s="580">
        <f t="shared" si="500"/>
        <v>0</v>
      </c>
    </row>
    <row r="5921" spans="28:34">
      <c r="AB5921" s="580">
        <f>HLOOKUP("*"&amp;'Output annual'!$AC$2&amp;'Output annual'!$AD$2&amp;"*Zone People Number Of Occupants [](Hourly)",'Eplus results'!$1:$1048576,ROW(),FALSE)</f>
        <v>0</v>
      </c>
      <c r="AC5921" s="580">
        <f>HLOOKUP("*"&amp;'Output annual'!$AC$2&amp;'Output annual'!$AD$2&amp;"*FangerPMV(Hourly)",'Eplus results'!$1:$1048576,ROW(),FALSE)</f>
        <v>0</v>
      </c>
      <c r="AD5921" s="580">
        <f t="shared" si="496"/>
        <v>5</v>
      </c>
      <c r="AE5921" s="580">
        <f t="shared" si="497"/>
        <v>2.5</v>
      </c>
      <c r="AF5921" s="580">
        <f t="shared" si="498"/>
        <v>2.5</v>
      </c>
      <c r="AG5921" s="580">
        <f t="shared" si="499"/>
        <v>0</v>
      </c>
      <c r="AH5921" s="580">
        <f t="shared" si="500"/>
        <v>0</v>
      </c>
    </row>
    <row r="5922" spans="28:34">
      <c r="AB5922" s="580">
        <f>HLOOKUP("*"&amp;'Output annual'!$AC$2&amp;'Output annual'!$AD$2&amp;"*Zone People Number Of Occupants [](Hourly)",'Eplus results'!$1:$1048576,ROW(),FALSE)</f>
        <v>0</v>
      </c>
      <c r="AC5922" s="580">
        <f>HLOOKUP("*"&amp;'Output annual'!$AC$2&amp;'Output annual'!$AD$2&amp;"*FangerPMV(Hourly)",'Eplus results'!$1:$1048576,ROW(),FALSE)</f>
        <v>0</v>
      </c>
      <c r="AD5922" s="580">
        <f t="shared" si="496"/>
        <v>5</v>
      </c>
      <c r="AE5922" s="580">
        <f t="shared" si="497"/>
        <v>2.5</v>
      </c>
      <c r="AF5922" s="580">
        <f t="shared" si="498"/>
        <v>2.5</v>
      </c>
      <c r="AG5922" s="580">
        <f t="shared" si="499"/>
        <v>0</v>
      </c>
      <c r="AH5922" s="580">
        <f t="shared" si="500"/>
        <v>0</v>
      </c>
    </row>
    <row r="5923" spans="28:34">
      <c r="AB5923" s="580">
        <f>HLOOKUP("*"&amp;'Output annual'!$AC$2&amp;'Output annual'!$AD$2&amp;"*Zone People Number Of Occupants [](Hourly)",'Eplus results'!$1:$1048576,ROW(),FALSE)</f>
        <v>0</v>
      </c>
      <c r="AC5923" s="580">
        <f>HLOOKUP("*"&amp;'Output annual'!$AC$2&amp;'Output annual'!$AD$2&amp;"*FangerPMV(Hourly)",'Eplus results'!$1:$1048576,ROW(),FALSE)</f>
        <v>0</v>
      </c>
      <c r="AD5923" s="580">
        <f t="shared" si="496"/>
        <v>5</v>
      </c>
      <c r="AE5923" s="580">
        <f t="shared" si="497"/>
        <v>2.5</v>
      </c>
      <c r="AF5923" s="580">
        <f t="shared" si="498"/>
        <v>2.5</v>
      </c>
      <c r="AG5923" s="580">
        <f t="shared" si="499"/>
        <v>0</v>
      </c>
      <c r="AH5923" s="580">
        <f t="shared" si="500"/>
        <v>0</v>
      </c>
    </row>
    <row r="5924" spans="28:34">
      <c r="AB5924" s="580">
        <f>HLOOKUP("*"&amp;'Output annual'!$AC$2&amp;'Output annual'!$AD$2&amp;"*Zone People Number Of Occupants [](Hourly)",'Eplus results'!$1:$1048576,ROW(),FALSE)</f>
        <v>0</v>
      </c>
      <c r="AC5924" s="580">
        <f>HLOOKUP("*"&amp;'Output annual'!$AC$2&amp;'Output annual'!$AD$2&amp;"*FangerPMV(Hourly)",'Eplus results'!$1:$1048576,ROW(),FALSE)</f>
        <v>0</v>
      </c>
      <c r="AD5924" s="580">
        <f t="shared" si="496"/>
        <v>5</v>
      </c>
      <c r="AE5924" s="580">
        <f t="shared" si="497"/>
        <v>2.5</v>
      </c>
      <c r="AF5924" s="580">
        <f t="shared" si="498"/>
        <v>2.5</v>
      </c>
      <c r="AG5924" s="580">
        <f t="shared" si="499"/>
        <v>0</v>
      </c>
      <c r="AH5924" s="580">
        <f t="shared" si="500"/>
        <v>0</v>
      </c>
    </row>
    <row r="5925" spans="28:34">
      <c r="AB5925" s="580">
        <f>HLOOKUP("*"&amp;'Output annual'!$AC$2&amp;'Output annual'!$AD$2&amp;"*Zone People Number Of Occupants [](Hourly)",'Eplus results'!$1:$1048576,ROW(),FALSE)</f>
        <v>0</v>
      </c>
      <c r="AC5925" s="580">
        <f>HLOOKUP("*"&amp;'Output annual'!$AC$2&amp;'Output annual'!$AD$2&amp;"*FangerPMV(Hourly)",'Eplus results'!$1:$1048576,ROW(),FALSE)</f>
        <v>0</v>
      </c>
      <c r="AD5925" s="580">
        <f t="shared" si="496"/>
        <v>5</v>
      </c>
      <c r="AE5925" s="580">
        <f t="shared" si="497"/>
        <v>2.5</v>
      </c>
      <c r="AF5925" s="580">
        <f t="shared" si="498"/>
        <v>2.5</v>
      </c>
      <c r="AG5925" s="580">
        <f t="shared" si="499"/>
        <v>0</v>
      </c>
      <c r="AH5925" s="580">
        <f t="shared" si="500"/>
        <v>0</v>
      </c>
    </row>
    <row r="5926" spans="28:34">
      <c r="AB5926" s="580">
        <f>HLOOKUP("*"&amp;'Output annual'!$AC$2&amp;'Output annual'!$AD$2&amp;"*Zone People Number Of Occupants [](Hourly)",'Eplus results'!$1:$1048576,ROW(),FALSE)</f>
        <v>0</v>
      </c>
      <c r="AC5926" s="580">
        <f>HLOOKUP("*"&amp;'Output annual'!$AC$2&amp;'Output annual'!$AD$2&amp;"*FangerPMV(Hourly)",'Eplus results'!$1:$1048576,ROW(),FALSE)</f>
        <v>0</v>
      </c>
      <c r="AD5926" s="580">
        <f t="shared" si="496"/>
        <v>5</v>
      </c>
      <c r="AE5926" s="580">
        <f t="shared" si="497"/>
        <v>2.5</v>
      </c>
      <c r="AF5926" s="580">
        <f t="shared" si="498"/>
        <v>2.5</v>
      </c>
      <c r="AG5926" s="580">
        <f t="shared" si="499"/>
        <v>0</v>
      </c>
      <c r="AH5926" s="580">
        <f t="shared" si="500"/>
        <v>0</v>
      </c>
    </row>
    <row r="5927" spans="28:34">
      <c r="AB5927" s="580">
        <f>HLOOKUP("*"&amp;'Output annual'!$AC$2&amp;'Output annual'!$AD$2&amp;"*Zone People Number Of Occupants [](Hourly)",'Eplus results'!$1:$1048576,ROW(),FALSE)</f>
        <v>0</v>
      </c>
      <c r="AC5927" s="580">
        <f>HLOOKUP("*"&amp;'Output annual'!$AC$2&amp;'Output annual'!$AD$2&amp;"*FangerPMV(Hourly)",'Eplus results'!$1:$1048576,ROW(),FALSE)</f>
        <v>0</v>
      </c>
      <c r="AD5927" s="580">
        <f t="shared" si="496"/>
        <v>5</v>
      </c>
      <c r="AE5927" s="580">
        <f t="shared" si="497"/>
        <v>2.5</v>
      </c>
      <c r="AF5927" s="580">
        <f t="shared" si="498"/>
        <v>2.5</v>
      </c>
      <c r="AG5927" s="580">
        <f t="shared" si="499"/>
        <v>0</v>
      </c>
      <c r="AH5927" s="580">
        <f t="shared" si="500"/>
        <v>0</v>
      </c>
    </row>
    <row r="5928" spans="28:34">
      <c r="AB5928" s="580">
        <f>HLOOKUP("*"&amp;'Output annual'!$AC$2&amp;'Output annual'!$AD$2&amp;"*Zone People Number Of Occupants [](Hourly)",'Eplus results'!$1:$1048576,ROW(),FALSE)</f>
        <v>0</v>
      </c>
      <c r="AC5928" s="580">
        <f>HLOOKUP("*"&amp;'Output annual'!$AC$2&amp;'Output annual'!$AD$2&amp;"*FangerPMV(Hourly)",'Eplus results'!$1:$1048576,ROW(),FALSE)</f>
        <v>0</v>
      </c>
      <c r="AD5928" s="580">
        <f t="shared" si="496"/>
        <v>5</v>
      </c>
      <c r="AE5928" s="580">
        <f t="shared" si="497"/>
        <v>2.5</v>
      </c>
      <c r="AF5928" s="580">
        <f t="shared" si="498"/>
        <v>2.5</v>
      </c>
      <c r="AG5928" s="580">
        <f t="shared" si="499"/>
        <v>0</v>
      </c>
      <c r="AH5928" s="580">
        <f t="shared" si="500"/>
        <v>0</v>
      </c>
    </row>
    <row r="5929" spans="28:34">
      <c r="AB5929" s="580">
        <f>HLOOKUP("*"&amp;'Output annual'!$AC$2&amp;'Output annual'!$AD$2&amp;"*Zone People Number Of Occupants [](Hourly)",'Eplus results'!$1:$1048576,ROW(),FALSE)</f>
        <v>0</v>
      </c>
      <c r="AC5929" s="580">
        <f>HLOOKUP("*"&amp;'Output annual'!$AC$2&amp;'Output annual'!$AD$2&amp;"*FangerPMV(Hourly)",'Eplus results'!$1:$1048576,ROW(),FALSE)</f>
        <v>0</v>
      </c>
      <c r="AD5929" s="580">
        <f t="shared" si="496"/>
        <v>5</v>
      </c>
      <c r="AE5929" s="580">
        <f t="shared" si="497"/>
        <v>2.5</v>
      </c>
      <c r="AF5929" s="580">
        <f t="shared" si="498"/>
        <v>2.5</v>
      </c>
      <c r="AG5929" s="580">
        <f t="shared" si="499"/>
        <v>0</v>
      </c>
      <c r="AH5929" s="580">
        <f t="shared" si="500"/>
        <v>0</v>
      </c>
    </row>
    <row r="5930" spans="28:34">
      <c r="AB5930" s="580">
        <f>HLOOKUP("*"&amp;'Output annual'!$AC$2&amp;'Output annual'!$AD$2&amp;"*Zone People Number Of Occupants [](Hourly)",'Eplus results'!$1:$1048576,ROW(),FALSE)</f>
        <v>0</v>
      </c>
      <c r="AC5930" s="580">
        <f>HLOOKUP("*"&amp;'Output annual'!$AC$2&amp;'Output annual'!$AD$2&amp;"*FangerPMV(Hourly)",'Eplus results'!$1:$1048576,ROW(),FALSE)</f>
        <v>0</v>
      </c>
      <c r="AD5930" s="580">
        <f t="shared" si="496"/>
        <v>5</v>
      </c>
      <c r="AE5930" s="580">
        <f t="shared" si="497"/>
        <v>2.5</v>
      </c>
      <c r="AF5930" s="580">
        <f t="shared" si="498"/>
        <v>2.5</v>
      </c>
      <c r="AG5930" s="580">
        <f t="shared" si="499"/>
        <v>0</v>
      </c>
      <c r="AH5930" s="580">
        <f t="shared" si="500"/>
        <v>0</v>
      </c>
    </row>
    <row r="5931" spans="28:34">
      <c r="AB5931" s="580">
        <f>HLOOKUP("*"&amp;'Output annual'!$AC$2&amp;'Output annual'!$AD$2&amp;"*Zone People Number Of Occupants [](Hourly)",'Eplus results'!$1:$1048576,ROW(),FALSE)</f>
        <v>0</v>
      </c>
      <c r="AC5931" s="580">
        <f>HLOOKUP("*"&amp;'Output annual'!$AC$2&amp;'Output annual'!$AD$2&amp;"*FangerPMV(Hourly)",'Eplus results'!$1:$1048576,ROW(),FALSE)</f>
        <v>0</v>
      </c>
      <c r="AD5931" s="580">
        <f t="shared" si="496"/>
        <v>5</v>
      </c>
      <c r="AE5931" s="580">
        <f t="shared" si="497"/>
        <v>2.5</v>
      </c>
      <c r="AF5931" s="580">
        <f t="shared" si="498"/>
        <v>2.5</v>
      </c>
      <c r="AG5931" s="580">
        <f t="shared" si="499"/>
        <v>0</v>
      </c>
      <c r="AH5931" s="580">
        <f t="shared" si="500"/>
        <v>0</v>
      </c>
    </row>
    <row r="5932" spans="28:34">
      <c r="AB5932" s="580">
        <f>HLOOKUP("*"&amp;'Output annual'!$AC$2&amp;'Output annual'!$AD$2&amp;"*Zone People Number Of Occupants [](Hourly)",'Eplus results'!$1:$1048576,ROW(),FALSE)</f>
        <v>0</v>
      </c>
      <c r="AC5932" s="580">
        <f>HLOOKUP("*"&amp;'Output annual'!$AC$2&amp;'Output annual'!$AD$2&amp;"*FangerPMV(Hourly)",'Eplus results'!$1:$1048576,ROW(),FALSE)</f>
        <v>0</v>
      </c>
      <c r="AD5932" s="580">
        <f t="shared" si="496"/>
        <v>5</v>
      </c>
      <c r="AE5932" s="580">
        <f t="shared" si="497"/>
        <v>2.5</v>
      </c>
      <c r="AF5932" s="580">
        <f t="shared" si="498"/>
        <v>2.5</v>
      </c>
      <c r="AG5932" s="580">
        <f t="shared" si="499"/>
        <v>0</v>
      </c>
      <c r="AH5932" s="580">
        <f t="shared" si="500"/>
        <v>0</v>
      </c>
    </row>
    <row r="5933" spans="28:34">
      <c r="AB5933" s="580">
        <f>HLOOKUP("*"&amp;'Output annual'!$AC$2&amp;'Output annual'!$AD$2&amp;"*Zone People Number Of Occupants [](Hourly)",'Eplus results'!$1:$1048576,ROW(),FALSE)</f>
        <v>0</v>
      </c>
      <c r="AC5933" s="580">
        <f>HLOOKUP("*"&amp;'Output annual'!$AC$2&amp;'Output annual'!$AD$2&amp;"*FangerPMV(Hourly)",'Eplus results'!$1:$1048576,ROW(),FALSE)</f>
        <v>0</v>
      </c>
      <c r="AD5933" s="580">
        <f t="shared" si="496"/>
        <v>5</v>
      </c>
      <c r="AE5933" s="580">
        <f t="shared" si="497"/>
        <v>2.5</v>
      </c>
      <c r="AF5933" s="580">
        <f t="shared" si="498"/>
        <v>2.5</v>
      </c>
      <c r="AG5933" s="580">
        <f t="shared" si="499"/>
        <v>0</v>
      </c>
      <c r="AH5933" s="580">
        <f t="shared" si="500"/>
        <v>0</v>
      </c>
    </row>
    <row r="5934" spans="28:34">
      <c r="AB5934" s="580">
        <f>HLOOKUP("*"&amp;'Output annual'!$AC$2&amp;'Output annual'!$AD$2&amp;"*Zone People Number Of Occupants [](Hourly)",'Eplus results'!$1:$1048576,ROW(),FALSE)</f>
        <v>0</v>
      </c>
      <c r="AC5934" s="580">
        <f>HLOOKUP("*"&amp;'Output annual'!$AC$2&amp;'Output annual'!$AD$2&amp;"*FangerPMV(Hourly)",'Eplus results'!$1:$1048576,ROW(),FALSE)</f>
        <v>0</v>
      </c>
      <c r="AD5934" s="580">
        <f t="shared" si="496"/>
        <v>5</v>
      </c>
      <c r="AE5934" s="580">
        <f t="shared" si="497"/>
        <v>2.5</v>
      </c>
      <c r="AF5934" s="580">
        <f t="shared" si="498"/>
        <v>2.5</v>
      </c>
      <c r="AG5934" s="580">
        <f t="shared" si="499"/>
        <v>0</v>
      </c>
      <c r="AH5934" s="580">
        <f t="shared" si="500"/>
        <v>0</v>
      </c>
    </row>
    <row r="5935" spans="28:34">
      <c r="AB5935" s="580">
        <f>HLOOKUP("*"&amp;'Output annual'!$AC$2&amp;'Output annual'!$AD$2&amp;"*Zone People Number Of Occupants [](Hourly)",'Eplus results'!$1:$1048576,ROW(),FALSE)</f>
        <v>0</v>
      </c>
      <c r="AC5935" s="580">
        <f>HLOOKUP("*"&amp;'Output annual'!$AC$2&amp;'Output annual'!$AD$2&amp;"*FangerPMV(Hourly)",'Eplus results'!$1:$1048576,ROW(),FALSE)</f>
        <v>0</v>
      </c>
      <c r="AD5935" s="580">
        <f t="shared" si="496"/>
        <v>5</v>
      </c>
      <c r="AE5935" s="580">
        <f t="shared" si="497"/>
        <v>2.5</v>
      </c>
      <c r="AF5935" s="580">
        <f t="shared" si="498"/>
        <v>2.5</v>
      </c>
      <c r="AG5935" s="580">
        <f t="shared" si="499"/>
        <v>0</v>
      </c>
      <c r="AH5935" s="580">
        <f t="shared" si="500"/>
        <v>0</v>
      </c>
    </row>
    <row r="5936" spans="28:34">
      <c r="AB5936" s="580">
        <f>HLOOKUP("*"&amp;'Output annual'!$AC$2&amp;'Output annual'!$AD$2&amp;"*Zone People Number Of Occupants [](Hourly)",'Eplus results'!$1:$1048576,ROW(),FALSE)</f>
        <v>0</v>
      </c>
      <c r="AC5936" s="580">
        <f>HLOOKUP("*"&amp;'Output annual'!$AC$2&amp;'Output annual'!$AD$2&amp;"*FangerPMV(Hourly)",'Eplus results'!$1:$1048576,ROW(),FALSE)</f>
        <v>0</v>
      </c>
      <c r="AD5936" s="580">
        <f t="shared" si="496"/>
        <v>5</v>
      </c>
      <c r="AE5936" s="580">
        <f t="shared" si="497"/>
        <v>2.5</v>
      </c>
      <c r="AF5936" s="580">
        <f t="shared" si="498"/>
        <v>2.5</v>
      </c>
      <c r="AG5936" s="580">
        <f t="shared" si="499"/>
        <v>0</v>
      </c>
      <c r="AH5936" s="580">
        <f t="shared" si="500"/>
        <v>0</v>
      </c>
    </row>
    <row r="5937" spans="28:34">
      <c r="AB5937" s="580">
        <f>HLOOKUP("*"&amp;'Output annual'!$AC$2&amp;'Output annual'!$AD$2&amp;"*Zone People Number Of Occupants [](Hourly)",'Eplus results'!$1:$1048576,ROW(),FALSE)</f>
        <v>0</v>
      </c>
      <c r="AC5937" s="580">
        <f>HLOOKUP("*"&amp;'Output annual'!$AC$2&amp;'Output annual'!$AD$2&amp;"*FangerPMV(Hourly)",'Eplus results'!$1:$1048576,ROW(),FALSE)</f>
        <v>0</v>
      </c>
      <c r="AD5937" s="580">
        <f t="shared" si="496"/>
        <v>5</v>
      </c>
      <c r="AE5937" s="580">
        <f t="shared" si="497"/>
        <v>2.5</v>
      </c>
      <c r="AF5937" s="580">
        <f t="shared" si="498"/>
        <v>2.5</v>
      </c>
      <c r="AG5937" s="580">
        <f t="shared" si="499"/>
        <v>0</v>
      </c>
      <c r="AH5937" s="580">
        <f t="shared" si="500"/>
        <v>0</v>
      </c>
    </row>
    <row r="5938" spans="28:34">
      <c r="AB5938" s="580">
        <f>HLOOKUP("*"&amp;'Output annual'!$AC$2&amp;'Output annual'!$AD$2&amp;"*Zone People Number Of Occupants [](Hourly)",'Eplus results'!$1:$1048576,ROW(),FALSE)</f>
        <v>0</v>
      </c>
      <c r="AC5938" s="580">
        <f>HLOOKUP("*"&amp;'Output annual'!$AC$2&amp;'Output annual'!$AD$2&amp;"*FangerPMV(Hourly)",'Eplus results'!$1:$1048576,ROW(),FALSE)</f>
        <v>0</v>
      </c>
      <c r="AD5938" s="580">
        <f t="shared" si="496"/>
        <v>5</v>
      </c>
      <c r="AE5938" s="580">
        <f t="shared" si="497"/>
        <v>2.5</v>
      </c>
      <c r="AF5938" s="580">
        <f t="shared" si="498"/>
        <v>2.5</v>
      </c>
      <c r="AG5938" s="580">
        <f t="shared" si="499"/>
        <v>0</v>
      </c>
      <c r="AH5938" s="580">
        <f t="shared" si="500"/>
        <v>0</v>
      </c>
    </row>
    <row r="5939" spans="28:34">
      <c r="AB5939" s="580">
        <f>HLOOKUP("*"&amp;'Output annual'!$AC$2&amp;'Output annual'!$AD$2&amp;"*Zone People Number Of Occupants [](Hourly)",'Eplus results'!$1:$1048576,ROW(),FALSE)</f>
        <v>0</v>
      </c>
      <c r="AC5939" s="580">
        <f>HLOOKUP("*"&amp;'Output annual'!$AC$2&amp;'Output annual'!$AD$2&amp;"*FangerPMV(Hourly)",'Eplus results'!$1:$1048576,ROW(),FALSE)</f>
        <v>0</v>
      </c>
      <c r="AD5939" s="580">
        <f t="shared" si="496"/>
        <v>5</v>
      </c>
      <c r="AE5939" s="580">
        <f t="shared" si="497"/>
        <v>2.5</v>
      </c>
      <c r="AF5939" s="580">
        <f t="shared" si="498"/>
        <v>2.5</v>
      </c>
      <c r="AG5939" s="580">
        <f t="shared" si="499"/>
        <v>0</v>
      </c>
      <c r="AH5939" s="580">
        <f t="shared" si="500"/>
        <v>0</v>
      </c>
    </row>
    <row r="5940" spans="28:34">
      <c r="AB5940" s="580">
        <f>HLOOKUP("*"&amp;'Output annual'!$AC$2&amp;'Output annual'!$AD$2&amp;"*Zone People Number Of Occupants [](Hourly)",'Eplus results'!$1:$1048576,ROW(),FALSE)</f>
        <v>0</v>
      </c>
      <c r="AC5940" s="580">
        <f>HLOOKUP("*"&amp;'Output annual'!$AC$2&amp;'Output annual'!$AD$2&amp;"*FangerPMV(Hourly)",'Eplus results'!$1:$1048576,ROW(),FALSE)</f>
        <v>0</v>
      </c>
      <c r="AD5940" s="580">
        <f t="shared" si="496"/>
        <v>5</v>
      </c>
      <c r="AE5940" s="580">
        <f t="shared" si="497"/>
        <v>2.5</v>
      </c>
      <c r="AF5940" s="580">
        <f t="shared" si="498"/>
        <v>2.5</v>
      </c>
      <c r="AG5940" s="580">
        <f t="shared" si="499"/>
        <v>0</v>
      </c>
      <c r="AH5940" s="580">
        <f t="shared" si="500"/>
        <v>0</v>
      </c>
    </row>
    <row r="5941" spans="28:34">
      <c r="AB5941" s="580">
        <f>HLOOKUP("*"&amp;'Output annual'!$AC$2&amp;'Output annual'!$AD$2&amp;"*Zone People Number Of Occupants [](Hourly)",'Eplus results'!$1:$1048576,ROW(),FALSE)</f>
        <v>0</v>
      </c>
      <c r="AC5941" s="580">
        <f>HLOOKUP("*"&amp;'Output annual'!$AC$2&amp;'Output annual'!$AD$2&amp;"*FangerPMV(Hourly)",'Eplus results'!$1:$1048576,ROW(),FALSE)</f>
        <v>0</v>
      </c>
      <c r="AD5941" s="580">
        <f t="shared" si="496"/>
        <v>5</v>
      </c>
      <c r="AE5941" s="580">
        <f t="shared" si="497"/>
        <v>2.5</v>
      </c>
      <c r="AF5941" s="580">
        <f t="shared" si="498"/>
        <v>2.5</v>
      </c>
      <c r="AG5941" s="580">
        <f t="shared" si="499"/>
        <v>0</v>
      </c>
      <c r="AH5941" s="580">
        <f t="shared" si="500"/>
        <v>0</v>
      </c>
    </row>
    <row r="5942" spans="28:34">
      <c r="AB5942" s="580">
        <f>HLOOKUP("*"&amp;'Output annual'!$AC$2&amp;'Output annual'!$AD$2&amp;"*Zone People Number Of Occupants [](Hourly)",'Eplus results'!$1:$1048576,ROW(),FALSE)</f>
        <v>0</v>
      </c>
      <c r="AC5942" s="580">
        <f>HLOOKUP("*"&amp;'Output annual'!$AC$2&amp;'Output annual'!$AD$2&amp;"*FangerPMV(Hourly)",'Eplus results'!$1:$1048576,ROW(),FALSE)</f>
        <v>0</v>
      </c>
      <c r="AD5942" s="580">
        <f t="shared" si="496"/>
        <v>5</v>
      </c>
      <c r="AE5942" s="580">
        <f t="shared" si="497"/>
        <v>2.5</v>
      </c>
      <c r="AF5942" s="580">
        <f t="shared" si="498"/>
        <v>2.5</v>
      </c>
      <c r="AG5942" s="580">
        <f t="shared" si="499"/>
        <v>0</v>
      </c>
      <c r="AH5942" s="580">
        <f t="shared" si="500"/>
        <v>0</v>
      </c>
    </row>
    <row r="5943" spans="28:34">
      <c r="AB5943" s="580">
        <f>HLOOKUP("*"&amp;'Output annual'!$AC$2&amp;'Output annual'!$AD$2&amp;"*Zone People Number Of Occupants [](Hourly)",'Eplus results'!$1:$1048576,ROW(),FALSE)</f>
        <v>0</v>
      </c>
      <c r="AC5943" s="580">
        <f>HLOOKUP("*"&amp;'Output annual'!$AC$2&amp;'Output annual'!$AD$2&amp;"*FangerPMV(Hourly)",'Eplus results'!$1:$1048576,ROW(),FALSE)</f>
        <v>0</v>
      </c>
      <c r="AD5943" s="580">
        <f t="shared" si="496"/>
        <v>5</v>
      </c>
      <c r="AE5943" s="580">
        <f t="shared" si="497"/>
        <v>2.5</v>
      </c>
      <c r="AF5943" s="580">
        <f t="shared" si="498"/>
        <v>2.5</v>
      </c>
      <c r="AG5943" s="580">
        <f t="shared" si="499"/>
        <v>0</v>
      </c>
      <c r="AH5943" s="580">
        <f t="shared" si="500"/>
        <v>0</v>
      </c>
    </row>
    <row r="5944" spans="28:34">
      <c r="AB5944" s="580">
        <f>HLOOKUP("*"&amp;'Output annual'!$AC$2&amp;'Output annual'!$AD$2&amp;"*Zone People Number Of Occupants [](Hourly)",'Eplus results'!$1:$1048576,ROW(),FALSE)</f>
        <v>0</v>
      </c>
      <c r="AC5944" s="580">
        <f>HLOOKUP("*"&amp;'Output annual'!$AC$2&amp;'Output annual'!$AD$2&amp;"*FangerPMV(Hourly)",'Eplus results'!$1:$1048576,ROW(),FALSE)</f>
        <v>0</v>
      </c>
      <c r="AD5944" s="580">
        <f t="shared" si="496"/>
        <v>5</v>
      </c>
      <c r="AE5944" s="580">
        <f t="shared" si="497"/>
        <v>2.5</v>
      </c>
      <c r="AF5944" s="580">
        <f t="shared" si="498"/>
        <v>2.5</v>
      </c>
      <c r="AG5944" s="580">
        <f t="shared" si="499"/>
        <v>0</v>
      </c>
      <c r="AH5944" s="580">
        <f t="shared" si="500"/>
        <v>0</v>
      </c>
    </row>
    <row r="5945" spans="28:34">
      <c r="AB5945" s="580">
        <f>HLOOKUP("*"&amp;'Output annual'!$AC$2&amp;'Output annual'!$AD$2&amp;"*Zone People Number Of Occupants [](Hourly)",'Eplus results'!$1:$1048576,ROW(),FALSE)</f>
        <v>0</v>
      </c>
      <c r="AC5945" s="580">
        <f>HLOOKUP("*"&amp;'Output annual'!$AC$2&amp;'Output annual'!$AD$2&amp;"*FangerPMV(Hourly)",'Eplus results'!$1:$1048576,ROW(),FALSE)</f>
        <v>0</v>
      </c>
      <c r="AD5945" s="580">
        <f t="shared" si="496"/>
        <v>5</v>
      </c>
      <c r="AE5945" s="580">
        <f t="shared" si="497"/>
        <v>2.5</v>
      </c>
      <c r="AF5945" s="580">
        <f t="shared" si="498"/>
        <v>2.5</v>
      </c>
      <c r="AG5945" s="580">
        <f t="shared" si="499"/>
        <v>0</v>
      </c>
      <c r="AH5945" s="580">
        <f t="shared" si="500"/>
        <v>0</v>
      </c>
    </row>
    <row r="5946" spans="28:34">
      <c r="AB5946" s="580">
        <f>HLOOKUP("*"&amp;'Output annual'!$AC$2&amp;'Output annual'!$AD$2&amp;"*Zone People Number Of Occupants [](Hourly)",'Eplus results'!$1:$1048576,ROW(),FALSE)</f>
        <v>0</v>
      </c>
      <c r="AC5946" s="580">
        <f>HLOOKUP("*"&amp;'Output annual'!$AC$2&amp;'Output annual'!$AD$2&amp;"*FangerPMV(Hourly)",'Eplus results'!$1:$1048576,ROW(),FALSE)</f>
        <v>0</v>
      </c>
      <c r="AD5946" s="580">
        <f t="shared" si="496"/>
        <v>5</v>
      </c>
      <c r="AE5946" s="580">
        <f t="shared" si="497"/>
        <v>2.5</v>
      </c>
      <c r="AF5946" s="580">
        <f t="shared" si="498"/>
        <v>2.5</v>
      </c>
      <c r="AG5946" s="580">
        <f t="shared" si="499"/>
        <v>0</v>
      </c>
      <c r="AH5946" s="580">
        <f t="shared" si="500"/>
        <v>0</v>
      </c>
    </row>
    <row r="5947" spans="28:34">
      <c r="AB5947" s="580">
        <f>HLOOKUP("*"&amp;'Output annual'!$AC$2&amp;'Output annual'!$AD$2&amp;"*Zone People Number Of Occupants [](Hourly)",'Eplus results'!$1:$1048576,ROW(),FALSE)</f>
        <v>0</v>
      </c>
      <c r="AC5947" s="580">
        <f>HLOOKUP("*"&amp;'Output annual'!$AC$2&amp;'Output annual'!$AD$2&amp;"*FangerPMV(Hourly)",'Eplus results'!$1:$1048576,ROW(),FALSE)</f>
        <v>0</v>
      </c>
      <c r="AD5947" s="580">
        <f t="shared" si="496"/>
        <v>5</v>
      </c>
      <c r="AE5947" s="580">
        <f t="shared" si="497"/>
        <v>2.5</v>
      </c>
      <c r="AF5947" s="580">
        <f t="shared" si="498"/>
        <v>2.5</v>
      </c>
      <c r="AG5947" s="580">
        <f t="shared" si="499"/>
        <v>0</v>
      </c>
      <c r="AH5947" s="580">
        <f t="shared" si="500"/>
        <v>0</v>
      </c>
    </row>
    <row r="5948" spans="28:34">
      <c r="AB5948" s="580">
        <f>HLOOKUP("*"&amp;'Output annual'!$AC$2&amp;'Output annual'!$AD$2&amp;"*Zone People Number Of Occupants [](Hourly)",'Eplus results'!$1:$1048576,ROW(),FALSE)</f>
        <v>0</v>
      </c>
      <c r="AC5948" s="580">
        <f>HLOOKUP("*"&amp;'Output annual'!$AC$2&amp;'Output annual'!$AD$2&amp;"*FangerPMV(Hourly)",'Eplus results'!$1:$1048576,ROW(),FALSE)</f>
        <v>0</v>
      </c>
      <c r="AD5948" s="580">
        <f t="shared" si="496"/>
        <v>5</v>
      </c>
      <c r="AE5948" s="580">
        <f t="shared" si="497"/>
        <v>2.5</v>
      </c>
      <c r="AF5948" s="580">
        <f t="shared" si="498"/>
        <v>2.5</v>
      </c>
      <c r="AG5948" s="580">
        <f t="shared" si="499"/>
        <v>0</v>
      </c>
      <c r="AH5948" s="580">
        <f t="shared" si="500"/>
        <v>0</v>
      </c>
    </row>
    <row r="5949" spans="28:34">
      <c r="AB5949" s="580">
        <f>HLOOKUP("*"&amp;'Output annual'!$AC$2&amp;'Output annual'!$AD$2&amp;"*Zone People Number Of Occupants [](Hourly)",'Eplus results'!$1:$1048576,ROW(),FALSE)</f>
        <v>0</v>
      </c>
      <c r="AC5949" s="580">
        <f>HLOOKUP("*"&amp;'Output annual'!$AC$2&amp;'Output annual'!$AD$2&amp;"*FangerPMV(Hourly)",'Eplus results'!$1:$1048576,ROW(),FALSE)</f>
        <v>0</v>
      </c>
      <c r="AD5949" s="580">
        <f t="shared" si="496"/>
        <v>5</v>
      </c>
      <c r="AE5949" s="580">
        <f t="shared" si="497"/>
        <v>2.5</v>
      </c>
      <c r="AF5949" s="580">
        <f t="shared" si="498"/>
        <v>2.5</v>
      </c>
      <c r="AG5949" s="580">
        <f t="shared" si="499"/>
        <v>0</v>
      </c>
      <c r="AH5949" s="580">
        <f t="shared" si="500"/>
        <v>0</v>
      </c>
    </row>
    <row r="5950" spans="28:34">
      <c r="AB5950" s="580">
        <f>HLOOKUP("*"&amp;'Output annual'!$AC$2&amp;'Output annual'!$AD$2&amp;"*Zone People Number Of Occupants [](Hourly)",'Eplus results'!$1:$1048576,ROW(),FALSE)</f>
        <v>0</v>
      </c>
      <c r="AC5950" s="580">
        <f>HLOOKUP("*"&amp;'Output annual'!$AC$2&amp;'Output annual'!$AD$2&amp;"*FangerPMV(Hourly)",'Eplus results'!$1:$1048576,ROW(),FALSE)</f>
        <v>0</v>
      </c>
      <c r="AD5950" s="580">
        <f t="shared" si="496"/>
        <v>5</v>
      </c>
      <c r="AE5950" s="580">
        <f t="shared" si="497"/>
        <v>2.5</v>
      </c>
      <c r="AF5950" s="580">
        <f t="shared" si="498"/>
        <v>2.5</v>
      </c>
      <c r="AG5950" s="580">
        <f t="shared" si="499"/>
        <v>0</v>
      </c>
      <c r="AH5950" s="580">
        <f t="shared" si="500"/>
        <v>0</v>
      </c>
    </row>
    <row r="5951" spans="28:34">
      <c r="AB5951" s="580">
        <f>HLOOKUP("*"&amp;'Output annual'!$AC$2&amp;'Output annual'!$AD$2&amp;"*Zone People Number Of Occupants [](Hourly)",'Eplus results'!$1:$1048576,ROW(),FALSE)</f>
        <v>0</v>
      </c>
      <c r="AC5951" s="580">
        <f>HLOOKUP("*"&amp;'Output annual'!$AC$2&amp;'Output annual'!$AD$2&amp;"*FangerPMV(Hourly)",'Eplus results'!$1:$1048576,ROW(),FALSE)</f>
        <v>0</v>
      </c>
      <c r="AD5951" s="580">
        <f t="shared" si="496"/>
        <v>5</v>
      </c>
      <c r="AE5951" s="580">
        <f t="shared" si="497"/>
        <v>2.5</v>
      </c>
      <c r="AF5951" s="580">
        <f t="shared" si="498"/>
        <v>2.5</v>
      </c>
      <c r="AG5951" s="580">
        <f t="shared" si="499"/>
        <v>0</v>
      </c>
      <c r="AH5951" s="580">
        <f t="shared" si="500"/>
        <v>0</v>
      </c>
    </row>
    <row r="5952" spans="28:34">
      <c r="AB5952" s="580">
        <f>HLOOKUP("*"&amp;'Output annual'!$AC$2&amp;'Output annual'!$AD$2&amp;"*Zone People Number Of Occupants [](Hourly)",'Eplus results'!$1:$1048576,ROW(),FALSE)</f>
        <v>0</v>
      </c>
      <c r="AC5952" s="580">
        <f>HLOOKUP("*"&amp;'Output annual'!$AC$2&amp;'Output annual'!$AD$2&amp;"*FangerPMV(Hourly)",'Eplus results'!$1:$1048576,ROW(),FALSE)</f>
        <v>0</v>
      </c>
      <c r="AD5952" s="580">
        <f t="shared" si="496"/>
        <v>5</v>
      </c>
      <c r="AE5952" s="580">
        <f t="shared" si="497"/>
        <v>2.5</v>
      </c>
      <c r="AF5952" s="580">
        <f t="shared" si="498"/>
        <v>2.5</v>
      </c>
      <c r="AG5952" s="580">
        <f t="shared" si="499"/>
        <v>0</v>
      </c>
      <c r="AH5952" s="580">
        <f t="shared" si="500"/>
        <v>0</v>
      </c>
    </row>
    <row r="5953" spans="28:34">
      <c r="AB5953" s="580">
        <f>HLOOKUP("*"&amp;'Output annual'!$AC$2&amp;'Output annual'!$AD$2&amp;"*Zone People Number Of Occupants [](Hourly)",'Eplus results'!$1:$1048576,ROW(),FALSE)</f>
        <v>0</v>
      </c>
      <c r="AC5953" s="580">
        <f>HLOOKUP("*"&amp;'Output annual'!$AC$2&amp;'Output annual'!$AD$2&amp;"*FangerPMV(Hourly)",'Eplus results'!$1:$1048576,ROW(),FALSE)</f>
        <v>0</v>
      </c>
      <c r="AD5953" s="580">
        <f t="shared" si="496"/>
        <v>5</v>
      </c>
      <c r="AE5953" s="580">
        <f t="shared" si="497"/>
        <v>2.5</v>
      </c>
      <c r="AF5953" s="580">
        <f t="shared" si="498"/>
        <v>2.5</v>
      </c>
      <c r="AG5953" s="580">
        <f t="shared" si="499"/>
        <v>0</v>
      </c>
      <c r="AH5953" s="580">
        <f t="shared" si="500"/>
        <v>0</v>
      </c>
    </row>
    <row r="5954" spans="28:34">
      <c r="AB5954" s="580">
        <f>HLOOKUP("*"&amp;'Output annual'!$AC$2&amp;'Output annual'!$AD$2&amp;"*Zone People Number Of Occupants [](Hourly)",'Eplus results'!$1:$1048576,ROW(),FALSE)</f>
        <v>0</v>
      </c>
      <c r="AC5954" s="580">
        <f>HLOOKUP("*"&amp;'Output annual'!$AC$2&amp;'Output annual'!$AD$2&amp;"*FangerPMV(Hourly)",'Eplus results'!$1:$1048576,ROW(),FALSE)</f>
        <v>0</v>
      </c>
      <c r="AD5954" s="580">
        <f t="shared" si="496"/>
        <v>5</v>
      </c>
      <c r="AE5954" s="580">
        <f t="shared" si="497"/>
        <v>2.5</v>
      </c>
      <c r="AF5954" s="580">
        <f t="shared" si="498"/>
        <v>2.5</v>
      </c>
      <c r="AG5954" s="580">
        <f t="shared" si="499"/>
        <v>0</v>
      </c>
      <c r="AH5954" s="580">
        <f t="shared" si="500"/>
        <v>0</v>
      </c>
    </row>
    <row r="5955" spans="28:34">
      <c r="AB5955" s="580">
        <f>HLOOKUP("*"&amp;'Output annual'!$AC$2&amp;'Output annual'!$AD$2&amp;"*Zone People Number Of Occupants [](Hourly)",'Eplus results'!$1:$1048576,ROW(),FALSE)</f>
        <v>0</v>
      </c>
      <c r="AC5955" s="580">
        <f>HLOOKUP("*"&amp;'Output annual'!$AC$2&amp;'Output annual'!$AD$2&amp;"*FangerPMV(Hourly)",'Eplus results'!$1:$1048576,ROW(),FALSE)</f>
        <v>0</v>
      </c>
      <c r="AD5955" s="580">
        <f t="shared" ref="AD5955:AD6018" si="501">100-95*EXP(-0.03353*AC5955^4-0.2179*AC5955^2)</f>
        <v>5</v>
      </c>
      <c r="AE5955" s="580">
        <f t="shared" ref="AE5955:AE6018" si="502">AD5955*(1/(1+EXP(-6.3*$AC5955)))</f>
        <v>2.5</v>
      </c>
      <c r="AF5955" s="580">
        <f t="shared" ref="AF5955:AF6018" si="503">(AD5955-AE5955)</f>
        <v>2.5</v>
      </c>
      <c r="AG5955" s="580">
        <f t="shared" ref="AG5955:AG6018" si="504">AE5955*AB5955</f>
        <v>0</v>
      </c>
      <c r="AH5955" s="580">
        <f t="shared" ref="AH5955:AH6018" si="505">AF5955*AB5955</f>
        <v>0</v>
      </c>
    </row>
    <row r="5956" spans="28:34">
      <c r="AB5956" s="580">
        <f>HLOOKUP("*"&amp;'Output annual'!$AC$2&amp;'Output annual'!$AD$2&amp;"*Zone People Number Of Occupants [](Hourly)",'Eplus results'!$1:$1048576,ROW(),FALSE)</f>
        <v>0</v>
      </c>
      <c r="AC5956" s="580">
        <f>HLOOKUP("*"&amp;'Output annual'!$AC$2&amp;'Output annual'!$AD$2&amp;"*FangerPMV(Hourly)",'Eplus results'!$1:$1048576,ROW(),FALSE)</f>
        <v>0</v>
      </c>
      <c r="AD5956" s="580">
        <f t="shared" si="501"/>
        <v>5</v>
      </c>
      <c r="AE5956" s="580">
        <f t="shared" si="502"/>
        <v>2.5</v>
      </c>
      <c r="AF5956" s="580">
        <f t="shared" si="503"/>
        <v>2.5</v>
      </c>
      <c r="AG5956" s="580">
        <f t="shared" si="504"/>
        <v>0</v>
      </c>
      <c r="AH5956" s="580">
        <f t="shared" si="505"/>
        <v>0</v>
      </c>
    </row>
    <row r="5957" spans="28:34">
      <c r="AB5957" s="580">
        <f>HLOOKUP("*"&amp;'Output annual'!$AC$2&amp;'Output annual'!$AD$2&amp;"*Zone People Number Of Occupants [](Hourly)",'Eplus results'!$1:$1048576,ROW(),FALSE)</f>
        <v>0</v>
      </c>
      <c r="AC5957" s="580">
        <f>HLOOKUP("*"&amp;'Output annual'!$AC$2&amp;'Output annual'!$AD$2&amp;"*FangerPMV(Hourly)",'Eplus results'!$1:$1048576,ROW(),FALSE)</f>
        <v>0</v>
      </c>
      <c r="AD5957" s="580">
        <f t="shared" si="501"/>
        <v>5</v>
      </c>
      <c r="AE5957" s="580">
        <f t="shared" si="502"/>
        <v>2.5</v>
      </c>
      <c r="AF5957" s="580">
        <f t="shared" si="503"/>
        <v>2.5</v>
      </c>
      <c r="AG5957" s="580">
        <f t="shared" si="504"/>
        <v>0</v>
      </c>
      <c r="AH5957" s="580">
        <f t="shared" si="505"/>
        <v>0</v>
      </c>
    </row>
    <row r="5958" spans="28:34">
      <c r="AB5958" s="580">
        <f>HLOOKUP("*"&amp;'Output annual'!$AC$2&amp;'Output annual'!$AD$2&amp;"*Zone People Number Of Occupants [](Hourly)",'Eplus results'!$1:$1048576,ROW(),FALSE)</f>
        <v>0</v>
      </c>
      <c r="AC5958" s="580">
        <f>HLOOKUP("*"&amp;'Output annual'!$AC$2&amp;'Output annual'!$AD$2&amp;"*FangerPMV(Hourly)",'Eplus results'!$1:$1048576,ROW(),FALSE)</f>
        <v>0</v>
      </c>
      <c r="AD5958" s="580">
        <f t="shared" si="501"/>
        <v>5</v>
      </c>
      <c r="AE5958" s="580">
        <f t="shared" si="502"/>
        <v>2.5</v>
      </c>
      <c r="AF5958" s="580">
        <f t="shared" si="503"/>
        <v>2.5</v>
      </c>
      <c r="AG5958" s="580">
        <f t="shared" si="504"/>
        <v>0</v>
      </c>
      <c r="AH5958" s="580">
        <f t="shared" si="505"/>
        <v>0</v>
      </c>
    </row>
    <row r="5959" spans="28:34">
      <c r="AB5959" s="580">
        <f>HLOOKUP("*"&amp;'Output annual'!$AC$2&amp;'Output annual'!$AD$2&amp;"*Zone People Number Of Occupants [](Hourly)",'Eplus results'!$1:$1048576,ROW(),FALSE)</f>
        <v>0</v>
      </c>
      <c r="AC5959" s="580">
        <f>HLOOKUP("*"&amp;'Output annual'!$AC$2&amp;'Output annual'!$AD$2&amp;"*FangerPMV(Hourly)",'Eplus results'!$1:$1048576,ROW(),FALSE)</f>
        <v>0</v>
      </c>
      <c r="AD5959" s="580">
        <f t="shared" si="501"/>
        <v>5</v>
      </c>
      <c r="AE5959" s="580">
        <f t="shared" si="502"/>
        <v>2.5</v>
      </c>
      <c r="AF5959" s="580">
        <f t="shared" si="503"/>
        <v>2.5</v>
      </c>
      <c r="AG5959" s="580">
        <f t="shared" si="504"/>
        <v>0</v>
      </c>
      <c r="AH5959" s="580">
        <f t="shared" si="505"/>
        <v>0</v>
      </c>
    </row>
    <row r="5960" spans="28:34">
      <c r="AB5960" s="580">
        <f>HLOOKUP("*"&amp;'Output annual'!$AC$2&amp;'Output annual'!$AD$2&amp;"*Zone People Number Of Occupants [](Hourly)",'Eplus results'!$1:$1048576,ROW(),FALSE)</f>
        <v>0</v>
      </c>
      <c r="AC5960" s="580">
        <f>HLOOKUP("*"&amp;'Output annual'!$AC$2&amp;'Output annual'!$AD$2&amp;"*FangerPMV(Hourly)",'Eplus results'!$1:$1048576,ROW(),FALSE)</f>
        <v>0</v>
      </c>
      <c r="AD5960" s="580">
        <f t="shared" si="501"/>
        <v>5</v>
      </c>
      <c r="AE5960" s="580">
        <f t="shared" si="502"/>
        <v>2.5</v>
      </c>
      <c r="AF5960" s="580">
        <f t="shared" si="503"/>
        <v>2.5</v>
      </c>
      <c r="AG5960" s="580">
        <f t="shared" si="504"/>
        <v>0</v>
      </c>
      <c r="AH5960" s="580">
        <f t="shared" si="505"/>
        <v>0</v>
      </c>
    </row>
    <row r="5961" spans="28:34">
      <c r="AB5961" s="580">
        <f>HLOOKUP("*"&amp;'Output annual'!$AC$2&amp;'Output annual'!$AD$2&amp;"*Zone People Number Of Occupants [](Hourly)",'Eplus results'!$1:$1048576,ROW(),FALSE)</f>
        <v>0</v>
      </c>
      <c r="AC5961" s="580">
        <f>HLOOKUP("*"&amp;'Output annual'!$AC$2&amp;'Output annual'!$AD$2&amp;"*FangerPMV(Hourly)",'Eplus results'!$1:$1048576,ROW(),FALSE)</f>
        <v>0</v>
      </c>
      <c r="AD5961" s="580">
        <f t="shared" si="501"/>
        <v>5</v>
      </c>
      <c r="AE5961" s="580">
        <f t="shared" si="502"/>
        <v>2.5</v>
      </c>
      <c r="AF5961" s="580">
        <f t="shared" si="503"/>
        <v>2.5</v>
      </c>
      <c r="AG5961" s="580">
        <f t="shared" si="504"/>
        <v>0</v>
      </c>
      <c r="AH5961" s="580">
        <f t="shared" si="505"/>
        <v>0</v>
      </c>
    </row>
    <row r="5962" spans="28:34">
      <c r="AB5962" s="580">
        <f>HLOOKUP("*"&amp;'Output annual'!$AC$2&amp;'Output annual'!$AD$2&amp;"*Zone People Number Of Occupants [](Hourly)",'Eplus results'!$1:$1048576,ROW(),FALSE)</f>
        <v>0</v>
      </c>
      <c r="AC5962" s="580">
        <f>HLOOKUP("*"&amp;'Output annual'!$AC$2&amp;'Output annual'!$AD$2&amp;"*FangerPMV(Hourly)",'Eplus results'!$1:$1048576,ROW(),FALSE)</f>
        <v>0</v>
      </c>
      <c r="AD5962" s="580">
        <f t="shared" si="501"/>
        <v>5</v>
      </c>
      <c r="AE5962" s="580">
        <f t="shared" si="502"/>
        <v>2.5</v>
      </c>
      <c r="AF5962" s="580">
        <f t="shared" si="503"/>
        <v>2.5</v>
      </c>
      <c r="AG5962" s="580">
        <f t="shared" si="504"/>
        <v>0</v>
      </c>
      <c r="AH5962" s="580">
        <f t="shared" si="505"/>
        <v>0</v>
      </c>
    </row>
    <row r="5963" spans="28:34">
      <c r="AB5963" s="580">
        <f>HLOOKUP("*"&amp;'Output annual'!$AC$2&amp;'Output annual'!$AD$2&amp;"*Zone People Number Of Occupants [](Hourly)",'Eplus results'!$1:$1048576,ROW(),FALSE)</f>
        <v>0</v>
      </c>
      <c r="AC5963" s="580">
        <f>HLOOKUP("*"&amp;'Output annual'!$AC$2&amp;'Output annual'!$AD$2&amp;"*FangerPMV(Hourly)",'Eplus results'!$1:$1048576,ROW(),FALSE)</f>
        <v>0</v>
      </c>
      <c r="AD5963" s="580">
        <f t="shared" si="501"/>
        <v>5</v>
      </c>
      <c r="AE5963" s="580">
        <f t="shared" si="502"/>
        <v>2.5</v>
      </c>
      <c r="AF5963" s="580">
        <f t="shared" si="503"/>
        <v>2.5</v>
      </c>
      <c r="AG5963" s="580">
        <f t="shared" si="504"/>
        <v>0</v>
      </c>
      <c r="AH5963" s="580">
        <f t="shared" si="505"/>
        <v>0</v>
      </c>
    </row>
    <row r="5964" spans="28:34">
      <c r="AB5964" s="580">
        <f>HLOOKUP("*"&amp;'Output annual'!$AC$2&amp;'Output annual'!$AD$2&amp;"*Zone People Number Of Occupants [](Hourly)",'Eplus results'!$1:$1048576,ROW(),FALSE)</f>
        <v>0</v>
      </c>
      <c r="AC5964" s="580">
        <f>HLOOKUP("*"&amp;'Output annual'!$AC$2&amp;'Output annual'!$AD$2&amp;"*FangerPMV(Hourly)",'Eplus results'!$1:$1048576,ROW(),FALSE)</f>
        <v>0</v>
      </c>
      <c r="AD5964" s="580">
        <f t="shared" si="501"/>
        <v>5</v>
      </c>
      <c r="AE5964" s="580">
        <f t="shared" si="502"/>
        <v>2.5</v>
      </c>
      <c r="AF5964" s="580">
        <f t="shared" si="503"/>
        <v>2.5</v>
      </c>
      <c r="AG5964" s="580">
        <f t="shared" si="504"/>
        <v>0</v>
      </c>
      <c r="AH5964" s="580">
        <f t="shared" si="505"/>
        <v>0</v>
      </c>
    </row>
    <row r="5965" spans="28:34">
      <c r="AB5965" s="580">
        <f>HLOOKUP("*"&amp;'Output annual'!$AC$2&amp;'Output annual'!$AD$2&amp;"*Zone People Number Of Occupants [](Hourly)",'Eplus results'!$1:$1048576,ROW(),FALSE)</f>
        <v>0</v>
      </c>
      <c r="AC5965" s="580">
        <f>HLOOKUP("*"&amp;'Output annual'!$AC$2&amp;'Output annual'!$AD$2&amp;"*FangerPMV(Hourly)",'Eplus results'!$1:$1048576,ROW(),FALSE)</f>
        <v>0</v>
      </c>
      <c r="AD5965" s="580">
        <f t="shared" si="501"/>
        <v>5</v>
      </c>
      <c r="AE5965" s="580">
        <f t="shared" si="502"/>
        <v>2.5</v>
      </c>
      <c r="AF5965" s="580">
        <f t="shared" si="503"/>
        <v>2.5</v>
      </c>
      <c r="AG5965" s="580">
        <f t="shared" si="504"/>
        <v>0</v>
      </c>
      <c r="AH5965" s="580">
        <f t="shared" si="505"/>
        <v>0</v>
      </c>
    </row>
    <row r="5966" spans="28:34">
      <c r="AB5966" s="580">
        <f>HLOOKUP("*"&amp;'Output annual'!$AC$2&amp;'Output annual'!$AD$2&amp;"*Zone People Number Of Occupants [](Hourly)",'Eplus results'!$1:$1048576,ROW(),FALSE)</f>
        <v>0</v>
      </c>
      <c r="AC5966" s="580">
        <f>HLOOKUP("*"&amp;'Output annual'!$AC$2&amp;'Output annual'!$AD$2&amp;"*FangerPMV(Hourly)",'Eplus results'!$1:$1048576,ROW(),FALSE)</f>
        <v>0</v>
      </c>
      <c r="AD5966" s="580">
        <f t="shared" si="501"/>
        <v>5</v>
      </c>
      <c r="AE5966" s="580">
        <f t="shared" si="502"/>
        <v>2.5</v>
      </c>
      <c r="AF5966" s="580">
        <f t="shared" si="503"/>
        <v>2.5</v>
      </c>
      <c r="AG5966" s="580">
        <f t="shared" si="504"/>
        <v>0</v>
      </c>
      <c r="AH5966" s="580">
        <f t="shared" si="505"/>
        <v>0</v>
      </c>
    </row>
    <row r="5967" spans="28:34">
      <c r="AB5967" s="580">
        <f>HLOOKUP("*"&amp;'Output annual'!$AC$2&amp;'Output annual'!$AD$2&amp;"*Zone People Number Of Occupants [](Hourly)",'Eplus results'!$1:$1048576,ROW(),FALSE)</f>
        <v>0</v>
      </c>
      <c r="AC5967" s="580">
        <f>HLOOKUP("*"&amp;'Output annual'!$AC$2&amp;'Output annual'!$AD$2&amp;"*FangerPMV(Hourly)",'Eplus results'!$1:$1048576,ROW(),FALSE)</f>
        <v>0</v>
      </c>
      <c r="AD5967" s="580">
        <f t="shared" si="501"/>
        <v>5</v>
      </c>
      <c r="AE5967" s="580">
        <f t="shared" si="502"/>
        <v>2.5</v>
      </c>
      <c r="AF5967" s="580">
        <f t="shared" si="503"/>
        <v>2.5</v>
      </c>
      <c r="AG5967" s="580">
        <f t="shared" si="504"/>
        <v>0</v>
      </c>
      <c r="AH5967" s="580">
        <f t="shared" si="505"/>
        <v>0</v>
      </c>
    </row>
    <row r="5968" spans="28:34">
      <c r="AB5968" s="580">
        <f>HLOOKUP("*"&amp;'Output annual'!$AC$2&amp;'Output annual'!$AD$2&amp;"*Zone People Number Of Occupants [](Hourly)",'Eplus results'!$1:$1048576,ROW(),FALSE)</f>
        <v>0</v>
      </c>
      <c r="AC5968" s="580">
        <f>HLOOKUP("*"&amp;'Output annual'!$AC$2&amp;'Output annual'!$AD$2&amp;"*FangerPMV(Hourly)",'Eplus results'!$1:$1048576,ROW(),FALSE)</f>
        <v>0</v>
      </c>
      <c r="AD5968" s="580">
        <f t="shared" si="501"/>
        <v>5</v>
      </c>
      <c r="AE5968" s="580">
        <f t="shared" si="502"/>
        <v>2.5</v>
      </c>
      <c r="AF5968" s="580">
        <f t="shared" si="503"/>
        <v>2.5</v>
      </c>
      <c r="AG5968" s="580">
        <f t="shared" si="504"/>
        <v>0</v>
      </c>
      <c r="AH5968" s="580">
        <f t="shared" si="505"/>
        <v>0</v>
      </c>
    </row>
    <row r="5969" spans="28:34">
      <c r="AB5969" s="580">
        <f>HLOOKUP("*"&amp;'Output annual'!$AC$2&amp;'Output annual'!$AD$2&amp;"*Zone People Number Of Occupants [](Hourly)",'Eplus results'!$1:$1048576,ROW(),FALSE)</f>
        <v>0</v>
      </c>
      <c r="AC5969" s="580">
        <f>HLOOKUP("*"&amp;'Output annual'!$AC$2&amp;'Output annual'!$AD$2&amp;"*FangerPMV(Hourly)",'Eplus results'!$1:$1048576,ROW(),FALSE)</f>
        <v>0</v>
      </c>
      <c r="AD5969" s="580">
        <f t="shared" si="501"/>
        <v>5</v>
      </c>
      <c r="AE5969" s="580">
        <f t="shared" si="502"/>
        <v>2.5</v>
      </c>
      <c r="AF5969" s="580">
        <f t="shared" si="503"/>
        <v>2.5</v>
      </c>
      <c r="AG5969" s="580">
        <f t="shared" si="504"/>
        <v>0</v>
      </c>
      <c r="AH5969" s="580">
        <f t="shared" si="505"/>
        <v>0</v>
      </c>
    </row>
    <row r="5970" spans="28:34">
      <c r="AB5970" s="580">
        <f>HLOOKUP("*"&amp;'Output annual'!$AC$2&amp;'Output annual'!$AD$2&amp;"*Zone People Number Of Occupants [](Hourly)",'Eplus results'!$1:$1048576,ROW(),FALSE)</f>
        <v>0</v>
      </c>
      <c r="AC5970" s="580">
        <f>HLOOKUP("*"&amp;'Output annual'!$AC$2&amp;'Output annual'!$AD$2&amp;"*FangerPMV(Hourly)",'Eplus results'!$1:$1048576,ROW(),FALSE)</f>
        <v>0</v>
      </c>
      <c r="AD5970" s="580">
        <f t="shared" si="501"/>
        <v>5</v>
      </c>
      <c r="AE5970" s="580">
        <f t="shared" si="502"/>
        <v>2.5</v>
      </c>
      <c r="AF5970" s="580">
        <f t="shared" si="503"/>
        <v>2.5</v>
      </c>
      <c r="AG5970" s="580">
        <f t="shared" si="504"/>
        <v>0</v>
      </c>
      <c r="AH5970" s="580">
        <f t="shared" si="505"/>
        <v>0</v>
      </c>
    </row>
    <row r="5971" spans="28:34">
      <c r="AB5971" s="580">
        <f>HLOOKUP("*"&amp;'Output annual'!$AC$2&amp;'Output annual'!$AD$2&amp;"*Zone People Number Of Occupants [](Hourly)",'Eplus results'!$1:$1048576,ROW(),FALSE)</f>
        <v>0</v>
      </c>
      <c r="AC5971" s="580">
        <f>HLOOKUP("*"&amp;'Output annual'!$AC$2&amp;'Output annual'!$AD$2&amp;"*FangerPMV(Hourly)",'Eplus results'!$1:$1048576,ROW(),FALSE)</f>
        <v>0</v>
      </c>
      <c r="AD5971" s="580">
        <f t="shared" si="501"/>
        <v>5</v>
      </c>
      <c r="AE5971" s="580">
        <f t="shared" si="502"/>
        <v>2.5</v>
      </c>
      <c r="AF5971" s="580">
        <f t="shared" si="503"/>
        <v>2.5</v>
      </c>
      <c r="AG5971" s="580">
        <f t="shared" si="504"/>
        <v>0</v>
      </c>
      <c r="AH5971" s="580">
        <f t="shared" si="505"/>
        <v>0</v>
      </c>
    </row>
    <row r="5972" spans="28:34">
      <c r="AB5972" s="580">
        <f>HLOOKUP("*"&amp;'Output annual'!$AC$2&amp;'Output annual'!$AD$2&amp;"*Zone People Number Of Occupants [](Hourly)",'Eplus results'!$1:$1048576,ROW(),FALSE)</f>
        <v>0</v>
      </c>
      <c r="AC5972" s="580">
        <f>HLOOKUP("*"&amp;'Output annual'!$AC$2&amp;'Output annual'!$AD$2&amp;"*FangerPMV(Hourly)",'Eplus results'!$1:$1048576,ROW(),FALSE)</f>
        <v>0</v>
      </c>
      <c r="AD5972" s="580">
        <f t="shared" si="501"/>
        <v>5</v>
      </c>
      <c r="AE5972" s="580">
        <f t="shared" si="502"/>
        <v>2.5</v>
      </c>
      <c r="AF5972" s="580">
        <f t="shared" si="503"/>
        <v>2.5</v>
      </c>
      <c r="AG5972" s="580">
        <f t="shared" si="504"/>
        <v>0</v>
      </c>
      <c r="AH5972" s="580">
        <f t="shared" si="505"/>
        <v>0</v>
      </c>
    </row>
    <row r="5973" spans="28:34">
      <c r="AB5973" s="580">
        <f>HLOOKUP("*"&amp;'Output annual'!$AC$2&amp;'Output annual'!$AD$2&amp;"*Zone People Number Of Occupants [](Hourly)",'Eplus results'!$1:$1048576,ROW(),FALSE)</f>
        <v>0</v>
      </c>
      <c r="AC5973" s="580">
        <f>HLOOKUP("*"&amp;'Output annual'!$AC$2&amp;'Output annual'!$AD$2&amp;"*FangerPMV(Hourly)",'Eplus results'!$1:$1048576,ROW(),FALSE)</f>
        <v>0</v>
      </c>
      <c r="AD5973" s="580">
        <f t="shared" si="501"/>
        <v>5</v>
      </c>
      <c r="AE5973" s="580">
        <f t="shared" si="502"/>
        <v>2.5</v>
      </c>
      <c r="AF5973" s="580">
        <f t="shared" si="503"/>
        <v>2.5</v>
      </c>
      <c r="AG5973" s="580">
        <f t="shared" si="504"/>
        <v>0</v>
      </c>
      <c r="AH5973" s="580">
        <f t="shared" si="505"/>
        <v>0</v>
      </c>
    </row>
    <row r="5974" spans="28:34">
      <c r="AB5974" s="580">
        <f>HLOOKUP("*"&amp;'Output annual'!$AC$2&amp;'Output annual'!$AD$2&amp;"*Zone People Number Of Occupants [](Hourly)",'Eplus results'!$1:$1048576,ROW(),FALSE)</f>
        <v>0</v>
      </c>
      <c r="AC5974" s="580">
        <f>HLOOKUP("*"&amp;'Output annual'!$AC$2&amp;'Output annual'!$AD$2&amp;"*FangerPMV(Hourly)",'Eplus results'!$1:$1048576,ROW(),FALSE)</f>
        <v>0</v>
      </c>
      <c r="AD5974" s="580">
        <f t="shared" si="501"/>
        <v>5</v>
      </c>
      <c r="AE5974" s="580">
        <f t="shared" si="502"/>
        <v>2.5</v>
      </c>
      <c r="AF5974" s="580">
        <f t="shared" si="503"/>
        <v>2.5</v>
      </c>
      <c r="AG5974" s="580">
        <f t="shared" si="504"/>
        <v>0</v>
      </c>
      <c r="AH5974" s="580">
        <f t="shared" si="505"/>
        <v>0</v>
      </c>
    </row>
    <row r="5975" spans="28:34">
      <c r="AB5975" s="580">
        <f>HLOOKUP("*"&amp;'Output annual'!$AC$2&amp;'Output annual'!$AD$2&amp;"*Zone People Number Of Occupants [](Hourly)",'Eplus results'!$1:$1048576,ROW(),FALSE)</f>
        <v>0</v>
      </c>
      <c r="AC5975" s="580">
        <f>HLOOKUP("*"&amp;'Output annual'!$AC$2&amp;'Output annual'!$AD$2&amp;"*FangerPMV(Hourly)",'Eplus results'!$1:$1048576,ROW(),FALSE)</f>
        <v>0</v>
      </c>
      <c r="AD5975" s="580">
        <f t="shared" si="501"/>
        <v>5</v>
      </c>
      <c r="AE5975" s="580">
        <f t="shared" si="502"/>
        <v>2.5</v>
      </c>
      <c r="AF5975" s="580">
        <f t="shared" si="503"/>
        <v>2.5</v>
      </c>
      <c r="AG5975" s="580">
        <f t="shared" si="504"/>
        <v>0</v>
      </c>
      <c r="AH5975" s="580">
        <f t="shared" si="505"/>
        <v>0</v>
      </c>
    </row>
    <row r="5976" spans="28:34">
      <c r="AB5976" s="580">
        <f>HLOOKUP("*"&amp;'Output annual'!$AC$2&amp;'Output annual'!$AD$2&amp;"*Zone People Number Of Occupants [](Hourly)",'Eplus results'!$1:$1048576,ROW(),FALSE)</f>
        <v>0</v>
      </c>
      <c r="AC5976" s="580">
        <f>HLOOKUP("*"&amp;'Output annual'!$AC$2&amp;'Output annual'!$AD$2&amp;"*FangerPMV(Hourly)",'Eplus results'!$1:$1048576,ROW(),FALSE)</f>
        <v>0</v>
      </c>
      <c r="AD5976" s="580">
        <f t="shared" si="501"/>
        <v>5</v>
      </c>
      <c r="AE5976" s="580">
        <f t="shared" si="502"/>
        <v>2.5</v>
      </c>
      <c r="AF5976" s="580">
        <f t="shared" si="503"/>
        <v>2.5</v>
      </c>
      <c r="AG5976" s="580">
        <f t="shared" si="504"/>
        <v>0</v>
      </c>
      <c r="AH5976" s="580">
        <f t="shared" si="505"/>
        <v>0</v>
      </c>
    </row>
    <row r="5977" spans="28:34">
      <c r="AB5977" s="580">
        <f>HLOOKUP("*"&amp;'Output annual'!$AC$2&amp;'Output annual'!$AD$2&amp;"*Zone People Number Of Occupants [](Hourly)",'Eplus results'!$1:$1048576,ROW(),FALSE)</f>
        <v>0</v>
      </c>
      <c r="AC5977" s="580">
        <f>HLOOKUP("*"&amp;'Output annual'!$AC$2&amp;'Output annual'!$AD$2&amp;"*FangerPMV(Hourly)",'Eplus results'!$1:$1048576,ROW(),FALSE)</f>
        <v>0</v>
      </c>
      <c r="AD5977" s="580">
        <f t="shared" si="501"/>
        <v>5</v>
      </c>
      <c r="AE5977" s="580">
        <f t="shared" si="502"/>
        <v>2.5</v>
      </c>
      <c r="AF5977" s="580">
        <f t="shared" si="503"/>
        <v>2.5</v>
      </c>
      <c r="AG5977" s="580">
        <f t="shared" si="504"/>
        <v>0</v>
      </c>
      <c r="AH5977" s="580">
        <f t="shared" si="505"/>
        <v>0</v>
      </c>
    </row>
    <row r="5978" spans="28:34">
      <c r="AB5978" s="580">
        <f>HLOOKUP("*"&amp;'Output annual'!$AC$2&amp;'Output annual'!$AD$2&amp;"*Zone People Number Of Occupants [](Hourly)",'Eplus results'!$1:$1048576,ROW(),FALSE)</f>
        <v>0</v>
      </c>
      <c r="AC5978" s="580">
        <f>HLOOKUP("*"&amp;'Output annual'!$AC$2&amp;'Output annual'!$AD$2&amp;"*FangerPMV(Hourly)",'Eplus results'!$1:$1048576,ROW(),FALSE)</f>
        <v>0</v>
      </c>
      <c r="AD5978" s="580">
        <f t="shared" si="501"/>
        <v>5</v>
      </c>
      <c r="AE5978" s="580">
        <f t="shared" si="502"/>
        <v>2.5</v>
      </c>
      <c r="AF5978" s="580">
        <f t="shared" si="503"/>
        <v>2.5</v>
      </c>
      <c r="AG5978" s="580">
        <f t="shared" si="504"/>
        <v>0</v>
      </c>
      <c r="AH5978" s="580">
        <f t="shared" si="505"/>
        <v>0</v>
      </c>
    </row>
    <row r="5979" spans="28:34">
      <c r="AB5979" s="580">
        <f>HLOOKUP("*"&amp;'Output annual'!$AC$2&amp;'Output annual'!$AD$2&amp;"*Zone People Number Of Occupants [](Hourly)",'Eplus results'!$1:$1048576,ROW(),FALSE)</f>
        <v>0</v>
      </c>
      <c r="AC5979" s="580">
        <f>HLOOKUP("*"&amp;'Output annual'!$AC$2&amp;'Output annual'!$AD$2&amp;"*FangerPMV(Hourly)",'Eplus results'!$1:$1048576,ROW(),FALSE)</f>
        <v>0</v>
      </c>
      <c r="AD5979" s="580">
        <f t="shared" si="501"/>
        <v>5</v>
      </c>
      <c r="AE5979" s="580">
        <f t="shared" si="502"/>
        <v>2.5</v>
      </c>
      <c r="AF5979" s="580">
        <f t="shared" si="503"/>
        <v>2.5</v>
      </c>
      <c r="AG5979" s="580">
        <f t="shared" si="504"/>
        <v>0</v>
      </c>
      <c r="AH5979" s="580">
        <f t="shared" si="505"/>
        <v>0</v>
      </c>
    </row>
    <row r="5980" spans="28:34">
      <c r="AB5980" s="580">
        <f>HLOOKUP("*"&amp;'Output annual'!$AC$2&amp;'Output annual'!$AD$2&amp;"*Zone People Number Of Occupants [](Hourly)",'Eplus results'!$1:$1048576,ROW(),FALSE)</f>
        <v>0</v>
      </c>
      <c r="AC5980" s="580">
        <f>HLOOKUP("*"&amp;'Output annual'!$AC$2&amp;'Output annual'!$AD$2&amp;"*FangerPMV(Hourly)",'Eplus results'!$1:$1048576,ROW(),FALSE)</f>
        <v>0</v>
      </c>
      <c r="AD5980" s="580">
        <f t="shared" si="501"/>
        <v>5</v>
      </c>
      <c r="AE5980" s="580">
        <f t="shared" si="502"/>
        <v>2.5</v>
      </c>
      <c r="AF5980" s="580">
        <f t="shared" si="503"/>
        <v>2.5</v>
      </c>
      <c r="AG5980" s="580">
        <f t="shared" si="504"/>
        <v>0</v>
      </c>
      <c r="AH5980" s="580">
        <f t="shared" si="505"/>
        <v>0</v>
      </c>
    </row>
    <row r="5981" spans="28:34">
      <c r="AB5981" s="580">
        <f>HLOOKUP("*"&amp;'Output annual'!$AC$2&amp;'Output annual'!$AD$2&amp;"*Zone People Number Of Occupants [](Hourly)",'Eplus results'!$1:$1048576,ROW(),FALSE)</f>
        <v>0</v>
      </c>
      <c r="AC5981" s="580">
        <f>HLOOKUP("*"&amp;'Output annual'!$AC$2&amp;'Output annual'!$AD$2&amp;"*FangerPMV(Hourly)",'Eplus results'!$1:$1048576,ROW(),FALSE)</f>
        <v>0</v>
      </c>
      <c r="AD5981" s="580">
        <f t="shared" si="501"/>
        <v>5</v>
      </c>
      <c r="AE5981" s="580">
        <f t="shared" si="502"/>
        <v>2.5</v>
      </c>
      <c r="AF5981" s="580">
        <f t="shared" si="503"/>
        <v>2.5</v>
      </c>
      <c r="AG5981" s="580">
        <f t="shared" si="504"/>
        <v>0</v>
      </c>
      <c r="AH5981" s="580">
        <f t="shared" si="505"/>
        <v>0</v>
      </c>
    </row>
    <row r="5982" spans="28:34">
      <c r="AB5982" s="580">
        <f>HLOOKUP("*"&amp;'Output annual'!$AC$2&amp;'Output annual'!$AD$2&amp;"*Zone People Number Of Occupants [](Hourly)",'Eplus results'!$1:$1048576,ROW(),FALSE)</f>
        <v>0</v>
      </c>
      <c r="AC5982" s="580">
        <f>HLOOKUP("*"&amp;'Output annual'!$AC$2&amp;'Output annual'!$AD$2&amp;"*FangerPMV(Hourly)",'Eplus results'!$1:$1048576,ROW(),FALSE)</f>
        <v>0</v>
      </c>
      <c r="AD5982" s="580">
        <f t="shared" si="501"/>
        <v>5</v>
      </c>
      <c r="AE5982" s="580">
        <f t="shared" si="502"/>
        <v>2.5</v>
      </c>
      <c r="AF5982" s="580">
        <f t="shared" si="503"/>
        <v>2.5</v>
      </c>
      <c r="AG5982" s="580">
        <f t="shared" si="504"/>
        <v>0</v>
      </c>
      <c r="AH5982" s="580">
        <f t="shared" si="505"/>
        <v>0</v>
      </c>
    </row>
    <row r="5983" spans="28:34">
      <c r="AB5983" s="580">
        <f>HLOOKUP("*"&amp;'Output annual'!$AC$2&amp;'Output annual'!$AD$2&amp;"*Zone People Number Of Occupants [](Hourly)",'Eplus results'!$1:$1048576,ROW(),FALSE)</f>
        <v>0</v>
      </c>
      <c r="AC5983" s="580">
        <f>HLOOKUP("*"&amp;'Output annual'!$AC$2&amp;'Output annual'!$AD$2&amp;"*FangerPMV(Hourly)",'Eplus results'!$1:$1048576,ROW(),FALSE)</f>
        <v>0</v>
      </c>
      <c r="AD5983" s="580">
        <f t="shared" si="501"/>
        <v>5</v>
      </c>
      <c r="AE5983" s="580">
        <f t="shared" si="502"/>
        <v>2.5</v>
      </c>
      <c r="AF5983" s="580">
        <f t="shared" si="503"/>
        <v>2.5</v>
      </c>
      <c r="AG5983" s="580">
        <f t="shared" si="504"/>
        <v>0</v>
      </c>
      <c r="AH5983" s="580">
        <f t="shared" si="505"/>
        <v>0</v>
      </c>
    </row>
    <row r="5984" spans="28:34">
      <c r="AB5984" s="580">
        <f>HLOOKUP("*"&amp;'Output annual'!$AC$2&amp;'Output annual'!$AD$2&amp;"*Zone People Number Of Occupants [](Hourly)",'Eplus results'!$1:$1048576,ROW(),FALSE)</f>
        <v>0</v>
      </c>
      <c r="AC5984" s="580">
        <f>HLOOKUP("*"&amp;'Output annual'!$AC$2&amp;'Output annual'!$AD$2&amp;"*FangerPMV(Hourly)",'Eplus results'!$1:$1048576,ROW(),FALSE)</f>
        <v>0</v>
      </c>
      <c r="AD5984" s="580">
        <f t="shared" si="501"/>
        <v>5</v>
      </c>
      <c r="AE5984" s="580">
        <f t="shared" si="502"/>
        <v>2.5</v>
      </c>
      <c r="AF5984" s="580">
        <f t="shared" si="503"/>
        <v>2.5</v>
      </c>
      <c r="AG5984" s="580">
        <f t="shared" si="504"/>
        <v>0</v>
      </c>
      <c r="AH5984" s="580">
        <f t="shared" si="505"/>
        <v>0</v>
      </c>
    </row>
    <row r="5985" spans="28:34">
      <c r="AB5985" s="580">
        <f>HLOOKUP("*"&amp;'Output annual'!$AC$2&amp;'Output annual'!$AD$2&amp;"*Zone People Number Of Occupants [](Hourly)",'Eplus results'!$1:$1048576,ROW(),FALSE)</f>
        <v>0</v>
      </c>
      <c r="AC5985" s="580">
        <f>HLOOKUP("*"&amp;'Output annual'!$AC$2&amp;'Output annual'!$AD$2&amp;"*FangerPMV(Hourly)",'Eplus results'!$1:$1048576,ROW(),FALSE)</f>
        <v>0</v>
      </c>
      <c r="AD5985" s="580">
        <f t="shared" si="501"/>
        <v>5</v>
      </c>
      <c r="AE5985" s="580">
        <f t="shared" si="502"/>
        <v>2.5</v>
      </c>
      <c r="AF5985" s="580">
        <f t="shared" si="503"/>
        <v>2.5</v>
      </c>
      <c r="AG5985" s="580">
        <f t="shared" si="504"/>
        <v>0</v>
      </c>
      <c r="AH5985" s="580">
        <f t="shared" si="505"/>
        <v>0</v>
      </c>
    </row>
    <row r="5986" spans="28:34">
      <c r="AB5986" s="580">
        <f>HLOOKUP("*"&amp;'Output annual'!$AC$2&amp;'Output annual'!$AD$2&amp;"*Zone People Number Of Occupants [](Hourly)",'Eplus results'!$1:$1048576,ROW(),FALSE)</f>
        <v>0</v>
      </c>
      <c r="AC5986" s="580">
        <f>HLOOKUP("*"&amp;'Output annual'!$AC$2&amp;'Output annual'!$AD$2&amp;"*FangerPMV(Hourly)",'Eplus results'!$1:$1048576,ROW(),FALSE)</f>
        <v>0</v>
      </c>
      <c r="AD5986" s="580">
        <f t="shared" si="501"/>
        <v>5</v>
      </c>
      <c r="AE5986" s="580">
        <f t="shared" si="502"/>
        <v>2.5</v>
      </c>
      <c r="AF5986" s="580">
        <f t="shared" si="503"/>
        <v>2.5</v>
      </c>
      <c r="AG5986" s="580">
        <f t="shared" si="504"/>
        <v>0</v>
      </c>
      <c r="AH5986" s="580">
        <f t="shared" si="505"/>
        <v>0</v>
      </c>
    </row>
    <row r="5987" spans="28:34">
      <c r="AB5987" s="580">
        <f>HLOOKUP("*"&amp;'Output annual'!$AC$2&amp;'Output annual'!$AD$2&amp;"*Zone People Number Of Occupants [](Hourly)",'Eplus results'!$1:$1048576,ROW(),FALSE)</f>
        <v>0</v>
      </c>
      <c r="AC5987" s="580">
        <f>HLOOKUP("*"&amp;'Output annual'!$AC$2&amp;'Output annual'!$AD$2&amp;"*FangerPMV(Hourly)",'Eplus results'!$1:$1048576,ROW(),FALSE)</f>
        <v>0</v>
      </c>
      <c r="AD5987" s="580">
        <f t="shared" si="501"/>
        <v>5</v>
      </c>
      <c r="AE5987" s="580">
        <f t="shared" si="502"/>
        <v>2.5</v>
      </c>
      <c r="AF5987" s="580">
        <f t="shared" si="503"/>
        <v>2.5</v>
      </c>
      <c r="AG5987" s="580">
        <f t="shared" si="504"/>
        <v>0</v>
      </c>
      <c r="AH5987" s="580">
        <f t="shared" si="505"/>
        <v>0</v>
      </c>
    </row>
    <row r="5988" spans="28:34">
      <c r="AB5988" s="580">
        <f>HLOOKUP("*"&amp;'Output annual'!$AC$2&amp;'Output annual'!$AD$2&amp;"*Zone People Number Of Occupants [](Hourly)",'Eplus results'!$1:$1048576,ROW(),FALSE)</f>
        <v>0</v>
      </c>
      <c r="AC5988" s="580">
        <f>HLOOKUP("*"&amp;'Output annual'!$AC$2&amp;'Output annual'!$AD$2&amp;"*FangerPMV(Hourly)",'Eplus results'!$1:$1048576,ROW(),FALSE)</f>
        <v>0</v>
      </c>
      <c r="AD5988" s="580">
        <f t="shared" si="501"/>
        <v>5</v>
      </c>
      <c r="AE5988" s="580">
        <f t="shared" si="502"/>
        <v>2.5</v>
      </c>
      <c r="AF5988" s="580">
        <f t="shared" si="503"/>
        <v>2.5</v>
      </c>
      <c r="AG5988" s="580">
        <f t="shared" si="504"/>
        <v>0</v>
      </c>
      <c r="AH5988" s="580">
        <f t="shared" si="505"/>
        <v>0</v>
      </c>
    </row>
    <row r="5989" spans="28:34">
      <c r="AB5989" s="580">
        <f>HLOOKUP("*"&amp;'Output annual'!$AC$2&amp;'Output annual'!$AD$2&amp;"*Zone People Number Of Occupants [](Hourly)",'Eplus results'!$1:$1048576,ROW(),FALSE)</f>
        <v>0</v>
      </c>
      <c r="AC5989" s="580">
        <f>HLOOKUP("*"&amp;'Output annual'!$AC$2&amp;'Output annual'!$AD$2&amp;"*FangerPMV(Hourly)",'Eplus results'!$1:$1048576,ROW(),FALSE)</f>
        <v>0</v>
      </c>
      <c r="AD5989" s="580">
        <f t="shared" si="501"/>
        <v>5</v>
      </c>
      <c r="AE5989" s="580">
        <f t="shared" si="502"/>
        <v>2.5</v>
      </c>
      <c r="AF5989" s="580">
        <f t="shared" si="503"/>
        <v>2.5</v>
      </c>
      <c r="AG5989" s="580">
        <f t="shared" si="504"/>
        <v>0</v>
      </c>
      <c r="AH5989" s="580">
        <f t="shared" si="505"/>
        <v>0</v>
      </c>
    </row>
    <row r="5990" spans="28:34">
      <c r="AB5990" s="580">
        <f>HLOOKUP("*"&amp;'Output annual'!$AC$2&amp;'Output annual'!$AD$2&amp;"*Zone People Number Of Occupants [](Hourly)",'Eplus results'!$1:$1048576,ROW(),FALSE)</f>
        <v>0</v>
      </c>
      <c r="AC5990" s="580">
        <f>HLOOKUP("*"&amp;'Output annual'!$AC$2&amp;'Output annual'!$AD$2&amp;"*FangerPMV(Hourly)",'Eplus results'!$1:$1048576,ROW(),FALSE)</f>
        <v>0</v>
      </c>
      <c r="AD5990" s="580">
        <f t="shared" si="501"/>
        <v>5</v>
      </c>
      <c r="AE5990" s="580">
        <f t="shared" si="502"/>
        <v>2.5</v>
      </c>
      <c r="AF5990" s="580">
        <f t="shared" si="503"/>
        <v>2.5</v>
      </c>
      <c r="AG5990" s="580">
        <f t="shared" si="504"/>
        <v>0</v>
      </c>
      <c r="AH5990" s="580">
        <f t="shared" si="505"/>
        <v>0</v>
      </c>
    </row>
    <row r="5991" spans="28:34">
      <c r="AB5991" s="580">
        <f>HLOOKUP("*"&amp;'Output annual'!$AC$2&amp;'Output annual'!$AD$2&amp;"*Zone People Number Of Occupants [](Hourly)",'Eplus results'!$1:$1048576,ROW(),FALSE)</f>
        <v>0</v>
      </c>
      <c r="AC5991" s="580">
        <f>HLOOKUP("*"&amp;'Output annual'!$AC$2&amp;'Output annual'!$AD$2&amp;"*FangerPMV(Hourly)",'Eplus results'!$1:$1048576,ROW(),FALSE)</f>
        <v>0</v>
      </c>
      <c r="AD5991" s="580">
        <f t="shared" si="501"/>
        <v>5</v>
      </c>
      <c r="AE5991" s="580">
        <f t="shared" si="502"/>
        <v>2.5</v>
      </c>
      <c r="AF5991" s="580">
        <f t="shared" si="503"/>
        <v>2.5</v>
      </c>
      <c r="AG5991" s="580">
        <f t="shared" si="504"/>
        <v>0</v>
      </c>
      <c r="AH5991" s="580">
        <f t="shared" si="505"/>
        <v>0</v>
      </c>
    </row>
    <row r="5992" spans="28:34">
      <c r="AB5992" s="580">
        <f>HLOOKUP("*"&amp;'Output annual'!$AC$2&amp;'Output annual'!$AD$2&amp;"*Zone People Number Of Occupants [](Hourly)",'Eplus results'!$1:$1048576,ROW(),FALSE)</f>
        <v>0</v>
      </c>
      <c r="AC5992" s="580">
        <f>HLOOKUP("*"&amp;'Output annual'!$AC$2&amp;'Output annual'!$AD$2&amp;"*FangerPMV(Hourly)",'Eplus results'!$1:$1048576,ROW(),FALSE)</f>
        <v>0</v>
      </c>
      <c r="AD5992" s="580">
        <f t="shared" si="501"/>
        <v>5</v>
      </c>
      <c r="AE5992" s="580">
        <f t="shared" si="502"/>
        <v>2.5</v>
      </c>
      <c r="AF5992" s="580">
        <f t="shared" si="503"/>
        <v>2.5</v>
      </c>
      <c r="AG5992" s="580">
        <f t="shared" si="504"/>
        <v>0</v>
      </c>
      <c r="AH5992" s="580">
        <f t="shared" si="505"/>
        <v>0</v>
      </c>
    </row>
    <row r="5993" spans="28:34">
      <c r="AB5993" s="580">
        <f>HLOOKUP("*"&amp;'Output annual'!$AC$2&amp;'Output annual'!$AD$2&amp;"*Zone People Number Of Occupants [](Hourly)",'Eplus results'!$1:$1048576,ROW(),FALSE)</f>
        <v>0</v>
      </c>
      <c r="AC5993" s="580">
        <f>HLOOKUP("*"&amp;'Output annual'!$AC$2&amp;'Output annual'!$AD$2&amp;"*FangerPMV(Hourly)",'Eplus results'!$1:$1048576,ROW(),FALSE)</f>
        <v>0</v>
      </c>
      <c r="AD5993" s="580">
        <f t="shared" si="501"/>
        <v>5</v>
      </c>
      <c r="AE5993" s="580">
        <f t="shared" si="502"/>
        <v>2.5</v>
      </c>
      <c r="AF5993" s="580">
        <f t="shared" si="503"/>
        <v>2.5</v>
      </c>
      <c r="AG5993" s="580">
        <f t="shared" si="504"/>
        <v>0</v>
      </c>
      <c r="AH5993" s="580">
        <f t="shared" si="505"/>
        <v>0</v>
      </c>
    </row>
    <row r="5994" spans="28:34">
      <c r="AB5994" s="580">
        <f>HLOOKUP("*"&amp;'Output annual'!$AC$2&amp;'Output annual'!$AD$2&amp;"*Zone People Number Of Occupants [](Hourly)",'Eplus results'!$1:$1048576,ROW(),FALSE)</f>
        <v>0</v>
      </c>
      <c r="AC5994" s="580">
        <f>HLOOKUP("*"&amp;'Output annual'!$AC$2&amp;'Output annual'!$AD$2&amp;"*FangerPMV(Hourly)",'Eplus results'!$1:$1048576,ROW(),FALSE)</f>
        <v>0</v>
      </c>
      <c r="AD5994" s="580">
        <f t="shared" si="501"/>
        <v>5</v>
      </c>
      <c r="AE5994" s="580">
        <f t="shared" si="502"/>
        <v>2.5</v>
      </c>
      <c r="AF5994" s="580">
        <f t="shared" si="503"/>
        <v>2.5</v>
      </c>
      <c r="AG5994" s="580">
        <f t="shared" si="504"/>
        <v>0</v>
      </c>
      <c r="AH5994" s="580">
        <f t="shared" si="505"/>
        <v>0</v>
      </c>
    </row>
    <row r="5995" spans="28:34">
      <c r="AB5995" s="580">
        <f>HLOOKUP("*"&amp;'Output annual'!$AC$2&amp;'Output annual'!$AD$2&amp;"*Zone People Number Of Occupants [](Hourly)",'Eplus results'!$1:$1048576,ROW(),FALSE)</f>
        <v>0</v>
      </c>
      <c r="AC5995" s="580">
        <f>HLOOKUP("*"&amp;'Output annual'!$AC$2&amp;'Output annual'!$AD$2&amp;"*FangerPMV(Hourly)",'Eplus results'!$1:$1048576,ROW(),FALSE)</f>
        <v>0</v>
      </c>
      <c r="AD5995" s="580">
        <f t="shared" si="501"/>
        <v>5</v>
      </c>
      <c r="AE5995" s="580">
        <f t="shared" si="502"/>
        <v>2.5</v>
      </c>
      <c r="AF5995" s="580">
        <f t="shared" si="503"/>
        <v>2.5</v>
      </c>
      <c r="AG5995" s="580">
        <f t="shared" si="504"/>
        <v>0</v>
      </c>
      <c r="AH5995" s="580">
        <f t="shared" si="505"/>
        <v>0</v>
      </c>
    </row>
    <row r="5996" spans="28:34">
      <c r="AB5996" s="580">
        <f>HLOOKUP("*"&amp;'Output annual'!$AC$2&amp;'Output annual'!$AD$2&amp;"*Zone People Number Of Occupants [](Hourly)",'Eplus results'!$1:$1048576,ROW(),FALSE)</f>
        <v>0</v>
      </c>
      <c r="AC5996" s="580">
        <f>HLOOKUP("*"&amp;'Output annual'!$AC$2&amp;'Output annual'!$AD$2&amp;"*FangerPMV(Hourly)",'Eplus results'!$1:$1048576,ROW(),FALSE)</f>
        <v>0</v>
      </c>
      <c r="AD5996" s="580">
        <f t="shared" si="501"/>
        <v>5</v>
      </c>
      <c r="AE5996" s="580">
        <f t="shared" si="502"/>
        <v>2.5</v>
      </c>
      <c r="AF5996" s="580">
        <f t="shared" si="503"/>
        <v>2.5</v>
      </c>
      <c r="AG5996" s="580">
        <f t="shared" si="504"/>
        <v>0</v>
      </c>
      <c r="AH5996" s="580">
        <f t="shared" si="505"/>
        <v>0</v>
      </c>
    </row>
    <row r="5997" spans="28:34">
      <c r="AB5997" s="580">
        <f>HLOOKUP("*"&amp;'Output annual'!$AC$2&amp;'Output annual'!$AD$2&amp;"*Zone People Number Of Occupants [](Hourly)",'Eplus results'!$1:$1048576,ROW(),FALSE)</f>
        <v>0</v>
      </c>
      <c r="AC5997" s="580">
        <f>HLOOKUP("*"&amp;'Output annual'!$AC$2&amp;'Output annual'!$AD$2&amp;"*FangerPMV(Hourly)",'Eplus results'!$1:$1048576,ROW(),FALSE)</f>
        <v>0</v>
      </c>
      <c r="AD5997" s="580">
        <f t="shared" si="501"/>
        <v>5</v>
      </c>
      <c r="AE5997" s="580">
        <f t="shared" si="502"/>
        <v>2.5</v>
      </c>
      <c r="AF5997" s="580">
        <f t="shared" si="503"/>
        <v>2.5</v>
      </c>
      <c r="AG5997" s="580">
        <f t="shared" si="504"/>
        <v>0</v>
      </c>
      <c r="AH5997" s="580">
        <f t="shared" si="505"/>
        <v>0</v>
      </c>
    </row>
    <row r="5998" spans="28:34">
      <c r="AB5998" s="580">
        <f>HLOOKUP("*"&amp;'Output annual'!$AC$2&amp;'Output annual'!$AD$2&amp;"*Zone People Number Of Occupants [](Hourly)",'Eplus results'!$1:$1048576,ROW(),FALSE)</f>
        <v>0</v>
      </c>
      <c r="AC5998" s="580">
        <f>HLOOKUP("*"&amp;'Output annual'!$AC$2&amp;'Output annual'!$AD$2&amp;"*FangerPMV(Hourly)",'Eplus results'!$1:$1048576,ROW(),FALSE)</f>
        <v>0</v>
      </c>
      <c r="AD5998" s="580">
        <f t="shared" si="501"/>
        <v>5</v>
      </c>
      <c r="AE5998" s="580">
        <f t="shared" si="502"/>
        <v>2.5</v>
      </c>
      <c r="AF5998" s="580">
        <f t="shared" si="503"/>
        <v>2.5</v>
      </c>
      <c r="AG5998" s="580">
        <f t="shared" si="504"/>
        <v>0</v>
      </c>
      <c r="AH5998" s="580">
        <f t="shared" si="505"/>
        <v>0</v>
      </c>
    </row>
    <row r="5999" spans="28:34">
      <c r="AB5999" s="580">
        <f>HLOOKUP("*"&amp;'Output annual'!$AC$2&amp;'Output annual'!$AD$2&amp;"*Zone People Number Of Occupants [](Hourly)",'Eplus results'!$1:$1048576,ROW(),FALSE)</f>
        <v>0</v>
      </c>
      <c r="AC5999" s="580">
        <f>HLOOKUP("*"&amp;'Output annual'!$AC$2&amp;'Output annual'!$AD$2&amp;"*FangerPMV(Hourly)",'Eplus results'!$1:$1048576,ROW(),FALSE)</f>
        <v>0</v>
      </c>
      <c r="AD5999" s="580">
        <f t="shared" si="501"/>
        <v>5</v>
      </c>
      <c r="AE5999" s="580">
        <f t="shared" si="502"/>
        <v>2.5</v>
      </c>
      <c r="AF5999" s="580">
        <f t="shared" si="503"/>
        <v>2.5</v>
      </c>
      <c r="AG5999" s="580">
        <f t="shared" si="504"/>
        <v>0</v>
      </c>
      <c r="AH5999" s="580">
        <f t="shared" si="505"/>
        <v>0</v>
      </c>
    </row>
    <row r="6000" spans="28:34">
      <c r="AB6000" s="580">
        <f>HLOOKUP("*"&amp;'Output annual'!$AC$2&amp;'Output annual'!$AD$2&amp;"*Zone People Number Of Occupants [](Hourly)",'Eplus results'!$1:$1048576,ROW(),FALSE)</f>
        <v>0</v>
      </c>
      <c r="AC6000" s="580">
        <f>HLOOKUP("*"&amp;'Output annual'!$AC$2&amp;'Output annual'!$AD$2&amp;"*FangerPMV(Hourly)",'Eplus results'!$1:$1048576,ROW(),FALSE)</f>
        <v>0</v>
      </c>
      <c r="AD6000" s="580">
        <f t="shared" si="501"/>
        <v>5</v>
      </c>
      <c r="AE6000" s="580">
        <f t="shared" si="502"/>
        <v>2.5</v>
      </c>
      <c r="AF6000" s="580">
        <f t="shared" si="503"/>
        <v>2.5</v>
      </c>
      <c r="AG6000" s="580">
        <f t="shared" si="504"/>
        <v>0</v>
      </c>
      <c r="AH6000" s="580">
        <f t="shared" si="505"/>
        <v>0</v>
      </c>
    </row>
    <row r="6001" spans="28:34">
      <c r="AB6001" s="580">
        <f>HLOOKUP("*"&amp;'Output annual'!$AC$2&amp;'Output annual'!$AD$2&amp;"*Zone People Number Of Occupants [](Hourly)",'Eplus results'!$1:$1048576,ROW(),FALSE)</f>
        <v>0</v>
      </c>
      <c r="AC6001" s="580">
        <f>HLOOKUP("*"&amp;'Output annual'!$AC$2&amp;'Output annual'!$AD$2&amp;"*FangerPMV(Hourly)",'Eplus results'!$1:$1048576,ROW(),FALSE)</f>
        <v>0</v>
      </c>
      <c r="AD6001" s="580">
        <f t="shared" si="501"/>
        <v>5</v>
      </c>
      <c r="AE6001" s="580">
        <f t="shared" si="502"/>
        <v>2.5</v>
      </c>
      <c r="AF6001" s="580">
        <f t="shared" si="503"/>
        <v>2.5</v>
      </c>
      <c r="AG6001" s="580">
        <f t="shared" si="504"/>
        <v>0</v>
      </c>
      <c r="AH6001" s="580">
        <f t="shared" si="505"/>
        <v>0</v>
      </c>
    </row>
    <row r="6002" spans="28:34">
      <c r="AB6002" s="580">
        <f>HLOOKUP("*"&amp;'Output annual'!$AC$2&amp;'Output annual'!$AD$2&amp;"*Zone People Number Of Occupants [](Hourly)",'Eplus results'!$1:$1048576,ROW(),FALSE)</f>
        <v>0</v>
      </c>
      <c r="AC6002" s="580">
        <f>HLOOKUP("*"&amp;'Output annual'!$AC$2&amp;'Output annual'!$AD$2&amp;"*FangerPMV(Hourly)",'Eplus results'!$1:$1048576,ROW(),FALSE)</f>
        <v>0</v>
      </c>
      <c r="AD6002" s="580">
        <f t="shared" si="501"/>
        <v>5</v>
      </c>
      <c r="AE6002" s="580">
        <f t="shared" si="502"/>
        <v>2.5</v>
      </c>
      <c r="AF6002" s="580">
        <f t="shared" si="503"/>
        <v>2.5</v>
      </c>
      <c r="AG6002" s="580">
        <f t="shared" si="504"/>
        <v>0</v>
      </c>
      <c r="AH6002" s="580">
        <f t="shared" si="505"/>
        <v>0</v>
      </c>
    </row>
    <row r="6003" spans="28:34">
      <c r="AB6003" s="580">
        <f>HLOOKUP("*"&amp;'Output annual'!$AC$2&amp;'Output annual'!$AD$2&amp;"*Zone People Number Of Occupants [](Hourly)",'Eplus results'!$1:$1048576,ROW(),FALSE)</f>
        <v>0</v>
      </c>
      <c r="AC6003" s="580">
        <f>HLOOKUP("*"&amp;'Output annual'!$AC$2&amp;'Output annual'!$AD$2&amp;"*FangerPMV(Hourly)",'Eplus results'!$1:$1048576,ROW(),FALSE)</f>
        <v>0</v>
      </c>
      <c r="AD6003" s="580">
        <f t="shared" si="501"/>
        <v>5</v>
      </c>
      <c r="AE6003" s="580">
        <f t="shared" si="502"/>
        <v>2.5</v>
      </c>
      <c r="AF6003" s="580">
        <f t="shared" si="503"/>
        <v>2.5</v>
      </c>
      <c r="AG6003" s="580">
        <f t="shared" si="504"/>
        <v>0</v>
      </c>
      <c r="AH6003" s="580">
        <f t="shared" si="505"/>
        <v>0</v>
      </c>
    </row>
    <row r="6004" spans="28:34">
      <c r="AB6004" s="580">
        <f>HLOOKUP("*"&amp;'Output annual'!$AC$2&amp;'Output annual'!$AD$2&amp;"*Zone People Number Of Occupants [](Hourly)",'Eplus results'!$1:$1048576,ROW(),FALSE)</f>
        <v>0</v>
      </c>
      <c r="AC6004" s="580">
        <f>HLOOKUP("*"&amp;'Output annual'!$AC$2&amp;'Output annual'!$AD$2&amp;"*FangerPMV(Hourly)",'Eplus results'!$1:$1048576,ROW(),FALSE)</f>
        <v>0</v>
      </c>
      <c r="AD6004" s="580">
        <f t="shared" si="501"/>
        <v>5</v>
      </c>
      <c r="AE6004" s="580">
        <f t="shared" si="502"/>
        <v>2.5</v>
      </c>
      <c r="AF6004" s="580">
        <f t="shared" si="503"/>
        <v>2.5</v>
      </c>
      <c r="AG6004" s="580">
        <f t="shared" si="504"/>
        <v>0</v>
      </c>
      <c r="AH6004" s="580">
        <f t="shared" si="505"/>
        <v>0</v>
      </c>
    </row>
    <row r="6005" spans="28:34">
      <c r="AB6005" s="580">
        <f>HLOOKUP("*"&amp;'Output annual'!$AC$2&amp;'Output annual'!$AD$2&amp;"*Zone People Number Of Occupants [](Hourly)",'Eplus results'!$1:$1048576,ROW(),FALSE)</f>
        <v>0</v>
      </c>
      <c r="AC6005" s="580">
        <f>HLOOKUP("*"&amp;'Output annual'!$AC$2&amp;'Output annual'!$AD$2&amp;"*FangerPMV(Hourly)",'Eplus results'!$1:$1048576,ROW(),FALSE)</f>
        <v>0</v>
      </c>
      <c r="AD6005" s="580">
        <f t="shared" si="501"/>
        <v>5</v>
      </c>
      <c r="AE6005" s="580">
        <f t="shared" si="502"/>
        <v>2.5</v>
      </c>
      <c r="AF6005" s="580">
        <f t="shared" si="503"/>
        <v>2.5</v>
      </c>
      <c r="AG6005" s="580">
        <f t="shared" si="504"/>
        <v>0</v>
      </c>
      <c r="AH6005" s="580">
        <f t="shared" si="505"/>
        <v>0</v>
      </c>
    </row>
    <row r="6006" spans="28:34">
      <c r="AB6006" s="580">
        <f>HLOOKUP("*"&amp;'Output annual'!$AC$2&amp;'Output annual'!$AD$2&amp;"*Zone People Number Of Occupants [](Hourly)",'Eplus results'!$1:$1048576,ROW(),FALSE)</f>
        <v>0</v>
      </c>
      <c r="AC6006" s="580">
        <f>HLOOKUP("*"&amp;'Output annual'!$AC$2&amp;'Output annual'!$AD$2&amp;"*FangerPMV(Hourly)",'Eplus results'!$1:$1048576,ROW(),FALSE)</f>
        <v>0</v>
      </c>
      <c r="AD6006" s="580">
        <f t="shared" si="501"/>
        <v>5</v>
      </c>
      <c r="AE6006" s="580">
        <f t="shared" si="502"/>
        <v>2.5</v>
      </c>
      <c r="AF6006" s="580">
        <f t="shared" si="503"/>
        <v>2.5</v>
      </c>
      <c r="AG6006" s="580">
        <f t="shared" si="504"/>
        <v>0</v>
      </c>
      <c r="AH6006" s="580">
        <f t="shared" si="505"/>
        <v>0</v>
      </c>
    </row>
    <row r="6007" spans="28:34">
      <c r="AB6007" s="580">
        <f>HLOOKUP("*"&amp;'Output annual'!$AC$2&amp;'Output annual'!$AD$2&amp;"*Zone People Number Of Occupants [](Hourly)",'Eplus results'!$1:$1048576,ROW(),FALSE)</f>
        <v>0</v>
      </c>
      <c r="AC6007" s="580">
        <f>HLOOKUP("*"&amp;'Output annual'!$AC$2&amp;'Output annual'!$AD$2&amp;"*FangerPMV(Hourly)",'Eplus results'!$1:$1048576,ROW(),FALSE)</f>
        <v>0</v>
      </c>
      <c r="AD6007" s="580">
        <f t="shared" si="501"/>
        <v>5</v>
      </c>
      <c r="AE6007" s="580">
        <f t="shared" si="502"/>
        <v>2.5</v>
      </c>
      <c r="AF6007" s="580">
        <f t="shared" si="503"/>
        <v>2.5</v>
      </c>
      <c r="AG6007" s="580">
        <f t="shared" si="504"/>
        <v>0</v>
      </c>
      <c r="AH6007" s="580">
        <f t="shared" si="505"/>
        <v>0</v>
      </c>
    </row>
    <row r="6008" spans="28:34">
      <c r="AB6008" s="580">
        <f>HLOOKUP("*"&amp;'Output annual'!$AC$2&amp;'Output annual'!$AD$2&amp;"*Zone People Number Of Occupants [](Hourly)",'Eplus results'!$1:$1048576,ROW(),FALSE)</f>
        <v>0</v>
      </c>
      <c r="AC6008" s="580">
        <f>HLOOKUP("*"&amp;'Output annual'!$AC$2&amp;'Output annual'!$AD$2&amp;"*FangerPMV(Hourly)",'Eplus results'!$1:$1048576,ROW(),FALSE)</f>
        <v>0</v>
      </c>
      <c r="AD6008" s="580">
        <f t="shared" si="501"/>
        <v>5</v>
      </c>
      <c r="AE6008" s="580">
        <f t="shared" si="502"/>
        <v>2.5</v>
      </c>
      <c r="AF6008" s="580">
        <f t="shared" si="503"/>
        <v>2.5</v>
      </c>
      <c r="AG6008" s="580">
        <f t="shared" si="504"/>
        <v>0</v>
      </c>
      <c r="AH6008" s="580">
        <f t="shared" si="505"/>
        <v>0</v>
      </c>
    </row>
    <row r="6009" spans="28:34">
      <c r="AB6009" s="580">
        <f>HLOOKUP("*"&amp;'Output annual'!$AC$2&amp;'Output annual'!$AD$2&amp;"*Zone People Number Of Occupants [](Hourly)",'Eplus results'!$1:$1048576,ROW(),FALSE)</f>
        <v>0</v>
      </c>
      <c r="AC6009" s="580">
        <f>HLOOKUP("*"&amp;'Output annual'!$AC$2&amp;'Output annual'!$AD$2&amp;"*FangerPMV(Hourly)",'Eplus results'!$1:$1048576,ROW(),FALSE)</f>
        <v>0</v>
      </c>
      <c r="AD6009" s="580">
        <f t="shared" si="501"/>
        <v>5</v>
      </c>
      <c r="AE6009" s="580">
        <f t="shared" si="502"/>
        <v>2.5</v>
      </c>
      <c r="AF6009" s="580">
        <f t="shared" si="503"/>
        <v>2.5</v>
      </c>
      <c r="AG6009" s="580">
        <f t="shared" si="504"/>
        <v>0</v>
      </c>
      <c r="AH6009" s="580">
        <f t="shared" si="505"/>
        <v>0</v>
      </c>
    </row>
    <row r="6010" spans="28:34">
      <c r="AB6010" s="580">
        <f>HLOOKUP("*"&amp;'Output annual'!$AC$2&amp;'Output annual'!$AD$2&amp;"*Zone People Number Of Occupants [](Hourly)",'Eplus results'!$1:$1048576,ROW(),FALSE)</f>
        <v>0</v>
      </c>
      <c r="AC6010" s="580">
        <f>HLOOKUP("*"&amp;'Output annual'!$AC$2&amp;'Output annual'!$AD$2&amp;"*FangerPMV(Hourly)",'Eplus results'!$1:$1048576,ROW(),FALSE)</f>
        <v>0</v>
      </c>
      <c r="AD6010" s="580">
        <f t="shared" si="501"/>
        <v>5</v>
      </c>
      <c r="AE6010" s="580">
        <f t="shared" si="502"/>
        <v>2.5</v>
      </c>
      <c r="AF6010" s="580">
        <f t="shared" si="503"/>
        <v>2.5</v>
      </c>
      <c r="AG6010" s="580">
        <f t="shared" si="504"/>
        <v>0</v>
      </c>
      <c r="AH6010" s="580">
        <f t="shared" si="505"/>
        <v>0</v>
      </c>
    </row>
    <row r="6011" spans="28:34">
      <c r="AB6011" s="580">
        <f>HLOOKUP("*"&amp;'Output annual'!$AC$2&amp;'Output annual'!$AD$2&amp;"*Zone People Number Of Occupants [](Hourly)",'Eplus results'!$1:$1048576,ROW(),FALSE)</f>
        <v>0</v>
      </c>
      <c r="AC6011" s="580">
        <f>HLOOKUP("*"&amp;'Output annual'!$AC$2&amp;'Output annual'!$AD$2&amp;"*FangerPMV(Hourly)",'Eplus results'!$1:$1048576,ROW(),FALSE)</f>
        <v>0</v>
      </c>
      <c r="AD6011" s="580">
        <f t="shared" si="501"/>
        <v>5</v>
      </c>
      <c r="AE6011" s="580">
        <f t="shared" si="502"/>
        <v>2.5</v>
      </c>
      <c r="AF6011" s="580">
        <f t="shared" si="503"/>
        <v>2.5</v>
      </c>
      <c r="AG6011" s="580">
        <f t="shared" si="504"/>
        <v>0</v>
      </c>
      <c r="AH6011" s="580">
        <f t="shared" si="505"/>
        <v>0</v>
      </c>
    </row>
    <row r="6012" spans="28:34">
      <c r="AB6012" s="580">
        <f>HLOOKUP("*"&amp;'Output annual'!$AC$2&amp;'Output annual'!$AD$2&amp;"*Zone People Number Of Occupants [](Hourly)",'Eplus results'!$1:$1048576,ROW(),FALSE)</f>
        <v>0</v>
      </c>
      <c r="AC6012" s="580">
        <f>HLOOKUP("*"&amp;'Output annual'!$AC$2&amp;'Output annual'!$AD$2&amp;"*FangerPMV(Hourly)",'Eplus results'!$1:$1048576,ROW(),FALSE)</f>
        <v>0</v>
      </c>
      <c r="AD6012" s="580">
        <f t="shared" si="501"/>
        <v>5</v>
      </c>
      <c r="AE6012" s="580">
        <f t="shared" si="502"/>
        <v>2.5</v>
      </c>
      <c r="AF6012" s="580">
        <f t="shared" si="503"/>
        <v>2.5</v>
      </c>
      <c r="AG6012" s="580">
        <f t="shared" si="504"/>
        <v>0</v>
      </c>
      <c r="AH6012" s="580">
        <f t="shared" si="505"/>
        <v>0</v>
      </c>
    </row>
    <row r="6013" spans="28:34">
      <c r="AB6013" s="580">
        <f>HLOOKUP("*"&amp;'Output annual'!$AC$2&amp;'Output annual'!$AD$2&amp;"*Zone People Number Of Occupants [](Hourly)",'Eplus results'!$1:$1048576,ROW(),FALSE)</f>
        <v>0</v>
      </c>
      <c r="AC6013" s="580">
        <f>HLOOKUP("*"&amp;'Output annual'!$AC$2&amp;'Output annual'!$AD$2&amp;"*FangerPMV(Hourly)",'Eplus results'!$1:$1048576,ROW(),FALSE)</f>
        <v>0</v>
      </c>
      <c r="AD6013" s="580">
        <f t="shared" si="501"/>
        <v>5</v>
      </c>
      <c r="AE6013" s="580">
        <f t="shared" si="502"/>
        <v>2.5</v>
      </c>
      <c r="AF6013" s="580">
        <f t="shared" si="503"/>
        <v>2.5</v>
      </c>
      <c r="AG6013" s="580">
        <f t="shared" si="504"/>
        <v>0</v>
      </c>
      <c r="AH6013" s="580">
        <f t="shared" si="505"/>
        <v>0</v>
      </c>
    </row>
    <row r="6014" spans="28:34">
      <c r="AB6014" s="580">
        <f>HLOOKUP("*"&amp;'Output annual'!$AC$2&amp;'Output annual'!$AD$2&amp;"*Zone People Number Of Occupants [](Hourly)",'Eplus results'!$1:$1048576,ROW(),FALSE)</f>
        <v>0</v>
      </c>
      <c r="AC6014" s="580">
        <f>HLOOKUP("*"&amp;'Output annual'!$AC$2&amp;'Output annual'!$AD$2&amp;"*FangerPMV(Hourly)",'Eplus results'!$1:$1048576,ROW(),FALSE)</f>
        <v>0</v>
      </c>
      <c r="AD6014" s="580">
        <f t="shared" si="501"/>
        <v>5</v>
      </c>
      <c r="AE6014" s="580">
        <f t="shared" si="502"/>
        <v>2.5</v>
      </c>
      <c r="AF6014" s="580">
        <f t="shared" si="503"/>
        <v>2.5</v>
      </c>
      <c r="AG6014" s="580">
        <f t="shared" si="504"/>
        <v>0</v>
      </c>
      <c r="AH6014" s="580">
        <f t="shared" si="505"/>
        <v>0</v>
      </c>
    </row>
    <row r="6015" spans="28:34">
      <c r="AB6015" s="580">
        <f>HLOOKUP("*"&amp;'Output annual'!$AC$2&amp;'Output annual'!$AD$2&amp;"*Zone People Number Of Occupants [](Hourly)",'Eplus results'!$1:$1048576,ROW(),FALSE)</f>
        <v>0</v>
      </c>
      <c r="AC6015" s="580">
        <f>HLOOKUP("*"&amp;'Output annual'!$AC$2&amp;'Output annual'!$AD$2&amp;"*FangerPMV(Hourly)",'Eplus results'!$1:$1048576,ROW(),FALSE)</f>
        <v>0</v>
      </c>
      <c r="AD6015" s="580">
        <f t="shared" si="501"/>
        <v>5</v>
      </c>
      <c r="AE6015" s="580">
        <f t="shared" si="502"/>
        <v>2.5</v>
      </c>
      <c r="AF6015" s="580">
        <f t="shared" si="503"/>
        <v>2.5</v>
      </c>
      <c r="AG6015" s="580">
        <f t="shared" si="504"/>
        <v>0</v>
      </c>
      <c r="AH6015" s="580">
        <f t="shared" si="505"/>
        <v>0</v>
      </c>
    </row>
    <row r="6016" spans="28:34">
      <c r="AB6016" s="580">
        <f>HLOOKUP("*"&amp;'Output annual'!$AC$2&amp;'Output annual'!$AD$2&amp;"*Zone People Number Of Occupants [](Hourly)",'Eplus results'!$1:$1048576,ROW(),FALSE)</f>
        <v>0</v>
      </c>
      <c r="AC6016" s="580">
        <f>HLOOKUP("*"&amp;'Output annual'!$AC$2&amp;'Output annual'!$AD$2&amp;"*FangerPMV(Hourly)",'Eplus results'!$1:$1048576,ROW(),FALSE)</f>
        <v>0</v>
      </c>
      <c r="AD6016" s="580">
        <f t="shared" si="501"/>
        <v>5</v>
      </c>
      <c r="AE6016" s="580">
        <f t="shared" si="502"/>
        <v>2.5</v>
      </c>
      <c r="AF6016" s="580">
        <f t="shared" si="503"/>
        <v>2.5</v>
      </c>
      <c r="AG6016" s="580">
        <f t="shared" si="504"/>
        <v>0</v>
      </c>
      <c r="AH6016" s="580">
        <f t="shared" si="505"/>
        <v>0</v>
      </c>
    </row>
    <row r="6017" spans="28:34">
      <c r="AB6017" s="580">
        <f>HLOOKUP("*"&amp;'Output annual'!$AC$2&amp;'Output annual'!$AD$2&amp;"*Zone People Number Of Occupants [](Hourly)",'Eplus results'!$1:$1048576,ROW(),FALSE)</f>
        <v>0</v>
      </c>
      <c r="AC6017" s="580">
        <f>HLOOKUP("*"&amp;'Output annual'!$AC$2&amp;'Output annual'!$AD$2&amp;"*FangerPMV(Hourly)",'Eplus results'!$1:$1048576,ROW(),FALSE)</f>
        <v>0</v>
      </c>
      <c r="AD6017" s="580">
        <f t="shared" si="501"/>
        <v>5</v>
      </c>
      <c r="AE6017" s="580">
        <f t="shared" si="502"/>
        <v>2.5</v>
      </c>
      <c r="AF6017" s="580">
        <f t="shared" si="503"/>
        <v>2.5</v>
      </c>
      <c r="AG6017" s="580">
        <f t="shared" si="504"/>
        <v>0</v>
      </c>
      <c r="AH6017" s="580">
        <f t="shared" si="505"/>
        <v>0</v>
      </c>
    </row>
    <row r="6018" spans="28:34">
      <c r="AB6018" s="580">
        <f>HLOOKUP("*"&amp;'Output annual'!$AC$2&amp;'Output annual'!$AD$2&amp;"*Zone People Number Of Occupants [](Hourly)",'Eplus results'!$1:$1048576,ROW(),FALSE)</f>
        <v>0</v>
      </c>
      <c r="AC6018" s="580">
        <f>HLOOKUP("*"&amp;'Output annual'!$AC$2&amp;'Output annual'!$AD$2&amp;"*FangerPMV(Hourly)",'Eplus results'!$1:$1048576,ROW(),FALSE)</f>
        <v>0</v>
      </c>
      <c r="AD6018" s="580">
        <f t="shared" si="501"/>
        <v>5</v>
      </c>
      <c r="AE6018" s="580">
        <f t="shared" si="502"/>
        <v>2.5</v>
      </c>
      <c r="AF6018" s="580">
        <f t="shared" si="503"/>
        <v>2.5</v>
      </c>
      <c r="AG6018" s="580">
        <f t="shared" si="504"/>
        <v>0</v>
      </c>
      <c r="AH6018" s="580">
        <f t="shared" si="505"/>
        <v>0</v>
      </c>
    </row>
    <row r="6019" spans="28:34">
      <c r="AB6019" s="580">
        <f>HLOOKUP("*"&amp;'Output annual'!$AC$2&amp;'Output annual'!$AD$2&amp;"*Zone People Number Of Occupants [](Hourly)",'Eplus results'!$1:$1048576,ROW(),FALSE)</f>
        <v>0</v>
      </c>
      <c r="AC6019" s="580">
        <f>HLOOKUP("*"&amp;'Output annual'!$AC$2&amp;'Output annual'!$AD$2&amp;"*FangerPMV(Hourly)",'Eplus results'!$1:$1048576,ROW(),FALSE)</f>
        <v>0</v>
      </c>
      <c r="AD6019" s="580">
        <f t="shared" ref="AD6019:AD6082" si="506">100-95*EXP(-0.03353*AC6019^4-0.2179*AC6019^2)</f>
        <v>5</v>
      </c>
      <c r="AE6019" s="580">
        <f t="shared" ref="AE6019:AE6082" si="507">AD6019*(1/(1+EXP(-6.3*$AC6019)))</f>
        <v>2.5</v>
      </c>
      <c r="AF6019" s="580">
        <f t="shared" ref="AF6019:AF6082" si="508">(AD6019-AE6019)</f>
        <v>2.5</v>
      </c>
      <c r="AG6019" s="580">
        <f t="shared" ref="AG6019:AG6082" si="509">AE6019*AB6019</f>
        <v>0</v>
      </c>
      <c r="AH6019" s="580">
        <f t="shared" ref="AH6019:AH6082" si="510">AF6019*AB6019</f>
        <v>0</v>
      </c>
    </row>
    <row r="6020" spans="28:34">
      <c r="AB6020" s="580">
        <f>HLOOKUP("*"&amp;'Output annual'!$AC$2&amp;'Output annual'!$AD$2&amp;"*Zone People Number Of Occupants [](Hourly)",'Eplus results'!$1:$1048576,ROW(),FALSE)</f>
        <v>0</v>
      </c>
      <c r="AC6020" s="580">
        <f>HLOOKUP("*"&amp;'Output annual'!$AC$2&amp;'Output annual'!$AD$2&amp;"*FangerPMV(Hourly)",'Eplus results'!$1:$1048576,ROW(),FALSE)</f>
        <v>0</v>
      </c>
      <c r="AD6020" s="580">
        <f t="shared" si="506"/>
        <v>5</v>
      </c>
      <c r="AE6020" s="580">
        <f t="shared" si="507"/>
        <v>2.5</v>
      </c>
      <c r="AF6020" s="580">
        <f t="shared" si="508"/>
        <v>2.5</v>
      </c>
      <c r="AG6020" s="580">
        <f t="shared" si="509"/>
        <v>0</v>
      </c>
      <c r="AH6020" s="580">
        <f t="shared" si="510"/>
        <v>0</v>
      </c>
    </row>
    <row r="6021" spans="28:34">
      <c r="AB6021" s="580">
        <f>HLOOKUP("*"&amp;'Output annual'!$AC$2&amp;'Output annual'!$AD$2&amp;"*Zone People Number Of Occupants [](Hourly)",'Eplus results'!$1:$1048576,ROW(),FALSE)</f>
        <v>0</v>
      </c>
      <c r="AC6021" s="580">
        <f>HLOOKUP("*"&amp;'Output annual'!$AC$2&amp;'Output annual'!$AD$2&amp;"*FangerPMV(Hourly)",'Eplus results'!$1:$1048576,ROW(),FALSE)</f>
        <v>0</v>
      </c>
      <c r="AD6021" s="580">
        <f t="shared" si="506"/>
        <v>5</v>
      </c>
      <c r="AE6021" s="580">
        <f t="shared" si="507"/>
        <v>2.5</v>
      </c>
      <c r="AF6021" s="580">
        <f t="shared" si="508"/>
        <v>2.5</v>
      </c>
      <c r="AG6021" s="580">
        <f t="shared" si="509"/>
        <v>0</v>
      </c>
      <c r="AH6021" s="580">
        <f t="shared" si="510"/>
        <v>0</v>
      </c>
    </row>
    <row r="6022" spans="28:34">
      <c r="AB6022" s="580">
        <f>HLOOKUP("*"&amp;'Output annual'!$AC$2&amp;'Output annual'!$AD$2&amp;"*Zone People Number Of Occupants [](Hourly)",'Eplus results'!$1:$1048576,ROW(),FALSE)</f>
        <v>0</v>
      </c>
      <c r="AC6022" s="580">
        <f>HLOOKUP("*"&amp;'Output annual'!$AC$2&amp;'Output annual'!$AD$2&amp;"*FangerPMV(Hourly)",'Eplus results'!$1:$1048576,ROW(),FALSE)</f>
        <v>0</v>
      </c>
      <c r="AD6022" s="580">
        <f t="shared" si="506"/>
        <v>5</v>
      </c>
      <c r="AE6022" s="580">
        <f t="shared" si="507"/>
        <v>2.5</v>
      </c>
      <c r="AF6022" s="580">
        <f t="shared" si="508"/>
        <v>2.5</v>
      </c>
      <c r="AG6022" s="580">
        <f t="shared" si="509"/>
        <v>0</v>
      </c>
      <c r="AH6022" s="580">
        <f t="shared" si="510"/>
        <v>0</v>
      </c>
    </row>
    <row r="6023" spans="28:34">
      <c r="AB6023" s="580">
        <f>HLOOKUP("*"&amp;'Output annual'!$AC$2&amp;'Output annual'!$AD$2&amp;"*Zone People Number Of Occupants [](Hourly)",'Eplus results'!$1:$1048576,ROW(),FALSE)</f>
        <v>0</v>
      </c>
      <c r="AC6023" s="580">
        <f>HLOOKUP("*"&amp;'Output annual'!$AC$2&amp;'Output annual'!$AD$2&amp;"*FangerPMV(Hourly)",'Eplus results'!$1:$1048576,ROW(),FALSE)</f>
        <v>0</v>
      </c>
      <c r="AD6023" s="580">
        <f t="shared" si="506"/>
        <v>5</v>
      </c>
      <c r="AE6023" s="580">
        <f t="shared" si="507"/>
        <v>2.5</v>
      </c>
      <c r="AF6023" s="580">
        <f t="shared" si="508"/>
        <v>2.5</v>
      </c>
      <c r="AG6023" s="580">
        <f t="shared" si="509"/>
        <v>0</v>
      </c>
      <c r="AH6023" s="580">
        <f t="shared" si="510"/>
        <v>0</v>
      </c>
    </row>
    <row r="6024" spans="28:34">
      <c r="AB6024" s="580">
        <f>HLOOKUP("*"&amp;'Output annual'!$AC$2&amp;'Output annual'!$AD$2&amp;"*Zone People Number Of Occupants [](Hourly)",'Eplus results'!$1:$1048576,ROW(),FALSE)</f>
        <v>0</v>
      </c>
      <c r="AC6024" s="580">
        <f>HLOOKUP("*"&amp;'Output annual'!$AC$2&amp;'Output annual'!$AD$2&amp;"*FangerPMV(Hourly)",'Eplus results'!$1:$1048576,ROW(),FALSE)</f>
        <v>0</v>
      </c>
      <c r="AD6024" s="580">
        <f t="shared" si="506"/>
        <v>5</v>
      </c>
      <c r="AE6024" s="580">
        <f t="shared" si="507"/>
        <v>2.5</v>
      </c>
      <c r="AF6024" s="580">
        <f t="shared" si="508"/>
        <v>2.5</v>
      </c>
      <c r="AG6024" s="580">
        <f t="shared" si="509"/>
        <v>0</v>
      </c>
      <c r="AH6024" s="580">
        <f t="shared" si="510"/>
        <v>0</v>
      </c>
    </row>
    <row r="6025" spans="28:34">
      <c r="AB6025" s="580">
        <f>HLOOKUP("*"&amp;'Output annual'!$AC$2&amp;'Output annual'!$AD$2&amp;"*Zone People Number Of Occupants [](Hourly)",'Eplus results'!$1:$1048576,ROW(),FALSE)</f>
        <v>0</v>
      </c>
      <c r="AC6025" s="580">
        <f>HLOOKUP("*"&amp;'Output annual'!$AC$2&amp;'Output annual'!$AD$2&amp;"*FangerPMV(Hourly)",'Eplus results'!$1:$1048576,ROW(),FALSE)</f>
        <v>0</v>
      </c>
      <c r="AD6025" s="580">
        <f t="shared" si="506"/>
        <v>5</v>
      </c>
      <c r="AE6025" s="580">
        <f t="shared" si="507"/>
        <v>2.5</v>
      </c>
      <c r="AF6025" s="580">
        <f t="shared" si="508"/>
        <v>2.5</v>
      </c>
      <c r="AG6025" s="580">
        <f t="shared" si="509"/>
        <v>0</v>
      </c>
      <c r="AH6025" s="580">
        <f t="shared" si="510"/>
        <v>0</v>
      </c>
    </row>
    <row r="6026" spans="28:34">
      <c r="AB6026" s="580">
        <f>HLOOKUP("*"&amp;'Output annual'!$AC$2&amp;'Output annual'!$AD$2&amp;"*Zone People Number Of Occupants [](Hourly)",'Eplus results'!$1:$1048576,ROW(),FALSE)</f>
        <v>0</v>
      </c>
      <c r="AC6026" s="580">
        <f>HLOOKUP("*"&amp;'Output annual'!$AC$2&amp;'Output annual'!$AD$2&amp;"*FangerPMV(Hourly)",'Eplus results'!$1:$1048576,ROW(),FALSE)</f>
        <v>0</v>
      </c>
      <c r="AD6026" s="580">
        <f t="shared" si="506"/>
        <v>5</v>
      </c>
      <c r="AE6026" s="580">
        <f t="shared" si="507"/>
        <v>2.5</v>
      </c>
      <c r="AF6026" s="580">
        <f t="shared" si="508"/>
        <v>2.5</v>
      </c>
      <c r="AG6026" s="580">
        <f t="shared" si="509"/>
        <v>0</v>
      </c>
      <c r="AH6026" s="580">
        <f t="shared" si="510"/>
        <v>0</v>
      </c>
    </row>
    <row r="6027" spans="28:34">
      <c r="AB6027" s="580">
        <f>HLOOKUP("*"&amp;'Output annual'!$AC$2&amp;'Output annual'!$AD$2&amp;"*Zone People Number Of Occupants [](Hourly)",'Eplus results'!$1:$1048576,ROW(),FALSE)</f>
        <v>0</v>
      </c>
      <c r="AC6027" s="580">
        <f>HLOOKUP("*"&amp;'Output annual'!$AC$2&amp;'Output annual'!$AD$2&amp;"*FangerPMV(Hourly)",'Eplus results'!$1:$1048576,ROW(),FALSE)</f>
        <v>0</v>
      </c>
      <c r="AD6027" s="580">
        <f t="shared" si="506"/>
        <v>5</v>
      </c>
      <c r="AE6027" s="580">
        <f t="shared" si="507"/>
        <v>2.5</v>
      </c>
      <c r="AF6027" s="580">
        <f t="shared" si="508"/>
        <v>2.5</v>
      </c>
      <c r="AG6027" s="580">
        <f t="shared" si="509"/>
        <v>0</v>
      </c>
      <c r="AH6027" s="580">
        <f t="shared" si="510"/>
        <v>0</v>
      </c>
    </row>
    <row r="6028" spans="28:34">
      <c r="AB6028" s="580">
        <f>HLOOKUP("*"&amp;'Output annual'!$AC$2&amp;'Output annual'!$AD$2&amp;"*Zone People Number Of Occupants [](Hourly)",'Eplus results'!$1:$1048576,ROW(),FALSE)</f>
        <v>0</v>
      </c>
      <c r="AC6028" s="580">
        <f>HLOOKUP("*"&amp;'Output annual'!$AC$2&amp;'Output annual'!$AD$2&amp;"*FangerPMV(Hourly)",'Eplus results'!$1:$1048576,ROW(),FALSE)</f>
        <v>0</v>
      </c>
      <c r="AD6028" s="580">
        <f t="shared" si="506"/>
        <v>5</v>
      </c>
      <c r="AE6028" s="580">
        <f t="shared" si="507"/>
        <v>2.5</v>
      </c>
      <c r="AF6028" s="580">
        <f t="shared" si="508"/>
        <v>2.5</v>
      </c>
      <c r="AG6028" s="580">
        <f t="shared" si="509"/>
        <v>0</v>
      </c>
      <c r="AH6028" s="580">
        <f t="shared" si="510"/>
        <v>0</v>
      </c>
    </row>
    <row r="6029" spans="28:34">
      <c r="AB6029" s="580">
        <f>HLOOKUP("*"&amp;'Output annual'!$AC$2&amp;'Output annual'!$AD$2&amp;"*Zone People Number Of Occupants [](Hourly)",'Eplus results'!$1:$1048576,ROW(),FALSE)</f>
        <v>0</v>
      </c>
      <c r="AC6029" s="580">
        <f>HLOOKUP("*"&amp;'Output annual'!$AC$2&amp;'Output annual'!$AD$2&amp;"*FangerPMV(Hourly)",'Eplus results'!$1:$1048576,ROW(),FALSE)</f>
        <v>0</v>
      </c>
      <c r="AD6029" s="580">
        <f t="shared" si="506"/>
        <v>5</v>
      </c>
      <c r="AE6029" s="580">
        <f t="shared" si="507"/>
        <v>2.5</v>
      </c>
      <c r="AF6029" s="580">
        <f t="shared" si="508"/>
        <v>2.5</v>
      </c>
      <c r="AG6029" s="580">
        <f t="shared" si="509"/>
        <v>0</v>
      </c>
      <c r="AH6029" s="580">
        <f t="shared" si="510"/>
        <v>0</v>
      </c>
    </row>
    <row r="6030" spans="28:34">
      <c r="AB6030" s="580">
        <f>HLOOKUP("*"&amp;'Output annual'!$AC$2&amp;'Output annual'!$AD$2&amp;"*Zone People Number Of Occupants [](Hourly)",'Eplus results'!$1:$1048576,ROW(),FALSE)</f>
        <v>0</v>
      </c>
      <c r="AC6030" s="580">
        <f>HLOOKUP("*"&amp;'Output annual'!$AC$2&amp;'Output annual'!$AD$2&amp;"*FangerPMV(Hourly)",'Eplus results'!$1:$1048576,ROW(),FALSE)</f>
        <v>0</v>
      </c>
      <c r="AD6030" s="580">
        <f t="shared" si="506"/>
        <v>5</v>
      </c>
      <c r="AE6030" s="580">
        <f t="shared" si="507"/>
        <v>2.5</v>
      </c>
      <c r="AF6030" s="580">
        <f t="shared" si="508"/>
        <v>2.5</v>
      </c>
      <c r="AG6030" s="580">
        <f t="shared" si="509"/>
        <v>0</v>
      </c>
      <c r="AH6030" s="580">
        <f t="shared" si="510"/>
        <v>0</v>
      </c>
    </row>
    <row r="6031" spans="28:34">
      <c r="AB6031" s="580">
        <f>HLOOKUP("*"&amp;'Output annual'!$AC$2&amp;'Output annual'!$AD$2&amp;"*Zone People Number Of Occupants [](Hourly)",'Eplus results'!$1:$1048576,ROW(),FALSE)</f>
        <v>0</v>
      </c>
      <c r="AC6031" s="580">
        <f>HLOOKUP("*"&amp;'Output annual'!$AC$2&amp;'Output annual'!$AD$2&amp;"*FangerPMV(Hourly)",'Eplus results'!$1:$1048576,ROW(),FALSE)</f>
        <v>0</v>
      </c>
      <c r="AD6031" s="580">
        <f t="shared" si="506"/>
        <v>5</v>
      </c>
      <c r="AE6031" s="580">
        <f t="shared" si="507"/>
        <v>2.5</v>
      </c>
      <c r="AF6031" s="580">
        <f t="shared" si="508"/>
        <v>2.5</v>
      </c>
      <c r="AG6031" s="580">
        <f t="shared" si="509"/>
        <v>0</v>
      </c>
      <c r="AH6031" s="580">
        <f t="shared" si="510"/>
        <v>0</v>
      </c>
    </row>
    <row r="6032" spans="28:34">
      <c r="AB6032" s="580">
        <f>HLOOKUP("*"&amp;'Output annual'!$AC$2&amp;'Output annual'!$AD$2&amp;"*Zone People Number Of Occupants [](Hourly)",'Eplus results'!$1:$1048576,ROW(),FALSE)</f>
        <v>0</v>
      </c>
      <c r="AC6032" s="580">
        <f>HLOOKUP("*"&amp;'Output annual'!$AC$2&amp;'Output annual'!$AD$2&amp;"*FangerPMV(Hourly)",'Eplus results'!$1:$1048576,ROW(),FALSE)</f>
        <v>0</v>
      </c>
      <c r="AD6032" s="580">
        <f t="shared" si="506"/>
        <v>5</v>
      </c>
      <c r="AE6032" s="580">
        <f t="shared" si="507"/>
        <v>2.5</v>
      </c>
      <c r="AF6032" s="580">
        <f t="shared" si="508"/>
        <v>2.5</v>
      </c>
      <c r="AG6032" s="580">
        <f t="shared" si="509"/>
        <v>0</v>
      </c>
      <c r="AH6032" s="580">
        <f t="shared" si="510"/>
        <v>0</v>
      </c>
    </row>
    <row r="6033" spans="28:34">
      <c r="AB6033" s="580">
        <f>HLOOKUP("*"&amp;'Output annual'!$AC$2&amp;'Output annual'!$AD$2&amp;"*Zone People Number Of Occupants [](Hourly)",'Eplus results'!$1:$1048576,ROW(),FALSE)</f>
        <v>0</v>
      </c>
      <c r="AC6033" s="580">
        <f>HLOOKUP("*"&amp;'Output annual'!$AC$2&amp;'Output annual'!$AD$2&amp;"*FangerPMV(Hourly)",'Eplus results'!$1:$1048576,ROW(),FALSE)</f>
        <v>0</v>
      </c>
      <c r="AD6033" s="580">
        <f t="shared" si="506"/>
        <v>5</v>
      </c>
      <c r="AE6033" s="580">
        <f t="shared" si="507"/>
        <v>2.5</v>
      </c>
      <c r="AF6033" s="580">
        <f t="shared" si="508"/>
        <v>2.5</v>
      </c>
      <c r="AG6033" s="580">
        <f t="shared" si="509"/>
        <v>0</v>
      </c>
      <c r="AH6033" s="580">
        <f t="shared" si="510"/>
        <v>0</v>
      </c>
    </row>
    <row r="6034" spans="28:34">
      <c r="AB6034" s="580">
        <f>HLOOKUP("*"&amp;'Output annual'!$AC$2&amp;'Output annual'!$AD$2&amp;"*Zone People Number Of Occupants [](Hourly)",'Eplus results'!$1:$1048576,ROW(),FALSE)</f>
        <v>0</v>
      </c>
      <c r="AC6034" s="580">
        <f>HLOOKUP("*"&amp;'Output annual'!$AC$2&amp;'Output annual'!$AD$2&amp;"*FangerPMV(Hourly)",'Eplus results'!$1:$1048576,ROW(),FALSE)</f>
        <v>0</v>
      </c>
      <c r="AD6034" s="580">
        <f t="shared" si="506"/>
        <v>5</v>
      </c>
      <c r="AE6034" s="580">
        <f t="shared" si="507"/>
        <v>2.5</v>
      </c>
      <c r="AF6034" s="580">
        <f t="shared" si="508"/>
        <v>2.5</v>
      </c>
      <c r="AG6034" s="580">
        <f t="shared" si="509"/>
        <v>0</v>
      </c>
      <c r="AH6034" s="580">
        <f t="shared" si="510"/>
        <v>0</v>
      </c>
    </row>
    <row r="6035" spans="28:34">
      <c r="AB6035" s="580">
        <f>HLOOKUP("*"&amp;'Output annual'!$AC$2&amp;'Output annual'!$AD$2&amp;"*Zone People Number Of Occupants [](Hourly)",'Eplus results'!$1:$1048576,ROW(),FALSE)</f>
        <v>0</v>
      </c>
      <c r="AC6035" s="580">
        <f>HLOOKUP("*"&amp;'Output annual'!$AC$2&amp;'Output annual'!$AD$2&amp;"*FangerPMV(Hourly)",'Eplus results'!$1:$1048576,ROW(),FALSE)</f>
        <v>0</v>
      </c>
      <c r="AD6035" s="580">
        <f t="shared" si="506"/>
        <v>5</v>
      </c>
      <c r="AE6035" s="580">
        <f t="shared" si="507"/>
        <v>2.5</v>
      </c>
      <c r="AF6035" s="580">
        <f t="shared" si="508"/>
        <v>2.5</v>
      </c>
      <c r="AG6035" s="580">
        <f t="shared" si="509"/>
        <v>0</v>
      </c>
      <c r="AH6035" s="580">
        <f t="shared" si="510"/>
        <v>0</v>
      </c>
    </row>
    <row r="6036" spans="28:34">
      <c r="AB6036" s="580">
        <f>HLOOKUP("*"&amp;'Output annual'!$AC$2&amp;'Output annual'!$AD$2&amp;"*Zone People Number Of Occupants [](Hourly)",'Eplus results'!$1:$1048576,ROW(),FALSE)</f>
        <v>0</v>
      </c>
      <c r="AC6036" s="580">
        <f>HLOOKUP("*"&amp;'Output annual'!$AC$2&amp;'Output annual'!$AD$2&amp;"*FangerPMV(Hourly)",'Eplus results'!$1:$1048576,ROW(),FALSE)</f>
        <v>0</v>
      </c>
      <c r="AD6036" s="580">
        <f t="shared" si="506"/>
        <v>5</v>
      </c>
      <c r="AE6036" s="580">
        <f t="shared" si="507"/>
        <v>2.5</v>
      </c>
      <c r="AF6036" s="580">
        <f t="shared" si="508"/>
        <v>2.5</v>
      </c>
      <c r="AG6036" s="580">
        <f t="shared" si="509"/>
        <v>0</v>
      </c>
      <c r="AH6036" s="580">
        <f t="shared" si="510"/>
        <v>0</v>
      </c>
    </row>
    <row r="6037" spans="28:34">
      <c r="AB6037" s="580">
        <f>HLOOKUP("*"&amp;'Output annual'!$AC$2&amp;'Output annual'!$AD$2&amp;"*Zone People Number Of Occupants [](Hourly)",'Eplus results'!$1:$1048576,ROW(),FALSE)</f>
        <v>0</v>
      </c>
      <c r="AC6037" s="580">
        <f>HLOOKUP("*"&amp;'Output annual'!$AC$2&amp;'Output annual'!$AD$2&amp;"*FangerPMV(Hourly)",'Eplus results'!$1:$1048576,ROW(),FALSE)</f>
        <v>0</v>
      </c>
      <c r="AD6037" s="580">
        <f t="shared" si="506"/>
        <v>5</v>
      </c>
      <c r="AE6037" s="580">
        <f t="shared" si="507"/>
        <v>2.5</v>
      </c>
      <c r="AF6037" s="580">
        <f t="shared" si="508"/>
        <v>2.5</v>
      </c>
      <c r="AG6037" s="580">
        <f t="shared" si="509"/>
        <v>0</v>
      </c>
      <c r="AH6037" s="580">
        <f t="shared" si="510"/>
        <v>0</v>
      </c>
    </row>
    <row r="6038" spans="28:34">
      <c r="AB6038" s="580">
        <f>HLOOKUP("*"&amp;'Output annual'!$AC$2&amp;'Output annual'!$AD$2&amp;"*Zone People Number Of Occupants [](Hourly)",'Eplus results'!$1:$1048576,ROW(),FALSE)</f>
        <v>0</v>
      </c>
      <c r="AC6038" s="580">
        <f>HLOOKUP("*"&amp;'Output annual'!$AC$2&amp;'Output annual'!$AD$2&amp;"*FangerPMV(Hourly)",'Eplus results'!$1:$1048576,ROW(),FALSE)</f>
        <v>0</v>
      </c>
      <c r="AD6038" s="580">
        <f t="shared" si="506"/>
        <v>5</v>
      </c>
      <c r="AE6038" s="580">
        <f t="shared" si="507"/>
        <v>2.5</v>
      </c>
      <c r="AF6038" s="580">
        <f t="shared" si="508"/>
        <v>2.5</v>
      </c>
      <c r="AG6038" s="580">
        <f t="shared" si="509"/>
        <v>0</v>
      </c>
      <c r="AH6038" s="580">
        <f t="shared" si="510"/>
        <v>0</v>
      </c>
    </row>
    <row r="6039" spans="28:34">
      <c r="AB6039" s="580">
        <f>HLOOKUP("*"&amp;'Output annual'!$AC$2&amp;'Output annual'!$AD$2&amp;"*Zone People Number Of Occupants [](Hourly)",'Eplus results'!$1:$1048576,ROW(),FALSE)</f>
        <v>0</v>
      </c>
      <c r="AC6039" s="580">
        <f>HLOOKUP("*"&amp;'Output annual'!$AC$2&amp;'Output annual'!$AD$2&amp;"*FangerPMV(Hourly)",'Eplus results'!$1:$1048576,ROW(),FALSE)</f>
        <v>0</v>
      </c>
      <c r="AD6039" s="580">
        <f t="shared" si="506"/>
        <v>5</v>
      </c>
      <c r="AE6039" s="580">
        <f t="shared" si="507"/>
        <v>2.5</v>
      </c>
      <c r="AF6039" s="580">
        <f t="shared" si="508"/>
        <v>2.5</v>
      </c>
      <c r="AG6039" s="580">
        <f t="shared" si="509"/>
        <v>0</v>
      </c>
      <c r="AH6039" s="580">
        <f t="shared" si="510"/>
        <v>0</v>
      </c>
    </row>
    <row r="6040" spans="28:34">
      <c r="AB6040" s="580">
        <f>HLOOKUP("*"&amp;'Output annual'!$AC$2&amp;'Output annual'!$AD$2&amp;"*Zone People Number Of Occupants [](Hourly)",'Eplus results'!$1:$1048576,ROW(),FALSE)</f>
        <v>0</v>
      </c>
      <c r="AC6040" s="580">
        <f>HLOOKUP("*"&amp;'Output annual'!$AC$2&amp;'Output annual'!$AD$2&amp;"*FangerPMV(Hourly)",'Eplus results'!$1:$1048576,ROW(),FALSE)</f>
        <v>0</v>
      </c>
      <c r="AD6040" s="580">
        <f t="shared" si="506"/>
        <v>5</v>
      </c>
      <c r="AE6040" s="580">
        <f t="shared" si="507"/>
        <v>2.5</v>
      </c>
      <c r="AF6040" s="580">
        <f t="shared" si="508"/>
        <v>2.5</v>
      </c>
      <c r="AG6040" s="580">
        <f t="shared" si="509"/>
        <v>0</v>
      </c>
      <c r="AH6040" s="580">
        <f t="shared" si="510"/>
        <v>0</v>
      </c>
    </row>
    <row r="6041" spans="28:34">
      <c r="AB6041" s="580">
        <f>HLOOKUP("*"&amp;'Output annual'!$AC$2&amp;'Output annual'!$AD$2&amp;"*Zone People Number Of Occupants [](Hourly)",'Eplus results'!$1:$1048576,ROW(),FALSE)</f>
        <v>0</v>
      </c>
      <c r="AC6041" s="580">
        <f>HLOOKUP("*"&amp;'Output annual'!$AC$2&amp;'Output annual'!$AD$2&amp;"*FangerPMV(Hourly)",'Eplus results'!$1:$1048576,ROW(),FALSE)</f>
        <v>0</v>
      </c>
      <c r="AD6041" s="580">
        <f t="shared" si="506"/>
        <v>5</v>
      </c>
      <c r="AE6041" s="580">
        <f t="shared" si="507"/>
        <v>2.5</v>
      </c>
      <c r="AF6041" s="580">
        <f t="shared" si="508"/>
        <v>2.5</v>
      </c>
      <c r="AG6041" s="580">
        <f t="shared" si="509"/>
        <v>0</v>
      </c>
      <c r="AH6041" s="580">
        <f t="shared" si="510"/>
        <v>0</v>
      </c>
    </row>
    <row r="6042" spans="28:34">
      <c r="AB6042" s="580">
        <f>HLOOKUP("*"&amp;'Output annual'!$AC$2&amp;'Output annual'!$AD$2&amp;"*Zone People Number Of Occupants [](Hourly)",'Eplus results'!$1:$1048576,ROW(),FALSE)</f>
        <v>0</v>
      </c>
      <c r="AC6042" s="580">
        <f>HLOOKUP("*"&amp;'Output annual'!$AC$2&amp;'Output annual'!$AD$2&amp;"*FangerPMV(Hourly)",'Eplus results'!$1:$1048576,ROW(),FALSE)</f>
        <v>0</v>
      </c>
      <c r="AD6042" s="580">
        <f t="shared" si="506"/>
        <v>5</v>
      </c>
      <c r="AE6042" s="580">
        <f t="shared" si="507"/>
        <v>2.5</v>
      </c>
      <c r="AF6042" s="580">
        <f t="shared" si="508"/>
        <v>2.5</v>
      </c>
      <c r="AG6042" s="580">
        <f t="shared" si="509"/>
        <v>0</v>
      </c>
      <c r="AH6042" s="580">
        <f t="shared" si="510"/>
        <v>0</v>
      </c>
    </row>
    <row r="6043" spans="28:34">
      <c r="AB6043" s="580">
        <f>HLOOKUP("*"&amp;'Output annual'!$AC$2&amp;'Output annual'!$AD$2&amp;"*Zone People Number Of Occupants [](Hourly)",'Eplus results'!$1:$1048576,ROW(),FALSE)</f>
        <v>0</v>
      </c>
      <c r="AC6043" s="580">
        <f>HLOOKUP("*"&amp;'Output annual'!$AC$2&amp;'Output annual'!$AD$2&amp;"*FangerPMV(Hourly)",'Eplus results'!$1:$1048576,ROW(),FALSE)</f>
        <v>0</v>
      </c>
      <c r="AD6043" s="580">
        <f t="shared" si="506"/>
        <v>5</v>
      </c>
      <c r="AE6043" s="580">
        <f t="shared" si="507"/>
        <v>2.5</v>
      </c>
      <c r="AF6043" s="580">
        <f t="shared" si="508"/>
        <v>2.5</v>
      </c>
      <c r="AG6043" s="580">
        <f t="shared" si="509"/>
        <v>0</v>
      </c>
      <c r="AH6043" s="580">
        <f t="shared" si="510"/>
        <v>0</v>
      </c>
    </row>
    <row r="6044" spans="28:34">
      <c r="AB6044" s="580">
        <f>HLOOKUP("*"&amp;'Output annual'!$AC$2&amp;'Output annual'!$AD$2&amp;"*Zone People Number Of Occupants [](Hourly)",'Eplus results'!$1:$1048576,ROW(),FALSE)</f>
        <v>0</v>
      </c>
      <c r="AC6044" s="580">
        <f>HLOOKUP("*"&amp;'Output annual'!$AC$2&amp;'Output annual'!$AD$2&amp;"*FangerPMV(Hourly)",'Eplus results'!$1:$1048576,ROW(),FALSE)</f>
        <v>0</v>
      </c>
      <c r="AD6044" s="580">
        <f t="shared" si="506"/>
        <v>5</v>
      </c>
      <c r="AE6044" s="580">
        <f t="shared" si="507"/>
        <v>2.5</v>
      </c>
      <c r="AF6044" s="580">
        <f t="shared" si="508"/>
        <v>2.5</v>
      </c>
      <c r="AG6044" s="580">
        <f t="shared" si="509"/>
        <v>0</v>
      </c>
      <c r="AH6044" s="580">
        <f t="shared" si="510"/>
        <v>0</v>
      </c>
    </row>
    <row r="6045" spans="28:34">
      <c r="AB6045" s="580">
        <f>HLOOKUP("*"&amp;'Output annual'!$AC$2&amp;'Output annual'!$AD$2&amp;"*Zone People Number Of Occupants [](Hourly)",'Eplus results'!$1:$1048576,ROW(),FALSE)</f>
        <v>0</v>
      </c>
      <c r="AC6045" s="580">
        <f>HLOOKUP("*"&amp;'Output annual'!$AC$2&amp;'Output annual'!$AD$2&amp;"*FangerPMV(Hourly)",'Eplus results'!$1:$1048576,ROW(),FALSE)</f>
        <v>0</v>
      </c>
      <c r="AD6045" s="580">
        <f t="shared" si="506"/>
        <v>5</v>
      </c>
      <c r="AE6045" s="580">
        <f t="shared" si="507"/>
        <v>2.5</v>
      </c>
      <c r="AF6045" s="580">
        <f t="shared" si="508"/>
        <v>2.5</v>
      </c>
      <c r="AG6045" s="580">
        <f t="shared" si="509"/>
        <v>0</v>
      </c>
      <c r="AH6045" s="580">
        <f t="shared" si="510"/>
        <v>0</v>
      </c>
    </row>
    <row r="6046" spans="28:34">
      <c r="AB6046" s="580">
        <f>HLOOKUP("*"&amp;'Output annual'!$AC$2&amp;'Output annual'!$AD$2&amp;"*Zone People Number Of Occupants [](Hourly)",'Eplus results'!$1:$1048576,ROW(),FALSE)</f>
        <v>0</v>
      </c>
      <c r="AC6046" s="580">
        <f>HLOOKUP("*"&amp;'Output annual'!$AC$2&amp;'Output annual'!$AD$2&amp;"*FangerPMV(Hourly)",'Eplus results'!$1:$1048576,ROW(),FALSE)</f>
        <v>0</v>
      </c>
      <c r="AD6046" s="580">
        <f t="shared" si="506"/>
        <v>5</v>
      </c>
      <c r="AE6046" s="580">
        <f t="shared" si="507"/>
        <v>2.5</v>
      </c>
      <c r="AF6046" s="580">
        <f t="shared" si="508"/>
        <v>2.5</v>
      </c>
      <c r="AG6046" s="580">
        <f t="shared" si="509"/>
        <v>0</v>
      </c>
      <c r="AH6046" s="580">
        <f t="shared" si="510"/>
        <v>0</v>
      </c>
    </row>
    <row r="6047" spans="28:34">
      <c r="AB6047" s="580">
        <f>HLOOKUP("*"&amp;'Output annual'!$AC$2&amp;'Output annual'!$AD$2&amp;"*Zone People Number Of Occupants [](Hourly)",'Eplus results'!$1:$1048576,ROW(),FALSE)</f>
        <v>0</v>
      </c>
      <c r="AC6047" s="580">
        <f>HLOOKUP("*"&amp;'Output annual'!$AC$2&amp;'Output annual'!$AD$2&amp;"*FangerPMV(Hourly)",'Eplus results'!$1:$1048576,ROW(),FALSE)</f>
        <v>0</v>
      </c>
      <c r="AD6047" s="580">
        <f t="shared" si="506"/>
        <v>5</v>
      </c>
      <c r="AE6047" s="580">
        <f t="shared" si="507"/>
        <v>2.5</v>
      </c>
      <c r="AF6047" s="580">
        <f t="shared" si="508"/>
        <v>2.5</v>
      </c>
      <c r="AG6047" s="580">
        <f t="shared" si="509"/>
        <v>0</v>
      </c>
      <c r="AH6047" s="580">
        <f t="shared" si="510"/>
        <v>0</v>
      </c>
    </row>
    <row r="6048" spans="28:34">
      <c r="AB6048" s="580">
        <f>HLOOKUP("*"&amp;'Output annual'!$AC$2&amp;'Output annual'!$AD$2&amp;"*Zone People Number Of Occupants [](Hourly)",'Eplus results'!$1:$1048576,ROW(),FALSE)</f>
        <v>0</v>
      </c>
      <c r="AC6048" s="580">
        <f>HLOOKUP("*"&amp;'Output annual'!$AC$2&amp;'Output annual'!$AD$2&amp;"*FangerPMV(Hourly)",'Eplus results'!$1:$1048576,ROW(),FALSE)</f>
        <v>0</v>
      </c>
      <c r="AD6048" s="580">
        <f t="shared" si="506"/>
        <v>5</v>
      </c>
      <c r="AE6048" s="580">
        <f t="shared" si="507"/>
        <v>2.5</v>
      </c>
      <c r="AF6048" s="580">
        <f t="shared" si="508"/>
        <v>2.5</v>
      </c>
      <c r="AG6048" s="580">
        <f t="shared" si="509"/>
        <v>0</v>
      </c>
      <c r="AH6048" s="580">
        <f t="shared" si="510"/>
        <v>0</v>
      </c>
    </row>
    <row r="6049" spans="28:34">
      <c r="AB6049" s="580">
        <f>HLOOKUP("*"&amp;'Output annual'!$AC$2&amp;'Output annual'!$AD$2&amp;"*Zone People Number Of Occupants [](Hourly)",'Eplus results'!$1:$1048576,ROW(),FALSE)</f>
        <v>0</v>
      </c>
      <c r="AC6049" s="580">
        <f>HLOOKUP("*"&amp;'Output annual'!$AC$2&amp;'Output annual'!$AD$2&amp;"*FangerPMV(Hourly)",'Eplus results'!$1:$1048576,ROW(),FALSE)</f>
        <v>0</v>
      </c>
      <c r="AD6049" s="580">
        <f t="shared" si="506"/>
        <v>5</v>
      </c>
      <c r="AE6049" s="580">
        <f t="shared" si="507"/>
        <v>2.5</v>
      </c>
      <c r="AF6049" s="580">
        <f t="shared" si="508"/>
        <v>2.5</v>
      </c>
      <c r="AG6049" s="580">
        <f t="shared" si="509"/>
        <v>0</v>
      </c>
      <c r="AH6049" s="580">
        <f t="shared" si="510"/>
        <v>0</v>
      </c>
    </row>
    <row r="6050" spans="28:34">
      <c r="AB6050" s="580">
        <f>HLOOKUP("*"&amp;'Output annual'!$AC$2&amp;'Output annual'!$AD$2&amp;"*Zone People Number Of Occupants [](Hourly)",'Eplus results'!$1:$1048576,ROW(),FALSE)</f>
        <v>0</v>
      </c>
      <c r="AC6050" s="580">
        <f>HLOOKUP("*"&amp;'Output annual'!$AC$2&amp;'Output annual'!$AD$2&amp;"*FangerPMV(Hourly)",'Eplus results'!$1:$1048576,ROW(),FALSE)</f>
        <v>0</v>
      </c>
      <c r="AD6050" s="580">
        <f t="shared" si="506"/>
        <v>5</v>
      </c>
      <c r="AE6050" s="580">
        <f t="shared" si="507"/>
        <v>2.5</v>
      </c>
      <c r="AF6050" s="580">
        <f t="shared" si="508"/>
        <v>2.5</v>
      </c>
      <c r="AG6050" s="580">
        <f t="shared" si="509"/>
        <v>0</v>
      </c>
      <c r="AH6050" s="580">
        <f t="shared" si="510"/>
        <v>0</v>
      </c>
    </row>
    <row r="6051" spans="28:34">
      <c r="AB6051" s="580">
        <f>HLOOKUP("*"&amp;'Output annual'!$AC$2&amp;'Output annual'!$AD$2&amp;"*Zone People Number Of Occupants [](Hourly)",'Eplus results'!$1:$1048576,ROW(),FALSE)</f>
        <v>0</v>
      </c>
      <c r="AC6051" s="580">
        <f>HLOOKUP("*"&amp;'Output annual'!$AC$2&amp;'Output annual'!$AD$2&amp;"*FangerPMV(Hourly)",'Eplus results'!$1:$1048576,ROW(),FALSE)</f>
        <v>0</v>
      </c>
      <c r="AD6051" s="580">
        <f t="shared" si="506"/>
        <v>5</v>
      </c>
      <c r="AE6051" s="580">
        <f t="shared" si="507"/>
        <v>2.5</v>
      </c>
      <c r="AF6051" s="580">
        <f t="shared" si="508"/>
        <v>2.5</v>
      </c>
      <c r="AG6051" s="580">
        <f t="shared" si="509"/>
        <v>0</v>
      </c>
      <c r="AH6051" s="580">
        <f t="shared" si="510"/>
        <v>0</v>
      </c>
    </row>
    <row r="6052" spans="28:34">
      <c r="AB6052" s="580">
        <f>HLOOKUP("*"&amp;'Output annual'!$AC$2&amp;'Output annual'!$AD$2&amp;"*Zone People Number Of Occupants [](Hourly)",'Eplus results'!$1:$1048576,ROW(),FALSE)</f>
        <v>0</v>
      </c>
      <c r="AC6052" s="580">
        <f>HLOOKUP("*"&amp;'Output annual'!$AC$2&amp;'Output annual'!$AD$2&amp;"*FangerPMV(Hourly)",'Eplus results'!$1:$1048576,ROW(),FALSE)</f>
        <v>0</v>
      </c>
      <c r="AD6052" s="580">
        <f t="shared" si="506"/>
        <v>5</v>
      </c>
      <c r="AE6052" s="580">
        <f t="shared" si="507"/>
        <v>2.5</v>
      </c>
      <c r="AF6052" s="580">
        <f t="shared" si="508"/>
        <v>2.5</v>
      </c>
      <c r="AG6052" s="580">
        <f t="shared" si="509"/>
        <v>0</v>
      </c>
      <c r="AH6052" s="580">
        <f t="shared" si="510"/>
        <v>0</v>
      </c>
    </row>
    <row r="6053" spans="28:34">
      <c r="AB6053" s="580">
        <f>HLOOKUP("*"&amp;'Output annual'!$AC$2&amp;'Output annual'!$AD$2&amp;"*Zone People Number Of Occupants [](Hourly)",'Eplus results'!$1:$1048576,ROW(),FALSE)</f>
        <v>0</v>
      </c>
      <c r="AC6053" s="580">
        <f>HLOOKUP("*"&amp;'Output annual'!$AC$2&amp;'Output annual'!$AD$2&amp;"*FangerPMV(Hourly)",'Eplus results'!$1:$1048576,ROW(),FALSE)</f>
        <v>0</v>
      </c>
      <c r="AD6053" s="580">
        <f t="shared" si="506"/>
        <v>5</v>
      </c>
      <c r="AE6053" s="580">
        <f t="shared" si="507"/>
        <v>2.5</v>
      </c>
      <c r="AF6053" s="580">
        <f t="shared" si="508"/>
        <v>2.5</v>
      </c>
      <c r="AG6053" s="580">
        <f t="shared" si="509"/>
        <v>0</v>
      </c>
      <c r="AH6053" s="580">
        <f t="shared" si="510"/>
        <v>0</v>
      </c>
    </row>
    <row r="6054" spans="28:34">
      <c r="AB6054" s="580">
        <f>HLOOKUP("*"&amp;'Output annual'!$AC$2&amp;'Output annual'!$AD$2&amp;"*Zone People Number Of Occupants [](Hourly)",'Eplus results'!$1:$1048576,ROW(),FALSE)</f>
        <v>0</v>
      </c>
      <c r="AC6054" s="580">
        <f>HLOOKUP("*"&amp;'Output annual'!$AC$2&amp;'Output annual'!$AD$2&amp;"*FangerPMV(Hourly)",'Eplus results'!$1:$1048576,ROW(),FALSE)</f>
        <v>0</v>
      </c>
      <c r="AD6054" s="580">
        <f t="shared" si="506"/>
        <v>5</v>
      </c>
      <c r="AE6054" s="580">
        <f t="shared" si="507"/>
        <v>2.5</v>
      </c>
      <c r="AF6054" s="580">
        <f t="shared" si="508"/>
        <v>2.5</v>
      </c>
      <c r="AG6054" s="580">
        <f t="shared" si="509"/>
        <v>0</v>
      </c>
      <c r="AH6054" s="580">
        <f t="shared" si="510"/>
        <v>0</v>
      </c>
    </row>
    <row r="6055" spans="28:34">
      <c r="AB6055" s="580">
        <f>HLOOKUP("*"&amp;'Output annual'!$AC$2&amp;'Output annual'!$AD$2&amp;"*Zone People Number Of Occupants [](Hourly)",'Eplus results'!$1:$1048576,ROW(),FALSE)</f>
        <v>0</v>
      </c>
      <c r="AC6055" s="580">
        <f>HLOOKUP("*"&amp;'Output annual'!$AC$2&amp;'Output annual'!$AD$2&amp;"*FangerPMV(Hourly)",'Eplus results'!$1:$1048576,ROW(),FALSE)</f>
        <v>0</v>
      </c>
      <c r="AD6055" s="580">
        <f t="shared" si="506"/>
        <v>5</v>
      </c>
      <c r="AE6055" s="580">
        <f t="shared" si="507"/>
        <v>2.5</v>
      </c>
      <c r="AF6055" s="580">
        <f t="shared" si="508"/>
        <v>2.5</v>
      </c>
      <c r="AG6055" s="580">
        <f t="shared" si="509"/>
        <v>0</v>
      </c>
      <c r="AH6055" s="580">
        <f t="shared" si="510"/>
        <v>0</v>
      </c>
    </row>
    <row r="6056" spans="28:34">
      <c r="AB6056" s="580">
        <f>HLOOKUP("*"&amp;'Output annual'!$AC$2&amp;'Output annual'!$AD$2&amp;"*Zone People Number Of Occupants [](Hourly)",'Eplus results'!$1:$1048576,ROW(),FALSE)</f>
        <v>0</v>
      </c>
      <c r="AC6056" s="580">
        <f>HLOOKUP("*"&amp;'Output annual'!$AC$2&amp;'Output annual'!$AD$2&amp;"*FangerPMV(Hourly)",'Eplus results'!$1:$1048576,ROW(),FALSE)</f>
        <v>0</v>
      </c>
      <c r="AD6056" s="580">
        <f t="shared" si="506"/>
        <v>5</v>
      </c>
      <c r="AE6056" s="580">
        <f t="shared" si="507"/>
        <v>2.5</v>
      </c>
      <c r="AF6056" s="580">
        <f t="shared" si="508"/>
        <v>2.5</v>
      </c>
      <c r="AG6056" s="580">
        <f t="shared" si="509"/>
        <v>0</v>
      </c>
      <c r="AH6056" s="580">
        <f t="shared" si="510"/>
        <v>0</v>
      </c>
    </row>
    <row r="6057" spans="28:34">
      <c r="AB6057" s="580">
        <f>HLOOKUP("*"&amp;'Output annual'!$AC$2&amp;'Output annual'!$AD$2&amp;"*Zone People Number Of Occupants [](Hourly)",'Eplus results'!$1:$1048576,ROW(),FALSE)</f>
        <v>0</v>
      </c>
      <c r="AC6057" s="580">
        <f>HLOOKUP("*"&amp;'Output annual'!$AC$2&amp;'Output annual'!$AD$2&amp;"*FangerPMV(Hourly)",'Eplus results'!$1:$1048576,ROW(),FALSE)</f>
        <v>0</v>
      </c>
      <c r="AD6057" s="580">
        <f t="shared" si="506"/>
        <v>5</v>
      </c>
      <c r="AE6057" s="580">
        <f t="shared" si="507"/>
        <v>2.5</v>
      </c>
      <c r="AF6057" s="580">
        <f t="shared" si="508"/>
        <v>2.5</v>
      </c>
      <c r="AG6057" s="580">
        <f t="shared" si="509"/>
        <v>0</v>
      </c>
      <c r="AH6057" s="580">
        <f t="shared" si="510"/>
        <v>0</v>
      </c>
    </row>
    <row r="6058" spans="28:34">
      <c r="AB6058" s="580">
        <f>HLOOKUP("*"&amp;'Output annual'!$AC$2&amp;'Output annual'!$AD$2&amp;"*Zone People Number Of Occupants [](Hourly)",'Eplus results'!$1:$1048576,ROW(),FALSE)</f>
        <v>0</v>
      </c>
      <c r="AC6058" s="580">
        <f>HLOOKUP("*"&amp;'Output annual'!$AC$2&amp;'Output annual'!$AD$2&amp;"*FangerPMV(Hourly)",'Eplus results'!$1:$1048576,ROW(),FALSE)</f>
        <v>0</v>
      </c>
      <c r="AD6058" s="580">
        <f t="shared" si="506"/>
        <v>5</v>
      </c>
      <c r="AE6058" s="580">
        <f t="shared" si="507"/>
        <v>2.5</v>
      </c>
      <c r="AF6058" s="580">
        <f t="shared" si="508"/>
        <v>2.5</v>
      </c>
      <c r="AG6058" s="580">
        <f t="shared" si="509"/>
        <v>0</v>
      </c>
      <c r="AH6058" s="580">
        <f t="shared" si="510"/>
        <v>0</v>
      </c>
    </row>
    <row r="6059" spans="28:34">
      <c r="AB6059" s="580">
        <f>HLOOKUP("*"&amp;'Output annual'!$AC$2&amp;'Output annual'!$AD$2&amp;"*Zone People Number Of Occupants [](Hourly)",'Eplus results'!$1:$1048576,ROW(),FALSE)</f>
        <v>0</v>
      </c>
      <c r="AC6059" s="580">
        <f>HLOOKUP("*"&amp;'Output annual'!$AC$2&amp;'Output annual'!$AD$2&amp;"*FangerPMV(Hourly)",'Eplus results'!$1:$1048576,ROW(),FALSE)</f>
        <v>0</v>
      </c>
      <c r="AD6059" s="580">
        <f t="shared" si="506"/>
        <v>5</v>
      </c>
      <c r="AE6059" s="580">
        <f t="shared" si="507"/>
        <v>2.5</v>
      </c>
      <c r="AF6059" s="580">
        <f t="shared" si="508"/>
        <v>2.5</v>
      </c>
      <c r="AG6059" s="580">
        <f t="shared" si="509"/>
        <v>0</v>
      </c>
      <c r="AH6059" s="580">
        <f t="shared" si="510"/>
        <v>0</v>
      </c>
    </row>
    <row r="6060" spans="28:34">
      <c r="AB6060" s="580">
        <f>HLOOKUP("*"&amp;'Output annual'!$AC$2&amp;'Output annual'!$AD$2&amp;"*Zone People Number Of Occupants [](Hourly)",'Eplus results'!$1:$1048576,ROW(),FALSE)</f>
        <v>0</v>
      </c>
      <c r="AC6060" s="580">
        <f>HLOOKUP("*"&amp;'Output annual'!$AC$2&amp;'Output annual'!$AD$2&amp;"*FangerPMV(Hourly)",'Eplus results'!$1:$1048576,ROW(),FALSE)</f>
        <v>0</v>
      </c>
      <c r="AD6060" s="580">
        <f t="shared" si="506"/>
        <v>5</v>
      </c>
      <c r="AE6060" s="580">
        <f t="shared" si="507"/>
        <v>2.5</v>
      </c>
      <c r="AF6060" s="580">
        <f t="shared" si="508"/>
        <v>2.5</v>
      </c>
      <c r="AG6060" s="580">
        <f t="shared" si="509"/>
        <v>0</v>
      </c>
      <c r="AH6060" s="580">
        <f t="shared" si="510"/>
        <v>0</v>
      </c>
    </row>
    <row r="6061" spans="28:34">
      <c r="AB6061" s="580">
        <f>HLOOKUP("*"&amp;'Output annual'!$AC$2&amp;'Output annual'!$AD$2&amp;"*Zone People Number Of Occupants [](Hourly)",'Eplus results'!$1:$1048576,ROW(),FALSE)</f>
        <v>0</v>
      </c>
      <c r="AC6061" s="580">
        <f>HLOOKUP("*"&amp;'Output annual'!$AC$2&amp;'Output annual'!$AD$2&amp;"*FangerPMV(Hourly)",'Eplus results'!$1:$1048576,ROW(),FALSE)</f>
        <v>0</v>
      </c>
      <c r="AD6061" s="580">
        <f t="shared" si="506"/>
        <v>5</v>
      </c>
      <c r="AE6061" s="580">
        <f t="shared" si="507"/>
        <v>2.5</v>
      </c>
      <c r="AF6061" s="580">
        <f t="shared" si="508"/>
        <v>2.5</v>
      </c>
      <c r="AG6061" s="580">
        <f t="shared" si="509"/>
        <v>0</v>
      </c>
      <c r="AH6061" s="580">
        <f t="shared" si="510"/>
        <v>0</v>
      </c>
    </row>
    <row r="6062" spans="28:34">
      <c r="AB6062" s="580">
        <f>HLOOKUP("*"&amp;'Output annual'!$AC$2&amp;'Output annual'!$AD$2&amp;"*Zone People Number Of Occupants [](Hourly)",'Eplus results'!$1:$1048576,ROW(),FALSE)</f>
        <v>0</v>
      </c>
      <c r="AC6062" s="580">
        <f>HLOOKUP("*"&amp;'Output annual'!$AC$2&amp;'Output annual'!$AD$2&amp;"*FangerPMV(Hourly)",'Eplus results'!$1:$1048576,ROW(),FALSE)</f>
        <v>0</v>
      </c>
      <c r="AD6062" s="580">
        <f t="shared" si="506"/>
        <v>5</v>
      </c>
      <c r="AE6062" s="580">
        <f t="shared" si="507"/>
        <v>2.5</v>
      </c>
      <c r="AF6062" s="580">
        <f t="shared" si="508"/>
        <v>2.5</v>
      </c>
      <c r="AG6062" s="580">
        <f t="shared" si="509"/>
        <v>0</v>
      </c>
      <c r="AH6062" s="580">
        <f t="shared" si="510"/>
        <v>0</v>
      </c>
    </row>
    <row r="6063" spans="28:34">
      <c r="AB6063" s="580">
        <f>HLOOKUP("*"&amp;'Output annual'!$AC$2&amp;'Output annual'!$AD$2&amp;"*Zone People Number Of Occupants [](Hourly)",'Eplus results'!$1:$1048576,ROW(),FALSE)</f>
        <v>0</v>
      </c>
      <c r="AC6063" s="580">
        <f>HLOOKUP("*"&amp;'Output annual'!$AC$2&amp;'Output annual'!$AD$2&amp;"*FangerPMV(Hourly)",'Eplus results'!$1:$1048576,ROW(),FALSE)</f>
        <v>0</v>
      </c>
      <c r="AD6063" s="580">
        <f t="shared" si="506"/>
        <v>5</v>
      </c>
      <c r="AE6063" s="580">
        <f t="shared" si="507"/>
        <v>2.5</v>
      </c>
      <c r="AF6063" s="580">
        <f t="shared" si="508"/>
        <v>2.5</v>
      </c>
      <c r="AG6063" s="580">
        <f t="shared" si="509"/>
        <v>0</v>
      </c>
      <c r="AH6063" s="580">
        <f t="shared" si="510"/>
        <v>0</v>
      </c>
    </row>
    <row r="6064" spans="28:34">
      <c r="AB6064" s="580">
        <f>HLOOKUP("*"&amp;'Output annual'!$AC$2&amp;'Output annual'!$AD$2&amp;"*Zone People Number Of Occupants [](Hourly)",'Eplus results'!$1:$1048576,ROW(),FALSE)</f>
        <v>0</v>
      </c>
      <c r="AC6064" s="580">
        <f>HLOOKUP("*"&amp;'Output annual'!$AC$2&amp;'Output annual'!$AD$2&amp;"*FangerPMV(Hourly)",'Eplus results'!$1:$1048576,ROW(),FALSE)</f>
        <v>0</v>
      </c>
      <c r="AD6064" s="580">
        <f t="shared" si="506"/>
        <v>5</v>
      </c>
      <c r="AE6064" s="580">
        <f t="shared" si="507"/>
        <v>2.5</v>
      </c>
      <c r="AF6064" s="580">
        <f t="shared" si="508"/>
        <v>2.5</v>
      </c>
      <c r="AG6064" s="580">
        <f t="shared" si="509"/>
        <v>0</v>
      </c>
      <c r="AH6064" s="580">
        <f t="shared" si="510"/>
        <v>0</v>
      </c>
    </row>
    <row r="6065" spans="28:34">
      <c r="AB6065" s="580">
        <f>HLOOKUP("*"&amp;'Output annual'!$AC$2&amp;'Output annual'!$AD$2&amp;"*Zone People Number Of Occupants [](Hourly)",'Eplus results'!$1:$1048576,ROW(),FALSE)</f>
        <v>0</v>
      </c>
      <c r="AC6065" s="580">
        <f>HLOOKUP("*"&amp;'Output annual'!$AC$2&amp;'Output annual'!$AD$2&amp;"*FangerPMV(Hourly)",'Eplus results'!$1:$1048576,ROW(),FALSE)</f>
        <v>0</v>
      </c>
      <c r="AD6065" s="580">
        <f t="shared" si="506"/>
        <v>5</v>
      </c>
      <c r="AE6065" s="580">
        <f t="shared" si="507"/>
        <v>2.5</v>
      </c>
      <c r="AF6065" s="580">
        <f t="shared" si="508"/>
        <v>2.5</v>
      </c>
      <c r="AG6065" s="580">
        <f t="shared" si="509"/>
        <v>0</v>
      </c>
      <c r="AH6065" s="580">
        <f t="shared" si="510"/>
        <v>0</v>
      </c>
    </row>
    <row r="6066" spans="28:34">
      <c r="AB6066" s="580">
        <f>HLOOKUP("*"&amp;'Output annual'!$AC$2&amp;'Output annual'!$AD$2&amp;"*Zone People Number Of Occupants [](Hourly)",'Eplus results'!$1:$1048576,ROW(),FALSE)</f>
        <v>0</v>
      </c>
      <c r="AC6066" s="580">
        <f>HLOOKUP("*"&amp;'Output annual'!$AC$2&amp;'Output annual'!$AD$2&amp;"*FangerPMV(Hourly)",'Eplus results'!$1:$1048576,ROW(),FALSE)</f>
        <v>0</v>
      </c>
      <c r="AD6066" s="580">
        <f t="shared" si="506"/>
        <v>5</v>
      </c>
      <c r="AE6066" s="580">
        <f t="shared" si="507"/>
        <v>2.5</v>
      </c>
      <c r="AF6066" s="580">
        <f t="shared" si="508"/>
        <v>2.5</v>
      </c>
      <c r="AG6066" s="580">
        <f t="shared" si="509"/>
        <v>0</v>
      </c>
      <c r="AH6066" s="580">
        <f t="shared" si="510"/>
        <v>0</v>
      </c>
    </row>
    <row r="6067" spans="28:34">
      <c r="AB6067" s="580">
        <f>HLOOKUP("*"&amp;'Output annual'!$AC$2&amp;'Output annual'!$AD$2&amp;"*Zone People Number Of Occupants [](Hourly)",'Eplus results'!$1:$1048576,ROW(),FALSE)</f>
        <v>0</v>
      </c>
      <c r="AC6067" s="580">
        <f>HLOOKUP("*"&amp;'Output annual'!$AC$2&amp;'Output annual'!$AD$2&amp;"*FangerPMV(Hourly)",'Eplus results'!$1:$1048576,ROW(),FALSE)</f>
        <v>0</v>
      </c>
      <c r="AD6067" s="580">
        <f t="shared" si="506"/>
        <v>5</v>
      </c>
      <c r="AE6067" s="580">
        <f t="shared" si="507"/>
        <v>2.5</v>
      </c>
      <c r="AF6067" s="580">
        <f t="shared" si="508"/>
        <v>2.5</v>
      </c>
      <c r="AG6067" s="580">
        <f t="shared" si="509"/>
        <v>0</v>
      </c>
      <c r="AH6067" s="580">
        <f t="shared" si="510"/>
        <v>0</v>
      </c>
    </row>
    <row r="6068" spans="28:34">
      <c r="AB6068" s="580">
        <f>HLOOKUP("*"&amp;'Output annual'!$AC$2&amp;'Output annual'!$AD$2&amp;"*Zone People Number Of Occupants [](Hourly)",'Eplus results'!$1:$1048576,ROW(),FALSE)</f>
        <v>0</v>
      </c>
      <c r="AC6068" s="580">
        <f>HLOOKUP("*"&amp;'Output annual'!$AC$2&amp;'Output annual'!$AD$2&amp;"*FangerPMV(Hourly)",'Eplus results'!$1:$1048576,ROW(),FALSE)</f>
        <v>0</v>
      </c>
      <c r="AD6068" s="580">
        <f t="shared" si="506"/>
        <v>5</v>
      </c>
      <c r="AE6068" s="580">
        <f t="shared" si="507"/>
        <v>2.5</v>
      </c>
      <c r="AF6068" s="580">
        <f t="shared" si="508"/>
        <v>2.5</v>
      </c>
      <c r="AG6068" s="580">
        <f t="shared" si="509"/>
        <v>0</v>
      </c>
      <c r="AH6068" s="580">
        <f t="shared" si="510"/>
        <v>0</v>
      </c>
    </row>
    <row r="6069" spans="28:34">
      <c r="AB6069" s="580">
        <f>HLOOKUP("*"&amp;'Output annual'!$AC$2&amp;'Output annual'!$AD$2&amp;"*Zone People Number Of Occupants [](Hourly)",'Eplus results'!$1:$1048576,ROW(),FALSE)</f>
        <v>0</v>
      </c>
      <c r="AC6069" s="580">
        <f>HLOOKUP("*"&amp;'Output annual'!$AC$2&amp;'Output annual'!$AD$2&amp;"*FangerPMV(Hourly)",'Eplus results'!$1:$1048576,ROW(),FALSE)</f>
        <v>0</v>
      </c>
      <c r="AD6069" s="580">
        <f t="shared" si="506"/>
        <v>5</v>
      </c>
      <c r="AE6069" s="580">
        <f t="shared" si="507"/>
        <v>2.5</v>
      </c>
      <c r="AF6069" s="580">
        <f t="shared" si="508"/>
        <v>2.5</v>
      </c>
      <c r="AG6069" s="580">
        <f t="shared" si="509"/>
        <v>0</v>
      </c>
      <c r="AH6069" s="580">
        <f t="shared" si="510"/>
        <v>0</v>
      </c>
    </row>
    <row r="6070" spans="28:34">
      <c r="AB6070" s="580">
        <f>HLOOKUP("*"&amp;'Output annual'!$AC$2&amp;'Output annual'!$AD$2&amp;"*Zone People Number Of Occupants [](Hourly)",'Eplus results'!$1:$1048576,ROW(),FALSE)</f>
        <v>0</v>
      </c>
      <c r="AC6070" s="580">
        <f>HLOOKUP("*"&amp;'Output annual'!$AC$2&amp;'Output annual'!$AD$2&amp;"*FangerPMV(Hourly)",'Eplus results'!$1:$1048576,ROW(),FALSE)</f>
        <v>0</v>
      </c>
      <c r="AD6070" s="580">
        <f t="shared" si="506"/>
        <v>5</v>
      </c>
      <c r="AE6070" s="580">
        <f t="shared" si="507"/>
        <v>2.5</v>
      </c>
      <c r="AF6070" s="580">
        <f t="shared" si="508"/>
        <v>2.5</v>
      </c>
      <c r="AG6070" s="580">
        <f t="shared" si="509"/>
        <v>0</v>
      </c>
      <c r="AH6070" s="580">
        <f t="shared" si="510"/>
        <v>0</v>
      </c>
    </row>
    <row r="6071" spans="28:34">
      <c r="AB6071" s="580">
        <f>HLOOKUP("*"&amp;'Output annual'!$AC$2&amp;'Output annual'!$AD$2&amp;"*Zone People Number Of Occupants [](Hourly)",'Eplus results'!$1:$1048576,ROW(),FALSE)</f>
        <v>0</v>
      </c>
      <c r="AC6071" s="580">
        <f>HLOOKUP("*"&amp;'Output annual'!$AC$2&amp;'Output annual'!$AD$2&amp;"*FangerPMV(Hourly)",'Eplus results'!$1:$1048576,ROW(),FALSE)</f>
        <v>0</v>
      </c>
      <c r="AD6071" s="580">
        <f t="shared" si="506"/>
        <v>5</v>
      </c>
      <c r="AE6071" s="580">
        <f t="shared" si="507"/>
        <v>2.5</v>
      </c>
      <c r="AF6071" s="580">
        <f t="shared" si="508"/>
        <v>2.5</v>
      </c>
      <c r="AG6071" s="580">
        <f t="shared" si="509"/>
        <v>0</v>
      </c>
      <c r="AH6071" s="580">
        <f t="shared" si="510"/>
        <v>0</v>
      </c>
    </row>
    <row r="6072" spans="28:34">
      <c r="AB6072" s="580">
        <f>HLOOKUP("*"&amp;'Output annual'!$AC$2&amp;'Output annual'!$AD$2&amp;"*Zone People Number Of Occupants [](Hourly)",'Eplus results'!$1:$1048576,ROW(),FALSE)</f>
        <v>0</v>
      </c>
      <c r="AC6072" s="580">
        <f>HLOOKUP("*"&amp;'Output annual'!$AC$2&amp;'Output annual'!$AD$2&amp;"*FangerPMV(Hourly)",'Eplus results'!$1:$1048576,ROW(),FALSE)</f>
        <v>0</v>
      </c>
      <c r="AD6072" s="580">
        <f t="shared" si="506"/>
        <v>5</v>
      </c>
      <c r="AE6072" s="580">
        <f t="shared" si="507"/>
        <v>2.5</v>
      </c>
      <c r="AF6072" s="580">
        <f t="shared" si="508"/>
        <v>2.5</v>
      </c>
      <c r="AG6072" s="580">
        <f t="shared" si="509"/>
        <v>0</v>
      </c>
      <c r="AH6072" s="580">
        <f t="shared" si="510"/>
        <v>0</v>
      </c>
    </row>
    <row r="6073" spans="28:34">
      <c r="AB6073" s="580">
        <f>HLOOKUP("*"&amp;'Output annual'!$AC$2&amp;'Output annual'!$AD$2&amp;"*Zone People Number Of Occupants [](Hourly)",'Eplus results'!$1:$1048576,ROW(),FALSE)</f>
        <v>0</v>
      </c>
      <c r="AC6073" s="580">
        <f>HLOOKUP("*"&amp;'Output annual'!$AC$2&amp;'Output annual'!$AD$2&amp;"*FangerPMV(Hourly)",'Eplus results'!$1:$1048576,ROW(),FALSE)</f>
        <v>0</v>
      </c>
      <c r="AD6073" s="580">
        <f t="shared" si="506"/>
        <v>5</v>
      </c>
      <c r="AE6073" s="580">
        <f t="shared" si="507"/>
        <v>2.5</v>
      </c>
      <c r="AF6073" s="580">
        <f t="shared" si="508"/>
        <v>2.5</v>
      </c>
      <c r="AG6073" s="580">
        <f t="shared" si="509"/>
        <v>0</v>
      </c>
      <c r="AH6073" s="580">
        <f t="shared" si="510"/>
        <v>0</v>
      </c>
    </row>
    <row r="6074" spans="28:34">
      <c r="AB6074" s="580">
        <f>HLOOKUP("*"&amp;'Output annual'!$AC$2&amp;'Output annual'!$AD$2&amp;"*Zone People Number Of Occupants [](Hourly)",'Eplus results'!$1:$1048576,ROW(),FALSE)</f>
        <v>0</v>
      </c>
      <c r="AC6074" s="580">
        <f>HLOOKUP("*"&amp;'Output annual'!$AC$2&amp;'Output annual'!$AD$2&amp;"*FangerPMV(Hourly)",'Eplus results'!$1:$1048576,ROW(),FALSE)</f>
        <v>0</v>
      </c>
      <c r="AD6074" s="580">
        <f t="shared" si="506"/>
        <v>5</v>
      </c>
      <c r="AE6074" s="580">
        <f t="shared" si="507"/>
        <v>2.5</v>
      </c>
      <c r="AF6074" s="580">
        <f t="shared" si="508"/>
        <v>2.5</v>
      </c>
      <c r="AG6074" s="580">
        <f t="shared" si="509"/>
        <v>0</v>
      </c>
      <c r="AH6074" s="580">
        <f t="shared" si="510"/>
        <v>0</v>
      </c>
    </row>
    <row r="6075" spans="28:34">
      <c r="AB6075" s="580">
        <f>HLOOKUP("*"&amp;'Output annual'!$AC$2&amp;'Output annual'!$AD$2&amp;"*Zone People Number Of Occupants [](Hourly)",'Eplus results'!$1:$1048576,ROW(),FALSE)</f>
        <v>0</v>
      </c>
      <c r="AC6075" s="580">
        <f>HLOOKUP("*"&amp;'Output annual'!$AC$2&amp;'Output annual'!$AD$2&amp;"*FangerPMV(Hourly)",'Eplus results'!$1:$1048576,ROW(),FALSE)</f>
        <v>0</v>
      </c>
      <c r="AD6075" s="580">
        <f t="shared" si="506"/>
        <v>5</v>
      </c>
      <c r="AE6075" s="580">
        <f t="shared" si="507"/>
        <v>2.5</v>
      </c>
      <c r="AF6075" s="580">
        <f t="shared" si="508"/>
        <v>2.5</v>
      </c>
      <c r="AG6075" s="580">
        <f t="shared" si="509"/>
        <v>0</v>
      </c>
      <c r="AH6075" s="580">
        <f t="shared" si="510"/>
        <v>0</v>
      </c>
    </row>
    <row r="6076" spans="28:34">
      <c r="AB6076" s="580">
        <f>HLOOKUP("*"&amp;'Output annual'!$AC$2&amp;'Output annual'!$AD$2&amp;"*Zone People Number Of Occupants [](Hourly)",'Eplus results'!$1:$1048576,ROW(),FALSE)</f>
        <v>0</v>
      </c>
      <c r="AC6076" s="580">
        <f>HLOOKUP("*"&amp;'Output annual'!$AC$2&amp;'Output annual'!$AD$2&amp;"*FangerPMV(Hourly)",'Eplus results'!$1:$1048576,ROW(),FALSE)</f>
        <v>0</v>
      </c>
      <c r="AD6076" s="580">
        <f t="shared" si="506"/>
        <v>5</v>
      </c>
      <c r="AE6076" s="580">
        <f t="shared" si="507"/>
        <v>2.5</v>
      </c>
      <c r="AF6076" s="580">
        <f t="shared" si="508"/>
        <v>2.5</v>
      </c>
      <c r="AG6076" s="580">
        <f t="shared" si="509"/>
        <v>0</v>
      </c>
      <c r="AH6076" s="580">
        <f t="shared" si="510"/>
        <v>0</v>
      </c>
    </row>
    <row r="6077" spans="28:34">
      <c r="AB6077" s="580">
        <f>HLOOKUP("*"&amp;'Output annual'!$AC$2&amp;'Output annual'!$AD$2&amp;"*Zone People Number Of Occupants [](Hourly)",'Eplus results'!$1:$1048576,ROW(),FALSE)</f>
        <v>0</v>
      </c>
      <c r="AC6077" s="580">
        <f>HLOOKUP("*"&amp;'Output annual'!$AC$2&amp;'Output annual'!$AD$2&amp;"*FangerPMV(Hourly)",'Eplus results'!$1:$1048576,ROW(),FALSE)</f>
        <v>0</v>
      </c>
      <c r="AD6077" s="580">
        <f t="shared" si="506"/>
        <v>5</v>
      </c>
      <c r="AE6077" s="580">
        <f t="shared" si="507"/>
        <v>2.5</v>
      </c>
      <c r="AF6077" s="580">
        <f t="shared" si="508"/>
        <v>2.5</v>
      </c>
      <c r="AG6077" s="580">
        <f t="shared" si="509"/>
        <v>0</v>
      </c>
      <c r="AH6077" s="580">
        <f t="shared" si="510"/>
        <v>0</v>
      </c>
    </row>
    <row r="6078" spans="28:34">
      <c r="AB6078" s="580">
        <f>HLOOKUP("*"&amp;'Output annual'!$AC$2&amp;'Output annual'!$AD$2&amp;"*Zone People Number Of Occupants [](Hourly)",'Eplus results'!$1:$1048576,ROW(),FALSE)</f>
        <v>0</v>
      </c>
      <c r="AC6078" s="580">
        <f>HLOOKUP("*"&amp;'Output annual'!$AC$2&amp;'Output annual'!$AD$2&amp;"*FangerPMV(Hourly)",'Eplus results'!$1:$1048576,ROW(),FALSE)</f>
        <v>0</v>
      </c>
      <c r="AD6078" s="580">
        <f t="shared" si="506"/>
        <v>5</v>
      </c>
      <c r="AE6078" s="580">
        <f t="shared" si="507"/>
        <v>2.5</v>
      </c>
      <c r="AF6078" s="580">
        <f t="shared" si="508"/>
        <v>2.5</v>
      </c>
      <c r="AG6078" s="580">
        <f t="shared" si="509"/>
        <v>0</v>
      </c>
      <c r="AH6078" s="580">
        <f t="shared" si="510"/>
        <v>0</v>
      </c>
    </row>
    <row r="6079" spans="28:34">
      <c r="AB6079" s="580">
        <f>HLOOKUP("*"&amp;'Output annual'!$AC$2&amp;'Output annual'!$AD$2&amp;"*Zone People Number Of Occupants [](Hourly)",'Eplus results'!$1:$1048576,ROW(),FALSE)</f>
        <v>0</v>
      </c>
      <c r="AC6079" s="580">
        <f>HLOOKUP("*"&amp;'Output annual'!$AC$2&amp;'Output annual'!$AD$2&amp;"*FangerPMV(Hourly)",'Eplus results'!$1:$1048576,ROW(),FALSE)</f>
        <v>0</v>
      </c>
      <c r="AD6079" s="580">
        <f t="shared" si="506"/>
        <v>5</v>
      </c>
      <c r="AE6079" s="580">
        <f t="shared" si="507"/>
        <v>2.5</v>
      </c>
      <c r="AF6079" s="580">
        <f t="shared" si="508"/>
        <v>2.5</v>
      </c>
      <c r="AG6079" s="580">
        <f t="shared" si="509"/>
        <v>0</v>
      </c>
      <c r="AH6079" s="580">
        <f t="shared" si="510"/>
        <v>0</v>
      </c>
    </row>
    <row r="6080" spans="28:34">
      <c r="AB6080" s="580">
        <f>HLOOKUP("*"&amp;'Output annual'!$AC$2&amp;'Output annual'!$AD$2&amp;"*Zone People Number Of Occupants [](Hourly)",'Eplus results'!$1:$1048576,ROW(),FALSE)</f>
        <v>0</v>
      </c>
      <c r="AC6080" s="580">
        <f>HLOOKUP("*"&amp;'Output annual'!$AC$2&amp;'Output annual'!$AD$2&amp;"*FangerPMV(Hourly)",'Eplus results'!$1:$1048576,ROW(),FALSE)</f>
        <v>0</v>
      </c>
      <c r="AD6080" s="580">
        <f t="shared" si="506"/>
        <v>5</v>
      </c>
      <c r="AE6080" s="580">
        <f t="shared" si="507"/>
        <v>2.5</v>
      </c>
      <c r="AF6080" s="580">
        <f t="shared" si="508"/>
        <v>2.5</v>
      </c>
      <c r="AG6080" s="580">
        <f t="shared" si="509"/>
        <v>0</v>
      </c>
      <c r="AH6080" s="580">
        <f t="shared" si="510"/>
        <v>0</v>
      </c>
    </row>
    <row r="6081" spans="28:34">
      <c r="AB6081" s="580">
        <f>HLOOKUP("*"&amp;'Output annual'!$AC$2&amp;'Output annual'!$AD$2&amp;"*Zone People Number Of Occupants [](Hourly)",'Eplus results'!$1:$1048576,ROW(),FALSE)</f>
        <v>0</v>
      </c>
      <c r="AC6081" s="580">
        <f>HLOOKUP("*"&amp;'Output annual'!$AC$2&amp;'Output annual'!$AD$2&amp;"*FangerPMV(Hourly)",'Eplus results'!$1:$1048576,ROW(),FALSE)</f>
        <v>0</v>
      </c>
      <c r="AD6081" s="580">
        <f t="shared" si="506"/>
        <v>5</v>
      </c>
      <c r="AE6081" s="580">
        <f t="shared" si="507"/>
        <v>2.5</v>
      </c>
      <c r="AF6081" s="580">
        <f t="shared" si="508"/>
        <v>2.5</v>
      </c>
      <c r="AG6081" s="580">
        <f t="shared" si="509"/>
        <v>0</v>
      </c>
      <c r="AH6081" s="580">
        <f t="shared" si="510"/>
        <v>0</v>
      </c>
    </row>
    <row r="6082" spans="28:34">
      <c r="AB6082" s="580">
        <f>HLOOKUP("*"&amp;'Output annual'!$AC$2&amp;'Output annual'!$AD$2&amp;"*Zone People Number Of Occupants [](Hourly)",'Eplus results'!$1:$1048576,ROW(),FALSE)</f>
        <v>0</v>
      </c>
      <c r="AC6082" s="580">
        <f>HLOOKUP("*"&amp;'Output annual'!$AC$2&amp;'Output annual'!$AD$2&amp;"*FangerPMV(Hourly)",'Eplus results'!$1:$1048576,ROW(),FALSE)</f>
        <v>0</v>
      </c>
      <c r="AD6082" s="580">
        <f t="shared" si="506"/>
        <v>5</v>
      </c>
      <c r="AE6082" s="580">
        <f t="shared" si="507"/>
        <v>2.5</v>
      </c>
      <c r="AF6082" s="580">
        <f t="shared" si="508"/>
        <v>2.5</v>
      </c>
      <c r="AG6082" s="580">
        <f t="shared" si="509"/>
        <v>0</v>
      </c>
      <c r="AH6082" s="580">
        <f t="shared" si="510"/>
        <v>0</v>
      </c>
    </row>
    <row r="6083" spans="28:34">
      <c r="AB6083" s="580">
        <f>HLOOKUP("*"&amp;'Output annual'!$AC$2&amp;'Output annual'!$AD$2&amp;"*Zone People Number Of Occupants [](Hourly)",'Eplus results'!$1:$1048576,ROW(),FALSE)</f>
        <v>0</v>
      </c>
      <c r="AC6083" s="580">
        <f>HLOOKUP("*"&amp;'Output annual'!$AC$2&amp;'Output annual'!$AD$2&amp;"*FangerPMV(Hourly)",'Eplus results'!$1:$1048576,ROW(),FALSE)</f>
        <v>0</v>
      </c>
      <c r="AD6083" s="580">
        <f t="shared" ref="AD6083:AD6146" si="511">100-95*EXP(-0.03353*AC6083^4-0.2179*AC6083^2)</f>
        <v>5</v>
      </c>
      <c r="AE6083" s="580">
        <f t="shared" ref="AE6083:AE6146" si="512">AD6083*(1/(1+EXP(-6.3*$AC6083)))</f>
        <v>2.5</v>
      </c>
      <c r="AF6083" s="580">
        <f t="shared" ref="AF6083:AF6146" si="513">(AD6083-AE6083)</f>
        <v>2.5</v>
      </c>
      <c r="AG6083" s="580">
        <f t="shared" ref="AG6083:AG6146" si="514">AE6083*AB6083</f>
        <v>0</v>
      </c>
      <c r="AH6083" s="580">
        <f t="shared" ref="AH6083:AH6146" si="515">AF6083*AB6083</f>
        <v>0</v>
      </c>
    </row>
    <row r="6084" spans="28:34">
      <c r="AB6084" s="580">
        <f>HLOOKUP("*"&amp;'Output annual'!$AC$2&amp;'Output annual'!$AD$2&amp;"*Zone People Number Of Occupants [](Hourly)",'Eplus results'!$1:$1048576,ROW(),FALSE)</f>
        <v>0</v>
      </c>
      <c r="AC6084" s="580">
        <f>HLOOKUP("*"&amp;'Output annual'!$AC$2&amp;'Output annual'!$AD$2&amp;"*FangerPMV(Hourly)",'Eplus results'!$1:$1048576,ROW(),FALSE)</f>
        <v>0</v>
      </c>
      <c r="AD6084" s="580">
        <f t="shared" si="511"/>
        <v>5</v>
      </c>
      <c r="AE6084" s="580">
        <f t="shared" si="512"/>
        <v>2.5</v>
      </c>
      <c r="AF6084" s="580">
        <f t="shared" si="513"/>
        <v>2.5</v>
      </c>
      <c r="AG6084" s="580">
        <f t="shared" si="514"/>
        <v>0</v>
      </c>
      <c r="AH6084" s="580">
        <f t="shared" si="515"/>
        <v>0</v>
      </c>
    </row>
    <row r="6085" spans="28:34">
      <c r="AB6085" s="580">
        <f>HLOOKUP("*"&amp;'Output annual'!$AC$2&amp;'Output annual'!$AD$2&amp;"*Zone People Number Of Occupants [](Hourly)",'Eplus results'!$1:$1048576,ROW(),FALSE)</f>
        <v>0</v>
      </c>
      <c r="AC6085" s="580">
        <f>HLOOKUP("*"&amp;'Output annual'!$AC$2&amp;'Output annual'!$AD$2&amp;"*FangerPMV(Hourly)",'Eplus results'!$1:$1048576,ROW(),FALSE)</f>
        <v>0</v>
      </c>
      <c r="AD6085" s="580">
        <f t="shared" si="511"/>
        <v>5</v>
      </c>
      <c r="AE6085" s="580">
        <f t="shared" si="512"/>
        <v>2.5</v>
      </c>
      <c r="AF6085" s="580">
        <f t="shared" si="513"/>
        <v>2.5</v>
      </c>
      <c r="AG6085" s="580">
        <f t="shared" si="514"/>
        <v>0</v>
      </c>
      <c r="AH6085" s="580">
        <f t="shared" si="515"/>
        <v>0</v>
      </c>
    </row>
    <row r="6086" spans="28:34">
      <c r="AB6086" s="580">
        <f>HLOOKUP("*"&amp;'Output annual'!$AC$2&amp;'Output annual'!$AD$2&amp;"*Zone People Number Of Occupants [](Hourly)",'Eplus results'!$1:$1048576,ROW(),FALSE)</f>
        <v>0</v>
      </c>
      <c r="AC6086" s="580">
        <f>HLOOKUP("*"&amp;'Output annual'!$AC$2&amp;'Output annual'!$AD$2&amp;"*FangerPMV(Hourly)",'Eplus results'!$1:$1048576,ROW(),FALSE)</f>
        <v>0</v>
      </c>
      <c r="AD6086" s="580">
        <f t="shared" si="511"/>
        <v>5</v>
      </c>
      <c r="AE6086" s="580">
        <f t="shared" si="512"/>
        <v>2.5</v>
      </c>
      <c r="AF6086" s="580">
        <f t="shared" si="513"/>
        <v>2.5</v>
      </c>
      <c r="AG6086" s="580">
        <f t="shared" si="514"/>
        <v>0</v>
      </c>
      <c r="AH6086" s="580">
        <f t="shared" si="515"/>
        <v>0</v>
      </c>
    </row>
    <row r="6087" spans="28:34">
      <c r="AB6087" s="580">
        <f>HLOOKUP("*"&amp;'Output annual'!$AC$2&amp;'Output annual'!$AD$2&amp;"*Zone People Number Of Occupants [](Hourly)",'Eplus results'!$1:$1048576,ROW(),FALSE)</f>
        <v>0</v>
      </c>
      <c r="AC6087" s="580">
        <f>HLOOKUP("*"&amp;'Output annual'!$AC$2&amp;'Output annual'!$AD$2&amp;"*FangerPMV(Hourly)",'Eplus results'!$1:$1048576,ROW(),FALSE)</f>
        <v>0</v>
      </c>
      <c r="AD6087" s="580">
        <f t="shared" si="511"/>
        <v>5</v>
      </c>
      <c r="AE6087" s="580">
        <f t="shared" si="512"/>
        <v>2.5</v>
      </c>
      <c r="AF6087" s="580">
        <f t="shared" si="513"/>
        <v>2.5</v>
      </c>
      <c r="AG6087" s="580">
        <f t="shared" si="514"/>
        <v>0</v>
      </c>
      <c r="AH6087" s="580">
        <f t="shared" si="515"/>
        <v>0</v>
      </c>
    </row>
    <row r="6088" spans="28:34">
      <c r="AB6088" s="580">
        <f>HLOOKUP("*"&amp;'Output annual'!$AC$2&amp;'Output annual'!$AD$2&amp;"*Zone People Number Of Occupants [](Hourly)",'Eplus results'!$1:$1048576,ROW(),FALSE)</f>
        <v>0</v>
      </c>
      <c r="AC6088" s="580">
        <f>HLOOKUP("*"&amp;'Output annual'!$AC$2&amp;'Output annual'!$AD$2&amp;"*FangerPMV(Hourly)",'Eplus results'!$1:$1048576,ROW(),FALSE)</f>
        <v>0</v>
      </c>
      <c r="AD6088" s="580">
        <f t="shared" si="511"/>
        <v>5</v>
      </c>
      <c r="AE6088" s="580">
        <f t="shared" si="512"/>
        <v>2.5</v>
      </c>
      <c r="AF6088" s="580">
        <f t="shared" si="513"/>
        <v>2.5</v>
      </c>
      <c r="AG6088" s="580">
        <f t="shared" si="514"/>
        <v>0</v>
      </c>
      <c r="AH6088" s="580">
        <f t="shared" si="515"/>
        <v>0</v>
      </c>
    </row>
    <row r="6089" spans="28:34">
      <c r="AB6089" s="580">
        <f>HLOOKUP("*"&amp;'Output annual'!$AC$2&amp;'Output annual'!$AD$2&amp;"*Zone People Number Of Occupants [](Hourly)",'Eplus results'!$1:$1048576,ROW(),FALSE)</f>
        <v>0</v>
      </c>
      <c r="AC6089" s="580">
        <f>HLOOKUP("*"&amp;'Output annual'!$AC$2&amp;'Output annual'!$AD$2&amp;"*FangerPMV(Hourly)",'Eplus results'!$1:$1048576,ROW(),FALSE)</f>
        <v>0</v>
      </c>
      <c r="AD6089" s="580">
        <f t="shared" si="511"/>
        <v>5</v>
      </c>
      <c r="AE6089" s="580">
        <f t="shared" si="512"/>
        <v>2.5</v>
      </c>
      <c r="AF6089" s="580">
        <f t="shared" si="513"/>
        <v>2.5</v>
      </c>
      <c r="AG6089" s="580">
        <f t="shared" si="514"/>
        <v>0</v>
      </c>
      <c r="AH6089" s="580">
        <f t="shared" si="515"/>
        <v>0</v>
      </c>
    </row>
    <row r="6090" spans="28:34">
      <c r="AB6090" s="580">
        <f>HLOOKUP("*"&amp;'Output annual'!$AC$2&amp;'Output annual'!$AD$2&amp;"*Zone People Number Of Occupants [](Hourly)",'Eplus results'!$1:$1048576,ROW(),FALSE)</f>
        <v>0</v>
      </c>
      <c r="AC6090" s="580">
        <f>HLOOKUP("*"&amp;'Output annual'!$AC$2&amp;'Output annual'!$AD$2&amp;"*FangerPMV(Hourly)",'Eplus results'!$1:$1048576,ROW(),FALSE)</f>
        <v>0</v>
      </c>
      <c r="AD6090" s="580">
        <f t="shared" si="511"/>
        <v>5</v>
      </c>
      <c r="AE6090" s="580">
        <f t="shared" si="512"/>
        <v>2.5</v>
      </c>
      <c r="AF6090" s="580">
        <f t="shared" si="513"/>
        <v>2.5</v>
      </c>
      <c r="AG6090" s="580">
        <f t="shared" si="514"/>
        <v>0</v>
      </c>
      <c r="AH6090" s="580">
        <f t="shared" si="515"/>
        <v>0</v>
      </c>
    </row>
    <row r="6091" spans="28:34">
      <c r="AB6091" s="580">
        <f>HLOOKUP("*"&amp;'Output annual'!$AC$2&amp;'Output annual'!$AD$2&amp;"*Zone People Number Of Occupants [](Hourly)",'Eplus results'!$1:$1048576,ROW(),FALSE)</f>
        <v>0</v>
      </c>
      <c r="AC6091" s="580">
        <f>HLOOKUP("*"&amp;'Output annual'!$AC$2&amp;'Output annual'!$AD$2&amp;"*FangerPMV(Hourly)",'Eplus results'!$1:$1048576,ROW(),FALSE)</f>
        <v>0</v>
      </c>
      <c r="AD6091" s="580">
        <f t="shared" si="511"/>
        <v>5</v>
      </c>
      <c r="AE6091" s="580">
        <f t="shared" si="512"/>
        <v>2.5</v>
      </c>
      <c r="AF6091" s="580">
        <f t="shared" si="513"/>
        <v>2.5</v>
      </c>
      <c r="AG6091" s="580">
        <f t="shared" si="514"/>
        <v>0</v>
      </c>
      <c r="AH6091" s="580">
        <f t="shared" si="515"/>
        <v>0</v>
      </c>
    </row>
    <row r="6092" spans="28:34">
      <c r="AB6092" s="580">
        <f>HLOOKUP("*"&amp;'Output annual'!$AC$2&amp;'Output annual'!$AD$2&amp;"*Zone People Number Of Occupants [](Hourly)",'Eplus results'!$1:$1048576,ROW(),FALSE)</f>
        <v>0</v>
      </c>
      <c r="AC6092" s="580">
        <f>HLOOKUP("*"&amp;'Output annual'!$AC$2&amp;'Output annual'!$AD$2&amp;"*FangerPMV(Hourly)",'Eplus results'!$1:$1048576,ROW(),FALSE)</f>
        <v>0</v>
      </c>
      <c r="AD6092" s="580">
        <f t="shared" si="511"/>
        <v>5</v>
      </c>
      <c r="AE6092" s="580">
        <f t="shared" si="512"/>
        <v>2.5</v>
      </c>
      <c r="AF6092" s="580">
        <f t="shared" si="513"/>
        <v>2.5</v>
      </c>
      <c r="AG6092" s="580">
        <f t="shared" si="514"/>
        <v>0</v>
      </c>
      <c r="AH6092" s="580">
        <f t="shared" si="515"/>
        <v>0</v>
      </c>
    </row>
    <row r="6093" spans="28:34">
      <c r="AB6093" s="580">
        <f>HLOOKUP("*"&amp;'Output annual'!$AC$2&amp;'Output annual'!$AD$2&amp;"*Zone People Number Of Occupants [](Hourly)",'Eplus results'!$1:$1048576,ROW(),FALSE)</f>
        <v>0</v>
      </c>
      <c r="AC6093" s="580">
        <f>HLOOKUP("*"&amp;'Output annual'!$AC$2&amp;'Output annual'!$AD$2&amp;"*FangerPMV(Hourly)",'Eplus results'!$1:$1048576,ROW(),FALSE)</f>
        <v>0</v>
      </c>
      <c r="AD6093" s="580">
        <f t="shared" si="511"/>
        <v>5</v>
      </c>
      <c r="AE6093" s="580">
        <f t="shared" si="512"/>
        <v>2.5</v>
      </c>
      <c r="AF6093" s="580">
        <f t="shared" si="513"/>
        <v>2.5</v>
      </c>
      <c r="AG6093" s="580">
        <f t="shared" si="514"/>
        <v>0</v>
      </c>
      <c r="AH6093" s="580">
        <f t="shared" si="515"/>
        <v>0</v>
      </c>
    </row>
    <row r="6094" spans="28:34">
      <c r="AB6094" s="580">
        <f>HLOOKUP("*"&amp;'Output annual'!$AC$2&amp;'Output annual'!$AD$2&amp;"*Zone People Number Of Occupants [](Hourly)",'Eplus results'!$1:$1048576,ROW(),FALSE)</f>
        <v>0</v>
      </c>
      <c r="AC6094" s="580">
        <f>HLOOKUP("*"&amp;'Output annual'!$AC$2&amp;'Output annual'!$AD$2&amp;"*FangerPMV(Hourly)",'Eplus results'!$1:$1048576,ROW(),FALSE)</f>
        <v>0</v>
      </c>
      <c r="AD6094" s="580">
        <f t="shared" si="511"/>
        <v>5</v>
      </c>
      <c r="AE6094" s="580">
        <f t="shared" si="512"/>
        <v>2.5</v>
      </c>
      <c r="AF6094" s="580">
        <f t="shared" si="513"/>
        <v>2.5</v>
      </c>
      <c r="AG6094" s="580">
        <f t="shared" si="514"/>
        <v>0</v>
      </c>
      <c r="AH6094" s="580">
        <f t="shared" si="515"/>
        <v>0</v>
      </c>
    </row>
    <row r="6095" spans="28:34">
      <c r="AB6095" s="580">
        <f>HLOOKUP("*"&amp;'Output annual'!$AC$2&amp;'Output annual'!$AD$2&amp;"*Zone People Number Of Occupants [](Hourly)",'Eplus results'!$1:$1048576,ROW(),FALSE)</f>
        <v>0</v>
      </c>
      <c r="AC6095" s="580">
        <f>HLOOKUP("*"&amp;'Output annual'!$AC$2&amp;'Output annual'!$AD$2&amp;"*FangerPMV(Hourly)",'Eplus results'!$1:$1048576,ROW(),FALSE)</f>
        <v>0</v>
      </c>
      <c r="AD6095" s="580">
        <f t="shared" si="511"/>
        <v>5</v>
      </c>
      <c r="AE6095" s="580">
        <f t="shared" si="512"/>
        <v>2.5</v>
      </c>
      <c r="AF6095" s="580">
        <f t="shared" si="513"/>
        <v>2.5</v>
      </c>
      <c r="AG6095" s="580">
        <f t="shared" si="514"/>
        <v>0</v>
      </c>
      <c r="AH6095" s="580">
        <f t="shared" si="515"/>
        <v>0</v>
      </c>
    </row>
    <row r="6096" spans="28:34">
      <c r="AB6096" s="580">
        <f>HLOOKUP("*"&amp;'Output annual'!$AC$2&amp;'Output annual'!$AD$2&amp;"*Zone People Number Of Occupants [](Hourly)",'Eplus results'!$1:$1048576,ROW(),FALSE)</f>
        <v>0</v>
      </c>
      <c r="AC6096" s="580">
        <f>HLOOKUP("*"&amp;'Output annual'!$AC$2&amp;'Output annual'!$AD$2&amp;"*FangerPMV(Hourly)",'Eplus results'!$1:$1048576,ROW(),FALSE)</f>
        <v>0</v>
      </c>
      <c r="AD6096" s="580">
        <f t="shared" si="511"/>
        <v>5</v>
      </c>
      <c r="AE6096" s="580">
        <f t="shared" si="512"/>
        <v>2.5</v>
      </c>
      <c r="AF6096" s="580">
        <f t="shared" si="513"/>
        <v>2.5</v>
      </c>
      <c r="AG6096" s="580">
        <f t="shared" si="514"/>
        <v>0</v>
      </c>
      <c r="AH6096" s="580">
        <f t="shared" si="515"/>
        <v>0</v>
      </c>
    </row>
    <row r="6097" spans="28:34">
      <c r="AB6097" s="580">
        <f>HLOOKUP("*"&amp;'Output annual'!$AC$2&amp;'Output annual'!$AD$2&amp;"*Zone People Number Of Occupants [](Hourly)",'Eplus results'!$1:$1048576,ROW(),FALSE)</f>
        <v>0</v>
      </c>
      <c r="AC6097" s="580">
        <f>HLOOKUP("*"&amp;'Output annual'!$AC$2&amp;'Output annual'!$AD$2&amp;"*FangerPMV(Hourly)",'Eplus results'!$1:$1048576,ROW(),FALSE)</f>
        <v>0</v>
      </c>
      <c r="AD6097" s="580">
        <f t="shared" si="511"/>
        <v>5</v>
      </c>
      <c r="AE6097" s="580">
        <f t="shared" si="512"/>
        <v>2.5</v>
      </c>
      <c r="AF6097" s="580">
        <f t="shared" si="513"/>
        <v>2.5</v>
      </c>
      <c r="AG6097" s="580">
        <f t="shared" si="514"/>
        <v>0</v>
      </c>
      <c r="AH6097" s="580">
        <f t="shared" si="515"/>
        <v>0</v>
      </c>
    </row>
    <row r="6098" spans="28:34">
      <c r="AB6098" s="580">
        <f>HLOOKUP("*"&amp;'Output annual'!$AC$2&amp;'Output annual'!$AD$2&amp;"*Zone People Number Of Occupants [](Hourly)",'Eplus results'!$1:$1048576,ROW(),FALSE)</f>
        <v>0</v>
      </c>
      <c r="AC6098" s="580">
        <f>HLOOKUP("*"&amp;'Output annual'!$AC$2&amp;'Output annual'!$AD$2&amp;"*FangerPMV(Hourly)",'Eplus results'!$1:$1048576,ROW(),FALSE)</f>
        <v>0</v>
      </c>
      <c r="AD6098" s="580">
        <f t="shared" si="511"/>
        <v>5</v>
      </c>
      <c r="AE6098" s="580">
        <f t="shared" si="512"/>
        <v>2.5</v>
      </c>
      <c r="AF6098" s="580">
        <f t="shared" si="513"/>
        <v>2.5</v>
      </c>
      <c r="AG6098" s="580">
        <f t="shared" si="514"/>
        <v>0</v>
      </c>
      <c r="AH6098" s="580">
        <f t="shared" si="515"/>
        <v>0</v>
      </c>
    </row>
    <row r="6099" spans="28:34">
      <c r="AB6099" s="580">
        <f>HLOOKUP("*"&amp;'Output annual'!$AC$2&amp;'Output annual'!$AD$2&amp;"*Zone People Number Of Occupants [](Hourly)",'Eplus results'!$1:$1048576,ROW(),FALSE)</f>
        <v>0</v>
      </c>
      <c r="AC6099" s="580">
        <f>HLOOKUP("*"&amp;'Output annual'!$AC$2&amp;'Output annual'!$AD$2&amp;"*FangerPMV(Hourly)",'Eplus results'!$1:$1048576,ROW(),FALSE)</f>
        <v>0</v>
      </c>
      <c r="AD6099" s="580">
        <f t="shared" si="511"/>
        <v>5</v>
      </c>
      <c r="AE6099" s="580">
        <f t="shared" si="512"/>
        <v>2.5</v>
      </c>
      <c r="AF6099" s="580">
        <f t="shared" si="513"/>
        <v>2.5</v>
      </c>
      <c r="AG6099" s="580">
        <f t="shared" si="514"/>
        <v>0</v>
      </c>
      <c r="AH6099" s="580">
        <f t="shared" si="515"/>
        <v>0</v>
      </c>
    </row>
    <row r="6100" spans="28:34">
      <c r="AB6100" s="580">
        <f>HLOOKUP("*"&amp;'Output annual'!$AC$2&amp;'Output annual'!$AD$2&amp;"*Zone People Number Of Occupants [](Hourly)",'Eplus results'!$1:$1048576,ROW(),FALSE)</f>
        <v>0</v>
      </c>
      <c r="AC6100" s="580">
        <f>HLOOKUP("*"&amp;'Output annual'!$AC$2&amp;'Output annual'!$AD$2&amp;"*FangerPMV(Hourly)",'Eplus results'!$1:$1048576,ROW(),FALSE)</f>
        <v>0</v>
      </c>
      <c r="AD6100" s="580">
        <f t="shared" si="511"/>
        <v>5</v>
      </c>
      <c r="AE6100" s="580">
        <f t="shared" si="512"/>
        <v>2.5</v>
      </c>
      <c r="AF6100" s="580">
        <f t="shared" si="513"/>
        <v>2.5</v>
      </c>
      <c r="AG6100" s="580">
        <f t="shared" si="514"/>
        <v>0</v>
      </c>
      <c r="AH6100" s="580">
        <f t="shared" si="515"/>
        <v>0</v>
      </c>
    </row>
    <row r="6101" spans="28:34">
      <c r="AB6101" s="580">
        <f>HLOOKUP("*"&amp;'Output annual'!$AC$2&amp;'Output annual'!$AD$2&amp;"*Zone People Number Of Occupants [](Hourly)",'Eplus results'!$1:$1048576,ROW(),FALSE)</f>
        <v>0</v>
      </c>
      <c r="AC6101" s="580">
        <f>HLOOKUP("*"&amp;'Output annual'!$AC$2&amp;'Output annual'!$AD$2&amp;"*FangerPMV(Hourly)",'Eplus results'!$1:$1048576,ROW(),FALSE)</f>
        <v>0</v>
      </c>
      <c r="AD6101" s="580">
        <f t="shared" si="511"/>
        <v>5</v>
      </c>
      <c r="AE6101" s="580">
        <f t="shared" si="512"/>
        <v>2.5</v>
      </c>
      <c r="AF6101" s="580">
        <f t="shared" si="513"/>
        <v>2.5</v>
      </c>
      <c r="AG6101" s="580">
        <f t="shared" si="514"/>
        <v>0</v>
      </c>
      <c r="AH6101" s="580">
        <f t="shared" si="515"/>
        <v>0</v>
      </c>
    </row>
    <row r="6102" spans="28:34">
      <c r="AB6102" s="580">
        <f>HLOOKUP("*"&amp;'Output annual'!$AC$2&amp;'Output annual'!$AD$2&amp;"*Zone People Number Of Occupants [](Hourly)",'Eplus results'!$1:$1048576,ROW(),FALSE)</f>
        <v>0</v>
      </c>
      <c r="AC6102" s="580">
        <f>HLOOKUP("*"&amp;'Output annual'!$AC$2&amp;'Output annual'!$AD$2&amp;"*FangerPMV(Hourly)",'Eplus results'!$1:$1048576,ROW(),FALSE)</f>
        <v>0</v>
      </c>
      <c r="AD6102" s="580">
        <f t="shared" si="511"/>
        <v>5</v>
      </c>
      <c r="AE6102" s="580">
        <f t="shared" si="512"/>
        <v>2.5</v>
      </c>
      <c r="AF6102" s="580">
        <f t="shared" si="513"/>
        <v>2.5</v>
      </c>
      <c r="AG6102" s="580">
        <f t="shared" si="514"/>
        <v>0</v>
      </c>
      <c r="AH6102" s="580">
        <f t="shared" si="515"/>
        <v>0</v>
      </c>
    </row>
    <row r="6103" spans="28:34">
      <c r="AB6103" s="580">
        <f>HLOOKUP("*"&amp;'Output annual'!$AC$2&amp;'Output annual'!$AD$2&amp;"*Zone People Number Of Occupants [](Hourly)",'Eplus results'!$1:$1048576,ROW(),FALSE)</f>
        <v>0</v>
      </c>
      <c r="AC6103" s="580">
        <f>HLOOKUP("*"&amp;'Output annual'!$AC$2&amp;'Output annual'!$AD$2&amp;"*FangerPMV(Hourly)",'Eplus results'!$1:$1048576,ROW(),FALSE)</f>
        <v>0</v>
      </c>
      <c r="AD6103" s="580">
        <f t="shared" si="511"/>
        <v>5</v>
      </c>
      <c r="AE6103" s="580">
        <f t="shared" si="512"/>
        <v>2.5</v>
      </c>
      <c r="AF6103" s="580">
        <f t="shared" si="513"/>
        <v>2.5</v>
      </c>
      <c r="AG6103" s="580">
        <f t="shared" si="514"/>
        <v>0</v>
      </c>
      <c r="AH6103" s="580">
        <f t="shared" si="515"/>
        <v>0</v>
      </c>
    </row>
    <row r="6104" spans="28:34">
      <c r="AB6104" s="580">
        <f>HLOOKUP("*"&amp;'Output annual'!$AC$2&amp;'Output annual'!$AD$2&amp;"*Zone People Number Of Occupants [](Hourly)",'Eplus results'!$1:$1048576,ROW(),FALSE)</f>
        <v>0</v>
      </c>
      <c r="AC6104" s="580">
        <f>HLOOKUP("*"&amp;'Output annual'!$AC$2&amp;'Output annual'!$AD$2&amp;"*FangerPMV(Hourly)",'Eplus results'!$1:$1048576,ROW(),FALSE)</f>
        <v>0</v>
      </c>
      <c r="AD6104" s="580">
        <f t="shared" si="511"/>
        <v>5</v>
      </c>
      <c r="AE6104" s="580">
        <f t="shared" si="512"/>
        <v>2.5</v>
      </c>
      <c r="AF6104" s="580">
        <f t="shared" si="513"/>
        <v>2.5</v>
      </c>
      <c r="AG6104" s="580">
        <f t="shared" si="514"/>
        <v>0</v>
      </c>
      <c r="AH6104" s="580">
        <f t="shared" si="515"/>
        <v>0</v>
      </c>
    </row>
    <row r="6105" spans="28:34">
      <c r="AB6105" s="580">
        <f>HLOOKUP("*"&amp;'Output annual'!$AC$2&amp;'Output annual'!$AD$2&amp;"*Zone People Number Of Occupants [](Hourly)",'Eplus results'!$1:$1048576,ROW(),FALSE)</f>
        <v>0</v>
      </c>
      <c r="AC6105" s="580">
        <f>HLOOKUP("*"&amp;'Output annual'!$AC$2&amp;'Output annual'!$AD$2&amp;"*FangerPMV(Hourly)",'Eplus results'!$1:$1048576,ROW(),FALSE)</f>
        <v>0</v>
      </c>
      <c r="AD6105" s="580">
        <f t="shared" si="511"/>
        <v>5</v>
      </c>
      <c r="AE6105" s="580">
        <f t="shared" si="512"/>
        <v>2.5</v>
      </c>
      <c r="AF6105" s="580">
        <f t="shared" si="513"/>
        <v>2.5</v>
      </c>
      <c r="AG6105" s="580">
        <f t="shared" si="514"/>
        <v>0</v>
      </c>
      <c r="AH6105" s="580">
        <f t="shared" si="515"/>
        <v>0</v>
      </c>
    </row>
    <row r="6106" spans="28:34">
      <c r="AB6106" s="580">
        <f>HLOOKUP("*"&amp;'Output annual'!$AC$2&amp;'Output annual'!$AD$2&amp;"*Zone People Number Of Occupants [](Hourly)",'Eplus results'!$1:$1048576,ROW(),FALSE)</f>
        <v>0</v>
      </c>
      <c r="AC6106" s="580">
        <f>HLOOKUP("*"&amp;'Output annual'!$AC$2&amp;'Output annual'!$AD$2&amp;"*FangerPMV(Hourly)",'Eplus results'!$1:$1048576,ROW(),FALSE)</f>
        <v>0</v>
      </c>
      <c r="AD6106" s="580">
        <f t="shared" si="511"/>
        <v>5</v>
      </c>
      <c r="AE6106" s="580">
        <f t="shared" si="512"/>
        <v>2.5</v>
      </c>
      <c r="AF6106" s="580">
        <f t="shared" si="513"/>
        <v>2.5</v>
      </c>
      <c r="AG6106" s="580">
        <f t="shared" si="514"/>
        <v>0</v>
      </c>
      <c r="AH6106" s="580">
        <f t="shared" si="515"/>
        <v>0</v>
      </c>
    </row>
    <row r="6107" spans="28:34">
      <c r="AB6107" s="580">
        <f>HLOOKUP("*"&amp;'Output annual'!$AC$2&amp;'Output annual'!$AD$2&amp;"*Zone People Number Of Occupants [](Hourly)",'Eplus results'!$1:$1048576,ROW(),FALSE)</f>
        <v>0</v>
      </c>
      <c r="AC6107" s="580">
        <f>HLOOKUP("*"&amp;'Output annual'!$AC$2&amp;'Output annual'!$AD$2&amp;"*FangerPMV(Hourly)",'Eplus results'!$1:$1048576,ROW(),FALSE)</f>
        <v>0</v>
      </c>
      <c r="AD6107" s="580">
        <f t="shared" si="511"/>
        <v>5</v>
      </c>
      <c r="AE6107" s="580">
        <f t="shared" si="512"/>
        <v>2.5</v>
      </c>
      <c r="AF6107" s="580">
        <f t="shared" si="513"/>
        <v>2.5</v>
      </c>
      <c r="AG6107" s="580">
        <f t="shared" si="514"/>
        <v>0</v>
      </c>
      <c r="AH6107" s="580">
        <f t="shared" si="515"/>
        <v>0</v>
      </c>
    </row>
    <row r="6108" spans="28:34">
      <c r="AB6108" s="580">
        <f>HLOOKUP("*"&amp;'Output annual'!$AC$2&amp;'Output annual'!$AD$2&amp;"*Zone People Number Of Occupants [](Hourly)",'Eplus results'!$1:$1048576,ROW(),FALSE)</f>
        <v>0</v>
      </c>
      <c r="AC6108" s="580">
        <f>HLOOKUP("*"&amp;'Output annual'!$AC$2&amp;'Output annual'!$AD$2&amp;"*FangerPMV(Hourly)",'Eplus results'!$1:$1048576,ROW(),FALSE)</f>
        <v>0</v>
      </c>
      <c r="AD6108" s="580">
        <f t="shared" si="511"/>
        <v>5</v>
      </c>
      <c r="AE6108" s="580">
        <f t="shared" si="512"/>
        <v>2.5</v>
      </c>
      <c r="AF6108" s="580">
        <f t="shared" si="513"/>
        <v>2.5</v>
      </c>
      <c r="AG6108" s="580">
        <f t="shared" si="514"/>
        <v>0</v>
      </c>
      <c r="AH6108" s="580">
        <f t="shared" si="515"/>
        <v>0</v>
      </c>
    </row>
    <row r="6109" spans="28:34">
      <c r="AB6109" s="580">
        <f>HLOOKUP("*"&amp;'Output annual'!$AC$2&amp;'Output annual'!$AD$2&amp;"*Zone People Number Of Occupants [](Hourly)",'Eplus results'!$1:$1048576,ROW(),FALSE)</f>
        <v>0</v>
      </c>
      <c r="AC6109" s="580">
        <f>HLOOKUP("*"&amp;'Output annual'!$AC$2&amp;'Output annual'!$AD$2&amp;"*FangerPMV(Hourly)",'Eplus results'!$1:$1048576,ROW(),FALSE)</f>
        <v>0</v>
      </c>
      <c r="AD6109" s="580">
        <f t="shared" si="511"/>
        <v>5</v>
      </c>
      <c r="AE6109" s="580">
        <f t="shared" si="512"/>
        <v>2.5</v>
      </c>
      <c r="AF6109" s="580">
        <f t="shared" si="513"/>
        <v>2.5</v>
      </c>
      <c r="AG6109" s="580">
        <f t="shared" si="514"/>
        <v>0</v>
      </c>
      <c r="AH6109" s="580">
        <f t="shared" si="515"/>
        <v>0</v>
      </c>
    </row>
    <row r="6110" spans="28:34">
      <c r="AB6110" s="580">
        <f>HLOOKUP("*"&amp;'Output annual'!$AC$2&amp;'Output annual'!$AD$2&amp;"*Zone People Number Of Occupants [](Hourly)",'Eplus results'!$1:$1048576,ROW(),FALSE)</f>
        <v>0</v>
      </c>
      <c r="AC6110" s="580">
        <f>HLOOKUP("*"&amp;'Output annual'!$AC$2&amp;'Output annual'!$AD$2&amp;"*FangerPMV(Hourly)",'Eplus results'!$1:$1048576,ROW(),FALSE)</f>
        <v>0</v>
      </c>
      <c r="AD6110" s="580">
        <f t="shared" si="511"/>
        <v>5</v>
      </c>
      <c r="AE6110" s="580">
        <f t="shared" si="512"/>
        <v>2.5</v>
      </c>
      <c r="AF6110" s="580">
        <f t="shared" si="513"/>
        <v>2.5</v>
      </c>
      <c r="AG6110" s="580">
        <f t="shared" si="514"/>
        <v>0</v>
      </c>
      <c r="AH6110" s="580">
        <f t="shared" si="515"/>
        <v>0</v>
      </c>
    </row>
    <row r="6111" spans="28:34">
      <c r="AB6111" s="580">
        <f>HLOOKUP("*"&amp;'Output annual'!$AC$2&amp;'Output annual'!$AD$2&amp;"*Zone People Number Of Occupants [](Hourly)",'Eplus results'!$1:$1048576,ROW(),FALSE)</f>
        <v>0</v>
      </c>
      <c r="AC6111" s="580">
        <f>HLOOKUP("*"&amp;'Output annual'!$AC$2&amp;'Output annual'!$AD$2&amp;"*FangerPMV(Hourly)",'Eplus results'!$1:$1048576,ROW(),FALSE)</f>
        <v>0</v>
      </c>
      <c r="AD6111" s="580">
        <f t="shared" si="511"/>
        <v>5</v>
      </c>
      <c r="AE6111" s="580">
        <f t="shared" si="512"/>
        <v>2.5</v>
      </c>
      <c r="AF6111" s="580">
        <f t="shared" si="513"/>
        <v>2.5</v>
      </c>
      <c r="AG6111" s="580">
        <f t="shared" si="514"/>
        <v>0</v>
      </c>
      <c r="AH6111" s="580">
        <f t="shared" si="515"/>
        <v>0</v>
      </c>
    </row>
    <row r="6112" spans="28:34">
      <c r="AB6112" s="580">
        <f>HLOOKUP("*"&amp;'Output annual'!$AC$2&amp;'Output annual'!$AD$2&amp;"*Zone People Number Of Occupants [](Hourly)",'Eplus results'!$1:$1048576,ROW(),FALSE)</f>
        <v>0</v>
      </c>
      <c r="AC6112" s="580">
        <f>HLOOKUP("*"&amp;'Output annual'!$AC$2&amp;'Output annual'!$AD$2&amp;"*FangerPMV(Hourly)",'Eplus results'!$1:$1048576,ROW(),FALSE)</f>
        <v>0</v>
      </c>
      <c r="AD6112" s="580">
        <f t="shared" si="511"/>
        <v>5</v>
      </c>
      <c r="AE6112" s="580">
        <f t="shared" si="512"/>
        <v>2.5</v>
      </c>
      <c r="AF6112" s="580">
        <f t="shared" si="513"/>
        <v>2.5</v>
      </c>
      <c r="AG6112" s="580">
        <f t="shared" si="514"/>
        <v>0</v>
      </c>
      <c r="AH6112" s="580">
        <f t="shared" si="515"/>
        <v>0</v>
      </c>
    </row>
    <row r="6113" spans="28:34">
      <c r="AB6113" s="580">
        <f>HLOOKUP("*"&amp;'Output annual'!$AC$2&amp;'Output annual'!$AD$2&amp;"*Zone People Number Of Occupants [](Hourly)",'Eplus results'!$1:$1048576,ROW(),FALSE)</f>
        <v>0</v>
      </c>
      <c r="AC6113" s="580">
        <f>HLOOKUP("*"&amp;'Output annual'!$AC$2&amp;'Output annual'!$AD$2&amp;"*FangerPMV(Hourly)",'Eplus results'!$1:$1048576,ROW(),FALSE)</f>
        <v>0</v>
      </c>
      <c r="AD6113" s="580">
        <f t="shared" si="511"/>
        <v>5</v>
      </c>
      <c r="AE6113" s="580">
        <f t="shared" si="512"/>
        <v>2.5</v>
      </c>
      <c r="AF6113" s="580">
        <f t="shared" si="513"/>
        <v>2.5</v>
      </c>
      <c r="AG6113" s="580">
        <f t="shared" si="514"/>
        <v>0</v>
      </c>
      <c r="AH6113" s="580">
        <f t="shared" si="515"/>
        <v>0</v>
      </c>
    </row>
    <row r="6114" spans="28:34">
      <c r="AB6114" s="580">
        <f>HLOOKUP("*"&amp;'Output annual'!$AC$2&amp;'Output annual'!$AD$2&amp;"*Zone People Number Of Occupants [](Hourly)",'Eplus results'!$1:$1048576,ROW(),FALSE)</f>
        <v>0</v>
      </c>
      <c r="AC6114" s="580">
        <f>HLOOKUP("*"&amp;'Output annual'!$AC$2&amp;'Output annual'!$AD$2&amp;"*FangerPMV(Hourly)",'Eplus results'!$1:$1048576,ROW(),FALSE)</f>
        <v>0</v>
      </c>
      <c r="AD6114" s="580">
        <f t="shared" si="511"/>
        <v>5</v>
      </c>
      <c r="AE6114" s="580">
        <f t="shared" si="512"/>
        <v>2.5</v>
      </c>
      <c r="AF6114" s="580">
        <f t="shared" si="513"/>
        <v>2.5</v>
      </c>
      <c r="AG6114" s="580">
        <f t="shared" si="514"/>
        <v>0</v>
      </c>
      <c r="AH6114" s="580">
        <f t="shared" si="515"/>
        <v>0</v>
      </c>
    </row>
    <row r="6115" spans="28:34">
      <c r="AB6115" s="580">
        <f>HLOOKUP("*"&amp;'Output annual'!$AC$2&amp;'Output annual'!$AD$2&amp;"*Zone People Number Of Occupants [](Hourly)",'Eplus results'!$1:$1048576,ROW(),FALSE)</f>
        <v>0</v>
      </c>
      <c r="AC6115" s="580">
        <f>HLOOKUP("*"&amp;'Output annual'!$AC$2&amp;'Output annual'!$AD$2&amp;"*FangerPMV(Hourly)",'Eplus results'!$1:$1048576,ROW(),FALSE)</f>
        <v>0</v>
      </c>
      <c r="AD6115" s="580">
        <f t="shared" si="511"/>
        <v>5</v>
      </c>
      <c r="AE6115" s="580">
        <f t="shared" si="512"/>
        <v>2.5</v>
      </c>
      <c r="AF6115" s="580">
        <f t="shared" si="513"/>
        <v>2.5</v>
      </c>
      <c r="AG6115" s="580">
        <f t="shared" si="514"/>
        <v>0</v>
      </c>
      <c r="AH6115" s="580">
        <f t="shared" si="515"/>
        <v>0</v>
      </c>
    </row>
    <row r="6116" spans="28:34">
      <c r="AB6116" s="580">
        <f>HLOOKUP("*"&amp;'Output annual'!$AC$2&amp;'Output annual'!$AD$2&amp;"*Zone People Number Of Occupants [](Hourly)",'Eplus results'!$1:$1048576,ROW(),FALSE)</f>
        <v>0</v>
      </c>
      <c r="AC6116" s="580">
        <f>HLOOKUP("*"&amp;'Output annual'!$AC$2&amp;'Output annual'!$AD$2&amp;"*FangerPMV(Hourly)",'Eplus results'!$1:$1048576,ROW(),FALSE)</f>
        <v>0</v>
      </c>
      <c r="AD6116" s="580">
        <f t="shared" si="511"/>
        <v>5</v>
      </c>
      <c r="AE6116" s="580">
        <f t="shared" si="512"/>
        <v>2.5</v>
      </c>
      <c r="AF6116" s="580">
        <f t="shared" si="513"/>
        <v>2.5</v>
      </c>
      <c r="AG6116" s="580">
        <f t="shared" si="514"/>
        <v>0</v>
      </c>
      <c r="AH6116" s="580">
        <f t="shared" si="515"/>
        <v>0</v>
      </c>
    </row>
    <row r="6117" spans="28:34">
      <c r="AB6117" s="580">
        <f>HLOOKUP("*"&amp;'Output annual'!$AC$2&amp;'Output annual'!$AD$2&amp;"*Zone People Number Of Occupants [](Hourly)",'Eplus results'!$1:$1048576,ROW(),FALSE)</f>
        <v>0</v>
      </c>
      <c r="AC6117" s="580">
        <f>HLOOKUP("*"&amp;'Output annual'!$AC$2&amp;'Output annual'!$AD$2&amp;"*FangerPMV(Hourly)",'Eplus results'!$1:$1048576,ROW(),FALSE)</f>
        <v>0</v>
      </c>
      <c r="AD6117" s="580">
        <f t="shared" si="511"/>
        <v>5</v>
      </c>
      <c r="AE6117" s="580">
        <f t="shared" si="512"/>
        <v>2.5</v>
      </c>
      <c r="AF6117" s="580">
        <f t="shared" si="513"/>
        <v>2.5</v>
      </c>
      <c r="AG6117" s="580">
        <f t="shared" si="514"/>
        <v>0</v>
      </c>
      <c r="AH6117" s="580">
        <f t="shared" si="515"/>
        <v>0</v>
      </c>
    </row>
    <row r="6118" spans="28:34">
      <c r="AB6118" s="580">
        <f>HLOOKUP("*"&amp;'Output annual'!$AC$2&amp;'Output annual'!$AD$2&amp;"*Zone People Number Of Occupants [](Hourly)",'Eplus results'!$1:$1048576,ROW(),FALSE)</f>
        <v>0</v>
      </c>
      <c r="AC6118" s="580">
        <f>HLOOKUP("*"&amp;'Output annual'!$AC$2&amp;'Output annual'!$AD$2&amp;"*FangerPMV(Hourly)",'Eplus results'!$1:$1048576,ROW(),FALSE)</f>
        <v>0</v>
      </c>
      <c r="AD6118" s="580">
        <f t="shared" si="511"/>
        <v>5</v>
      </c>
      <c r="AE6118" s="580">
        <f t="shared" si="512"/>
        <v>2.5</v>
      </c>
      <c r="AF6118" s="580">
        <f t="shared" si="513"/>
        <v>2.5</v>
      </c>
      <c r="AG6118" s="580">
        <f t="shared" si="514"/>
        <v>0</v>
      </c>
      <c r="AH6118" s="580">
        <f t="shared" si="515"/>
        <v>0</v>
      </c>
    </row>
    <row r="6119" spans="28:34">
      <c r="AB6119" s="580">
        <f>HLOOKUP("*"&amp;'Output annual'!$AC$2&amp;'Output annual'!$AD$2&amp;"*Zone People Number Of Occupants [](Hourly)",'Eplus results'!$1:$1048576,ROW(),FALSE)</f>
        <v>0</v>
      </c>
      <c r="AC6119" s="580">
        <f>HLOOKUP("*"&amp;'Output annual'!$AC$2&amp;'Output annual'!$AD$2&amp;"*FangerPMV(Hourly)",'Eplus results'!$1:$1048576,ROW(),FALSE)</f>
        <v>0</v>
      </c>
      <c r="AD6119" s="580">
        <f t="shared" si="511"/>
        <v>5</v>
      </c>
      <c r="AE6119" s="580">
        <f t="shared" si="512"/>
        <v>2.5</v>
      </c>
      <c r="AF6119" s="580">
        <f t="shared" si="513"/>
        <v>2.5</v>
      </c>
      <c r="AG6119" s="580">
        <f t="shared" si="514"/>
        <v>0</v>
      </c>
      <c r="AH6119" s="580">
        <f t="shared" si="515"/>
        <v>0</v>
      </c>
    </row>
    <row r="6120" spans="28:34">
      <c r="AB6120" s="580">
        <f>HLOOKUP("*"&amp;'Output annual'!$AC$2&amp;'Output annual'!$AD$2&amp;"*Zone People Number Of Occupants [](Hourly)",'Eplus results'!$1:$1048576,ROW(),FALSE)</f>
        <v>0</v>
      </c>
      <c r="AC6120" s="580">
        <f>HLOOKUP("*"&amp;'Output annual'!$AC$2&amp;'Output annual'!$AD$2&amp;"*FangerPMV(Hourly)",'Eplus results'!$1:$1048576,ROW(),FALSE)</f>
        <v>0</v>
      </c>
      <c r="AD6120" s="580">
        <f t="shared" si="511"/>
        <v>5</v>
      </c>
      <c r="AE6120" s="580">
        <f t="shared" si="512"/>
        <v>2.5</v>
      </c>
      <c r="AF6120" s="580">
        <f t="shared" si="513"/>
        <v>2.5</v>
      </c>
      <c r="AG6120" s="580">
        <f t="shared" si="514"/>
        <v>0</v>
      </c>
      <c r="AH6120" s="580">
        <f t="shared" si="515"/>
        <v>0</v>
      </c>
    </row>
    <row r="6121" spans="28:34">
      <c r="AB6121" s="580">
        <f>HLOOKUP("*"&amp;'Output annual'!$AC$2&amp;'Output annual'!$AD$2&amp;"*Zone People Number Of Occupants [](Hourly)",'Eplus results'!$1:$1048576,ROW(),FALSE)</f>
        <v>0</v>
      </c>
      <c r="AC6121" s="580">
        <f>HLOOKUP("*"&amp;'Output annual'!$AC$2&amp;'Output annual'!$AD$2&amp;"*FangerPMV(Hourly)",'Eplus results'!$1:$1048576,ROW(),FALSE)</f>
        <v>0</v>
      </c>
      <c r="AD6121" s="580">
        <f t="shared" si="511"/>
        <v>5</v>
      </c>
      <c r="AE6121" s="580">
        <f t="shared" si="512"/>
        <v>2.5</v>
      </c>
      <c r="AF6121" s="580">
        <f t="shared" si="513"/>
        <v>2.5</v>
      </c>
      <c r="AG6121" s="580">
        <f t="shared" si="514"/>
        <v>0</v>
      </c>
      <c r="AH6121" s="580">
        <f t="shared" si="515"/>
        <v>0</v>
      </c>
    </row>
    <row r="6122" spans="28:34">
      <c r="AB6122" s="580">
        <f>HLOOKUP("*"&amp;'Output annual'!$AC$2&amp;'Output annual'!$AD$2&amp;"*Zone People Number Of Occupants [](Hourly)",'Eplus results'!$1:$1048576,ROW(),FALSE)</f>
        <v>0</v>
      </c>
      <c r="AC6122" s="580">
        <f>HLOOKUP("*"&amp;'Output annual'!$AC$2&amp;'Output annual'!$AD$2&amp;"*FangerPMV(Hourly)",'Eplus results'!$1:$1048576,ROW(),FALSE)</f>
        <v>0</v>
      </c>
      <c r="AD6122" s="580">
        <f t="shared" si="511"/>
        <v>5</v>
      </c>
      <c r="AE6122" s="580">
        <f t="shared" si="512"/>
        <v>2.5</v>
      </c>
      <c r="AF6122" s="580">
        <f t="shared" si="513"/>
        <v>2.5</v>
      </c>
      <c r="AG6122" s="580">
        <f t="shared" si="514"/>
        <v>0</v>
      </c>
      <c r="AH6122" s="580">
        <f t="shared" si="515"/>
        <v>0</v>
      </c>
    </row>
    <row r="6123" spans="28:34">
      <c r="AB6123" s="580">
        <f>HLOOKUP("*"&amp;'Output annual'!$AC$2&amp;'Output annual'!$AD$2&amp;"*Zone People Number Of Occupants [](Hourly)",'Eplus results'!$1:$1048576,ROW(),FALSE)</f>
        <v>0</v>
      </c>
      <c r="AC6123" s="580">
        <f>HLOOKUP("*"&amp;'Output annual'!$AC$2&amp;'Output annual'!$AD$2&amp;"*FangerPMV(Hourly)",'Eplus results'!$1:$1048576,ROW(),FALSE)</f>
        <v>0</v>
      </c>
      <c r="AD6123" s="580">
        <f t="shared" si="511"/>
        <v>5</v>
      </c>
      <c r="AE6123" s="580">
        <f t="shared" si="512"/>
        <v>2.5</v>
      </c>
      <c r="AF6123" s="580">
        <f t="shared" si="513"/>
        <v>2.5</v>
      </c>
      <c r="AG6123" s="580">
        <f t="shared" si="514"/>
        <v>0</v>
      </c>
      <c r="AH6123" s="580">
        <f t="shared" si="515"/>
        <v>0</v>
      </c>
    </row>
    <row r="6124" spans="28:34">
      <c r="AB6124" s="580">
        <f>HLOOKUP("*"&amp;'Output annual'!$AC$2&amp;'Output annual'!$AD$2&amp;"*Zone People Number Of Occupants [](Hourly)",'Eplus results'!$1:$1048576,ROW(),FALSE)</f>
        <v>0</v>
      </c>
      <c r="AC6124" s="580">
        <f>HLOOKUP("*"&amp;'Output annual'!$AC$2&amp;'Output annual'!$AD$2&amp;"*FangerPMV(Hourly)",'Eplus results'!$1:$1048576,ROW(),FALSE)</f>
        <v>0</v>
      </c>
      <c r="AD6124" s="580">
        <f t="shared" si="511"/>
        <v>5</v>
      </c>
      <c r="AE6124" s="580">
        <f t="shared" si="512"/>
        <v>2.5</v>
      </c>
      <c r="AF6124" s="580">
        <f t="shared" si="513"/>
        <v>2.5</v>
      </c>
      <c r="AG6124" s="580">
        <f t="shared" si="514"/>
        <v>0</v>
      </c>
      <c r="AH6124" s="580">
        <f t="shared" si="515"/>
        <v>0</v>
      </c>
    </row>
    <row r="6125" spans="28:34">
      <c r="AB6125" s="580">
        <f>HLOOKUP("*"&amp;'Output annual'!$AC$2&amp;'Output annual'!$AD$2&amp;"*Zone People Number Of Occupants [](Hourly)",'Eplus results'!$1:$1048576,ROW(),FALSE)</f>
        <v>0</v>
      </c>
      <c r="AC6125" s="580">
        <f>HLOOKUP("*"&amp;'Output annual'!$AC$2&amp;'Output annual'!$AD$2&amp;"*FangerPMV(Hourly)",'Eplus results'!$1:$1048576,ROW(),FALSE)</f>
        <v>0</v>
      </c>
      <c r="AD6125" s="580">
        <f t="shared" si="511"/>
        <v>5</v>
      </c>
      <c r="AE6125" s="580">
        <f t="shared" si="512"/>
        <v>2.5</v>
      </c>
      <c r="AF6125" s="580">
        <f t="shared" si="513"/>
        <v>2.5</v>
      </c>
      <c r="AG6125" s="580">
        <f t="shared" si="514"/>
        <v>0</v>
      </c>
      <c r="AH6125" s="580">
        <f t="shared" si="515"/>
        <v>0</v>
      </c>
    </row>
    <row r="6126" spans="28:34">
      <c r="AB6126" s="580">
        <f>HLOOKUP("*"&amp;'Output annual'!$AC$2&amp;'Output annual'!$AD$2&amp;"*Zone People Number Of Occupants [](Hourly)",'Eplus results'!$1:$1048576,ROW(),FALSE)</f>
        <v>0</v>
      </c>
      <c r="AC6126" s="580">
        <f>HLOOKUP("*"&amp;'Output annual'!$AC$2&amp;'Output annual'!$AD$2&amp;"*FangerPMV(Hourly)",'Eplus results'!$1:$1048576,ROW(),FALSE)</f>
        <v>0</v>
      </c>
      <c r="AD6126" s="580">
        <f t="shared" si="511"/>
        <v>5</v>
      </c>
      <c r="AE6126" s="580">
        <f t="shared" si="512"/>
        <v>2.5</v>
      </c>
      <c r="AF6126" s="580">
        <f t="shared" si="513"/>
        <v>2.5</v>
      </c>
      <c r="AG6126" s="580">
        <f t="shared" si="514"/>
        <v>0</v>
      </c>
      <c r="AH6126" s="580">
        <f t="shared" si="515"/>
        <v>0</v>
      </c>
    </row>
    <row r="6127" spans="28:34">
      <c r="AB6127" s="580">
        <f>HLOOKUP("*"&amp;'Output annual'!$AC$2&amp;'Output annual'!$AD$2&amp;"*Zone People Number Of Occupants [](Hourly)",'Eplus results'!$1:$1048576,ROW(),FALSE)</f>
        <v>0</v>
      </c>
      <c r="AC6127" s="580">
        <f>HLOOKUP("*"&amp;'Output annual'!$AC$2&amp;'Output annual'!$AD$2&amp;"*FangerPMV(Hourly)",'Eplus results'!$1:$1048576,ROW(),FALSE)</f>
        <v>0</v>
      </c>
      <c r="AD6127" s="580">
        <f t="shared" si="511"/>
        <v>5</v>
      </c>
      <c r="AE6127" s="580">
        <f t="shared" si="512"/>
        <v>2.5</v>
      </c>
      <c r="AF6127" s="580">
        <f t="shared" si="513"/>
        <v>2.5</v>
      </c>
      <c r="AG6127" s="580">
        <f t="shared" si="514"/>
        <v>0</v>
      </c>
      <c r="AH6127" s="580">
        <f t="shared" si="515"/>
        <v>0</v>
      </c>
    </row>
    <row r="6128" spans="28:34">
      <c r="AB6128" s="580">
        <f>HLOOKUP("*"&amp;'Output annual'!$AC$2&amp;'Output annual'!$AD$2&amp;"*Zone People Number Of Occupants [](Hourly)",'Eplus results'!$1:$1048576,ROW(),FALSE)</f>
        <v>0</v>
      </c>
      <c r="AC6128" s="580">
        <f>HLOOKUP("*"&amp;'Output annual'!$AC$2&amp;'Output annual'!$AD$2&amp;"*FangerPMV(Hourly)",'Eplus results'!$1:$1048576,ROW(),FALSE)</f>
        <v>0</v>
      </c>
      <c r="AD6128" s="580">
        <f t="shared" si="511"/>
        <v>5</v>
      </c>
      <c r="AE6128" s="580">
        <f t="shared" si="512"/>
        <v>2.5</v>
      </c>
      <c r="AF6128" s="580">
        <f t="shared" si="513"/>
        <v>2.5</v>
      </c>
      <c r="AG6128" s="580">
        <f t="shared" si="514"/>
        <v>0</v>
      </c>
      <c r="AH6128" s="580">
        <f t="shared" si="515"/>
        <v>0</v>
      </c>
    </row>
    <row r="6129" spans="28:34">
      <c r="AB6129" s="580">
        <f>HLOOKUP("*"&amp;'Output annual'!$AC$2&amp;'Output annual'!$AD$2&amp;"*Zone People Number Of Occupants [](Hourly)",'Eplus results'!$1:$1048576,ROW(),FALSE)</f>
        <v>0</v>
      </c>
      <c r="AC6129" s="580">
        <f>HLOOKUP("*"&amp;'Output annual'!$AC$2&amp;'Output annual'!$AD$2&amp;"*FangerPMV(Hourly)",'Eplus results'!$1:$1048576,ROW(),FALSE)</f>
        <v>0</v>
      </c>
      <c r="AD6129" s="580">
        <f t="shared" si="511"/>
        <v>5</v>
      </c>
      <c r="AE6129" s="580">
        <f t="shared" si="512"/>
        <v>2.5</v>
      </c>
      <c r="AF6129" s="580">
        <f t="shared" si="513"/>
        <v>2.5</v>
      </c>
      <c r="AG6129" s="580">
        <f t="shared" si="514"/>
        <v>0</v>
      </c>
      <c r="AH6129" s="580">
        <f t="shared" si="515"/>
        <v>0</v>
      </c>
    </row>
    <row r="6130" spans="28:34">
      <c r="AB6130" s="580">
        <f>HLOOKUP("*"&amp;'Output annual'!$AC$2&amp;'Output annual'!$AD$2&amp;"*Zone People Number Of Occupants [](Hourly)",'Eplus results'!$1:$1048576,ROW(),FALSE)</f>
        <v>0</v>
      </c>
      <c r="AC6130" s="580">
        <f>HLOOKUP("*"&amp;'Output annual'!$AC$2&amp;'Output annual'!$AD$2&amp;"*FangerPMV(Hourly)",'Eplus results'!$1:$1048576,ROW(),FALSE)</f>
        <v>0</v>
      </c>
      <c r="AD6130" s="580">
        <f t="shared" si="511"/>
        <v>5</v>
      </c>
      <c r="AE6130" s="580">
        <f t="shared" si="512"/>
        <v>2.5</v>
      </c>
      <c r="AF6130" s="580">
        <f t="shared" si="513"/>
        <v>2.5</v>
      </c>
      <c r="AG6130" s="580">
        <f t="shared" si="514"/>
        <v>0</v>
      </c>
      <c r="AH6130" s="580">
        <f t="shared" si="515"/>
        <v>0</v>
      </c>
    </row>
    <row r="6131" spans="28:34">
      <c r="AB6131" s="580">
        <f>HLOOKUP("*"&amp;'Output annual'!$AC$2&amp;'Output annual'!$AD$2&amp;"*Zone People Number Of Occupants [](Hourly)",'Eplus results'!$1:$1048576,ROW(),FALSE)</f>
        <v>0</v>
      </c>
      <c r="AC6131" s="580">
        <f>HLOOKUP("*"&amp;'Output annual'!$AC$2&amp;'Output annual'!$AD$2&amp;"*FangerPMV(Hourly)",'Eplus results'!$1:$1048576,ROW(),FALSE)</f>
        <v>0</v>
      </c>
      <c r="AD6131" s="580">
        <f t="shared" si="511"/>
        <v>5</v>
      </c>
      <c r="AE6131" s="580">
        <f t="shared" si="512"/>
        <v>2.5</v>
      </c>
      <c r="AF6131" s="580">
        <f t="shared" si="513"/>
        <v>2.5</v>
      </c>
      <c r="AG6131" s="580">
        <f t="shared" si="514"/>
        <v>0</v>
      </c>
      <c r="AH6131" s="580">
        <f t="shared" si="515"/>
        <v>0</v>
      </c>
    </row>
    <row r="6132" spans="28:34">
      <c r="AB6132" s="580">
        <f>HLOOKUP("*"&amp;'Output annual'!$AC$2&amp;'Output annual'!$AD$2&amp;"*Zone People Number Of Occupants [](Hourly)",'Eplus results'!$1:$1048576,ROW(),FALSE)</f>
        <v>0</v>
      </c>
      <c r="AC6132" s="580">
        <f>HLOOKUP("*"&amp;'Output annual'!$AC$2&amp;'Output annual'!$AD$2&amp;"*FangerPMV(Hourly)",'Eplus results'!$1:$1048576,ROW(),FALSE)</f>
        <v>0</v>
      </c>
      <c r="AD6132" s="580">
        <f t="shared" si="511"/>
        <v>5</v>
      </c>
      <c r="AE6132" s="580">
        <f t="shared" si="512"/>
        <v>2.5</v>
      </c>
      <c r="AF6132" s="580">
        <f t="shared" si="513"/>
        <v>2.5</v>
      </c>
      <c r="AG6132" s="580">
        <f t="shared" si="514"/>
        <v>0</v>
      </c>
      <c r="AH6132" s="580">
        <f t="shared" si="515"/>
        <v>0</v>
      </c>
    </row>
    <row r="6133" spans="28:34">
      <c r="AB6133" s="580">
        <f>HLOOKUP("*"&amp;'Output annual'!$AC$2&amp;'Output annual'!$AD$2&amp;"*Zone People Number Of Occupants [](Hourly)",'Eplus results'!$1:$1048576,ROW(),FALSE)</f>
        <v>0</v>
      </c>
      <c r="AC6133" s="580">
        <f>HLOOKUP("*"&amp;'Output annual'!$AC$2&amp;'Output annual'!$AD$2&amp;"*FangerPMV(Hourly)",'Eplus results'!$1:$1048576,ROW(),FALSE)</f>
        <v>0</v>
      </c>
      <c r="AD6133" s="580">
        <f t="shared" si="511"/>
        <v>5</v>
      </c>
      <c r="AE6133" s="580">
        <f t="shared" si="512"/>
        <v>2.5</v>
      </c>
      <c r="AF6133" s="580">
        <f t="shared" si="513"/>
        <v>2.5</v>
      </c>
      <c r="AG6133" s="580">
        <f t="shared" si="514"/>
        <v>0</v>
      </c>
      <c r="AH6133" s="580">
        <f t="shared" si="515"/>
        <v>0</v>
      </c>
    </row>
    <row r="6134" spans="28:34">
      <c r="AB6134" s="580">
        <f>HLOOKUP("*"&amp;'Output annual'!$AC$2&amp;'Output annual'!$AD$2&amp;"*Zone People Number Of Occupants [](Hourly)",'Eplus results'!$1:$1048576,ROW(),FALSE)</f>
        <v>0</v>
      </c>
      <c r="AC6134" s="580">
        <f>HLOOKUP("*"&amp;'Output annual'!$AC$2&amp;'Output annual'!$AD$2&amp;"*FangerPMV(Hourly)",'Eplus results'!$1:$1048576,ROW(),FALSE)</f>
        <v>0</v>
      </c>
      <c r="AD6134" s="580">
        <f t="shared" si="511"/>
        <v>5</v>
      </c>
      <c r="AE6134" s="580">
        <f t="shared" si="512"/>
        <v>2.5</v>
      </c>
      <c r="AF6134" s="580">
        <f t="shared" si="513"/>
        <v>2.5</v>
      </c>
      <c r="AG6134" s="580">
        <f t="shared" si="514"/>
        <v>0</v>
      </c>
      <c r="AH6134" s="580">
        <f t="shared" si="515"/>
        <v>0</v>
      </c>
    </row>
    <row r="6135" spans="28:34">
      <c r="AB6135" s="580">
        <f>HLOOKUP("*"&amp;'Output annual'!$AC$2&amp;'Output annual'!$AD$2&amp;"*Zone People Number Of Occupants [](Hourly)",'Eplus results'!$1:$1048576,ROW(),FALSE)</f>
        <v>0</v>
      </c>
      <c r="AC6135" s="580">
        <f>HLOOKUP("*"&amp;'Output annual'!$AC$2&amp;'Output annual'!$AD$2&amp;"*FangerPMV(Hourly)",'Eplus results'!$1:$1048576,ROW(),FALSE)</f>
        <v>0</v>
      </c>
      <c r="AD6135" s="580">
        <f t="shared" si="511"/>
        <v>5</v>
      </c>
      <c r="AE6135" s="580">
        <f t="shared" si="512"/>
        <v>2.5</v>
      </c>
      <c r="AF6135" s="580">
        <f t="shared" si="513"/>
        <v>2.5</v>
      </c>
      <c r="AG6135" s="580">
        <f t="shared" si="514"/>
        <v>0</v>
      </c>
      <c r="AH6135" s="580">
        <f t="shared" si="515"/>
        <v>0</v>
      </c>
    </row>
    <row r="6136" spans="28:34">
      <c r="AB6136" s="580">
        <f>HLOOKUP("*"&amp;'Output annual'!$AC$2&amp;'Output annual'!$AD$2&amp;"*Zone People Number Of Occupants [](Hourly)",'Eplus results'!$1:$1048576,ROW(),FALSE)</f>
        <v>0</v>
      </c>
      <c r="AC6136" s="580">
        <f>HLOOKUP("*"&amp;'Output annual'!$AC$2&amp;'Output annual'!$AD$2&amp;"*FangerPMV(Hourly)",'Eplus results'!$1:$1048576,ROW(),FALSE)</f>
        <v>0</v>
      </c>
      <c r="AD6136" s="580">
        <f t="shared" si="511"/>
        <v>5</v>
      </c>
      <c r="AE6136" s="580">
        <f t="shared" si="512"/>
        <v>2.5</v>
      </c>
      <c r="AF6136" s="580">
        <f t="shared" si="513"/>
        <v>2.5</v>
      </c>
      <c r="AG6136" s="580">
        <f t="shared" si="514"/>
        <v>0</v>
      </c>
      <c r="AH6136" s="580">
        <f t="shared" si="515"/>
        <v>0</v>
      </c>
    </row>
    <row r="6137" spans="28:34">
      <c r="AB6137" s="580">
        <f>HLOOKUP("*"&amp;'Output annual'!$AC$2&amp;'Output annual'!$AD$2&amp;"*Zone People Number Of Occupants [](Hourly)",'Eplus results'!$1:$1048576,ROW(),FALSE)</f>
        <v>0</v>
      </c>
      <c r="AC6137" s="580">
        <f>HLOOKUP("*"&amp;'Output annual'!$AC$2&amp;'Output annual'!$AD$2&amp;"*FangerPMV(Hourly)",'Eplus results'!$1:$1048576,ROW(),FALSE)</f>
        <v>0</v>
      </c>
      <c r="AD6137" s="580">
        <f t="shared" si="511"/>
        <v>5</v>
      </c>
      <c r="AE6137" s="580">
        <f t="shared" si="512"/>
        <v>2.5</v>
      </c>
      <c r="AF6137" s="580">
        <f t="shared" si="513"/>
        <v>2.5</v>
      </c>
      <c r="AG6137" s="580">
        <f t="shared" si="514"/>
        <v>0</v>
      </c>
      <c r="AH6137" s="580">
        <f t="shared" si="515"/>
        <v>0</v>
      </c>
    </row>
    <row r="6138" spans="28:34">
      <c r="AB6138" s="580">
        <f>HLOOKUP("*"&amp;'Output annual'!$AC$2&amp;'Output annual'!$AD$2&amp;"*Zone People Number Of Occupants [](Hourly)",'Eplus results'!$1:$1048576,ROW(),FALSE)</f>
        <v>0</v>
      </c>
      <c r="AC6138" s="580">
        <f>HLOOKUP("*"&amp;'Output annual'!$AC$2&amp;'Output annual'!$AD$2&amp;"*FangerPMV(Hourly)",'Eplus results'!$1:$1048576,ROW(),FALSE)</f>
        <v>0</v>
      </c>
      <c r="AD6138" s="580">
        <f t="shared" si="511"/>
        <v>5</v>
      </c>
      <c r="AE6138" s="580">
        <f t="shared" si="512"/>
        <v>2.5</v>
      </c>
      <c r="AF6138" s="580">
        <f t="shared" si="513"/>
        <v>2.5</v>
      </c>
      <c r="AG6138" s="580">
        <f t="shared" si="514"/>
        <v>0</v>
      </c>
      <c r="AH6138" s="580">
        <f t="shared" si="515"/>
        <v>0</v>
      </c>
    </row>
    <row r="6139" spans="28:34">
      <c r="AB6139" s="580">
        <f>HLOOKUP("*"&amp;'Output annual'!$AC$2&amp;'Output annual'!$AD$2&amp;"*Zone People Number Of Occupants [](Hourly)",'Eplus results'!$1:$1048576,ROW(),FALSE)</f>
        <v>0</v>
      </c>
      <c r="AC6139" s="580">
        <f>HLOOKUP("*"&amp;'Output annual'!$AC$2&amp;'Output annual'!$AD$2&amp;"*FangerPMV(Hourly)",'Eplus results'!$1:$1048576,ROW(),FALSE)</f>
        <v>0</v>
      </c>
      <c r="AD6139" s="580">
        <f t="shared" si="511"/>
        <v>5</v>
      </c>
      <c r="AE6139" s="580">
        <f t="shared" si="512"/>
        <v>2.5</v>
      </c>
      <c r="AF6139" s="580">
        <f t="shared" si="513"/>
        <v>2.5</v>
      </c>
      <c r="AG6139" s="580">
        <f t="shared" si="514"/>
        <v>0</v>
      </c>
      <c r="AH6139" s="580">
        <f t="shared" si="515"/>
        <v>0</v>
      </c>
    </row>
    <row r="6140" spans="28:34">
      <c r="AB6140" s="580">
        <f>HLOOKUP("*"&amp;'Output annual'!$AC$2&amp;'Output annual'!$AD$2&amp;"*Zone People Number Of Occupants [](Hourly)",'Eplus results'!$1:$1048576,ROW(),FALSE)</f>
        <v>0</v>
      </c>
      <c r="AC6140" s="580">
        <f>HLOOKUP("*"&amp;'Output annual'!$AC$2&amp;'Output annual'!$AD$2&amp;"*FangerPMV(Hourly)",'Eplus results'!$1:$1048576,ROW(),FALSE)</f>
        <v>0</v>
      </c>
      <c r="AD6140" s="580">
        <f t="shared" si="511"/>
        <v>5</v>
      </c>
      <c r="AE6140" s="580">
        <f t="shared" si="512"/>
        <v>2.5</v>
      </c>
      <c r="AF6140" s="580">
        <f t="shared" si="513"/>
        <v>2.5</v>
      </c>
      <c r="AG6140" s="580">
        <f t="shared" si="514"/>
        <v>0</v>
      </c>
      <c r="AH6140" s="580">
        <f t="shared" si="515"/>
        <v>0</v>
      </c>
    </row>
    <row r="6141" spans="28:34">
      <c r="AB6141" s="580">
        <f>HLOOKUP("*"&amp;'Output annual'!$AC$2&amp;'Output annual'!$AD$2&amp;"*Zone People Number Of Occupants [](Hourly)",'Eplus results'!$1:$1048576,ROW(),FALSE)</f>
        <v>0</v>
      </c>
      <c r="AC6141" s="580">
        <f>HLOOKUP("*"&amp;'Output annual'!$AC$2&amp;'Output annual'!$AD$2&amp;"*FangerPMV(Hourly)",'Eplus results'!$1:$1048576,ROW(),FALSE)</f>
        <v>0</v>
      </c>
      <c r="AD6141" s="580">
        <f t="shared" si="511"/>
        <v>5</v>
      </c>
      <c r="AE6141" s="580">
        <f t="shared" si="512"/>
        <v>2.5</v>
      </c>
      <c r="AF6141" s="580">
        <f t="shared" si="513"/>
        <v>2.5</v>
      </c>
      <c r="AG6141" s="580">
        <f t="shared" si="514"/>
        <v>0</v>
      </c>
      <c r="AH6141" s="580">
        <f t="shared" si="515"/>
        <v>0</v>
      </c>
    </row>
    <row r="6142" spans="28:34">
      <c r="AB6142" s="580">
        <f>HLOOKUP("*"&amp;'Output annual'!$AC$2&amp;'Output annual'!$AD$2&amp;"*Zone People Number Of Occupants [](Hourly)",'Eplus results'!$1:$1048576,ROW(),FALSE)</f>
        <v>0</v>
      </c>
      <c r="AC6142" s="580">
        <f>HLOOKUP("*"&amp;'Output annual'!$AC$2&amp;'Output annual'!$AD$2&amp;"*FangerPMV(Hourly)",'Eplus results'!$1:$1048576,ROW(),FALSE)</f>
        <v>0</v>
      </c>
      <c r="AD6142" s="580">
        <f t="shared" si="511"/>
        <v>5</v>
      </c>
      <c r="AE6142" s="580">
        <f t="shared" si="512"/>
        <v>2.5</v>
      </c>
      <c r="AF6142" s="580">
        <f t="shared" si="513"/>
        <v>2.5</v>
      </c>
      <c r="AG6142" s="580">
        <f t="shared" si="514"/>
        <v>0</v>
      </c>
      <c r="AH6142" s="580">
        <f t="shared" si="515"/>
        <v>0</v>
      </c>
    </row>
    <row r="6143" spans="28:34">
      <c r="AB6143" s="580">
        <f>HLOOKUP("*"&amp;'Output annual'!$AC$2&amp;'Output annual'!$AD$2&amp;"*Zone People Number Of Occupants [](Hourly)",'Eplus results'!$1:$1048576,ROW(),FALSE)</f>
        <v>0</v>
      </c>
      <c r="AC6143" s="580">
        <f>HLOOKUP("*"&amp;'Output annual'!$AC$2&amp;'Output annual'!$AD$2&amp;"*FangerPMV(Hourly)",'Eplus results'!$1:$1048576,ROW(),FALSE)</f>
        <v>0</v>
      </c>
      <c r="AD6143" s="580">
        <f t="shared" si="511"/>
        <v>5</v>
      </c>
      <c r="AE6143" s="580">
        <f t="shared" si="512"/>
        <v>2.5</v>
      </c>
      <c r="AF6143" s="580">
        <f t="shared" si="513"/>
        <v>2.5</v>
      </c>
      <c r="AG6143" s="580">
        <f t="shared" si="514"/>
        <v>0</v>
      </c>
      <c r="AH6143" s="580">
        <f t="shared" si="515"/>
        <v>0</v>
      </c>
    </row>
    <row r="6144" spans="28:34">
      <c r="AB6144" s="580">
        <f>HLOOKUP("*"&amp;'Output annual'!$AC$2&amp;'Output annual'!$AD$2&amp;"*Zone People Number Of Occupants [](Hourly)",'Eplus results'!$1:$1048576,ROW(),FALSE)</f>
        <v>0</v>
      </c>
      <c r="AC6144" s="580">
        <f>HLOOKUP("*"&amp;'Output annual'!$AC$2&amp;'Output annual'!$AD$2&amp;"*FangerPMV(Hourly)",'Eplus results'!$1:$1048576,ROW(),FALSE)</f>
        <v>0</v>
      </c>
      <c r="AD6144" s="580">
        <f t="shared" si="511"/>
        <v>5</v>
      </c>
      <c r="AE6144" s="580">
        <f t="shared" si="512"/>
        <v>2.5</v>
      </c>
      <c r="AF6144" s="580">
        <f t="shared" si="513"/>
        <v>2.5</v>
      </c>
      <c r="AG6144" s="580">
        <f t="shared" si="514"/>
        <v>0</v>
      </c>
      <c r="AH6144" s="580">
        <f t="shared" si="515"/>
        <v>0</v>
      </c>
    </row>
    <row r="6145" spans="28:34">
      <c r="AB6145" s="580">
        <f>HLOOKUP("*"&amp;'Output annual'!$AC$2&amp;'Output annual'!$AD$2&amp;"*Zone People Number Of Occupants [](Hourly)",'Eplus results'!$1:$1048576,ROW(),FALSE)</f>
        <v>0</v>
      </c>
      <c r="AC6145" s="580">
        <f>HLOOKUP("*"&amp;'Output annual'!$AC$2&amp;'Output annual'!$AD$2&amp;"*FangerPMV(Hourly)",'Eplus results'!$1:$1048576,ROW(),FALSE)</f>
        <v>0</v>
      </c>
      <c r="AD6145" s="580">
        <f t="shared" si="511"/>
        <v>5</v>
      </c>
      <c r="AE6145" s="580">
        <f t="shared" si="512"/>
        <v>2.5</v>
      </c>
      <c r="AF6145" s="580">
        <f t="shared" si="513"/>
        <v>2.5</v>
      </c>
      <c r="AG6145" s="580">
        <f t="shared" si="514"/>
        <v>0</v>
      </c>
      <c r="AH6145" s="580">
        <f t="shared" si="515"/>
        <v>0</v>
      </c>
    </row>
    <row r="6146" spans="28:34">
      <c r="AB6146" s="580">
        <f>HLOOKUP("*"&amp;'Output annual'!$AC$2&amp;'Output annual'!$AD$2&amp;"*Zone People Number Of Occupants [](Hourly)",'Eplus results'!$1:$1048576,ROW(),FALSE)</f>
        <v>0</v>
      </c>
      <c r="AC6146" s="580">
        <f>HLOOKUP("*"&amp;'Output annual'!$AC$2&amp;'Output annual'!$AD$2&amp;"*FangerPMV(Hourly)",'Eplus results'!$1:$1048576,ROW(),FALSE)</f>
        <v>0</v>
      </c>
      <c r="AD6146" s="580">
        <f t="shared" si="511"/>
        <v>5</v>
      </c>
      <c r="AE6146" s="580">
        <f t="shared" si="512"/>
        <v>2.5</v>
      </c>
      <c r="AF6146" s="580">
        <f t="shared" si="513"/>
        <v>2.5</v>
      </c>
      <c r="AG6146" s="580">
        <f t="shared" si="514"/>
        <v>0</v>
      </c>
      <c r="AH6146" s="580">
        <f t="shared" si="515"/>
        <v>0</v>
      </c>
    </row>
    <row r="6147" spans="28:34">
      <c r="AB6147" s="580">
        <f>HLOOKUP("*"&amp;'Output annual'!$AC$2&amp;'Output annual'!$AD$2&amp;"*Zone People Number Of Occupants [](Hourly)",'Eplus results'!$1:$1048576,ROW(),FALSE)</f>
        <v>0</v>
      </c>
      <c r="AC6147" s="580">
        <f>HLOOKUP("*"&amp;'Output annual'!$AC$2&amp;'Output annual'!$AD$2&amp;"*FangerPMV(Hourly)",'Eplus results'!$1:$1048576,ROW(),FALSE)</f>
        <v>0</v>
      </c>
      <c r="AD6147" s="580">
        <f t="shared" ref="AD6147:AD6210" si="516">100-95*EXP(-0.03353*AC6147^4-0.2179*AC6147^2)</f>
        <v>5</v>
      </c>
      <c r="AE6147" s="580">
        <f t="shared" ref="AE6147:AE6210" si="517">AD6147*(1/(1+EXP(-6.3*$AC6147)))</f>
        <v>2.5</v>
      </c>
      <c r="AF6147" s="580">
        <f t="shared" ref="AF6147:AF6210" si="518">(AD6147-AE6147)</f>
        <v>2.5</v>
      </c>
      <c r="AG6147" s="580">
        <f t="shared" ref="AG6147:AG6210" si="519">AE6147*AB6147</f>
        <v>0</v>
      </c>
      <c r="AH6147" s="580">
        <f t="shared" ref="AH6147:AH6210" si="520">AF6147*AB6147</f>
        <v>0</v>
      </c>
    </row>
    <row r="6148" spans="28:34">
      <c r="AB6148" s="580">
        <f>HLOOKUP("*"&amp;'Output annual'!$AC$2&amp;'Output annual'!$AD$2&amp;"*Zone People Number Of Occupants [](Hourly)",'Eplus results'!$1:$1048576,ROW(),FALSE)</f>
        <v>0</v>
      </c>
      <c r="AC6148" s="580">
        <f>HLOOKUP("*"&amp;'Output annual'!$AC$2&amp;'Output annual'!$AD$2&amp;"*FangerPMV(Hourly)",'Eplus results'!$1:$1048576,ROW(),FALSE)</f>
        <v>0</v>
      </c>
      <c r="AD6148" s="580">
        <f t="shared" si="516"/>
        <v>5</v>
      </c>
      <c r="AE6148" s="580">
        <f t="shared" si="517"/>
        <v>2.5</v>
      </c>
      <c r="AF6148" s="580">
        <f t="shared" si="518"/>
        <v>2.5</v>
      </c>
      <c r="AG6148" s="580">
        <f t="shared" si="519"/>
        <v>0</v>
      </c>
      <c r="AH6148" s="580">
        <f t="shared" si="520"/>
        <v>0</v>
      </c>
    </row>
    <row r="6149" spans="28:34">
      <c r="AB6149" s="580">
        <f>HLOOKUP("*"&amp;'Output annual'!$AC$2&amp;'Output annual'!$AD$2&amp;"*Zone People Number Of Occupants [](Hourly)",'Eplus results'!$1:$1048576,ROW(),FALSE)</f>
        <v>0</v>
      </c>
      <c r="AC6149" s="580">
        <f>HLOOKUP("*"&amp;'Output annual'!$AC$2&amp;'Output annual'!$AD$2&amp;"*FangerPMV(Hourly)",'Eplus results'!$1:$1048576,ROW(),FALSE)</f>
        <v>0</v>
      </c>
      <c r="AD6149" s="580">
        <f t="shared" si="516"/>
        <v>5</v>
      </c>
      <c r="AE6149" s="580">
        <f t="shared" si="517"/>
        <v>2.5</v>
      </c>
      <c r="AF6149" s="580">
        <f t="shared" si="518"/>
        <v>2.5</v>
      </c>
      <c r="AG6149" s="580">
        <f t="shared" si="519"/>
        <v>0</v>
      </c>
      <c r="AH6149" s="580">
        <f t="shared" si="520"/>
        <v>0</v>
      </c>
    </row>
    <row r="6150" spans="28:34">
      <c r="AB6150" s="580">
        <f>HLOOKUP("*"&amp;'Output annual'!$AC$2&amp;'Output annual'!$AD$2&amp;"*Zone People Number Of Occupants [](Hourly)",'Eplus results'!$1:$1048576,ROW(),FALSE)</f>
        <v>0</v>
      </c>
      <c r="AC6150" s="580">
        <f>HLOOKUP("*"&amp;'Output annual'!$AC$2&amp;'Output annual'!$AD$2&amp;"*FangerPMV(Hourly)",'Eplus results'!$1:$1048576,ROW(),FALSE)</f>
        <v>0</v>
      </c>
      <c r="AD6150" s="580">
        <f t="shared" si="516"/>
        <v>5</v>
      </c>
      <c r="AE6150" s="580">
        <f t="shared" si="517"/>
        <v>2.5</v>
      </c>
      <c r="AF6150" s="580">
        <f t="shared" si="518"/>
        <v>2.5</v>
      </c>
      <c r="AG6150" s="580">
        <f t="shared" si="519"/>
        <v>0</v>
      </c>
      <c r="AH6150" s="580">
        <f t="shared" si="520"/>
        <v>0</v>
      </c>
    </row>
    <row r="6151" spans="28:34">
      <c r="AB6151" s="580">
        <f>HLOOKUP("*"&amp;'Output annual'!$AC$2&amp;'Output annual'!$AD$2&amp;"*Zone People Number Of Occupants [](Hourly)",'Eplus results'!$1:$1048576,ROW(),FALSE)</f>
        <v>0</v>
      </c>
      <c r="AC6151" s="580">
        <f>HLOOKUP("*"&amp;'Output annual'!$AC$2&amp;'Output annual'!$AD$2&amp;"*FangerPMV(Hourly)",'Eplus results'!$1:$1048576,ROW(),FALSE)</f>
        <v>0</v>
      </c>
      <c r="AD6151" s="580">
        <f t="shared" si="516"/>
        <v>5</v>
      </c>
      <c r="AE6151" s="580">
        <f t="shared" si="517"/>
        <v>2.5</v>
      </c>
      <c r="AF6151" s="580">
        <f t="shared" si="518"/>
        <v>2.5</v>
      </c>
      <c r="AG6151" s="580">
        <f t="shared" si="519"/>
        <v>0</v>
      </c>
      <c r="AH6151" s="580">
        <f t="shared" si="520"/>
        <v>0</v>
      </c>
    </row>
    <row r="6152" spans="28:34">
      <c r="AB6152" s="580">
        <f>HLOOKUP("*"&amp;'Output annual'!$AC$2&amp;'Output annual'!$AD$2&amp;"*Zone People Number Of Occupants [](Hourly)",'Eplus results'!$1:$1048576,ROW(),FALSE)</f>
        <v>0</v>
      </c>
      <c r="AC6152" s="580">
        <f>HLOOKUP("*"&amp;'Output annual'!$AC$2&amp;'Output annual'!$AD$2&amp;"*FangerPMV(Hourly)",'Eplus results'!$1:$1048576,ROW(),FALSE)</f>
        <v>0</v>
      </c>
      <c r="AD6152" s="580">
        <f t="shared" si="516"/>
        <v>5</v>
      </c>
      <c r="AE6152" s="580">
        <f t="shared" si="517"/>
        <v>2.5</v>
      </c>
      <c r="AF6152" s="580">
        <f t="shared" si="518"/>
        <v>2.5</v>
      </c>
      <c r="AG6152" s="580">
        <f t="shared" si="519"/>
        <v>0</v>
      </c>
      <c r="AH6152" s="580">
        <f t="shared" si="520"/>
        <v>0</v>
      </c>
    </row>
    <row r="6153" spans="28:34">
      <c r="AB6153" s="580">
        <f>HLOOKUP("*"&amp;'Output annual'!$AC$2&amp;'Output annual'!$AD$2&amp;"*Zone People Number Of Occupants [](Hourly)",'Eplus results'!$1:$1048576,ROW(),FALSE)</f>
        <v>0</v>
      </c>
      <c r="AC6153" s="580">
        <f>HLOOKUP("*"&amp;'Output annual'!$AC$2&amp;'Output annual'!$AD$2&amp;"*FangerPMV(Hourly)",'Eplus results'!$1:$1048576,ROW(),FALSE)</f>
        <v>0</v>
      </c>
      <c r="AD6153" s="580">
        <f t="shared" si="516"/>
        <v>5</v>
      </c>
      <c r="AE6153" s="580">
        <f t="shared" si="517"/>
        <v>2.5</v>
      </c>
      <c r="AF6153" s="580">
        <f t="shared" si="518"/>
        <v>2.5</v>
      </c>
      <c r="AG6153" s="580">
        <f t="shared" si="519"/>
        <v>0</v>
      </c>
      <c r="AH6153" s="580">
        <f t="shared" si="520"/>
        <v>0</v>
      </c>
    </row>
    <row r="6154" spans="28:34">
      <c r="AB6154" s="580">
        <f>HLOOKUP("*"&amp;'Output annual'!$AC$2&amp;'Output annual'!$AD$2&amp;"*Zone People Number Of Occupants [](Hourly)",'Eplus results'!$1:$1048576,ROW(),FALSE)</f>
        <v>0</v>
      </c>
      <c r="AC6154" s="580">
        <f>HLOOKUP("*"&amp;'Output annual'!$AC$2&amp;'Output annual'!$AD$2&amp;"*FangerPMV(Hourly)",'Eplus results'!$1:$1048576,ROW(),FALSE)</f>
        <v>0</v>
      </c>
      <c r="AD6154" s="580">
        <f t="shared" si="516"/>
        <v>5</v>
      </c>
      <c r="AE6154" s="580">
        <f t="shared" si="517"/>
        <v>2.5</v>
      </c>
      <c r="AF6154" s="580">
        <f t="shared" si="518"/>
        <v>2.5</v>
      </c>
      <c r="AG6154" s="580">
        <f t="shared" si="519"/>
        <v>0</v>
      </c>
      <c r="AH6154" s="580">
        <f t="shared" si="520"/>
        <v>0</v>
      </c>
    </row>
    <row r="6155" spans="28:34">
      <c r="AB6155" s="580">
        <f>HLOOKUP("*"&amp;'Output annual'!$AC$2&amp;'Output annual'!$AD$2&amp;"*Zone People Number Of Occupants [](Hourly)",'Eplus results'!$1:$1048576,ROW(),FALSE)</f>
        <v>0</v>
      </c>
      <c r="AC6155" s="580">
        <f>HLOOKUP("*"&amp;'Output annual'!$AC$2&amp;'Output annual'!$AD$2&amp;"*FangerPMV(Hourly)",'Eplus results'!$1:$1048576,ROW(),FALSE)</f>
        <v>0</v>
      </c>
      <c r="AD6155" s="580">
        <f t="shared" si="516"/>
        <v>5</v>
      </c>
      <c r="AE6155" s="580">
        <f t="shared" si="517"/>
        <v>2.5</v>
      </c>
      <c r="AF6155" s="580">
        <f t="shared" si="518"/>
        <v>2.5</v>
      </c>
      <c r="AG6155" s="580">
        <f t="shared" si="519"/>
        <v>0</v>
      </c>
      <c r="AH6155" s="580">
        <f t="shared" si="520"/>
        <v>0</v>
      </c>
    </row>
    <row r="6156" spans="28:34">
      <c r="AB6156" s="580">
        <f>HLOOKUP("*"&amp;'Output annual'!$AC$2&amp;'Output annual'!$AD$2&amp;"*Zone People Number Of Occupants [](Hourly)",'Eplus results'!$1:$1048576,ROW(),FALSE)</f>
        <v>0</v>
      </c>
      <c r="AC6156" s="580">
        <f>HLOOKUP("*"&amp;'Output annual'!$AC$2&amp;'Output annual'!$AD$2&amp;"*FangerPMV(Hourly)",'Eplus results'!$1:$1048576,ROW(),FALSE)</f>
        <v>0</v>
      </c>
      <c r="AD6156" s="580">
        <f t="shared" si="516"/>
        <v>5</v>
      </c>
      <c r="AE6156" s="580">
        <f t="shared" si="517"/>
        <v>2.5</v>
      </c>
      <c r="AF6156" s="580">
        <f t="shared" si="518"/>
        <v>2.5</v>
      </c>
      <c r="AG6156" s="580">
        <f t="shared" si="519"/>
        <v>0</v>
      </c>
      <c r="AH6156" s="580">
        <f t="shared" si="520"/>
        <v>0</v>
      </c>
    </row>
    <row r="6157" spans="28:34">
      <c r="AB6157" s="580">
        <f>HLOOKUP("*"&amp;'Output annual'!$AC$2&amp;'Output annual'!$AD$2&amp;"*Zone People Number Of Occupants [](Hourly)",'Eplus results'!$1:$1048576,ROW(),FALSE)</f>
        <v>0</v>
      </c>
      <c r="AC6157" s="580">
        <f>HLOOKUP("*"&amp;'Output annual'!$AC$2&amp;'Output annual'!$AD$2&amp;"*FangerPMV(Hourly)",'Eplus results'!$1:$1048576,ROW(),FALSE)</f>
        <v>0</v>
      </c>
      <c r="AD6157" s="580">
        <f t="shared" si="516"/>
        <v>5</v>
      </c>
      <c r="AE6157" s="580">
        <f t="shared" si="517"/>
        <v>2.5</v>
      </c>
      <c r="AF6157" s="580">
        <f t="shared" si="518"/>
        <v>2.5</v>
      </c>
      <c r="AG6157" s="580">
        <f t="shared" si="519"/>
        <v>0</v>
      </c>
      <c r="AH6157" s="580">
        <f t="shared" si="520"/>
        <v>0</v>
      </c>
    </row>
    <row r="6158" spans="28:34">
      <c r="AB6158" s="580">
        <f>HLOOKUP("*"&amp;'Output annual'!$AC$2&amp;'Output annual'!$AD$2&amp;"*Zone People Number Of Occupants [](Hourly)",'Eplus results'!$1:$1048576,ROW(),FALSE)</f>
        <v>0</v>
      </c>
      <c r="AC6158" s="580">
        <f>HLOOKUP("*"&amp;'Output annual'!$AC$2&amp;'Output annual'!$AD$2&amp;"*FangerPMV(Hourly)",'Eplus results'!$1:$1048576,ROW(),FALSE)</f>
        <v>0</v>
      </c>
      <c r="AD6158" s="580">
        <f t="shared" si="516"/>
        <v>5</v>
      </c>
      <c r="AE6158" s="580">
        <f t="shared" si="517"/>
        <v>2.5</v>
      </c>
      <c r="AF6158" s="580">
        <f t="shared" si="518"/>
        <v>2.5</v>
      </c>
      <c r="AG6158" s="580">
        <f t="shared" si="519"/>
        <v>0</v>
      </c>
      <c r="AH6158" s="580">
        <f t="shared" si="520"/>
        <v>0</v>
      </c>
    </row>
    <row r="6159" spans="28:34">
      <c r="AB6159" s="580">
        <f>HLOOKUP("*"&amp;'Output annual'!$AC$2&amp;'Output annual'!$AD$2&amp;"*Zone People Number Of Occupants [](Hourly)",'Eplus results'!$1:$1048576,ROW(),FALSE)</f>
        <v>0</v>
      </c>
      <c r="AC6159" s="580">
        <f>HLOOKUP("*"&amp;'Output annual'!$AC$2&amp;'Output annual'!$AD$2&amp;"*FangerPMV(Hourly)",'Eplus results'!$1:$1048576,ROW(),FALSE)</f>
        <v>0</v>
      </c>
      <c r="AD6159" s="580">
        <f t="shared" si="516"/>
        <v>5</v>
      </c>
      <c r="AE6159" s="580">
        <f t="shared" si="517"/>
        <v>2.5</v>
      </c>
      <c r="AF6159" s="580">
        <f t="shared" si="518"/>
        <v>2.5</v>
      </c>
      <c r="AG6159" s="580">
        <f t="shared" si="519"/>
        <v>0</v>
      </c>
      <c r="AH6159" s="580">
        <f t="shared" si="520"/>
        <v>0</v>
      </c>
    </row>
    <row r="6160" spans="28:34">
      <c r="AB6160" s="580">
        <f>HLOOKUP("*"&amp;'Output annual'!$AC$2&amp;'Output annual'!$AD$2&amp;"*Zone People Number Of Occupants [](Hourly)",'Eplus results'!$1:$1048576,ROW(),FALSE)</f>
        <v>0</v>
      </c>
      <c r="AC6160" s="580">
        <f>HLOOKUP("*"&amp;'Output annual'!$AC$2&amp;'Output annual'!$AD$2&amp;"*FangerPMV(Hourly)",'Eplus results'!$1:$1048576,ROW(),FALSE)</f>
        <v>0</v>
      </c>
      <c r="AD6160" s="580">
        <f t="shared" si="516"/>
        <v>5</v>
      </c>
      <c r="AE6160" s="580">
        <f t="shared" si="517"/>
        <v>2.5</v>
      </c>
      <c r="AF6160" s="580">
        <f t="shared" si="518"/>
        <v>2.5</v>
      </c>
      <c r="AG6160" s="580">
        <f t="shared" si="519"/>
        <v>0</v>
      </c>
      <c r="AH6160" s="580">
        <f t="shared" si="520"/>
        <v>0</v>
      </c>
    </row>
    <row r="6161" spans="28:34">
      <c r="AB6161" s="580">
        <f>HLOOKUP("*"&amp;'Output annual'!$AC$2&amp;'Output annual'!$AD$2&amp;"*Zone People Number Of Occupants [](Hourly)",'Eplus results'!$1:$1048576,ROW(),FALSE)</f>
        <v>0</v>
      </c>
      <c r="AC6161" s="580">
        <f>HLOOKUP("*"&amp;'Output annual'!$AC$2&amp;'Output annual'!$AD$2&amp;"*FangerPMV(Hourly)",'Eplus results'!$1:$1048576,ROW(),FALSE)</f>
        <v>0</v>
      </c>
      <c r="AD6161" s="580">
        <f t="shared" si="516"/>
        <v>5</v>
      </c>
      <c r="AE6161" s="580">
        <f t="shared" si="517"/>
        <v>2.5</v>
      </c>
      <c r="AF6161" s="580">
        <f t="shared" si="518"/>
        <v>2.5</v>
      </c>
      <c r="AG6161" s="580">
        <f t="shared" si="519"/>
        <v>0</v>
      </c>
      <c r="AH6161" s="580">
        <f t="shared" si="520"/>
        <v>0</v>
      </c>
    </row>
    <row r="6162" spans="28:34">
      <c r="AB6162" s="580">
        <f>HLOOKUP("*"&amp;'Output annual'!$AC$2&amp;'Output annual'!$AD$2&amp;"*Zone People Number Of Occupants [](Hourly)",'Eplus results'!$1:$1048576,ROW(),FALSE)</f>
        <v>0</v>
      </c>
      <c r="AC6162" s="580">
        <f>HLOOKUP("*"&amp;'Output annual'!$AC$2&amp;'Output annual'!$AD$2&amp;"*FangerPMV(Hourly)",'Eplus results'!$1:$1048576,ROW(),FALSE)</f>
        <v>0</v>
      </c>
      <c r="AD6162" s="580">
        <f t="shared" si="516"/>
        <v>5</v>
      </c>
      <c r="AE6162" s="580">
        <f t="shared" si="517"/>
        <v>2.5</v>
      </c>
      <c r="AF6162" s="580">
        <f t="shared" si="518"/>
        <v>2.5</v>
      </c>
      <c r="AG6162" s="580">
        <f t="shared" si="519"/>
        <v>0</v>
      </c>
      <c r="AH6162" s="580">
        <f t="shared" si="520"/>
        <v>0</v>
      </c>
    </row>
    <row r="6163" spans="28:34">
      <c r="AB6163" s="580">
        <f>HLOOKUP("*"&amp;'Output annual'!$AC$2&amp;'Output annual'!$AD$2&amp;"*Zone People Number Of Occupants [](Hourly)",'Eplus results'!$1:$1048576,ROW(),FALSE)</f>
        <v>0</v>
      </c>
      <c r="AC6163" s="580">
        <f>HLOOKUP("*"&amp;'Output annual'!$AC$2&amp;'Output annual'!$AD$2&amp;"*FangerPMV(Hourly)",'Eplus results'!$1:$1048576,ROW(),FALSE)</f>
        <v>0</v>
      </c>
      <c r="AD6163" s="580">
        <f t="shared" si="516"/>
        <v>5</v>
      </c>
      <c r="AE6163" s="580">
        <f t="shared" si="517"/>
        <v>2.5</v>
      </c>
      <c r="AF6163" s="580">
        <f t="shared" si="518"/>
        <v>2.5</v>
      </c>
      <c r="AG6163" s="580">
        <f t="shared" si="519"/>
        <v>0</v>
      </c>
      <c r="AH6163" s="580">
        <f t="shared" si="520"/>
        <v>0</v>
      </c>
    </row>
    <row r="6164" spans="28:34">
      <c r="AB6164" s="580">
        <f>HLOOKUP("*"&amp;'Output annual'!$AC$2&amp;'Output annual'!$AD$2&amp;"*Zone People Number Of Occupants [](Hourly)",'Eplus results'!$1:$1048576,ROW(),FALSE)</f>
        <v>0</v>
      </c>
      <c r="AC6164" s="580">
        <f>HLOOKUP("*"&amp;'Output annual'!$AC$2&amp;'Output annual'!$AD$2&amp;"*FangerPMV(Hourly)",'Eplus results'!$1:$1048576,ROW(),FALSE)</f>
        <v>0</v>
      </c>
      <c r="AD6164" s="580">
        <f t="shared" si="516"/>
        <v>5</v>
      </c>
      <c r="AE6164" s="580">
        <f t="shared" si="517"/>
        <v>2.5</v>
      </c>
      <c r="AF6164" s="580">
        <f t="shared" si="518"/>
        <v>2.5</v>
      </c>
      <c r="AG6164" s="580">
        <f t="shared" si="519"/>
        <v>0</v>
      </c>
      <c r="AH6164" s="580">
        <f t="shared" si="520"/>
        <v>0</v>
      </c>
    </row>
    <row r="6165" spans="28:34">
      <c r="AB6165" s="580">
        <f>HLOOKUP("*"&amp;'Output annual'!$AC$2&amp;'Output annual'!$AD$2&amp;"*Zone People Number Of Occupants [](Hourly)",'Eplus results'!$1:$1048576,ROW(),FALSE)</f>
        <v>0</v>
      </c>
      <c r="AC6165" s="580">
        <f>HLOOKUP("*"&amp;'Output annual'!$AC$2&amp;'Output annual'!$AD$2&amp;"*FangerPMV(Hourly)",'Eplus results'!$1:$1048576,ROW(),FALSE)</f>
        <v>0</v>
      </c>
      <c r="AD6165" s="580">
        <f t="shared" si="516"/>
        <v>5</v>
      </c>
      <c r="AE6165" s="580">
        <f t="shared" si="517"/>
        <v>2.5</v>
      </c>
      <c r="AF6165" s="580">
        <f t="shared" si="518"/>
        <v>2.5</v>
      </c>
      <c r="AG6165" s="580">
        <f t="shared" si="519"/>
        <v>0</v>
      </c>
      <c r="AH6165" s="580">
        <f t="shared" si="520"/>
        <v>0</v>
      </c>
    </row>
    <row r="6166" spans="28:34">
      <c r="AB6166" s="580">
        <f>HLOOKUP("*"&amp;'Output annual'!$AC$2&amp;'Output annual'!$AD$2&amp;"*Zone People Number Of Occupants [](Hourly)",'Eplus results'!$1:$1048576,ROW(),FALSE)</f>
        <v>0</v>
      </c>
      <c r="AC6166" s="580">
        <f>HLOOKUP("*"&amp;'Output annual'!$AC$2&amp;'Output annual'!$AD$2&amp;"*FangerPMV(Hourly)",'Eplus results'!$1:$1048576,ROW(),FALSE)</f>
        <v>0</v>
      </c>
      <c r="AD6166" s="580">
        <f t="shared" si="516"/>
        <v>5</v>
      </c>
      <c r="AE6166" s="580">
        <f t="shared" si="517"/>
        <v>2.5</v>
      </c>
      <c r="AF6166" s="580">
        <f t="shared" si="518"/>
        <v>2.5</v>
      </c>
      <c r="AG6166" s="580">
        <f t="shared" si="519"/>
        <v>0</v>
      </c>
      <c r="AH6166" s="580">
        <f t="shared" si="520"/>
        <v>0</v>
      </c>
    </row>
    <row r="6167" spans="28:34">
      <c r="AB6167" s="580">
        <f>HLOOKUP("*"&amp;'Output annual'!$AC$2&amp;'Output annual'!$AD$2&amp;"*Zone People Number Of Occupants [](Hourly)",'Eplus results'!$1:$1048576,ROW(),FALSE)</f>
        <v>0</v>
      </c>
      <c r="AC6167" s="580">
        <f>HLOOKUP("*"&amp;'Output annual'!$AC$2&amp;'Output annual'!$AD$2&amp;"*FangerPMV(Hourly)",'Eplus results'!$1:$1048576,ROW(),FALSE)</f>
        <v>0</v>
      </c>
      <c r="AD6167" s="580">
        <f t="shared" si="516"/>
        <v>5</v>
      </c>
      <c r="AE6167" s="580">
        <f t="shared" si="517"/>
        <v>2.5</v>
      </c>
      <c r="AF6167" s="580">
        <f t="shared" si="518"/>
        <v>2.5</v>
      </c>
      <c r="AG6167" s="580">
        <f t="shared" si="519"/>
        <v>0</v>
      </c>
      <c r="AH6167" s="580">
        <f t="shared" si="520"/>
        <v>0</v>
      </c>
    </row>
    <row r="6168" spans="28:34">
      <c r="AB6168" s="580">
        <f>HLOOKUP("*"&amp;'Output annual'!$AC$2&amp;'Output annual'!$AD$2&amp;"*Zone People Number Of Occupants [](Hourly)",'Eplus results'!$1:$1048576,ROW(),FALSE)</f>
        <v>0</v>
      </c>
      <c r="AC6168" s="580">
        <f>HLOOKUP("*"&amp;'Output annual'!$AC$2&amp;'Output annual'!$AD$2&amp;"*FangerPMV(Hourly)",'Eplus results'!$1:$1048576,ROW(),FALSE)</f>
        <v>0</v>
      </c>
      <c r="AD6168" s="580">
        <f t="shared" si="516"/>
        <v>5</v>
      </c>
      <c r="AE6168" s="580">
        <f t="shared" si="517"/>
        <v>2.5</v>
      </c>
      <c r="AF6168" s="580">
        <f t="shared" si="518"/>
        <v>2.5</v>
      </c>
      <c r="AG6168" s="580">
        <f t="shared" si="519"/>
        <v>0</v>
      </c>
      <c r="AH6168" s="580">
        <f t="shared" si="520"/>
        <v>0</v>
      </c>
    </row>
    <row r="6169" spans="28:34">
      <c r="AB6169" s="580">
        <f>HLOOKUP("*"&amp;'Output annual'!$AC$2&amp;'Output annual'!$AD$2&amp;"*Zone People Number Of Occupants [](Hourly)",'Eplus results'!$1:$1048576,ROW(),FALSE)</f>
        <v>0</v>
      </c>
      <c r="AC6169" s="580">
        <f>HLOOKUP("*"&amp;'Output annual'!$AC$2&amp;'Output annual'!$AD$2&amp;"*FangerPMV(Hourly)",'Eplus results'!$1:$1048576,ROW(),FALSE)</f>
        <v>0</v>
      </c>
      <c r="AD6169" s="580">
        <f t="shared" si="516"/>
        <v>5</v>
      </c>
      <c r="AE6169" s="580">
        <f t="shared" si="517"/>
        <v>2.5</v>
      </c>
      <c r="AF6169" s="580">
        <f t="shared" si="518"/>
        <v>2.5</v>
      </c>
      <c r="AG6169" s="580">
        <f t="shared" si="519"/>
        <v>0</v>
      </c>
      <c r="AH6169" s="580">
        <f t="shared" si="520"/>
        <v>0</v>
      </c>
    </row>
    <row r="6170" spans="28:34">
      <c r="AB6170" s="580">
        <f>HLOOKUP("*"&amp;'Output annual'!$AC$2&amp;'Output annual'!$AD$2&amp;"*Zone People Number Of Occupants [](Hourly)",'Eplus results'!$1:$1048576,ROW(),FALSE)</f>
        <v>0</v>
      </c>
      <c r="AC6170" s="580">
        <f>HLOOKUP("*"&amp;'Output annual'!$AC$2&amp;'Output annual'!$AD$2&amp;"*FangerPMV(Hourly)",'Eplus results'!$1:$1048576,ROW(),FALSE)</f>
        <v>0</v>
      </c>
      <c r="AD6170" s="580">
        <f t="shared" si="516"/>
        <v>5</v>
      </c>
      <c r="AE6170" s="580">
        <f t="shared" si="517"/>
        <v>2.5</v>
      </c>
      <c r="AF6170" s="580">
        <f t="shared" si="518"/>
        <v>2.5</v>
      </c>
      <c r="AG6170" s="580">
        <f t="shared" si="519"/>
        <v>0</v>
      </c>
      <c r="AH6170" s="580">
        <f t="shared" si="520"/>
        <v>0</v>
      </c>
    </row>
    <row r="6171" spans="28:34">
      <c r="AB6171" s="580">
        <f>HLOOKUP("*"&amp;'Output annual'!$AC$2&amp;'Output annual'!$AD$2&amp;"*Zone People Number Of Occupants [](Hourly)",'Eplus results'!$1:$1048576,ROW(),FALSE)</f>
        <v>0</v>
      </c>
      <c r="AC6171" s="580">
        <f>HLOOKUP("*"&amp;'Output annual'!$AC$2&amp;'Output annual'!$AD$2&amp;"*FangerPMV(Hourly)",'Eplus results'!$1:$1048576,ROW(),FALSE)</f>
        <v>0</v>
      </c>
      <c r="AD6171" s="580">
        <f t="shared" si="516"/>
        <v>5</v>
      </c>
      <c r="AE6171" s="580">
        <f t="shared" si="517"/>
        <v>2.5</v>
      </c>
      <c r="AF6171" s="580">
        <f t="shared" si="518"/>
        <v>2.5</v>
      </c>
      <c r="AG6171" s="580">
        <f t="shared" si="519"/>
        <v>0</v>
      </c>
      <c r="AH6171" s="580">
        <f t="shared" si="520"/>
        <v>0</v>
      </c>
    </row>
    <row r="6172" spans="28:34">
      <c r="AB6172" s="580">
        <f>HLOOKUP("*"&amp;'Output annual'!$AC$2&amp;'Output annual'!$AD$2&amp;"*Zone People Number Of Occupants [](Hourly)",'Eplus results'!$1:$1048576,ROW(),FALSE)</f>
        <v>0</v>
      </c>
      <c r="AC6172" s="580">
        <f>HLOOKUP("*"&amp;'Output annual'!$AC$2&amp;'Output annual'!$AD$2&amp;"*FangerPMV(Hourly)",'Eplus results'!$1:$1048576,ROW(),FALSE)</f>
        <v>0</v>
      </c>
      <c r="AD6172" s="580">
        <f t="shared" si="516"/>
        <v>5</v>
      </c>
      <c r="AE6172" s="580">
        <f t="shared" si="517"/>
        <v>2.5</v>
      </c>
      <c r="AF6172" s="580">
        <f t="shared" si="518"/>
        <v>2.5</v>
      </c>
      <c r="AG6172" s="580">
        <f t="shared" si="519"/>
        <v>0</v>
      </c>
      <c r="AH6172" s="580">
        <f t="shared" si="520"/>
        <v>0</v>
      </c>
    </row>
    <row r="6173" spans="28:34">
      <c r="AB6173" s="580">
        <f>HLOOKUP("*"&amp;'Output annual'!$AC$2&amp;'Output annual'!$AD$2&amp;"*Zone People Number Of Occupants [](Hourly)",'Eplus results'!$1:$1048576,ROW(),FALSE)</f>
        <v>0</v>
      </c>
      <c r="AC6173" s="580">
        <f>HLOOKUP("*"&amp;'Output annual'!$AC$2&amp;'Output annual'!$AD$2&amp;"*FangerPMV(Hourly)",'Eplus results'!$1:$1048576,ROW(),FALSE)</f>
        <v>0</v>
      </c>
      <c r="AD6173" s="580">
        <f t="shared" si="516"/>
        <v>5</v>
      </c>
      <c r="AE6173" s="580">
        <f t="shared" si="517"/>
        <v>2.5</v>
      </c>
      <c r="AF6173" s="580">
        <f t="shared" si="518"/>
        <v>2.5</v>
      </c>
      <c r="AG6173" s="580">
        <f t="shared" si="519"/>
        <v>0</v>
      </c>
      <c r="AH6173" s="580">
        <f t="shared" si="520"/>
        <v>0</v>
      </c>
    </row>
    <row r="6174" spans="28:34">
      <c r="AB6174" s="580">
        <f>HLOOKUP("*"&amp;'Output annual'!$AC$2&amp;'Output annual'!$AD$2&amp;"*Zone People Number Of Occupants [](Hourly)",'Eplus results'!$1:$1048576,ROW(),FALSE)</f>
        <v>0</v>
      </c>
      <c r="AC6174" s="580">
        <f>HLOOKUP("*"&amp;'Output annual'!$AC$2&amp;'Output annual'!$AD$2&amp;"*FangerPMV(Hourly)",'Eplus results'!$1:$1048576,ROW(),FALSE)</f>
        <v>0</v>
      </c>
      <c r="AD6174" s="580">
        <f t="shared" si="516"/>
        <v>5</v>
      </c>
      <c r="AE6174" s="580">
        <f t="shared" si="517"/>
        <v>2.5</v>
      </c>
      <c r="AF6174" s="580">
        <f t="shared" si="518"/>
        <v>2.5</v>
      </c>
      <c r="AG6174" s="580">
        <f t="shared" si="519"/>
        <v>0</v>
      </c>
      <c r="AH6174" s="580">
        <f t="shared" si="520"/>
        <v>0</v>
      </c>
    </row>
    <row r="6175" spans="28:34">
      <c r="AB6175" s="580">
        <f>HLOOKUP("*"&amp;'Output annual'!$AC$2&amp;'Output annual'!$AD$2&amp;"*Zone People Number Of Occupants [](Hourly)",'Eplus results'!$1:$1048576,ROW(),FALSE)</f>
        <v>0</v>
      </c>
      <c r="AC6175" s="580">
        <f>HLOOKUP("*"&amp;'Output annual'!$AC$2&amp;'Output annual'!$AD$2&amp;"*FangerPMV(Hourly)",'Eplus results'!$1:$1048576,ROW(),FALSE)</f>
        <v>0</v>
      </c>
      <c r="AD6175" s="580">
        <f t="shared" si="516"/>
        <v>5</v>
      </c>
      <c r="AE6175" s="580">
        <f t="shared" si="517"/>
        <v>2.5</v>
      </c>
      <c r="AF6175" s="580">
        <f t="shared" si="518"/>
        <v>2.5</v>
      </c>
      <c r="AG6175" s="580">
        <f t="shared" si="519"/>
        <v>0</v>
      </c>
      <c r="AH6175" s="580">
        <f t="shared" si="520"/>
        <v>0</v>
      </c>
    </row>
    <row r="6176" spans="28:34">
      <c r="AB6176" s="580">
        <f>HLOOKUP("*"&amp;'Output annual'!$AC$2&amp;'Output annual'!$AD$2&amp;"*Zone People Number Of Occupants [](Hourly)",'Eplus results'!$1:$1048576,ROW(),FALSE)</f>
        <v>0</v>
      </c>
      <c r="AC6176" s="580">
        <f>HLOOKUP("*"&amp;'Output annual'!$AC$2&amp;'Output annual'!$AD$2&amp;"*FangerPMV(Hourly)",'Eplus results'!$1:$1048576,ROW(),FALSE)</f>
        <v>0</v>
      </c>
      <c r="AD6176" s="580">
        <f t="shared" si="516"/>
        <v>5</v>
      </c>
      <c r="AE6176" s="580">
        <f t="shared" si="517"/>
        <v>2.5</v>
      </c>
      <c r="AF6176" s="580">
        <f t="shared" si="518"/>
        <v>2.5</v>
      </c>
      <c r="AG6176" s="580">
        <f t="shared" si="519"/>
        <v>0</v>
      </c>
      <c r="AH6176" s="580">
        <f t="shared" si="520"/>
        <v>0</v>
      </c>
    </row>
    <row r="6177" spans="28:34">
      <c r="AB6177" s="580">
        <f>HLOOKUP("*"&amp;'Output annual'!$AC$2&amp;'Output annual'!$AD$2&amp;"*Zone People Number Of Occupants [](Hourly)",'Eplus results'!$1:$1048576,ROW(),FALSE)</f>
        <v>0</v>
      </c>
      <c r="AC6177" s="580">
        <f>HLOOKUP("*"&amp;'Output annual'!$AC$2&amp;'Output annual'!$AD$2&amp;"*FangerPMV(Hourly)",'Eplus results'!$1:$1048576,ROW(),FALSE)</f>
        <v>0</v>
      </c>
      <c r="AD6177" s="580">
        <f t="shared" si="516"/>
        <v>5</v>
      </c>
      <c r="AE6177" s="580">
        <f t="shared" si="517"/>
        <v>2.5</v>
      </c>
      <c r="AF6177" s="580">
        <f t="shared" si="518"/>
        <v>2.5</v>
      </c>
      <c r="AG6177" s="580">
        <f t="shared" si="519"/>
        <v>0</v>
      </c>
      <c r="AH6177" s="580">
        <f t="shared" si="520"/>
        <v>0</v>
      </c>
    </row>
    <row r="6178" spans="28:34">
      <c r="AB6178" s="580">
        <f>HLOOKUP("*"&amp;'Output annual'!$AC$2&amp;'Output annual'!$AD$2&amp;"*Zone People Number Of Occupants [](Hourly)",'Eplus results'!$1:$1048576,ROW(),FALSE)</f>
        <v>0</v>
      </c>
      <c r="AC6178" s="580">
        <f>HLOOKUP("*"&amp;'Output annual'!$AC$2&amp;'Output annual'!$AD$2&amp;"*FangerPMV(Hourly)",'Eplus results'!$1:$1048576,ROW(),FALSE)</f>
        <v>0</v>
      </c>
      <c r="AD6178" s="580">
        <f t="shared" si="516"/>
        <v>5</v>
      </c>
      <c r="AE6178" s="580">
        <f t="shared" si="517"/>
        <v>2.5</v>
      </c>
      <c r="AF6178" s="580">
        <f t="shared" si="518"/>
        <v>2.5</v>
      </c>
      <c r="AG6178" s="580">
        <f t="shared" si="519"/>
        <v>0</v>
      </c>
      <c r="AH6178" s="580">
        <f t="shared" si="520"/>
        <v>0</v>
      </c>
    </row>
    <row r="6179" spans="28:34">
      <c r="AB6179" s="580">
        <f>HLOOKUP("*"&amp;'Output annual'!$AC$2&amp;'Output annual'!$AD$2&amp;"*Zone People Number Of Occupants [](Hourly)",'Eplus results'!$1:$1048576,ROW(),FALSE)</f>
        <v>0</v>
      </c>
      <c r="AC6179" s="580">
        <f>HLOOKUP("*"&amp;'Output annual'!$AC$2&amp;'Output annual'!$AD$2&amp;"*FangerPMV(Hourly)",'Eplus results'!$1:$1048576,ROW(),FALSE)</f>
        <v>0</v>
      </c>
      <c r="AD6179" s="580">
        <f t="shared" si="516"/>
        <v>5</v>
      </c>
      <c r="AE6179" s="580">
        <f t="shared" si="517"/>
        <v>2.5</v>
      </c>
      <c r="AF6179" s="580">
        <f t="shared" si="518"/>
        <v>2.5</v>
      </c>
      <c r="AG6179" s="580">
        <f t="shared" si="519"/>
        <v>0</v>
      </c>
      <c r="AH6179" s="580">
        <f t="shared" si="520"/>
        <v>0</v>
      </c>
    </row>
    <row r="6180" spans="28:34">
      <c r="AB6180" s="580">
        <f>HLOOKUP("*"&amp;'Output annual'!$AC$2&amp;'Output annual'!$AD$2&amp;"*Zone People Number Of Occupants [](Hourly)",'Eplus results'!$1:$1048576,ROW(),FALSE)</f>
        <v>0</v>
      </c>
      <c r="AC6180" s="580">
        <f>HLOOKUP("*"&amp;'Output annual'!$AC$2&amp;'Output annual'!$AD$2&amp;"*FangerPMV(Hourly)",'Eplus results'!$1:$1048576,ROW(),FALSE)</f>
        <v>0</v>
      </c>
      <c r="AD6180" s="580">
        <f t="shared" si="516"/>
        <v>5</v>
      </c>
      <c r="AE6180" s="580">
        <f t="shared" si="517"/>
        <v>2.5</v>
      </c>
      <c r="AF6180" s="580">
        <f t="shared" si="518"/>
        <v>2.5</v>
      </c>
      <c r="AG6180" s="580">
        <f t="shared" si="519"/>
        <v>0</v>
      </c>
      <c r="AH6180" s="580">
        <f t="shared" si="520"/>
        <v>0</v>
      </c>
    </row>
    <row r="6181" spans="28:34">
      <c r="AB6181" s="580">
        <f>HLOOKUP("*"&amp;'Output annual'!$AC$2&amp;'Output annual'!$AD$2&amp;"*Zone People Number Of Occupants [](Hourly)",'Eplus results'!$1:$1048576,ROW(),FALSE)</f>
        <v>0</v>
      </c>
      <c r="AC6181" s="580">
        <f>HLOOKUP("*"&amp;'Output annual'!$AC$2&amp;'Output annual'!$AD$2&amp;"*FangerPMV(Hourly)",'Eplus results'!$1:$1048576,ROW(),FALSE)</f>
        <v>0</v>
      </c>
      <c r="AD6181" s="580">
        <f t="shared" si="516"/>
        <v>5</v>
      </c>
      <c r="AE6181" s="580">
        <f t="shared" si="517"/>
        <v>2.5</v>
      </c>
      <c r="AF6181" s="580">
        <f t="shared" si="518"/>
        <v>2.5</v>
      </c>
      <c r="AG6181" s="580">
        <f t="shared" si="519"/>
        <v>0</v>
      </c>
      <c r="AH6181" s="580">
        <f t="shared" si="520"/>
        <v>0</v>
      </c>
    </row>
    <row r="6182" spans="28:34">
      <c r="AB6182" s="580">
        <f>HLOOKUP("*"&amp;'Output annual'!$AC$2&amp;'Output annual'!$AD$2&amp;"*Zone People Number Of Occupants [](Hourly)",'Eplus results'!$1:$1048576,ROW(),FALSE)</f>
        <v>0</v>
      </c>
      <c r="AC6182" s="580">
        <f>HLOOKUP("*"&amp;'Output annual'!$AC$2&amp;'Output annual'!$AD$2&amp;"*FangerPMV(Hourly)",'Eplus results'!$1:$1048576,ROW(),FALSE)</f>
        <v>0</v>
      </c>
      <c r="AD6182" s="580">
        <f t="shared" si="516"/>
        <v>5</v>
      </c>
      <c r="AE6182" s="580">
        <f t="shared" si="517"/>
        <v>2.5</v>
      </c>
      <c r="AF6182" s="580">
        <f t="shared" si="518"/>
        <v>2.5</v>
      </c>
      <c r="AG6182" s="580">
        <f t="shared" si="519"/>
        <v>0</v>
      </c>
      <c r="AH6182" s="580">
        <f t="shared" si="520"/>
        <v>0</v>
      </c>
    </row>
    <row r="6183" spans="28:34">
      <c r="AB6183" s="580">
        <f>HLOOKUP("*"&amp;'Output annual'!$AC$2&amp;'Output annual'!$AD$2&amp;"*Zone People Number Of Occupants [](Hourly)",'Eplus results'!$1:$1048576,ROW(),FALSE)</f>
        <v>0</v>
      </c>
      <c r="AC6183" s="580">
        <f>HLOOKUP("*"&amp;'Output annual'!$AC$2&amp;'Output annual'!$AD$2&amp;"*FangerPMV(Hourly)",'Eplus results'!$1:$1048576,ROW(),FALSE)</f>
        <v>0</v>
      </c>
      <c r="AD6183" s="580">
        <f t="shared" si="516"/>
        <v>5</v>
      </c>
      <c r="AE6183" s="580">
        <f t="shared" si="517"/>
        <v>2.5</v>
      </c>
      <c r="AF6183" s="580">
        <f t="shared" si="518"/>
        <v>2.5</v>
      </c>
      <c r="AG6183" s="580">
        <f t="shared" si="519"/>
        <v>0</v>
      </c>
      <c r="AH6183" s="580">
        <f t="shared" si="520"/>
        <v>0</v>
      </c>
    </row>
    <row r="6184" spans="28:34">
      <c r="AB6184" s="580">
        <f>HLOOKUP("*"&amp;'Output annual'!$AC$2&amp;'Output annual'!$AD$2&amp;"*Zone People Number Of Occupants [](Hourly)",'Eplus results'!$1:$1048576,ROW(),FALSE)</f>
        <v>0</v>
      </c>
      <c r="AC6184" s="580">
        <f>HLOOKUP("*"&amp;'Output annual'!$AC$2&amp;'Output annual'!$AD$2&amp;"*FangerPMV(Hourly)",'Eplus results'!$1:$1048576,ROW(),FALSE)</f>
        <v>0</v>
      </c>
      <c r="AD6184" s="580">
        <f t="shared" si="516"/>
        <v>5</v>
      </c>
      <c r="AE6184" s="580">
        <f t="shared" si="517"/>
        <v>2.5</v>
      </c>
      <c r="AF6184" s="580">
        <f t="shared" si="518"/>
        <v>2.5</v>
      </c>
      <c r="AG6184" s="580">
        <f t="shared" si="519"/>
        <v>0</v>
      </c>
      <c r="AH6184" s="580">
        <f t="shared" si="520"/>
        <v>0</v>
      </c>
    </row>
    <row r="6185" spans="28:34">
      <c r="AB6185" s="580">
        <f>HLOOKUP("*"&amp;'Output annual'!$AC$2&amp;'Output annual'!$AD$2&amp;"*Zone People Number Of Occupants [](Hourly)",'Eplus results'!$1:$1048576,ROW(),FALSE)</f>
        <v>0</v>
      </c>
      <c r="AC6185" s="580">
        <f>HLOOKUP("*"&amp;'Output annual'!$AC$2&amp;'Output annual'!$AD$2&amp;"*FangerPMV(Hourly)",'Eplus results'!$1:$1048576,ROW(),FALSE)</f>
        <v>0</v>
      </c>
      <c r="AD6185" s="580">
        <f t="shared" si="516"/>
        <v>5</v>
      </c>
      <c r="AE6185" s="580">
        <f t="shared" si="517"/>
        <v>2.5</v>
      </c>
      <c r="AF6185" s="580">
        <f t="shared" si="518"/>
        <v>2.5</v>
      </c>
      <c r="AG6185" s="580">
        <f t="shared" si="519"/>
        <v>0</v>
      </c>
      <c r="AH6185" s="580">
        <f t="shared" si="520"/>
        <v>0</v>
      </c>
    </row>
    <row r="6186" spans="28:34">
      <c r="AB6186" s="580">
        <f>HLOOKUP("*"&amp;'Output annual'!$AC$2&amp;'Output annual'!$AD$2&amp;"*Zone People Number Of Occupants [](Hourly)",'Eplus results'!$1:$1048576,ROW(),FALSE)</f>
        <v>0</v>
      </c>
      <c r="AC6186" s="580">
        <f>HLOOKUP("*"&amp;'Output annual'!$AC$2&amp;'Output annual'!$AD$2&amp;"*FangerPMV(Hourly)",'Eplus results'!$1:$1048576,ROW(),FALSE)</f>
        <v>0</v>
      </c>
      <c r="AD6186" s="580">
        <f t="shared" si="516"/>
        <v>5</v>
      </c>
      <c r="AE6186" s="580">
        <f t="shared" si="517"/>
        <v>2.5</v>
      </c>
      <c r="AF6186" s="580">
        <f t="shared" si="518"/>
        <v>2.5</v>
      </c>
      <c r="AG6186" s="580">
        <f t="shared" si="519"/>
        <v>0</v>
      </c>
      <c r="AH6186" s="580">
        <f t="shared" si="520"/>
        <v>0</v>
      </c>
    </row>
    <row r="6187" spans="28:34">
      <c r="AB6187" s="580">
        <f>HLOOKUP("*"&amp;'Output annual'!$AC$2&amp;'Output annual'!$AD$2&amp;"*Zone People Number Of Occupants [](Hourly)",'Eplus results'!$1:$1048576,ROW(),FALSE)</f>
        <v>0</v>
      </c>
      <c r="AC6187" s="580">
        <f>HLOOKUP("*"&amp;'Output annual'!$AC$2&amp;'Output annual'!$AD$2&amp;"*FangerPMV(Hourly)",'Eplus results'!$1:$1048576,ROW(),FALSE)</f>
        <v>0</v>
      </c>
      <c r="AD6187" s="580">
        <f t="shared" si="516"/>
        <v>5</v>
      </c>
      <c r="AE6187" s="580">
        <f t="shared" si="517"/>
        <v>2.5</v>
      </c>
      <c r="AF6187" s="580">
        <f t="shared" si="518"/>
        <v>2.5</v>
      </c>
      <c r="AG6187" s="580">
        <f t="shared" si="519"/>
        <v>0</v>
      </c>
      <c r="AH6187" s="580">
        <f t="shared" si="520"/>
        <v>0</v>
      </c>
    </row>
    <row r="6188" spans="28:34">
      <c r="AB6188" s="580">
        <f>HLOOKUP("*"&amp;'Output annual'!$AC$2&amp;'Output annual'!$AD$2&amp;"*Zone People Number Of Occupants [](Hourly)",'Eplus results'!$1:$1048576,ROW(),FALSE)</f>
        <v>0</v>
      </c>
      <c r="AC6188" s="580">
        <f>HLOOKUP("*"&amp;'Output annual'!$AC$2&amp;'Output annual'!$AD$2&amp;"*FangerPMV(Hourly)",'Eplus results'!$1:$1048576,ROW(),FALSE)</f>
        <v>0</v>
      </c>
      <c r="AD6188" s="580">
        <f t="shared" si="516"/>
        <v>5</v>
      </c>
      <c r="AE6188" s="580">
        <f t="shared" si="517"/>
        <v>2.5</v>
      </c>
      <c r="AF6188" s="580">
        <f t="shared" si="518"/>
        <v>2.5</v>
      </c>
      <c r="AG6188" s="580">
        <f t="shared" si="519"/>
        <v>0</v>
      </c>
      <c r="AH6188" s="580">
        <f t="shared" si="520"/>
        <v>0</v>
      </c>
    </row>
    <row r="6189" spans="28:34">
      <c r="AB6189" s="580">
        <f>HLOOKUP("*"&amp;'Output annual'!$AC$2&amp;'Output annual'!$AD$2&amp;"*Zone People Number Of Occupants [](Hourly)",'Eplus results'!$1:$1048576,ROW(),FALSE)</f>
        <v>0</v>
      </c>
      <c r="AC6189" s="580">
        <f>HLOOKUP("*"&amp;'Output annual'!$AC$2&amp;'Output annual'!$AD$2&amp;"*FangerPMV(Hourly)",'Eplus results'!$1:$1048576,ROW(),FALSE)</f>
        <v>0</v>
      </c>
      <c r="AD6189" s="580">
        <f t="shared" si="516"/>
        <v>5</v>
      </c>
      <c r="AE6189" s="580">
        <f t="shared" si="517"/>
        <v>2.5</v>
      </c>
      <c r="AF6189" s="580">
        <f t="shared" si="518"/>
        <v>2.5</v>
      </c>
      <c r="AG6189" s="580">
        <f t="shared" si="519"/>
        <v>0</v>
      </c>
      <c r="AH6189" s="580">
        <f t="shared" si="520"/>
        <v>0</v>
      </c>
    </row>
    <row r="6190" spans="28:34">
      <c r="AB6190" s="580">
        <f>HLOOKUP("*"&amp;'Output annual'!$AC$2&amp;'Output annual'!$AD$2&amp;"*Zone People Number Of Occupants [](Hourly)",'Eplus results'!$1:$1048576,ROW(),FALSE)</f>
        <v>0</v>
      </c>
      <c r="AC6190" s="580">
        <f>HLOOKUP("*"&amp;'Output annual'!$AC$2&amp;'Output annual'!$AD$2&amp;"*FangerPMV(Hourly)",'Eplus results'!$1:$1048576,ROW(),FALSE)</f>
        <v>0</v>
      </c>
      <c r="AD6190" s="580">
        <f t="shared" si="516"/>
        <v>5</v>
      </c>
      <c r="AE6190" s="580">
        <f t="shared" si="517"/>
        <v>2.5</v>
      </c>
      <c r="AF6190" s="580">
        <f t="shared" si="518"/>
        <v>2.5</v>
      </c>
      <c r="AG6190" s="580">
        <f t="shared" si="519"/>
        <v>0</v>
      </c>
      <c r="AH6190" s="580">
        <f t="shared" si="520"/>
        <v>0</v>
      </c>
    </row>
    <row r="6191" spans="28:34">
      <c r="AB6191" s="580">
        <f>HLOOKUP("*"&amp;'Output annual'!$AC$2&amp;'Output annual'!$AD$2&amp;"*Zone People Number Of Occupants [](Hourly)",'Eplus results'!$1:$1048576,ROW(),FALSE)</f>
        <v>0</v>
      </c>
      <c r="AC6191" s="580">
        <f>HLOOKUP("*"&amp;'Output annual'!$AC$2&amp;'Output annual'!$AD$2&amp;"*FangerPMV(Hourly)",'Eplus results'!$1:$1048576,ROW(),FALSE)</f>
        <v>0</v>
      </c>
      <c r="AD6191" s="580">
        <f t="shared" si="516"/>
        <v>5</v>
      </c>
      <c r="AE6191" s="580">
        <f t="shared" si="517"/>
        <v>2.5</v>
      </c>
      <c r="AF6191" s="580">
        <f t="shared" si="518"/>
        <v>2.5</v>
      </c>
      <c r="AG6191" s="580">
        <f t="shared" si="519"/>
        <v>0</v>
      </c>
      <c r="AH6191" s="580">
        <f t="shared" si="520"/>
        <v>0</v>
      </c>
    </row>
    <row r="6192" spans="28:34">
      <c r="AB6192" s="580">
        <f>HLOOKUP("*"&amp;'Output annual'!$AC$2&amp;'Output annual'!$AD$2&amp;"*Zone People Number Of Occupants [](Hourly)",'Eplus results'!$1:$1048576,ROW(),FALSE)</f>
        <v>0</v>
      </c>
      <c r="AC6192" s="580">
        <f>HLOOKUP("*"&amp;'Output annual'!$AC$2&amp;'Output annual'!$AD$2&amp;"*FangerPMV(Hourly)",'Eplus results'!$1:$1048576,ROW(),FALSE)</f>
        <v>0</v>
      </c>
      <c r="AD6192" s="580">
        <f t="shared" si="516"/>
        <v>5</v>
      </c>
      <c r="AE6192" s="580">
        <f t="shared" si="517"/>
        <v>2.5</v>
      </c>
      <c r="AF6192" s="580">
        <f t="shared" si="518"/>
        <v>2.5</v>
      </c>
      <c r="AG6192" s="580">
        <f t="shared" si="519"/>
        <v>0</v>
      </c>
      <c r="AH6192" s="580">
        <f t="shared" si="520"/>
        <v>0</v>
      </c>
    </row>
    <row r="6193" spans="28:34">
      <c r="AB6193" s="580">
        <f>HLOOKUP("*"&amp;'Output annual'!$AC$2&amp;'Output annual'!$AD$2&amp;"*Zone People Number Of Occupants [](Hourly)",'Eplus results'!$1:$1048576,ROW(),FALSE)</f>
        <v>0</v>
      </c>
      <c r="AC6193" s="580">
        <f>HLOOKUP("*"&amp;'Output annual'!$AC$2&amp;'Output annual'!$AD$2&amp;"*FangerPMV(Hourly)",'Eplus results'!$1:$1048576,ROW(),FALSE)</f>
        <v>0</v>
      </c>
      <c r="AD6193" s="580">
        <f t="shared" si="516"/>
        <v>5</v>
      </c>
      <c r="AE6193" s="580">
        <f t="shared" si="517"/>
        <v>2.5</v>
      </c>
      <c r="AF6193" s="580">
        <f t="shared" si="518"/>
        <v>2.5</v>
      </c>
      <c r="AG6193" s="580">
        <f t="shared" si="519"/>
        <v>0</v>
      </c>
      <c r="AH6193" s="580">
        <f t="shared" si="520"/>
        <v>0</v>
      </c>
    </row>
    <row r="6194" spans="28:34">
      <c r="AB6194" s="580">
        <f>HLOOKUP("*"&amp;'Output annual'!$AC$2&amp;'Output annual'!$AD$2&amp;"*Zone People Number Of Occupants [](Hourly)",'Eplus results'!$1:$1048576,ROW(),FALSE)</f>
        <v>0</v>
      </c>
      <c r="AC6194" s="580">
        <f>HLOOKUP("*"&amp;'Output annual'!$AC$2&amp;'Output annual'!$AD$2&amp;"*FangerPMV(Hourly)",'Eplus results'!$1:$1048576,ROW(),FALSE)</f>
        <v>0</v>
      </c>
      <c r="AD6194" s="580">
        <f t="shared" si="516"/>
        <v>5</v>
      </c>
      <c r="AE6194" s="580">
        <f t="shared" si="517"/>
        <v>2.5</v>
      </c>
      <c r="AF6194" s="580">
        <f t="shared" si="518"/>
        <v>2.5</v>
      </c>
      <c r="AG6194" s="580">
        <f t="shared" si="519"/>
        <v>0</v>
      </c>
      <c r="AH6194" s="580">
        <f t="shared" si="520"/>
        <v>0</v>
      </c>
    </row>
    <row r="6195" spans="28:34">
      <c r="AB6195" s="580">
        <f>HLOOKUP("*"&amp;'Output annual'!$AC$2&amp;'Output annual'!$AD$2&amp;"*Zone People Number Of Occupants [](Hourly)",'Eplus results'!$1:$1048576,ROW(),FALSE)</f>
        <v>0</v>
      </c>
      <c r="AC6195" s="580">
        <f>HLOOKUP("*"&amp;'Output annual'!$AC$2&amp;'Output annual'!$AD$2&amp;"*FangerPMV(Hourly)",'Eplus results'!$1:$1048576,ROW(),FALSE)</f>
        <v>0</v>
      </c>
      <c r="AD6195" s="580">
        <f t="shared" si="516"/>
        <v>5</v>
      </c>
      <c r="AE6195" s="580">
        <f t="shared" si="517"/>
        <v>2.5</v>
      </c>
      <c r="AF6195" s="580">
        <f t="shared" si="518"/>
        <v>2.5</v>
      </c>
      <c r="AG6195" s="580">
        <f t="shared" si="519"/>
        <v>0</v>
      </c>
      <c r="AH6195" s="580">
        <f t="shared" si="520"/>
        <v>0</v>
      </c>
    </row>
    <row r="6196" spans="28:34">
      <c r="AB6196" s="580">
        <f>HLOOKUP("*"&amp;'Output annual'!$AC$2&amp;'Output annual'!$AD$2&amp;"*Zone People Number Of Occupants [](Hourly)",'Eplus results'!$1:$1048576,ROW(),FALSE)</f>
        <v>0</v>
      </c>
      <c r="AC6196" s="580">
        <f>HLOOKUP("*"&amp;'Output annual'!$AC$2&amp;'Output annual'!$AD$2&amp;"*FangerPMV(Hourly)",'Eplus results'!$1:$1048576,ROW(),FALSE)</f>
        <v>0</v>
      </c>
      <c r="AD6196" s="580">
        <f t="shared" si="516"/>
        <v>5</v>
      </c>
      <c r="AE6196" s="580">
        <f t="shared" si="517"/>
        <v>2.5</v>
      </c>
      <c r="AF6196" s="580">
        <f t="shared" si="518"/>
        <v>2.5</v>
      </c>
      <c r="AG6196" s="580">
        <f t="shared" si="519"/>
        <v>0</v>
      </c>
      <c r="AH6196" s="580">
        <f t="shared" si="520"/>
        <v>0</v>
      </c>
    </row>
    <row r="6197" spans="28:34">
      <c r="AB6197" s="580">
        <f>HLOOKUP("*"&amp;'Output annual'!$AC$2&amp;'Output annual'!$AD$2&amp;"*Zone People Number Of Occupants [](Hourly)",'Eplus results'!$1:$1048576,ROW(),FALSE)</f>
        <v>0</v>
      </c>
      <c r="AC6197" s="580">
        <f>HLOOKUP("*"&amp;'Output annual'!$AC$2&amp;'Output annual'!$AD$2&amp;"*FangerPMV(Hourly)",'Eplus results'!$1:$1048576,ROW(),FALSE)</f>
        <v>0</v>
      </c>
      <c r="AD6197" s="580">
        <f t="shared" si="516"/>
        <v>5</v>
      </c>
      <c r="AE6197" s="580">
        <f t="shared" si="517"/>
        <v>2.5</v>
      </c>
      <c r="AF6197" s="580">
        <f t="shared" si="518"/>
        <v>2.5</v>
      </c>
      <c r="AG6197" s="580">
        <f t="shared" si="519"/>
        <v>0</v>
      </c>
      <c r="AH6197" s="580">
        <f t="shared" si="520"/>
        <v>0</v>
      </c>
    </row>
    <row r="6198" spans="28:34">
      <c r="AB6198" s="580">
        <f>HLOOKUP("*"&amp;'Output annual'!$AC$2&amp;'Output annual'!$AD$2&amp;"*Zone People Number Of Occupants [](Hourly)",'Eplus results'!$1:$1048576,ROW(),FALSE)</f>
        <v>0</v>
      </c>
      <c r="AC6198" s="580">
        <f>HLOOKUP("*"&amp;'Output annual'!$AC$2&amp;'Output annual'!$AD$2&amp;"*FangerPMV(Hourly)",'Eplus results'!$1:$1048576,ROW(),FALSE)</f>
        <v>0</v>
      </c>
      <c r="AD6198" s="580">
        <f t="shared" si="516"/>
        <v>5</v>
      </c>
      <c r="AE6198" s="580">
        <f t="shared" si="517"/>
        <v>2.5</v>
      </c>
      <c r="AF6198" s="580">
        <f t="shared" si="518"/>
        <v>2.5</v>
      </c>
      <c r="AG6198" s="580">
        <f t="shared" si="519"/>
        <v>0</v>
      </c>
      <c r="AH6198" s="580">
        <f t="shared" si="520"/>
        <v>0</v>
      </c>
    </row>
    <row r="6199" spans="28:34">
      <c r="AB6199" s="580">
        <f>HLOOKUP("*"&amp;'Output annual'!$AC$2&amp;'Output annual'!$AD$2&amp;"*Zone People Number Of Occupants [](Hourly)",'Eplus results'!$1:$1048576,ROW(),FALSE)</f>
        <v>0</v>
      </c>
      <c r="AC6199" s="580">
        <f>HLOOKUP("*"&amp;'Output annual'!$AC$2&amp;'Output annual'!$AD$2&amp;"*FangerPMV(Hourly)",'Eplus results'!$1:$1048576,ROW(),FALSE)</f>
        <v>0</v>
      </c>
      <c r="AD6199" s="580">
        <f t="shared" si="516"/>
        <v>5</v>
      </c>
      <c r="AE6199" s="580">
        <f t="shared" si="517"/>
        <v>2.5</v>
      </c>
      <c r="AF6199" s="580">
        <f t="shared" si="518"/>
        <v>2.5</v>
      </c>
      <c r="AG6199" s="580">
        <f t="shared" si="519"/>
        <v>0</v>
      </c>
      <c r="AH6199" s="580">
        <f t="shared" si="520"/>
        <v>0</v>
      </c>
    </row>
    <row r="6200" spans="28:34">
      <c r="AB6200" s="580">
        <f>HLOOKUP("*"&amp;'Output annual'!$AC$2&amp;'Output annual'!$AD$2&amp;"*Zone People Number Of Occupants [](Hourly)",'Eplus results'!$1:$1048576,ROW(),FALSE)</f>
        <v>0</v>
      </c>
      <c r="AC6200" s="580">
        <f>HLOOKUP("*"&amp;'Output annual'!$AC$2&amp;'Output annual'!$AD$2&amp;"*FangerPMV(Hourly)",'Eplus results'!$1:$1048576,ROW(),FALSE)</f>
        <v>0</v>
      </c>
      <c r="AD6200" s="580">
        <f t="shared" si="516"/>
        <v>5</v>
      </c>
      <c r="AE6200" s="580">
        <f t="shared" si="517"/>
        <v>2.5</v>
      </c>
      <c r="AF6200" s="580">
        <f t="shared" si="518"/>
        <v>2.5</v>
      </c>
      <c r="AG6200" s="580">
        <f t="shared" si="519"/>
        <v>0</v>
      </c>
      <c r="AH6200" s="580">
        <f t="shared" si="520"/>
        <v>0</v>
      </c>
    </row>
    <row r="6201" spans="28:34">
      <c r="AB6201" s="580">
        <f>HLOOKUP("*"&amp;'Output annual'!$AC$2&amp;'Output annual'!$AD$2&amp;"*Zone People Number Of Occupants [](Hourly)",'Eplus results'!$1:$1048576,ROW(),FALSE)</f>
        <v>0</v>
      </c>
      <c r="AC6201" s="580">
        <f>HLOOKUP("*"&amp;'Output annual'!$AC$2&amp;'Output annual'!$AD$2&amp;"*FangerPMV(Hourly)",'Eplus results'!$1:$1048576,ROW(),FALSE)</f>
        <v>0</v>
      </c>
      <c r="AD6201" s="580">
        <f t="shared" si="516"/>
        <v>5</v>
      </c>
      <c r="AE6201" s="580">
        <f t="shared" si="517"/>
        <v>2.5</v>
      </c>
      <c r="AF6201" s="580">
        <f t="shared" si="518"/>
        <v>2.5</v>
      </c>
      <c r="AG6201" s="580">
        <f t="shared" si="519"/>
        <v>0</v>
      </c>
      <c r="AH6201" s="580">
        <f t="shared" si="520"/>
        <v>0</v>
      </c>
    </row>
    <row r="6202" spans="28:34">
      <c r="AB6202" s="580">
        <f>HLOOKUP("*"&amp;'Output annual'!$AC$2&amp;'Output annual'!$AD$2&amp;"*Zone People Number Of Occupants [](Hourly)",'Eplus results'!$1:$1048576,ROW(),FALSE)</f>
        <v>0</v>
      </c>
      <c r="AC6202" s="580">
        <f>HLOOKUP("*"&amp;'Output annual'!$AC$2&amp;'Output annual'!$AD$2&amp;"*FangerPMV(Hourly)",'Eplus results'!$1:$1048576,ROW(),FALSE)</f>
        <v>0</v>
      </c>
      <c r="AD6202" s="580">
        <f t="shared" si="516"/>
        <v>5</v>
      </c>
      <c r="AE6202" s="580">
        <f t="shared" si="517"/>
        <v>2.5</v>
      </c>
      <c r="AF6202" s="580">
        <f t="shared" si="518"/>
        <v>2.5</v>
      </c>
      <c r="AG6202" s="580">
        <f t="shared" si="519"/>
        <v>0</v>
      </c>
      <c r="AH6202" s="580">
        <f t="shared" si="520"/>
        <v>0</v>
      </c>
    </row>
    <row r="6203" spans="28:34">
      <c r="AB6203" s="580">
        <f>HLOOKUP("*"&amp;'Output annual'!$AC$2&amp;'Output annual'!$AD$2&amp;"*Zone People Number Of Occupants [](Hourly)",'Eplus results'!$1:$1048576,ROW(),FALSE)</f>
        <v>0</v>
      </c>
      <c r="AC6203" s="580">
        <f>HLOOKUP("*"&amp;'Output annual'!$AC$2&amp;'Output annual'!$AD$2&amp;"*FangerPMV(Hourly)",'Eplus results'!$1:$1048576,ROW(),FALSE)</f>
        <v>0</v>
      </c>
      <c r="AD6203" s="580">
        <f t="shared" si="516"/>
        <v>5</v>
      </c>
      <c r="AE6203" s="580">
        <f t="shared" si="517"/>
        <v>2.5</v>
      </c>
      <c r="AF6203" s="580">
        <f t="shared" si="518"/>
        <v>2.5</v>
      </c>
      <c r="AG6203" s="580">
        <f t="shared" si="519"/>
        <v>0</v>
      </c>
      <c r="AH6203" s="580">
        <f t="shared" si="520"/>
        <v>0</v>
      </c>
    </row>
    <row r="6204" spans="28:34">
      <c r="AB6204" s="580">
        <f>HLOOKUP("*"&amp;'Output annual'!$AC$2&amp;'Output annual'!$AD$2&amp;"*Zone People Number Of Occupants [](Hourly)",'Eplus results'!$1:$1048576,ROW(),FALSE)</f>
        <v>0</v>
      </c>
      <c r="AC6204" s="580">
        <f>HLOOKUP("*"&amp;'Output annual'!$AC$2&amp;'Output annual'!$AD$2&amp;"*FangerPMV(Hourly)",'Eplus results'!$1:$1048576,ROW(),FALSE)</f>
        <v>0</v>
      </c>
      <c r="AD6204" s="580">
        <f t="shared" si="516"/>
        <v>5</v>
      </c>
      <c r="AE6204" s="580">
        <f t="shared" si="517"/>
        <v>2.5</v>
      </c>
      <c r="AF6204" s="580">
        <f t="shared" si="518"/>
        <v>2.5</v>
      </c>
      <c r="AG6204" s="580">
        <f t="shared" si="519"/>
        <v>0</v>
      </c>
      <c r="AH6204" s="580">
        <f t="shared" si="520"/>
        <v>0</v>
      </c>
    </row>
    <row r="6205" spans="28:34">
      <c r="AB6205" s="580">
        <f>HLOOKUP("*"&amp;'Output annual'!$AC$2&amp;'Output annual'!$AD$2&amp;"*Zone People Number Of Occupants [](Hourly)",'Eplus results'!$1:$1048576,ROW(),FALSE)</f>
        <v>0</v>
      </c>
      <c r="AC6205" s="580">
        <f>HLOOKUP("*"&amp;'Output annual'!$AC$2&amp;'Output annual'!$AD$2&amp;"*FangerPMV(Hourly)",'Eplus results'!$1:$1048576,ROW(),FALSE)</f>
        <v>0</v>
      </c>
      <c r="AD6205" s="580">
        <f t="shared" si="516"/>
        <v>5</v>
      </c>
      <c r="AE6205" s="580">
        <f t="shared" si="517"/>
        <v>2.5</v>
      </c>
      <c r="AF6205" s="580">
        <f t="shared" si="518"/>
        <v>2.5</v>
      </c>
      <c r="AG6205" s="580">
        <f t="shared" si="519"/>
        <v>0</v>
      </c>
      <c r="AH6205" s="580">
        <f t="shared" si="520"/>
        <v>0</v>
      </c>
    </row>
    <row r="6206" spans="28:34">
      <c r="AB6206" s="580">
        <f>HLOOKUP("*"&amp;'Output annual'!$AC$2&amp;'Output annual'!$AD$2&amp;"*Zone People Number Of Occupants [](Hourly)",'Eplus results'!$1:$1048576,ROW(),FALSE)</f>
        <v>0</v>
      </c>
      <c r="AC6206" s="580">
        <f>HLOOKUP("*"&amp;'Output annual'!$AC$2&amp;'Output annual'!$AD$2&amp;"*FangerPMV(Hourly)",'Eplus results'!$1:$1048576,ROW(),FALSE)</f>
        <v>0</v>
      </c>
      <c r="AD6206" s="580">
        <f t="shared" si="516"/>
        <v>5</v>
      </c>
      <c r="AE6206" s="580">
        <f t="shared" si="517"/>
        <v>2.5</v>
      </c>
      <c r="AF6206" s="580">
        <f t="shared" si="518"/>
        <v>2.5</v>
      </c>
      <c r="AG6206" s="580">
        <f t="shared" si="519"/>
        <v>0</v>
      </c>
      <c r="AH6206" s="580">
        <f t="shared" si="520"/>
        <v>0</v>
      </c>
    </row>
    <row r="6207" spans="28:34">
      <c r="AB6207" s="580">
        <f>HLOOKUP("*"&amp;'Output annual'!$AC$2&amp;'Output annual'!$AD$2&amp;"*Zone People Number Of Occupants [](Hourly)",'Eplus results'!$1:$1048576,ROW(),FALSE)</f>
        <v>0</v>
      </c>
      <c r="AC6207" s="580">
        <f>HLOOKUP("*"&amp;'Output annual'!$AC$2&amp;'Output annual'!$AD$2&amp;"*FangerPMV(Hourly)",'Eplus results'!$1:$1048576,ROW(),FALSE)</f>
        <v>0</v>
      </c>
      <c r="AD6207" s="580">
        <f t="shared" si="516"/>
        <v>5</v>
      </c>
      <c r="AE6207" s="580">
        <f t="shared" si="517"/>
        <v>2.5</v>
      </c>
      <c r="AF6207" s="580">
        <f t="shared" si="518"/>
        <v>2.5</v>
      </c>
      <c r="AG6207" s="580">
        <f t="shared" si="519"/>
        <v>0</v>
      </c>
      <c r="AH6207" s="580">
        <f t="shared" si="520"/>
        <v>0</v>
      </c>
    </row>
    <row r="6208" spans="28:34">
      <c r="AB6208" s="580">
        <f>HLOOKUP("*"&amp;'Output annual'!$AC$2&amp;'Output annual'!$AD$2&amp;"*Zone People Number Of Occupants [](Hourly)",'Eplus results'!$1:$1048576,ROW(),FALSE)</f>
        <v>0</v>
      </c>
      <c r="AC6208" s="580">
        <f>HLOOKUP("*"&amp;'Output annual'!$AC$2&amp;'Output annual'!$AD$2&amp;"*FangerPMV(Hourly)",'Eplus results'!$1:$1048576,ROW(),FALSE)</f>
        <v>0</v>
      </c>
      <c r="AD6208" s="580">
        <f t="shared" si="516"/>
        <v>5</v>
      </c>
      <c r="AE6208" s="580">
        <f t="shared" si="517"/>
        <v>2.5</v>
      </c>
      <c r="AF6208" s="580">
        <f t="shared" si="518"/>
        <v>2.5</v>
      </c>
      <c r="AG6208" s="580">
        <f t="shared" si="519"/>
        <v>0</v>
      </c>
      <c r="AH6208" s="580">
        <f t="shared" si="520"/>
        <v>0</v>
      </c>
    </row>
    <row r="6209" spans="28:34">
      <c r="AB6209" s="580">
        <f>HLOOKUP("*"&amp;'Output annual'!$AC$2&amp;'Output annual'!$AD$2&amp;"*Zone People Number Of Occupants [](Hourly)",'Eplus results'!$1:$1048576,ROW(),FALSE)</f>
        <v>0</v>
      </c>
      <c r="AC6209" s="580">
        <f>HLOOKUP("*"&amp;'Output annual'!$AC$2&amp;'Output annual'!$AD$2&amp;"*FangerPMV(Hourly)",'Eplus results'!$1:$1048576,ROW(),FALSE)</f>
        <v>0</v>
      </c>
      <c r="AD6209" s="580">
        <f t="shared" si="516"/>
        <v>5</v>
      </c>
      <c r="AE6209" s="580">
        <f t="shared" si="517"/>
        <v>2.5</v>
      </c>
      <c r="AF6209" s="580">
        <f t="shared" si="518"/>
        <v>2.5</v>
      </c>
      <c r="AG6209" s="580">
        <f t="shared" si="519"/>
        <v>0</v>
      </c>
      <c r="AH6209" s="580">
        <f t="shared" si="520"/>
        <v>0</v>
      </c>
    </row>
    <row r="6210" spans="28:34">
      <c r="AB6210" s="580">
        <f>HLOOKUP("*"&amp;'Output annual'!$AC$2&amp;'Output annual'!$AD$2&amp;"*Zone People Number Of Occupants [](Hourly)",'Eplus results'!$1:$1048576,ROW(),FALSE)</f>
        <v>0</v>
      </c>
      <c r="AC6210" s="580">
        <f>HLOOKUP("*"&amp;'Output annual'!$AC$2&amp;'Output annual'!$AD$2&amp;"*FangerPMV(Hourly)",'Eplus results'!$1:$1048576,ROW(),FALSE)</f>
        <v>0</v>
      </c>
      <c r="AD6210" s="580">
        <f t="shared" si="516"/>
        <v>5</v>
      </c>
      <c r="AE6210" s="580">
        <f t="shared" si="517"/>
        <v>2.5</v>
      </c>
      <c r="AF6210" s="580">
        <f t="shared" si="518"/>
        <v>2.5</v>
      </c>
      <c r="AG6210" s="580">
        <f t="shared" si="519"/>
        <v>0</v>
      </c>
      <c r="AH6210" s="580">
        <f t="shared" si="520"/>
        <v>0</v>
      </c>
    </row>
    <row r="6211" spans="28:34">
      <c r="AB6211" s="580">
        <f>HLOOKUP("*"&amp;'Output annual'!$AC$2&amp;'Output annual'!$AD$2&amp;"*Zone People Number Of Occupants [](Hourly)",'Eplus results'!$1:$1048576,ROW(),FALSE)</f>
        <v>0</v>
      </c>
      <c r="AC6211" s="580">
        <f>HLOOKUP("*"&amp;'Output annual'!$AC$2&amp;'Output annual'!$AD$2&amp;"*FangerPMV(Hourly)",'Eplus results'!$1:$1048576,ROW(),FALSE)</f>
        <v>0</v>
      </c>
      <c r="AD6211" s="580">
        <f t="shared" ref="AD6211:AD6274" si="521">100-95*EXP(-0.03353*AC6211^4-0.2179*AC6211^2)</f>
        <v>5</v>
      </c>
      <c r="AE6211" s="580">
        <f t="shared" ref="AE6211:AE6274" si="522">AD6211*(1/(1+EXP(-6.3*$AC6211)))</f>
        <v>2.5</v>
      </c>
      <c r="AF6211" s="580">
        <f t="shared" ref="AF6211:AF6274" si="523">(AD6211-AE6211)</f>
        <v>2.5</v>
      </c>
      <c r="AG6211" s="580">
        <f t="shared" ref="AG6211:AG6274" si="524">AE6211*AB6211</f>
        <v>0</v>
      </c>
      <c r="AH6211" s="580">
        <f t="shared" ref="AH6211:AH6274" si="525">AF6211*AB6211</f>
        <v>0</v>
      </c>
    </row>
    <row r="6212" spans="28:34">
      <c r="AB6212" s="580">
        <f>HLOOKUP("*"&amp;'Output annual'!$AC$2&amp;'Output annual'!$AD$2&amp;"*Zone People Number Of Occupants [](Hourly)",'Eplus results'!$1:$1048576,ROW(),FALSE)</f>
        <v>0</v>
      </c>
      <c r="AC6212" s="580">
        <f>HLOOKUP("*"&amp;'Output annual'!$AC$2&amp;'Output annual'!$AD$2&amp;"*FangerPMV(Hourly)",'Eplus results'!$1:$1048576,ROW(),FALSE)</f>
        <v>0</v>
      </c>
      <c r="AD6212" s="580">
        <f t="shared" si="521"/>
        <v>5</v>
      </c>
      <c r="AE6212" s="580">
        <f t="shared" si="522"/>
        <v>2.5</v>
      </c>
      <c r="AF6212" s="580">
        <f t="shared" si="523"/>
        <v>2.5</v>
      </c>
      <c r="AG6212" s="580">
        <f t="shared" si="524"/>
        <v>0</v>
      </c>
      <c r="AH6212" s="580">
        <f t="shared" si="525"/>
        <v>0</v>
      </c>
    </row>
    <row r="6213" spans="28:34">
      <c r="AB6213" s="580">
        <f>HLOOKUP("*"&amp;'Output annual'!$AC$2&amp;'Output annual'!$AD$2&amp;"*Zone People Number Of Occupants [](Hourly)",'Eplus results'!$1:$1048576,ROW(),FALSE)</f>
        <v>0</v>
      </c>
      <c r="AC6213" s="580">
        <f>HLOOKUP("*"&amp;'Output annual'!$AC$2&amp;'Output annual'!$AD$2&amp;"*FangerPMV(Hourly)",'Eplus results'!$1:$1048576,ROW(),FALSE)</f>
        <v>0</v>
      </c>
      <c r="AD6213" s="580">
        <f t="shared" si="521"/>
        <v>5</v>
      </c>
      <c r="AE6213" s="580">
        <f t="shared" si="522"/>
        <v>2.5</v>
      </c>
      <c r="AF6213" s="580">
        <f t="shared" si="523"/>
        <v>2.5</v>
      </c>
      <c r="AG6213" s="580">
        <f t="shared" si="524"/>
        <v>0</v>
      </c>
      <c r="AH6213" s="580">
        <f t="shared" si="525"/>
        <v>0</v>
      </c>
    </row>
    <row r="6214" spans="28:34">
      <c r="AB6214" s="580">
        <f>HLOOKUP("*"&amp;'Output annual'!$AC$2&amp;'Output annual'!$AD$2&amp;"*Zone People Number Of Occupants [](Hourly)",'Eplus results'!$1:$1048576,ROW(),FALSE)</f>
        <v>0</v>
      </c>
      <c r="AC6214" s="580">
        <f>HLOOKUP("*"&amp;'Output annual'!$AC$2&amp;'Output annual'!$AD$2&amp;"*FangerPMV(Hourly)",'Eplus results'!$1:$1048576,ROW(),FALSE)</f>
        <v>0</v>
      </c>
      <c r="AD6214" s="580">
        <f t="shared" si="521"/>
        <v>5</v>
      </c>
      <c r="AE6214" s="580">
        <f t="shared" si="522"/>
        <v>2.5</v>
      </c>
      <c r="AF6214" s="580">
        <f t="shared" si="523"/>
        <v>2.5</v>
      </c>
      <c r="AG6214" s="580">
        <f t="shared" si="524"/>
        <v>0</v>
      </c>
      <c r="AH6214" s="580">
        <f t="shared" si="525"/>
        <v>0</v>
      </c>
    </row>
    <row r="6215" spans="28:34">
      <c r="AB6215" s="580">
        <f>HLOOKUP("*"&amp;'Output annual'!$AC$2&amp;'Output annual'!$AD$2&amp;"*Zone People Number Of Occupants [](Hourly)",'Eplus results'!$1:$1048576,ROW(),FALSE)</f>
        <v>0</v>
      </c>
      <c r="AC6215" s="580">
        <f>HLOOKUP("*"&amp;'Output annual'!$AC$2&amp;'Output annual'!$AD$2&amp;"*FangerPMV(Hourly)",'Eplus results'!$1:$1048576,ROW(),FALSE)</f>
        <v>0</v>
      </c>
      <c r="AD6215" s="580">
        <f t="shared" si="521"/>
        <v>5</v>
      </c>
      <c r="AE6215" s="580">
        <f t="shared" si="522"/>
        <v>2.5</v>
      </c>
      <c r="AF6215" s="580">
        <f t="shared" si="523"/>
        <v>2.5</v>
      </c>
      <c r="AG6215" s="580">
        <f t="shared" si="524"/>
        <v>0</v>
      </c>
      <c r="AH6215" s="580">
        <f t="shared" si="525"/>
        <v>0</v>
      </c>
    </row>
    <row r="6216" spans="28:34">
      <c r="AB6216" s="580">
        <f>HLOOKUP("*"&amp;'Output annual'!$AC$2&amp;'Output annual'!$AD$2&amp;"*Zone People Number Of Occupants [](Hourly)",'Eplus results'!$1:$1048576,ROW(),FALSE)</f>
        <v>0</v>
      </c>
      <c r="AC6216" s="580">
        <f>HLOOKUP("*"&amp;'Output annual'!$AC$2&amp;'Output annual'!$AD$2&amp;"*FangerPMV(Hourly)",'Eplus results'!$1:$1048576,ROW(),FALSE)</f>
        <v>0</v>
      </c>
      <c r="AD6216" s="580">
        <f t="shared" si="521"/>
        <v>5</v>
      </c>
      <c r="AE6216" s="580">
        <f t="shared" si="522"/>
        <v>2.5</v>
      </c>
      <c r="AF6216" s="580">
        <f t="shared" si="523"/>
        <v>2.5</v>
      </c>
      <c r="AG6216" s="580">
        <f t="shared" si="524"/>
        <v>0</v>
      </c>
      <c r="AH6216" s="580">
        <f t="shared" si="525"/>
        <v>0</v>
      </c>
    </row>
    <row r="6217" spans="28:34">
      <c r="AB6217" s="580">
        <f>HLOOKUP("*"&amp;'Output annual'!$AC$2&amp;'Output annual'!$AD$2&amp;"*Zone People Number Of Occupants [](Hourly)",'Eplus results'!$1:$1048576,ROW(),FALSE)</f>
        <v>0</v>
      </c>
      <c r="AC6217" s="580">
        <f>HLOOKUP("*"&amp;'Output annual'!$AC$2&amp;'Output annual'!$AD$2&amp;"*FangerPMV(Hourly)",'Eplus results'!$1:$1048576,ROW(),FALSE)</f>
        <v>0</v>
      </c>
      <c r="AD6217" s="580">
        <f t="shared" si="521"/>
        <v>5</v>
      </c>
      <c r="AE6217" s="580">
        <f t="shared" si="522"/>
        <v>2.5</v>
      </c>
      <c r="AF6217" s="580">
        <f t="shared" si="523"/>
        <v>2.5</v>
      </c>
      <c r="AG6217" s="580">
        <f t="shared" si="524"/>
        <v>0</v>
      </c>
      <c r="AH6217" s="580">
        <f t="shared" si="525"/>
        <v>0</v>
      </c>
    </row>
    <row r="6218" spans="28:34">
      <c r="AB6218" s="580">
        <f>HLOOKUP("*"&amp;'Output annual'!$AC$2&amp;'Output annual'!$AD$2&amp;"*Zone People Number Of Occupants [](Hourly)",'Eplus results'!$1:$1048576,ROW(),FALSE)</f>
        <v>0</v>
      </c>
      <c r="AC6218" s="580">
        <f>HLOOKUP("*"&amp;'Output annual'!$AC$2&amp;'Output annual'!$AD$2&amp;"*FangerPMV(Hourly)",'Eplus results'!$1:$1048576,ROW(),FALSE)</f>
        <v>0</v>
      </c>
      <c r="AD6218" s="580">
        <f t="shared" si="521"/>
        <v>5</v>
      </c>
      <c r="AE6218" s="580">
        <f t="shared" si="522"/>
        <v>2.5</v>
      </c>
      <c r="AF6218" s="580">
        <f t="shared" si="523"/>
        <v>2.5</v>
      </c>
      <c r="AG6218" s="580">
        <f t="shared" si="524"/>
        <v>0</v>
      </c>
      <c r="AH6218" s="580">
        <f t="shared" si="525"/>
        <v>0</v>
      </c>
    </row>
    <row r="6219" spans="28:34">
      <c r="AB6219" s="580">
        <f>HLOOKUP("*"&amp;'Output annual'!$AC$2&amp;'Output annual'!$AD$2&amp;"*Zone People Number Of Occupants [](Hourly)",'Eplus results'!$1:$1048576,ROW(),FALSE)</f>
        <v>0</v>
      </c>
      <c r="AC6219" s="580">
        <f>HLOOKUP("*"&amp;'Output annual'!$AC$2&amp;'Output annual'!$AD$2&amp;"*FangerPMV(Hourly)",'Eplus results'!$1:$1048576,ROW(),FALSE)</f>
        <v>0</v>
      </c>
      <c r="AD6219" s="580">
        <f t="shared" si="521"/>
        <v>5</v>
      </c>
      <c r="AE6219" s="580">
        <f t="shared" si="522"/>
        <v>2.5</v>
      </c>
      <c r="AF6219" s="580">
        <f t="shared" si="523"/>
        <v>2.5</v>
      </c>
      <c r="AG6219" s="580">
        <f t="shared" si="524"/>
        <v>0</v>
      </c>
      <c r="AH6219" s="580">
        <f t="shared" si="525"/>
        <v>0</v>
      </c>
    </row>
    <row r="6220" spans="28:34">
      <c r="AB6220" s="580">
        <f>HLOOKUP("*"&amp;'Output annual'!$AC$2&amp;'Output annual'!$AD$2&amp;"*Zone People Number Of Occupants [](Hourly)",'Eplus results'!$1:$1048576,ROW(),FALSE)</f>
        <v>0</v>
      </c>
      <c r="AC6220" s="580">
        <f>HLOOKUP("*"&amp;'Output annual'!$AC$2&amp;'Output annual'!$AD$2&amp;"*FangerPMV(Hourly)",'Eplus results'!$1:$1048576,ROW(),FALSE)</f>
        <v>0</v>
      </c>
      <c r="AD6220" s="580">
        <f t="shared" si="521"/>
        <v>5</v>
      </c>
      <c r="AE6220" s="580">
        <f t="shared" si="522"/>
        <v>2.5</v>
      </c>
      <c r="AF6220" s="580">
        <f t="shared" si="523"/>
        <v>2.5</v>
      </c>
      <c r="AG6220" s="580">
        <f t="shared" si="524"/>
        <v>0</v>
      </c>
      <c r="AH6220" s="580">
        <f t="shared" si="525"/>
        <v>0</v>
      </c>
    </row>
    <row r="6221" spans="28:34">
      <c r="AB6221" s="580">
        <f>HLOOKUP("*"&amp;'Output annual'!$AC$2&amp;'Output annual'!$AD$2&amp;"*Zone People Number Of Occupants [](Hourly)",'Eplus results'!$1:$1048576,ROW(),FALSE)</f>
        <v>0</v>
      </c>
      <c r="AC6221" s="580">
        <f>HLOOKUP("*"&amp;'Output annual'!$AC$2&amp;'Output annual'!$AD$2&amp;"*FangerPMV(Hourly)",'Eplus results'!$1:$1048576,ROW(),FALSE)</f>
        <v>0</v>
      </c>
      <c r="AD6221" s="580">
        <f t="shared" si="521"/>
        <v>5</v>
      </c>
      <c r="AE6221" s="580">
        <f t="shared" si="522"/>
        <v>2.5</v>
      </c>
      <c r="AF6221" s="580">
        <f t="shared" si="523"/>
        <v>2.5</v>
      </c>
      <c r="AG6221" s="580">
        <f t="shared" si="524"/>
        <v>0</v>
      </c>
      <c r="AH6221" s="580">
        <f t="shared" si="525"/>
        <v>0</v>
      </c>
    </row>
    <row r="6222" spans="28:34">
      <c r="AB6222" s="580">
        <f>HLOOKUP("*"&amp;'Output annual'!$AC$2&amp;'Output annual'!$AD$2&amp;"*Zone People Number Of Occupants [](Hourly)",'Eplus results'!$1:$1048576,ROW(),FALSE)</f>
        <v>0</v>
      </c>
      <c r="AC6222" s="580">
        <f>HLOOKUP("*"&amp;'Output annual'!$AC$2&amp;'Output annual'!$AD$2&amp;"*FangerPMV(Hourly)",'Eplus results'!$1:$1048576,ROW(),FALSE)</f>
        <v>0</v>
      </c>
      <c r="AD6222" s="580">
        <f t="shared" si="521"/>
        <v>5</v>
      </c>
      <c r="AE6222" s="580">
        <f t="shared" si="522"/>
        <v>2.5</v>
      </c>
      <c r="AF6222" s="580">
        <f t="shared" si="523"/>
        <v>2.5</v>
      </c>
      <c r="AG6222" s="580">
        <f t="shared" si="524"/>
        <v>0</v>
      </c>
      <c r="AH6222" s="580">
        <f t="shared" si="525"/>
        <v>0</v>
      </c>
    </row>
    <row r="6223" spans="28:34">
      <c r="AB6223" s="580">
        <f>HLOOKUP("*"&amp;'Output annual'!$AC$2&amp;'Output annual'!$AD$2&amp;"*Zone People Number Of Occupants [](Hourly)",'Eplus results'!$1:$1048576,ROW(),FALSE)</f>
        <v>0</v>
      </c>
      <c r="AC6223" s="580">
        <f>HLOOKUP("*"&amp;'Output annual'!$AC$2&amp;'Output annual'!$AD$2&amp;"*FangerPMV(Hourly)",'Eplus results'!$1:$1048576,ROW(),FALSE)</f>
        <v>0</v>
      </c>
      <c r="AD6223" s="580">
        <f t="shared" si="521"/>
        <v>5</v>
      </c>
      <c r="AE6223" s="580">
        <f t="shared" si="522"/>
        <v>2.5</v>
      </c>
      <c r="AF6223" s="580">
        <f t="shared" si="523"/>
        <v>2.5</v>
      </c>
      <c r="AG6223" s="580">
        <f t="shared" si="524"/>
        <v>0</v>
      </c>
      <c r="AH6223" s="580">
        <f t="shared" si="525"/>
        <v>0</v>
      </c>
    </row>
    <row r="6224" spans="28:34">
      <c r="AB6224" s="580">
        <f>HLOOKUP("*"&amp;'Output annual'!$AC$2&amp;'Output annual'!$AD$2&amp;"*Zone People Number Of Occupants [](Hourly)",'Eplus results'!$1:$1048576,ROW(),FALSE)</f>
        <v>0</v>
      </c>
      <c r="AC6224" s="580">
        <f>HLOOKUP("*"&amp;'Output annual'!$AC$2&amp;'Output annual'!$AD$2&amp;"*FangerPMV(Hourly)",'Eplus results'!$1:$1048576,ROW(),FALSE)</f>
        <v>0</v>
      </c>
      <c r="AD6224" s="580">
        <f t="shared" si="521"/>
        <v>5</v>
      </c>
      <c r="AE6224" s="580">
        <f t="shared" si="522"/>
        <v>2.5</v>
      </c>
      <c r="AF6224" s="580">
        <f t="shared" si="523"/>
        <v>2.5</v>
      </c>
      <c r="AG6224" s="580">
        <f t="shared" si="524"/>
        <v>0</v>
      </c>
      <c r="AH6224" s="580">
        <f t="shared" si="525"/>
        <v>0</v>
      </c>
    </row>
    <row r="6225" spans="28:34">
      <c r="AB6225" s="580">
        <f>HLOOKUP("*"&amp;'Output annual'!$AC$2&amp;'Output annual'!$AD$2&amp;"*Zone People Number Of Occupants [](Hourly)",'Eplus results'!$1:$1048576,ROW(),FALSE)</f>
        <v>0</v>
      </c>
      <c r="AC6225" s="580">
        <f>HLOOKUP("*"&amp;'Output annual'!$AC$2&amp;'Output annual'!$AD$2&amp;"*FangerPMV(Hourly)",'Eplus results'!$1:$1048576,ROW(),FALSE)</f>
        <v>0</v>
      </c>
      <c r="AD6225" s="580">
        <f t="shared" si="521"/>
        <v>5</v>
      </c>
      <c r="AE6225" s="580">
        <f t="shared" si="522"/>
        <v>2.5</v>
      </c>
      <c r="AF6225" s="580">
        <f t="shared" si="523"/>
        <v>2.5</v>
      </c>
      <c r="AG6225" s="580">
        <f t="shared" si="524"/>
        <v>0</v>
      </c>
      <c r="AH6225" s="580">
        <f t="shared" si="525"/>
        <v>0</v>
      </c>
    </row>
    <row r="6226" spans="28:34">
      <c r="AB6226" s="580">
        <f>HLOOKUP("*"&amp;'Output annual'!$AC$2&amp;'Output annual'!$AD$2&amp;"*Zone People Number Of Occupants [](Hourly)",'Eplus results'!$1:$1048576,ROW(),FALSE)</f>
        <v>0</v>
      </c>
      <c r="AC6226" s="580">
        <f>HLOOKUP("*"&amp;'Output annual'!$AC$2&amp;'Output annual'!$AD$2&amp;"*FangerPMV(Hourly)",'Eplus results'!$1:$1048576,ROW(),FALSE)</f>
        <v>0</v>
      </c>
      <c r="AD6226" s="580">
        <f t="shared" si="521"/>
        <v>5</v>
      </c>
      <c r="AE6226" s="580">
        <f t="shared" si="522"/>
        <v>2.5</v>
      </c>
      <c r="AF6226" s="580">
        <f t="shared" si="523"/>
        <v>2.5</v>
      </c>
      <c r="AG6226" s="580">
        <f t="shared" si="524"/>
        <v>0</v>
      </c>
      <c r="AH6226" s="580">
        <f t="shared" si="525"/>
        <v>0</v>
      </c>
    </row>
    <row r="6227" spans="28:34">
      <c r="AB6227" s="580">
        <f>HLOOKUP("*"&amp;'Output annual'!$AC$2&amp;'Output annual'!$AD$2&amp;"*Zone People Number Of Occupants [](Hourly)",'Eplus results'!$1:$1048576,ROW(),FALSE)</f>
        <v>0</v>
      </c>
      <c r="AC6227" s="580">
        <f>HLOOKUP("*"&amp;'Output annual'!$AC$2&amp;'Output annual'!$AD$2&amp;"*FangerPMV(Hourly)",'Eplus results'!$1:$1048576,ROW(),FALSE)</f>
        <v>0</v>
      </c>
      <c r="AD6227" s="580">
        <f t="shared" si="521"/>
        <v>5</v>
      </c>
      <c r="AE6227" s="580">
        <f t="shared" si="522"/>
        <v>2.5</v>
      </c>
      <c r="AF6227" s="580">
        <f t="shared" si="523"/>
        <v>2.5</v>
      </c>
      <c r="AG6227" s="580">
        <f t="shared" si="524"/>
        <v>0</v>
      </c>
      <c r="AH6227" s="580">
        <f t="shared" si="525"/>
        <v>0</v>
      </c>
    </row>
    <row r="6228" spans="28:34">
      <c r="AB6228" s="580">
        <f>HLOOKUP("*"&amp;'Output annual'!$AC$2&amp;'Output annual'!$AD$2&amp;"*Zone People Number Of Occupants [](Hourly)",'Eplus results'!$1:$1048576,ROW(),FALSE)</f>
        <v>0</v>
      </c>
      <c r="AC6228" s="580">
        <f>HLOOKUP("*"&amp;'Output annual'!$AC$2&amp;'Output annual'!$AD$2&amp;"*FangerPMV(Hourly)",'Eplus results'!$1:$1048576,ROW(),FALSE)</f>
        <v>0</v>
      </c>
      <c r="AD6228" s="580">
        <f t="shared" si="521"/>
        <v>5</v>
      </c>
      <c r="AE6228" s="580">
        <f t="shared" si="522"/>
        <v>2.5</v>
      </c>
      <c r="AF6228" s="580">
        <f t="shared" si="523"/>
        <v>2.5</v>
      </c>
      <c r="AG6228" s="580">
        <f t="shared" si="524"/>
        <v>0</v>
      </c>
      <c r="AH6228" s="580">
        <f t="shared" si="525"/>
        <v>0</v>
      </c>
    </row>
    <row r="6229" spans="28:34">
      <c r="AB6229" s="580">
        <f>HLOOKUP("*"&amp;'Output annual'!$AC$2&amp;'Output annual'!$AD$2&amp;"*Zone People Number Of Occupants [](Hourly)",'Eplus results'!$1:$1048576,ROW(),FALSE)</f>
        <v>0</v>
      </c>
      <c r="AC6229" s="580">
        <f>HLOOKUP("*"&amp;'Output annual'!$AC$2&amp;'Output annual'!$AD$2&amp;"*FangerPMV(Hourly)",'Eplus results'!$1:$1048576,ROW(),FALSE)</f>
        <v>0</v>
      </c>
      <c r="AD6229" s="580">
        <f t="shared" si="521"/>
        <v>5</v>
      </c>
      <c r="AE6229" s="580">
        <f t="shared" si="522"/>
        <v>2.5</v>
      </c>
      <c r="AF6229" s="580">
        <f t="shared" si="523"/>
        <v>2.5</v>
      </c>
      <c r="AG6229" s="580">
        <f t="shared" si="524"/>
        <v>0</v>
      </c>
      <c r="AH6229" s="580">
        <f t="shared" si="525"/>
        <v>0</v>
      </c>
    </row>
    <row r="6230" spans="28:34">
      <c r="AB6230" s="580">
        <f>HLOOKUP("*"&amp;'Output annual'!$AC$2&amp;'Output annual'!$AD$2&amp;"*Zone People Number Of Occupants [](Hourly)",'Eplus results'!$1:$1048576,ROW(),FALSE)</f>
        <v>0</v>
      </c>
      <c r="AC6230" s="580">
        <f>HLOOKUP("*"&amp;'Output annual'!$AC$2&amp;'Output annual'!$AD$2&amp;"*FangerPMV(Hourly)",'Eplus results'!$1:$1048576,ROW(),FALSE)</f>
        <v>0</v>
      </c>
      <c r="AD6230" s="580">
        <f t="shared" si="521"/>
        <v>5</v>
      </c>
      <c r="AE6230" s="580">
        <f t="shared" si="522"/>
        <v>2.5</v>
      </c>
      <c r="AF6230" s="580">
        <f t="shared" si="523"/>
        <v>2.5</v>
      </c>
      <c r="AG6230" s="580">
        <f t="shared" si="524"/>
        <v>0</v>
      </c>
      <c r="AH6230" s="580">
        <f t="shared" si="525"/>
        <v>0</v>
      </c>
    </row>
    <row r="6231" spans="28:34">
      <c r="AB6231" s="580">
        <f>HLOOKUP("*"&amp;'Output annual'!$AC$2&amp;'Output annual'!$AD$2&amp;"*Zone People Number Of Occupants [](Hourly)",'Eplus results'!$1:$1048576,ROW(),FALSE)</f>
        <v>0</v>
      </c>
      <c r="AC6231" s="580">
        <f>HLOOKUP("*"&amp;'Output annual'!$AC$2&amp;'Output annual'!$AD$2&amp;"*FangerPMV(Hourly)",'Eplus results'!$1:$1048576,ROW(),FALSE)</f>
        <v>0</v>
      </c>
      <c r="AD6231" s="580">
        <f t="shared" si="521"/>
        <v>5</v>
      </c>
      <c r="AE6231" s="580">
        <f t="shared" si="522"/>
        <v>2.5</v>
      </c>
      <c r="AF6231" s="580">
        <f t="shared" si="523"/>
        <v>2.5</v>
      </c>
      <c r="AG6231" s="580">
        <f t="shared" si="524"/>
        <v>0</v>
      </c>
      <c r="AH6231" s="580">
        <f t="shared" si="525"/>
        <v>0</v>
      </c>
    </row>
    <row r="6232" spans="28:34">
      <c r="AB6232" s="580">
        <f>HLOOKUP("*"&amp;'Output annual'!$AC$2&amp;'Output annual'!$AD$2&amp;"*Zone People Number Of Occupants [](Hourly)",'Eplus results'!$1:$1048576,ROW(),FALSE)</f>
        <v>0</v>
      </c>
      <c r="AC6232" s="580">
        <f>HLOOKUP("*"&amp;'Output annual'!$AC$2&amp;'Output annual'!$AD$2&amp;"*FangerPMV(Hourly)",'Eplus results'!$1:$1048576,ROW(),FALSE)</f>
        <v>0</v>
      </c>
      <c r="AD6232" s="580">
        <f t="shared" si="521"/>
        <v>5</v>
      </c>
      <c r="AE6232" s="580">
        <f t="shared" si="522"/>
        <v>2.5</v>
      </c>
      <c r="AF6232" s="580">
        <f t="shared" si="523"/>
        <v>2.5</v>
      </c>
      <c r="AG6232" s="580">
        <f t="shared" si="524"/>
        <v>0</v>
      </c>
      <c r="AH6232" s="580">
        <f t="shared" si="525"/>
        <v>0</v>
      </c>
    </row>
    <row r="6233" spans="28:34">
      <c r="AB6233" s="580">
        <f>HLOOKUP("*"&amp;'Output annual'!$AC$2&amp;'Output annual'!$AD$2&amp;"*Zone People Number Of Occupants [](Hourly)",'Eplus results'!$1:$1048576,ROW(),FALSE)</f>
        <v>0</v>
      </c>
      <c r="AC6233" s="580">
        <f>HLOOKUP("*"&amp;'Output annual'!$AC$2&amp;'Output annual'!$AD$2&amp;"*FangerPMV(Hourly)",'Eplus results'!$1:$1048576,ROW(),FALSE)</f>
        <v>0</v>
      </c>
      <c r="AD6233" s="580">
        <f t="shared" si="521"/>
        <v>5</v>
      </c>
      <c r="AE6233" s="580">
        <f t="shared" si="522"/>
        <v>2.5</v>
      </c>
      <c r="AF6233" s="580">
        <f t="shared" si="523"/>
        <v>2.5</v>
      </c>
      <c r="AG6233" s="580">
        <f t="shared" si="524"/>
        <v>0</v>
      </c>
      <c r="AH6233" s="580">
        <f t="shared" si="525"/>
        <v>0</v>
      </c>
    </row>
    <row r="6234" spans="28:34">
      <c r="AB6234" s="580">
        <f>HLOOKUP("*"&amp;'Output annual'!$AC$2&amp;'Output annual'!$AD$2&amp;"*Zone People Number Of Occupants [](Hourly)",'Eplus results'!$1:$1048576,ROW(),FALSE)</f>
        <v>0</v>
      </c>
      <c r="AC6234" s="580">
        <f>HLOOKUP("*"&amp;'Output annual'!$AC$2&amp;'Output annual'!$AD$2&amp;"*FangerPMV(Hourly)",'Eplus results'!$1:$1048576,ROW(),FALSE)</f>
        <v>0</v>
      </c>
      <c r="AD6234" s="580">
        <f t="shared" si="521"/>
        <v>5</v>
      </c>
      <c r="AE6234" s="580">
        <f t="shared" si="522"/>
        <v>2.5</v>
      </c>
      <c r="AF6234" s="580">
        <f t="shared" si="523"/>
        <v>2.5</v>
      </c>
      <c r="AG6234" s="580">
        <f t="shared" si="524"/>
        <v>0</v>
      </c>
      <c r="AH6234" s="580">
        <f t="shared" si="525"/>
        <v>0</v>
      </c>
    </row>
    <row r="6235" spans="28:34">
      <c r="AB6235" s="580">
        <f>HLOOKUP("*"&amp;'Output annual'!$AC$2&amp;'Output annual'!$AD$2&amp;"*Zone People Number Of Occupants [](Hourly)",'Eplus results'!$1:$1048576,ROW(),FALSE)</f>
        <v>0</v>
      </c>
      <c r="AC6235" s="580">
        <f>HLOOKUP("*"&amp;'Output annual'!$AC$2&amp;'Output annual'!$AD$2&amp;"*FangerPMV(Hourly)",'Eplus results'!$1:$1048576,ROW(),FALSE)</f>
        <v>0</v>
      </c>
      <c r="AD6235" s="580">
        <f t="shared" si="521"/>
        <v>5</v>
      </c>
      <c r="AE6235" s="580">
        <f t="shared" si="522"/>
        <v>2.5</v>
      </c>
      <c r="AF6235" s="580">
        <f t="shared" si="523"/>
        <v>2.5</v>
      </c>
      <c r="AG6235" s="580">
        <f t="shared" si="524"/>
        <v>0</v>
      </c>
      <c r="AH6235" s="580">
        <f t="shared" si="525"/>
        <v>0</v>
      </c>
    </row>
    <row r="6236" spans="28:34">
      <c r="AB6236" s="580">
        <f>HLOOKUP("*"&amp;'Output annual'!$AC$2&amp;'Output annual'!$AD$2&amp;"*Zone People Number Of Occupants [](Hourly)",'Eplus results'!$1:$1048576,ROW(),FALSE)</f>
        <v>0</v>
      </c>
      <c r="AC6236" s="580">
        <f>HLOOKUP("*"&amp;'Output annual'!$AC$2&amp;'Output annual'!$AD$2&amp;"*FangerPMV(Hourly)",'Eplus results'!$1:$1048576,ROW(),FALSE)</f>
        <v>0</v>
      </c>
      <c r="AD6236" s="580">
        <f t="shared" si="521"/>
        <v>5</v>
      </c>
      <c r="AE6236" s="580">
        <f t="shared" si="522"/>
        <v>2.5</v>
      </c>
      <c r="AF6236" s="580">
        <f t="shared" si="523"/>
        <v>2.5</v>
      </c>
      <c r="AG6236" s="580">
        <f t="shared" si="524"/>
        <v>0</v>
      </c>
      <c r="AH6236" s="580">
        <f t="shared" si="525"/>
        <v>0</v>
      </c>
    </row>
    <row r="6237" spans="28:34">
      <c r="AB6237" s="580">
        <f>HLOOKUP("*"&amp;'Output annual'!$AC$2&amp;'Output annual'!$AD$2&amp;"*Zone People Number Of Occupants [](Hourly)",'Eplus results'!$1:$1048576,ROW(),FALSE)</f>
        <v>0</v>
      </c>
      <c r="AC6237" s="580">
        <f>HLOOKUP("*"&amp;'Output annual'!$AC$2&amp;'Output annual'!$AD$2&amp;"*FangerPMV(Hourly)",'Eplus results'!$1:$1048576,ROW(),FALSE)</f>
        <v>0</v>
      </c>
      <c r="AD6237" s="580">
        <f t="shared" si="521"/>
        <v>5</v>
      </c>
      <c r="AE6237" s="580">
        <f t="shared" si="522"/>
        <v>2.5</v>
      </c>
      <c r="AF6237" s="580">
        <f t="shared" si="523"/>
        <v>2.5</v>
      </c>
      <c r="AG6237" s="580">
        <f t="shared" si="524"/>
        <v>0</v>
      </c>
      <c r="AH6237" s="580">
        <f t="shared" si="525"/>
        <v>0</v>
      </c>
    </row>
    <row r="6238" spans="28:34">
      <c r="AB6238" s="580">
        <f>HLOOKUP("*"&amp;'Output annual'!$AC$2&amp;'Output annual'!$AD$2&amp;"*Zone People Number Of Occupants [](Hourly)",'Eplus results'!$1:$1048576,ROW(),FALSE)</f>
        <v>0</v>
      </c>
      <c r="AC6238" s="580">
        <f>HLOOKUP("*"&amp;'Output annual'!$AC$2&amp;'Output annual'!$AD$2&amp;"*FangerPMV(Hourly)",'Eplus results'!$1:$1048576,ROW(),FALSE)</f>
        <v>0</v>
      </c>
      <c r="AD6238" s="580">
        <f t="shared" si="521"/>
        <v>5</v>
      </c>
      <c r="AE6238" s="580">
        <f t="shared" si="522"/>
        <v>2.5</v>
      </c>
      <c r="AF6238" s="580">
        <f t="shared" si="523"/>
        <v>2.5</v>
      </c>
      <c r="AG6238" s="580">
        <f t="shared" si="524"/>
        <v>0</v>
      </c>
      <c r="AH6238" s="580">
        <f t="shared" si="525"/>
        <v>0</v>
      </c>
    </row>
    <row r="6239" spans="28:34">
      <c r="AB6239" s="580">
        <f>HLOOKUP("*"&amp;'Output annual'!$AC$2&amp;'Output annual'!$AD$2&amp;"*Zone People Number Of Occupants [](Hourly)",'Eplus results'!$1:$1048576,ROW(),FALSE)</f>
        <v>0</v>
      </c>
      <c r="AC6239" s="580">
        <f>HLOOKUP("*"&amp;'Output annual'!$AC$2&amp;'Output annual'!$AD$2&amp;"*FangerPMV(Hourly)",'Eplus results'!$1:$1048576,ROW(),FALSE)</f>
        <v>0</v>
      </c>
      <c r="AD6239" s="580">
        <f t="shared" si="521"/>
        <v>5</v>
      </c>
      <c r="AE6239" s="580">
        <f t="shared" si="522"/>
        <v>2.5</v>
      </c>
      <c r="AF6239" s="580">
        <f t="shared" si="523"/>
        <v>2.5</v>
      </c>
      <c r="AG6239" s="580">
        <f t="shared" si="524"/>
        <v>0</v>
      </c>
      <c r="AH6239" s="580">
        <f t="shared" si="525"/>
        <v>0</v>
      </c>
    </row>
    <row r="6240" spans="28:34">
      <c r="AB6240" s="580">
        <f>HLOOKUP("*"&amp;'Output annual'!$AC$2&amp;'Output annual'!$AD$2&amp;"*Zone People Number Of Occupants [](Hourly)",'Eplus results'!$1:$1048576,ROW(),FALSE)</f>
        <v>0</v>
      </c>
      <c r="AC6240" s="580">
        <f>HLOOKUP("*"&amp;'Output annual'!$AC$2&amp;'Output annual'!$AD$2&amp;"*FangerPMV(Hourly)",'Eplus results'!$1:$1048576,ROW(),FALSE)</f>
        <v>0</v>
      </c>
      <c r="AD6240" s="580">
        <f t="shared" si="521"/>
        <v>5</v>
      </c>
      <c r="AE6240" s="580">
        <f t="shared" si="522"/>
        <v>2.5</v>
      </c>
      <c r="AF6240" s="580">
        <f t="shared" si="523"/>
        <v>2.5</v>
      </c>
      <c r="AG6240" s="580">
        <f t="shared" si="524"/>
        <v>0</v>
      </c>
      <c r="AH6240" s="580">
        <f t="shared" si="525"/>
        <v>0</v>
      </c>
    </row>
    <row r="6241" spans="28:34">
      <c r="AB6241" s="580">
        <f>HLOOKUP("*"&amp;'Output annual'!$AC$2&amp;'Output annual'!$AD$2&amp;"*Zone People Number Of Occupants [](Hourly)",'Eplus results'!$1:$1048576,ROW(),FALSE)</f>
        <v>0</v>
      </c>
      <c r="AC6241" s="580">
        <f>HLOOKUP("*"&amp;'Output annual'!$AC$2&amp;'Output annual'!$AD$2&amp;"*FangerPMV(Hourly)",'Eplus results'!$1:$1048576,ROW(),FALSE)</f>
        <v>0</v>
      </c>
      <c r="AD6241" s="580">
        <f t="shared" si="521"/>
        <v>5</v>
      </c>
      <c r="AE6241" s="580">
        <f t="shared" si="522"/>
        <v>2.5</v>
      </c>
      <c r="AF6241" s="580">
        <f t="shared" si="523"/>
        <v>2.5</v>
      </c>
      <c r="AG6241" s="580">
        <f t="shared" si="524"/>
        <v>0</v>
      </c>
      <c r="AH6241" s="580">
        <f t="shared" si="525"/>
        <v>0</v>
      </c>
    </row>
    <row r="6242" spans="28:34">
      <c r="AB6242" s="580">
        <f>HLOOKUP("*"&amp;'Output annual'!$AC$2&amp;'Output annual'!$AD$2&amp;"*Zone People Number Of Occupants [](Hourly)",'Eplus results'!$1:$1048576,ROW(),FALSE)</f>
        <v>0</v>
      </c>
      <c r="AC6242" s="580">
        <f>HLOOKUP("*"&amp;'Output annual'!$AC$2&amp;'Output annual'!$AD$2&amp;"*FangerPMV(Hourly)",'Eplus results'!$1:$1048576,ROW(),FALSE)</f>
        <v>0</v>
      </c>
      <c r="AD6242" s="580">
        <f t="shared" si="521"/>
        <v>5</v>
      </c>
      <c r="AE6242" s="580">
        <f t="shared" si="522"/>
        <v>2.5</v>
      </c>
      <c r="AF6242" s="580">
        <f t="shared" si="523"/>
        <v>2.5</v>
      </c>
      <c r="AG6242" s="580">
        <f t="shared" si="524"/>
        <v>0</v>
      </c>
      <c r="AH6242" s="580">
        <f t="shared" si="525"/>
        <v>0</v>
      </c>
    </row>
    <row r="6243" spans="28:34">
      <c r="AB6243" s="580">
        <f>HLOOKUP("*"&amp;'Output annual'!$AC$2&amp;'Output annual'!$AD$2&amp;"*Zone People Number Of Occupants [](Hourly)",'Eplus results'!$1:$1048576,ROW(),FALSE)</f>
        <v>0</v>
      </c>
      <c r="AC6243" s="580">
        <f>HLOOKUP("*"&amp;'Output annual'!$AC$2&amp;'Output annual'!$AD$2&amp;"*FangerPMV(Hourly)",'Eplus results'!$1:$1048576,ROW(),FALSE)</f>
        <v>0</v>
      </c>
      <c r="AD6243" s="580">
        <f t="shared" si="521"/>
        <v>5</v>
      </c>
      <c r="AE6243" s="580">
        <f t="shared" si="522"/>
        <v>2.5</v>
      </c>
      <c r="AF6243" s="580">
        <f t="shared" si="523"/>
        <v>2.5</v>
      </c>
      <c r="AG6243" s="580">
        <f t="shared" si="524"/>
        <v>0</v>
      </c>
      <c r="AH6243" s="580">
        <f t="shared" si="525"/>
        <v>0</v>
      </c>
    </row>
    <row r="6244" spans="28:34">
      <c r="AB6244" s="580">
        <f>HLOOKUP("*"&amp;'Output annual'!$AC$2&amp;'Output annual'!$AD$2&amp;"*Zone People Number Of Occupants [](Hourly)",'Eplus results'!$1:$1048576,ROW(),FALSE)</f>
        <v>0</v>
      </c>
      <c r="AC6244" s="580">
        <f>HLOOKUP("*"&amp;'Output annual'!$AC$2&amp;'Output annual'!$AD$2&amp;"*FangerPMV(Hourly)",'Eplus results'!$1:$1048576,ROW(),FALSE)</f>
        <v>0</v>
      </c>
      <c r="AD6244" s="580">
        <f t="shared" si="521"/>
        <v>5</v>
      </c>
      <c r="AE6244" s="580">
        <f t="shared" si="522"/>
        <v>2.5</v>
      </c>
      <c r="AF6244" s="580">
        <f t="shared" si="523"/>
        <v>2.5</v>
      </c>
      <c r="AG6244" s="580">
        <f t="shared" si="524"/>
        <v>0</v>
      </c>
      <c r="AH6244" s="580">
        <f t="shared" si="525"/>
        <v>0</v>
      </c>
    </row>
    <row r="6245" spans="28:34">
      <c r="AB6245" s="580">
        <f>HLOOKUP("*"&amp;'Output annual'!$AC$2&amp;'Output annual'!$AD$2&amp;"*Zone People Number Of Occupants [](Hourly)",'Eplus results'!$1:$1048576,ROW(),FALSE)</f>
        <v>0</v>
      </c>
      <c r="AC6245" s="580">
        <f>HLOOKUP("*"&amp;'Output annual'!$AC$2&amp;'Output annual'!$AD$2&amp;"*FangerPMV(Hourly)",'Eplus results'!$1:$1048576,ROW(),FALSE)</f>
        <v>0</v>
      </c>
      <c r="AD6245" s="580">
        <f t="shared" si="521"/>
        <v>5</v>
      </c>
      <c r="AE6245" s="580">
        <f t="shared" si="522"/>
        <v>2.5</v>
      </c>
      <c r="AF6245" s="580">
        <f t="shared" si="523"/>
        <v>2.5</v>
      </c>
      <c r="AG6245" s="580">
        <f t="shared" si="524"/>
        <v>0</v>
      </c>
      <c r="AH6245" s="580">
        <f t="shared" si="525"/>
        <v>0</v>
      </c>
    </row>
    <row r="6246" spans="28:34">
      <c r="AB6246" s="580">
        <f>HLOOKUP("*"&amp;'Output annual'!$AC$2&amp;'Output annual'!$AD$2&amp;"*Zone People Number Of Occupants [](Hourly)",'Eplus results'!$1:$1048576,ROW(),FALSE)</f>
        <v>0</v>
      </c>
      <c r="AC6246" s="580">
        <f>HLOOKUP("*"&amp;'Output annual'!$AC$2&amp;'Output annual'!$AD$2&amp;"*FangerPMV(Hourly)",'Eplus results'!$1:$1048576,ROW(),FALSE)</f>
        <v>0</v>
      </c>
      <c r="AD6246" s="580">
        <f t="shared" si="521"/>
        <v>5</v>
      </c>
      <c r="AE6246" s="580">
        <f t="shared" si="522"/>
        <v>2.5</v>
      </c>
      <c r="AF6246" s="580">
        <f t="shared" si="523"/>
        <v>2.5</v>
      </c>
      <c r="AG6246" s="580">
        <f t="shared" si="524"/>
        <v>0</v>
      </c>
      <c r="AH6246" s="580">
        <f t="shared" si="525"/>
        <v>0</v>
      </c>
    </row>
    <row r="6247" spans="28:34">
      <c r="AB6247" s="580">
        <f>HLOOKUP("*"&amp;'Output annual'!$AC$2&amp;'Output annual'!$AD$2&amp;"*Zone People Number Of Occupants [](Hourly)",'Eplus results'!$1:$1048576,ROW(),FALSE)</f>
        <v>0</v>
      </c>
      <c r="AC6247" s="580">
        <f>HLOOKUP("*"&amp;'Output annual'!$AC$2&amp;'Output annual'!$AD$2&amp;"*FangerPMV(Hourly)",'Eplus results'!$1:$1048576,ROW(),FALSE)</f>
        <v>0</v>
      </c>
      <c r="AD6247" s="580">
        <f t="shared" si="521"/>
        <v>5</v>
      </c>
      <c r="AE6247" s="580">
        <f t="shared" si="522"/>
        <v>2.5</v>
      </c>
      <c r="AF6247" s="580">
        <f t="shared" si="523"/>
        <v>2.5</v>
      </c>
      <c r="AG6247" s="580">
        <f t="shared" si="524"/>
        <v>0</v>
      </c>
      <c r="AH6247" s="580">
        <f t="shared" si="525"/>
        <v>0</v>
      </c>
    </row>
    <row r="6248" spans="28:34">
      <c r="AB6248" s="580">
        <f>HLOOKUP("*"&amp;'Output annual'!$AC$2&amp;'Output annual'!$AD$2&amp;"*Zone People Number Of Occupants [](Hourly)",'Eplus results'!$1:$1048576,ROW(),FALSE)</f>
        <v>0</v>
      </c>
      <c r="AC6248" s="580">
        <f>HLOOKUP("*"&amp;'Output annual'!$AC$2&amp;'Output annual'!$AD$2&amp;"*FangerPMV(Hourly)",'Eplus results'!$1:$1048576,ROW(),FALSE)</f>
        <v>0</v>
      </c>
      <c r="AD6248" s="580">
        <f t="shared" si="521"/>
        <v>5</v>
      </c>
      <c r="AE6248" s="580">
        <f t="shared" si="522"/>
        <v>2.5</v>
      </c>
      <c r="AF6248" s="580">
        <f t="shared" si="523"/>
        <v>2.5</v>
      </c>
      <c r="AG6248" s="580">
        <f t="shared" si="524"/>
        <v>0</v>
      </c>
      <c r="AH6248" s="580">
        <f t="shared" si="525"/>
        <v>0</v>
      </c>
    </row>
    <row r="6249" spans="28:34">
      <c r="AB6249" s="580">
        <f>HLOOKUP("*"&amp;'Output annual'!$AC$2&amp;'Output annual'!$AD$2&amp;"*Zone People Number Of Occupants [](Hourly)",'Eplus results'!$1:$1048576,ROW(),FALSE)</f>
        <v>0</v>
      </c>
      <c r="AC6249" s="580">
        <f>HLOOKUP("*"&amp;'Output annual'!$AC$2&amp;'Output annual'!$AD$2&amp;"*FangerPMV(Hourly)",'Eplus results'!$1:$1048576,ROW(),FALSE)</f>
        <v>0</v>
      </c>
      <c r="AD6249" s="580">
        <f t="shared" si="521"/>
        <v>5</v>
      </c>
      <c r="AE6249" s="580">
        <f t="shared" si="522"/>
        <v>2.5</v>
      </c>
      <c r="AF6249" s="580">
        <f t="shared" si="523"/>
        <v>2.5</v>
      </c>
      <c r="AG6249" s="580">
        <f t="shared" si="524"/>
        <v>0</v>
      </c>
      <c r="AH6249" s="580">
        <f t="shared" si="525"/>
        <v>0</v>
      </c>
    </row>
    <row r="6250" spans="28:34">
      <c r="AB6250" s="580">
        <f>HLOOKUP("*"&amp;'Output annual'!$AC$2&amp;'Output annual'!$AD$2&amp;"*Zone People Number Of Occupants [](Hourly)",'Eplus results'!$1:$1048576,ROW(),FALSE)</f>
        <v>0</v>
      </c>
      <c r="AC6250" s="580">
        <f>HLOOKUP("*"&amp;'Output annual'!$AC$2&amp;'Output annual'!$AD$2&amp;"*FangerPMV(Hourly)",'Eplus results'!$1:$1048576,ROW(),FALSE)</f>
        <v>0</v>
      </c>
      <c r="AD6250" s="580">
        <f t="shared" si="521"/>
        <v>5</v>
      </c>
      <c r="AE6250" s="580">
        <f t="shared" si="522"/>
        <v>2.5</v>
      </c>
      <c r="AF6250" s="580">
        <f t="shared" si="523"/>
        <v>2.5</v>
      </c>
      <c r="AG6250" s="580">
        <f t="shared" si="524"/>
        <v>0</v>
      </c>
      <c r="AH6250" s="580">
        <f t="shared" si="525"/>
        <v>0</v>
      </c>
    </row>
    <row r="6251" spans="28:34">
      <c r="AB6251" s="580">
        <f>HLOOKUP("*"&amp;'Output annual'!$AC$2&amp;'Output annual'!$AD$2&amp;"*Zone People Number Of Occupants [](Hourly)",'Eplus results'!$1:$1048576,ROW(),FALSE)</f>
        <v>0</v>
      </c>
      <c r="AC6251" s="580">
        <f>HLOOKUP("*"&amp;'Output annual'!$AC$2&amp;'Output annual'!$AD$2&amp;"*FangerPMV(Hourly)",'Eplus results'!$1:$1048576,ROW(),FALSE)</f>
        <v>0</v>
      </c>
      <c r="AD6251" s="580">
        <f t="shared" si="521"/>
        <v>5</v>
      </c>
      <c r="AE6251" s="580">
        <f t="shared" si="522"/>
        <v>2.5</v>
      </c>
      <c r="AF6251" s="580">
        <f t="shared" si="523"/>
        <v>2.5</v>
      </c>
      <c r="AG6251" s="580">
        <f t="shared" si="524"/>
        <v>0</v>
      </c>
      <c r="AH6251" s="580">
        <f t="shared" si="525"/>
        <v>0</v>
      </c>
    </row>
    <row r="6252" spans="28:34">
      <c r="AB6252" s="580">
        <f>HLOOKUP("*"&amp;'Output annual'!$AC$2&amp;'Output annual'!$AD$2&amp;"*Zone People Number Of Occupants [](Hourly)",'Eplus results'!$1:$1048576,ROW(),FALSE)</f>
        <v>0</v>
      </c>
      <c r="AC6252" s="580">
        <f>HLOOKUP("*"&amp;'Output annual'!$AC$2&amp;'Output annual'!$AD$2&amp;"*FangerPMV(Hourly)",'Eplus results'!$1:$1048576,ROW(),FALSE)</f>
        <v>0</v>
      </c>
      <c r="AD6252" s="580">
        <f t="shared" si="521"/>
        <v>5</v>
      </c>
      <c r="AE6252" s="580">
        <f t="shared" si="522"/>
        <v>2.5</v>
      </c>
      <c r="AF6252" s="580">
        <f t="shared" si="523"/>
        <v>2.5</v>
      </c>
      <c r="AG6252" s="580">
        <f t="shared" si="524"/>
        <v>0</v>
      </c>
      <c r="AH6252" s="580">
        <f t="shared" si="525"/>
        <v>0</v>
      </c>
    </row>
    <row r="6253" spans="28:34">
      <c r="AB6253" s="580">
        <f>HLOOKUP("*"&amp;'Output annual'!$AC$2&amp;'Output annual'!$AD$2&amp;"*Zone People Number Of Occupants [](Hourly)",'Eplus results'!$1:$1048576,ROW(),FALSE)</f>
        <v>0</v>
      </c>
      <c r="AC6253" s="580">
        <f>HLOOKUP("*"&amp;'Output annual'!$AC$2&amp;'Output annual'!$AD$2&amp;"*FangerPMV(Hourly)",'Eplus results'!$1:$1048576,ROW(),FALSE)</f>
        <v>0</v>
      </c>
      <c r="AD6253" s="580">
        <f t="shared" si="521"/>
        <v>5</v>
      </c>
      <c r="AE6253" s="580">
        <f t="shared" si="522"/>
        <v>2.5</v>
      </c>
      <c r="AF6253" s="580">
        <f t="shared" si="523"/>
        <v>2.5</v>
      </c>
      <c r="AG6253" s="580">
        <f t="shared" si="524"/>
        <v>0</v>
      </c>
      <c r="AH6253" s="580">
        <f t="shared" si="525"/>
        <v>0</v>
      </c>
    </row>
    <row r="6254" spans="28:34">
      <c r="AB6254" s="580">
        <f>HLOOKUP("*"&amp;'Output annual'!$AC$2&amp;'Output annual'!$AD$2&amp;"*Zone People Number Of Occupants [](Hourly)",'Eplus results'!$1:$1048576,ROW(),FALSE)</f>
        <v>0</v>
      </c>
      <c r="AC6254" s="580">
        <f>HLOOKUP("*"&amp;'Output annual'!$AC$2&amp;'Output annual'!$AD$2&amp;"*FangerPMV(Hourly)",'Eplus results'!$1:$1048576,ROW(),FALSE)</f>
        <v>0</v>
      </c>
      <c r="AD6254" s="580">
        <f t="shared" si="521"/>
        <v>5</v>
      </c>
      <c r="AE6254" s="580">
        <f t="shared" si="522"/>
        <v>2.5</v>
      </c>
      <c r="AF6254" s="580">
        <f t="shared" si="523"/>
        <v>2.5</v>
      </c>
      <c r="AG6254" s="580">
        <f t="shared" si="524"/>
        <v>0</v>
      </c>
      <c r="AH6254" s="580">
        <f t="shared" si="525"/>
        <v>0</v>
      </c>
    </row>
    <row r="6255" spans="28:34">
      <c r="AB6255" s="580">
        <f>HLOOKUP("*"&amp;'Output annual'!$AC$2&amp;'Output annual'!$AD$2&amp;"*Zone People Number Of Occupants [](Hourly)",'Eplus results'!$1:$1048576,ROW(),FALSE)</f>
        <v>0</v>
      </c>
      <c r="AC6255" s="580">
        <f>HLOOKUP("*"&amp;'Output annual'!$AC$2&amp;'Output annual'!$AD$2&amp;"*FangerPMV(Hourly)",'Eplus results'!$1:$1048576,ROW(),FALSE)</f>
        <v>0</v>
      </c>
      <c r="AD6255" s="580">
        <f t="shared" si="521"/>
        <v>5</v>
      </c>
      <c r="AE6255" s="580">
        <f t="shared" si="522"/>
        <v>2.5</v>
      </c>
      <c r="AF6255" s="580">
        <f t="shared" si="523"/>
        <v>2.5</v>
      </c>
      <c r="AG6255" s="580">
        <f t="shared" si="524"/>
        <v>0</v>
      </c>
      <c r="AH6255" s="580">
        <f t="shared" si="525"/>
        <v>0</v>
      </c>
    </row>
    <row r="6256" spans="28:34">
      <c r="AB6256" s="580">
        <f>HLOOKUP("*"&amp;'Output annual'!$AC$2&amp;'Output annual'!$AD$2&amp;"*Zone People Number Of Occupants [](Hourly)",'Eplus results'!$1:$1048576,ROW(),FALSE)</f>
        <v>0</v>
      </c>
      <c r="AC6256" s="580">
        <f>HLOOKUP("*"&amp;'Output annual'!$AC$2&amp;'Output annual'!$AD$2&amp;"*FangerPMV(Hourly)",'Eplus results'!$1:$1048576,ROW(),FALSE)</f>
        <v>0</v>
      </c>
      <c r="AD6256" s="580">
        <f t="shared" si="521"/>
        <v>5</v>
      </c>
      <c r="AE6256" s="580">
        <f t="shared" si="522"/>
        <v>2.5</v>
      </c>
      <c r="AF6256" s="580">
        <f t="shared" si="523"/>
        <v>2.5</v>
      </c>
      <c r="AG6256" s="580">
        <f t="shared" si="524"/>
        <v>0</v>
      </c>
      <c r="AH6256" s="580">
        <f t="shared" si="525"/>
        <v>0</v>
      </c>
    </row>
    <row r="6257" spans="28:34">
      <c r="AB6257" s="580">
        <f>HLOOKUP("*"&amp;'Output annual'!$AC$2&amp;'Output annual'!$AD$2&amp;"*Zone People Number Of Occupants [](Hourly)",'Eplus results'!$1:$1048576,ROW(),FALSE)</f>
        <v>0</v>
      </c>
      <c r="AC6257" s="580">
        <f>HLOOKUP("*"&amp;'Output annual'!$AC$2&amp;'Output annual'!$AD$2&amp;"*FangerPMV(Hourly)",'Eplus results'!$1:$1048576,ROW(),FALSE)</f>
        <v>0</v>
      </c>
      <c r="AD6257" s="580">
        <f t="shared" si="521"/>
        <v>5</v>
      </c>
      <c r="AE6257" s="580">
        <f t="shared" si="522"/>
        <v>2.5</v>
      </c>
      <c r="AF6257" s="580">
        <f t="shared" si="523"/>
        <v>2.5</v>
      </c>
      <c r="AG6257" s="580">
        <f t="shared" si="524"/>
        <v>0</v>
      </c>
      <c r="AH6257" s="580">
        <f t="shared" si="525"/>
        <v>0</v>
      </c>
    </row>
    <row r="6258" spans="28:34">
      <c r="AB6258" s="580">
        <f>HLOOKUP("*"&amp;'Output annual'!$AC$2&amp;'Output annual'!$AD$2&amp;"*Zone People Number Of Occupants [](Hourly)",'Eplus results'!$1:$1048576,ROW(),FALSE)</f>
        <v>0</v>
      </c>
      <c r="AC6258" s="580">
        <f>HLOOKUP("*"&amp;'Output annual'!$AC$2&amp;'Output annual'!$AD$2&amp;"*FangerPMV(Hourly)",'Eplus results'!$1:$1048576,ROW(),FALSE)</f>
        <v>0</v>
      </c>
      <c r="AD6258" s="580">
        <f t="shared" si="521"/>
        <v>5</v>
      </c>
      <c r="AE6258" s="580">
        <f t="shared" si="522"/>
        <v>2.5</v>
      </c>
      <c r="AF6258" s="580">
        <f t="shared" si="523"/>
        <v>2.5</v>
      </c>
      <c r="AG6258" s="580">
        <f t="shared" si="524"/>
        <v>0</v>
      </c>
      <c r="AH6258" s="580">
        <f t="shared" si="525"/>
        <v>0</v>
      </c>
    </row>
    <row r="6259" spans="28:34">
      <c r="AB6259" s="580">
        <f>HLOOKUP("*"&amp;'Output annual'!$AC$2&amp;'Output annual'!$AD$2&amp;"*Zone People Number Of Occupants [](Hourly)",'Eplus results'!$1:$1048576,ROW(),FALSE)</f>
        <v>0</v>
      </c>
      <c r="AC6259" s="580">
        <f>HLOOKUP("*"&amp;'Output annual'!$AC$2&amp;'Output annual'!$AD$2&amp;"*FangerPMV(Hourly)",'Eplus results'!$1:$1048576,ROW(),FALSE)</f>
        <v>0</v>
      </c>
      <c r="AD6259" s="580">
        <f t="shared" si="521"/>
        <v>5</v>
      </c>
      <c r="AE6259" s="580">
        <f t="shared" si="522"/>
        <v>2.5</v>
      </c>
      <c r="AF6259" s="580">
        <f t="shared" si="523"/>
        <v>2.5</v>
      </c>
      <c r="AG6259" s="580">
        <f t="shared" si="524"/>
        <v>0</v>
      </c>
      <c r="AH6259" s="580">
        <f t="shared" si="525"/>
        <v>0</v>
      </c>
    </row>
    <row r="6260" spans="28:34">
      <c r="AB6260" s="580">
        <f>HLOOKUP("*"&amp;'Output annual'!$AC$2&amp;'Output annual'!$AD$2&amp;"*Zone People Number Of Occupants [](Hourly)",'Eplus results'!$1:$1048576,ROW(),FALSE)</f>
        <v>0</v>
      </c>
      <c r="AC6260" s="580">
        <f>HLOOKUP("*"&amp;'Output annual'!$AC$2&amp;'Output annual'!$AD$2&amp;"*FangerPMV(Hourly)",'Eplus results'!$1:$1048576,ROW(),FALSE)</f>
        <v>0</v>
      </c>
      <c r="AD6260" s="580">
        <f t="shared" si="521"/>
        <v>5</v>
      </c>
      <c r="AE6260" s="580">
        <f t="shared" si="522"/>
        <v>2.5</v>
      </c>
      <c r="AF6260" s="580">
        <f t="shared" si="523"/>
        <v>2.5</v>
      </c>
      <c r="AG6260" s="580">
        <f t="shared" si="524"/>
        <v>0</v>
      </c>
      <c r="AH6260" s="580">
        <f t="shared" si="525"/>
        <v>0</v>
      </c>
    </row>
    <row r="6261" spans="28:34">
      <c r="AB6261" s="580">
        <f>HLOOKUP("*"&amp;'Output annual'!$AC$2&amp;'Output annual'!$AD$2&amp;"*Zone People Number Of Occupants [](Hourly)",'Eplus results'!$1:$1048576,ROW(),FALSE)</f>
        <v>0</v>
      </c>
      <c r="AC6261" s="580">
        <f>HLOOKUP("*"&amp;'Output annual'!$AC$2&amp;'Output annual'!$AD$2&amp;"*FangerPMV(Hourly)",'Eplus results'!$1:$1048576,ROW(),FALSE)</f>
        <v>0</v>
      </c>
      <c r="AD6261" s="580">
        <f t="shared" si="521"/>
        <v>5</v>
      </c>
      <c r="AE6261" s="580">
        <f t="shared" si="522"/>
        <v>2.5</v>
      </c>
      <c r="AF6261" s="580">
        <f t="shared" si="523"/>
        <v>2.5</v>
      </c>
      <c r="AG6261" s="580">
        <f t="shared" si="524"/>
        <v>0</v>
      </c>
      <c r="AH6261" s="580">
        <f t="shared" si="525"/>
        <v>0</v>
      </c>
    </row>
    <row r="6262" spans="28:34">
      <c r="AB6262" s="580">
        <f>HLOOKUP("*"&amp;'Output annual'!$AC$2&amp;'Output annual'!$AD$2&amp;"*Zone People Number Of Occupants [](Hourly)",'Eplus results'!$1:$1048576,ROW(),FALSE)</f>
        <v>0</v>
      </c>
      <c r="AC6262" s="580">
        <f>HLOOKUP("*"&amp;'Output annual'!$AC$2&amp;'Output annual'!$AD$2&amp;"*FangerPMV(Hourly)",'Eplus results'!$1:$1048576,ROW(),FALSE)</f>
        <v>0</v>
      </c>
      <c r="AD6262" s="580">
        <f t="shared" si="521"/>
        <v>5</v>
      </c>
      <c r="AE6262" s="580">
        <f t="shared" si="522"/>
        <v>2.5</v>
      </c>
      <c r="AF6262" s="580">
        <f t="shared" si="523"/>
        <v>2.5</v>
      </c>
      <c r="AG6262" s="580">
        <f t="shared" si="524"/>
        <v>0</v>
      </c>
      <c r="AH6262" s="580">
        <f t="shared" si="525"/>
        <v>0</v>
      </c>
    </row>
    <row r="6263" spans="28:34">
      <c r="AB6263" s="580">
        <f>HLOOKUP("*"&amp;'Output annual'!$AC$2&amp;'Output annual'!$AD$2&amp;"*Zone People Number Of Occupants [](Hourly)",'Eplus results'!$1:$1048576,ROW(),FALSE)</f>
        <v>0</v>
      </c>
      <c r="AC6263" s="580">
        <f>HLOOKUP("*"&amp;'Output annual'!$AC$2&amp;'Output annual'!$AD$2&amp;"*FangerPMV(Hourly)",'Eplus results'!$1:$1048576,ROW(),FALSE)</f>
        <v>0</v>
      </c>
      <c r="AD6263" s="580">
        <f t="shared" si="521"/>
        <v>5</v>
      </c>
      <c r="AE6263" s="580">
        <f t="shared" si="522"/>
        <v>2.5</v>
      </c>
      <c r="AF6263" s="580">
        <f t="shared" si="523"/>
        <v>2.5</v>
      </c>
      <c r="AG6263" s="580">
        <f t="shared" si="524"/>
        <v>0</v>
      </c>
      <c r="AH6263" s="580">
        <f t="shared" si="525"/>
        <v>0</v>
      </c>
    </row>
    <row r="6264" spans="28:34">
      <c r="AB6264" s="580">
        <f>HLOOKUP("*"&amp;'Output annual'!$AC$2&amp;'Output annual'!$AD$2&amp;"*Zone People Number Of Occupants [](Hourly)",'Eplus results'!$1:$1048576,ROW(),FALSE)</f>
        <v>0</v>
      </c>
      <c r="AC6264" s="580">
        <f>HLOOKUP("*"&amp;'Output annual'!$AC$2&amp;'Output annual'!$AD$2&amp;"*FangerPMV(Hourly)",'Eplus results'!$1:$1048576,ROW(),FALSE)</f>
        <v>0</v>
      </c>
      <c r="AD6264" s="580">
        <f t="shared" si="521"/>
        <v>5</v>
      </c>
      <c r="AE6264" s="580">
        <f t="shared" si="522"/>
        <v>2.5</v>
      </c>
      <c r="AF6264" s="580">
        <f t="shared" si="523"/>
        <v>2.5</v>
      </c>
      <c r="AG6264" s="580">
        <f t="shared" si="524"/>
        <v>0</v>
      </c>
      <c r="AH6264" s="580">
        <f t="shared" si="525"/>
        <v>0</v>
      </c>
    </row>
    <row r="6265" spans="28:34">
      <c r="AB6265" s="580">
        <f>HLOOKUP("*"&amp;'Output annual'!$AC$2&amp;'Output annual'!$AD$2&amp;"*Zone People Number Of Occupants [](Hourly)",'Eplus results'!$1:$1048576,ROW(),FALSE)</f>
        <v>0</v>
      </c>
      <c r="AC6265" s="580">
        <f>HLOOKUP("*"&amp;'Output annual'!$AC$2&amp;'Output annual'!$AD$2&amp;"*FangerPMV(Hourly)",'Eplus results'!$1:$1048576,ROW(),FALSE)</f>
        <v>0</v>
      </c>
      <c r="AD6265" s="580">
        <f t="shared" si="521"/>
        <v>5</v>
      </c>
      <c r="AE6265" s="580">
        <f t="shared" si="522"/>
        <v>2.5</v>
      </c>
      <c r="AF6265" s="580">
        <f t="shared" si="523"/>
        <v>2.5</v>
      </c>
      <c r="AG6265" s="580">
        <f t="shared" si="524"/>
        <v>0</v>
      </c>
      <c r="AH6265" s="580">
        <f t="shared" si="525"/>
        <v>0</v>
      </c>
    </row>
    <row r="6266" spans="28:34">
      <c r="AB6266" s="580">
        <f>HLOOKUP("*"&amp;'Output annual'!$AC$2&amp;'Output annual'!$AD$2&amp;"*Zone People Number Of Occupants [](Hourly)",'Eplus results'!$1:$1048576,ROW(),FALSE)</f>
        <v>0</v>
      </c>
      <c r="AC6266" s="580">
        <f>HLOOKUP("*"&amp;'Output annual'!$AC$2&amp;'Output annual'!$AD$2&amp;"*FangerPMV(Hourly)",'Eplus results'!$1:$1048576,ROW(),FALSE)</f>
        <v>0</v>
      </c>
      <c r="AD6266" s="580">
        <f t="shared" si="521"/>
        <v>5</v>
      </c>
      <c r="AE6266" s="580">
        <f t="shared" si="522"/>
        <v>2.5</v>
      </c>
      <c r="AF6266" s="580">
        <f t="shared" si="523"/>
        <v>2.5</v>
      </c>
      <c r="AG6266" s="580">
        <f t="shared" si="524"/>
        <v>0</v>
      </c>
      <c r="AH6266" s="580">
        <f t="shared" si="525"/>
        <v>0</v>
      </c>
    </row>
    <row r="6267" spans="28:34">
      <c r="AB6267" s="580">
        <f>HLOOKUP("*"&amp;'Output annual'!$AC$2&amp;'Output annual'!$AD$2&amp;"*Zone People Number Of Occupants [](Hourly)",'Eplus results'!$1:$1048576,ROW(),FALSE)</f>
        <v>0</v>
      </c>
      <c r="AC6267" s="580">
        <f>HLOOKUP("*"&amp;'Output annual'!$AC$2&amp;'Output annual'!$AD$2&amp;"*FangerPMV(Hourly)",'Eplus results'!$1:$1048576,ROW(),FALSE)</f>
        <v>0</v>
      </c>
      <c r="AD6267" s="580">
        <f t="shared" si="521"/>
        <v>5</v>
      </c>
      <c r="AE6267" s="580">
        <f t="shared" si="522"/>
        <v>2.5</v>
      </c>
      <c r="AF6267" s="580">
        <f t="shared" si="523"/>
        <v>2.5</v>
      </c>
      <c r="AG6267" s="580">
        <f t="shared" si="524"/>
        <v>0</v>
      </c>
      <c r="AH6267" s="580">
        <f t="shared" si="525"/>
        <v>0</v>
      </c>
    </row>
    <row r="6268" spans="28:34">
      <c r="AB6268" s="580">
        <f>HLOOKUP("*"&amp;'Output annual'!$AC$2&amp;'Output annual'!$AD$2&amp;"*Zone People Number Of Occupants [](Hourly)",'Eplus results'!$1:$1048576,ROW(),FALSE)</f>
        <v>0</v>
      </c>
      <c r="AC6268" s="580">
        <f>HLOOKUP("*"&amp;'Output annual'!$AC$2&amp;'Output annual'!$AD$2&amp;"*FangerPMV(Hourly)",'Eplus results'!$1:$1048576,ROW(),FALSE)</f>
        <v>0</v>
      </c>
      <c r="AD6268" s="580">
        <f t="shared" si="521"/>
        <v>5</v>
      </c>
      <c r="AE6268" s="580">
        <f t="shared" si="522"/>
        <v>2.5</v>
      </c>
      <c r="AF6268" s="580">
        <f t="shared" si="523"/>
        <v>2.5</v>
      </c>
      <c r="AG6268" s="580">
        <f t="shared" si="524"/>
        <v>0</v>
      </c>
      <c r="AH6268" s="580">
        <f t="shared" si="525"/>
        <v>0</v>
      </c>
    </row>
    <row r="6269" spans="28:34">
      <c r="AB6269" s="580">
        <f>HLOOKUP("*"&amp;'Output annual'!$AC$2&amp;'Output annual'!$AD$2&amp;"*Zone People Number Of Occupants [](Hourly)",'Eplus results'!$1:$1048576,ROW(),FALSE)</f>
        <v>0</v>
      </c>
      <c r="AC6269" s="580">
        <f>HLOOKUP("*"&amp;'Output annual'!$AC$2&amp;'Output annual'!$AD$2&amp;"*FangerPMV(Hourly)",'Eplus results'!$1:$1048576,ROW(),FALSE)</f>
        <v>0</v>
      </c>
      <c r="AD6269" s="580">
        <f t="shared" si="521"/>
        <v>5</v>
      </c>
      <c r="AE6269" s="580">
        <f t="shared" si="522"/>
        <v>2.5</v>
      </c>
      <c r="AF6269" s="580">
        <f t="shared" si="523"/>
        <v>2.5</v>
      </c>
      <c r="AG6269" s="580">
        <f t="shared" si="524"/>
        <v>0</v>
      </c>
      <c r="AH6269" s="580">
        <f t="shared" si="525"/>
        <v>0</v>
      </c>
    </row>
    <row r="6270" spans="28:34">
      <c r="AB6270" s="580">
        <f>HLOOKUP("*"&amp;'Output annual'!$AC$2&amp;'Output annual'!$AD$2&amp;"*Zone People Number Of Occupants [](Hourly)",'Eplus results'!$1:$1048576,ROW(),FALSE)</f>
        <v>0</v>
      </c>
      <c r="AC6270" s="580">
        <f>HLOOKUP("*"&amp;'Output annual'!$AC$2&amp;'Output annual'!$AD$2&amp;"*FangerPMV(Hourly)",'Eplus results'!$1:$1048576,ROW(),FALSE)</f>
        <v>0</v>
      </c>
      <c r="AD6270" s="580">
        <f t="shared" si="521"/>
        <v>5</v>
      </c>
      <c r="AE6270" s="580">
        <f t="shared" si="522"/>
        <v>2.5</v>
      </c>
      <c r="AF6270" s="580">
        <f t="shared" si="523"/>
        <v>2.5</v>
      </c>
      <c r="AG6270" s="580">
        <f t="shared" si="524"/>
        <v>0</v>
      </c>
      <c r="AH6270" s="580">
        <f t="shared" si="525"/>
        <v>0</v>
      </c>
    </row>
    <row r="6271" spans="28:34">
      <c r="AB6271" s="580">
        <f>HLOOKUP("*"&amp;'Output annual'!$AC$2&amp;'Output annual'!$AD$2&amp;"*Zone People Number Of Occupants [](Hourly)",'Eplus results'!$1:$1048576,ROW(),FALSE)</f>
        <v>0</v>
      </c>
      <c r="AC6271" s="580">
        <f>HLOOKUP("*"&amp;'Output annual'!$AC$2&amp;'Output annual'!$AD$2&amp;"*FangerPMV(Hourly)",'Eplus results'!$1:$1048576,ROW(),FALSE)</f>
        <v>0</v>
      </c>
      <c r="AD6271" s="580">
        <f t="shared" si="521"/>
        <v>5</v>
      </c>
      <c r="AE6271" s="580">
        <f t="shared" si="522"/>
        <v>2.5</v>
      </c>
      <c r="AF6271" s="580">
        <f t="shared" si="523"/>
        <v>2.5</v>
      </c>
      <c r="AG6271" s="580">
        <f t="shared" si="524"/>
        <v>0</v>
      </c>
      <c r="AH6271" s="580">
        <f t="shared" si="525"/>
        <v>0</v>
      </c>
    </row>
    <row r="6272" spans="28:34">
      <c r="AB6272" s="580">
        <f>HLOOKUP("*"&amp;'Output annual'!$AC$2&amp;'Output annual'!$AD$2&amp;"*Zone People Number Of Occupants [](Hourly)",'Eplus results'!$1:$1048576,ROW(),FALSE)</f>
        <v>0</v>
      </c>
      <c r="AC6272" s="580">
        <f>HLOOKUP("*"&amp;'Output annual'!$AC$2&amp;'Output annual'!$AD$2&amp;"*FangerPMV(Hourly)",'Eplus results'!$1:$1048576,ROW(),FALSE)</f>
        <v>0</v>
      </c>
      <c r="AD6272" s="580">
        <f t="shared" si="521"/>
        <v>5</v>
      </c>
      <c r="AE6272" s="580">
        <f t="shared" si="522"/>
        <v>2.5</v>
      </c>
      <c r="AF6272" s="580">
        <f t="shared" si="523"/>
        <v>2.5</v>
      </c>
      <c r="AG6272" s="580">
        <f t="shared" si="524"/>
        <v>0</v>
      </c>
      <c r="AH6272" s="580">
        <f t="shared" si="525"/>
        <v>0</v>
      </c>
    </row>
    <row r="6273" spans="28:34">
      <c r="AB6273" s="580">
        <f>HLOOKUP("*"&amp;'Output annual'!$AC$2&amp;'Output annual'!$AD$2&amp;"*Zone People Number Of Occupants [](Hourly)",'Eplus results'!$1:$1048576,ROW(),FALSE)</f>
        <v>0</v>
      </c>
      <c r="AC6273" s="580">
        <f>HLOOKUP("*"&amp;'Output annual'!$AC$2&amp;'Output annual'!$AD$2&amp;"*FangerPMV(Hourly)",'Eplus results'!$1:$1048576,ROW(),FALSE)</f>
        <v>0</v>
      </c>
      <c r="AD6273" s="580">
        <f t="shared" si="521"/>
        <v>5</v>
      </c>
      <c r="AE6273" s="580">
        <f t="shared" si="522"/>
        <v>2.5</v>
      </c>
      <c r="AF6273" s="580">
        <f t="shared" si="523"/>
        <v>2.5</v>
      </c>
      <c r="AG6273" s="580">
        <f t="shared" si="524"/>
        <v>0</v>
      </c>
      <c r="AH6273" s="580">
        <f t="shared" si="525"/>
        <v>0</v>
      </c>
    </row>
    <row r="6274" spans="28:34">
      <c r="AB6274" s="580">
        <f>HLOOKUP("*"&amp;'Output annual'!$AC$2&amp;'Output annual'!$AD$2&amp;"*Zone People Number Of Occupants [](Hourly)",'Eplus results'!$1:$1048576,ROW(),FALSE)</f>
        <v>0</v>
      </c>
      <c r="AC6274" s="580">
        <f>HLOOKUP("*"&amp;'Output annual'!$AC$2&amp;'Output annual'!$AD$2&amp;"*FangerPMV(Hourly)",'Eplus results'!$1:$1048576,ROW(),FALSE)</f>
        <v>0</v>
      </c>
      <c r="AD6274" s="580">
        <f t="shared" si="521"/>
        <v>5</v>
      </c>
      <c r="AE6274" s="580">
        <f t="shared" si="522"/>
        <v>2.5</v>
      </c>
      <c r="AF6274" s="580">
        <f t="shared" si="523"/>
        <v>2.5</v>
      </c>
      <c r="AG6274" s="580">
        <f t="shared" si="524"/>
        <v>0</v>
      </c>
      <c r="AH6274" s="580">
        <f t="shared" si="525"/>
        <v>0</v>
      </c>
    </row>
    <row r="6275" spans="28:34">
      <c r="AB6275" s="580">
        <f>HLOOKUP("*"&amp;'Output annual'!$AC$2&amp;'Output annual'!$AD$2&amp;"*Zone People Number Of Occupants [](Hourly)",'Eplus results'!$1:$1048576,ROW(),FALSE)</f>
        <v>0</v>
      </c>
      <c r="AC6275" s="580">
        <f>HLOOKUP("*"&amp;'Output annual'!$AC$2&amp;'Output annual'!$AD$2&amp;"*FangerPMV(Hourly)",'Eplus results'!$1:$1048576,ROW(),FALSE)</f>
        <v>0</v>
      </c>
      <c r="AD6275" s="580">
        <f t="shared" ref="AD6275:AD6338" si="526">100-95*EXP(-0.03353*AC6275^4-0.2179*AC6275^2)</f>
        <v>5</v>
      </c>
      <c r="AE6275" s="580">
        <f t="shared" ref="AE6275:AE6338" si="527">AD6275*(1/(1+EXP(-6.3*$AC6275)))</f>
        <v>2.5</v>
      </c>
      <c r="AF6275" s="580">
        <f t="shared" ref="AF6275:AF6338" si="528">(AD6275-AE6275)</f>
        <v>2.5</v>
      </c>
      <c r="AG6275" s="580">
        <f t="shared" ref="AG6275:AG6338" si="529">AE6275*AB6275</f>
        <v>0</v>
      </c>
      <c r="AH6275" s="580">
        <f t="shared" ref="AH6275:AH6338" si="530">AF6275*AB6275</f>
        <v>0</v>
      </c>
    </row>
    <row r="6276" spans="28:34">
      <c r="AB6276" s="580">
        <f>HLOOKUP("*"&amp;'Output annual'!$AC$2&amp;'Output annual'!$AD$2&amp;"*Zone People Number Of Occupants [](Hourly)",'Eplus results'!$1:$1048576,ROW(),FALSE)</f>
        <v>0</v>
      </c>
      <c r="AC6276" s="580">
        <f>HLOOKUP("*"&amp;'Output annual'!$AC$2&amp;'Output annual'!$AD$2&amp;"*FangerPMV(Hourly)",'Eplus results'!$1:$1048576,ROW(),FALSE)</f>
        <v>0</v>
      </c>
      <c r="AD6276" s="580">
        <f t="shared" si="526"/>
        <v>5</v>
      </c>
      <c r="AE6276" s="580">
        <f t="shared" si="527"/>
        <v>2.5</v>
      </c>
      <c r="AF6276" s="580">
        <f t="shared" si="528"/>
        <v>2.5</v>
      </c>
      <c r="AG6276" s="580">
        <f t="shared" si="529"/>
        <v>0</v>
      </c>
      <c r="AH6276" s="580">
        <f t="shared" si="530"/>
        <v>0</v>
      </c>
    </row>
    <row r="6277" spans="28:34">
      <c r="AB6277" s="580">
        <f>HLOOKUP("*"&amp;'Output annual'!$AC$2&amp;'Output annual'!$AD$2&amp;"*Zone People Number Of Occupants [](Hourly)",'Eplus results'!$1:$1048576,ROW(),FALSE)</f>
        <v>0</v>
      </c>
      <c r="AC6277" s="580">
        <f>HLOOKUP("*"&amp;'Output annual'!$AC$2&amp;'Output annual'!$AD$2&amp;"*FangerPMV(Hourly)",'Eplus results'!$1:$1048576,ROW(),FALSE)</f>
        <v>0</v>
      </c>
      <c r="AD6277" s="580">
        <f t="shared" si="526"/>
        <v>5</v>
      </c>
      <c r="AE6277" s="580">
        <f t="shared" si="527"/>
        <v>2.5</v>
      </c>
      <c r="AF6277" s="580">
        <f t="shared" si="528"/>
        <v>2.5</v>
      </c>
      <c r="AG6277" s="580">
        <f t="shared" si="529"/>
        <v>0</v>
      </c>
      <c r="AH6277" s="580">
        <f t="shared" si="530"/>
        <v>0</v>
      </c>
    </row>
    <row r="6278" spans="28:34">
      <c r="AB6278" s="580">
        <f>HLOOKUP("*"&amp;'Output annual'!$AC$2&amp;'Output annual'!$AD$2&amp;"*Zone People Number Of Occupants [](Hourly)",'Eplus results'!$1:$1048576,ROW(),FALSE)</f>
        <v>0</v>
      </c>
      <c r="AC6278" s="580">
        <f>HLOOKUP("*"&amp;'Output annual'!$AC$2&amp;'Output annual'!$AD$2&amp;"*FangerPMV(Hourly)",'Eplus results'!$1:$1048576,ROW(),FALSE)</f>
        <v>0</v>
      </c>
      <c r="AD6278" s="580">
        <f t="shared" si="526"/>
        <v>5</v>
      </c>
      <c r="AE6278" s="580">
        <f t="shared" si="527"/>
        <v>2.5</v>
      </c>
      <c r="AF6278" s="580">
        <f t="shared" si="528"/>
        <v>2.5</v>
      </c>
      <c r="AG6278" s="580">
        <f t="shared" si="529"/>
        <v>0</v>
      </c>
      <c r="AH6278" s="580">
        <f t="shared" si="530"/>
        <v>0</v>
      </c>
    </row>
    <row r="6279" spans="28:34">
      <c r="AB6279" s="580">
        <f>HLOOKUP("*"&amp;'Output annual'!$AC$2&amp;'Output annual'!$AD$2&amp;"*Zone People Number Of Occupants [](Hourly)",'Eplus results'!$1:$1048576,ROW(),FALSE)</f>
        <v>0</v>
      </c>
      <c r="AC6279" s="580">
        <f>HLOOKUP("*"&amp;'Output annual'!$AC$2&amp;'Output annual'!$AD$2&amp;"*FangerPMV(Hourly)",'Eplus results'!$1:$1048576,ROW(),FALSE)</f>
        <v>0</v>
      </c>
      <c r="AD6279" s="580">
        <f t="shared" si="526"/>
        <v>5</v>
      </c>
      <c r="AE6279" s="580">
        <f t="shared" si="527"/>
        <v>2.5</v>
      </c>
      <c r="AF6279" s="580">
        <f t="shared" si="528"/>
        <v>2.5</v>
      </c>
      <c r="AG6279" s="580">
        <f t="shared" si="529"/>
        <v>0</v>
      </c>
      <c r="AH6279" s="580">
        <f t="shared" si="530"/>
        <v>0</v>
      </c>
    </row>
    <row r="6280" spans="28:34">
      <c r="AB6280" s="580">
        <f>HLOOKUP("*"&amp;'Output annual'!$AC$2&amp;'Output annual'!$AD$2&amp;"*Zone People Number Of Occupants [](Hourly)",'Eplus results'!$1:$1048576,ROW(),FALSE)</f>
        <v>0</v>
      </c>
      <c r="AC6280" s="580">
        <f>HLOOKUP("*"&amp;'Output annual'!$AC$2&amp;'Output annual'!$AD$2&amp;"*FangerPMV(Hourly)",'Eplus results'!$1:$1048576,ROW(),FALSE)</f>
        <v>0</v>
      </c>
      <c r="AD6280" s="580">
        <f t="shared" si="526"/>
        <v>5</v>
      </c>
      <c r="AE6280" s="580">
        <f t="shared" si="527"/>
        <v>2.5</v>
      </c>
      <c r="AF6280" s="580">
        <f t="shared" si="528"/>
        <v>2.5</v>
      </c>
      <c r="AG6280" s="580">
        <f t="shared" si="529"/>
        <v>0</v>
      </c>
      <c r="AH6280" s="580">
        <f t="shared" si="530"/>
        <v>0</v>
      </c>
    </row>
    <row r="6281" spans="28:34">
      <c r="AB6281" s="580">
        <f>HLOOKUP("*"&amp;'Output annual'!$AC$2&amp;'Output annual'!$AD$2&amp;"*Zone People Number Of Occupants [](Hourly)",'Eplus results'!$1:$1048576,ROW(),FALSE)</f>
        <v>0</v>
      </c>
      <c r="AC6281" s="580">
        <f>HLOOKUP("*"&amp;'Output annual'!$AC$2&amp;'Output annual'!$AD$2&amp;"*FangerPMV(Hourly)",'Eplus results'!$1:$1048576,ROW(),FALSE)</f>
        <v>0</v>
      </c>
      <c r="AD6281" s="580">
        <f t="shared" si="526"/>
        <v>5</v>
      </c>
      <c r="AE6281" s="580">
        <f t="shared" si="527"/>
        <v>2.5</v>
      </c>
      <c r="AF6281" s="580">
        <f t="shared" si="528"/>
        <v>2.5</v>
      </c>
      <c r="AG6281" s="580">
        <f t="shared" si="529"/>
        <v>0</v>
      </c>
      <c r="AH6281" s="580">
        <f t="shared" si="530"/>
        <v>0</v>
      </c>
    </row>
    <row r="6282" spans="28:34">
      <c r="AB6282" s="580">
        <f>HLOOKUP("*"&amp;'Output annual'!$AC$2&amp;'Output annual'!$AD$2&amp;"*Zone People Number Of Occupants [](Hourly)",'Eplus results'!$1:$1048576,ROW(),FALSE)</f>
        <v>0</v>
      </c>
      <c r="AC6282" s="580">
        <f>HLOOKUP("*"&amp;'Output annual'!$AC$2&amp;'Output annual'!$AD$2&amp;"*FangerPMV(Hourly)",'Eplus results'!$1:$1048576,ROW(),FALSE)</f>
        <v>0</v>
      </c>
      <c r="AD6282" s="580">
        <f t="shared" si="526"/>
        <v>5</v>
      </c>
      <c r="AE6282" s="580">
        <f t="shared" si="527"/>
        <v>2.5</v>
      </c>
      <c r="AF6282" s="580">
        <f t="shared" si="528"/>
        <v>2.5</v>
      </c>
      <c r="AG6282" s="580">
        <f t="shared" si="529"/>
        <v>0</v>
      </c>
      <c r="AH6282" s="580">
        <f t="shared" si="530"/>
        <v>0</v>
      </c>
    </row>
    <row r="6283" spans="28:34">
      <c r="AB6283" s="580">
        <f>HLOOKUP("*"&amp;'Output annual'!$AC$2&amp;'Output annual'!$AD$2&amp;"*Zone People Number Of Occupants [](Hourly)",'Eplus results'!$1:$1048576,ROW(),FALSE)</f>
        <v>0</v>
      </c>
      <c r="AC6283" s="580">
        <f>HLOOKUP("*"&amp;'Output annual'!$AC$2&amp;'Output annual'!$AD$2&amp;"*FangerPMV(Hourly)",'Eplus results'!$1:$1048576,ROW(),FALSE)</f>
        <v>0</v>
      </c>
      <c r="AD6283" s="580">
        <f t="shared" si="526"/>
        <v>5</v>
      </c>
      <c r="AE6283" s="580">
        <f t="shared" si="527"/>
        <v>2.5</v>
      </c>
      <c r="AF6283" s="580">
        <f t="shared" si="528"/>
        <v>2.5</v>
      </c>
      <c r="AG6283" s="580">
        <f t="shared" si="529"/>
        <v>0</v>
      </c>
      <c r="AH6283" s="580">
        <f t="shared" si="530"/>
        <v>0</v>
      </c>
    </row>
    <row r="6284" spans="28:34">
      <c r="AB6284" s="580">
        <f>HLOOKUP("*"&amp;'Output annual'!$AC$2&amp;'Output annual'!$AD$2&amp;"*Zone People Number Of Occupants [](Hourly)",'Eplus results'!$1:$1048576,ROW(),FALSE)</f>
        <v>0</v>
      </c>
      <c r="AC6284" s="580">
        <f>HLOOKUP("*"&amp;'Output annual'!$AC$2&amp;'Output annual'!$AD$2&amp;"*FangerPMV(Hourly)",'Eplus results'!$1:$1048576,ROW(),FALSE)</f>
        <v>0</v>
      </c>
      <c r="AD6284" s="580">
        <f t="shared" si="526"/>
        <v>5</v>
      </c>
      <c r="AE6284" s="580">
        <f t="shared" si="527"/>
        <v>2.5</v>
      </c>
      <c r="AF6284" s="580">
        <f t="shared" si="528"/>
        <v>2.5</v>
      </c>
      <c r="AG6284" s="580">
        <f t="shared" si="529"/>
        <v>0</v>
      </c>
      <c r="AH6284" s="580">
        <f t="shared" si="530"/>
        <v>0</v>
      </c>
    </row>
    <row r="6285" spans="28:34">
      <c r="AB6285" s="580">
        <f>HLOOKUP("*"&amp;'Output annual'!$AC$2&amp;'Output annual'!$AD$2&amp;"*Zone People Number Of Occupants [](Hourly)",'Eplus results'!$1:$1048576,ROW(),FALSE)</f>
        <v>0</v>
      </c>
      <c r="AC6285" s="580">
        <f>HLOOKUP("*"&amp;'Output annual'!$AC$2&amp;'Output annual'!$AD$2&amp;"*FangerPMV(Hourly)",'Eplus results'!$1:$1048576,ROW(),FALSE)</f>
        <v>0</v>
      </c>
      <c r="AD6285" s="580">
        <f t="shared" si="526"/>
        <v>5</v>
      </c>
      <c r="AE6285" s="580">
        <f t="shared" si="527"/>
        <v>2.5</v>
      </c>
      <c r="AF6285" s="580">
        <f t="shared" si="528"/>
        <v>2.5</v>
      </c>
      <c r="AG6285" s="580">
        <f t="shared" si="529"/>
        <v>0</v>
      </c>
      <c r="AH6285" s="580">
        <f t="shared" si="530"/>
        <v>0</v>
      </c>
    </row>
    <row r="6286" spans="28:34">
      <c r="AB6286" s="580">
        <f>HLOOKUP("*"&amp;'Output annual'!$AC$2&amp;'Output annual'!$AD$2&amp;"*Zone People Number Of Occupants [](Hourly)",'Eplus results'!$1:$1048576,ROW(),FALSE)</f>
        <v>0</v>
      </c>
      <c r="AC6286" s="580">
        <f>HLOOKUP("*"&amp;'Output annual'!$AC$2&amp;'Output annual'!$AD$2&amp;"*FangerPMV(Hourly)",'Eplus results'!$1:$1048576,ROW(),FALSE)</f>
        <v>0</v>
      </c>
      <c r="AD6286" s="580">
        <f t="shared" si="526"/>
        <v>5</v>
      </c>
      <c r="AE6286" s="580">
        <f t="shared" si="527"/>
        <v>2.5</v>
      </c>
      <c r="AF6286" s="580">
        <f t="shared" si="528"/>
        <v>2.5</v>
      </c>
      <c r="AG6286" s="580">
        <f t="shared" si="529"/>
        <v>0</v>
      </c>
      <c r="AH6286" s="580">
        <f t="shared" si="530"/>
        <v>0</v>
      </c>
    </row>
    <row r="6287" spans="28:34">
      <c r="AB6287" s="580">
        <f>HLOOKUP("*"&amp;'Output annual'!$AC$2&amp;'Output annual'!$AD$2&amp;"*Zone People Number Of Occupants [](Hourly)",'Eplus results'!$1:$1048576,ROW(),FALSE)</f>
        <v>0</v>
      </c>
      <c r="AC6287" s="580">
        <f>HLOOKUP("*"&amp;'Output annual'!$AC$2&amp;'Output annual'!$AD$2&amp;"*FangerPMV(Hourly)",'Eplus results'!$1:$1048576,ROW(),FALSE)</f>
        <v>0</v>
      </c>
      <c r="AD6287" s="580">
        <f t="shared" si="526"/>
        <v>5</v>
      </c>
      <c r="AE6287" s="580">
        <f t="shared" si="527"/>
        <v>2.5</v>
      </c>
      <c r="AF6287" s="580">
        <f t="shared" si="528"/>
        <v>2.5</v>
      </c>
      <c r="AG6287" s="580">
        <f t="shared" si="529"/>
        <v>0</v>
      </c>
      <c r="AH6287" s="580">
        <f t="shared" si="530"/>
        <v>0</v>
      </c>
    </row>
    <row r="6288" spans="28:34">
      <c r="AB6288" s="580">
        <f>HLOOKUP("*"&amp;'Output annual'!$AC$2&amp;'Output annual'!$AD$2&amp;"*Zone People Number Of Occupants [](Hourly)",'Eplus results'!$1:$1048576,ROW(),FALSE)</f>
        <v>0</v>
      </c>
      <c r="AC6288" s="580">
        <f>HLOOKUP("*"&amp;'Output annual'!$AC$2&amp;'Output annual'!$AD$2&amp;"*FangerPMV(Hourly)",'Eplus results'!$1:$1048576,ROW(),FALSE)</f>
        <v>0</v>
      </c>
      <c r="AD6288" s="580">
        <f t="shared" si="526"/>
        <v>5</v>
      </c>
      <c r="AE6288" s="580">
        <f t="shared" si="527"/>
        <v>2.5</v>
      </c>
      <c r="AF6288" s="580">
        <f t="shared" si="528"/>
        <v>2.5</v>
      </c>
      <c r="AG6288" s="580">
        <f t="shared" si="529"/>
        <v>0</v>
      </c>
      <c r="AH6288" s="580">
        <f t="shared" si="530"/>
        <v>0</v>
      </c>
    </row>
    <row r="6289" spans="28:34">
      <c r="AB6289" s="580">
        <f>HLOOKUP("*"&amp;'Output annual'!$AC$2&amp;'Output annual'!$AD$2&amp;"*Zone People Number Of Occupants [](Hourly)",'Eplus results'!$1:$1048576,ROW(),FALSE)</f>
        <v>0</v>
      </c>
      <c r="AC6289" s="580">
        <f>HLOOKUP("*"&amp;'Output annual'!$AC$2&amp;'Output annual'!$AD$2&amp;"*FangerPMV(Hourly)",'Eplus results'!$1:$1048576,ROW(),FALSE)</f>
        <v>0</v>
      </c>
      <c r="AD6289" s="580">
        <f t="shared" si="526"/>
        <v>5</v>
      </c>
      <c r="AE6289" s="580">
        <f t="shared" si="527"/>
        <v>2.5</v>
      </c>
      <c r="AF6289" s="580">
        <f t="shared" si="528"/>
        <v>2.5</v>
      </c>
      <c r="AG6289" s="580">
        <f t="shared" si="529"/>
        <v>0</v>
      </c>
      <c r="AH6289" s="580">
        <f t="shared" si="530"/>
        <v>0</v>
      </c>
    </row>
    <row r="6290" spans="28:34">
      <c r="AB6290" s="580">
        <f>HLOOKUP("*"&amp;'Output annual'!$AC$2&amp;'Output annual'!$AD$2&amp;"*Zone People Number Of Occupants [](Hourly)",'Eplus results'!$1:$1048576,ROW(),FALSE)</f>
        <v>0</v>
      </c>
      <c r="AC6290" s="580">
        <f>HLOOKUP("*"&amp;'Output annual'!$AC$2&amp;'Output annual'!$AD$2&amp;"*FangerPMV(Hourly)",'Eplus results'!$1:$1048576,ROW(),FALSE)</f>
        <v>0</v>
      </c>
      <c r="AD6290" s="580">
        <f t="shared" si="526"/>
        <v>5</v>
      </c>
      <c r="AE6290" s="580">
        <f t="shared" si="527"/>
        <v>2.5</v>
      </c>
      <c r="AF6290" s="580">
        <f t="shared" si="528"/>
        <v>2.5</v>
      </c>
      <c r="AG6290" s="580">
        <f t="shared" si="529"/>
        <v>0</v>
      </c>
      <c r="AH6290" s="580">
        <f t="shared" si="530"/>
        <v>0</v>
      </c>
    </row>
    <row r="6291" spans="28:34">
      <c r="AB6291" s="580">
        <f>HLOOKUP("*"&amp;'Output annual'!$AC$2&amp;'Output annual'!$AD$2&amp;"*Zone People Number Of Occupants [](Hourly)",'Eplus results'!$1:$1048576,ROW(),FALSE)</f>
        <v>0</v>
      </c>
      <c r="AC6291" s="580">
        <f>HLOOKUP("*"&amp;'Output annual'!$AC$2&amp;'Output annual'!$AD$2&amp;"*FangerPMV(Hourly)",'Eplus results'!$1:$1048576,ROW(),FALSE)</f>
        <v>0</v>
      </c>
      <c r="AD6291" s="580">
        <f t="shared" si="526"/>
        <v>5</v>
      </c>
      <c r="AE6291" s="580">
        <f t="shared" si="527"/>
        <v>2.5</v>
      </c>
      <c r="AF6291" s="580">
        <f t="shared" si="528"/>
        <v>2.5</v>
      </c>
      <c r="AG6291" s="580">
        <f t="shared" si="529"/>
        <v>0</v>
      </c>
      <c r="AH6291" s="580">
        <f t="shared" si="530"/>
        <v>0</v>
      </c>
    </row>
    <row r="6292" spans="28:34">
      <c r="AB6292" s="580">
        <f>HLOOKUP("*"&amp;'Output annual'!$AC$2&amp;'Output annual'!$AD$2&amp;"*Zone People Number Of Occupants [](Hourly)",'Eplus results'!$1:$1048576,ROW(),FALSE)</f>
        <v>0</v>
      </c>
      <c r="AC6292" s="580">
        <f>HLOOKUP("*"&amp;'Output annual'!$AC$2&amp;'Output annual'!$AD$2&amp;"*FangerPMV(Hourly)",'Eplus results'!$1:$1048576,ROW(),FALSE)</f>
        <v>0</v>
      </c>
      <c r="AD6292" s="580">
        <f t="shared" si="526"/>
        <v>5</v>
      </c>
      <c r="AE6292" s="580">
        <f t="shared" si="527"/>
        <v>2.5</v>
      </c>
      <c r="AF6292" s="580">
        <f t="shared" si="528"/>
        <v>2.5</v>
      </c>
      <c r="AG6292" s="580">
        <f t="shared" si="529"/>
        <v>0</v>
      </c>
      <c r="AH6292" s="580">
        <f t="shared" si="530"/>
        <v>0</v>
      </c>
    </row>
    <row r="6293" spans="28:34">
      <c r="AB6293" s="580">
        <f>HLOOKUP("*"&amp;'Output annual'!$AC$2&amp;'Output annual'!$AD$2&amp;"*Zone People Number Of Occupants [](Hourly)",'Eplus results'!$1:$1048576,ROW(),FALSE)</f>
        <v>0</v>
      </c>
      <c r="AC6293" s="580">
        <f>HLOOKUP("*"&amp;'Output annual'!$AC$2&amp;'Output annual'!$AD$2&amp;"*FangerPMV(Hourly)",'Eplus results'!$1:$1048576,ROW(),FALSE)</f>
        <v>0</v>
      </c>
      <c r="AD6293" s="580">
        <f t="shared" si="526"/>
        <v>5</v>
      </c>
      <c r="AE6293" s="580">
        <f t="shared" si="527"/>
        <v>2.5</v>
      </c>
      <c r="AF6293" s="580">
        <f t="shared" si="528"/>
        <v>2.5</v>
      </c>
      <c r="AG6293" s="580">
        <f t="shared" si="529"/>
        <v>0</v>
      </c>
      <c r="AH6293" s="580">
        <f t="shared" si="530"/>
        <v>0</v>
      </c>
    </row>
    <row r="6294" spans="28:34">
      <c r="AB6294" s="580">
        <f>HLOOKUP("*"&amp;'Output annual'!$AC$2&amp;'Output annual'!$AD$2&amp;"*Zone People Number Of Occupants [](Hourly)",'Eplus results'!$1:$1048576,ROW(),FALSE)</f>
        <v>0</v>
      </c>
      <c r="AC6294" s="580">
        <f>HLOOKUP("*"&amp;'Output annual'!$AC$2&amp;'Output annual'!$AD$2&amp;"*FangerPMV(Hourly)",'Eplus results'!$1:$1048576,ROW(),FALSE)</f>
        <v>0</v>
      </c>
      <c r="AD6294" s="580">
        <f t="shared" si="526"/>
        <v>5</v>
      </c>
      <c r="AE6294" s="580">
        <f t="shared" si="527"/>
        <v>2.5</v>
      </c>
      <c r="AF6294" s="580">
        <f t="shared" si="528"/>
        <v>2.5</v>
      </c>
      <c r="AG6294" s="580">
        <f t="shared" si="529"/>
        <v>0</v>
      </c>
      <c r="AH6294" s="580">
        <f t="shared" si="530"/>
        <v>0</v>
      </c>
    </row>
    <row r="6295" spans="28:34">
      <c r="AB6295" s="580">
        <f>HLOOKUP("*"&amp;'Output annual'!$AC$2&amp;'Output annual'!$AD$2&amp;"*Zone People Number Of Occupants [](Hourly)",'Eplus results'!$1:$1048576,ROW(),FALSE)</f>
        <v>0</v>
      </c>
      <c r="AC6295" s="580">
        <f>HLOOKUP("*"&amp;'Output annual'!$AC$2&amp;'Output annual'!$AD$2&amp;"*FangerPMV(Hourly)",'Eplus results'!$1:$1048576,ROW(),FALSE)</f>
        <v>0</v>
      </c>
      <c r="AD6295" s="580">
        <f t="shared" si="526"/>
        <v>5</v>
      </c>
      <c r="AE6295" s="580">
        <f t="shared" si="527"/>
        <v>2.5</v>
      </c>
      <c r="AF6295" s="580">
        <f t="shared" si="528"/>
        <v>2.5</v>
      </c>
      <c r="AG6295" s="580">
        <f t="shared" si="529"/>
        <v>0</v>
      </c>
      <c r="AH6295" s="580">
        <f t="shared" si="530"/>
        <v>0</v>
      </c>
    </row>
    <row r="6296" spans="28:34">
      <c r="AB6296" s="580">
        <f>HLOOKUP("*"&amp;'Output annual'!$AC$2&amp;'Output annual'!$AD$2&amp;"*Zone People Number Of Occupants [](Hourly)",'Eplus results'!$1:$1048576,ROW(),FALSE)</f>
        <v>0</v>
      </c>
      <c r="AC6296" s="580">
        <f>HLOOKUP("*"&amp;'Output annual'!$AC$2&amp;'Output annual'!$AD$2&amp;"*FangerPMV(Hourly)",'Eplus results'!$1:$1048576,ROW(),FALSE)</f>
        <v>0</v>
      </c>
      <c r="AD6296" s="580">
        <f t="shared" si="526"/>
        <v>5</v>
      </c>
      <c r="AE6296" s="580">
        <f t="shared" si="527"/>
        <v>2.5</v>
      </c>
      <c r="AF6296" s="580">
        <f t="shared" si="528"/>
        <v>2.5</v>
      </c>
      <c r="AG6296" s="580">
        <f t="shared" si="529"/>
        <v>0</v>
      </c>
      <c r="AH6296" s="580">
        <f t="shared" si="530"/>
        <v>0</v>
      </c>
    </row>
    <row r="6297" spans="28:34">
      <c r="AB6297" s="580">
        <f>HLOOKUP("*"&amp;'Output annual'!$AC$2&amp;'Output annual'!$AD$2&amp;"*Zone People Number Of Occupants [](Hourly)",'Eplus results'!$1:$1048576,ROW(),FALSE)</f>
        <v>0</v>
      </c>
      <c r="AC6297" s="580">
        <f>HLOOKUP("*"&amp;'Output annual'!$AC$2&amp;'Output annual'!$AD$2&amp;"*FangerPMV(Hourly)",'Eplus results'!$1:$1048576,ROW(),FALSE)</f>
        <v>0</v>
      </c>
      <c r="AD6297" s="580">
        <f t="shared" si="526"/>
        <v>5</v>
      </c>
      <c r="AE6297" s="580">
        <f t="shared" si="527"/>
        <v>2.5</v>
      </c>
      <c r="AF6297" s="580">
        <f t="shared" si="528"/>
        <v>2.5</v>
      </c>
      <c r="AG6297" s="580">
        <f t="shared" si="529"/>
        <v>0</v>
      </c>
      <c r="AH6297" s="580">
        <f t="shared" si="530"/>
        <v>0</v>
      </c>
    </row>
    <row r="6298" spans="28:34">
      <c r="AB6298" s="580">
        <f>HLOOKUP("*"&amp;'Output annual'!$AC$2&amp;'Output annual'!$AD$2&amp;"*Zone People Number Of Occupants [](Hourly)",'Eplus results'!$1:$1048576,ROW(),FALSE)</f>
        <v>0</v>
      </c>
      <c r="AC6298" s="580">
        <f>HLOOKUP("*"&amp;'Output annual'!$AC$2&amp;'Output annual'!$AD$2&amp;"*FangerPMV(Hourly)",'Eplus results'!$1:$1048576,ROW(),FALSE)</f>
        <v>0</v>
      </c>
      <c r="AD6298" s="580">
        <f t="shared" si="526"/>
        <v>5</v>
      </c>
      <c r="AE6298" s="580">
        <f t="shared" si="527"/>
        <v>2.5</v>
      </c>
      <c r="AF6298" s="580">
        <f t="shared" si="528"/>
        <v>2.5</v>
      </c>
      <c r="AG6298" s="580">
        <f t="shared" si="529"/>
        <v>0</v>
      </c>
      <c r="AH6298" s="580">
        <f t="shared" si="530"/>
        <v>0</v>
      </c>
    </row>
    <row r="6299" spans="28:34">
      <c r="AB6299" s="580">
        <f>HLOOKUP("*"&amp;'Output annual'!$AC$2&amp;'Output annual'!$AD$2&amp;"*Zone People Number Of Occupants [](Hourly)",'Eplus results'!$1:$1048576,ROW(),FALSE)</f>
        <v>0</v>
      </c>
      <c r="AC6299" s="580">
        <f>HLOOKUP("*"&amp;'Output annual'!$AC$2&amp;'Output annual'!$AD$2&amp;"*FangerPMV(Hourly)",'Eplus results'!$1:$1048576,ROW(),FALSE)</f>
        <v>0</v>
      </c>
      <c r="AD6299" s="580">
        <f t="shared" si="526"/>
        <v>5</v>
      </c>
      <c r="AE6299" s="580">
        <f t="shared" si="527"/>
        <v>2.5</v>
      </c>
      <c r="AF6299" s="580">
        <f t="shared" si="528"/>
        <v>2.5</v>
      </c>
      <c r="AG6299" s="580">
        <f t="shared" si="529"/>
        <v>0</v>
      </c>
      <c r="AH6299" s="580">
        <f t="shared" si="530"/>
        <v>0</v>
      </c>
    </row>
    <row r="6300" spans="28:34">
      <c r="AB6300" s="580">
        <f>HLOOKUP("*"&amp;'Output annual'!$AC$2&amp;'Output annual'!$AD$2&amp;"*Zone People Number Of Occupants [](Hourly)",'Eplus results'!$1:$1048576,ROW(),FALSE)</f>
        <v>0</v>
      </c>
      <c r="AC6300" s="580">
        <f>HLOOKUP("*"&amp;'Output annual'!$AC$2&amp;'Output annual'!$AD$2&amp;"*FangerPMV(Hourly)",'Eplus results'!$1:$1048576,ROW(),FALSE)</f>
        <v>0</v>
      </c>
      <c r="AD6300" s="580">
        <f t="shared" si="526"/>
        <v>5</v>
      </c>
      <c r="AE6300" s="580">
        <f t="shared" si="527"/>
        <v>2.5</v>
      </c>
      <c r="AF6300" s="580">
        <f t="shared" si="528"/>
        <v>2.5</v>
      </c>
      <c r="AG6300" s="580">
        <f t="shared" si="529"/>
        <v>0</v>
      </c>
      <c r="AH6300" s="580">
        <f t="shared" si="530"/>
        <v>0</v>
      </c>
    </row>
    <row r="6301" spans="28:34">
      <c r="AB6301" s="580">
        <f>HLOOKUP("*"&amp;'Output annual'!$AC$2&amp;'Output annual'!$AD$2&amp;"*Zone People Number Of Occupants [](Hourly)",'Eplus results'!$1:$1048576,ROW(),FALSE)</f>
        <v>0</v>
      </c>
      <c r="AC6301" s="580">
        <f>HLOOKUP("*"&amp;'Output annual'!$AC$2&amp;'Output annual'!$AD$2&amp;"*FangerPMV(Hourly)",'Eplus results'!$1:$1048576,ROW(),FALSE)</f>
        <v>0</v>
      </c>
      <c r="AD6301" s="580">
        <f t="shared" si="526"/>
        <v>5</v>
      </c>
      <c r="AE6301" s="580">
        <f t="shared" si="527"/>
        <v>2.5</v>
      </c>
      <c r="AF6301" s="580">
        <f t="shared" si="528"/>
        <v>2.5</v>
      </c>
      <c r="AG6301" s="580">
        <f t="shared" si="529"/>
        <v>0</v>
      </c>
      <c r="AH6301" s="580">
        <f t="shared" si="530"/>
        <v>0</v>
      </c>
    </row>
    <row r="6302" spans="28:34">
      <c r="AB6302" s="580">
        <f>HLOOKUP("*"&amp;'Output annual'!$AC$2&amp;'Output annual'!$AD$2&amp;"*Zone People Number Of Occupants [](Hourly)",'Eplus results'!$1:$1048576,ROW(),FALSE)</f>
        <v>0</v>
      </c>
      <c r="AC6302" s="580">
        <f>HLOOKUP("*"&amp;'Output annual'!$AC$2&amp;'Output annual'!$AD$2&amp;"*FangerPMV(Hourly)",'Eplus results'!$1:$1048576,ROW(),FALSE)</f>
        <v>0</v>
      </c>
      <c r="AD6302" s="580">
        <f t="shared" si="526"/>
        <v>5</v>
      </c>
      <c r="AE6302" s="580">
        <f t="shared" si="527"/>
        <v>2.5</v>
      </c>
      <c r="AF6302" s="580">
        <f t="shared" si="528"/>
        <v>2.5</v>
      </c>
      <c r="AG6302" s="580">
        <f t="shared" si="529"/>
        <v>0</v>
      </c>
      <c r="AH6302" s="580">
        <f t="shared" si="530"/>
        <v>0</v>
      </c>
    </row>
    <row r="6303" spans="28:34">
      <c r="AB6303" s="580">
        <f>HLOOKUP("*"&amp;'Output annual'!$AC$2&amp;'Output annual'!$AD$2&amp;"*Zone People Number Of Occupants [](Hourly)",'Eplus results'!$1:$1048576,ROW(),FALSE)</f>
        <v>0</v>
      </c>
      <c r="AC6303" s="580">
        <f>HLOOKUP("*"&amp;'Output annual'!$AC$2&amp;'Output annual'!$AD$2&amp;"*FangerPMV(Hourly)",'Eplus results'!$1:$1048576,ROW(),FALSE)</f>
        <v>0</v>
      </c>
      <c r="AD6303" s="580">
        <f t="shared" si="526"/>
        <v>5</v>
      </c>
      <c r="AE6303" s="580">
        <f t="shared" si="527"/>
        <v>2.5</v>
      </c>
      <c r="AF6303" s="580">
        <f t="shared" si="528"/>
        <v>2.5</v>
      </c>
      <c r="AG6303" s="580">
        <f t="shared" si="529"/>
        <v>0</v>
      </c>
      <c r="AH6303" s="580">
        <f t="shared" si="530"/>
        <v>0</v>
      </c>
    </row>
    <row r="6304" spans="28:34">
      <c r="AB6304" s="580">
        <f>HLOOKUP("*"&amp;'Output annual'!$AC$2&amp;'Output annual'!$AD$2&amp;"*Zone People Number Of Occupants [](Hourly)",'Eplus results'!$1:$1048576,ROW(),FALSE)</f>
        <v>0</v>
      </c>
      <c r="AC6304" s="580">
        <f>HLOOKUP("*"&amp;'Output annual'!$AC$2&amp;'Output annual'!$AD$2&amp;"*FangerPMV(Hourly)",'Eplus results'!$1:$1048576,ROW(),FALSE)</f>
        <v>0</v>
      </c>
      <c r="AD6304" s="580">
        <f t="shared" si="526"/>
        <v>5</v>
      </c>
      <c r="AE6304" s="580">
        <f t="shared" si="527"/>
        <v>2.5</v>
      </c>
      <c r="AF6304" s="580">
        <f t="shared" si="528"/>
        <v>2.5</v>
      </c>
      <c r="AG6304" s="580">
        <f t="shared" si="529"/>
        <v>0</v>
      </c>
      <c r="AH6304" s="580">
        <f t="shared" si="530"/>
        <v>0</v>
      </c>
    </row>
    <row r="6305" spans="28:34">
      <c r="AB6305" s="580">
        <f>HLOOKUP("*"&amp;'Output annual'!$AC$2&amp;'Output annual'!$AD$2&amp;"*Zone People Number Of Occupants [](Hourly)",'Eplus results'!$1:$1048576,ROW(),FALSE)</f>
        <v>0</v>
      </c>
      <c r="AC6305" s="580">
        <f>HLOOKUP("*"&amp;'Output annual'!$AC$2&amp;'Output annual'!$AD$2&amp;"*FangerPMV(Hourly)",'Eplus results'!$1:$1048576,ROW(),FALSE)</f>
        <v>0</v>
      </c>
      <c r="AD6305" s="580">
        <f t="shared" si="526"/>
        <v>5</v>
      </c>
      <c r="AE6305" s="580">
        <f t="shared" si="527"/>
        <v>2.5</v>
      </c>
      <c r="AF6305" s="580">
        <f t="shared" si="528"/>
        <v>2.5</v>
      </c>
      <c r="AG6305" s="580">
        <f t="shared" si="529"/>
        <v>0</v>
      </c>
      <c r="AH6305" s="580">
        <f t="shared" si="530"/>
        <v>0</v>
      </c>
    </row>
    <row r="6306" spans="28:34">
      <c r="AB6306" s="580">
        <f>HLOOKUP("*"&amp;'Output annual'!$AC$2&amp;'Output annual'!$AD$2&amp;"*Zone People Number Of Occupants [](Hourly)",'Eplus results'!$1:$1048576,ROW(),FALSE)</f>
        <v>0</v>
      </c>
      <c r="AC6306" s="580">
        <f>HLOOKUP("*"&amp;'Output annual'!$AC$2&amp;'Output annual'!$AD$2&amp;"*FangerPMV(Hourly)",'Eplus results'!$1:$1048576,ROW(),FALSE)</f>
        <v>0</v>
      </c>
      <c r="AD6306" s="580">
        <f t="shared" si="526"/>
        <v>5</v>
      </c>
      <c r="AE6306" s="580">
        <f t="shared" si="527"/>
        <v>2.5</v>
      </c>
      <c r="AF6306" s="580">
        <f t="shared" si="528"/>
        <v>2.5</v>
      </c>
      <c r="AG6306" s="580">
        <f t="shared" si="529"/>
        <v>0</v>
      </c>
      <c r="AH6306" s="580">
        <f t="shared" si="530"/>
        <v>0</v>
      </c>
    </row>
    <row r="6307" spans="28:34">
      <c r="AB6307" s="580">
        <f>HLOOKUP("*"&amp;'Output annual'!$AC$2&amp;'Output annual'!$AD$2&amp;"*Zone People Number Of Occupants [](Hourly)",'Eplus results'!$1:$1048576,ROW(),FALSE)</f>
        <v>0</v>
      </c>
      <c r="AC6307" s="580">
        <f>HLOOKUP("*"&amp;'Output annual'!$AC$2&amp;'Output annual'!$AD$2&amp;"*FangerPMV(Hourly)",'Eplus results'!$1:$1048576,ROW(),FALSE)</f>
        <v>0</v>
      </c>
      <c r="AD6307" s="580">
        <f t="shared" si="526"/>
        <v>5</v>
      </c>
      <c r="AE6307" s="580">
        <f t="shared" si="527"/>
        <v>2.5</v>
      </c>
      <c r="AF6307" s="580">
        <f t="shared" si="528"/>
        <v>2.5</v>
      </c>
      <c r="AG6307" s="580">
        <f t="shared" si="529"/>
        <v>0</v>
      </c>
      <c r="AH6307" s="580">
        <f t="shared" si="530"/>
        <v>0</v>
      </c>
    </row>
    <row r="6308" spans="28:34">
      <c r="AB6308" s="580">
        <f>HLOOKUP("*"&amp;'Output annual'!$AC$2&amp;'Output annual'!$AD$2&amp;"*Zone People Number Of Occupants [](Hourly)",'Eplus results'!$1:$1048576,ROW(),FALSE)</f>
        <v>0</v>
      </c>
      <c r="AC6308" s="580">
        <f>HLOOKUP("*"&amp;'Output annual'!$AC$2&amp;'Output annual'!$AD$2&amp;"*FangerPMV(Hourly)",'Eplus results'!$1:$1048576,ROW(),FALSE)</f>
        <v>0</v>
      </c>
      <c r="AD6308" s="580">
        <f t="shared" si="526"/>
        <v>5</v>
      </c>
      <c r="AE6308" s="580">
        <f t="shared" si="527"/>
        <v>2.5</v>
      </c>
      <c r="AF6308" s="580">
        <f t="shared" si="528"/>
        <v>2.5</v>
      </c>
      <c r="AG6308" s="580">
        <f t="shared" si="529"/>
        <v>0</v>
      </c>
      <c r="AH6308" s="580">
        <f t="shared" si="530"/>
        <v>0</v>
      </c>
    </row>
    <row r="6309" spans="28:34">
      <c r="AB6309" s="580">
        <f>HLOOKUP("*"&amp;'Output annual'!$AC$2&amp;'Output annual'!$AD$2&amp;"*Zone People Number Of Occupants [](Hourly)",'Eplus results'!$1:$1048576,ROW(),FALSE)</f>
        <v>0</v>
      </c>
      <c r="AC6309" s="580">
        <f>HLOOKUP("*"&amp;'Output annual'!$AC$2&amp;'Output annual'!$AD$2&amp;"*FangerPMV(Hourly)",'Eplus results'!$1:$1048576,ROW(),FALSE)</f>
        <v>0</v>
      </c>
      <c r="AD6309" s="580">
        <f t="shared" si="526"/>
        <v>5</v>
      </c>
      <c r="AE6309" s="580">
        <f t="shared" si="527"/>
        <v>2.5</v>
      </c>
      <c r="AF6309" s="580">
        <f t="shared" si="528"/>
        <v>2.5</v>
      </c>
      <c r="AG6309" s="580">
        <f t="shared" si="529"/>
        <v>0</v>
      </c>
      <c r="AH6309" s="580">
        <f t="shared" si="530"/>
        <v>0</v>
      </c>
    </row>
    <row r="6310" spans="28:34">
      <c r="AB6310" s="580">
        <f>HLOOKUP("*"&amp;'Output annual'!$AC$2&amp;'Output annual'!$AD$2&amp;"*Zone People Number Of Occupants [](Hourly)",'Eplus results'!$1:$1048576,ROW(),FALSE)</f>
        <v>0</v>
      </c>
      <c r="AC6310" s="580">
        <f>HLOOKUP("*"&amp;'Output annual'!$AC$2&amp;'Output annual'!$AD$2&amp;"*FangerPMV(Hourly)",'Eplus results'!$1:$1048576,ROW(),FALSE)</f>
        <v>0</v>
      </c>
      <c r="AD6310" s="580">
        <f t="shared" si="526"/>
        <v>5</v>
      </c>
      <c r="AE6310" s="580">
        <f t="shared" si="527"/>
        <v>2.5</v>
      </c>
      <c r="AF6310" s="580">
        <f t="shared" si="528"/>
        <v>2.5</v>
      </c>
      <c r="AG6310" s="580">
        <f t="shared" si="529"/>
        <v>0</v>
      </c>
      <c r="AH6310" s="580">
        <f t="shared" si="530"/>
        <v>0</v>
      </c>
    </row>
    <row r="6311" spans="28:34">
      <c r="AB6311" s="580">
        <f>HLOOKUP("*"&amp;'Output annual'!$AC$2&amp;'Output annual'!$AD$2&amp;"*Zone People Number Of Occupants [](Hourly)",'Eplus results'!$1:$1048576,ROW(),FALSE)</f>
        <v>0</v>
      </c>
      <c r="AC6311" s="580">
        <f>HLOOKUP("*"&amp;'Output annual'!$AC$2&amp;'Output annual'!$AD$2&amp;"*FangerPMV(Hourly)",'Eplus results'!$1:$1048576,ROW(),FALSE)</f>
        <v>0</v>
      </c>
      <c r="AD6311" s="580">
        <f t="shared" si="526"/>
        <v>5</v>
      </c>
      <c r="AE6311" s="580">
        <f t="shared" si="527"/>
        <v>2.5</v>
      </c>
      <c r="AF6311" s="580">
        <f t="shared" si="528"/>
        <v>2.5</v>
      </c>
      <c r="AG6311" s="580">
        <f t="shared" si="529"/>
        <v>0</v>
      </c>
      <c r="AH6311" s="580">
        <f t="shared" si="530"/>
        <v>0</v>
      </c>
    </row>
    <row r="6312" spans="28:34">
      <c r="AB6312" s="580">
        <f>HLOOKUP("*"&amp;'Output annual'!$AC$2&amp;'Output annual'!$AD$2&amp;"*Zone People Number Of Occupants [](Hourly)",'Eplus results'!$1:$1048576,ROW(),FALSE)</f>
        <v>0</v>
      </c>
      <c r="AC6312" s="580">
        <f>HLOOKUP("*"&amp;'Output annual'!$AC$2&amp;'Output annual'!$AD$2&amp;"*FangerPMV(Hourly)",'Eplus results'!$1:$1048576,ROW(),FALSE)</f>
        <v>0</v>
      </c>
      <c r="AD6312" s="580">
        <f t="shared" si="526"/>
        <v>5</v>
      </c>
      <c r="AE6312" s="580">
        <f t="shared" si="527"/>
        <v>2.5</v>
      </c>
      <c r="AF6312" s="580">
        <f t="shared" si="528"/>
        <v>2.5</v>
      </c>
      <c r="AG6312" s="580">
        <f t="shared" si="529"/>
        <v>0</v>
      </c>
      <c r="AH6312" s="580">
        <f t="shared" si="530"/>
        <v>0</v>
      </c>
    </row>
    <row r="6313" spans="28:34">
      <c r="AB6313" s="580">
        <f>HLOOKUP("*"&amp;'Output annual'!$AC$2&amp;'Output annual'!$AD$2&amp;"*Zone People Number Of Occupants [](Hourly)",'Eplus results'!$1:$1048576,ROW(),FALSE)</f>
        <v>0</v>
      </c>
      <c r="AC6313" s="580">
        <f>HLOOKUP("*"&amp;'Output annual'!$AC$2&amp;'Output annual'!$AD$2&amp;"*FangerPMV(Hourly)",'Eplus results'!$1:$1048576,ROW(),FALSE)</f>
        <v>0</v>
      </c>
      <c r="AD6313" s="580">
        <f t="shared" si="526"/>
        <v>5</v>
      </c>
      <c r="AE6313" s="580">
        <f t="shared" si="527"/>
        <v>2.5</v>
      </c>
      <c r="AF6313" s="580">
        <f t="shared" si="528"/>
        <v>2.5</v>
      </c>
      <c r="AG6313" s="580">
        <f t="shared" si="529"/>
        <v>0</v>
      </c>
      <c r="AH6313" s="580">
        <f t="shared" si="530"/>
        <v>0</v>
      </c>
    </row>
    <row r="6314" spans="28:34">
      <c r="AB6314" s="580">
        <f>HLOOKUP("*"&amp;'Output annual'!$AC$2&amp;'Output annual'!$AD$2&amp;"*Zone People Number Of Occupants [](Hourly)",'Eplus results'!$1:$1048576,ROW(),FALSE)</f>
        <v>0</v>
      </c>
      <c r="AC6314" s="580">
        <f>HLOOKUP("*"&amp;'Output annual'!$AC$2&amp;'Output annual'!$AD$2&amp;"*FangerPMV(Hourly)",'Eplus results'!$1:$1048576,ROW(),FALSE)</f>
        <v>0</v>
      </c>
      <c r="AD6314" s="580">
        <f t="shared" si="526"/>
        <v>5</v>
      </c>
      <c r="AE6314" s="580">
        <f t="shared" si="527"/>
        <v>2.5</v>
      </c>
      <c r="AF6314" s="580">
        <f t="shared" si="528"/>
        <v>2.5</v>
      </c>
      <c r="AG6314" s="580">
        <f t="shared" si="529"/>
        <v>0</v>
      </c>
      <c r="AH6314" s="580">
        <f t="shared" si="530"/>
        <v>0</v>
      </c>
    </row>
    <row r="6315" spans="28:34">
      <c r="AB6315" s="580">
        <f>HLOOKUP("*"&amp;'Output annual'!$AC$2&amp;'Output annual'!$AD$2&amp;"*Zone People Number Of Occupants [](Hourly)",'Eplus results'!$1:$1048576,ROW(),FALSE)</f>
        <v>0</v>
      </c>
      <c r="AC6315" s="580">
        <f>HLOOKUP("*"&amp;'Output annual'!$AC$2&amp;'Output annual'!$AD$2&amp;"*FangerPMV(Hourly)",'Eplus results'!$1:$1048576,ROW(),FALSE)</f>
        <v>0</v>
      </c>
      <c r="AD6315" s="580">
        <f t="shared" si="526"/>
        <v>5</v>
      </c>
      <c r="AE6315" s="580">
        <f t="shared" si="527"/>
        <v>2.5</v>
      </c>
      <c r="AF6315" s="580">
        <f t="shared" si="528"/>
        <v>2.5</v>
      </c>
      <c r="AG6315" s="580">
        <f t="shared" si="529"/>
        <v>0</v>
      </c>
      <c r="AH6315" s="580">
        <f t="shared" si="530"/>
        <v>0</v>
      </c>
    </row>
    <row r="6316" spans="28:34">
      <c r="AB6316" s="580">
        <f>HLOOKUP("*"&amp;'Output annual'!$AC$2&amp;'Output annual'!$AD$2&amp;"*Zone People Number Of Occupants [](Hourly)",'Eplus results'!$1:$1048576,ROW(),FALSE)</f>
        <v>0</v>
      </c>
      <c r="AC6316" s="580">
        <f>HLOOKUP("*"&amp;'Output annual'!$AC$2&amp;'Output annual'!$AD$2&amp;"*FangerPMV(Hourly)",'Eplus results'!$1:$1048576,ROW(),FALSE)</f>
        <v>0</v>
      </c>
      <c r="AD6316" s="580">
        <f t="shared" si="526"/>
        <v>5</v>
      </c>
      <c r="AE6316" s="580">
        <f t="shared" si="527"/>
        <v>2.5</v>
      </c>
      <c r="AF6316" s="580">
        <f t="shared" si="528"/>
        <v>2.5</v>
      </c>
      <c r="AG6316" s="580">
        <f t="shared" si="529"/>
        <v>0</v>
      </c>
      <c r="AH6316" s="580">
        <f t="shared" si="530"/>
        <v>0</v>
      </c>
    </row>
    <row r="6317" spans="28:34">
      <c r="AB6317" s="580">
        <f>HLOOKUP("*"&amp;'Output annual'!$AC$2&amp;'Output annual'!$AD$2&amp;"*Zone People Number Of Occupants [](Hourly)",'Eplus results'!$1:$1048576,ROW(),FALSE)</f>
        <v>0</v>
      </c>
      <c r="AC6317" s="580">
        <f>HLOOKUP("*"&amp;'Output annual'!$AC$2&amp;'Output annual'!$AD$2&amp;"*FangerPMV(Hourly)",'Eplus results'!$1:$1048576,ROW(),FALSE)</f>
        <v>0</v>
      </c>
      <c r="AD6317" s="580">
        <f t="shared" si="526"/>
        <v>5</v>
      </c>
      <c r="AE6317" s="580">
        <f t="shared" si="527"/>
        <v>2.5</v>
      </c>
      <c r="AF6317" s="580">
        <f t="shared" si="528"/>
        <v>2.5</v>
      </c>
      <c r="AG6317" s="580">
        <f t="shared" si="529"/>
        <v>0</v>
      </c>
      <c r="AH6317" s="580">
        <f t="shared" si="530"/>
        <v>0</v>
      </c>
    </row>
    <row r="6318" spans="28:34">
      <c r="AB6318" s="580">
        <f>HLOOKUP("*"&amp;'Output annual'!$AC$2&amp;'Output annual'!$AD$2&amp;"*Zone People Number Of Occupants [](Hourly)",'Eplus results'!$1:$1048576,ROW(),FALSE)</f>
        <v>0</v>
      </c>
      <c r="AC6318" s="580">
        <f>HLOOKUP("*"&amp;'Output annual'!$AC$2&amp;'Output annual'!$AD$2&amp;"*FangerPMV(Hourly)",'Eplus results'!$1:$1048576,ROW(),FALSE)</f>
        <v>0</v>
      </c>
      <c r="AD6318" s="580">
        <f t="shared" si="526"/>
        <v>5</v>
      </c>
      <c r="AE6318" s="580">
        <f t="shared" si="527"/>
        <v>2.5</v>
      </c>
      <c r="AF6318" s="580">
        <f t="shared" si="528"/>
        <v>2.5</v>
      </c>
      <c r="AG6318" s="580">
        <f t="shared" si="529"/>
        <v>0</v>
      </c>
      <c r="AH6318" s="580">
        <f t="shared" si="530"/>
        <v>0</v>
      </c>
    </row>
    <row r="6319" spans="28:34">
      <c r="AB6319" s="580">
        <f>HLOOKUP("*"&amp;'Output annual'!$AC$2&amp;'Output annual'!$AD$2&amp;"*Zone People Number Of Occupants [](Hourly)",'Eplus results'!$1:$1048576,ROW(),FALSE)</f>
        <v>0</v>
      </c>
      <c r="AC6319" s="580">
        <f>HLOOKUP("*"&amp;'Output annual'!$AC$2&amp;'Output annual'!$AD$2&amp;"*FangerPMV(Hourly)",'Eplus results'!$1:$1048576,ROW(),FALSE)</f>
        <v>0</v>
      </c>
      <c r="AD6319" s="580">
        <f t="shared" si="526"/>
        <v>5</v>
      </c>
      <c r="AE6319" s="580">
        <f t="shared" si="527"/>
        <v>2.5</v>
      </c>
      <c r="AF6319" s="580">
        <f t="shared" si="528"/>
        <v>2.5</v>
      </c>
      <c r="AG6319" s="580">
        <f t="shared" si="529"/>
        <v>0</v>
      </c>
      <c r="AH6319" s="580">
        <f t="shared" si="530"/>
        <v>0</v>
      </c>
    </row>
    <row r="6320" spans="28:34">
      <c r="AB6320" s="580">
        <f>HLOOKUP("*"&amp;'Output annual'!$AC$2&amp;'Output annual'!$AD$2&amp;"*Zone People Number Of Occupants [](Hourly)",'Eplus results'!$1:$1048576,ROW(),FALSE)</f>
        <v>0</v>
      </c>
      <c r="AC6320" s="580">
        <f>HLOOKUP("*"&amp;'Output annual'!$AC$2&amp;'Output annual'!$AD$2&amp;"*FangerPMV(Hourly)",'Eplus results'!$1:$1048576,ROW(),FALSE)</f>
        <v>0</v>
      </c>
      <c r="AD6320" s="580">
        <f t="shared" si="526"/>
        <v>5</v>
      </c>
      <c r="AE6320" s="580">
        <f t="shared" si="527"/>
        <v>2.5</v>
      </c>
      <c r="AF6320" s="580">
        <f t="shared" si="528"/>
        <v>2.5</v>
      </c>
      <c r="AG6320" s="580">
        <f t="shared" si="529"/>
        <v>0</v>
      </c>
      <c r="AH6320" s="580">
        <f t="shared" si="530"/>
        <v>0</v>
      </c>
    </row>
    <row r="6321" spans="28:34">
      <c r="AB6321" s="580">
        <f>HLOOKUP("*"&amp;'Output annual'!$AC$2&amp;'Output annual'!$AD$2&amp;"*Zone People Number Of Occupants [](Hourly)",'Eplus results'!$1:$1048576,ROW(),FALSE)</f>
        <v>0</v>
      </c>
      <c r="AC6321" s="580">
        <f>HLOOKUP("*"&amp;'Output annual'!$AC$2&amp;'Output annual'!$AD$2&amp;"*FangerPMV(Hourly)",'Eplus results'!$1:$1048576,ROW(),FALSE)</f>
        <v>0</v>
      </c>
      <c r="AD6321" s="580">
        <f t="shared" si="526"/>
        <v>5</v>
      </c>
      <c r="AE6321" s="580">
        <f t="shared" si="527"/>
        <v>2.5</v>
      </c>
      <c r="AF6321" s="580">
        <f t="shared" si="528"/>
        <v>2.5</v>
      </c>
      <c r="AG6321" s="580">
        <f t="shared" si="529"/>
        <v>0</v>
      </c>
      <c r="AH6321" s="580">
        <f t="shared" si="530"/>
        <v>0</v>
      </c>
    </row>
    <row r="6322" spans="28:34">
      <c r="AB6322" s="580">
        <f>HLOOKUP("*"&amp;'Output annual'!$AC$2&amp;'Output annual'!$AD$2&amp;"*Zone People Number Of Occupants [](Hourly)",'Eplus results'!$1:$1048576,ROW(),FALSE)</f>
        <v>0</v>
      </c>
      <c r="AC6322" s="580">
        <f>HLOOKUP("*"&amp;'Output annual'!$AC$2&amp;'Output annual'!$AD$2&amp;"*FangerPMV(Hourly)",'Eplus results'!$1:$1048576,ROW(),FALSE)</f>
        <v>0</v>
      </c>
      <c r="AD6322" s="580">
        <f t="shared" si="526"/>
        <v>5</v>
      </c>
      <c r="AE6322" s="580">
        <f t="shared" si="527"/>
        <v>2.5</v>
      </c>
      <c r="AF6322" s="580">
        <f t="shared" si="528"/>
        <v>2.5</v>
      </c>
      <c r="AG6322" s="580">
        <f t="shared" si="529"/>
        <v>0</v>
      </c>
      <c r="AH6322" s="580">
        <f t="shared" si="530"/>
        <v>0</v>
      </c>
    </row>
    <row r="6323" spans="28:34">
      <c r="AB6323" s="580">
        <f>HLOOKUP("*"&amp;'Output annual'!$AC$2&amp;'Output annual'!$AD$2&amp;"*Zone People Number Of Occupants [](Hourly)",'Eplus results'!$1:$1048576,ROW(),FALSE)</f>
        <v>0</v>
      </c>
      <c r="AC6323" s="580">
        <f>HLOOKUP("*"&amp;'Output annual'!$AC$2&amp;'Output annual'!$AD$2&amp;"*FangerPMV(Hourly)",'Eplus results'!$1:$1048576,ROW(),FALSE)</f>
        <v>0</v>
      </c>
      <c r="AD6323" s="580">
        <f t="shared" si="526"/>
        <v>5</v>
      </c>
      <c r="AE6323" s="580">
        <f t="shared" si="527"/>
        <v>2.5</v>
      </c>
      <c r="AF6323" s="580">
        <f t="shared" si="528"/>
        <v>2.5</v>
      </c>
      <c r="AG6323" s="580">
        <f t="shared" si="529"/>
        <v>0</v>
      </c>
      <c r="AH6323" s="580">
        <f t="shared" si="530"/>
        <v>0</v>
      </c>
    </row>
    <row r="6324" spans="28:34">
      <c r="AB6324" s="580">
        <f>HLOOKUP("*"&amp;'Output annual'!$AC$2&amp;'Output annual'!$AD$2&amp;"*Zone People Number Of Occupants [](Hourly)",'Eplus results'!$1:$1048576,ROW(),FALSE)</f>
        <v>0</v>
      </c>
      <c r="AC6324" s="580">
        <f>HLOOKUP("*"&amp;'Output annual'!$AC$2&amp;'Output annual'!$AD$2&amp;"*FangerPMV(Hourly)",'Eplus results'!$1:$1048576,ROW(),FALSE)</f>
        <v>0</v>
      </c>
      <c r="AD6324" s="580">
        <f t="shared" si="526"/>
        <v>5</v>
      </c>
      <c r="AE6324" s="580">
        <f t="shared" si="527"/>
        <v>2.5</v>
      </c>
      <c r="AF6324" s="580">
        <f t="shared" si="528"/>
        <v>2.5</v>
      </c>
      <c r="AG6324" s="580">
        <f t="shared" si="529"/>
        <v>0</v>
      </c>
      <c r="AH6324" s="580">
        <f t="shared" si="530"/>
        <v>0</v>
      </c>
    </row>
    <row r="6325" spans="28:34">
      <c r="AB6325" s="580">
        <f>HLOOKUP("*"&amp;'Output annual'!$AC$2&amp;'Output annual'!$AD$2&amp;"*Zone People Number Of Occupants [](Hourly)",'Eplus results'!$1:$1048576,ROW(),FALSE)</f>
        <v>0</v>
      </c>
      <c r="AC6325" s="580">
        <f>HLOOKUP("*"&amp;'Output annual'!$AC$2&amp;'Output annual'!$AD$2&amp;"*FangerPMV(Hourly)",'Eplus results'!$1:$1048576,ROW(),FALSE)</f>
        <v>0</v>
      </c>
      <c r="AD6325" s="580">
        <f t="shared" si="526"/>
        <v>5</v>
      </c>
      <c r="AE6325" s="580">
        <f t="shared" si="527"/>
        <v>2.5</v>
      </c>
      <c r="AF6325" s="580">
        <f t="shared" si="528"/>
        <v>2.5</v>
      </c>
      <c r="AG6325" s="580">
        <f t="shared" si="529"/>
        <v>0</v>
      </c>
      <c r="AH6325" s="580">
        <f t="shared" si="530"/>
        <v>0</v>
      </c>
    </row>
    <row r="6326" spans="28:34">
      <c r="AB6326" s="580">
        <f>HLOOKUP("*"&amp;'Output annual'!$AC$2&amp;'Output annual'!$AD$2&amp;"*Zone People Number Of Occupants [](Hourly)",'Eplus results'!$1:$1048576,ROW(),FALSE)</f>
        <v>0</v>
      </c>
      <c r="AC6326" s="580">
        <f>HLOOKUP("*"&amp;'Output annual'!$AC$2&amp;'Output annual'!$AD$2&amp;"*FangerPMV(Hourly)",'Eplus results'!$1:$1048576,ROW(),FALSE)</f>
        <v>0</v>
      </c>
      <c r="AD6326" s="580">
        <f t="shared" si="526"/>
        <v>5</v>
      </c>
      <c r="AE6326" s="580">
        <f t="shared" si="527"/>
        <v>2.5</v>
      </c>
      <c r="AF6326" s="580">
        <f t="shared" si="528"/>
        <v>2.5</v>
      </c>
      <c r="AG6326" s="580">
        <f t="shared" si="529"/>
        <v>0</v>
      </c>
      <c r="AH6326" s="580">
        <f t="shared" si="530"/>
        <v>0</v>
      </c>
    </row>
    <row r="6327" spans="28:34">
      <c r="AB6327" s="580">
        <f>HLOOKUP("*"&amp;'Output annual'!$AC$2&amp;'Output annual'!$AD$2&amp;"*Zone People Number Of Occupants [](Hourly)",'Eplus results'!$1:$1048576,ROW(),FALSE)</f>
        <v>0</v>
      </c>
      <c r="AC6327" s="580">
        <f>HLOOKUP("*"&amp;'Output annual'!$AC$2&amp;'Output annual'!$AD$2&amp;"*FangerPMV(Hourly)",'Eplus results'!$1:$1048576,ROW(),FALSE)</f>
        <v>0</v>
      </c>
      <c r="AD6327" s="580">
        <f t="shared" si="526"/>
        <v>5</v>
      </c>
      <c r="AE6327" s="580">
        <f t="shared" si="527"/>
        <v>2.5</v>
      </c>
      <c r="AF6327" s="580">
        <f t="shared" si="528"/>
        <v>2.5</v>
      </c>
      <c r="AG6327" s="580">
        <f t="shared" si="529"/>
        <v>0</v>
      </c>
      <c r="AH6327" s="580">
        <f t="shared" si="530"/>
        <v>0</v>
      </c>
    </row>
    <row r="6328" spans="28:34">
      <c r="AB6328" s="580">
        <f>HLOOKUP("*"&amp;'Output annual'!$AC$2&amp;'Output annual'!$AD$2&amp;"*Zone People Number Of Occupants [](Hourly)",'Eplus results'!$1:$1048576,ROW(),FALSE)</f>
        <v>0</v>
      </c>
      <c r="AC6328" s="580">
        <f>HLOOKUP("*"&amp;'Output annual'!$AC$2&amp;'Output annual'!$AD$2&amp;"*FangerPMV(Hourly)",'Eplus results'!$1:$1048576,ROW(),FALSE)</f>
        <v>0</v>
      </c>
      <c r="AD6328" s="580">
        <f t="shared" si="526"/>
        <v>5</v>
      </c>
      <c r="AE6328" s="580">
        <f t="shared" si="527"/>
        <v>2.5</v>
      </c>
      <c r="AF6328" s="580">
        <f t="shared" si="528"/>
        <v>2.5</v>
      </c>
      <c r="AG6328" s="580">
        <f t="shared" si="529"/>
        <v>0</v>
      </c>
      <c r="AH6328" s="580">
        <f t="shared" si="530"/>
        <v>0</v>
      </c>
    </row>
    <row r="6329" spans="28:34">
      <c r="AB6329" s="580">
        <f>HLOOKUP("*"&amp;'Output annual'!$AC$2&amp;'Output annual'!$AD$2&amp;"*Zone People Number Of Occupants [](Hourly)",'Eplus results'!$1:$1048576,ROW(),FALSE)</f>
        <v>0</v>
      </c>
      <c r="AC6329" s="580">
        <f>HLOOKUP("*"&amp;'Output annual'!$AC$2&amp;'Output annual'!$AD$2&amp;"*FangerPMV(Hourly)",'Eplus results'!$1:$1048576,ROW(),FALSE)</f>
        <v>0</v>
      </c>
      <c r="AD6329" s="580">
        <f t="shared" si="526"/>
        <v>5</v>
      </c>
      <c r="AE6329" s="580">
        <f t="shared" si="527"/>
        <v>2.5</v>
      </c>
      <c r="AF6329" s="580">
        <f t="shared" si="528"/>
        <v>2.5</v>
      </c>
      <c r="AG6329" s="580">
        <f t="shared" si="529"/>
        <v>0</v>
      </c>
      <c r="AH6329" s="580">
        <f t="shared" si="530"/>
        <v>0</v>
      </c>
    </row>
    <row r="6330" spans="28:34">
      <c r="AB6330" s="580">
        <f>HLOOKUP("*"&amp;'Output annual'!$AC$2&amp;'Output annual'!$AD$2&amp;"*Zone People Number Of Occupants [](Hourly)",'Eplus results'!$1:$1048576,ROW(),FALSE)</f>
        <v>0</v>
      </c>
      <c r="AC6330" s="580">
        <f>HLOOKUP("*"&amp;'Output annual'!$AC$2&amp;'Output annual'!$AD$2&amp;"*FangerPMV(Hourly)",'Eplus results'!$1:$1048576,ROW(),FALSE)</f>
        <v>0</v>
      </c>
      <c r="AD6330" s="580">
        <f t="shared" si="526"/>
        <v>5</v>
      </c>
      <c r="AE6330" s="580">
        <f t="shared" si="527"/>
        <v>2.5</v>
      </c>
      <c r="AF6330" s="580">
        <f t="shared" si="528"/>
        <v>2.5</v>
      </c>
      <c r="AG6330" s="580">
        <f t="shared" si="529"/>
        <v>0</v>
      </c>
      <c r="AH6330" s="580">
        <f t="shared" si="530"/>
        <v>0</v>
      </c>
    </row>
    <row r="6331" spans="28:34">
      <c r="AB6331" s="580">
        <f>HLOOKUP("*"&amp;'Output annual'!$AC$2&amp;'Output annual'!$AD$2&amp;"*Zone People Number Of Occupants [](Hourly)",'Eplus results'!$1:$1048576,ROW(),FALSE)</f>
        <v>0</v>
      </c>
      <c r="AC6331" s="580">
        <f>HLOOKUP("*"&amp;'Output annual'!$AC$2&amp;'Output annual'!$AD$2&amp;"*FangerPMV(Hourly)",'Eplus results'!$1:$1048576,ROW(),FALSE)</f>
        <v>0</v>
      </c>
      <c r="AD6331" s="580">
        <f t="shared" si="526"/>
        <v>5</v>
      </c>
      <c r="AE6331" s="580">
        <f t="shared" si="527"/>
        <v>2.5</v>
      </c>
      <c r="AF6331" s="580">
        <f t="shared" si="528"/>
        <v>2.5</v>
      </c>
      <c r="AG6331" s="580">
        <f t="shared" si="529"/>
        <v>0</v>
      </c>
      <c r="AH6331" s="580">
        <f t="shared" si="530"/>
        <v>0</v>
      </c>
    </row>
    <row r="6332" spans="28:34">
      <c r="AB6332" s="580">
        <f>HLOOKUP("*"&amp;'Output annual'!$AC$2&amp;'Output annual'!$AD$2&amp;"*Zone People Number Of Occupants [](Hourly)",'Eplus results'!$1:$1048576,ROW(),FALSE)</f>
        <v>0</v>
      </c>
      <c r="AC6332" s="580">
        <f>HLOOKUP("*"&amp;'Output annual'!$AC$2&amp;'Output annual'!$AD$2&amp;"*FangerPMV(Hourly)",'Eplus results'!$1:$1048576,ROW(),FALSE)</f>
        <v>0</v>
      </c>
      <c r="AD6332" s="580">
        <f t="shared" si="526"/>
        <v>5</v>
      </c>
      <c r="AE6332" s="580">
        <f t="shared" si="527"/>
        <v>2.5</v>
      </c>
      <c r="AF6332" s="580">
        <f t="shared" si="528"/>
        <v>2.5</v>
      </c>
      <c r="AG6332" s="580">
        <f t="shared" si="529"/>
        <v>0</v>
      </c>
      <c r="AH6332" s="580">
        <f t="shared" si="530"/>
        <v>0</v>
      </c>
    </row>
    <row r="6333" spans="28:34">
      <c r="AB6333" s="580">
        <f>HLOOKUP("*"&amp;'Output annual'!$AC$2&amp;'Output annual'!$AD$2&amp;"*Zone People Number Of Occupants [](Hourly)",'Eplus results'!$1:$1048576,ROW(),FALSE)</f>
        <v>0</v>
      </c>
      <c r="AC6333" s="580">
        <f>HLOOKUP("*"&amp;'Output annual'!$AC$2&amp;'Output annual'!$AD$2&amp;"*FangerPMV(Hourly)",'Eplus results'!$1:$1048576,ROW(),FALSE)</f>
        <v>0</v>
      </c>
      <c r="AD6333" s="580">
        <f t="shared" si="526"/>
        <v>5</v>
      </c>
      <c r="AE6333" s="580">
        <f t="shared" si="527"/>
        <v>2.5</v>
      </c>
      <c r="AF6333" s="580">
        <f t="shared" si="528"/>
        <v>2.5</v>
      </c>
      <c r="AG6333" s="580">
        <f t="shared" si="529"/>
        <v>0</v>
      </c>
      <c r="AH6333" s="580">
        <f t="shared" si="530"/>
        <v>0</v>
      </c>
    </row>
    <row r="6334" spans="28:34">
      <c r="AB6334" s="580">
        <f>HLOOKUP("*"&amp;'Output annual'!$AC$2&amp;'Output annual'!$AD$2&amp;"*Zone People Number Of Occupants [](Hourly)",'Eplus results'!$1:$1048576,ROW(),FALSE)</f>
        <v>0</v>
      </c>
      <c r="AC6334" s="580">
        <f>HLOOKUP("*"&amp;'Output annual'!$AC$2&amp;'Output annual'!$AD$2&amp;"*FangerPMV(Hourly)",'Eplus results'!$1:$1048576,ROW(),FALSE)</f>
        <v>0</v>
      </c>
      <c r="AD6334" s="580">
        <f t="shared" si="526"/>
        <v>5</v>
      </c>
      <c r="AE6334" s="580">
        <f t="shared" si="527"/>
        <v>2.5</v>
      </c>
      <c r="AF6334" s="580">
        <f t="shared" si="528"/>
        <v>2.5</v>
      </c>
      <c r="AG6334" s="580">
        <f t="shared" si="529"/>
        <v>0</v>
      </c>
      <c r="AH6334" s="580">
        <f t="shared" si="530"/>
        <v>0</v>
      </c>
    </row>
    <row r="6335" spans="28:34">
      <c r="AB6335" s="580">
        <f>HLOOKUP("*"&amp;'Output annual'!$AC$2&amp;'Output annual'!$AD$2&amp;"*Zone People Number Of Occupants [](Hourly)",'Eplus results'!$1:$1048576,ROW(),FALSE)</f>
        <v>0</v>
      </c>
      <c r="AC6335" s="580">
        <f>HLOOKUP("*"&amp;'Output annual'!$AC$2&amp;'Output annual'!$AD$2&amp;"*FangerPMV(Hourly)",'Eplus results'!$1:$1048576,ROW(),FALSE)</f>
        <v>0</v>
      </c>
      <c r="AD6335" s="580">
        <f t="shared" si="526"/>
        <v>5</v>
      </c>
      <c r="AE6335" s="580">
        <f t="shared" si="527"/>
        <v>2.5</v>
      </c>
      <c r="AF6335" s="580">
        <f t="shared" si="528"/>
        <v>2.5</v>
      </c>
      <c r="AG6335" s="580">
        <f t="shared" si="529"/>
        <v>0</v>
      </c>
      <c r="AH6335" s="580">
        <f t="shared" si="530"/>
        <v>0</v>
      </c>
    </row>
    <row r="6336" spans="28:34">
      <c r="AB6336" s="580">
        <f>HLOOKUP("*"&amp;'Output annual'!$AC$2&amp;'Output annual'!$AD$2&amp;"*Zone People Number Of Occupants [](Hourly)",'Eplus results'!$1:$1048576,ROW(),FALSE)</f>
        <v>0</v>
      </c>
      <c r="AC6336" s="580">
        <f>HLOOKUP("*"&amp;'Output annual'!$AC$2&amp;'Output annual'!$AD$2&amp;"*FangerPMV(Hourly)",'Eplus results'!$1:$1048576,ROW(),FALSE)</f>
        <v>0</v>
      </c>
      <c r="AD6336" s="580">
        <f t="shared" si="526"/>
        <v>5</v>
      </c>
      <c r="AE6336" s="580">
        <f t="shared" si="527"/>
        <v>2.5</v>
      </c>
      <c r="AF6336" s="580">
        <f t="shared" si="528"/>
        <v>2.5</v>
      </c>
      <c r="AG6336" s="580">
        <f t="shared" si="529"/>
        <v>0</v>
      </c>
      <c r="AH6336" s="580">
        <f t="shared" si="530"/>
        <v>0</v>
      </c>
    </row>
    <row r="6337" spans="28:34">
      <c r="AB6337" s="580">
        <f>HLOOKUP("*"&amp;'Output annual'!$AC$2&amp;'Output annual'!$AD$2&amp;"*Zone People Number Of Occupants [](Hourly)",'Eplus results'!$1:$1048576,ROW(),FALSE)</f>
        <v>0</v>
      </c>
      <c r="AC6337" s="580">
        <f>HLOOKUP("*"&amp;'Output annual'!$AC$2&amp;'Output annual'!$AD$2&amp;"*FangerPMV(Hourly)",'Eplus results'!$1:$1048576,ROW(),FALSE)</f>
        <v>0</v>
      </c>
      <c r="AD6337" s="580">
        <f t="shared" si="526"/>
        <v>5</v>
      </c>
      <c r="AE6337" s="580">
        <f t="shared" si="527"/>
        <v>2.5</v>
      </c>
      <c r="AF6337" s="580">
        <f t="shared" si="528"/>
        <v>2.5</v>
      </c>
      <c r="AG6337" s="580">
        <f t="shared" si="529"/>
        <v>0</v>
      </c>
      <c r="AH6337" s="580">
        <f t="shared" si="530"/>
        <v>0</v>
      </c>
    </row>
    <row r="6338" spans="28:34">
      <c r="AB6338" s="580">
        <f>HLOOKUP("*"&amp;'Output annual'!$AC$2&amp;'Output annual'!$AD$2&amp;"*Zone People Number Of Occupants [](Hourly)",'Eplus results'!$1:$1048576,ROW(),FALSE)</f>
        <v>0</v>
      </c>
      <c r="AC6338" s="580">
        <f>HLOOKUP("*"&amp;'Output annual'!$AC$2&amp;'Output annual'!$AD$2&amp;"*FangerPMV(Hourly)",'Eplus results'!$1:$1048576,ROW(),FALSE)</f>
        <v>0</v>
      </c>
      <c r="AD6338" s="580">
        <f t="shared" si="526"/>
        <v>5</v>
      </c>
      <c r="AE6338" s="580">
        <f t="shared" si="527"/>
        <v>2.5</v>
      </c>
      <c r="AF6338" s="580">
        <f t="shared" si="528"/>
        <v>2.5</v>
      </c>
      <c r="AG6338" s="580">
        <f t="shared" si="529"/>
        <v>0</v>
      </c>
      <c r="AH6338" s="580">
        <f t="shared" si="530"/>
        <v>0</v>
      </c>
    </row>
    <row r="6339" spans="28:34">
      <c r="AB6339" s="580">
        <f>HLOOKUP("*"&amp;'Output annual'!$AC$2&amp;'Output annual'!$AD$2&amp;"*Zone People Number Of Occupants [](Hourly)",'Eplus results'!$1:$1048576,ROW(),FALSE)</f>
        <v>0</v>
      </c>
      <c r="AC6339" s="580">
        <f>HLOOKUP("*"&amp;'Output annual'!$AC$2&amp;'Output annual'!$AD$2&amp;"*FangerPMV(Hourly)",'Eplus results'!$1:$1048576,ROW(),FALSE)</f>
        <v>0</v>
      </c>
      <c r="AD6339" s="580">
        <f t="shared" ref="AD6339:AD6402" si="531">100-95*EXP(-0.03353*AC6339^4-0.2179*AC6339^2)</f>
        <v>5</v>
      </c>
      <c r="AE6339" s="580">
        <f t="shared" ref="AE6339:AE6402" si="532">AD6339*(1/(1+EXP(-6.3*$AC6339)))</f>
        <v>2.5</v>
      </c>
      <c r="AF6339" s="580">
        <f t="shared" ref="AF6339:AF6402" si="533">(AD6339-AE6339)</f>
        <v>2.5</v>
      </c>
      <c r="AG6339" s="580">
        <f t="shared" ref="AG6339:AG6402" si="534">AE6339*AB6339</f>
        <v>0</v>
      </c>
      <c r="AH6339" s="580">
        <f t="shared" ref="AH6339:AH6402" si="535">AF6339*AB6339</f>
        <v>0</v>
      </c>
    </row>
    <row r="6340" spans="28:34">
      <c r="AB6340" s="580">
        <f>HLOOKUP("*"&amp;'Output annual'!$AC$2&amp;'Output annual'!$AD$2&amp;"*Zone People Number Of Occupants [](Hourly)",'Eplus results'!$1:$1048576,ROW(),FALSE)</f>
        <v>0</v>
      </c>
      <c r="AC6340" s="580">
        <f>HLOOKUP("*"&amp;'Output annual'!$AC$2&amp;'Output annual'!$AD$2&amp;"*FangerPMV(Hourly)",'Eplus results'!$1:$1048576,ROW(),FALSE)</f>
        <v>0</v>
      </c>
      <c r="AD6340" s="580">
        <f t="shared" si="531"/>
        <v>5</v>
      </c>
      <c r="AE6340" s="580">
        <f t="shared" si="532"/>
        <v>2.5</v>
      </c>
      <c r="AF6340" s="580">
        <f t="shared" si="533"/>
        <v>2.5</v>
      </c>
      <c r="AG6340" s="580">
        <f t="shared" si="534"/>
        <v>0</v>
      </c>
      <c r="AH6340" s="580">
        <f t="shared" si="535"/>
        <v>0</v>
      </c>
    </row>
    <row r="6341" spans="28:34">
      <c r="AB6341" s="580">
        <f>HLOOKUP("*"&amp;'Output annual'!$AC$2&amp;'Output annual'!$AD$2&amp;"*Zone People Number Of Occupants [](Hourly)",'Eplus results'!$1:$1048576,ROW(),FALSE)</f>
        <v>0</v>
      </c>
      <c r="AC6341" s="580">
        <f>HLOOKUP("*"&amp;'Output annual'!$AC$2&amp;'Output annual'!$AD$2&amp;"*FangerPMV(Hourly)",'Eplus results'!$1:$1048576,ROW(),FALSE)</f>
        <v>0</v>
      </c>
      <c r="AD6341" s="580">
        <f t="shared" si="531"/>
        <v>5</v>
      </c>
      <c r="AE6341" s="580">
        <f t="shared" si="532"/>
        <v>2.5</v>
      </c>
      <c r="AF6341" s="580">
        <f t="shared" si="533"/>
        <v>2.5</v>
      </c>
      <c r="AG6341" s="580">
        <f t="shared" si="534"/>
        <v>0</v>
      </c>
      <c r="AH6341" s="580">
        <f t="shared" si="535"/>
        <v>0</v>
      </c>
    </row>
    <row r="6342" spans="28:34">
      <c r="AB6342" s="580">
        <f>HLOOKUP("*"&amp;'Output annual'!$AC$2&amp;'Output annual'!$AD$2&amp;"*Zone People Number Of Occupants [](Hourly)",'Eplus results'!$1:$1048576,ROW(),FALSE)</f>
        <v>0</v>
      </c>
      <c r="AC6342" s="580">
        <f>HLOOKUP("*"&amp;'Output annual'!$AC$2&amp;'Output annual'!$AD$2&amp;"*FangerPMV(Hourly)",'Eplus results'!$1:$1048576,ROW(),FALSE)</f>
        <v>0</v>
      </c>
      <c r="AD6342" s="580">
        <f t="shared" si="531"/>
        <v>5</v>
      </c>
      <c r="AE6342" s="580">
        <f t="shared" si="532"/>
        <v>2.5</v>
      </c>
      <c r="AF6342" s="580">
        <f t="shared" si="533"/>
        <v>2.5</v>
      </c>
      <c r="AG6342" s="580">
        <f t="shared" si="534"/>
        <v>0</v>
      </c>
      <c r="AH6342" s="580">
        <f t="shared" si="535"/>
        <v>0</v>
      </c>
    </row>
    <row r="6343" spans="28:34">
      <c r="AB6343" s="580">
        <f>HLOOKUP("*"&amp;'Output annual'!$AC$2&amp;'Output annual'!$AD$2&amp;"*Zone People Number Of Occupants [](Hourly)",'Eplus results'!$1:$1048576,ROW(),FALSE)</f>
        <v>0</v>
      </c>
      <c r="AC6343" s="580">
        <f>HLOOKUP("*"&amp;'Output annual'!$AC$2&amp;'Output annual'!$AD$2&amp;"*FangerPMV(Hourly)",'Eplus results'!$1:$1048576,ROW(),FALSE)</f>
        <v>0</v>
      </c>
      <c r="AD6343" s="580">
        <f t="shared" si="531"/>
        <v>5</v>
      </c>
      <c r="AE6343" s="580">
        <f t="shared" si="532"/>
        <v>2.5</v>
      </c>
      <c r="AF6343" s="580">
        <f t="shared" si="533"/>
        <v>2.5</v>
      </c>
      <c r="AG6343" s="580">
        <f t="shared" si="534"/>
        <v>0</v>
      </c>
      <c r="AH6343" s="580">
        <f t="shared" si="535"/>
        <v>0</v>
      </c>
    </row>
    <row r="6344" spans="28:34">
      <c r="AB6344" s="580">
        <f>HLOOKUP("*"&amp;'Output annual'!$AC$2&amp;'Output annual'!$AD$2&amp;"*Zone People Number Of Occupants [](Hourly)",'Eplus results'!$1:$1048576,ROW(),FALSE)</f>
        <v>0</v>
      </c>
      <c r="AC6344" s="580">
        <f>HLOOKUP("*"&amp;'Output annual'!$AC$2&amp;'Output annual'!$AD$2&amp;"*FangerPMV(Hourly)",'Eplus results'!$1:$1048576,ROW(),FALSE)</f>
        <v>0</v>
      </c>
      <c r="AD6344" s="580">
        <f t="shared" si="531"/>
        <v>5</v>
      </c>
      <c r="AE6344" s="580">
        <f t="shared" si="532"/>
        <v>2.5</v>
      </c>
      <c r="AF6344" s="580">
        <f t="shared" si="533"/>
        <v>2.5</v>
      </c>
      <c r="AG6344" s="580">
        <f t="shared" si="534"/>
        <v>0</v>
      </c>
      <c r="AH6344" s="580">
        <f t="shared" si="535"/>
        <v>0</v>
      </c>
    </row>
    <row r="6345" spans="28:34">
      <c r="AB6345" s="580">
        <f>HLOOKUP("*"&amp;'Output annual'!$AC$2&amp;'Output annual'!$AD$2&amp;"*Zone People Number Of Occupants [](Hourly)",'Eplus results'!$1:$1048576,ROW(),FALSE)</f>
        <v>0</v>
      </c>
      <c r="AC6345" s="580">
        <f>HLOOKUP("*"&amp;'Output annual'!$AC$2&amp;'Output annual'!$AD$2&amp;"*FangerPMV(Hourly)",'Eplus results'!$1:$1048576,ROW(),FALSE)</f>
        <v>0</v>
      </c>
      <c r="AD6345" s="580">
        <f t="shared" si="531"/>
        <v>5</v>
      </c>
      <c r="AE6345" s="580">
        <f t="shared" si="532"/>
        <v>2.5</v>
      </c>
      <c r="AF6345" s="580">
        <f t="shared" si="533"/>
        <v>2.5</v>
      </c>
      <c r="AG6345" s="580">
        <f t="shared" si="534"/>
        <v>0</v>
      </c>
      <c r="AH6345" s="580">
        <f t="shared" si="535"/>
        <v>0</v>
      </c>
    </row>
    <row r="6346" spans="28:34">
      <c r="AB6346" s="580">
        <f>HLOOKUP("*"&amp;'Output annual'!$AC$2&amp;'Output annual'!$AD$2&amp;"*Zone People Number Of Occupants [](Hourly)",'Eplus results'!$1:$1048576,ROW(),FALSE)</f>
        <v>0</v>
      </c>
      <c r="AC6346" s="580">
        <f>HLOOKUP("*"&amp;'Output annual'!$AC$2&amp;'Output annual'!$AD$2&amp;"*FangerPMV(Hourly)",'Eplus results'!$1:$1048576,ROW(),FALSE)</f>
        <v>0</v>
      </c>
      <c r="AD6346" s="580">
        <f t="shared" si="531"/>
        <v>5</v>
      </c>
      <c r="AE6346" s="580">
        <f t="shared" si="532"/>
        <v>2.5</v>
      </c>
      <c r="AF6346" s="580">
        <f t="shared" si="533"/>
        <v>2.5</v>
      </c>
      <c r="AG6346" s="580">
        <f t="shared" si="534"/>
        <v>0</v>
      </c>
      <c r="AH6346" s="580">
        <f t="shared" si="535"/>
        <v>0</v>
      </c>
    </row>
    <row r="6347" spans="28:34">
      <c r="AB6347" s="580">
        <f>HLOOKUP("*"&amp;'Output annual'!$AC$2&amp;'Output annual'!$AD$2&amp;"*Zone People Number Of Occupants [](Hourly)",'Eplus results'!$1:$1048576,ROW(),FALSE)</f>
        <v>0</v>
      </c>
      <c r="AC6347" s="580">
        <f>HLOOKUP("*"&amp;'Output annual'!$AC$2&amp;'Output annual'!$AD$2&amp;"*FangerPMV(Hourly)",'Eplus results'!$1:$1048576,ROW(),FALSE)</f>
        <v>0</v>
      </c>
      <c r="AD6347" s="580">
        <f t="shared" si="531"/>
        <v>5</v>
      </c>
      <c r="AE6347" s="580">
        <f t="shared" si="532"/>
        <v>2.5</v>
      </c>
      <c r="AF6347" s="580">
        <f t="shared" si="533"/>
        <v>2.5</v>
      </c>
      <c r="AG6347" s="580">
        <f t="shared" si="534"/>
        <v>0</v>
      </c>
      <c r="AH6347" s="580">
        <f t="shared" si="535"/>
        <v>0</v>
      </c>
    </row>
    <row r="6348" spans="28:34">
      <c r="AB6348" s="580">
        <f>HLOOKUP("*"&amp;'Output annual'!$AC$2&amp;'Output annual'!$AD$2&amp;"*Zone People Number Of Occupants [](Hourly)",'Eplus results'!$1:$1048576,ROW(),FALSE)</f>
        <v>0</v>
      </c>
      <c r="AC6348" s="580">
        <f>HLOOKUP("*"&amp;'Output annual'!$AC$2&amp;'Output annual'!$AD$2&amp;"*FangerPMV(Hourly)",'Eplus results'!$1:$1048576,ROW(),FALSE)</f>
        <v>0</v>
      </c>
      <c r="AD6348" s="580">
        <f t="shared" si="531"/>
        <v>5</v>
      </c>
      <c r="AE6348" s="580">
        <f t="shared" si="532"/>
        <v>2.5</v>
      </c>
      <c r="AF6348" s="580">
        <f t="shared" si="533"/>
        <v>2.5</v>
      </c>
      <c r="AG6348" s="580">
        <f t="shared" si="534"/>
        <v>0</v>
      </c>
      <c r="AH6348" s="580">
        <f t="shared" si="535"/>
        <v>0</v>
      </c>
    </row>
    <row r="6349" spans="28:34">
      <c r="AB6349" s="580">
        <f>HLOOKUP("*"&amp;'Output annual'!$AC$2&amp;'Output annual'!$AD$2&amp;"*Zone People Number Of Occupants [](Hourly)",'Eplus results'!$1:$1048576,ROW(),FALSE)</f>
        <v>0</v>
      </c>
      <c r="AC6349" s="580">
        <f>HLOOKUP("*"&amp;'Output annual'!$AC$2&amp;'Output annual'!$AD$2&amp;"*FangerPMV(Hourly)",'Eplus results'!$1:$1048576,ROW(),FALSE)</f>
        <v>0</v>
      </c>
      <c r="AD6349" s="580">
        <f t="shared" si="531"/>
        <v>5</v>
      </c>
      <c r="AE6349" s="580">
        <f t="shared" si="532"/>
        <v>2.5</v>
      </c>
      <c r="AF6349" s="580">
        <f t="shared" si="533"/>
        <v>2.5</v>
      </c>
      <c r="AG6349" s="580">
        <f t="shared" si="534"/>
        <v>0</v>
      </c>
      <c r="AH6349" s="580">
        <f t="shared" si="535"/>
        <v>0</v>
      </c>
    </row>
    <row r="6350" spans="28:34">
      <c r="AB6350" s="580">
        <f>HLOOKUP("*"&amp;'Output annual'!$AC$2&amp;'Output annual'!$AD$2&amp;"*Zone People Number Of Occupants [](Hourly)",'Eplus results'!$1:$1048576,ROW(),FALSE)</f>
        <v>0</v>
      </c>
      <c r="AC6350" s="580">
        <f>HLOOKUP("*"&amp;'Output annual'!$AC$2&amp;'Output annual'!$AD$2&amp;"*FangerPMV(Hourly)",'Eplus results'!$1:$1048576,ROW(),FALSE)</f>
        <v>0</v>
      </c>
      <c r="AD6350" s="580">
        <f t="shared" si="531"/>
        <v>5</v>
      </c>
      <c r="AE6350" s="580">
        <f t="shared" si="532"/>
        <v>2.5</v>
      </c>
      <c r="AF6350" s="580">
        <f t="shared" si="533"/>
        <v>2.5</v>
      </c>
      <c r="AG6350" s="580">
        <f t="shared" si="534"/>
        <v>0</v>
      </c>
      <c r="AH6350" s="580">
        <f t="shared" si="535"/>
        <v>0</v>
      </c>
    </row>
    <row r="6351" spans="28:34">
      <c r="AB6351" s="580">
        <f>HLOOKUP("*"&amp;'Output annual'!$AC$2&amp;'Output annual'!$AD$2&amp;"*Zone People Number Of Occupants [](Hourly)",'Eplus results'!$1:$1048576,ROW(),FALSE)</f>
        <v>0</v>
      </c>
      <c r="AC6351" s="580">
        <f>HLOOKUP("*"&amp;'Output annual'!$AC$2&amp;'Output annual'!$AD$2&amp;"*FangerPMV(Hourly)",'Eplus results'!$1:$1048576,ROW(),FALSE)</f>
        <v>0</v>
      </c>
      <c r="AD6351" s="580">
        <f t="shared" si="531"/>
        <v>5</v>
      </c>
      <c r="AE6351" s="580">
        <f t="shared" si="532"/>
        <v>2.5</v>
      </c>
      <c r="AF6351" s="580">
        <f t="shared" si="533"/>
        <v>2.5</v>
      </c>
      <c r="AG6351" s="580">
        <f t="shared" si="534"/>
        <v>0</v>
      </c>
      <c r="AH6351" s="580">
        <f t="shared" si="535"/>
        <v>0</v>
      </c>
    </row>
    <row r="6352" spans="28:34">
      <c r="AB6352" s="580">
        <f>HLOOKUP("*"&amp;'Output annual'!$AC$2&amp;'Output annual'!$AD$2&amp;"*Zone People Number Of Occupants [](Hourly)",'Eplus results'!$1:$1048576,ROW(),FALSE)</f>
        <v>0</v>
      </c>
      <c r="AC6352" s="580">
        <f>HLOOKUP("*"&amp;'Output annual'!$AC$2&amp;'Output annual'!$AD$2&amp;"*FangerPMV(Hourly)",'Eplus results'!$1:$1048576,ROW(),FALSE)</f>
        <v>0</v>
      </c>
      <c r="AD6352" s="580">
        <f t="shared" si="531"/>
        <v>5</v>
      </c>
      <c r="AE6352" s="580">
        <f t="shared" si="532"/>
        <v>2.5</v>
      </c>
      <c r="AF6352" s="580">
        <f t="shared" si="533"/>
        <v>2.5</v>
      </c>
      <c r="AG6352" s="580">
        <f t="shared" si="534"/>
        <v>0</v>
      </c>
      <c r="AH6352" s="580">
        <f t="shared" si="535"/>
        <v>0</v>
      </c>
    </row>
    <row r="6353" spans="28:34">
      <c r="AB6353" s="580">
        <f>HLOOKUP("*"&amp;'Output annual'!$AC$2&amp;'Output annual'!$AD$2&amp;"*Zone People Number Of Occupants [](Hourly)",'Eplus results'!$1:$1048576,ROW(),FALSE)</f>
        <v>0</v>
      </c>
      <c r="AC6353" s="580">
        <f>HLOOKUP("*"&amp;'Output annual'!$AC$2&amp;'Output annual'!$AD$2&amp;"*FangerPMV(Hourly)",'Eplus results'!$1:$1048576,ROW(),FALSE)</f>
        <v>0</v>
      </c>
      <c r="AD6353" s="580">
        <f t="shared" si="531"/>
        <v>5</v>
      </c>
      <c r="AE6353" s="580">
        <f t="shared" si="532"/>
        <v>2.5</v>
      </c>
      <c r="AF6353" s="580">
        <f t="shared" si="533"/>
        <v>2.5</v>
      </c>
      <c r="AG6353" s="580">
        <f t="shared" si="534"/>
        <v>0</v>
      </c>
      <c r="AH6353" s="580">
        <f t="shared" si="535"/>
        <v>0</v>
      </c>
    </row>
    <row r="6354" spans="28:34">
      <c r="AB6354" s="580">
        <f>HLOOKUP("*"&amp;'Output annual'!$AC$2&amp;'Output annual'!$AD$2&amp;"*Zone People Number Of Occupants [](Hourly)",'Eplus results'!$1:$1048576,ROW(),FALSE)</f>
        <v>0</v>
      </c>
      <c r="AC6354" s="580">
        <f>HLOOKUP("*"&amp;'Output annual'!$AC$2&amp;'Output annual'!$AD$2&amp;"*FangerPMV(Hourly)",'Eplus results'!$1:$1048576,ROW(),FALSE)</f>
        <v>0</v>
      </c>
      <c r="AD6354" s="580">
        <f t="shared" si="531"/>
        <v>5</v>
      </c>
      <c r="AE6354" s="580">
        <f t="shared" si="532"/>
        <v>2.5</v>
      </c>
      <c r="AF6354" s="580">
        <f t="shared" si="533"/>
        <v>2.5</v>
      </c>
      <c r="AG6354" s="580">
        <f t="shared" si="534"/>
        <v>0</v>
      </c>
      <c r="AH6354" s="580">
        <f t="shared" si="535"/>
        <v>0</v>
      </c>
    </row>
    <row r="6355" spans="28:34">
      <c r="AB6355" s="580">
        <f>HLOOKUP("*"&amp;'Output annual'!$AC$2&amp;'Output annual'!$AD$2&amp;"*Zone People Number Of Occupants [](Hourly)",'Eplus results'!$1:$1048576,ROW(),FALSE)</f>
        <v>0</v>
      </c>
      <c r="AC6355" s="580">
        <f>HLOOKUP("*"&amp;'Output annual'!$AC$2&amp;'Output annual'!$AD$2&amp;"*FangerPMV(Hourly)",'Eplus results'!$1:$1048576,ROW(),FALSE)</f>
        <v>0</v>
      </c>
      <c r="AD6355" s="580">
        <f t="shared" si="531"/>
        <v>5</v>
      </c>
      <c r="AE6355" s="580">
        <f t="shared" si="532"/>
        <v>2.5</v>
      </c>
      <c r="AF6355" s="580">
        <f t="shared" si="533"/>
        <v>2.5</v>
      </c>
      <c r="AG6355" s="580">
        <f t="shared" si="534"/>
        <v>0</v>
      </c>
      <c r="AH6355" s="580">
        <f t="shared" si="535"/>
        <v>0</v>
      </c>
    </row>
    <row r="6356" spans="28:34">
      <c r="AB6356" s="580">
        <f>HLOOKUP("*"&amp;'Output annual'!$AC$2&amp;'Output annual'!$AD$2&amp;"*Zone People Number Of Occupants [](Hourly)",'Eplus results'!$1:$1048576,ROW(),FALSE)</f>
        <v>0</v>
      </c>
      <c r="AC6356" s="580">
        <f>HLOOKUP("*"&amp;'Output annual'!$AC$2&amp;'Output annual'!$AD$2&amp;"*FangerPMV(Hourly)",'Eplus results'!$1:$1048576,ROW(),FALSE)</f>
        <v>0</v>
      </c>
      <c r="AD6356" s="580">
        <f t="shared" si="531"/>
        <v>5</v>
      </c>
      <c r="AE6356" s="580">
        <f t="shared" si="532"/>
        <v>2.5</v>
      </c>
      <c r="AF6356" s="580">
        <f t="shared" si="533"/>
        <v>2.5</v>
      </c>
      <c r="AG6356" s="580">
        <f t="shared" si="534"/>
        <v>0</v>
      </c>
      <c r="AH6356" s="580">
        <f t="shared" si="535"/>
        <v>0</v>
      </c>
    </row>
    <row r="6357" spans="28:34">
      <c r="AB6357" s="580">
        <f>HLOOKUP("*"&amp;'Output annual'!$AC$2&amp;'Output annual'!$AD$2&amp;"*Zone People Number Of Occupants [](Hourly)",'Eplus results'!$1:$1048576,ROW(),FALSE)</f>
        <v>0</v>
      </c>
      <c r="AC6357" s="580">
        <f>HLOOKUP("*"&amp;'Output annual'!$AC$2&amp;'Output annual'!$AD$2&amp;"*FangerPMV(Hourly)",'Eplus results'!$1:$1048576,ROW(),FALSE)</f>
        <v>0</v>
      </c>
      <c r="AD6357" s="580">
        <f t="shared" si="531"/>
        <v>5</v>
      </c>
      <c r="AE6357" s="580">
        <f t="shared" si="532"/>
        <v>2.5</v>
      </c>
      <c r="AF6357" s="580">
        <f t="shared" si="533"/>
        <v>2.5</v>
      </c>
      <c r="AG6357" s="580">
        <f t="shared" si="534"/>
        <v>0</v>
      </c>
      <c r="AH6357" s="580">
        <f t="shared" si="535"/>
        <v>0</v>
      </c>
    </row>
    <row r="6358" spans="28:34">
      <c r="AB6358" s="580">
        <f>HLOOKUP("*"&amp;'Output annual'!$AC$2&amp;'Output annual'!$AD$2&amp;"*Zone People Number Of Occupants [](Hourly)",'Eplus results'!$1:$1048576,ROW(),FALSE)</f>
        <v>0</v>
      </c>
      <c r="AC6358" s="580">
        <f>HLOOKUP("*"&amp;'Output annual'!$AC$2&amp;'Output annual'!$AD$2&amp;"*FangerPMV(Hourly)",'Eplus results'!$1:$1048576,ROW(),FALSE)</f>
        <v>0</v>
      </c>
      <c r="AD6358" s="580">
        <f t="shared" si="531"/>
        <v>5</v>
      </c>
      <c r="AE6358" s="580">
        <f t="shared" si="532"/>
        <v>2.5</v>
      </c>
      <c r="AF6358" s="580">
        <f t="shared" si="533"/>
        <v>2.5</v>
      </c>
      <c r="AG6358" s="580">
        <f t="shared" si="534"/>
        <v>0</v>
      </c>
      <c r="AH6358" s="580">
        <f t="shared" si="535"/>
        <v>0</v>
      </c>
    </row>
    <row r="6359" spans="28:34">
      <c r="AB6359" s="580">
        <f>HLOOKUP("*"&amp;'Output annual'!$AC$2&amp;'Output annual'!$AD$2&amp;"*Zone People Number Of Occupants [](Hourly)",'Eplus results'!$1:$1048576,ROW(),FALSE)</f>
        <v>0</v>
      </c>
      <c r="AC6359" s="580">
        <f>HLOOKUP("*"&amp;'Output annual'!$AC$2&amp;'Output annual'!$AD$2&amp;"*FangerPMV(Hourly)",'Eplus results'!$1:$1048576,ROW(),FALSE)</f>
        <v>0</v>
      </c>
      <c r="AD6359" s="580">
        <f t="shared" si="531"/>
        <v>5</v>
      </c>
      <c r="AE6359" s="580">
        <f t="shared" si="532"/>
        <v>2.5</v>
      </c>
      <c r="AF6359" s="580">
        <f t="shared" si="533"/>
        <v>2.5</v>
      </c>
      <c r="AG6359" s="580">
        <f t="shared" si="534"/>
        <v>0</v>
      </c>
      <c r="AH6359" s="580">
        <f t="shared" si="535"/>
        <v>0</v>
      </c>
    </row>
    <row r="6360" spans="28:34">
      <c r="AB6360" s="580">
        <f>HLOOKUP("*"&amp;'Output annual'!$AC$2&amp;'Output annual'!$AD$2&amp;"*Zone People Number Of Occupants [](Hourly)",'Eplus results'!$1:$1048576,ROW(),FALSE)</f>
        <v>0</v>
      </c>
      <c r="AC6360" s="580">
        <f>HLOOKUP("*"&amp;'Output annual'!$AC$2&amp;'Output annual'!$AD$2&amp;"*FangerPMV(Hourly)",'Eplus results'!$1:$1048576,ROW(),FALSE)</f>
        <v>0</v>
      </c>
      <c r="AD6360" s="580">
        <f t="shared" si="531"/>
        <v>5</v>
      </c>
      <c r="AE6360" s="580">
        <f t="shared" si="532"/>
        <v>2.5</v>
      </c>
      <c r="AF6360" s="580">
        <f t="shared" si="533"/>
        <v>2.5</v>
      </c>
      <c r="AG6360" s="580">
        <f t="shared" si="534"/>
        <v>0</v>
      </c>
      <c r="AH6360" s="580">
        <f t="shared" si="535"/>
        <v>0</v>
      </c>
    </row>
    <row r="6361" spans="28:34">
      <c r="AB6361" s="580">
        <f>HLOOKUP("*"&amp;'Output annual'!$AC$2&amp;'Output annual'!$AD$2&amp;"*Zone People Number Of Occupants [](Hourly)",'Eplus results'!$1:$1048576,ROW(),FALSE)</f>
        <v>0</v>
      </c>
      <c r="AC6361" s="580">
        <f>HLOOKUP("*"&amp;'Output annual'!$AC$2&amp;'Output annual'!$AD$2&amp;"*FangerPMV(Hourly)",'Eplus results'!$1:$1048576,ROW(),FALSE)</f>
        <v>0</v>
      </c>
      <c r="AD6361" s="580">
        <f t="shared" si="531"/>
        <v>5</v>
      </c>
      <c r="AE6361" s="580">
        <f t="shared" si="532"/>
        <v>2.5</v>
      </c>
      <c r="AF6361" s="580">
        <f t="shared" si="533"/>
        <v>2.5</v>
      </c>
      <c r="AG6361" s="580">
        <f t="shared" si="534"/>
        <v>0</v>
      </c>
      <c r="AH6361" s="580">
        <f t="shared" si="535"/>
        <v>0</v>
      </c>
    </row>
    <row r="6362" spans="28:34">
      <c r="AB6362" s="580">
        <f>HLOOKUP("*"&amp;'Output annual'!$AC$2&amp;'Output annual'!$AD$2&amp;"*Zone People Number Of Occupants [](Hourly)",'Eplus results'!$1:$1048576,ROW(),FALSE)</f>
        <v>0</v>
      </c>
      <c r="AC6362" s="580">
        <f>HLOOKUP("*"&amp;'Output annual'!$AC$2&amp;'Output annual'!$AD$2&amp;"*FangerPMV(Hourly)",'Eplus results'!$1:$1048576,ROW(),FALSE)</f>
        <v>0</v>
      </c>
      <c r="AD6362" s="580">
        <f t="shared" si="531"/>
        <v>5</v>
      </c>
      <c r="AE6362" s="580">
        <f t="shared" si="532"/>
        <v>2.5</v>
      </c>
      <c r="AF6362" s="580">
        <f t="shared" si="533"/>
        <v>2.5</v>
      </c>
      <c r="AG6362" s="580">
        <f t="shared" si="534"/>
        <v>0</v>
      </c>
      <c r="AH6362" s="580">
        <f t="shared" si="535"/>
        <v>0</v>
      </c>
    </row>
    <row r="6363" spans="28:34">
      <c r="AB6363" s="580">
        <f>HLOOKUP("*"&amp;'Output annual'!$AC$2&amp;'Output annual'!$AD$2&amp;"*Zone People Number Of Occupants [](Hourly)",'Eplus results'!$1:$1048576,ROW(),FALSE)</f>
        <v>0</v>
      </c>
      <c r="AC6363" s="580">
        <f>HLOOKUP("*"&amp;'Output annual'!$AC$2&amp;'Output annual'!$AD$2&amp;"*FangerPMV(Hourly)",'Eplus results'!$1:$1048576,ROW(),FALSE)</f>
        <v>0</v>
      </c>
      <c r="AD6363" s="580">
        <f t="shared" si="531"/>
        <v>5</v>
      </c>
      <c r="AE6363" s="580">
        <f t="shared" si="532"/>
        <v>2.5</v>
      </c>
      <c r="AF6363" s="580">
        <f t="shared" si="533"/>
        <v>2.5</v>
      </c>
      <c r="AG6363" s="580">
        <f t="shared" si="534"/>
        <v>0</v>
      </c>
      <c r="AH6363" s="580">
        <f t="shared" si="535"/>
        <v>0</v>
      </c>
    </row>
    <row r="6364" spans="28:34">
      <c r="AB6364" s="580">
        <f>HLOOKUP("*"&amp;'Output annual'!$AC$2&amp;'Output annual'!$AD$2&amp;"*Zone People Number Of Occupants [](Hourly)",'Eplus results'!$1:$1048576,ROW(),FALSE)</f>
        <v>0</v>
      </c>
      <c r="AC6364" s="580">
        <f>HLOOKUP("*"&amp;'Output annual'!$AC$2&amp;'Output annual'!$AD$2&amp;"*FangerPMV(Hourly)",'Eplus results'!$1:$1048576,ROW(),FALSE)</f>
        <v>0</v>
      </c>
      <c r="AD6364" s="580">
        <f t="shared" si="531"/>
        <v>5</v>
      </c>
      <c r="AE6364" s="580">
        <f t="shared" si="532"/>
        <v>2.5</v>
      </c>
      <c r="AF6364" s="580">
        <f t="shared" si="533"/>
        <v>2.5</v>
      </c>
      <c r="AG6364" s="580">
        <f t="shared" si="534"/>
        <v>0</v>
      </c>
      <c r="AH6364" s="580">
        <f t="shared" si="535"/>
        <v>0</v>
      </c>
    </row>
    <row r="6365" spans="28:34">
      <c r="AB6365" s="580">
        <f>HLOOKUP("*"&amp;'Output annual'!$AC$2&amp;'Output annual'!$AD$2&amp;"*Zone People Number Of Occupants [](Hourly)",'Eplus results'!$1:$1048576,ROW(),FALSE)</f>
        <v>0</v>
      </c>
      <c r="AC6365" s="580">
        <f>HLOOKUP("*"&amp;'Output annual'!$AC$2&amp;'Output annual'!$AD$2&amp;"*FangerPMV(Hourly)",'Eplus results'!$1:$1048576,ROW(),FALSE)</f>
        <v>0</v>
      </c>
      <c r="AD6365" s="580">
        <f t="shared" si="531"/>
        <v>5</v>
      </c>
      <c r="AE6365" s="580">
        <f t="shared" si="532"/>
        <v>2.5</v>
      </c>
      <c r="AF6365" s="580">
        <f t="shared" si="533"/>
        <v>2.5</v>
      </c>
      <c r="AG6365" s="580">
        <f t="shared" si="534"/>
        <v>0</v>
      </c>
      <c r="AH6365" s="580">
        <f t="shared" si="535"/>
        <v>0</v>
      </c>
    </row>
    <row r="6366" spans="28:34">
      <c r="AB6366" s="580">
        <f>HLOOKUP("*"&amp;'Output annual'!$AC$2&amp;'Output annual'!$AD$2&amp;"*Zone People Number Of Occupants [](Hourly)",'Eplus results'!$1:$1048576,ROW(),FALSE)</f>
        <v>0</v>
      </c>
      <c r="AC6366" s="580">
        <f>HLOOKUP("*"&amp;'Output annual'!$AC$2&amp;'Output annual'!$AD$2&amp;"*FangerPMV(Hourly)",'Eplus results'!$1:$1048576,ROW(),FALSE)</f>
        <v>0</v>
      </c>
      <c r="AD6366" s="580">
        <f t="shared" si="531"/>
        <v>5</v>
      </c>
      <c r="AE6366" s="580">
        <f t="shared" si="532"/>
        <v>2.5</v>
      </c>
      <c r="AF6366" s="580">
        <f t="shared" si="533"/>
        <v>2.5</v>
      </c>
      <c r="AG6366" s="580">
        <f t="shared" si="534"/>
        <v>0</v>
      </c>
      <c r="AH6366" s="580">
        <f t="shared" si="535"/>
        <v>0</v>
      </c>
    </row>
    <row r="6367" spans="28:34">
      <c r="AB6367" s="580">
        <f>HLOOKUP("*"&amp;'Output annual'!$AC$2&amp;'Output annual'!$AD$2&amp;"*Zone People Number Of Occupants [](Hourly)",'Eplus results'!$1:$1048576,ROW(),FALSE)</f>
        <v>0</v>
      </c>
      <c r="AC6367" s="580">
        <f>HLOOKUP("*"&amp;'Output annual'!$AC$2&amp;'Output annual'!$AD$2&amp;"*FangerPMV(Hourly)",'Eplus results'!$1:$1048576,ROW(),FALSE)</f>
        <v>0</v>
      </c>
      <c r="AD6367" s="580">
        <f t="shared" si="531"/>
        <v>5</v>
      </c>
      <c r="AE6367" s="580">
        <f t="shared" si="532"/>
        <v>2.5</v>
      </c>
      <c r="AF6367" s="580">
        <f t="shared" si="533"/>
        <v>2.5</v>
      </c>
      <c r="AG6367" s="580">
        <f t="shared" si="534"/>
        <v>0</v>
      </c>
      <c r="AH6367" s="580">
        <f t="shared" si="535"/>
        <v>0</v>
      </c>
    </row>
    <row r="6368" spans="28:34">
      <c r="AB6368" s="580">
        <f>HLOOKUP("*"&amp;'Output annual'!$AC$2&amp;'Output annual'!$AD$2&amp;"*Zone People Number Of Occupants [](Hourly)",'Eplus results'!$1:$1048576,ROW(),FALSE)</f>
        <v>0</v>
      </c>
      <c r="AC6368" s="580">
        <f>HLOOKUP("*"&amp;'Output annual'!$AC$2&amp;'Output annual'!$AD$2&amp;"*FangerPMV(Hourly)",'Eplus results'!$1:$1048576,ROW(),FALSE)</f>
        <v>0</v>
      </c>
      <c r="AD6368" s="580">
        <f t="shared" si="531"/>
        <v>5</v>
      </c>
      <c r="AE6368" s="580">
        <f t="shared" si="532"/>
        <v>2.5</v>
      </c>
      <c r="AF6368" s="580">
        <f t="shared" si="533"/>
        <v>2.5</v>
      </c>
      <c r="AG6368" s="580">
        <f t="shared" si="534"/>
        <v>0</v>
      </c>
      <c r="AH6368" s="580">
        <f t="shared" si="535"/>
        <v>0</v>
      </c>
    </row>
    <row r="6369" spans="28:34">
      <c r="AB6369" s="580">
        <f>HLOOKUP("*"&amp;'Output annual'!$AC$2&amp;'Output annual'!$AD$2&amp;"*Zone People Number Of Occupants [](Hourly)",'Eplus results'!$1:$1048576,ROW(),FALSE)</f>
        <v>0</v>
      </c>
      <c r="AC6369" s="580">
        <f>HLOOKUP("*"&amp;'Output annual'!$AC$2&amp;'Output annual'!$AD$2&amp;"*FangerPMV(Hourly)",'Eplus results'!$1:$1048576,ROW(),FALSE)</f>
        <v>0</v>
      </c>
      <c r="AD6369" s="580">
        <f t="shared" si="531"/>
        <v>5</v>
      </c>
      <c r="AE6369" s="580">
        <f t="shared" si="532"/>
        <v>2.5</v>
      </c>
      <c r="AF6369" s="580">
        <f t="shared" si="533"/>
        <v>2.5</v>
      </c>
      <c r="AG6369" s="580">
        <f t="shared" si="534"/>
        <v>0</v>
      </c>
      <c r="AH6369" s="580">
        <f t="shared" si="535"/>
        <v>0</v>
      </c>
    </row>
    <row r="6370" spans="28:34">
      <c r="AB6370" s="580">
        <f>HLOOKUP("*"&amp;'Output annual'!$AC$2&amp;'Output annual'!$AD$2&amp;"*Zone People Number Of Occupants [](Hourly)",'Eplus results'!$1:$1048576,ROW(),FALSE)</f>
        <v>0</v>
      </c>
      <c r="AC6370" s="580">
        <f>HLOOKUP("*"&amp;'Output annual'!$AC$2&amp;'Output annual'!$AD$2&amp;"*FangerPMV(Hourly)",'Eplus results'!$1:$1048576,ROW(),FALSE)</f>
        <v>0</v>
      </c>
      <c r="AD6370" s="580">
        <f t="shared" si="531"/>
        <v>5</v>
      </c>
      <c r="AE6370" s="580">
        <f t="shared" si="532"/>
        <v>2.5</v>
      </c>
      <c r="AF6370" s="580">
        <f t="shared" si="533"/>
        <v>2.5</v>
      </c>
      <c r="AG6370" s="580">
        <f t="shared" si="534"/>
        <v>0</v>
      </c>
      <c r="AH6370" s="580">
        <f t="shared" si="535"/>
        <v>0</v>
      </c>
    </row>
    <row r="6371" spans="28:34">
      <c r="AB6371" s="580">
        <f>HLOOKUP("*"&amp;'Output annual'!$AC$2&amp;'Output annual'!$AD$2&amp;"*Zone People Number Of Occupants [](Hourly)",'Eplus results'!$1:$1048576,ROW(),FALSE)</f>
        <v>0</v>
      </c>
      <c r="AC6371" s="580">
        <f>HLOOKUP("*"&amp;'Output annual'!$AC$2&amp;'Output annual'!$AD$2&amp;"*FangerPMV(Hourly)",'Eplus results'!$1:$1048576,ROW(),FALSE)</f>
        <v>0</v>
      </c>
      <c r="AD6371" s="580">
        <f t="shared" si="531"/>
        <v>5</v>
      </c>
      <c r="AE6371" s="580">
        <f t="shared" si="532"/>
        <v>2.5</v>
      </c>
      <c r="AF6371" s="580">
        <f t="shared" si="533"/>
        <v>2.5</v>
      </c>
      <c r="AG6371" s="580">
        <f t="shared" si="534"/>
        <v>0</v>
      </c>
      <c r="AH6371" s="580">
        <f t="shared" si="535"/>
        <v>0</v>
      </c>
    </row>
    <row r="6372" spans="28:34">
      <c r="AB6372" s="580">
        <f>HLOOKUP("*"&amp;'Output annual'!$AC$2&amp;'Output annual'!$AD$2&amp;"*Zone People Number Of Occupants [](Hourly)",'Eplus results'!$1:$1048576,ROW(),FALSE)</f>
        <v>0</v>
      </c>
      <c r="AC6372" s="580">
        <f>HLOOKUP("*"&amp;'Output annual'!$AC$2&amp;'Output annual'!$AD$2&amp;"*FangerPMV(Hourly)",'Eplus results'!$1:$1048576,ROW(),FALSE)</f>
        <v>0</v>
      </c>
      <c r="AD6372" s="580">
        <f t="shared" si="531"/>
        <v>5</v>
      </c>
      <c r="AE6372" s="580">
        <f t="shared" si="532"/>
        <v>2.5</v>
      </c>
      <c r="AF6372" s="580">
        <f t="shared" si="533"/>
        <v>2.5</v>
      </c>
      <c r="AG6372" s="580">
        <f t="shared" si="534"/>
        <v>0</v>
      </c>
      <c r="AH6372" s="580">
        <f t="shared" si="535"/>
        <v>0</v>
      </c>
    </row>
    <row r="6373" spans="28:34">
      <c r="AB6373" s="580">
        <f>HLOOKUP("*"&amp;'Output annual'!$AC$2&amp;'Output annual'!$AD$2&amp;"*Zone People Number Of Occupants [](Hourly)",'Eplus results'!$1:$1048576,ROW(),FALSE)</f>
        <v>0</v>
      </c>
      <c r="AC6373" s="580">
        <f>HLOOKUP("*"&amp;'Output annual'!$AC$2&amp;'Output annual'!$AD$2&amp;"*FangerPMV(Hourly)",'Eplus results'!$1:$1048576,ROW(),FALSE)</f>
        <v>0</v>
      </c>
      <c r="AD6373" s="580">
        <f t="shared" si="531"/>
        <v>5</v>
      </c>
      <c r="AE6373" s="580">
        <f t="shared" si="532"/>
        <v>2.5</v>
      </c>
      <c r="AF6373" s="580">
        <f t="shared" si="533"/>
        <v>2.5</v>
      </c>
      <c r="AG6373" s="580">
        <f t="shared" si="534"/>
        <v>0</v>
      </c>
      <c r="AH6373" s="580">
        <f t="shared" si="535"/>
        <v>0</v>
      </c>
    </row>
    <row r="6374" spans="28:34">
      <c r="AB6374" s="580">
        <f>HLOOKUP("*"&amp;'Output annual'!$AC$2&amp;'Output annual'!$AD$2&amp;"*Zone People Number Of Occupants [](Hourly)",'Eplus results'!$1:$1048576,ROW(),FALSE)</f>
        <v>0</v>
      </c>
      <c r="AC6374" s="580">
        <f>HLOOKUP("*"&amp;'Output annual'!$AC$2&amp;'Output annual'!$AD$2&amp;"*FangerPMV(Hourly)",'Eplus results'!$1:$1048576,ROW(),FALSE)</f>
        <v>0</v>
      </c>
      <c r="AD6374" s="580">
        <f t="shared" si="531"/>
        <v>5</v>
      </c>
      <c r="AE6374" s="580">
        <f t="shared" si="532"/>
        <v>2.5</v>
      </c>
      <c r="AF6374" s="580">
        <f t="shared" si="533"/>
        <v>2.5</v>
      </c>
      <c r="AG6374" s="580">
        <f t="shared" si="534"/>
        <v>0</v>
      </c>
      <c r="AH6374" s="580">
        <f t="shared" si="535"/>
        <v>0</v>
      </c>
    </row>
    <row r="6375" spans="28:34">
      <c r="AB6375" s="580">
        <f>HLOOKUP("*"&amp;'Output annual'!$AC$2&amp;'Output annual'!$AD$2&amp;"*Zone People Number Of Occupants [](Hourly)",'Eplus results'!$1:$1048576,ROW(),FALSE)</f>
        <v>0</v>
      </c>
      <c r="AC6375" s="580">
        <f>HLOOKUP("*"&amp;'Output annual'!$AC$2&amp;'Output annual'!$AD$2&amp;"*FangerPMV(Hourly)",'Eplus results'!$1:$1048576,ROW(),FALSE)</f>
        <v>0</v>
      </c>
      <c r="AD6375" s="580">
        <f t="shared" si="531"/>
        <v>5</v>
      </c>
      <c r="AE6375" s="580">
        <f t="shared" si="532"/>
        <v>2.5</v>
      </c>
      <c r="AF6375" s="580">
        <f t="shared" si="533"/>
        <v>2.5</v>
      </c>
      <c r="AG6375" s="580">
        <f t="shared" si="534"/>
        <v>0</v>
      </c>
      <c r="AH6375" s="580">
        <f t="shared" si="535"/>
        <v>0</v>
      </c>
    </row>
    <row r="6376" spans="28:34">
      <c r="AB6376" s="580">
        <f>HLOOKUP("*"&amp;'Output annual'!$AC$2&amp;'Output annual'!$AD$2&amp;"*Zone People Number Of Occupants [](Hourly)",'Eplus results'!$1:$1048576,ROW(),FALSE)</f>
        <v>0</v>
      </c>
      <c r="AC6376" s="580">
        <f>HLOOKUP("*"&amp;'Output annual'!$AC$2&amp;'Output annual'!$AD$2&amp;"*FangerPMV(Hourly)",'Eplus results'!$1:$1048576,ROW(),FALSE)</f>
        <v>0</v>
      </c>
      <c r="AD6376" s="580">
        <f t="shared" si="531"/>
        <v>5</v>
      </c>
      <c r="AE6376" s="580">
        <f t="shared" si="532"/>
        <v>2.5</v>
      </c>
      <c r="AF6376" s="580">
        <f t="shared" si="533"/>
        <v>2.5</v>
      </c>
      <c r="AG6376" s="580">
        <f t="shared" si="534"/>
        <v>0</v>
      </c>
      <c r="AH6376" s="580">
        <f t="shared" si="535"/>
        <v>0</v>
      </c>
    </row>
    <row r="6377" spans="28:34">
      <c r="AB6377" s="580">
        <f>HLOOKUP("*"&amp;'Output annual'!$AC$2&amp;'Output annual'!$AD$2&amp;"*Zone People Number Of Occupants [](Hourly)",'Eplus results'!$1:$1048576,ROW(),FALSE)</f>
        <v>0</v>
      </c>
      <c r="AC6377" s="580">
        <f>HLOOKUP("*"&amp;'Output annual'!$AC$2&amp;'Output annual'!$AD$2&amp;"*FangerPMV(Hourly)",'Eplus results'!$1:$1048576,ROW(),FALSE)</f>
        <v>0</v>
      </c>
      <c r="AD6377" s="580">
        <f t="shared" si="531"/>
        <v>5</v>
      </c>
      <c r="AE6377" s="580">
        <f t="shared" si="532"/>
        <v>2.5</v>
      </c>
      <c r="AF6377" s="580">
        <f t="shared" si="533"/>
        <v>2.5</v>
      </c>
      <c r="AG6377" s="580">
        <f t="shared" si="534"/>
        <v>0</v>
      </c>
      <c r="AH6377" s="580">
        <f t="shared" si="535"/>
        <v>0</v>
      </c>
    </row>
    <row r="6378" spans="28:34">
      <c r="AB6378" s="580">
        <f>HLOOKUP("*"&amp;'Output annual'!$AC$2&amp;'Output annual'!$AD$2&amp;"*Zone People Number Of Occupants [](Hourly)",'Eplus results'!$1:$1048576,ROW(),FALSE)</f>
        <v>0</v>
      </c>
      <c r="AC6378" s="580">
        <f>HLOOKUP("*"&amp;'Output annual'!$AC$2&amp;'Output annual'!$AD$2&amp;"*FangerPMV(Hourly)",'Eplus results'!$1:$1048576,ROW(),FALSE)</f>
        <v>0</v>
      </c>
      <c r="AD6378" s="580">
        <f t="shared" si="531"/>
        <v>5</v>
      </c>
      <c r="AE6378" s="580">
        <f t="shared" si="532"/>
        <v>2.5</v>
      </c>
      <c r="AF6378" s="580">
        <f t="shared" si="533"/>
        <v>2.5</v>
      </c>
      <c r="AG6378" s="580">
        <f t="shared" si="534"/>
        <v>0</v>
      </c>
      <c r="AH6378" s="580">
        <f t="shared" si="535"/>
        <v>0</v>
      </c>
    </row>
    <row r="6379" spans="28:34">
      <c r="AB6379" s="580">
        <f>HLOOKUP("*"&amp;'Output annual'!$AC$2&amp;'Output annual'!$AD$2&amp;"*Zone People Number Of Occupants [](Hourly)",'Eplus results'!$1:$1048576,ROW(),FALSE)</f>
        <v>0</v>
      </c>
      <c r="AC6379" s="580">
        <f>HLOOKUP("*"&amp;'Output annual'!$AC$2&amp;'Output annual'!$AD$2&amp;"*FangerPMV(Hourly)",'Eplus results'!$1:$1048576,ROW(),FALSE)</f>
        <v>0</v>
      </c>
      <c r="AD6379" s="580">
        <f t="shared" si="531"/>
        <v>5</v>
      </c>
      <c r="AE6379" s="580">
        <f t="shared" si="532"/>
        <v>2.5</v>
      </c>
      <c r="AF6379" s="580">
        <f t="shared" si="533"/>
        <v>2.5</v>
      </c>
      <c r="AG6379" s="580">
        <f t="shared" si="534"/>
        <v>0</v>
      </c>
      <c r="AH6379" s="580">
        <f t="shared" si="535"/>
        <v>0</v>
      </c>
    </row>
    <row r="6380" spans="28:34">
      <c r="AB6380" s="580">
        <f>HLOOKUP("*"&amp;'Output annual'!$AC$2&amp;'Output annual'!$AD$2&amp;"*Zone People Number Of Occupants [](Hourly)",'Eplus results'!$1:$1048576,ROW(),FALSE)</f>
        <v>0</v>
      </c>
      <c r="AC6380" s="580">
        <f>HLOOKUP("*"&amp;'Output annual'!$AC$2&amp;'Output annual'!$AD$2&amp;"*FangerPMV(Hourly)",'Eplus results'!$1:$1048576,ROW(),FALSE)</f>
        <v>0</v>
      </c>
      <c r="AD6380" s="580">
        <f t="shared" si="531"/>
        <v>5</v>
      </c>
      <c r="AE6380" s="580">
        <f t="shared" si="532"/>
        <v>2.5</v>
      </c>
      <c r="AF6380" s="580">
        <f t="shared" si="533"/>
        <v>2.5</v>
      </c>
      <c r="AG6380" s="580">
        <f t="shared" si="534"/>
        <v>0</v>
      </c>
      <c r="AH6380" s="580">
        <f t="shared" si="535"/>
        <v>0</v>
      </c>
    </row>
    <row r="6381" spans="28:34">
      <c r="AB6381" s="580">
        <f>HLOOKUP("*"&amp;'Output annual'!$AC$2&amp;'Output annual'!$AD$2&amp;"*Zone People Number Of Occupants [](Hourly)",'Eplus results'!$1:$1048576,ROW(),FALSE)</f>
        <v>0</v>
      </c>
      <c r="AC6381" s="580">
        <f>HLOOKUP("*"&amp;'Output annual'!$AC$2&amp;'Output annual'!$AD$2&amp;"*FangerPMV(Hourly)",'Eplus results'!$1:$1048576,ROW(),FALSE)</f>
        <v>0</v>
      </c>
      <c r="AD6381" s="580">
        <f t="shared" si="531"/>
        <v>5</v>
      </c>
      <c r="AE6381" s="580">
        <f t="shared" si="532"/>
        <v>2.5</v>
      </c>
      <c r="AF6381" s="580">
        <f t="shared" si="533"/>
        <v>2.5</v>
      </c>
      <c r="AG6381" s="580">
        <f t="shared" si="534"/>
        <v>0</v>
      </c>
      <c r="AH6381" s="580">
        <f t="shared" si="535"/>
        <v>0</v>
      </c>
    </row>
    <row r="6382" spans="28:34">
      <c r="AB6382" s="580">
        <f>HLOOKUP("*"&amp;'Output annual'!$AC$2&amp;'Output annual'!$AD$2&amp;"*Zone People Number Of Occupants [](Hourly)",'Eplus results'!$1:$1048576,ROW(),FALSE)</f>
        <v>0</v>
      </c>
      <c r="AC6382" s="580">
        <f>HLOOKUP("*"&amp;'Output annual'!$AC$2&amp;'Output annual'!$AD$2&amp;"*FangerPMV(Hourly)",'Eplus results'!$1:$1048576,ROW(),FALSE)</f>
        <v>0</v>
      </c>
      <c r="AD6382" s="580">
        <f t="shared" si="531"/>
        <v>5</v>
      </c>
      <c r="AE6382" s="580">
        <f t="shared" si="532"/>
        <v>2.5</v>
      </c>
      <c r="AF6382" s="580">
        <f t="shared" si="533"/>
        <v>2.5</v>
      </c>
      <c r="AG6382" s="580">
        <f t="shared" si="534"/>
        <v>0</v>
      </c>
      <c r="AH6382" s="580">
        <f t="shared" si="535"/>
        <v>0</v>
      </c>
    </row>
    <row r="6383" spans="28:34">
      <c r="AB6383" s="580">
        <f>HLOOKUP("*"&amp;'Output annual'!$AC$2&amp;'Output annual'!$AD$2&amp;"*Zone People Number Of Occupants [](Hourly)",'Eplus results'!$1:$1048576,ROW(),FALSE)</f>
        <v>0</v>
      </c>
      <c r="AC6383" s="580">
        <f>HLOOKUP("*"&amp;'Output annual'!$AC$2&amp;'Output annual'!$AD$2&amp;"*FangerPMV(Hourly)",'Eplus results'!$1:$1048576,ROW(),FALSE)</f>
        <v>0</v>
      </c>
      <c r="AD6383" s="580">
        <f t="shared" si="531"/>
        <v>5</v>
      </c>
      <c r="AE6383" s="580">
        <f t="shared" si="532"/>
        <v>2.5</v>
      </c>
      <c r="AF6383" s="580">
        <f t="shared" si="533"/>
        <v>2.5</v>
      </c>
      <c r="AG6383" s="580">
        <f t="shared" si="534"/>
        <v>0</v>
      </c>
      <c r="AH6383" s="580">
        <f t="shared" si="535"/>
        <v>0</v>
      </c>
    </row>
    <row r="6384" spans="28:34">
      <c r="AB6384" s="580">
        <f>HLOOKUP("*"&amp;'Output annual'!$AC$2&amp;'Output annual'!$AD$2&amp;"*Zone People Number Of Occupants [](Hourly)",'Eplus results'!$1:$1048576,ROW(),FALSE)</f>
        <v>0</v>
      </c>
      <c r="AC6384" s="580">
        <f>HLOOKUP("*"&amp;'Output annual'!$AC$2&amp;'Output annual'!$AD$2&amp;"*FangerPMV(Hourly)",'Eplus results'!$1:$1048576,ROW(),FALSE)</f>
        <v>0</v>
      </c>
      <c r="AD6384" s="580">
        <f t="shared" si="531"/>
        <v>5</v>
      </c>
      <c r="AE6384" s="580">
        <f t="shared" si="532"/>
        <v>2.5</v>
      </c>
      <c r="AF6384" s="580">
        <f t="shared" si="533"/>
        <v>2.5</v>
      </c>
      <c r="AG6384" s="580">
        <f t="shared" si="534"/>
        <v>0</v>
      </c>
      <c r="AH6384" s="580">
        <f t="shared" si="535"/>
        <v>0</v>
      </c>
    </row>
    <row r="6385" spans="28:34">
      <c r="AB6385" s="580">
        <f>HLOOKUP("*"&amp;'Output annual'!$AC$2&amp;'Output annual'!$AD$2&amp;"*Zone People Number Of Occupants [](Hourly)",'Eplus results'!$1:$1048576,ROW(),FALSE)</f>
        <v>0</v>
      </c>
      <c r="AC6385" s="580">
        <f>HLOOKUP("*"&amp;'Output annual'!$AC$2&amp;'Output annual'!$AD$2&amp;"*FangerPMV(Hourly)",'Eplus results'!$1:$1048576,ROW(),FALSE)</f>
        <v>0</v>
      </c>
      <c r="AD6385" s="580">
        <f t="shared" si="531"/>
        <v>5</v>
      </c>
      <c r="AE6385" s="580">
        <f t="shared" si="532"/>
        <v>2.5</v>
      </c>
      <c r="AF6385" s="580">
        <f t="shared" si="533"/>
        <v>2.5</v>
      </c>
      <c r="AG6385" s="580">
        <f t="shared" si="534"/>
        <v>0</v>
      </c>
      <c r="AH6385" s="580">
        <f t="shared" si="535"/>
        <v>0</v>
      </c>
    </row>
    <row r="6386" spans="28:34">
      <c r="AB6386" s="580">
        <f>HLOOKUP("*"&amp;'Output annual'!$AC$2&amp;'Output annual'!$AD$2&amp;"*Zone People Number Of Occupants [](Hourly)",'Eplus results'!$1:$1048576,ROW(),FALSE)</f>
        <v>0</v>
      </c>
      <c r="AC6386" s="580">
        <f>HLOOKUP("*"&amp;'Output annual'!$AC$2&amp;'Output annual'!$AD$2&amp;"*FangerPMV(Hourly)",'Eplus results'!$1:$1048576,ROW(),FALSE)</f>
        <v>0</v>
      </c>
      <c r="AD6386" s="580">
        <f t="shared" si="531"/>
        <v>5</v>
      </c>
      <c r="AE6386" s="580">
        <f t="shared" si="532"/>
        <v>2.5</v>
      </c>
      <c r="AF6386" s="580">
        <f t="shared" si="533"/>
        <v>2.5</v>
      </c>
      <c r="AG6386" s="580">
        <f t="shared" si="534"/>
        <v>0</v>
      </c>
      <c r="AH6386" s="580">
        <f t="shared" si="535"/>
        <v>0</v>
      </c>
    </row>
    <row r="6387" spans="28:34">
      <c r="AB6387" s="580">
        <f>HLOOKUP("*"&amp;'Output annual'!$AC$2&amp;'Output annual'!$AD$2&amp;"*Zone People Number Of Occupants [](Hourly)",'Eplus results'!$1:$1048576,ROW(),FALSE)</f>
        <v>0</v>
      </c>
      <c r="AC6387" s="580">
        <f>HLOOKUP("*"&amp;'Output annual'!$AC$2&amp;'Output annual'!$AD$2&amp;"*FangerPMV(Hourly)",'Eplus results'!$1:$1048576,ROW(),FALSE)</f>
        <v>0</v>
      </c>
      <c r="AD6387" s="580">
        <f t="shared" si="531"/>
        <v>5</v>
      </c>
      <c r="AE6387" s="580">
        <f t="shared" si="532"/>
        <v>2.5</v>
      </c>
      <c r="AF6387" s="580">
        <f t="shared" si="533"/>
        <v>2.5</v>
      </c>
      <c r="AG6387" s="580">
        <f t="shared" si="534"/>
        <v>0</v>
      </c>
      <c r="AH6387" s="580">
        <f t="shared" si="535"/>
        <v>0</v>
      </c>
    </row>
    <row r="6388" spans="28:34">
      <c r="AB6388" s="580">
        <f>HLOOKUP("*"&amp;'Output annual'!$AC$2&amp;'Output annual'!$AD$2&amp;"*Zone People Number Of Occupants [](Hourly)",'Eplus results'!$1:$1048576,ROW(),FALSE)</f>
        <v>0</v>
      </c>
      <c r="AC6388" s="580">
        <f>HLOOKUP("*"&amp;'Output annual'!$AC$2&amp;'Output annual'!$AD$2&amp;"*FangerPMV(Hourly)",'Eplus results'!$1:$1048576,ROW(),FALSE)</f>
        <v>0</v>
      </c>
      <c r="AD6388" s="580">
        <f t="shared" si="531"/>
        <v>5</v>
      </c>
      <c r="AE6388" s="580">
        <f t="shared" si="532"/>
        <v>2.5</v>
      </c>
      <c r="AF6388" s="580">
        <f t="shared" si="533"/>
        <v>2.5</v>
      </c>
      <c r="AG6388" s="580">
        <f t="shared" si="534"/>
        <v>0</v>
      </c>
      <c r="AH6388" s="580">
        <f t="shared" si="535"/>
        <v>0</v>
      </c>
    </row>
    <row r="6389" spans="28:34">
      <c r="AB6389" s="580">
        <f>HLOOKUP("*"&amp;'Output annual'!$AC$2&amp;'Output annual'!$AD$2&amp;"*Zone People Number Of Occupants [](Hourly)",'Eplus results'!$1:$1048576,ROW(),FALSE)</f>
        <v>0</v>
      </c>
      <c r="AC6389" s="580">
        <f>HLOOKUP("*"&amp;'Output annual'!$AC$2&amp;'Output annual'!$AD$2&amp;"*FangerPMV(Hourly)",'Eplus results'!$1:$1048576,ROW(),FALSE)</f>
        <v>0</v>
      </c>
      <c r="AD6389" s="580">
        <f t="shared" si="531"/>
        <v>5</v>
      </c>
      <c r="AE6389" s="580">
        <f t="shared" si="532"/>
        <v>2.5</v>
      </c>
      <c r="AF6389" s="580">
        <f t="shared" si="533"/>
        <v>2.5</v>
      </c>
      <c r="AG6389" s="580">
        <f t="shared" si="534"/>
        <v>0</v>
      </c>
      <c r="AH6389" s="580">
        <f t="shared" si="535"/>
        <v>0</v>
      </c>
    </row>
    <row r="6390" spans="28:34">
      <c r="AB6390" s="580">
        <f>HLOOKUP("*"&amp;'Output annual'!$AC$2&amp;'Output annual'!$AD$2&amp;"*Zone People Number Of Occupants [](Hourly)",'Eplus results'!$1:$1048576,ROW(),FALSE)</f>
        <v>0</v>
      </c>
      <c r="AC6390" s="580">
        <f>HLOOKUP("*"&amp;'Output annual'!$AC$2&amp;'Output annual'!$AD$2&amp;"*FangerPMV(Hourly)",'Eplus results'!$1:$1048576,ROW(),FALSE)</f>
        <v>0</v>
      </c>
      <c r="AD6390" s="580">
        <f t="shared" si="531"/>
        <v>5</v>
      </c>
      <c r="AE6390" s="580">
        <f t="shared" si="532"/>
        <v>2.5</v>
      </c>
      <c r="AF6390" s="580">
        <f t="shared" si="533"/>
        <v>2.5</v>
      </c>
      <c r="AG6390" s="580">
        <f t="shared" si="534"/>
        <v>0</v>
      </c>
      <c r="AH6390" s="580">
        <f t="shared" si="535"/>
        <v>0</v>
      </c>
    </row>
    <row r="6391" spans="28:34">
      <c r="AB6391" s="580">
        <f>HLOOKUP("*"&amp;'Output annual'!$AC$2&amp;'Output annual'!$AD$2&amp;"*Zone People Number Of Occupants [](Hourly)",'Eplus results'!$1:$1048576,ROW(),FALSE)</f>
        <v>0</v>
      </c>
      <c r="AC6391" s="580">
        <f>HLOOKUP("*"&amp;'Output annual'!$AC$2&amp;'Output annual'!$AD$2&amp;"*FangerPMV(Hourly)",'Eplus results'!$1:$1048576,ROW(),FALSE)</f>
        <v>0</v>
      </c>
      <c r="AD6391" s="580">
        <f t="shared" si="531"/>
        <v>5</v>
      </c>
      <c r="AE6391" s="580">
        <f t="shared" si="532"/>
        <v>2.5</v>
      </c>
      <c r="AF6391" s="580">
        <f t="shared" si="533"/>
        <v>2.5</v>
      </c>
      <c r="AG6391" s="580">
        <f t="shared" si="534"/>
        <v>0</v>
      </c>
      <c r="AH6391" s="580">
        <f t="shared" si="535"/>
        <v>0</v>
      </c>
    </row>
    <row r="6392" spans="28:34">
      <c r="AB6392" s="580">
        <f>HLOOKUP("*"&amp;'Output annual'!$AC$2&amp;'Output annual'!$AD$2&amp;"*Zone People Number Of Occupants [](Hourly)",'Eplus results'!$1:$1048576,ROW(),FALSE)</f>
        <v>0</v>
      </c>
      <c r="AC6392" s="580">
        <f>HLOOKUP("*"&amp;'Output annual'!$AC$2&amp;'Output annual'!$AD$2&amp;"*FangerPMV(Hourly)",'Eplus results'!$1:$1048576,ROW(),FALSE)</f>
        <v>0</v>
      </c>
      <c r="AD6392" s="580">
        <f t="shared" si="531"/>
        <v>5</v>
      </c>
      <c r="AE6392" s="580">
        <f t="shared" si="532"/>
        <v>2.5</v>
      </c>
      <c r="AF6392" s="580">
        <f t="shared" si="533"/>
        <v>2.5</v>
      </c>
      <c r="AG6392" s="580">
        <f t="shared" si="534"/>
        <v>0</v>
      </c>
      <c r="AH6392" s="580">
        <f t="shared" si="535"/>
        <v>0</v>
      </c>
    </row>
    <row r="6393" spans="28:34">
      <c r="AB6393" s="580">
        <f>HLOOKUP("*"&amp;'Output annual'!$AC$2&amp;'Output annual'!$AD$2&amp;"*Zone People Number Of Occupants [](Hourly)",'Eplus results'!$1:$1048576,ROW(),FALSE)</f>
        <v>0</v>
      </c>
      <c r="AC6393" s="580">
        <f>HLOOKUP("*"&amp;'Output annual'!$AC$2&amp;'Output annual'!$AD$2&amp;"*FangerPMV(Hourly)",'Eplus results'!$1:$1048576,ROW(),FALSE)</f>
        <v>0</v>
      </c>
      <c r="AD6393" s="580">
        <f t="shared" si="531"/>
        <v>5</v>
      </c>
      <c r="AE6393" s="580">
        <f t="shared" si="532"/>
        <v>2.5</v>
      </c>
      <c r="AF6393" s="580">
        <f t="shared" si="533"/>
        <v>2.5</v>
      </c>
      <c r="AG6393" s="580">
        <f t="shared" si="534"/>
        <v>0</v>
      </c>
      <c r="AH6393" s="580">
        <f t="shared" si="535"/>
        <v>0</v>
      </c>
    </row>
    <row r="6394" spans="28:34">
      <c r="AB6394" s="580">
        <f>HLOOKUP("*"&amp;'Output annual'!$AC$2&amp;'Output annual'!$AD$2&amp;"*Zone People Number Of Occupants [](Hourly)",'Eplus results'!$1:$1048576,ROW(),FALSE)</f>
        <v>0</v>
      </c>
      <c r="AC6394" s="580">
        <f>HLOOKUP("*"&amp;'Output annual'!$AC$2&amp;'Output annual'!$AD$2&amp;"*FangerPMV(Hourly)",'Eplus results'!$1:$1048576,ROW(),FALSE)</f>
        <v>0</v>
      </c>
      <c r="AD6394" s="580">
        <f t="shared" si="531"/>
        <v>5</v>
      </c>
      <c r="AE6394" s="580">
        <f t="shared" si="532"/>
        <v>2.5</v>
      </c>
      <c r="AF6394" s="580">
        <f t="shared" si="533"/>
        <v>2.5</v>
      </c>
      <c r="AG6394" s="580">
        <f t="shared" si="534"/>
        <v>0</v>
      </c>
      <c r="AH6394" s="580">
        <f t="shared" si="535"/>
        <v>0</v>
      </c>
    </row>
    <row r="6395" spans="28:34">
      <c r="AB6395" s="580">
        <f>HLOOKUP("*"&amp;'Output annual'!$AC$2&amp;'Output annual'!$AD$2&amp;"*Zone People Number Of Occupants [](Hourly)",'Eplus results'!$1:$1048576,ROW(),FALSE)</f>
        <v>0</v>
      </c>
      <c r="AC6395" s="580">
        <f>HLOOKUP("*"&amp;'Output annual'!$AC$2&amp;'Output annual'!$AD$2&amp;"*FangerPMV(Hourly)",'Eplus results'!$1:$1048576,ROW(),FALSE)</f>
        <v>0</v>
      </c>
      <c r="AD6395" s="580">
        <f t="shared" si="531"/>
        <v>5</v>
      </c>
      <c r="AE6395" s="580">
        <f t="shared" si="532"/>
        <v>2.5</v>
      </c>
      <c r="AF6395" s="580">
        <f t="shared" si="533"/>
        <v>2.5</v>
      </c>
      <c r="AG6395" s="580">
        <f t="shared" si="534"/>
        <v>0</v>
      </c>
      <c r="AH6395" s="580">
        <f t="shared" si="535"/>
        <v>0</v>
      </c>
    </row>
    <row r="6396" spans="28:34">
      <c r="AB6396" s="580">
        <f>HLOOKUP("*"&amp;'Output annual'!$AC$2&amp;'Output annual'!$AD$2&amp;"*Zone People Number Of Occupants [](Hourly)",'Eplus results'!$1:$1048576,ROW(),FALSE)</f>
        <v>0</v>
      </c>
      <c r="AC6396" s="580">
        <f>HLOOKUP("*"&amp;'Output annual'!$AC$2&amp;'Output annual'!$AD$2&amp;"*FangerPMV(Hourly)",'Eplus results'!$1:$1048576,ROW(),FALSE)</f>
        <v>0</v>
      </c>
      <c r="AD6396" s="580">
        <f t="shared" si="531"/>
        <v>5</v>
      </c>
      <c r="AE6396" s="580">
        <f t="shared" si="532"/>
        <v>2.5</v>
      </c>
      <c r="AF6396" s="580">
        <f t="shared" si="533"/>
        <v>2.5</v>
      </c>
      <c r="AG6396" s="580">
        <f t="shared" si="534"/>
        <v>0</v>
      </c>
      <c r="AH6396" s="580">
        <f t="shared" si="535"/>
        <v>0</v>
      </c>
    </row>
    <row r="6397" spans="28:34">
      <c r="AB6397" s="580">
        <f>HLOOKUP("*"&amp;'Output annual'!$AC$2&amp;'Output annual'!$AD$2&amp;"*Zone People Number Of Occupants [](Hourly)",'Eplus results'!$1:$1048576,ROW(),FALSE)</f>
        <v>0</v>
      </c>
      <c r="AC6397" s="580">
        <f>HLOOKUP("*"&amp;'Output annual'!$AC$2&amp;'Output annual'!$AD$2&amp;"*FangerPMV(Hourly)",'Eplus results'!$1:$1048576,ROW(),FALSE)</f>
        <v>0</v>
      </c>
      <c r="AD6397" s="580">
        <f t="shared" si="531"/>
        <v>5</v>
      </c>
      <c r="AE6397" s="580">
        <f t="shared" si="532"/>
        <v>2.5</v>
      </c>
      <c r="AF6397" s="580">
        <f t="shared" si="533"/>
        <v>2.5</v>
      </c>
      <c r="AG6397" s="580">
        <f t="shared" si="534"/>
        <v>0</v>
      </c>
      <c r="AH6397" s="580">
        <f t="shared" si="535"/>
        <v>0</v>
      </c>
    </row>
    <row r="6398" spans="28:34">
      <c r="AB6398" s="580">
        <f>HLOOKUP("*"&amp;'Output annual'!$AC$2&amp;'Output annual'!$AD$2&amp;"*Zone People Number Of Occupants [](Hourly)",'Eplus results'!$1:$1048576,ROW(),FALSE)</f>
        <v>0</v>
      </c>
      <c r="AC6398" s="580">
        <f>HLOOKUP("*"&amp;'Output annual'!$AC$2&amp;'Output annual'!$AD$2&amp;"*FangerPMV(Hourly)",'Eplus results'!$1:$1048576,ROW(),FALSE)</f>
        <v>0</v>
      </c>
      <c r="AD6398" s="580">
        <f t="shared" si="531"/>
        <v>5</v>
      </c>
      <c r="AE6398" s="580">
        <f t="shared" si="532"/>
        <v>2.5</v>
      </c>
      <c r="AF6398" s="580">
        <f t="shared" si="533"/>
        <v>2.5</v>
      </c>
      <c r="AG6398" s="580">
        <f t="shared" si="534"/>
        <v>0</v>
      </c>
      <c r="AH6398" s="580">
        <f t="shared" si="535"/>
        <v>0</v>
      </c>
    </row>
    <row r="6399" spans="28:34">
      <c r="AB6399" s="580">
        <f>HLOOKUP("*"&amp;'Output annual'!$AC$2&amp;'Output annual'!$AD$2&amp;"*Zone People Number Of Occupants [](Hourly)",'Eplus results'!$1:$1048576,ROW(),FALSE)</f>
        <v>0</v>
      </c>
      <c r="AC6399" s="580">
        <f>HLOOKUP("*"&amp;'Output annual'!$AC$2&amp;'Output annual'!$AD$2&amp;"*FangerPMV(Hourly)",'Eplus results'!$1:$1048576,ROW(),FALSE)</f>
        <v>0</v>
      </c>
      <c r="AD6399" s="580">
        <f t="shared" si="531"/>
        <v>5</v>
      </c>
      <c r="AE6399" s="580">
        <f t="shared" si="532"/>
        <v>2.5</v>
      </c>
      <c r="AF6399" s="580">
        <f t="shared" si="533"/>
        <v>2.5</v>
      </c>
      <c r="AG6399" s="580">
        <f t="shared" si="534"/>
        <v>0</v>
      </c>
      <c r="AH6399" s="580">
        <f t="shared" si="535"/>
        <v>0</v>
      </c>
    </row>
    <row r="6400" spans="28:34">
      <c r="AB6400" s="580">
        <f>HLOOKUP("*"&amp;'Output annual'!$AC$2&amp;'Output annual'!$AD$2&amp;"*Zone People Number Of Occupants [](Hourly)",'Eplus results'!$1:$1048576,ROW(),FALSE)</f>
        <v>0</v>
      </c>
      <c r="AC6400" s="580">
        <f>HLOOKUP("*"&amp;'Output annual'!$AC$2&amp;'Output annual'!$AD$2&amp;"*FangerPMV(Hourly)",'Eplus results'!$1:$1048576,ROW(),FALSE)</f>
        <v>0</v>
      </c>
      <c r="AD6400" s="580">
        <f t="shared" si="531"/>
        <v>5</v>
      </c>
      <c r="AE6400" s="580">
        <f t="shared" si="532"/>
        <v>2.5</v>
      </c>
      <c r="AF6400" s="580">
        <f t="shared" si="533"/>
        <v>2.5</v>
      </c>
      <c r="AG6400" s="580">
        <f t="shared" si="534"/>
        <v>0</v>
      </c>
      <c r="AH6400" s="580">
        <f t="shared" si="535"/>
        <v>0</v>
      </c>
    </row>
    <row r="6401" spans="28:34">
      <c r="AB6401" s="580">
        <f>HLOOKUP("*"&amp;'Output annual'!$AC$2&amp;'Output annual'!$AD$2&amp;"*Zone People Number Of Occupants [](Hourly)",'Eplus results'!$1:$1048576,ROW(),FALSE)</f>
        <v>0</v>
      </c>
      <c r="AC6401" s="580">
        <f>HLOOKUP("*"&amp;'Output annual'!$AC$2&amp;'Output annual'!$AD$2&amp;"*FangerPMV(Hourly)",'Eplus results'!$1:$1048576,ROW(),FALSE)</f>
        <v>0</v>
      </c>
      <c r="AD6401" s="580">
        <f t="shared" si="531"/>
        <v>5</v>
      </c>
      <c r="AE6401" s="580">
        <f t="shared" si="532"/>
        <v>2.5</v>
      </c>
      <c r="AF6401" s="580">
        <f t="shared" si="533"/>
        <v>2.5</v>
      </c>
      <c r="AG6401" s="580">
        <f t="shared" si="534"/>
        <v>0</v>
      </c>
      <c r="AH6401" s="580">
        <f t="shared" si="535"/>
        <v>0</v>
      </c>
    </row>
    <row r="6402" spans="28:34">
      <c r="AB6402" s="580">
        <f>HLOOKUP("*"&amp;'Output annual'!$AC$2&amp;'Output annual'!$AD$2&amp;"*Zone People Number Of Occupants [](Hourly)",'Eplus results'!$1:$1048576,ROW(),FALSE)</f>
        <v>0</v>
      </c>
      <c r="AC6402" s="580">
        <f>HLOOKUP("*"&amp;'Output annual'!$AC$2&amp;'Output annual'!$AD$2&amp;"*FangerPMV(Hourly)",'Eplus results'!$1:$1048576,ROW(),FALSE)</f>
        <v>0</v>
      </c>
      <c r="AD6402" s="580">
        <f t="shared" si="531"/>
        <v>5</v>
      </c>
      <c r="AE6402" s="580">
        <f t="shared" si="532"/>
        <v>2.5</v>
      </c>
      <c r="AF6402" s="580">
        <f t="shared" si="533"/>
        <v>2.5</v>
      </c>
      <c r="AG6402" s="580">
        <f t="shared" si="534"/>
        <v>0</v>
      </c>
      <c r="AH6402" s="580">
        <f t="shared" si="535"/>
        <v>0</v>
      </c>
    </row>
    <row r="6403" spans="28:34">
      <c r="AB6403" s="580">
        <f>HLOOKUP("*"&amp;'Output annual'!$AC$2&amp;'Output annual'!$AD$2&amp;"*Zone People Number Of Occupants [](Hourly)",'Eplus results'!$1:$1048576,ROW(),FALSE)</f>
        <v>0</v>
      </c>
      <c r="AC6403" s="580">
        <f>HLOOKUP("*"&amp;'Output annual'!$AC$2&amp;'Output annual'!$AD$2&amp;"*FangerPMV(Hourly)",'Eplus results'!$1:$1048576,ROW(),FALSE)</f>
        <v>0</v>
      </c>
      <c r="AD6403" s="580">
        <f t="shared" ref="AD6403:AD6466" si="536">100-95*EXP(-0.03353*AC6403^4-0.2179*AC6403^2)</f>
        <v>5</v>
      </c>
      <c r="AE6403" s="580">
        <f t="shared" ref="AE6403:AE6466" si="537">AD6403*(1/(1+EXP(-6.3*$AC6403)))</f>
        <v>2.5</v>
      </c>
      <c r="AF6403" s="580">
        <f t="shared" ref="AF6403:AF6466" si="538">(AD6403-AE6403)</f>
        <v>2.5</v>
      </c>
      <c r="AG6403" s="580">
        <f t="shared" ref="AG6403:AG6466" si="539">AE6403*AB6403</f>
        <v>0</v>
      </c>
      <c r="AH6403" s="580">
        <f t="shared" ref="AH6403:AH6466" si="540">AF6403*AB6403</f>
        <v>0</v>
      </c>
    </row>
    <row r="6404" spans="28:34">
      <c r="AB6404" s="580">
        <f>HLOOKUP("*"&amp;'Output annual'!$AC$2&amp;'Output annual'!$AD$2&amp;"*Zone People Number Of Occupants [](Hourly)",'Eplus results'!$1:$1048576,ROW(),FALSE)</f>
        <v>0</v>
      </c>
      <c r="AC6404" s="580">
        <f>HLOOKUP("*"&amp;'Output annual'!$AC$2&amp;'Output annual'!$AD$2&amp;"*FangerPMV(Hourly)",'Eplus results'!$1:$1048576,ROW(),FALSE)</f>
        <v>0</v>
      </c>
      <c r="AD6404" s="580">
        <f t="shared" si="536"/>
        <v>5</v>
      </c>
      <c r="AE6404" s="580">
        <f t="shared" si="537"/>
        <v>2.5</v>
      </c>
      <c r="AF6404" s="580">
        <f t="shared" si="538"/>
        <v>2.5</v>
      </c>
      <c r="AG6404" s="580">
        <f t="shared" si="539"/>
        <v>0</v>
      </c>
      <c r="AH6404" s="580">
        <f t="shared" si="540"/>
        <v>0</v>
      </c>
    </row>
    <row r="6405" spans="28:34">
      <c r="AB6405" s="580">
        <f>HLOOKUP("*"&amp;'Output annual'!$AC$2&amp;'Output annual'!$AD$2&amp;"*Zone People Number Of Occupants [](Hourly)",'Eplus results'!$1:$1048576,ROW(),FALSE)</f>
        <v>0</v>
      </c>
      <c r="AC6405" s="580">
        <f>HLOOKUP("*"&amp;'Output annual'!$AC$2&amp;'Output annual'!$AD$2&amp;"*FangerPMV(Hourly)",'Eplus results'!$1:$1048576,ROW(),FALSE)</f>
        <v>0</v>
      </c>
      <c r="AD6405" s="580">
        <f t="shared" si="536"/>
        <v>5</v>
      </c>
      <c r="AE6405" s="580">
        <f t="shared" si="537"/>
        <v>2.5</v>
      </c>
      <c r="AF6405" s="580">
        <f t="shared" si="538"/>
        <v>2.5</v>
      </c>
      <c r="AG6405" s="580">
        <f t="shared" si="539"/>
        <v>0</v>
      </c>
      <c r="AH6405" s="580">
        <f t="shared" si="540"/>
        <v>0</v>
      </c>
    </row>
    <row r="6406" spans="28:34">
      <c r="AB6406" s="580">
        <f>HLOOKUP("*"&amp;'Output annual'!$AC$2&amp;'Output annual'!$AD$2&amp;"*Zone People Number Of Occupants [](Hourly)",'Eplus results'!$1:$1048576,ROW(),FALSE)</f>
        <v>0</v>
      </c>
      <c r="AC6406" s="580">
        <f>HLOOKUP("*"&amp;'Output annual'!$AC$2&amp;'Output annual'!$AD$2&amp;"*FangerPMV(Hourly)",'Eplus results'!$1:$1048576,ROW(),FALSE)</f>
        <v>0</v>
      </c>
      <c r="AD6406" s="580">
        <f t="shared" si="536"/>
        <v>5</v>
      </c>
      <c r="AE6406" s="580">
        <f t="shared" si="537"/>
        <v>2.5</v>
      </c>
      <c r="AF6406" s="580">
        <f t="shared" si="538"/>
        <v>2.5</v>
      </c>
      <c r="AG6406" s="580">
        <f t="shared" si="539"/>
        <v>0</v>
      </c>
      <c r="AH6406" s="580">
        <f t="shared" si="540"/>
        <v>0</v>
      </c>
    </row>
    <row r="6407" spans="28:34">
      <c r="AB6407" s="580">
        <f>HLOOKUP("*"&amp;'Output annual'!$AC$2&amp;'Output annual'!$AD$2&amp;"*Zone People Number Of Occupants [](Hourly)",'Eplus results'!$1:$1048576,ROW(),FALSE)</f>
        <v>0</v>
      </c>
      <c r="AC6407" s="580">
        <f>HLOOKUP("*"&amp;'Output annual'!$AC$2&amp;'Output annual'!$AD$2&amp;"*FangerPMV(Hourly)",'Eplus results'!$1:$1048576,ROW(),FALSE)</f>
        <v>0</v>
      </c>
      <c r="AD6407" s="580">
        <f t="shared" si="536"/>
        <v>5</v>
      </c>
      <c r="AE6407" s="580">
        <f t="shared" si="537"/>
        <v>2.5</v>
      </c>
      <c r="AF6407" s="580">
        <f t="shared" si="538"/>
        <v>2.5</v>
      </c>
      <c r="AG6407" s="580">
        <f t="shared" si="539"/>
        <v>0</v>
      </c>
      <c r="AH6407" s="580">
        <f t="shared" si="540"/>
        <v>0</v>
      </c>
    </row>
    <row r="6408" spans="28:34">
      <c r="AB6408" s="580">
        <f>HLOOKUP("*"&amp;'Output annual'!$AC$2&amp;'Output annual'!$AD$2&amp;"*Zone People Number Of Occupants [](Hourly)",'Eplus results'!$1:$1048576,ROW(),FALSE)</f>
        <v>0</v>
      </c>
      <c r="AC6408" s="580">
        <f>HLOOKUP("*"&amp;'Output annual'!$AC$2&amp;'Output annual'!$AD$2&amp;"*FangerPMV(Hourly)",'Eplus results'!$1:$1048576,ROW(),FALSE)</f>
        <v>0</v>
      </c>
      <c r="AD6408" s="580">
        <f t="shared" si="536"/>
        <v>5</v>
      </c>
      <c r="AE6408" s="580">
        <f t="shared" si="537"/>
        <v>2.5</v>
      </c>
      <c r="AF6408" s="580">
        <f t="shared" si="538"/>
        <v>2.5</v>
      </c>
      <c r="AG6408" s="580">
        <f t="shared" si="539"/>
        <v>0</v>
      </c>
      <c r="AH6408" s="580">
        <f t="shared" si="540"/>
        <v>0</v>
      </c>
    </row>
    <row r="6409" spans="28:34">
      <c r="AB6409" s="580">
        <f>HLOOKUP("*"&amp;'Output annual'!$AC$2&amp;'Output annual'!$AD$2&amp;"*Zone People Number Of Occupants [](Hourly)",'Eplus results'!$1:$1048576,ROW(),FALSE)</f>
        <v>0</v>
      </c>
      <c r="AC6409" s="580">
        <f>HLOOKUP("*"&amp;'Output annual'!$AC$2&amp;'Output annual'!$AD$2&amp;"*FangerPMV(Hourly)",'Eplus results'!$1:$1048576,ROW(),FALSE)</f>
        <v>0</v>
      </c>
      <c r="AD6409" s="580">
        <f t="shared" si="536"/>
        <v>5</v>
      </c>
      <c r="AE6409" s="580">
        <f t="shared" si="537"/>
        <v>2.5</v>
      </c>
      <c r="AF6409" s="580">
        <f t="shared" si="538"/>
        <v>2.5</v>
      </c>
      <c r="AG6409" s="580">
        <f t="shared" si="539"/>
        <v>0</v>
      </c>
      <c r="AH6409" s="580">
        <f t="shared" si="540"/>
        <v>0</v>
      </c>
    </row>
    <row r="6410" spans="28:34">
      <c r="AB6410" s="580">
        <f>HLOOKUP("*"&amp;'Output annual'!$AC$2&amp;'Output annual'!$AD$2&amp;"*Zone People Number Of Occupants [](Hourly)",'Eplus results'!$1:$1048576,ROW(),FALSE)</f>
        <v>0</v>
      </c>
      <c r="AC6410" s="580">
        <f>HLOOKUP("*"&amp;'Output annual'!$AC$2&amp;'Output annual'!$AD$2&amp;"*FangerPMV(Hourly)",'Eplus results'!$1:$1048576,ROW(),FALSE)</f>
        <v>0</v>
      </c>
      <c r="AD6410" s="580">
        <f t="shared" si="536"/>
        <v>5</v>
      </c>
      <c r="AE6410" s="580">
        <f t="shared" si="537"/>
        <v>2.5</v>
      </c>
      <c r="AF6410" s="580">
        <f t="shared" si="538"/>
        <v>2.5</v>
      </c>
      <c r="AG6410" s="580">
        <f t="shared" si="539"/>
        <v>0</v>
      </c>
      <c r="AH6410" s="580">
        <f t="shared" si="540"/>
        <v>0</v>
      </c>
    </row>
    <row r="6411" spans="28:34">
      <c r="AB6411" s="580">
        <f>HLOOKUP("*"&amp;'Output annual'!$AC$2&amp;'Output annual'!$AD$2&amp;"*Zone People Number Of Occupants [](Hourly)",'Eplus results'!$1:$1048576,ROW(),FALSE)</f>
        <v>0</v>
      </c>
      <c r="AC6411" s="580">
        <f>HLOOKUP("*"&amp;'Output annual'!$AC$2&amp;'Output annual'!$AD$2&amp;"*FangerPMV(Hourly)",'Eplus results'!$1:$1048576,ROW(),FALSE)</f>
        <v>0</v>
      </c>
      <c r="AD6411" s="580">
        <f t="shared" si="536"/>
        <v>5</v>
      </c>
      <c r="AE6411" s="580">
        <f t="shared" si="537"/>
        <v>2.5</v>
      </c>
      <c r="AF6411" s="580">
        <f t="shared" si="538"/>
        <v>2.5</v>
      </c>
      <c r="AG6411" s="580">
        <f t="shared" si="539"/>
        <v>0</v>
      </c>
      <c r="AH6411" s="580">
        <f t="shared" si="540"/>
        <v>0</v>
      </c>
    </row>
    <row r="6412" spans="28:34">
      <c r="AB6412" s="580">
        <f>HLOOKUP("*"&amp;'Output annual'!$AC$2&amp;'Output annual'!$AD$2&amp;"*Zone People Number Of Occupants [](Hourly)",'Eplus results'!$1:$1048576,ROW(),FALSE)</f>
        <v>0</v>
      </c>
      <c r="AC6412" s="580">
        <f>HLOOKUP("*"&amp;'Output annual'!$AC$2&amp;'Output annual'!$AD$2&amp;"*FangerPMV(Hourly)",'Eplus results'!$1:$1048576,ROW(),FALSE)</f>
        <v>0</v>
      </c>
      <c r="AD6412" s="580">
        <f t="shared" si="536"/>
        <v>5</v>
      </c>
      <c r="AE6412" s="580">
        <f t="shared" si="537"/>
        <v>2.5</v>
      </c>
      <c r="AF6412" s="580">
        <f t="shared" si="538"/>
        <v>2.5</v>
      </c>
      <c r="AG6412" s="580">
        <f t="shared" si="539"/>
        <v>0</v>
      </c>
      <c r="AH6412" s="580">
        <f t="shared" si="540"/>
        <v>0</v>
      </c>
    </row>
    <row r="6413" spans="28:34">
      <c r="AB6413" s="580">
        <f>HLOOKUP("*"&amp;'Output annual'!$AC$2&amp;'Output annual'!$AD$2&amp;"*Zone People Number Of Occupants [](Hourly)",'Eplus results'!$1:$1048576,ROW(),FALSE)</f>
        <v>0</v>
      </c>
      <c r="AC6413" s="580">
        <f>HLOOKUP("*"&amp;'Output annual'!$AC$2&amp;'Output annual'!$AD$2&amp;"*FangerPMV(Hourly)",'Eplus results'!$1:$1048576,ROW(),FALSE)</f>
        <v>0</v>
      </c>
      <c r="AD6413" s="580">
        <f t="shared" si="536"/>
        <v>5</v>
      </c>
      <c r="AE6413" s="580">
        <f t="shared" si="537"/>
        <v>2.5</v>
      </c>
      <c r="AF6413" s="580">
        <f t="shared" si="538"/>
        <v>2.5</v>
      </c>
      <c r="AG6413" s="580">
        <f t="shared" si="539"/>
        <v>0</v>
      </c>
      <c r="AH6413" s="580">
        <f t="shared" si="540"/>
        <v>0</v>
      </c>
    </row>
    <row r="6414" spans="28:34">
      <c r="AB6414" s="580">
        <f>HLOOKUP("*"&amp;'Output annual'!$AC$2&amp;'Output annual'!$AD$2&amp;"*Zone People Number Of Occupants [](Hourly)",'Eplus results'!$1:$1048576,ROW(),FALSE)</f>
        <v>0</v>
      </c>
      <c r="AC6414" s="580">
        <f>HLOOKUP("*"&amp;'Output annual'!$AC$2&amp;'Output annual'!$AD$2&amp;"*FangerPMV(Hourly)",'Eplus results'!$1:$1048576,ROW(),FALSE)</f>
        <v>0</v>
      </c>
      <c r="AD6414" s="580">
        <f t="shared" si="536"/>
        <v>5</v>
      </c>
      <c r="AE6414" s="580">
        <f t="shared" si="537"/>
        <v>2.5</v>
      </c>
      <c r="AF6414" s="580">
        <f t="shared" si="538"/>
        <v>2.5</v>
      </c>
      <c r="AG6414" s="580">
        <f t="shared" si="539"/>
        <v>0</v>
      </c>
      <c r="AH6414" s="580">
        <f t="shared" si="540"/>
        <v>0</v>
      </c>
    </row>
    <row r="6415" spans="28:34">
      <c r="AB6415" s="580">
        <f>HLOOKUP("*"&amp;'Output annual'!$AC$2&amp;'Output annual'!$AD$2&amp;"*Zone People Number Of Occupants [](Hourly)",'Eplus results'!$1:$1048576,ROW(),FALSE)</f>
        <v>0</v>
      </c>
      <c r="AC6415" s="580">
        <f>HLOOKUP("*"&amp;'Output annual'!$AC$2&amp;'Output annual'!$AD$2&amp;"*FangerPMV(Hourly)",'Eplus results'!$1:$1048576,ROW(),FALSE)</f>
        <v>0</v>
      </c>
      <c r="AD6415" s="580">
        <f t="shared" si="536"/>
        <v>5</v>
      </c>
      <c r="AE6415" s="580">
        <f t="shared" si="537"/>
        <v>2.5</v>
      </c>
      <c r="AF6415" s="580">
        <f t="shared" si="538"/>
        <v>2.5</v>
      </c>
      <c r="AG6415" s="580">
        <f t="shared" si="539"/>
        <v>0</v>
      </c>
      <c r="AH6415" s="580">
        <f t="shared" si="540"/>
        <v>0</v>
      </c>
    </row>
    <row r="6416" spans="28:34">
      <c r="AB6416" s="580">
        <f>HLOOKUP("*"&amp;'Output annual'!$AC$2&amp;'Output annual'!$AD$2&amp;"*Zone People Number Of Occupants [](Hourly)",'Eplus results'!$1:$1048576,ROW(),FALSE)</f>
        <v>0</v>
      </c>
      <c r="AC6416" s="580">
        <f>HLOOKUP("*"&amp;'Output annual'!$AC$2&amp;'Output annual'!$AD$2&amp;"*FangerPMV(Hourly)",'Eplus results'!$1:$1048576,ROW(),FALSE)</f>
        <v>0</v>
      </c>
      <c r="AD6416" s="580">
        <f t="shared" si="536"/>
        <v>5</v>
      </c>
      <c r="AE6416" s="580">
        <f t="shared" si="537"/>
        <v>2.5</v>
      </c>
      <c r="AF6416" s="580">
        <f t="shared" si="538"/>
        <v>2.5</v>
      </c>
      <c r="AG6416" s="580">
        <f t="shared" si="539"/>
        <v>0</v>
      </c>
      <c r="AH6416" s="580">
        <f t="shared" si="540"/>
        <v>0</v>
      </c>
    </row>
    <row r="6417" spans="28:34">
      <c r="AB6417" s="580">
        <f>HLOOKUP("*"&amp;'Output annual'!$AC$2&amp;'Output annual'!$AD$2&amp;"*Zone People Number Of Occupants [](Hourly)",'Eplus results'!$1:$1048576,ROW(),FALSE)</f>
        <v>0</v>
      </c>
      <c r="AC6417" s="580">
        <f>HLOOKUP("*"&amp;'Output annual'!$AC$2&amp;'Output annual'!$AD$2&amp;"*FangerPMV(Hourly)",'Eplus results'!$1:$1048576,ROW(),FALSE)</f>
        <v>0</v>
      </c>
      <c r="AD6417" s="580">
        <f t="shared" si="536"/>
        <v>5</v>
      </c>
      <c r="AE6417" s="580">
        <f t="shared" si="537"/>
        <v>2.5</v>
      </c>
      <c r="AF6417" s="580">
        <f t="shared" si="538"/>
        <v>2.5</v>
      </c>
      <c r="AG6417" s="580">
        <f t="shared" si="539"/>
        <v>0</v>
      </c>
      <c r="AH6417" s="580">
        <f t="shared" si="540"/>
        <v>0</v>
      </c>
    </row>
    <row r="6418" spans="28:34">
      <c r="AB6418" s="580">
        <f>HLOOKUP("*"&amp;'Output annual'!$AC$2&amp;'Output annual'!$AD$2&amp;"*Zone People Number Of Occupants [](Hourly)",'Eplus results'!$1:$1048576,ROW(),FALSE)</f>
        <v>0</v>
      </c>
      <c r="AC6418" s="580">
        <f>HLOOKUP("*"&amp;'Output annual'!$AC$2&amp;'Output annual'!$AD$2&amp;"*FangerPMV(Hourly)",'Eplus results'!$1:$1048576,ROW(),FALSE)</f>
        <v>0</v>
      </c>
      <c r="AD6418" s="580">
        <f t="shared" si="536"/>
        <v>5</v>
      </c>
      <c r="AE6418" s="580">
        <f t="shared" si="537"/>
        <v>2.5</v>
      </c>
      <c r="AF6418" s="580">
        <f t="shared" si="538"/>
        <v>2.5</v>
      </c>
      <c r="AG6418" s="580">
        <f t="shared" si="539"/>
        <v>0</v>
      </c>
      <c r="AH6418" s="580">
        <f t="shared" si="540"/>
        <v>0</v>
      </c>
    </row>
    <row r="6419" spans="28:34">
      <c r="AB6419" s="580">
        <f>HLOOKUP("*"&amp;'Output annual'!$AC$2&amp;'Output annual'!$AD$2&amp;"*Zone People Number Of Occupants [](Hourly)",'Eplus results'!$1:$1048576,ROW(),FALSE)</f>
        <v>0</v>
      </c>
      <c r="AC6419" s="580">
        <f>HLOOKUP("*"&amp;'Output annual'!$AC$2&amp;'Output annual'!$AD$2&amp;"*FangerPMV(Hourly)",'Eplus results'!$1:$1048576,ROW(),FALSE)</f>
        <v>0</v>
      </c>
      <c r="AD6419" s="580">
        <f t="shared" si="536"/>
        <v>5</v>
      </c>
      <c r="AE6419" s="580">
        <f t="shared" si="537"/>
        <v>2.5</v>
      </c>
      <c r="AF6419" s="580">
        <f t="shared" si="538"/>
        <v>2.5</v>
      </c>
      <c r="AG6419" s="580">
        <f t="shared" si="539"/>
        <v>0</v>
      </c>
      <c r="AH6419" s="580">
        <f t="shared" si="540"/>
        <v>0</v>
      </c>
    </row>
    <row r="6420" spans="28:34">
      <c r="AB6420" s="580">
        <f>HLOOKUP("*"&amp;'Output annual'!$AC$2&amp;'Output annual'!$AD$2&amp;"*Zone People Number Of Occupants [](Hourly)",'Eplus results'!$1:$1048576,ROW(),FALSE)</f>
        <v>0</v>
      </c>
      <c r="AC6420" s="580">
        <f>HLOOKUP("*"&amp;'Output annual'!$AC$2&amp;'Output annual'!$AD$2&amp;"*FangerPMV(Hourly)",'Eplus results'!$1:$1048576,ROW(),FALSE)</f>
        <v>0</v>
      </c>
      <c r="AD6420" s="580">
        <f t="shared" si="536"/>
        <v>5</v>
      </c>
      <c r="AE6420" s="580">
        <f t="shared" si="537"/>
        <v>2.5</v>
      </c>
      <c r="AF6420" s="580">
        <f t="shared" si="538"/>
        <v>2.5</v>
      </c>
      <c r="AG6420" s="580">
        <f t="shared" si="539"/>
        <v>0</v>
      </c>
      <c r="AH6420" s="580">
        <f t="shared" si="540"/>
        <v>0</v>
      </c>
    </row>
    <row r="6421" spans="28:34">
      <c r="AB6421" s="580">
        <f>HLOOKUP("*"&amp;'Output annual'!$AC$2&amp;'Output annual'!$AD$2&amp;"*Zone People Number Of Occupants [](Hourly)",'Eplus results'!$1:$1048576,ROW(),FALSE)</f>
        <v>0</v>
      </c>
      <c r="AC6421" s="580">
        <f>HLOOKUP("*"&amp;'Output annual'!$AC$2&amp;'Output annual'!$AD$2&amp;"*FangerPMV(Hourly)",'Eplus results'!$1:$1048576,ROW(),FALSE)</f>
        <v>0</v>
      </c>
      <c r="AD6421" s="580">
        <f t="shared" si="536"/>
        <v>5</v>
      </c>
      <c r="AE6421" s="580">
        <f t="shared" si="537"/>
        <v>2.5</v>
      </c>
      <c r="AF6421" s="580">
        <f t="shared" si="538"/>
        <v>2.5</v>
      </c>
      <c r="AG6421" s="580">
        <f t="shared" si="539"/>
        <v>0</v>
      </c>
      <c r="AH6421" s="580">
        <f t="shared" si="540"/>
        <v>0</v>
      </c>
    </row>
    <row r="6422" spans="28:34">
      <c r="AB6422" s="580">
        <f>HLOOKUP("*"&amp;'Output annual'!$AC$2&amp;'Output annual'!$AD$2&amp;"*Zone People Number Of Occupants [](Hourly)",'Eplus results'!$1:$1048576,ROW(),FALSE)</f>
        <v>0</v>
      </c>
      <c r="AC6422" s="580">
        <f>HLOOKUP("*"&amp;'Output annual'!$AC$2&amp;'Output annual'!$AD$2&amp;"*FangerPMV(Hourly)",'Eplus results'!$1:$1048576,ROW(),FALSE)</f>
        <v>0</v>
      </c>
      <c r="AD6422" s="580">
        <f t="shared" si="536"/>
        <v>5</v>
      </c>
      <c r="AE6422" s="580">
        <f t="shared" si="537"/>
        <v>2.5</v>
      </c>
      <c r="AF6422" s="580">
        <f t="shared" si="538"/>
        <v>2.5</v>
      </c>
      <c r="AG6422" s="580">
        <f t="shared" si="539"/>
        <v>0</v>
      </c>
      <c r="AH6422" s="580">
        <f t="shared" si="540"/>
        <v>0</v>
      </c>
    </row>
    <row r="6423" spans="28:34">
      <c r="AB6423" s="580">
        <f>HLOOKUP("*"&amp;'Output annual'!$AC$2&amp;'Output annual'!$AD$2&amp;"*Zone People Number Of Occupants [](Hourly)",'Eplus results'!$1:$1048576,ROW(),FALSE)</f>
        <v>0</v>
      </c>
      <c r="AC6423" s="580">
        <f>HLOOKUP("*"&amp;'Output annual'!$AC$2&amp;'Output annual'!$AD$2&amp;"*FangerPMV(Hourly)",'Eplus results'!$1:$1048576,ROW(),FALSE)</f>
        <v>0</v>
      </c>
      <c r="AD6423" s="580">
        <f t="shared" si="536"/>
        <v>5</v>
      </c>
      <c r="AE6423" s="580">
        <f t="shared" si="537"/>
        <v>2.5</v>
      </c>
      <c r="AF6423" s="580">
        <f t="shared" si="538"/>
        <v>2.5</v>
      </c>
      <c r="AG6423" s="580">
        <f t="shared" si="539"/>
        <v>0</v>
      </c>
      <c r="AH6423" s="580">
        <f t="shared" si="540"/>
        <v>0</v>
      </c>
    </row>
    <row r="6424" spans="28:34">
      <c r="AB6424" s="580">
        <f>HLOOKUP("*"&amp;'Output annual'!$AC$2&amp;'Output annual'!$AD$2&amp;"*Zone People Number Of Occupants [](Hourly)",'Eplus results'!$1:$1048576,ROW(),FALSE)</f>
        <v>0</v>
      </c>
      <c r="AC6424" s="580">
        <f>HLOOKUP("*"&amp;'Output annual'!$AC$2&amp;'Output annual'!$AD$2&amp;"*FangerPMV(Hourly)",'Eplus results'!$1:$1048576,ROW(),FALSE)</f>
        <v>0</v>
      </c>
      <c r="AD6424" s="580">
        <f t="shared" si="536"/>
        <v>5</v>
      </c>
      <c r="AE6424" s="580">
        <f t="shared" si="537"/>
        <v>2.5</v>
      </c>
      <c r="AF6424" s="580">
        <f t="shared" si="538"/>
        <v>2.5</v>
      </c>
      <c r="AG6424" s="580">
        <f t="shared" si="539"/>
        <v>0</v>
      </c>
      <c r="AH6424" s="580">
        <f t="shared" si="540"/>
        <v>0</v>
      </c>
    </row>
    <row r="6425" spans="28:34">
      <c r="AB6425" s="580">
        <f>HLOOKUP("*"&amp;'Output annual'!$AC$2&amp;'Output annual'!$AD$2&amp;"*Zone People Number Of Occupants [](Hourly)",'Eplus results'!$1:$1048576,ROW(),FALSE)</f>
        <v>0</v>
      </c>
      <c r="AC6425" s="580">
        <f>HLOOKUP("*"&amp;'Output annual'!$AC$2&amp;'Output annual'!$AD$2&amp;"*FangerPMV(Hourly)",'Eplus results'!$1:$1048576,ROW(),FALSE)</f>
        <v>0</v>
      </c>
      <c r="AD6425" s="580">
        <f t="shared" si="536"/>
        <v>5</v>
      </c>
      <c r="AE6425" s="580">
        <f t="shared" si="537"/>
        <v>2.5</v>
      </c>
      <c r="AF6425" s="580">
        <f t="shared" si="538"/>
        <v>2.5</v>
      </c>
      <c r="AG6425" s="580">
        <f t="shared" si="539"/>
        <v>0</v>
      </c>
      <c r="AH6425" s="580">
        <f t="shared" si="540"/>
        <v>0</v>
      </c>
    </row>
    <row r="6426" spans="28:34">
      <c r="AB6426" s="580">
        <f>HLOOKUP("*"&amp;'Output annual'!$AC$2&amp;'Output annual'!$AD$2&amp;"*Zone People Number Of Occupants [](Hourly)",'Eplus results'!$1:$1048576,ROW(),FALSE)</f>
        <v>0</v>
      </c>
      <c r="AC6426" s="580">
        <f>HLOOKUP("*"&amp;'Output annual'!$AC$2&amp;'Output annual'!$AD$2&amp;"*FangerPMV(Hourly)",'Eplus results'!$1:$1048576,ROW(),FALSE)</f>
        <v>0</v>
      </c>
      <c r="AD6426" s="580">
        <f t="shared" si="536"/>
        <v>5</v>
      </c>
      <c r="AE6426" s="580">
        <f t="shared" si="537"/>
        <v>2.5</v>
      </c>
      <c r="AF6426" s="580">
        <f t="shared" si="538"/>
        <v>2.5</v>
      </c>
      <c r="AG6426" s="580">
        <f t="shared" si="539"/>
        <v>0</v>
      </c>
      <c r="AH6426" s="580">
        <f t="shared" si="540"/>
        <v>0</v>
      </c>
    </row>
    <row r="6427" spans="28:34">
      <c r="AB6427" s="580">
        <f>HLOOKUP("*"&amp;'Output annual'!$AC$2&amp;'Output annual'!$AD$2&amp;"*Zone People Number Of Occupants [](Hourly)",'Eplus results'!$1:$1048576,ROW(),FALSE)</f>
        <v>0</v>
      </c>
      <c r="AC6427" s="580">
        <f>HLOOKUP("*"&amp;'Output annual'!$AC$2&amp;'Output annual'!$AD$2&amp;"*FangerPMV(Hourly)",'Eplus results'!$1:$1048576,ROW(),FALSE)</f>
        <v>0</v>
      </c>
      <c r="AD6427" s="580">
        <f t="shared" si="536"/>
        <v>5</v>
      </c>
      <c r="AE6427" s="580">
        <f t="shared" si="537"/>
        <v>2.5</v>
      </c>
      <c r="AF6427" s="580">
        <f t="shared" si="538"/>
        <v>2.5</v>
      </c>
      <c r="AG6427" s="580">
        <f t="shared" si="539"/>
        <v>0</v>
      </c>
      <c r="AH6427" s="580">
        <f t="shared" si="540"/>
        <v>0</v>
      </c>
    </row>
    <row r="6428" spans="28:34">
      <c r="AB6428" s="580">
        <f>HLOOKUP("*"&amp;'Output annual'!$AC$2&amp;'Output annual'!$AD$2&amp;"*Zone People Number Of Occupants [](Hourly)",'Eplus results'!$1:$1048576,ROW(),FALSE)</f>
        <v>0</v>
      </c>
      <c r="AC6428" s="580">
        <f>HLOOKUP("*"&amp;'Output annual'!$AC$2&amp;'Output annual'!$AD$2&amp;"*FangerPMV(Hourly)",'Eplus results'!$1:$1048576,ROW(),FALSE)</f>
        <v>0</v>
      </c>
      <c r="AD6428" s="580">
        <f t="shared" si="536"/>
        <v>5</v>
      </c>
      <c r="AE6428" s="580">
        <f t="shared" si="537"/>
        <v>2.5</v>
      </c>
      <c r="AF6428" s="580">
        <f t="shared" si="538"/>
        <v>2.5</v>
      </c>
      <c r="AG6428" s="580">
        <f t="shared" si="539"/>
        <v>0</v>
      </c>
      <c r="AH6428" s="580">
        <f t="shared" si="540"/>
        <v>0</v>
      </c>
    </row>
    <row r="6429" spans="28:34">
      <c r="AB6429" s="580">
        <f>HLOOKUP("*"&amp;'Output annual'!$AC$2&amp;'Output annual'!$AD$2&amp;"*Zone People Number Of Occupants [](Hourly)",'Eplus results'!$1:$1048576,ROW(),FALSE)</f>
        <v>0</v>
      </c>
      <c r="AC6429" s="580">
        <f>HLOOKUP("*"&amp;'Output annual'!$AC$2&amp;'Output annual'!$AD$2&amp;"*FangerPMV(Hourly)",'Eplus results'!$1:$1048576,ROW(),FALSE)</f>
        <v>0</v>
      </c>
      <c r="AD6429" s="580">
        <f t="shared" si="536"/>
        <v>5</v>
      </c>
      <c r="AE6429" s="580">
        <f t="shared" si="537"/>
        <v>2.5</v>
      </c>
      <c r="AF6429" s="580">
        <f t="shared" si="538"/>
        <v>2.5</v>
      </c>
      <c r="AG6429" s="580">
        <f t="shared" si="539"/>
        <v>0</v>
      </c>
      <c r="AH6429" s="580">
        <f t="shared" si="540"/>
        <v>0</v>
      </c>
    </row>
    <row r="6430" spans="28:34">
      <c r="AB6430" s="580">
        <f>HLOOKUP("*"&amp;'Output annual'!$AC$2&amp;'Output annual'!$AD$2&amp;"*Zone People Number Of Occupants [](Hourly)",'Eplus results'!$1:$1048576,ROW(),FALSE)</f>
        <v>0</v>
      </c>
      <c r="AC6430" s="580">
        <f>HLOOKUP("*"&amp;'Output annual'!$AC$2&amp;'Output annual'!$AD$2&amp;"*FangerPMV(Hourly)",'Eplus results'!$1:$1048576,ROW(),FALSE)</f>
        <v>0</v>
      </c>
      <c r="AD6430" s="580">
        <f t="shared" si="536"/>
        <v>5</v>
      </c>
      <c r="AE6430" s="580">
        <f t="shared" si="537"/>
        <v>2.5</v>
      </c>
      <c r="AF6430" s="580">
        <f t="shared" si="538"/>
        <v>2.5</v>
      </c>
      <c r="AG6430" s="580">
        <f t="shared" si="539"/>
        <v>0</v>
      </c>
      <c r="AH6430" s="580">
        <f t="shared" si="540"/>
        <v>0</v>
      </c>
    </row>
    <row r="6431" spans="28:34">
      <c r="AB6431" s="580">
        <f>HLOOKUP("*"&amp;'Output annual'!$AC$2&amp;'Output annual'!$AD$2&amp;"*Zone People Number Of Occupants [](Hourly)",'Eplus results'!$1:$1048576,ROW(),FALSE)</f>
        <v>0</v>
      </c>
      <c r="AC6431" s="580">
        <f>HLOOKUP("*"&amp;'Output annual'!$AC$2&amp;'Output annual'!$AD$2&amp;"*FangerPMV(Hourly)",'Eplus results'!$1:$1048576,ROW(),FALSE)</f>
        <v>0</v>
      </c>
      <c r="AD6431" s="580">
        <f t="shared" si="536"/>
        <v>5</v>
      </c>
      <c r="AE6431" s="580">
        <f t="shared" si="537"/>
        <v>2.5</v>
      </c>
      <c r="AF6431" s="580">
        <f t="shared" si="538"/>
        <v>2.5</v>
      </c>
      <c r="AG6431" s="580">
        <f t="shared" si="539"/>
        <v>0</v>
      </c>
      <c r="AH6431" s="580">
        <f t="shared" si="540"/>
        <v>0</v>
      </c>
    </row>
    <row r="6432" spans="28:34">
      <c r="AB6432" s="580">
        <f>HLOOKUP("*"&amp;'Output annual'!$AC$2&amp;'Output annual'!$AD$2&amp;"*Zone People Number Of Occupants [](Hourly)",'Eplus results'!$1:$1048576,ROW(),FALSE)</f>
        <v>0</v>
      </c>
      <c r="AC6432" s="580">
        <f>HLOOKUP("*"&amp;'Output annual'!$AC$2&amp;'Output annual'!$AD$2&amp;"*FangerPMV(Hourly)",'Eplus results'!$1:$1048576,ROW(),FALSE)</f>
        <v>0</v>
      </c>
      <c r="AD6432" s="580">
        <f t="shared" si="536"/>
        <v>5</v>
      </c>
      <c r="AE6432" s="580">
        <f t="shared" si="537"/>
        <v>2.5</v>
      </c>
      <c r="AF6432" s="580">
        <f t="shared" si="538"/>
        <v>2.5</v>
      </c>
      <c r="AG6432" s="580">
        <f t="shared" si="539"/>
        <v>0</v>
      </c>
      <c r="AH6432" s="580">
        <f t="shared" si="540"/>
        <v>0</v>
      </c>
    </row>
    <row r="6433" spans="28:34">
      <c r="AB6433" s="580">
        <f>HLOOKUP("*"&amp;'Output annual'!$AC$2&amp;'Output annual'!$AD$2&amp;"*Zone People Number Of Occupants [](Hourly)",'Eplus results'!$1:$1048576,ROW(),FALSE)</f>
        <v>0</v>
      </c>
      <c r="AC6433" s="580">
        <f>HLOOKUP("*"&amp;'Output annual'!$AC$2&amp;'Output annual'!$AD$2&amp;"*FangerPMV(Hourly)",'Eplus results'!$1:$1048576,ROW(),FALSE)</f>
        <v>0</v>
      </c>
      <c r="AD6433" s="580">
        <f t="shared" si="536"/>
        <v>5</v>
      </c>
      <c r="AE6433" s="580">
        <f t="shared" si="537"/>
        <v>2.5</v>
      </c>
      <c r="AF6433" s="580">
        <f t="shared" si="538"/>
        <v>2.5</v>
      </c>
      <c r="AG6433" s="580">
        <f t="shared" si="539"/>
        <v>0</v>
      </c>
      <c r="AH6433" s="580">
        <f t="shared" si="540"/>
        <v>0</v>
      </c>
    </row>
    <row r="6434" spans="28:34">
      <c r="AB6434" s="580">
        <f>HLOOKUP("*"&amp;'Output annual'!$AC$2&amp;'Output annual'!$AD$2&amp;"*Zone People Number Of Occupants [](Hourly)",'Eplus results'!$1:$1048576,ROW(),FALSE)</f>
        <v>0</v>
      </c>
      <c r="AC6434" s="580">
        <f>HLOOKUP("*"&amp;'Output annual'!$AC$2&amp;'Output annual'!$AD$2&amp;"*FangerPMV(Hourly)",'Eplus results'!$1:$1048576,ROW(),FALSE)</f>
        <v>0</v>
      </c>
      <c r="AD6434" s="580">
        <f t="shared" si="536"/>
        <v>5</v>
      </c>
      <c r="AE6434" s="580">
        <f t="shared" si="537"/>
        <v>2.5</v>
      </c>
      <c r="AF6434" s="580">
        <f t="shared" si="538"/>
        <v>2.5</v>
      </c>
      <c r="AG6434" s="580">
        <f t="shared" si="539"/>
        <v>0</v>
      </c>
      <c r="AH6434" s="580">
        <f t="shared" si="540"/>
        <v>0</v>
      </c>
    </row>
    <row r="6435" spans="28:34">
      <c r="AB6435" s="580">
        <f>HLOOKUP("*"&amp;'Output annual'!$AC$2&amp;'Output annual'!$AD$2&amp;"*Zone People Number Of Occupants [](Hourly)",'Eplus results'!$1:$1048576,ROW(),FALSE)</f>
        <v>0</v>
      </c>
      <c r="AC6435" s="580">
        <f>HLOOKUP("*"&amp;'Output annual'!$AC$2&amp;'Output annual'!$AD$2&amp;"*FangerPMV(Hourly)",'Eplus results'!$1:$1048576,ROW(),FALSE)</f>
        <v>0</v>
      </c>
      <c r="AD6435" s="580">
        <f t="shared" si="536"/>
        <v>5</v>
      </c>
      <c r="AE6435" s="580">
        <f t="shared" si="537"/>
        <v>2.5</v>
      </c>
      <c r="AF6435" s="580">
        <f t="shared" si="538"/>
        <v>2.5</v>
      </c>
      <c r="AG6435" s="580">
        <f t="shared" si="539"/>
        <v>0</v>
      </c>
      <c r="AH6435" s="580">
        <f t="shared" si="540"/>
        <v>0</v>
      </c>
    </row>
    <row r="6436" spans="28:34">
      <c r="AB6436" s="580">
        <f>HLOOKUP("*"&amp;'Output annual'!$AC$2&amp;'Output annual'!$AD$2&amp;"*Zone People Number Of Occupants [](Hourly)",'Eplus results'!$1:$1048576,ROW(),FALSE)</f>
        <v>0</v>
      </c>
      <c r="AC6436" s="580">
        <f>HLOOKUP("*"&amp;'Output annual'!$AC$2&amp;'Output annual'!$AD$2&amp;"*FangerPMV(Hourly)",'Eplus results'!$1:$1048576,ROW(),FALSE)</f>
        <v>0</v>
      </c>
      <c r="AD6436" s="580">
        <f t="shared" si="536"/>
        <v>5</v>
      </c>
      <c r="AE6436" s="580">
        <f t="shared" si="537"/>
        <v>2.5</v>
      </c>
      <c r="AF6436" s="580">
        <f t="shared" si="538"/>
        <v>2.5</v>
      </c>
      <c r="AG6436" s="580">
        <f t="shared" si="539"/>
        <v>0</v>
      </c>
      <c r="AH6436" s="580">
        <f t="shared" si="540"/>
        <v>0</v>
      </c>
    </row>
    <row r="6437" spans="28:34">
      <c r="AB6437" s="580">
        <f>HLOOKUP("*"&amp;'Output annual'!$AC$2&amp;'Output annual'!$AD$2&amp;"*Zone People Number Of Occupants [](Hourly)",'Eplus results'!$1:$1048576,ROW(),FALSE)</f>
        <v>0</v>
      </c>
      <c r="AC6437" s="580">
        <f>HLOOKUP("*"&amp;'Output annual'!$AC$2&amp;'Output annual'!$AD$2&amp;"*FangerPMV(Hourly)",'Eplus results'!$1:$1048576,ROW(),FALSE)</f>
        <v>0</v>
      </c>
      <c r="AD6437" s="580">
        <f t="shared" si="536"/>
        <v>5</v>
      </c>
      <c r="AE6437" s="580">
        <f t="shared" si="537"/>
        <v>2.5</v>
      </c>
      <c r="AF6437" s="580">
        <f t="shared" si="538"/>
        <v>2.5</v>
      </c>
      <c r="AG6437" s="580">
        <f t="shared" si="539"/>
        <v>0</v>
      </c>
      <c r="AH6437" s="580">
        <f t="shared" si="540"/>
        <v>0</v>
      </c>
    </row>
    <row r="6438" spans="28:34">
      <c r="AB6438" s="580">
        <f>HLOOKUP("*"&amp;'Output annual'!$AC$2&amp;'Output annual'!$AD$2&amp;"*Zone People Number Of Occupants [](Hourly)",'Eplus results'!$1:$1048576,ROW(),FALSE)</f>
        <v>0</v>
      </c>
      <c r="AC6438" s="580">
        <f>HLOOKUP("*"&amp;'Output annual'!$AC$2&amp;'Output annual'!$AD$2&amp;"*FangerPMV(Hourly)",'Eplus results'!$1:$1048576,ROW(),FALSE)</f>
        <v>0</v>
      </c>
      <c r="AD6438" s="580">
        <f t="shared" si="536"/>
        <v>5</v>
      </c>
      <c r="AE6438" s="580">
        <f t="shared" si="537"/>
        <v>2.5</v>
      </c>
      <c r="AF6438" s="580">
        <f t="shared" si="538"/>
        <v>2.5</v>
      </c>
      <c r="AG6438" s="580">
        <f t="shared" si="539"/>
        <v>0</v>
      </c>
      <c r="AH6438" s="580">
        <f t="shared" si="540"/>
        <v>0</v>
      </c>
    </row>
    <row r="6439" spans="28:34">
      <c r="AB6439" s="580">
        <f>HLOOKUP("*"&amp;'Output annual'!$AC$2&amp;'Output annual'!$AD$2&amp;"*Zone People Number Of Occupants [](Hourly)",'Eplus results'!$1:$1048576,ROW(),FALSE)</f>
        <v>0</v>
      </c>
      <c r="AC6439" s="580">
        <f>HLOOKUP("*"&amp;'Output annual'!$AC$2&amp;'Output annual'!$AD$2&amp;"*FangerPMV(Hourly)",'Eplus results'!$1:$1048576,ROW(),FALSE)</f>
        <v>0</v>
      </c>
      <c r="AD6439" s="580">
        <f t="shared" si="536"/>
        <v>5</v>
      </c>
      <c r="AE6439" s="580">
        <f t="shared" si="537"/>
        <v>2.5</v>
      </c>
      <c r="AF6439" s="580">
        <f t="shared" si="538"/>
        <v>2.5</v>
      </c>
      <c r="AG6439" s="580">
        <f t="shared" si="539"/>
        <v>0</v>
      </c>
      <c r="AH6439" s="580">
        <f t="shared" si="540"/>
        <v>0</v>
      </c>
    </row>
    <row r="6440" spans="28:34">
      <c r="AB6440" s="580">
        <f>HLOOKUP("*"&amp;'Output annual'!$AC$2&amp;'Output annual'!$AD$2&amp;"*Zone People Number Of Occupants [](Hourly)",'Eplus results'!$1:$1048576,ROW(),FALSE)</f>
        <v>0</v>
      </c>
      <c r="AC6440" s="580">
        <f>HLOOKUP("*"&amp;'Output annual'!$AC$2&amp;'Output annual'!$AD$2&amp;"*FangerPMV(Hourly)",'Eplus results'!$1:$1048576,ROW(),FALSE)</f>
        <v>0</v>
      </c>
      <c r="AD6440" s="580">
        <f t="shared" si="536"/>
        <v>5</v>
      </c>
      <c r="AE6440" s="580">
        <f t="shared" si="537"/>
        <v>2.5</v>
      </c>
      <c r="AF6440" s="580">
        <f t="shared" si="538"/>
        <v>2.5</v>
      </c>
      <c r="AG6440" s="580">
        <f t="shared" si="539"/>
        <v>0</v>
      </c>
      <c r="AH6440" s="580">
        <f t="shared" si="540"/>
        <v>0</v>
      </c>
    </row>
    <row r="6441" spans="28:34">
      <c r="AB6441" s="580">
        <f>HLOOKUP("*"&amp;'Output annual'!$AC$2&amp;'Output annual'!$AD$2&amp;"*Zone People Number Of Occupants [](Hourly)",'Eplus results'!$1:$1048576,ROW(),FALSE)</f>
        <v>0</v>
      </c>
      <c r="AC6441" s="580">
        <f>HLOOKUP("*"&amp;'Output annual'!$AC$2&amp;'Output annual'!$AD$2&amp;"*FangerPMV(Hourly)",'Eplus results'!$1:$1048576,ROW(),FALSE)</f>
        <v>0</v>
      </c>
      <c r="AD6441" s="580">
        <f t="shared" si="536"/>
        <v>5</v>
      </c>
      <c r="AE6441" s="580">
        <f t="shared" si="537"/>
        <v>2.5</v>
      </c>
      <c r="AF6441" s="580">
        <f t="shared" si="538"/>
        <v>2.5</v>
      </c>
      <c r="AG6441" s="580">
        <f t="shared" si="539"/>
        <v>0</v>
      </c>
      <c r="AH6441" s="580">
        <f t="shared" si="540"/>
        <v>0</v>
      </c>
    </row>
    <row r="6442" spans="28:34">
      <c r="AB6442" s="580">
        <f>HLOOKUP("*"&amp;'Output annual'!$AC$2&amp;'Output annual'!$AD$2&amp;"*Zone People Number Of Occupants [](Hourly)",'Eplus results'!$1:$1048576,ROW(),FALSE)</f>
        <v>0</v>
      </c>
      <c r="AC6442" s="580">
        <f>HLOOKUP("*"&amp;'Output annual'!$AC$2&amp;'Output annual'!$AD$2&amp;"*FangerPMV(Hourly)",'Eplus results'!$1:$1048576,ROW(),FALSE)</f>
        <v>0</v>
      </c>
      <c r="AD6442" s="580">
        <f t="shared" si="536"/>
        <v>5</v>
      </c>
      <c r="AE6442" s="580">
        <f t="shared" si="537"/>
        <v>2.5</v>
      </c>
      <c r="AF6442" s="580">
        <f t="shared" si="538"/>
        <v>2.5</v>
      </c>
      <c r="AG6442" s="580">
        <f t="shared" si="539"/>
        <v>0</v>
      </c>
      <c r="AH6442" s="580">
        <f t="shared" si="540"/>
        <v>0</v>
      </c>
    </row>
    <row r="6443" spans="28:34">
      <c r="AB6443" s="580">
        <f>HLOOKUP("*"&amp;'Output annual'!$AC$2&amp;'Output annual'!$AD$2&amp;"*Zone People Number Of Occupants [](Hourly)",'Eplus results'!$1:$1048576,ROW(),FALSE)</f>
        <v>0</v>
      </c>
      <c r="AC6443" s="580">
        <f>HLOOKUP("*"&amp;'Output annual'!$AC$2&amp;'Output annual'!$AD$2&amp;"*FangerPMV(Hourly)",'Eplus results'!$1:$1048576,ROW(),FALSE)</f>
        <v>0</v>
      </c>
      <c r="AD6443" s="580">
        <f t="shared" si="536"/>
        <v>5</v>
      </c>
      <c r="AE6443" s="580">
        <f t="shared" si="537"/>
        <v>2.5</v>
      </c>
      <c r="AF6443" s="580">
        <f t="shared" si="538"/>
        <v>2.5</v>
      </c>
      <c r="AG6443" s="580">
        <f t="shared" si="539"/>
        <v>0</v>
      </c>
      <c r="AH6443" s="580">
        <f t="shared" si="540"/>
        <v>0</v>
      </c>
    </row>
    <row r="6444" spans="28:34">
      <c r="AB6444" s="580">
        <f>HLOOKUP("*"&amp;'Output annual'!$AC$2&amp;'Output annual'!$AD$2&amp;"*Zone People Number Of Occupants [](Hourly)",'Eplus results'!$1:$1048576,ROW(),FALSE)</f>
        <v>0</v>
      </c>
      <c r="AC6444" s="580">
        <f>HLOOKUP("*"&amp;'Output annual'!$AC$2&amp;'Output annual'!$AD$2&amp;"*FangerPMV(Hourly)",'Eplus results'!$1:$1048576,ROW(),FALSE)</f>
        <v>0</v>
      </c>
      <c r="AD6444" s="580">
        <f t="shared" si="536"/>
        <v>5</v>
      </c>
      <c r="AE6444" s="580">
        <f t="shared" si="537"/>
        <v>2.5</v>
      </c>
      <c r="AF6444" s="580">
        <f t="shared" si="538"/>
        <v>2.5</v>
      </c>
      <c r="AG6444" s="580">
        <f t="shared" si="539"/>
        <v>0</v>
      </c>
      <c r="AH6444" s="580">
        <f t="shared" si="540"/>
        <v>0</v>
      </c>
    </row>
    <row r="6445" spans="28:34">
      <c r="AB6445" s="580">
        <f>HLOOKUP("*"&amp;'Output annual'!$AC$2&amp;'Output annual'!$AD$2&amp;"*Zone People Number Of Occupants [](Hourly)",'Eplus results'!$1:$1048576,ROW(),FALSE)</f>
        <v>0</v>
      </c>
      <c r="AC6445" s="580">
        <f>HLOOKUP("*"&amp;'Output annual'!$AC$2&amp;'Output annual'!$AD$2&amp;"*FangerPMV(Hourly)",'Eplus results'!$1:$1048576,ROW(),FALSE)</f>
        <v>0</v>
      </c>
      <c r="AD6445" s="580">
        <f t="shared" si="536"/>
        <v>5</v>
      </c>
      <c r="AE6445" s="580">
        <f t="shared" si="537"/>
        <v>2.5</v>
      </c>
      <c r="AF6445" s="580">
        <f t="shared" si="538"/>
        <v>2.5</v>
      </c>
      <c r="AG6445" s="580">
        <f t="shared" si="539"/>
        <v>0</v>
      </c>
      <c r="AH6445" s="580">
        <f t="shared" si="540"/>
        <v>0</v>
      </c>
    </row>
    <row r="6446" spans="28:34">
      <c r="AB6446" s="580">
        <f>HLOOKUP("*"&amp;'Output annual'!$AC$2&amp;'Output annual'!$AD$2&amp;"*Zone People Number Of Occupants [](Hourly)",'Eplus results'!$1:$1048576,ROW(),FALSE)</f>
        <v>0</v>
      </c>
      <c r="AC6446" s="580">
        <f>HLOOKUP("*"&amp;'Output annual'!$AC$2&amp;'Output annual'!$AD$2&amp;"*FangerPMV(Hourly)",'Eplus results'!$1:$1048576,ROW(),FALSE)</f>
        <v>0</v>
      </c>
      <c r="AD6446" s="580">
        <f t="shared" si="536"/>
        <v>5</v>
      </c>
      <c r="AE6446" s="580">
        <f t="shared" si="537"/>
        <v>2.5</v>
      </c>
      <c r="AF6446" s="580">
        <f t="shared" si="538"/>
        <v>2.5</v>
      </c>
      <c r="AG6446" s="580">
        <f t="shared" si="539"/>
        <v>0</v>
      </c>
      <c r="AH6446" s="580">
        <f t="shared" si="540"/>
        <v>0</v>
      </c>
    </row>
    <row r="6447" spans="28:34">
      <c r="AB6447" s="580">
        <f>HLOOKUP("*"&amp;'Output annual'!$AC$2&amp;'Output annual'!$AD$2&amp;"*Zone People Number Of Occupants [](Hourly)",'Eplus results'!$1:$1048576,ROW(),FALSE)</f>
        <v>0</v>
      </c>
      <c r="AC6447" s="580">
        <f>HLOOKUP("*"&amp;'Output annual'!$AC$2&amp;'Output annual'!$AD$2&amp;"*FangerPMV(Hourly)",'Eplus results'!$1:$1048576,ROW(),FALSE)</f>
        <v>0</v>
      </c>
      <c r="AD6447" s="580">
        <f t="shared" si="536"/>
        <v>5</v>
      </c>
      <c r="AE6447" s="580">
        <f t="shared" si="537"/>
        <v>2.5</v>
      </c>
      <c r="AF6447" s="580">
        <f t="shared" si="538"/>
        <v>2.5</v>
      </c>
      <c r="AG6447" s="580">
        <f t="shared" si="539"/>
        <v>0</v>
      </c>
      <c r="AH6447" s="580">
        <f t="shared" si="540"/>
        <v>0</v>
      </c>
    </row>
    <row r="6448" spans="28:34">
      <c r="AB6448" s="580">
        <f>HLOOKUP("*"&amp;'Output annual'!$AC$2&amp;'Output annual'!$AD$2&amp;"*Zone People Number Of Occupants [](Hourly)",'Eplus results'!$1:$1048576,ROW(),FALSE)</f>
        <v>0</v>
      </c>
      <c r="AC6448" s="580">
        <f>HLOOKUP("*"&amp;'Output annual'!$AC$2&amp;'Output annual'!$AD$2&amp;"*FangerPMV(Hourly)",'Eplus results'!$1:$1048576,ROW(),FALSE)</f>
        <v>0</v>
      </c>
      <c r="AD6448" s="580">
        <f t="shared" si="536"/>
        <v>5</v>
      </c>
      <c r="AE6448" s="580">
        <f t="shared" si="537"/>
        <v>2.5</v>
      </c>
      <c r="AF6448" s="580">
        <f t="shared" si="538"/>
        <v>2.5</v>
      </c>
      <c r="AG6448" s="580">
        <f t="shared" si="539"/>
        <v>0</v>
      </c>
      <c r="AH6448" s="580">
        <f t="shared" si="540"/>
        <v>0</v>
      </c>
    </row>
    <row r="6449" spans="28:34">
      <c r="AB6449" s="580">
        <f>HLOOKUP("*"&amp;'Output annual'!$AC$2&amp;'Output annual'!$AD$2&amp;"*Zone People Number Of Occupants [](Hourly)",'Eplus results'!$1:$1048576,ROW(),FALSE)</f>
        <v>0</v>
      </c>
      <c r="AC6449" s="580">
        <f>HLOOKUP("*"&amp;'Output annual'!$AC$2&amp;'Output annual'!$AD$2&amp;"*FangerPMV(Hourly)",'Eplus results'!$1:$1048576,ROW(),FALSE)</f>
        <v>0</v>
      </c>
      <c r="AD6449" s="580">
        <f t="shared" si="536"/>
        <v>5</v>
      </c>
      <c r="AE6449" s="580">
        <f t="shared" si="537"/>
        <v>2.5</v>
      </c>
      <c r="AF6449" s="580">
        <f t="shared" si="538"/>
        <v>2.5</v>
      </c>
      <c r="AG6449" s="580">
        <f t="shared" si="539"/>
        <v>0</v>
      </c>
      <c r="AH6449" s="580">
        <f t="shared" si="540"/>
        <v>0</v>
      </c>
    </row>
    <row r="6450" spans="28:34">
      <c r="AB6450" s="580">
        <f>HLOOKUP("*"&amp;'Output annual'!$AC$2&amp;'Output annual'!$AD$2&amp;"*Zone People Number Of Occupants [](Hourly)",'Eplus results'!$1:$1048576,ROW(),FALSE)</f>
        <v>0</v>
      </c>
      <c r="AC6450" s="580">
        <f>HLOOKUP("*"&amp;'Output annual'!$AC$2&amp;'Output annual'!$AD$2&amp;"*FangerPMV(Hourly)",'Eplus results'!$1:$1048576,ROW(),FALSE)</f>
        <v>0</v>
      </c>
      <c r="AD6450" s="580">
        <f t="shared" si="536"/>
        <v>5</v>
      </c>
      <c r="AE6450" s="580">
        <f t="shared" si="537"/>
        <v>2.5</v>
      </c>
      <c r="AF6450" s="580">
        <f t="shared" si="538"/>
        <v>2.5</v>
      </c>
      <c r="AG6450" s="580">
        <f t="shared" si="539"/>
        <v>0</v>
      </c>
      <c r="AH6450" s="580">
        <f t="shared" si="540"/>
        <v>0</v>
      </c>
    </row>
    <row r="6451" spans="28:34">
      <c r="AB6451" s="580">
        <f>HLOOKUP("*"&amp;'Output annual'!$AC$2&amp;'Output annual'!$AD$2&amp;"*Zone People Number Of Occupants [](Hourly)",'Eplus results'!$1:$1048576,ROW(),FALSE)</f>
        <v>0</v>
      </c>
      <c r="AC6451" s="580">
        <f>HLOOKUP("*"&amp;'Output annual'!$AC$2&amp;'Output annual'!$AD$2&amp;"*FangerPMV(Hourly)",'Eplus results'!$1:$1048576,ROW(),FALSE)</f>
        <v>0</v>
      </c>
      <c r="AD6451" s="580">
        <f t="shared" si="536"/>
        <v>5</v>
      </c>
      <c r="AE6451" s="580">
        <f t="shared" si="537"/>
        <v>2.5</v>
      </c>
      <c r="AF6451" s="580">
        <f t="shared" si="538"/>
        <v>2.5</v>
      </c>
      <c r="AG6451" s="580">
        <f t="shared" si="539"/>
        <v>0</v>
      </c>
      <c r="AH6451" s="580">
        <f t="shared" si="540"/>
        <v>0</v>
      </c>
    </row>
    <row r="6452" spans="28:34">
      <c r="AB6452" s="580">
        <f>HLOOKUP("*"&amp;'Output annual'!$AC$2&amp;'Output annual'!$AD$2&amp;"*Zone People Number Of Occupants [](Hourly)",'Eplus results'!$1:$1048576,ROW(),FALSE)</f>
        <v>0</v>
      </c>
      <c r="AC6452" s="580">
        <f>HLOOKUP("*"&amp;'Output annual'!$AC$2&amp;'Output annual'!$AD$2&amp;"*FangerPMV(Hourly)",'Eplus results'!$1:$1048576,ROW(),FALSE)</f>
        <v>0</v>
      </c>
      <c r="AD6452" s="580">
        <f t="shared" si="536"/>
        <v>5</v>
      </c>
      <c r="AE6452" s="580">
        <f t="shared" si="537"/>
        <v>2.5</v>
      </c>
      <c r="AF6452" s="580">
        <f t="shared" si="538"/>
        <v>2.5</v>
      </c>
      <c r="AG6452" s="580">
        <f t="shared" si="539"/>
        <v>0</v>
      </c>
      <c r="AH6452" s="580">
        <f t="shared" si="540"/>
        <v>0</v>
      </c>
    </row>
    <row r="6453" spans="28:34">
      <c r="AB6453" s="580">
        <f>HLOOKUP("*"&amp;'Output annual'!$AC$2&amp;'Output annual'!$AD$2&amp;"*Zone People Number Of Occupants [](Hourly)",'Eplus results'!$1:$1048576,ROW(),FALSE)</f>
        <v>0</v>
      </c>
      <c r="AC6453" s="580">
        <f>HLOOKUP("*"&amp;'Output annual'!$AC$2&amp;'Output annual'!$AD$2&amp;"*FangerPMV(Hourly)",'Eplus results'!$1:$1048576,ROW(),FALSE)</f>
        <v>0</v>
      </c>
      <c r="AD6453" s="580">
        <f t="shared" si="536"/>
        <v>5</v>
      </c>
      <c r="AE6453" s="580">
        <f t="shared" si="537"/>
        <v>2.5</v>
      </c>
      <c r="AF6453" s="580">
        <f t="shared" si="538"/>
        <v>2.5</v>
      </c>
      <c r="AG6453" s="580">
        <f t="shared" si="539"/>
        <v>0</v>
      </c>
      <c r="AH6453" s="580">
        <f t="shared" si="540"/>
        <v>0</v>
      </c>
    </row>
    <row r="6454" spans="28:34">
      <c r="AB6454" s="580">
        <f>HLOOKUP("*"&amp;'Output annual'!$AC$2&amp;'Output annual'!$AD$2&amp;"*Zone People Number Of Occupants [](Hourly)",'Eplus results'!$1:$1048576,ROW(),FALSE)</f>
        <v>0</v>
      </c>
      <c r="AC6454" s="580">
        <f>HLOOKUP("*"&amp;'Output annual'!$AC$2&amp;'Output annual'!$AD$2&amp;"*FangerPMV(Hourly)",'Eplus results'!$1:$1048576,ROW(),FALSE)</f>
        <v>0</v>
      </c>
      <c r="AD6454" s="580">
        <f t="shared" si="536"/>
        <v>5</v>
      </c>
      <c r="AE6454" s="580">
        <f t="shared" si="537"/>
        <v>2.5</v>
      </c>
      <c r="AF6454" s="580">
        <f t="shared" si="538"/>
        <v>2.5</v>
      </c>
      <c r="AG6454" s="580">
        <f t="shared" si="539"/>
        <v>0</v>
      </c>
      <c r="AH6454" s="580">
        <f t="shared" si="540"/>
        <v>0</v>
      </c>
    </row>
    <row r="6455" spans="28:34">
      <c r="AB6455" s="580">
        <f>HLOOKUP("*"&amp;'Output annual'!$AC$2&amp;'Output annual'!$AD$2&amp;"*Zone People Number Of Occupants [](Hourly)",'Eplus results'!$1:$1048576,ROW(),FALSE)</f>
        <v>0</v>
      </c>
      <c r="AC6455" s="580">
        <f>HLOOKUP("*"&amp;'Output annual'!$AC$2&amp;'Output annual'!$AD$2&amp;"*FangerPMV(Hourly)",'Eplus results'!$1:$1048576,ROW(),FALSE)</f>
        <v>0</v>
      </c>
      <c r="AD6455" s="580">
        <f t="shared" si="536"/>
        <v>5</v>
      </c>
      <c r="AE6455" s="580">
        <f t="shared" si="537"/>
        <v>2.5</v>
      </c>
      <c r="AF6455" s="580">
        <f t="shared" si="538"/>
        <v>2.5</v>
      </c>
      <c r="AG6455" s="580">
        <f t="shared" si="539"/>
        <v>0</v>
      </c>
      <c r="AH6455" s="580">
        <f t="shared" si="540"/>
        <v>0</v>
      </c>
    </row>
    <row r="6456" spans="28:34">
      <c r="AB6456" s="580">
        <f>HLOOKUP("*"&amp;'Output annual'!$AC$2&amp;'Output annual'!$AD$2&amp;"*Zone People Number Of Occupants [](Hourly)",'Eplus results'!$1:$1048576,ROW(),FALSE)</f>
        <v>0</v>
      </c>
      <c r="AC6456" s="580">
        <f>HLOOKUP("*"&amp;'Output annual'!$AC$2&amp;'Output annual'!$AD$2&amp;"*FangerPMV(Hourly)",'Eplus results'!$1:$1048576,ROW(),FALSE)</f>
        <v>0</v>
      </c>
      <c r="AD6456" s="580">
        <f t="shared" si="536"/>
        <v>5</v>
      </c>
      <c r="AE6456" s="580">
        <f t="shared" si="537"/>
        <v>2.5</v>
      </c>
      <c r="AF6456" s="580">
        <f t="shared" si="538"/>
        <v>2.5</v>
      </c>
      <c r="AG6456" s="580">
        <f t="shared" si="539"/>
        <v>0</v>
      </c>
      <c r="AH6456" s="580">
        <f t="shared" si="540"/>
        <v>0</v>
      </c>
    </row>
    <row r="6457" spans="28:34">
      <c r="AB6457" s="580">
        <f>HLOOKUP("*"&amp;'Output annual'!$AC$2&amp;'Output annual'!$AD$2&amp;"*Zone People Number Of Occupants [](Hourly)",'Eplus results'!$1:$1048576,ROW(),FALSE)</f>
        <v>0</v>
      </c>
      <c r="AC6457" s="580">
        <f>HLOOKUP("*"&amp;'Output annual'!$AC$2&amp;'Output annual'!$AD$2&amp;"*FangerPMV(Hourly)",'Eplus results'!$1:$1048576,ROW(),FALSE)</f>
        <v>0</v>
      </c>
      <c r="AD6457" s="580">
        <f t="shared" si="536"/>
        <v>5</v>
      </c>
      <c r="AE6457" s="580">
        <f t="shared" si="537"/>
        <v>2.5</v>
      </c>
      <c r="AF6457" s="580">
        <f t="shared" si="538"/>
        <v>2.5</v>
      </c>
      <c r="AG6457" s="580">
        <f t="shared" si="539"/>
        <v>0</v>
      </c>
      <c r="AH6457" s="580">
        <f t="shared" si="540"/>
        <v>0</v>
      </c>
    </row>
    <row r="6458" spans="28:34">
      <c r="AB6458" s="580">
        <f>HLOOKUP("*"&amp;'Output annual'!$AC$2&amp;'Output annual'!$AD$2&amp;"*Zone People Number Of Occupants [](Hourly)",'Eplus results'!$1:$1048576,ROW(),FALSE)</f>
        <v>0</v>
      </c>
      <c r="AC6458" s="580">
        <f>HLOOKUP("*"&amp;'Output annual'!$AC$2&amp;'Output annual'!$AD$2&amp;"*FangerPMV(Hourly)",'Eplus results'!$1:$1048576,ROW(),FALSE)</f>
        <v>0</v>
      </c>
      <c r="AD6458" s="580">
        <f t="shared" si="536"/>
        <v>5</v>
      </c>
      <c r="AE6458" s="580">
        <f t="shared" si="537"/>
        <v>2.5</v>
      </c>
      <c r="AF6458" s="580">
        <f t="shared" si="538"/>
        <v>2.5</v>
      </c>
      <c r="AG6458" s="580">
        <f t="shared" si="539"/>
        <v>0</v>
      </c>
      <c r="AH6458" s="580">
        <f t="shared" si="540"/>
        <v>0</v>
      </c>
    </row>
    <row r="6459" spans="28:34">
      <c r="AB6459" s="580">
        <f>HLOOKUP("*"&amp;'Output annual'!$AC$2&amp;'Output annual'!$AD$2&amp;"*Zone People Number Of Occupants [](Hourly)",'Eplus results'!$1:$1048576,ROW(),FALSE)</f>
        <v>0</v>
      </c>
      <c r="AC6459" s="580">
        <f>HLOOKUP("*"&amp;'Output annual'!$AC$2&amp;'Output annual'!$AD$2&amp;"*FangerPMV(Hourly)",'Eplus results'!$1:$1048576,ROW(),FALSE)</f>
        <v>0</v>
      </c>
      <c r="AD6459" s="580">
        <f t="shared" si="536"/>
        <v>5</v>
      </c>
      <c r="AE6459" s="580">
        <f t="shared" si="537"/>
        <v>2.5</v>
      </c>
      <c r="AF6459" s="580">
        <f t="shared" si="538"/>
        <v>2.5</v>
      </c>
      <c r="AG6459" s="580">
        <f t="shared" si="539"/>
        <v>0</v>
      </c>
      <c r="AH6459" s="580">
        <f t="shared" si="540"/>
        <v>0</v>
      </c>
    </row>
    <row r="6460" spans="28:34">
      <c r="AB6460" s="580">
        <f>HLOOKUP("*"&amp;'Output annual'!$AC$2&amp;'Output annual'!$AD$2&amp;"*Zone People Number Of Occupants [](Hourly)",'Eplus results'!$1:$1048576,ROW(),FALSE)</f>
        <v>0</v>
      </c>
      <c r="AC6460" s="580">
        <f>HLOOKUP("*"&amp;'Output annual'!$AC$2&amp;'Output annual'!$AD$2&amp;"*FangerPMV(Hourly)",'Eplus results'!$1:$1048576,ROW(),FALSE)</f>
        <v>0</v>
      </c>
      <c r="AD6460" s="580">
        <f t="shared" si="536"/>
        <v>5</v>
      </c>
      <c r="AE6460" s="580">
        <f t="shared" si="537"/>
        <v>2.5</v>
      </c>
      <c r="AF6460" s="580">
        <f t="shared" si="538"/>
        <v>2.5</v>
      </c>
      <c r="AG6460" s="580">
        <f t="shared" si="539"/>
        <v>0</v>
      </c>
      <c r="AH6460" s="580">
        <f t="shared" si="540"/>
        <v>0</v>
      </c>
    </row>
    <row r="6461" spans="28:34">
      <c r="AB6461" s="580">
        <f>HLOOKUP("*"&amp;'Output annual'!$AC$2&amp;'Output annual'!$AD$2&amp;"*Zone People Number Of Occupants [](Hourly)",'Eplus results'!$1:$1048576,ROW(),FALSE)</f>
        <v>0</v>
      </c>
      <c r="AC6461" s="580">
        <f>HLOOKUP("*"&amp;'Output annual'!$AC$2&amp;'Output annual'!$AD$2&amp;"*FangerPMV(Hourly)",'Eplus results'!$1:$1048576,ROW(),FALSE)</f>
        <v>0</v>
      </c>
      <c r="AD6461" s="580">
        <f t="shared" si="536"/>
        <v>5</v>
      </c>
      <c r="AE6461" s="580">
        <f t="shared" si="537"/>
        <v>2.5</v>
      </c>
      <c r="AF6461" s="580">
        <f t="shared" si="538"/>
        <v>2.5</v>
      </c>
      <c r="AG6461" s="580">
        <f t="shared" si="539"/>
        <v>0</v>
      </c>
      <c r="AH6461" s="580">
        <f t="shared" si="540"/>
        <v>0</v>
      </c>
    </row>
    <row r="6462" spans="28:34">
      <c r="AB6462" s="580">
        <f>HLOOKUP("*"&amp;'Output annual'!$AC$2&amp;'Output annual'!$AD$2&amp;"*Zone People Number Of Occupants [](Hourly)",'Eplus results'!$1:$1048576,ROW(),FALSE)</f>
        <v>0</v>
      </c>
      <c r="AC6462" s="580">
        <f>HLOOKUP("*"&amp;'Output annual'!$AC$2&amp;'Output annual'!$AD$2&amp;"*FangerPMV(Hourly)",'Eplus results'!$1:$1048576,ROW(),FALSE)</f>
        <v>0</v>
      </c>
      <c r="AD6462" s="580">
        <f t="shared" si="536"/>
        <v>5</v>
      </c>
      <c r="AE6462" s="580">
        <f t="shared" si="537"/>
        <v>2.5</v>
      </c>
      <c r="AF6462" s="580">
        <f t="shared" si="538"/>
        <v>2.5</v>
      </c>
      <c r="AG6462" s="580">
        <f t="shared" si="539"/>
        <v>0</v>
      </c>
      <c r="AH6462" s="580">
        <f t="shared" si="540"/>
        <v>0</v>
      </c>
    </row>
    <row r="6463" spans="28:34">
      <c r="AB6463" s="580">
        <f>HLOOKUP("*"&amp;'Output annual'!$AC$2&amp;'Output annual'!$AD$2&amp;"*Zone People Number Of Occupants [](Hourly)",'Eplus results'!$1:$1048576,ROW(),FALSE)</f>
        <v>0</v>
      </c>
      <c r="AC6463" s="580">
        <f>HLOOKUP("*"&amp;'Output annual'!$AC$2&amp;'Output annual'!$AD$2&amp;"*FangerPMV(Hourly)",'Eplus results'!$1:$1048576,ROW(),FALSE)</f>
        <v>0</v>
      </c>
      <c r="AD6463" s="580">
        <f t="shared" si="536"/>
        <v>5</v>
      </c>
      <c r="AE6463" s="580">
        <f t="shared" si="537"/>
        <v>2.5</v>
      </c>
      <c r="AF6463" s="580">
        <f t="shared" si="538"/>
        <v>2.5</v>
      </c>
      <c r="AG6463" s="580">
        <f t="shared" si="539"/>
        <v>0</v>
      </c>
      <c r="AH6463" s="580">
        <f t="shared" si="540"/>
        <v>0</v>
      </c>
    </row>
    <row r="6464" spans="28:34">
      <c r="AB6464" s="580">
        <f>HLOOKUP("*"&amp;'Output annual'!$AC$2&amp;'Output annual'!$AD$2&amp;"*Zone People Number Of Occupants [](Hourly)",'Eplus results'!$1:$1048576,ROW(),FALSE)</f>
        <v>0</v>
      </c>
      <c r="AC6464" s="580">
        <f>HLOOKUP("*"&amp;'Output annual'!$AC$2&amp;'Output annual'!$AD$2&amp;"*FangerPMV(Hourly)",'Eplus results'!$1:$1048576,ROW(),FALSE)</f>
        <v>0</v>
      </c>
      <c r="AD6464" s="580">
        <f t="shared" si="536"/>
        <v>5</v>
      </c>
      <c r="AE6464" s="580">
        <f t="shared" si="537"/>
        <v>2.5</v>
      </c>
      <c r="AF6464" s="580">
        <f t="shared" si="538"/>
        <v>2.5</v>
      </c>
      <c r="AG6464" s="580">
        <f t="shared" si="539"/>
        <v>0</v>
      </c>
      <c r="AH6464" s="580">
        <f t="shared" si="540"/>
        <v>0</v>
      </c>
    </row>
    <row r="6465" spans="28:34">
      <c r="AB6465" s="580">
        <f>HLOOKUP("*"&amp;'Output annual'!$AC$2&amp;'Output annual'!$AD$2&amp;"*Zone People Number Of Occupants [](Hourly)",'Eplus results'!$1:$1048576,ROW(),FALSE)</f>
        <v>0</v>
      </c>
      <c r="AC6465" s="580">
        <f>HLOOKUP("*"&amp;'Output annual'!$AC$2&amp;'Output annual'!$AD$2&amp;"*FangerPMV(Hourly)",'Eplus results'!$1:$1048576,ROW(),FALSE)</f>
        <v>0</v>
      </c>
      <c r="AD6465" s="580">
        <f t="shared" si="536"/>
        <v>5</v>
      </c>
      <c r="AE6465" s="580">
        <f t="shared" si="537"/>
        <v>2.5</v>
      </c>
      <c r="AF6465" s="580">
        <f t="shared" si="538"/>
        <v>2.5</v>
      </c>
      <c r="AG6465" s="580">
        <f t="shared" si="539"/>
        <v>0</v>
      </c>
      <c r="AH6465" s="580">
        <f t="shared" si="540"/>
        <v>0</v>
      </c>
    </row>
    <row r="6466" spans="28:34">
      <c r="AB6466" s="580">
        <f>HLOOKUP("*"&amp;'Output annual'!$AC$2&amp;'Output annual'!$AD$2&amp;"*Zone People Number Of Occupants [](Hourly)",'Eplus results'!$1:$1048576,ROW(),FALSE)</f>
        <v>0</v>
      </c>
      <c r="AC6466" s="580">
        <f>HLOOKUP("*"&amp;'Output annual'!$AC$2&amp;'Output annual'!$AD$2&amp;"*FangerPMV(Hourly)",'Eplus results'!$1:$1048576,ROW(),FALSE)</f>
        <v>0</v>
      </c>
      <c r="AD6466" s="580">
        <f t="shared" si="536"/>
        <v>5</v>
      </c>
      <c r="AE6466" s="580">
        <f t="shared" si="537"/>
        <v>2.5</v>
      </c>
      <c r="AF6466" s="580">
        <f t="shared" si="538"/>
        <v>2.5</v>
      </c>
      <c r="AG6466" s="580">
        <f t="shared" si="539"/>
        <v>0</v>
      </c>
      <c r="AH6466" s="580">
        <f t="shared" si="540"/>
        <v>0</v>
      </c>
    </row>
    <row r="6467" spans="28:34">
      <c r="AB6467" s="580">
        <f>HLOOKUP("*"&amp;'Output annual'!$AC$2&amp;'Output annual'!$AD$2&amp;"*Zone People Number Of Occupants [](Hourly)",'Eplus results'!$1:$1048576,ROW(),FALSE)</f>
        <v>0</v>
      </c>
      <c r="AC6467" s="580">
        <f>HLOOKUP("*"&amp;'Output annual'!$AC$2&amp;'Output annual'!$AD$2&amp;"*FangerPMV(Hourly)",'Eplus results'!$1:$1048576,ROW(),FALSE)</f>
        <v>0</v>
      </c>
      <c r="AD6467" s="580">
        <f t="shared" ref="AD6467:AD6530" si="541">100-95*EXP(-0.03353*AC6467^4-0.2179*AC6467^2)</f>
        <v>5</v>
      </c>
      <c r="AE6467" s="580">
        <f t="shared" ref="AE6467:AE6530" si="542">AD6467*(1/(1+EXP(-6.3*$AC6467)))</f>
        <v>2.5</v>
      </c>
      <c r="AF6467" s="580">
        <f t="shared" ref="AF6467:AF6530" si="543">(AD6467-AE6467)</f>
        <v>2.5</v>
      </c>
      <c r="AG6467" s="580">
        <f t="shared" ref="AG6467:AG6530" si="544">AE6467*AB6467</f>
        <v>0</v>
      </c>
      <c r="AH6467" s="580">
        <f t="shared" ref="AH6467:AH6530" si="545">AF6467*AB6467</f>
        <v>0</v>
      </c>
    </row>
    <row r="6468" spans="28:34">
      <c r="AB6468" s="580">
        <f>HLOOKUP("*"&amp;'Output annual'!$AC$2&amp;'Output annual'!$AD$2&amp;"*Zone People Number Of Occupants [](Hourly)",'Eplus results'!$1:$1048576,ROW(),FALSE)</f>
        <v>0</v>
      </c>
      <c r="AC6468" s="580">
        <f>HLOOKUP("*"&amp;'Output annual'!$AC$2&amp;'Output annual'!$AD$2&amp;"*FangerPMV(Hourly)",'Eplus results'!$1:$1048576,ROW(),FALSE)</f>
        <v>0</v>
      </c>
      <c r="AD6468" s="580">
        <f t="shared" si="541"/>
        <v>5</v>
      </c>
      <c r="AE6468" s="580">
        <f t="shared" si="542"/>
        <v>2.5</v>
      </c>
      <c r="AF6468" s="580">
        <f t="shared" si="543"/>
        <v>2.5</v>
      </c>
      <c r="AG6468" s="580">
        <f t="shared" si="544"/>
        <v>0</v>
      </c>
      <c r="AH6468" s="580">
        <f t="shared" si="545"/>
        <v>0</v>
      </c>
    </row>
    <row r="6469" spans="28:34">
      <c r="AB6469" s="580">
        <f>HLOOKUP("*"&amp;'Output annual'!$AC$2&amp;'Output annual'!$AD$2&amp;"*Zone People Number Of Occupants [](Hourly)",'Eplus results'!$1:$1048576,ROW(),FALSE)</f>
        <v>0</v>
      </c>
      <c r="AC6469" s="580">
        <f>HLOOKUP("*"&amp;'Output annual'!$AC$2&amp;'Output annual'!$AD$2&amp;"*FangerPMV(Hourly)",'Eplus results'!$1:$1048576,ROW(),FALSE)</f>
        <v>0</v>
      </c>
      <c r="AD6469" s="580">
        <f t="shared" si="541"/>
        <v>5</v>
      </c>
      <c r="AE6469" s="580">
        <f t="shared" si="542"/>
        <v>2.5</v>
      </c>
      <c r="AF6469" s="580">
        <f t="shared" si="543"/>
        <v>2.5</v>
      </c>
      <c r="AG6469" s="580">
        <f t="shared" si="544"/>
        <v>0</v>
      </c>
      <c r="AH6469" s="580">
        <f t="shared" si="545"/>
        <v>0</v>
      </c>
    </row>
    <row r="6470" spans="28:34">
      <c r="AB6470" s="580">
        <f>HLOOKUP("*"&amp;'Output annual'!$AC$2&amp;'Output annual'!$AD$2&amp;"*Zone People Number Of Occupants [](Hourly)",'Eplus results'!$1:$1048576,ROW(),FALSE)</f>
        <v>0</v>
      </c>
      <c r="AC6470" s="580">
        <f>HLOOKUP("*"&amp;'Output annual'!$AC$2&amp;'Output annual'!$AD$2&amp;"*FangerPMV(Hourly)",'Eplus results'!$1:$1048576,ROW(),FALSE)</f>
        <v>0</v>
      </c>
      <c r="AD6470" s="580">
        <f t="shared" si="541"/>
        <v>5</v>
      </c>
      <c r="AE6470" s="580">
        <f t="shared" si="542"/>
        <v>2.5</v>
      </c>
      <c r="AF6470" s="580">
        <f t="shared" si="543"/>
        <v>2.5</v>
      </c>
      <c r="AG6470" s="580">
        <f t="shared" si="544"/>
        <v>0</v>
      </c>
      <c r="AH6470" s="580">
        <f t="shared" si="545"/>
        <v>0</v>
      </c>
    </row>
    <row r="6471" spans="28:34">
      <c r="AB6471" s="580">
        <f>HLOOKUP("*"&amp;'Output annual'!$AC$2&amp;'Output annual'!$AD$2&amp;"*Zone People Number Of Occupants [](Hourly)",'Eplus results'!$1:$1048576,ROW(),FALSE)</f>
        <v>0</v>
      </c>
      <c r="AC6471" s="580">
        <f>HLOOKUP("*"&amp;'Output annual'!$AC$2&amp;'Output annual'!$AD$2&amp;"*FangerPMV(Hourly)",'Eplus results'!$1:$1048576,ROW(),FALSE)</f>
        <v>0</v>
      </c>
      <c r="AD6471" s="580">
        <f t="shared" si="541"/>
        <v>5</v>
      </c>
      <c r="AE6471" s="580">
        <f t="shared" si="542"/>
        <v>2.5</v>
      </c>
      <c r="AF6471" s="580">
        <f t="shared" si="543"/>
        <v>2.5</v>
      </c>
      <c r="AG6471" s="580">
        <f t="shared" si="544"/>
        <v>0</v>
      </c>
      <c r="AH6471" s="580">
        <f t="shared" si="545"/>
        <v>0</v>
      </c>
    </row>
    <row r="6472" spans="28:34">
      <c r="AB6472" s="580">
        <f>HLOOKUP("*"&amp;'Output annual'!$AC$2&amp;'Output annual'!$AD$2&amp;"*Zone People Number Of Occupants [](Hourly)",'Eplus results'!$1:$1048576,ROW(),FALSE)</f>
        <v>0</v>
      </c>
      <c r="AC6472" s="580">
        <f>HLOOKUP("*"&amp;'Output annual'!$AC$2&amp;'Output annual'!$AD$2&amp;"*FangerPMV(Hourly)",'Eplus results'!$1:$1048576,ROW(),FALSE)</f>
        <v>0</v>
      </c>
      <c r="AD6472" s="580">
        <f t="shared" si="541"/>
        <v>5</v>
      </c>
      <c r="AE6472" s="580">
        <f t="shared" si="542"/>
        <v>2.5</v>
      </c>
      <c r="AF6472" s="580">
        <f t="shared" si="543"/>
        <v>2.5</v>
      </c>
      <c r="AG6472" s="580">
        <f t="shared" si="544"/>
        <v>0</v>
      </c>
      <c r="AH6472" s="580">
        <f t="shared" si="545"/>
        <v>0</v>
      </c>
    </row>
    <row r="6473" spans="28:34">
      <c r="AB6473" s="580">
        <f>HLOOKUP("*"&amp;'Output annual'!$AC$2&amp;'Output annual'!$AD$2&amp;"*Zone People Number Of Occupants [](Hourly)",'Eplus results'!$1:$1048576,ROW(),FALSE)</f>
        <v>0</v>
      </c>
      <c r="AC6473" s="580">
        <f>HLOOKUP("*"&amp;'Output annual'!$AC$2&amp;'Output annual'!$AD$2&amp;"*FangerPMV(Hourly)",'Eplus results'!$1:$1048576,ROW(),FALSE)</f>
        <v>0</v>
      </c>
      <c r="AD6473" s="580">
        <f t="shared" si="541"/>
        <v>5</v>
      </c>
      <c r="AE6473" s="580">
        <f t="shared" si="542"/>
        <v>2.5</v>
      </c>
      <c r="AF6473" s="580">
        <f t="shared" si="543"/>
        <v>2.5</v>
      </c>
      <c r="AG6473" s="580">
        <f t="shared" si="544"/>
        <v>0</v>
      </c>
      <c r="AH6473" s="580">
        <f t="shared" si="545"/>
        <v>0</v>
      </c>
    </row>
    <row r="6474" spans="28:34">
      <c r="AB6474" s="580">
        <f>HLOOKUP("*"&amp;'Output annual'!$AC$2&amp;'Output annual'!$AD$2&amp;"*Zone People Number Of Occupants [](Hourly)",'Eplus results'!$1:$1048576,ROW(),FALSE)</f>
        <v>0</v>
      </c>
      <c r="AC6474" s="580">
        <f>HLOOKUP("*"&amp;'Output annual'!$AC$2&amp;'Output annual'!$AD$2&amp;"*FangerPMV(Hourly)",'Eplus results'!$1:$1048576,ROW(),FALSE)</f>
        <v>0</v>
      </c>
      <c r="AD6474" s="580">
        <f t="shared" si="541"/>
        <v>5</v>
      </c>
      <c r="AE6474" s="580">
        <f t="shared" si="542"/>
        <v>2.5</v>
      </c>
      <c r="AF6474" s="580">
        <f t="shared" si="543"/>
        <v>2.5</v>
      </c>
      <c r="AG6474" s="580">
        <f t="shared" si="544"/>
        <v>0</v>
      </c>
      <c r="AH6474" s="580">
        <f t="shared" si="545"/>
        <v>0</v>
      </c>
    </row>
    <row r="6475" spans="28:34">
      <c r="AB6475" s="580">
        <f>HLOOKUP("*"&amp;'Output annual'!$AC$2&amp;'Output annual'!$AD$2&amp;"*Zone People Number Of Occupants [](Hourly)",'Eplus results'!$1:$1048576,ROW(),FALSE)</f>
        <v>0</v>
      </c>
      <c r="AC6475" s="580">
        <f>HLOOKUP("*"&amp;'Output annual'!$AC$2&amp;'Output annual'!$AD$2&amp;"*FangerPMV(Hourly)",'Eplus results'!$1:$1048576,ROW(),FALSE)</f>
        <v>0</v>
      </c>
      <c r="AD6475" s="580">
        <f t="shared" si="541"/>
        <v>5</v>
      </c>
      <c r="AE6475" s="580">
        <f t="shared" si="542"/>
        <v>2.5</v>
      </c>
      <c r="AF6475" s="580">
        <f t="shared" si="543"/>
        <v>2.5</v>
      </c>
      <c r="AG6475" s="580">
        <f t="shared" si="544"/>
        <v>0</v>
      </c>
      <c r="AH6475" s="580">
        <f t="shared" si="545"/>
        <v>0</v>
      </c>
    </row>
    <row r="6476" spans="28:34">
      <c r="AB6476" s="580">
        <f>HLOOKUP("*"&amp;'Output annual'!$AC$2&amp;'Output annual'!$AD$2&amp;"*Zone People Number Of Occupants [](Hourly)",'Eplus results'!$1:$1048576,ROW(),FALSE)</f>
        <v>0</v>
      </c>
      <c r="AC6476" s="580">
        <f>HLOOKUP("*"&amp;'Output annual'!$AC$2&amp;'Output annual'!$AD$2&amp;"*FangerPMV(Hourly)",'Eplus results'!$1:$1048576,ROW(),FALSE)</f>
        <v>0</v>
      </c>
      <c r="AD6476" s="580">
        <f t="shared" si="541"/>
        <v>5</v>
      </c>
      <c r="AE6476" s="580">
        <f t="shared" si="542"/>
        <v>2.5</v>
      </c>
      <c r="AF6476" s="580">
        <f t="shared" si="543"/>
        <v>2.5</v>
      </c>
      <c r="AG6476" s="580">
        <f t="shared" si="544"/>
        <v>0</v>
      </c>
      <c r="AH6476" s="580">
        <f t="shared" si="545"/>
        <v>0</v>
      </c>
    </row>
    <row r="6477" spans="28:34">
      <c r="AB6477" s="580">
        <f>HLOOKUP("*"&amp;'Output annual'!$AC$2&amp;'Output annual'!$AD$2&amp;"*Zone People Number Of Occupants [](Hourly)",'Eplus results'!$1:$1048576,ROW(),FALSE)</f>
        <v>0</v>
      </c>
      <c r="AC6477" s="580">
        <f>HLOOKUP("*"&amp;'Output annual'!$AC$2&amp;'Output annual'!$AD$2&amp;"*FangerPMV(Hourly)",'Eplus results'!$1:$1048576,ROW(),FALSE)</f>
        <v>0</v>
      </c>
      <c r="AD6477" s="580">
        <f t="shared" si="541"/>
        <v>5</v>
      </c>
      <c r="AE6477" s="580">
        <f t="shared" si="542"/>
        <v>2.5</v>
      </c>
      <c r="AF6477" s="580">
        <f t="shared" si="543"/>
        <v>2.5</v>
      </c>
      <c r="AG6477" s="580">
        <f t="shared" si="544"/>
        <v>0</v>
      </c>
      <c r="AH6477" s="580">
        <f t="shared" si="545"/>
        <v>0</v>
      </c>
    </row>
    <row r="6478" spans="28:34">
      <c r="AB6478" s="580">
        <f>HLOOKUP("*"&amp;'Output annual'!$AC$2&amp;'Output annual'!$AD$2&amp;"*Zone People Number Of Occupants [](Hourly)",'Eplus results'!$1:$1048576,ROW(),FALSE)</f>
        <v>0</v>
      </c>
      <c r="AC6478" s="580">
        <f>HLOOKUP("*"&amp;'Output annual'!$AC$2&amp;'Output annual'!$AD$2&amp;"*FangerPMV(Hourly)",'Eplus results'!$1:$1048576,ROW(),FALSE)</f>
        <v>0</v>
      </c>
      <c r="AD6478" s="580">
        <f t="shared" si="541"/>
        <v>5</v>
      </c>
      <c r="AE6478" s="580">
        <f t="shared" si="542"/>
        <v>2.5</v>
      </c>
      <c r="AF6478" s="580">
        <f t="shared" si="543"/>
        <v>2.5</v>
      </c>
      <c r="AG6478" s="580">
        <f t="shared" si="544"/>
        <v>0</v>
      </c>
      <c r="AH6478" s="580">
        <f t="shared" si="545"/>
        <v>0</v>
      </c>
    </row>
    <row r="6479" spans="28:34">
      <c r="AB6479" s="580">
        <f>HLOOKUP("*"&amp;'Output annual'!$AC$2&amp;'Output annual'!$AD$2&amp;"*Zone People Number Of Occupants [](Hourly)",'Eplus results'!$1:$1048576,ROW(),FALSE)</f>
        <v>0</v>
      </c>
      <c r="AC6479" s="580">
        <f>HLOOKUP("*"&amp;'Output annual'!$AC$2&amp;'Output annual'!$AD$2&amp;"*FangerPMV(Hourly)",'Eplus results'!$1:$1048576,ROW(),FALSE)</f>
        <v>0</v>
      </c>
      <c r="AD6479" s="580">
        <f t="shared" si="541"/>
        <v>5</v>
      </c>
      <c r="AE6479" s="580">
        <f t="shared" si="542"/>
        <v>2.5</v>
      </c>
      <c r="AF6479" s="580">
        <f t="shared" si="543"/>
        <v>2.5</v>
      </c>
      <c r="AG6479" s="580">
        <f t="shared" si="544"/>
        <v>0</v>
      </c>
      <c r="AH6479" s="580">
        <f t="shared" si="545"/>
        <v>0</v>
      </c>
    </row>
    <row r="6480" spans="28:34">
      <c r="AB6480" s="580">
        <f>HLOOKUP("*"&amp;'Output annual'!$AC$2&amp;'Output annual'!$AD$2&amp;"*Zone People Number Of Occupants [](Hourly)",'Eplus results'!$1:$1048576,ROW(),FALSE)</f>
        <v>0</v>
      </c>
      <c r="AC6480" s="580">
        <f>HLOOKUP("*"&amp;'Output annual'!$AC$2&amp;'Output annual'!$AD$2&amp;"*FangerPMV(Hourly)",'Eplus results'!$1:$1048576,ROW(),FALSE)</f>
        <v>0</v>
      </c>
      <c r="AD6480" s="580">
        <f t="shared" si="541"/>
        <v>5</v>
      </c>
      <c r="AE6480" s="580">
        <f t="shared" si="542"/>
        <v>2.5</v>
      </c>
      <c r="AF6480" s="580">
        <f t="shared" si="543"/>
        <v>2.5</v>
      </c>
      <c r="AG6480" s="580">
        <f t="shared" si="544"/>
        <v>0</v>
      </c>
      <c r="AH6480" s="580">
        <f t="shared" si="545"/>
        <v>0</v>
      </c>
    </row>
    <row r="6481" spans="28:34">
      <c r="AB6481" s="580">
        <f>HLOOKUP("*"&amp;'Output annual'!$AC$2&amp;'Output annual'!$AD$2&amp;"*Zone People Number Of Occupants [](Hourly)",'Eplus results'!$1:$1048576,ROW(),FALSE)</f>
        <v>0</v>
      </c>
      <c r="AC6481" s="580">
        <f>HLOOKUP("*"&amp;'Output annual'!$AC$2&amp;'Output annual'!$AD$2&amp;"*FangerPMV(Hourly)",'Eplus results'!$1:$1048576,ROW(),FALSE)</f>
        <v>0</v>
      </c>
      <c r="AD6481" s="580">
        <f t="shared" si="541"/>
        <v>5</v>
      </c>
      <c r="AE6481" s="580">
        <f t="shared" si="542"/>
        <v>2.5</v>
      </c>
      <c r="AF6481" s="580">
        <f t="shared" si="543"/>
        <v>2.5</v>
      </c>
      <c r="AG6481" s="580">
        <f t="shared" si="544"/>
        <v>0</v>
      </c>
      <c r="AH6481" s="580">
        <f t="shared" si="545"/>
        <v>0</v>
      </c>
    </row>
    <row r="6482" spans="28:34">
      <c r="AB6482" s="580">
        <f>HLOOKUP("*"&amp;'Output annual'!$AC$2&amp;'Output annual'!$AD$2&amp;"*Zone People Number Of Occupants [](Hourly)",'Eplus results'!$1:$1048576,ROW(),FALSE)</f>
        <v>0</v>
      </c>
      <c r="AC6482" s="580">
        <f>HLOOKUP("*"&amp;'Output annual'!$AC$2&amp;'Output annual'!$AD$2&amp;"*FangerPMV(Hourly)",'Eplus results'!$1:$1048576,ROW(),FALSE)</f>
        <v>0</v>
      </c>
      <c r="AD6482" s="580">
        <f t="shared" si="541"/>
        <v>5</v>
      </c>
      <c r="AE6482" s="580">
        <f t="shared" si="542"/>
        <v>2.5</v>
      </c>
      <c r="AF6482" s="580">
        <f t="shared" si="543"/>
        <v>2.5</v>
      </c>
      <c r="AG6482" s="580">
        <f t="shared" si="544"/>
        <v>0</v>
      </c>
      <c r="AH6482" s="580">
        <f t="shared" si="545"/>
        <v>0</v>
      </c>
    </row>
    <row r="6483" spans="28:34">
      <c r="AB6483" s="580">
        <f>HLOOKUP("*"&amp;'Output annual'!$AC$2&amp;'Output annual'!$AD$2&amp;"*Zone People Number Of Occupants [](Hourly)",'Eplus results'!$1:$1048576,ROW(),FALSE)</f>
        <v>0</v>
      </c>
      <c r="AC6483" s="580">
        <f>HLOOKUP("*"&amp;'Output annual'!$AC$2&amp;'Output annual'!$AD$2&amp;"*FangerPMV(Hourly)",'Eplus results'!$1:$1048576,ROW(),FALSE)</f>
        <v>0</v>
      </c>
      <c r="AD6483" s="580">
        <f t="shared" si="541"/>
        <v>5</v>
      </c>
      <c r="AE6483" s="580">
        <f t="shared" si="542"/>
        <v>2.5</v>
      </c>
      <c r="AF6483" s="580">
        <f t="shared" si="543"/>
        <v>2.5</v>
      </c>
      <c r="AG6483" s="580">
        <f t="shared" si="544"/>
        <v>0</v>
      </c>
      <c r="AH6483" s="580">
        <f t="shared" si="545"/>
        <v>0</v>
      </c>
    </row>
    <row r="6484" spans="28:34">
      <c r="AB6484" s="580">
        <f>HLOOKUP("*"&amp;'Output annual'!$AC$2&amp;'Output annual'!$AD$2&amp;"*Zone People Number Of Occupants [](Hourly)",'Eplus results'!$1:$1048576,ROW(),FALSE)</f>
        <v>0</v>
      </c>
      <c r="AC6484" s="580">
        <f>HLOOKUP("*"&amp;'Output annual'!$AC$2&amp;'Output annual'!$AD$2&amp;"*FangerPMV(Hourly)",'Eplus results'!$1:$1048576,ROW(),FALSE)</f>
        <v>0</v>
      </c>
      <c r="AD6484" s="580">
        <f t="shared" si="541"/>
        <v>5</v>
      </c>
      <c r="AE6484" s="580">
        <f t="shared" si="542"/>
        <v>2.5</v>
      </c>
      <c r="AF6484" s="580">
        <f t="shared" si="543"/>
        <v>2.5</v>
      </c>
      <c r="AG6484" s="580">
        <f t="shared" si="544"/>
        <v>0</v>
      </c>
      <c r="AH6484" s="580">
        <f t="shared" si="545"/>
        <v>0</v>
      </c>
    </row>
    <row r="6485" spans="28:34">
      <c r="AB6485" s="580">
        <f>HLOOKUP("*"&amp;'Output annual'!$AC$2&amp;'Output annual'!$AD$2&amp;"*Zone People Number Of Occupants [](Hourly)",'Eplus results'!$1:$1048576,ROW(),FALSE)</f>
        <v>0</v>
      </c>
      <c r="AC6485" s="580">
        <f>HLOOKUP("*"&amp;'Output annual'!$AC$2&amp;'Output annual'!$AD$2&amp;"*FangerPMV(Hourly)",'Eplus results'!$1:$1048576,ROW(),FALSE)</f>
        <v>0</v>
      </c>
      <c r="AD6485" s="580">
        <f t="shared" si="541"/>
        <v>5</v>
      </c>
      <c r="AE6485" s="580">
        <f t="shared" si="542"/>
        <v>2.5</v>
      </c>
      <c r="AF6485" s="580">
        <f t="shared" si="543"/>
        <v>2.5</v>
      </c>
      <c r="AG6485" s="580">
        <f t="shared" si="544"/>
        <v>0</v>
      </c>
      <c r="AH6485" s="580">
        <f t="shared" si="545"/>
        <v>0</v>
      </c>
    </row>
    <row r="6486" spans="28:34">
      <c r="AB6486" s="580">
        <f>HLOOKUP("*"&amp;'Output annual'!$AC$2&amp;'Output annual'!$AD$2&amp;"*Zone People Number Of Occupants [](Hourly)",'Eplus results'!$1:$1048576,ROW(),FALSE)</f>
        <v>0</v>
      </c>
      <c r="AC6486" s="580">
        <f>HLOOKUP("*"&amp;'Output annual'!$AC$2&amp;'Output annual'!$AD$2&amp;"*FangerPMV(Hourly)",'Eplus results'!$1:$1048576,ROW(),FALSE)</f>
        <v>0</v>
      </c>
      <c r="AD6486" s="580">
        <f t="shared" si="541"/>
        <v>5</v>
      </c>
      <c r="AE6486" s="580">
        <f t="shared" si="542"/>
        <v>2.5</v>
      </c>
      <c r="AF6486" s="580">
        <f t="shared" si="543"/>
        <v>2.5</v>
      </c>
      <c r="AG6486" s="580">
        <f t="shared" si="544"/>
        <v>0</v>
      </c>
      <c r="AH6486" s="580">
        <f t="shared" si="545"/>
        <v>0</v>
      </c>
    </row>
    <row r="6487" spans="28:34">
      <c r="AB6487" s="580">
        <f>HLOOKUP("*"&amp;'Output annual'!$AC$2&amp;'Output annual'!$AD$2&amp;"*Zone People Number Of Occupants [](Hourly)",'Eplus results'!$1:$1048576,ROW(),FALSE)</f>
        <v>0</v>
      </c>
      <c r="AC6487" s="580">
        <f>HLOOKUP("*"&amp;'Output annual'!$AC$2&amp;'Output annual'!$AD$2&amp;"*FangerPMV(Hourly)",'Eplus results'!$1:$1048576,ROW(),FALSE)</f>
        <v>0</v>
      </c>
      <c r="AD6487" s="580">
        <f t="shared" si="541"/>
        <v>5</v>
      </c>
      <c r="AE6487" s="580">
        <f t="shared" si="542"/>
        <v>2.5</v>
      </c>
      <c r="AF6487" s="580">
        <f t="shared" si="543"/>
        <v>2.5</v>
      </c>
      <c r="AG6487" s="580">
        <f t="shared" si="544"/>
        <v>0</v>
      </c>
      <c r="AH6487" s="580">
        <f t="shared" si="545"/>
        <v>0</v>
      </c>
    </row>
    <row r="6488" spans="28:34">
      <c r="AB6488" s="580">
        <f>HLOOKUP("*"&amp;'Output annual'!$AC$2&amp;'Output annual'!$AD$2&amp;"*Zone People Number Of Occupants [](Hourly)",'Eplus results'!$1:$1048576,ROW(),FALSE)</f>
        <v>0</v>
      </c>
      <c r="AC6488" s="580">
        <f>HLOOKUP("*"&amp;'Output annual'!$AC$2&amp;'Output annual'!$AD$2&amp;"*FangerPMV(Hourly)",'Eplus results'!$1:$1048576,ROW(),FALSE)</f>
        <v>0</v>
      </c>
      <c r="AD6488" s="580">
        <f t="shared" si="541"/>
        <v>5</v>
      </c>
      <c r="AE6488" s="580">
        <f t="shared" si="542"/>
        <v>2.5</v>
      </c>
      <c r="AF6488" s="580">
        <f t="shared" si="543"/>
        <v>2.5</v>
      </c>
      <c r="AG6488" s="580">
        <f t="shared" si="544"/>
        <v>0</v>
      </c>
      <c r="AH6488" s="580">
        <f t="shared" si="545"/>
        <v>0</v>
      </c>
    </row>
    <row r="6489" spans="28:34">
      <c r="AB6489" s="580">
        <f>HLOOKUP("*"&amp;'Output annual'!$AC$2&amp;'Output annual'!$AD$2&amp;"*Zone People Number Of Occupants [](Hourly)",'Eplus results'!$1:$1048576,ROW(),FALSE)</f>
        <v>0</v>
      </c>
      <c r="AC6489" s="580">
        <f>HLOOKUP("*"&amp;'Output annual'!$AC$2&amp;'Output annual'!$AD$2&amp;"*FangerPMV(Hourly)",'Eplus results'!$1:$1048576,ROW(),FALSE)</f>
        <v>0</v>
      </c>
      <c r="AD6489" s="580">
        <f t="shared" si="541"/>
        <v>5</v>
      </c>
      <c r="AE6489" s="580">
        <f t="shared" si="542"/>
        <v>2.5</v>
      </c>
      <c r="AF6489" s="580">
        <f t="shared" si="543"/>
        <v>2.5</v>
      </c>
      <c r="AG6489" s="580">
        <f t="shared" si="544"/>
        <v>0</v>
      </c>
      <c r="AH6489" s="580">
        <f t="shared" si="545"/>
        <v>0</v>
      </c>
    </row>
    <row r="6490" spans="28:34">
      <c r="AB6490" s="580">
        <f>HLOOKUP("*"&amp;'Output annual'!$AC$2&amp;'Output annual'!$AD$2&amp;"*Zone People Number Of Occupants [](Hourly)",'Eplus results'!$1:$1048576,ROW(),FALSE)</f>
        <v>0</v>
      </c>
      <c r="AC6490" s="580">
        <f>HLOOKUP("*"&amp;'Output annual'!$AC$2&amp;'Output annual'!$AD$2&amp;"*FangerPMV(Hourly)",'Eplus results'!$1:$1048576,ROW(),FALSE)</f>
        <v>0</v>
      </c>
      <c r="AD6490" s="580">
        <f t="shared" si="541"/>
        <v>5</v>
      </c>
      <c r="AE6490" s="580">
        <f t="shared" si="542"/>
        <v>2.5</v>
      </c>
      <c r="AF6490" s="580">
        <f t="shared" si="543"/>
        <v>2.5</v>
      </c>
      <c r="AG6490" s="580">
        <f t="shared" si="544"/>
        <v>0</v>
      </c>
      <c r="AH6490" s="580">
        <f t="shared" si="545"/>
        <v>0</v>
      </c>
    </row>
    <row r="6491" spans="28:34">
      <c r="AB6491" s="580">
        <f>HLOOKUP("*"&amp;'Output annual'!$AC$2&amp;'Output annual'!$AD$2&amp;"*Zone People Number Of Occupants [](Hourly)",'Eplus results'!$1:$1048576,ROW(),FALSE)</f>
        <v>0</v>
      </c>
      <c r="AC6491" s="580">
        <f>HLOOKUP("*"&amp;'Output annual'!$AC$2&amp;'Output annual'!$AD$2&amp;"*FangerPMV(Hourly)",'Eplus results'!$1:$1048576,ROW(),FALSE)</f>
        <v>0</v>
      </c>
      <c r="AD6491" s="580">
        <f t="shared" si="541"/>
        <v>5</v>
      </c>
      <c r="AE6491" s="580">
        <f t="shared" si="542"/>
        <v>2.5</v>
      </c>
      <c r="AF6491" s="580">
        <f t="shared" si="543"/>
        <v>2.5</v>
      </c>
      <c r="AG6491" s="580">
        <f t="shared" si="544"/>
        <v>0</v>
      </c>
      <c r="AH6491" s="580">
        <f t="shared" si="545"/>
        <v>0</v>
      </c>
    </row>
    <row r="6492" spans="28:34">
      <c r="AB6492" s="580">
        <f>HLOOKUP("*"&amp;'Output annual'!$AC$2&amp;'Output annual'!$AD$2&amp;"*Zone People Number Of Occupants [](Hourly)",'Eplus results'!$1:$1048576,ROW(),FALSE)</f>
        <v>0</v>
      </c>
      <c r="AC6492" s="580">
        <f>HLOOKUP("*"&amp;'Output annual'!$AC$2&amp;'Output annual'!$AD$2&amp;"*FangerPMV(Hourly)",'Eplus results'!$1:$1048576,ROW(),FALSE)</f>
        <v>0</v>
      </c>
      <c r="AD6492" s="580">
        <f t="shared" si="541"/>
        <v>5</v>
      </c>
      <c r="AE6492" s="580">
        <f t="shared" si="542"/>
        <v>2.5</v>
      </c>
      <c r="AF6492" s="580">
        <f t="shared" si="543"/>
        <v>2.5</v>
      </c>
      <c r="AG6492" s="580">
        <f t="shared" si="544"/>
        <v>0</v>
      </c>
      <c r="AH6492" s="580">
        <f t="shared" si="545"/>
        <v>0</v>
      </c>
    </row>
    <row r="6493" spans="28:34">
      <c r="AB6493" s="580">
        <f>HLOOKUP("*"&amp;'Output annual'!$AC$2&amp;'Output annual'!$AD$2&amp;"*Zone People Number Of Occupants [](Hourly)",'Eplus results'!$1:$1048576,ROW(),FALSE)</f>
        <v>0</v>
      </c>
      <c r="AC6493" s="580">
        <f>HLOOKUP("*"&amp;'Output annual'!$AC$2&amp;'Output annual'!$AD$2&amp;"*FangerPMV(Hourly)",'Eplus results'!$1:$1048576,ROW(),FALSE)</f>
        <v>0</v>
      </c>
      <c r="AD6493" s="580">
        <f t="shared" si="541"/>
        <v>5</v>
      </c>
      <c r="AE6493" s="580">
        <f t="shared" si="542"/>
        <v>2.5</v>
      </c>
      <c r="AF6493" s="580">
        <f t="shared" si="543"/>
        <v>2.5</v>
      </c>
      <c r="AG6493" s="580">
        <f t="shared" si="544"/>
        <v>0</v>
      </c>
      <c r="AH6493" s="580">
        <f t="shared" si="545"/>
        <v>0</v>
      </c>
    </row>
    <row r="6494" spans="28:34">
      <c r="AB6494" s="580">
        <f>HLOOKUP("*"&amp;'Output annual'!$AC$2&amp;'Output annual'!$AD$2&amp;"*Zone People Number Of Occupants [](Hourly)",'Eplus results'!$1:$1048576,ROW(),FALSE)</f>
        <v>0</v>
      </c>
      <c r="AC6494" s="580">
        <f>HLOOKUP("*"&amp;'Output annual'!$AC$2&amp;'Output annual'!$AD$2&amp;"*FangerPMV(Hourly)",'Eplus results'!$1:$1048576,ROW(),FALSE)</f>
        <v>0</v>
      </c>
      <c r="AD6494" s="580">
        <f t="shared" si="541"/>
        <v>5</v>
      </c>
      <c r="AE6494" s="580">
        <f t="shared" si="542"/>
        <v>2.5</v>
      </c>
      <c r="AF6494" s="580">
        <f t="shared" si="543"/>
        <v>2.5</v>
      </c>
      <c r="AG6494" s="580">
        <f t="shared" si="544"/>
        <v>0</v>
      </c>
      <c r="AH6494" s="580">
        <f t="shared" si="545"/>
        <v>0</v>
      </c>
    </row>
    <row r="6495" spans="28:34">
      <c r="AB6495" s="580">
        <f>HLOOKUP("*"&amp;'Output annual'!$AC$2&amp;'Output annual'!$AD$2&amp;"*Zone People Number Of Occupants [](Hourly)",'Eplus results'!$1:$1048576,ROW(),FALSE)</f>
        <v>0</v>
      </c>
      <c r="AC6495" s="580">
        <f>HLOOKUP("*"&amp;'Output annual'!$AC$2&amp;'Output annual'!$AD$2&amp;"*FangerPMV(Hourly)",'Eplus results'!$1:$1048576,ROW(),FALSE)</f>
        <v>0</v>
      </c>
      <c r="AD6495" s="580">
        <f t="shared" si="541"/>
        <v>5</v>
      </c>
      <c r="AE6495" s="580">
        <f t="shared" si="542"/>
        <v>2.5</v>
      </c>
      <c r="AF6495" s="580">
        <f t="shared" si="543"/>
        <v>2.5</v>
      </c>
      <c r="AG6495" s="580">
        <f t="shared" si="544"/>
        <v>0</v>
      </c>
      <c r="AH6495" s="580">
        <f t="shared" si="545"/>
        <v>0</v>
      </c>
    </row>
    <row r="6496" spans="28:34">
      <c r="AB6496" s="580">
        <f>HLOOKUP("*"&amp;'Output annual'!$AC$2&amp;'Output annual'!$AD$2&amp;"*Zone People Number Of Occupants [](Hourly)",'Eplus results'!$1:$1048576,ROW(),FALSE)</f>
        <v>0</v>
      </c>
      <c r="AC6496" s="580">
        <f>HLOOKUP("*"&amp;'Output annual'!$AC$2&amp;'Output annual'!$AD$2&amp;"*FangerPMV(Hourly)",'Eplus results'!$1:$1048576,ROW(),FALSE)</f>
        <v>0</v>
      </c>
      <c r="AD6496" s="580">
        <f t="shared" si="541"/>
        <v>5</v>
      </c>
      <c r="AE6496" s="580">
        <f t="shared" si="542"/>
        <v>2.5</v>
      </c>
      <c r="AF6496" s="580">
        <f t="shared" si="543"/>
        <v>2.5</v>
      </c>
      <c r="AG6496" s="580">
        <f t="shared" si="544"/>
        <v>0</v>
      </c>
      <c r="AH6496" s="580">
        <f t="shared" si="545"/>
        <v>0</v>
      </c>
    </row>
    <row r="6497" spans="28:34">
      <c r="AB6497" s="580">
        <f>HLOOKUP("*"&amp;'Output annual'!$AC$2&amp;'Output annual'!$AD$2&amp;"*Zone People Number Of Occupants [](Hourly)",'Eplus results'!$1:$1048576,ROW(),FALSE)</f>
        <v>0</v>
      </c>
      <c r="AC6497" s="580">
        <f>HLOOKUP("*"&amp;'Output annual'!$AC$2&amp;'Output annual'!$AD$2&amp;"*FangerPMV(Hourly)",'Eplus results'!$1:$1048576,ROW(),FALSE)</f>
        <v>0</v>
      </c>
      <c r="AD6497" s="580">
        <f t="shared" si="541"/>
        <v>5</v>
      </c>
      <c r="AE6497" s="580">
        <f t="shared" si="542"/>
        <v>2.5</v>
      </c>
      <c r="AF6497" s="580">
        <f t="shared" si="543"/>
        <v>2.5</v>
      </c>
      <c r="AG6497" s="580">
        <f t="shared" si="544"/>
        <v>0</v>
      </c>
      <c r="AH6497" s="580">
        <f t="shared" si="545"/>
        <v>0</v>
      </c>
    </row>
    <row r="6498" spans="28:34">
      <c r="AB6498" s="580">
        <f>HLOOKUP("*"&amp;'Output annual'!$AC$2&amp;'Output annual'!$AD$2&amp;"*Zone People Number Of Occupants [](Hourly)",'Eplus results'!$1:$1048576,ROW(),FALSE)</f>
        <v>0</v>
      </c>
      <c r="AC6498" s="580">
        <f>HLOOKUP("*"&amp;'Output annual'!$AC$2&amp;'Output annual'!$AD$2&amp;"*FangerPMV(Hourly)",'Eplus results'!$1:$1048576,ROW(),FALSE)</f>
        <v>0</v>
      </c>
      <c r="AD6498" s="580">
        <f t="shared" si="541"/>
        <v>5</v>
      </c>
      <c r="AE6498" s="580">
        <f t="shared" si="542"/>
        <v>2.5</v>
      </c>
      <c r="AF6498" s="580">
        <f t="shared" si="543"/>
        <v>2.5</v>
      </c>
      <c r="AG6498" s="580">
        <f t="shared" si="544"/>
        <v>0</v>
      </c>
      <c r="AH6498" s="580">
        <f t="shared" si="545"/>
        <v>0</v>
      </c>
    </row>
    <row r="6499" spans="28:34">
      <c r="AB6499" s="580">
        <f>HLOOKUP("*"&amp;'Output annual'!$AC$2&amp;'Output annual'!$AD$2&amp;"*Zone People Number Of Occupants [](Hourly)",'Eplus results'!$1:$1048576,ROW(),FALSE)</f>
        <v>0</v>
      </c>
      <c r="AC6499" s="580">
        <f>HLOOKUP("*"&amp;'Output annual'!$AC$2&amp;'Output annual'!$AD$2&amp;"*FangerPMV(Hourly)",'Eplus results'!$1:$1048576,ROW(),FALSE)</f>
        <v>0</v>
      </c>
      <c r="AD6499" s="580">
        <f t="shared" si="541"/>
        <v>5</v>
      </c>
      <c r="AE6499" s="580">
        <f t="shared" si="542"/>
        <v>2.5</v>
      </c>
      <c r="AF6499" s="580">
        <f t="shared" si="543"/>
        <v>2.5</v>
      </c>
      <c r="AG6499" s="580">
        <f t="shared" si="544"/>
        <v>0</v>
      </c>
      <c r="AH6499" s="580">
        <f t="shared" si="545"/>
        <v>0</v>
      </c>
    </row>
    <row r="6500" spans="28:34">
      <c r="AB6500" s="580">
        <f>HLOOKUP("*"&amp;'Output annual'!$AC$2&amp;'Output annual'!$AD$2&amp;"*Zone People Number Of Occupants [](Hourly)",'Eplus results'!$1:$1048576,ROW(),FALSE)</f>
        <v>0</v>
      </c>
      <c r="AC6500" s="580">
        <f>HLOOKUP("*"&amp;'Output annual'!$AC$2&amp;'Output annual'!$AD$2&amp;"*FangerPMV(Hourly)",'Eplus results'!$1:$1048576,ROW(),FALSE)</f>
        <v>0</v>
      </c>
      <c r="AD6500" s="580">
        <f t="shared" si="541"/>
        <v>5</v>
      </c>
      <c r="AE6500" s="580">
        <f t="shared" si="542"/>
        <v>2.5</v>
      </c>
      <c r="AF6500" s="580">
        <f t="shared" si="543"/>
        <v>2.5</v>
      </c>
      <c r="AG6500" s="580">
        <f t="shared" si="544"/>
        <v>0</v>
      </c>
      <c r="AH6500" s="580">
        <f t="shared" si="545"/>
        <v>0</v>
      </c>
    </row>
    <row r="6501" spans="28:34">
      <c r="AB6501" s="580">
        <f>HLOOKUP("*"&amp;'Output annual'!$AC$2&amp;'Output annual'!$AD$2&amp;"*Zone People Number Of Occupants [](Hourly)",'Eplus results'!$1:$1048576,ROW(),FALSE)</f>
        <v>0</v>
      </c>
      <c r="AC6501" s="580">
        <f>HLOOKUP("*"&amp;'Output annual'!$AC$2&amp;'Output annual'!$AD$2&amp;"*FangerPMV(Hourly)",'Eplus results'!$1:$1048576,ROW(),FALSE)</f>
        <v>0</v>
      </c>
      <c r="AD6501" s="580">
        <f t="shared" si="541"/>
        <v>5</v>
      </c>
      <c r="AE6501" s="580">
        <f t="shared" si="542"/>
        <v>2.5</v>
      </c>
      <c r="AF6501" s="580">
        <f t="shared" si="543"/>
        <v>2.5</v>
      </c>
      <c r="AG6501" s="580">
        <f t="shared" si="544"/>
        <v>0</v>
      </c>
      <c r="AH6501" s="580">
        <f t="shared" si="545"/>
        <v>0</v>
      </c>
    </row>
    <row r="6502" spans="28:34">
      <c r="AB6502" s="580">
        <f>HLOOKUP("*"&amp;'Output annual'!$AC$2&amp;'Output annual'!$AD$2&amp;"*Zone People Number Of Occupants [](Hourly)",'Eplus results'!$1:$1048576,ROW(),FALSE)</f>
        <v>0</v>
      </c>
      <c r="AC6502" s="580">
        <f>HLOOKUP("*"&amp;'Output annual'!$AC$2&amp;'Output annual'!$AD$2&amp;"*FangerPMV(Hourly)",'Eplus results'!$1:$1048576,ROW(),FALSE)</f>
        <v>0</v>
      </c>
      <c r="AD6502" s="580">
        <f t="shared" si="541"/>
        <v>5</v>
      </c>
      <c r="AE6502" s="580">
        <f t="shared" si="542"/>
        <v>2.5</v>
      </c>
      <c r="AF6502" s="580">
        <f t="shared" si="543"/>
        <v>2.5</v>
      </c>
      <c r="AG6502" s="580">
        <f t="shared" si="544"/>
        <v>0</v>
      </c>
      <c r="AH6502" s="580">
        <f t="shared" si="545"/>
        <v>0</v>
      </c>
    </row>
    <row r="6503" spans="28:34">
      <c r="AB6503" s="580">
        <f>HLOOKUP("*"&amp;'Output annual'!$AC$2&amp;'Output annual'!$AD$2&amp;"*Zone People Number Of Occupants [](Hourly)",'Eplus results'!$1:$1048576,ROW(),FALSE)</f>
        <v>0</v>
      </c>
      <c r="AC6503" s="580">
        <f>HLOOKUP("*"&amp;'Output annual'!$AC$2&amp;'Output annual'!$AD$2&amp;"*FangerPMV(Hourly)",'Eplus results'!$1:$1048576,ROW(),FALSE)</f>
        <v>0</v>
      </c>
      <c r="AD6503" s="580">
        <f t="shared" si="541"/>
        <v>5</v>
      </c>
      <c r="AE6503" s="580">
        <f t="shared" si="542"/>
        <v>2.5</v>
      </c>
      <c r="AF6503" s="580">
        <f t="shared" si="543"/>
        <v>2.5</v>
      </c>
      <c r="AG6503" s="580">
        <f t="shared" si="544"/>
        <v>0</v>
      </c>
      <c r="AH6503" s="580">
        <f t="shared" si="545"/>
        <v>0</v>
      </c>
    </row>
    <row r="6504" spans="28:34">
      <c r="AB6504" s="580">
        <f>HLOOKUP("*"&amp;'Output annual'!$AC$2&amp;'Output annual'!$AD$2&amp;"*Zone People Number Of Occupants [](Hourly)",'Eplus results'!$1:$1048576,ROW(),FALSE)</f>
        <v>0</v>
      </c>
      <c r="AC6504" s="580">
        <f>HLOOKUP("*"&amp;'Output annual'!$AC$2&amp;'Output annual'!$AD$2&amp;"*FangerPMV(Hourly)",'Eplus results'!$1:$1048576,ROW(),FALSE)</f>
        <v>0</v>
      </c>
      <c r="AD6504" s="580">
        <f t="shared" si="541"/>
        <v>5</v>
      </c>
      <c r="AE6504" s="580">
        <f t="shared" si="542"/>
        <v>2.5</v>
      </c>
      <c r="AF6504" s="580">
        <f t="shared" si="543"/>
        <v>2.5</v>
      </c>
      <c r="AG6504" s="580">
        <f t="shared" si="544"/>
        <v>0</v>
      </c>
      <c r="AH6504" s="580">
        <f t="shared" si="545"/>
        <v>0</v>
      </c>
    </row>
    <row r="6505" spans="28:34">
      <c r="AB6505" s="580">
        <f>HLOOKUP("*"&amp;'Output annual'!$AC$2&amp;'Output annual'!$AD$2&amp;"*Zone People Number Of Occupants [](Hourly)",'Eplus results'!$1:$1048576,ROW(),FALSE)</f>
        <v>0</v>
      </c>
      <c r="AC6505" s="580">
        <f>HLOOKUP("*"&amp;'Output annual'!$AC$2&amp;'Output annual'!$AD$2&amp;"*FangerPMV(Hourly)",'Eplus results'!$1:$1048576,ROW(),FALSE)</f>
        <v>0</v>
      </c>
      <c r="AD6505" s="580">
        <f t="shared" si="541"/>
        <v>5</v>
      </c>
      <c r="AE6505" s="580">
        <f t="shared" si="542"/>
        <v>2.5</v>
      </c>
      <c r="AF6505" s="580">
        <f t="shared" si="543"/>
        <v>2.5</v>
      </c>
      <c r="AG6505" s="580">
        <f t="shared" si="544"/>
        <v>0</v>
      </c>
      <c r="AH6505" s="580">
        <f t="shared" si="545"/>
        <v>0</v>
      </c>
    </row>
    <row r="6506" spans="28:34">
      <c r="AB6506" s="580">
        <f>HLOOKUP("*"&amp;'Output annual'!$AC$2&amp;'Output annual'!$AD$2&amp;"*Zone People Number Of Occupants [](Hourly)",'Eplus results'!$1:$1048576,ROW(),FALSE)</f>
        <v>0</v>
      </c>
      <c r="AC6506" s="580">
        <f>HLOOKUP("*"&amp;'Output annual'!$AC$2&amp;'Output annual'!$AD$2&amp;"*FangerPMV(Hourly)",'Eplus results'!$1:$1048576,ROW(),FALSE)</f>
        <v>0</v>
      </c>
      <c r="AD6506" s="580">
        <f t="shared" si="541"/>
        <v>5</v>
      </c>
      <c r="AE6506" s="580">
        <f t="shared" si="542"/>
        <v>2.5</v>
      </c>
      <c r="AF6506" s="580">
        <f t="shared" si="543"/>
        <v>2.5</v>
      </c>
      <c r="AG6506" s="580">
        <f t="shared" si="544"/>
        <v>0</v>
      </c>
      <c r="AH6506" s="580">
        <f t="shared" si="545"/>
        <v>0</v>
      </c>
    </row>
    <row r="6507" spans="28:34">
      <c r="AB6507" s="580">
        <f>HLOOKUP("*"&amp;'Output annual'!$AC$2&amp;'Output annual'!$AD$2&amp;"*Zone People Number Of Occupants [](Hourly)",'Eplus results'!$1:$1048576,ROW(),FALSE)</f>
        <v>0</v>
      </c>
      <c r="AC6507" s="580">
        <f>HLOOKUP("*"&amp;'Output annual'!$AC$2&amp;'Output annual'!$AD$2&amp;"*FangerPMV(Hourly)",'Eplus results'!$1:$1048576,ROW(),FALSE)</f>
        <v>0</v>
      </c>
      <c r="AD6507" s="580">
        <f t="shared" si="541"/>
        <v>5</v>
      </c>
      <c r="AE6507" s="580">
        <f t="shared" si="542"/>
        <v>2.5</v>
      </c>
      <c r="AF6507" s="580">
        <f t="shared" si="543"/>
        <v>2.5</v>
      </c>
      <c r="AG6507" s="580">
        <f t="shared" si="544"/>
        <v>0</v>
      </c>
      <c r="AH6507" s="580">
        <f t="shared" si="545"/>
        <v>0</v>
      </c>
    </row>
    <row r="6508" spans="28:34">
      <c r="AB6508" s="580">
        <f>HLOOKUP("*"&amp;'Output annual'!$AC$2&amp;'Output annual'!$AD$2&amp;"*Zone People Number Of Occupants [](Hourly)",'Eplus results'!$1:$1048576,ROW(),FALSE)</f>
        <v>0</v>
      </c>
      <c r="AC6508" s="580">
        <f>HLOOKUP("*"&amp;'Output annual'!$AC$2&amp;'Output annual'!$AD$2&amp;"*FangerPMV(Hourly)",'Eplus results'!$1:$1048576,ROW(),FALSE)</f>
        <v>0</v>
      </c>
      <c r="AD6508" s="580">
        <f t="shared" si="541"/>
        <v>5</v>
      </c>
      <c r="AE6508" s="580">
        <f t="shared" si="542"/>
        <v>2.5</v>
      </c>
      <c r="AF6508" s="580">
        <f t="shared" si="543"/>
        <v>2.5</v>
      </c>
      <c r="AG6508" s="580">
        <f t="shared" si="544"/>
        <v>0</v>
      </c>
      <c r="AH6508" s="580">
        <f t="shared" si="545"/>
        <v>0</v>
      </c>
    </row>
    <row r="6509" spans="28:34">
      <c r="AB6509" s="580">
        <f>HLOOKUP("*"&amp;'Output annual'!$AC$2&amp;'Output annual'!$AD$2&amp;"*Zone People Number Of Occupants [](Hourly)",'Eplus results'!$1:$1048576,ROW(),FALSE)</f>
        <v>0</v>
      </c>
      <c r="AC6509" s="580">
        <f>HLOOKUP("*"&amp;'Output annual'!$AC$2&amp;'Output annual'!$AD$2&amp;"*FangerPMV(Hourly)",'Eplus results'!$1:$1048576,ROW(),FALSE)</f>
        <v>0</v>
      </c>
      <c r="AD6509" s="580">
        <f t="shared" si="541"/>
        <v>5</v>
      </c>
      <c r="AE6509" s="580">
        <f t="shared" si="542"/>
        <v>2.5</v>
      </c>
      <c r="AF6509" s="580">
        <f t="shared" si="543"/>
        <v>2.5</v>
      </c>
      <c r="AG6509" s="580">
        <f t="shared" si="544"/>
        <v>0</v>
      </c>
      <c r="AH6509" s="580">
        <f t="shared" si="545"/>
        <v>0</v>
      </c>
    </row>
    <row r="6510" spans="28:34">
      <c r="AB6510" s="580">
        <f>HLOOKUP("*"&amp;'Output annual'!$AC$2&amp;'Output annual'!$AD$2&amp;"*Zone People Number Of Occupants [](Hourly)",'Eplus results'!$1:$1048576,ROW(),FALSE)</f>
        <v>0</v>
      </c>
      <c r="AC6510" s="580">
        <f>HLOOKUP("*"&amp;'Output annual'!$AC$2&amp;'Output annual'!$AD$2&amp;"*FangerPMV(Hourly)",'Eplus results'!$1:$1048576,ROW(),FALSE)</f>
        <v>0</v>
      </c>
      <c r="AD6510" s="580">
        <f t="shared" si="541"/>
        <v>5</v>
      </c>
      <c r="AE6510" s="580">
        <f t="shared" si="542"/>
        <v>2.5</v>
      </c>
      <c r="AF6510" s="580">
        <f t="shared" si="543"/>
        <v>2.5</v>
      </c>
      <c r="AG6510" s="580">
        <f t="shared" si="544"/>
        <v>0</v>
      </c>
      <c r="AH6510" s="580">
        <f t="shared" si="545"/>
        <v>0</v>
      </c>
    </row>
    <row r="6511" spans="28:34">
      <c r="AB6511" s="580">
        <f>HLOOKUP("*"&amp;'Output annual'!$AC$2&amp;'Output annual'!$AD$2&amp;"*Zone People Number Of Occupants [](Hourly)",'Eplus results'!$1:$1048576,ROW(),FALSE)</f>
        <v>0</v>
      </c>
      <c r="AC6511" s="580">
        <f>HLOOKUP("*"&amp;'Output annual'!$AC$2&amp;'Output annual'!$AD$2&amp;"*FangerPMV(Hourly)",'Eplus results'!$1:$1048576,ROW(),FALSE)</f>
        <v>0</v>
      </c>
      <c r="AD6511" s="580">
        <f t="shared" si="541"/>
        <v>5</v>
      </c>
      <c r="AE6511" s="580">
        <f t="shared" si="542"/>
        <v>2.5</v>
      </c>
      <c r="AF6511" s="580">
        <f t="shared" si="543"/>
        <v>2.5</v>
      </c>
      <c r="AG6511" s="580">
        <f t="shared" si="544"/>
        <v>0</v>
      </c>
      <c r="AH6511" s="580">
        <f t="shared" si="545"/>
        <v>0</v>
      </c>
    </row>
    <row r="6512" spans="28:34">
      <c r="AB6512" s="580">
        <f>HLOOKUP("*"&amp;'Output annual'!$AC$2&amp;'Output annual'!$AD$2&amp;"*Zone People Number Of Occupants [](Hourly)",'Eplus results'!$1:$1048576,ROW(),FALSE)</f>
        <v>0</v>
      </c>
      <c r="AC6512" s="580">
        <f>HLOOKUP("*"&amp;'Output annual'!$AC$2&amp;'Output annual'!$AD$2&amp;"*FangerPMV(Hourly)",'Eplus results'!$1:$1048576,ROW(),FALSE)</f>
        <v>0</v>
      </c>
      <c r="AD6512" s="580">
        <f t="shared" si="541"/>
        <v>5</v>
      </c>
      <c r="AE6512" s="580">
        <f t="shared" si="542"/>
        <v>2.5</v>
      </c>
      <c r="AF6512" s="580">
        <f t="shared" si="543"/>
        <v>2.5</v>
      </c>
      <c r="AG6512" s="580">
        <f t="shared" si="544"/>
        <v>0</v>
      </c>
      <c r="AH6512" s="580">
        <f t="shared" si="545"/>
        <v>0</v>
      </c>
    </row>
    <row r="6513" spans="28:34">
      <c r="AB6513" s="580">
        <f>HLOOKUP("*"&amp;'Output annual'!$AC$2&amp;'Output annual'!$AD$2&amp;"*Zone People Number Of Occupants [](Hourly)",'Eplus results'!$1:$1048576,ROW(),FALSE)</f>
        <v>0</v>
      </c>
      <c r="AC6513" s="580">
        <f>HLOOKUP("*"&amp;'Output annual'!$AC$2&amp;'Output annual'!$AD$2&amp;"*FangerPMV(Hourly)",'Eplus results'!$1:$1048576,ROW(),FALSE)</f>
        <v>0</v>
      </c>
      <c r="AD6513" s="580">
        <f t="shared" si="541"/>
        <v>5</v>
      </c>
      <c r="AE6513" s="580">
        <f t="shared" si="542"/>
        <v>2.5</v>
      </c>
      <c r="AF6513" s="580">
        <f t="shared" si="543"/>
        <v>2.5</v>
      </c>
      <c r="AG6513" s="580">
        <f t="shared" si="544"/>
        <v>0</v>
      </c>
      <c r="AH6513" s="580">
        <f t="shared" si="545"/>
        <v>0</v>
      </c>
    </row>
    <row r="6514" spans="28:34">
      <c r="AB6514" s="580">
        <f>HLOOKUP("*"&amp;'Output annual'!$AC$2&amp;'Output annual'!$AD$2&amp;"*Zone People Number Of Occupants [](Hourly)",'Eplus results'!$1:$1048576,ROW(),FALSE)</f>
        <v>0</v>
      </c>
      <c r="AC6514" s="580">
        <f>HLOOKUP("*"&amp;'Output annual'!$AC$2&amp;'Output annual'!$AD$2&amp;"*FangerPMV(Hourly)",'Eplus results'!$1:$1048576,ROW(),FALSE)</f>
        <v>0</v>
      </c>
      <c r="AD6514" s="580">
        <f t="shared" si="541"/>
        <v>5</v>
      </c>
      <c r="AE6514" s="580">
        <f t="shared" si="542"/>
        <v>2.5</v>
      </c>
      <c r="AF6514" s="580">
        <f t="shared" si="543"/>
        <v>2.5</v>
      </c>
      <c r="AG6514" s="580">
        <f t="shared" si="544"/>
        <v>0</v>
      </c>
      <c r="AH6514" s="580">
        <f t="shared" si="545"/>
        <v>0</v>
      </c>
    </row>
    <row r="6515" spans="28:34">
      <c r="AB6515" s="580">
        <f>HLOOKUP("*"&amp;'Output annual'!$AC$2&amp;'Output annual'!$AD$2&amp;"*Zone People Number Of Occupants [](Hourly)",'Eplus results'!$1:$1048576,ROW(),FALSE)</f>
        <v>0</v>
      </c>
      <c r="AC6515" s="580">
        <f>HLOOKUP("*"&amp;'Output annual'!$AC$2&amp;'Output annual'!$AD$2&amp;"*FangerPMV(Hourly)",'Eplus results'!$1:$1048576,ROW(),FALSE)</f>
        <v>0</v>
      </c>
      <c r="AD6515" s="580">
        <f t="shared" si="541"/>
        <v>5</v>
      </c>
      <c r="AE6515" s="580">
        <f t="shared" si="542"/>
        <v>2.5</v>
      </c>
      <c r="AF6515" s="580">
        <f t="shared" si="543"/>
        <v>2.5</v>
      </c>
      <c r="AG6515" s="580">
        <f t="shared" si="544"/>
        <v>0</v>
      </c>
      <c r="AH6515" s="580">
        <f t="shared" si="545"/>
        <v>0</v>
      </c>
    </row>
    <row r="6516" spans="28:34">
      <c r="AB6516" s="580">
        <f>HLOOKUP("*"&amp;'Output annual'!$AC$2&amp;'Output annual'!$AD$2&amp;"*Zone People Number Of Occupants [](Hourly)",'Eplus results'!$1:$1048576,ROW(),FALSE)</f>
        <v>0</v>
      </c>
      <c r="AC6516" s="580">
        <f>HLOOKUP("*"&amp;'Output annual'!$AC$2&amp;'Output annual'!$AD$2&amp;"*FangerPMV(Hourly)",'Eplus results'!$1:$1048576,ROW(),FALSE)</f>
        <v>0</v>
      </c>
      <c r="AD6516" s="580">
        <f t="shared" si="541"/>
        <v>5</v>
      </c>
      <c r="AE6516" s="580">
        <f t="shared" si="542"/>
        <v>2.5</v>
      </c>
      <c r="AF6516" s="580">
        <f t="shared" si="543"/>
        <v>2.5</v>
      </c>
      <c r="AG6516" s="580">
        <f t="shared" si="544"/>
        <v>0</v>
      </c>
      <c r="AH6516" s="580">
        <f t="shared" si="545"/>
        <v>0</v>
      </c>
    </row>
    <row r="6517" spans="28:34">
      <c r="AB6517" s="580">
        <f>HLOOKUP("*"&amp;'Output annual'!$AC$2&amp;'Output annual'!$AD$2&amp;"*Zone People Number Of Occupants [](Hourly)",'Eplus results'!$1:$1048576,ROW(),FALSE)</f>
        <v>0</v>
      </c>
      <c r="AC6517" s="580">
        <f>HLOOKUP("*"&amp;'Output annual'!$AC$2&amp;'Output annual'!$AD$2&amp;"*FangerPMV(Hourly)",'Eplus results'!$1:$1048576,ROW(),FALSE)</f>
        <v>0</v>
      </c>
      <c r="AD6517" s="580">
        <f t="shared" si="541"/>
        <v>5</v>
      </c>
      <c r="AE6517" s="580">
        <f t="shared" si="542"/>
        <v>2.5</v>
      </c>
      <c r="AF6517" s="580">
        <f t="shared" si="543"/>
        <v>2.5</v>
      </c>
      <c r="AG6517" s="580">
        <f t="shared" si="544"/>
        <v>0</v>
      </c>
      <c r="AH6517" s="580">
        <f t="shared" si="545"/>
        <v>0</v>
      </c>
    </row>
    <row r="6518" spans="28:34">
      <c r="AB6518" s="580">
        <f>HLOOKUP("*"&amp;'Output annual'!$AC$2&amp;'Output annual'!$AD$2&amp;"*Zone People Number Of Occupants [](Hourly)",'Eplus results'!$1:$1048576,ROW(),FALSE)</f>
        <v>0</v>
      </c>
      <c r="AC6518" s="580">
        <f>HLOOKUP("*"&amp;'Output annual'!$AC$2&amp;'Output annual'!$AD$2&amp;"*FangerPMV(Hourly)",'Eplus results'!$1:$1048576,ROW(),FALSE)</f>
        <v>0</v>
      </c>
      <c r="AD6518" s="580">
        <f t="shared" si="541"/>
        <v>5</v>
      </c>
      <c r="AE6518" s="580">
        <f t="shared" si="542"/>
        <v>2.5</v>
      </c>
      <c r="AF6518" s="580">
        <f t="shared" si="543"/>
        <v>2.5</v>
      </c>
      <c r="AG6518" s="580">
        <f t="shared" si="544"/>
        <v>0</v>
      </c>
      <c r="AH6518" s="580">
        <f t="shared" si="545"/>
        <v>0</v>
      </c>
    </row>
    <row r="6519" spans="28:34">
      <c r="AB6519" s="580">
        <f>HLOOKUP("*"&amp;'Output annual'!$AC$2&amp;'Output annual'!$AD$2&amp;"*Zone People Number Of Occupants [](Hourly)",'Eplus results'!$1:$1048576,ROW(),FALSE)</f>
        <v>0</v>
      </c>
      <c r="AC6519" s="580">
        <f>HLOOKUP("*"&amp;'Output annual'!$AC$2&amp;'Output annual'!$AD$2&amp;"*FangerPMV(Hourly)",'Eplus results'!$1:$1048576,ROW(),FALSE)</f>
        <v>0</v>
      </c>
      <c r="AD6519" s="580">
        <f t="shared" si="541"/>
        <v>5</v>
      </c>
      <c r="AE6519" s="580">
        <f t="shared" si="542"/>
        <v>2.5</v>
      </c>
      <c r="AF6519" s="580">
        <f t="shared" si="543"/>
        <v>2.5</v>
      </c>
      <c r="AG6519" s="580">
        <f t="shared" si="544"/>
        <v>0</v>
      </c>
      <c r="AH6519" s="580">
        <f t="shared" si="545"/>
        <v>0</v>
      </c>
    </row>
    <row r="6520" spans="28:34">
      <c r="AB6520" s="580">
        <f>HLOOKUP("*"&amp;'Output annual'!$AC$2&amp;'Output annual'!$AD$2&amp;"*Zone People Number Of Occupants [](Hourly)",'Eplus results'!$1:$1048576,ROW(),FALSE)</f>
        <v>0</v>
      </c>
      <c r="AC6520" s="580">
        <f>HLOOKUP("*"&amp;'Output annual'!$AC$2&amp;'Output annual'!$AD$2&amp;"*FangerPMV(Hourly)",'Eplus results'!$1:$1048576,ROW(),FALSE)</f>
        <v>0</v>
      </c>
      <c r="AD6520" s="580">
        <f t="shared" si="541"/>
        <v>5</v>
      </c>
      <c r="AE6520" s="580">
        <f t="shared" si="542"/>
        <v>2.5</v>
      </c>
      <c r="AF6520" s="580">
        <f t="shared" si="543"/>
        <v>2.5</v>
      </c>
      <c r="AG6520" s="580">
        <f t="shared" si="544"/>
        <v>0</v>
      </c>
      <c r="AH6520" s="580">
        <f t="shared" si="545"/>
        <v>0</v>
      </c>
    </row>
    <row r="6521" spans="28:34">
      <c r="AB6521" s="580">
        <f>HLOOKUP("*"&amp;'Output annual'!$AC$2&amp;'Output annual'!$AD$2&amp;"*Zone People Number Of Occupants [](Hourly)",'Eplus results'!$1:$1048576,ROW(),FALSE)</f>
        <v>0</v>
      </c>
      <c r="AC6521" s="580">
        <f>HLOOKUP("*"&amp;'Output annual'!$AC$2&amp;'Output annual'!$AD$2&amp;"*FangerPMV(Hourly)",'Eplus results'!$1:$1048576,ROW(),FALSE)</f>
        <v>0</v>
      </c>
      <c r="AD6521" s="580">
        <f t="shared" si="541"/>
        <v>5</v>
      </c>
      <c r="AE6521" s="580">
        <f t="shared" si="542"/>
        <v>2.5</v>
      </c>
      <c r="AF6521" s="580">
        <f t="shared" si="543"/>
        <v>2.5</v>
      </c>
      <c r="AG6521" s="580">
        <f t="shared" si="544"/>
        <v>0</v>
      </c>
      <c r="AH6521" s="580">
        <f t="shared" si="545"/>
        <v>0</v>
      </c>
    </row>
    <row r="6522" spans="28:34">
      <c r="AB6522" s="580">
        <f>HLOOKUP("*"&amp;'Output annual'!$AC$2&amp;'Output annual'!$AD$2&amp;"*Zone People Number Of Occupants [](Hourly)",'Eplus results'!$1:$1048576,ROW(),FALSE)</f>
        <v>0</v>
      </c>
      <c r="AC6522" s="580">
        <f>HLOOKUP("*"&amp;'Output annual'!$AC$2&amp;'Output annual'!$AD$2&amp;"*FangerPMV(Hourly)",'Eplus results'!$1:$1048576,ROW(),FALSE)</f>
        <v>0</v>
      </c>
      <c r="AD6522" s="580">
        <f t="shared" si="541"/>
        <v>5</v>
      </c>
      <c r="AE6522" s="580">
        <f t="shared" si="542"/>
        <v>2.5</v>
      </c>
      <c r="AF6522" s="580">
        <f t="shared" si="543"/>
        <v>2.5</v>
      </c>
      <c r="AG6522" s="580">
        <f t="shared" si="544"/>
        <v>0</v>
      </c>
      <c r="AH6522" s="580">
        <f t="shared" si="545"/>
        <v>0</v>
      </c>
    </row>
    <row r="6523" spans="28:34">
      <c r="AB6523" s="580">
        <f>HLOOKUP("*"&amp;'Output annual'!$AC$2&amp;'Output annual'!$AD$2&amp;"*Zone People Number Of Occupants [](Hourly)",'Eplus results'!$1:$1048576,ROW(),FALSE)</f>
        <v>0</v>
      </c>
      <c r="AC6523" s="580">
        <f>HLOOKUP("*"&amp;'Output annual'!$AC$2&amp;'Output annual'!$AD$2&amp;"*FangerPMV(Hourly)",'Eplus results'!$1:$1048576,ROW(),FALSE)</f>
        <v>0</v>
      </c>
      <c r="AD6523" s="580">
        <f t="shared" si="541"/>
        <v>5</v>
      </c>
      <c r="AE6523" s="580">
        <f t="shared" si="542"/>
        <v>2.5</v>
      </c>
      <c r="AF6523" s="580">
        <f t="shared" si="543"/>
        <v>2.5</v>
      </c>
      <c r="AG6523" s="580">
        <f t="shared" si="544"/>
        <v>0</v>
      </c>
      <c r="AH6523" s="580">
        <f t="shared" si="545"/>
        <v>0</v>
      </c>
    </row>
    <row r="6524" spans="28:34">
      <c r="AB6524" s="580">
        <f>HLOOKUP("*"&amp;'Output annual'!$AC$2&amp;'Output annual'!$AD$2&amp;"*Zone People Number Of Occupants [](Hourly)",'Eplus results'!$1:$1048576,ROW(),FALSE)</f>
        <v>0</v>
      </c>
      <c r="AC6524" s="580">
        <f>HLOOKUP("*"&amp;'Output annual'!$AC$2&amp;'Output annual'!$AD$2&amp;"*FangerPMV(Hourly)",'Eplus results'!$1:$1048576,ROW(),FALSE)</f>
        <v>0</v>
      </c>
      <c r="AD6524" s="580">
        <f t="shared" si="541"/>
        <v>5</v>
      </c>
      <c r="AE6524" s="580">
        <f t="shared" si="542"/>
        <v>2.5</v>
      </c>
      <c r="AF6524" s="580">
        <f t="shared" si="543"/>
        <v>2.5</v>
      </c>
      <c r="AG6524" s="580">
        <f t="shared" si="544"/>
        <v>0</v>
      </c>
      <c r="AH6524" s="580">
        <f t="shared" si="545"/>
        <v>0</v>
      </c>
    </row>
    <row r="6525" spans="28:34">
      <c r="AB6525" s="580">
        <f>HLOOKUP("*"&amp;'Output annual'!$AC$2&amp;'Output annual'!$AD$2&amp;"*Zone People Number Of Occupants [](Hourly)",'Eplus results'!$1:$1048576,ROW(),FALSE)</f>
        <v>0</v>
      </c>
      <c r="AC6525" s="580">
        <f>HLOOKUP("*"&amp;'Output annual'!$AC$2&amp;'Output annual'!$AD$2&amp;"*FangerPMV(Hourly)",'Eplus results'!$1:$1048576,ROW(),FALSE)</f>
        <v>0</v>
      </c>
      <c r="AD6525" s="580">
        <f t="shared" si="541"/>
        <v>5</v>
      </c>
      <c r="AE6525" s="580">
        <f t="shared" si="542"/>
        <v>2.5</v>
      </c>
      <c r="AF6525" s="580">
        <f t="shared" si="543"/>
        <v>2.5</v>
      </c>
      <c r="AG6525" s="580">
        <f t="shared" si="544"/>
        <v>0</v>
      </c>
      <c r="AH6525" s="580">
        <f t="shared" si="545"/>
        <v>0</v>
      </c>
    </row>
    <row r="6526" spans="28:34">
      <c r="AB6526" s="580">
        <f>HLOOKUP("*"&amp;'Output annual'!$AC$2&amp;'Output annual'!$AD$2&amp;"*Zone People Number Of Occupants [](Hourly)",'Eplus results'!$1:$1048576,ROW(),FALSE)</f>
        <v>0</v>
      </c>
      <c r="AC6526" s="580">
        <f>HLOOKUP("*"&amp;'Output annual'!$AC$2&amp;'Output annual'!$AD$2&amp;"*FangerPMV(Hourly)",'Eplus results'!$1:$1048576,ROW(),FALSE)</f>
        <v>0</v>
      </c>
      <c r="AD6526" s="580">
        <f t="shared" si="541"/>
        <v>5</v>
      </c>
      <c r="AE6526" s="580">
        <f t="shared" si="542"/>
        <v>2.5</v>
      </c>
      <c r="AF6526" s="580">
        <f t="shared" si="543"/>
        <v>2.5</v>
      </c>
      <c r="AG6526" s="580">
        <f t="shared" si="544"/>
        <v>0</v>
      </c>
      <c r="AH6526" s="580">
        <f t="shared" si="545"/>
        <v>0</v>
      </c>
    </row>
    <row r="6527" spans="28:34">
      <c r="AB6527" s="580">
        <f>HLOOKUP("*"&amp;'Output annual'!$AC$2&amp;'Output annual'!$AD$2&amp;"*Zone People Number Of Occupants [](Hourly)",'Eplus results'!$1:$1048576,ROW(),FALSE)</f>
        <v>0</v>
      </c>
      <c r="AC6527" s="580">
        <f>HLOOKUP("*"&amp;'Output annual'!$AC$2&amp;'Output annual'!$AD$2&amp;"*FangerPMV(Hourly)",'Eplus results'!$1:$1048576,ROW(),FALSE)</f>
        <v>0</v>
      </c>
      <c r="AD6527" s="580">
        <f t="shared" si="541"/>
        <v>5</v>
      </c>
      <c r="AE6527" s="580">
        <f t="shared" si="542"/>
        <v>2.5</v>
      </c>
      <c r="AF6527" s="580">
        <f t="shared" si="543"/>
        <v>2.5</v>
      </c>
      <c r="AG6527" s="580">
        <f t="shared" si="544"/>
        <v>0</v>
      </c>
      <c r="AH6527" s="580">
        <f t="shared" si="545"/>
        <v>0</v>
      </c>
    </row>
    <row r="6528" spans="28:34">
      <c r="AB6528" s="580">
        <f>HLOOKUP("*"&amp;'Output annual'!$AC$2&amp;'Output annual'!$AD$2&amp;"*Zone People Number Of Occupants [](Hourly)",'Eplus results'!$1:$1048576,ROW(),FALSE)</f>
        <v>0</v>
      </c>
      <c r="AC6528" s="580">
        <f>HLOOKUP("*"&amp;'Output annual'!$AC$2&amp;'Output annual'!$AD$2&amp;"*FangerPMV(Hourly)",'Eplus results'!$1:$1048576,ROW(),FALSE)</f>
        <v>0</v>
      </c>
      <c r="AD6528" s="580">
        <f t="shared" si="541"/>
        <v>5</v>
      </c>
      <c r="AE6528" s="580">
        <f t="shared" si="542"/>
        <v>2.5</v>
      </c>
      <c r="AF6528" s="580">
        <f t="shared" si="543"/>
        <v>2.5</v>
      </c>
      <c r="AG6528" s="580">
        <f t="shared" si="544"/>
        <v>0</v>
      </c>
      <c r="AH6528" s="580">
        <f t="shared" si="545"/>
        <v>0</v>
      </c>
    </row>
    <row r="6529" spans="28:34">
      <c r="AB6529" s="580">
        <f>HLOOKUP("*"&amp;'Output annual'!$AC$2&amp;'Output annual'!$AD$2&amp;"*Zone People Number Of Occupants [](Hourly)",'Eplus results'!$1:$1048576,ROW(),FALSE)</f>
        <v>0</v>
      </c>
      <c r="AC6529" s="580">
        <f>HLOOKUP("*"&amp;'Output annual'!$AC$2&amp;'Output annual'!$AD$2&amp;"*FangerPMV(Hourly)",'Eplus results'!$1:$1048576,ROW(),FALSE)</f>
        <v>0</v>
      </c>
      <c r="AD6529" s="580">
        <f t="shared" si="541"/>
        <v>5</v>
      </c>
      <c r="AE6529" s="580">
        <f t="shared" si="542"/>
        <v>2.5</v>
      </c>
      <c r="AF6529" s="580">
        <f t="shared" si="543"/>
        <v>2.5</v>
      </c>
      <c r="AG6529" s="580">
        <f t="shared" si="544"/>
        <v>0</v>
      </c>
      <c r="AH6529" s="580">
        <f t="shared" si="545"/>
        <v>0</v>
      </c>
    </row>
    <row r="6530" spans="28:34">
      <c r="AB6530" s="580">
        <f>HLOOKUP("*"&amp;'Output annual'!$AC$2&amp;'Output annual'!$AD$2&amp;"*Zone People Number Of Occupants [](Hourly)",'Eplus results'!$1:$1048576,ROW(),FALSE)</f>
        <v>0</v>
      </c>
      <c r="AC6530" s="580">
        <f>HLOOKUP("*"&amp;'Output annual'!$AC$2&amp;'Output annual'!$AD$2&amp;"*FangerPMV(Hourly)",'Eplus results'!$1:$1048576,ROW(),FALSE)</f>
        <v>0</v>
      </c>
      <c r="AD6530" s="580">
        <f t="shared" si="541"/>
        <v>5</v>
      </c>
      <c r="AE6530" s="580">
        <f t="shared" si="542"/>
        <v>2.5</v>
      </c>
      <c r="AF6530" s="580">
        <f t="shared" si="543"/>
        <v>2.5</v>
      </c>
      <c r="AG6530" s="580">
        <f t="shared" si="544"/>
        <v>0</v>
      </c>
      <c r="AH6530" s="580">
        <f t="shared" si="545"/>
        <v>0</v>
      </c>
    </row>
    <row r="6531" spans="28:34">
      <c r="AB6531" s="580">
        <f>HLOOKUP("*"&amp;'Output annual'!$AC$2&amp;'Output annual'!$AD$2&amp;"*Zone People Number Of Occupants [](Hourly)",'Eplus results'!$1:$1048576,ROW(),FALSE)</f>
        <v>0</v>
      </c>
      <c r="AC6531" s="580">
        <f>HLOOKUP("*"&amp;'Output annual'!$AC$2&amp;'Output annual'!$AD$2&amp;"*FangerPMV(Hourly)",'Eplus results'!$1:$1048576,ROW(),FALSE)</f>
        <v>0</v>
      </c>
      <c r="AD6531" s="580">
        <f t="shared" ref="AD6531:AD6594" si="546">100-95*EXP(-0.03353*AC6531^4-0.2179*AC6531^2)</f>
        <v>5</v>
      </c>
      <c r="AE6531" s="580">
        <f t="shared" ref="AE6531:AE6594" si="547">AD6531*(1/(1+EXP(-6.3*$AC6531)))</f>
        <v>2.5</v>
      </c>
      <c r="AF6531" s="580">
        <f t="shared" ref="AF6531:AF6594" si="548">(AD6531-AE6531)</f>
        <v>2.5</v>
      </c>
      <c r="AG6531" s="580">
        <f t="shared" ref="AG6531:AG6594" si="549">AE6531*AB6531</f>
        <v>0</v>
      </c>
      <c r="AH6531" s="580">
        <f t="shared" ref="AH6531:AH6594" si="550">AF6531*AB6531</f>
        <v>0</v>
      </c>
    </row>
    <row r="6532" spans="28:34">
      <c r="AB6532" s="580">
        <f>HLOOKUP("*"&amp;'Output annual'!$AC$2&amp;'Output annual'!$AD$2&amp;"*Zone People Number Of Occupants [](Hourly)",'Eplus results'!$1:$1048576,ROW(),FALSE)</f>
        <v>0</v>
      </c>
      <c r="AC6532" s="580">
        <f>HLOOKUP("*"&amp;'Output annual'!$AC$2&amp;'Output annual'!$AD$2&amp;"*FangerPMV(Hourly)",'Eplus results'!$1:$1048576,ROW(),FALSE)</f>
        <v>0</v>
      </c>
      <c r="AD6532" s="580">
        <f t="shared" si="546"/>
        <v>5</v>
      </c>
      <c r="AE6532" s="580">
        <f t="shared" si="547"/>
        <v>2.5</v>
      </c>
      <c r="AF6532" s="580">
        <f t="shared" si="548"/>
        <v>2.5</v>
      </c>
      <c r="AG6532" s="580">
        <f t="shared" si="549"/>
        <v>0</v>
      </c>
      <c r="AH6532" s="580">
        <f t="shared" si="550"/>
        <v>0</v>
      </c>
    </row>
    <row r="6533" spans="28:34">
      <c r="AB6533" s="580">
        <f>HLOOKUP("*"&amp;'Output annual'!$AC$2&amp;'Output annual'!$AD$2&amp;"*Zone People Number Of Occupants [](Hourly)",'Eplus results'!$1:$1048576,ROW(),FALSE)</f>
        <v>0</v>
      </c>
      <c r="AC6533" s="580">
        <f>HLOOKUP("*"&amp;'Output annual'!$AC$2&amp;'Output annual'!$AD$2&amp;"*FangerPMV(Hourly)",'Eplus results'!$1:$1048576,ROW(),FALSE)</f>
        <v>0</v>
      </c>
      <c r="AD6533" s="580">
        <f t="shared" si="546"/>
        <v>5</v>
      </c>
      <c r="AE6533" s="580">
        <f t="shared" si="547"/>
        <v>2.5</v>
      </c>
      <c r="AF6533" s="580">
        <f t="shared" si="548"/>
        <v>2.5</v>
      </c>
      <c r="AG6533" s="580">
        <f t="shared" si="549"/>
        <v>0</v>
      </c>
      <c r="AH6533" s="580">
        <f t="shared" si="550"/>
        <v>0</v>
      </c>
    </row>
    <row r="6534" spans="28:34">
      <c r="AB6534" s="580">
        <f>HLOOKUP("*"&amp;'Output annual'!$AC$2&amp;'Output annual'!$AD$2&amp;"*Zone People Number Of Occupants [](Hourly)",'Eplus results'!$1:$1048576,ROW(),FALSE)</f>
        <v>0</v>
      </c>
      <c r="AC6534" s="580">
        <f>HLOOKUP("*"&amp;'Output annual'!$AC$2&amp;'Output annual'!$AD$2&amp;"*FangerPMV(Hourly)",'Eplus results'!$1:$1048576,ROW(),FALSE)</f>
        <v>0</v>
      </c>
      <c r="AD6534" s="580">
        <f t="shared" si="546"/>
        <v>5</v>
      </c>
      <c r="AE6534" s="580">
        <f t="shared" si="547"/>
        <v>2.5</v>
      </c>
      <c r="AF6534" s="580">
        <f t="shared" si="548"/>
        <v>2.5</v>
      </c>
      <c r="AG6534" s="580">
        <f t="shared" si="549"/>
        <v>0</v>
      </c>
      <c r="AH6534" s="580">
        <f t="shared" si="550"/>
        <v>0</v>
      </c>
    </row>
    <row r="6535" spans="28:34">
      <c r="AB6535" s="580">
        <f>HLOOKUP("*"&amp;'Output annual'!$AC$2&amp;'Output annual'!$AD$2&amp;"*Zone People Number Of Occupants [](Hourly)",'Eplus results'!$1:$1048576,ROW(),FALSE)</f>
        <v>0</v>
      </c>
      <c r="AC6535" s="580">
        <f>HLOOKUP("*"&amp;'Output annual'!$AC$2&amp;'Output annual'!$AD$2&amp;"*FangerPMV(Hourly)",'Eplus results'!$1:$1048576,ROW(),FALSE)</f>
        <v>0</v>
      </c>
      <c r="AD6535" s="580">
        <f t="shared" si="546"/>
        <v>5</v>
      </c>
      <c r="AE6535" s="580">
        <f t="shared" si="547"/>
        <v>2.5</v>
      </c>
      <c r="AF6535" s="580">
        <f t="shared" si="548"/>
        <v>2.5</v>
      </c>
      <c r="AG6535" s="580">
        <f t="shared" si="549"/>
        <v>0</v>
      </c>
      <c r="AH6535" s="580">
        <f t="shared" si="550"/>
        <v>0</v>
      </c>
    </row>
    <row r="6536" spans="28:34">
      <c r="AB6536" s="580">
        <f>HLOOKUP("*"&amp;'Output annual'!$AC$2&amp;'Output annual'!$AD$2&amp;"*Zone People Number Of Occupants [](Hourly)",'Eplus results'!$1:$1048576,ROW(),FALSE)</f>
        <v>0</v>
      </c>
      <c r="AC6536" s="580">
        <f>HLOOKUP("*"&amp;'Output annual'!$AC$2&amp;'Output annual'!$AD$2&amp;"*FangerPMV(Hourly)",'Eplus results'!$1:$1048576,ROW(),FALSE)</f>
        <v>0</v>
      </c>
      <c r="AD6536" s="580">
        <f t="shared" si="546"/>
        <v>5</v>
      </c>
      <c r="AE6536" s="580">
        <f t="shared" si="547"/>
        <v>2.5</v>
      </c>
      <c r="AF6536" s="580">
        <f t="shared" si="548"/>
        <v>2.5</v>
      </c>
      <c r="AG6536" s="580">
        <f t="shared" si="549"/>
        <v>0</v>
      </c>
      <c r="AH6536" s="580">
        <f t="shared" si="550"/>
        <v>0</v>
      </c>
    </row>
    <row r="6537" spans="28:34">
      <c r="AB6537" s="580">
        <f>HLOOKUP("*"&amp;'Output annual'!$AC$2&amp;'Output annual'!$AD$2&amp;"*Zone People Number Of Occupants [](Hourly)",'Eplus results'!$1:$1048576,ROW(),FALSE)</f>
        <v>0</v>
      </c>
      <c r="AC6537" s="580">
        <f>HLOOKUP("*"&amp;'Output annual'!$AC$2&amp;'Output annual'!$AD$2&amp;"*FangerPMV(Hourly)",'Eplus results'!$1:$1048576,ROW(),FALSE)</f>
        <v>0</v>
      </c>
      <c r="AD6537" s="580">
        <f t="shared" si="546"/>
        <v>5</v>
      </c>
      <c r="AE6537" s="580">
        <f t="shared" si="547"/>
        <v>2.5</v>
      </c>
      <c r="AF6537" s="580">
        <f t="shared" si="548"/>
        <v>2.5</v>
      </c>
      <c r="AG6537" s="580">
        <f t="shared" si="549"/>
        <v>0</v>
      </c>
      <c r="AH6537" s="580">
        <f t="shared" si="550"/>
        <v>0</v>
      </c>
    </row>
    <row r="6538" spans="28:34">
      <c r="AB6538" s="580">
        <f>HLOOKUP("*"&amp;'Output annual'!$AC$2&amp;'Output annual'!$AD$2&amp;"*Zone People Number Of Occupants [](Hourly)",'Eplus results'!$1:$1048576,ROW(),FALSE)</f>
        <v>0</v>
      </c>
      <c r="AC6538" s="580">
        <f>HLOOKUP("*"&amp;'Output annual'!$AC$2&amp;'Output annual'!$AD$2&amp;"*FangerPMV(Hourly)",'Eplus results'!$1:$1048576,ROW(),FALSE)</f>
        <v>0</v>
      </c>
      <c r="AD6538" s="580">
        <f t="shared" si="546"/>
        <v>5</v>
      </c>
      <c r="AE6538" s="580">
        <f t="shared" si="547"/>
        <v>2.5</v>
      </c>
      <c r="AF6538" s="580">
        <f t="shared" si="548"/>
        <v>2.5</v>
      </c>
      <c r="AG6538" s="580">
        <f t="shared" si="549"/>
        <v>0</v>
      </c>
      <c r="AH6538" s="580">
        <f t="shared" si="550"/>
        <v>0</v>
      </c>
    </row>
    <row r="6539" spans="28:34">
      <c r="AB6539" s="580">
        <f>HLOOKUP("*"&amp;'Output annual'!$AC$2&amp;'Output annual'!$AD$2&amp;"*Zone People Number Of Occupants [](Hourly)",'Eplus results'!$1:$1048576,ROW(),FALSE)</f>
        <v>0</v>
      </c>
      <c r="AC6539" s="580">
        <f>HLOOKUP("*"&amp;'Output annual'!$AC$2&amp;'Output annual'!$AD$2&amp;"*FangerPMV(Hourly)",'Eplus results'!$1:$1048576,ROW(),FALSE)</f>
        <v>0</v>
      </c>
      <c r="AD6539" s="580">
        <f t="shared" si="546"/>
        <v>5</v>
      </c>
      <c r="AE6539" s="580">
        <f t="shared" si="547"/>
        <v>2.5</v>
      </c>
      <c r="AF6539" s="580">
        <f t="shared" si="548"/>
        <v>2.5</v>
      </c>
      <c r="AG6539" s="580">
        <f t="shared" si="549"/>
        <v>0</v>
      </c>
      <c r="AH6539" s="580">
        <f t="shared" si="550"/>
        <v>0</v>
      </c>
    </row>
    <row r="6540" spans="28:34">
      <c r="AB6540" s="580">
        <f>HLOOKUP("*"&amp;'Output annual'!$AC$2&amp;'Output annual'!$AD$2&amp;"*Zone People Number Of Occupants [](Hourly)",'Eplus results'!$1:$1048576,ROW(),FALSE)</f>
        <v>0</v>
      </c>
      <c r="AC6540" s="580">
        <f>HLOOKUP("*"&amp;'Output annual'!$AC$2&amp;'Output annual'!$AD$2&amp;"*FangerPMV(Hourly)",'Eplus results'!$1:$1048576,ROW(),FALSE)</f>
        <v>0</v>
      </c>
      <c r="AD6540" s="580">
        <f t="shared" si="546"/>
        <v>5</v>
      </c>
      <c r="AE6540" s="580">
        <f t="shared" si="547"/>
        <v>2.5</v>
      </c>
      <c r="AF6540" s="580">
        <f t="shared" si="548"/>
        <v>2.5</v>
      </c>
      <c r="AG6540" s="580">
        <f t="shared" si="549"/>
        <v>0</v>
      </c>
      <c r="AH6540" s="580">
        <f t="shared" si="550"/>
        <v>0</v>
      </c>
    </row>
    <row r="6541" spans="28:34">
      <c r="AB6541" s="580">
        <f>HLOOKUP("*"&amp;'Output annual'!$AC$2&amp;'Output annual'!$AD$2&amp;"*Zone People Number Of Occupants [](Hourly)",'Eplus results'!$1:$1048576,ROW(),FALSE)</f>
        <v>0</v>
      </c>
      <c r="AC6541" s="580">
        <f>HLOOKUP("*"&amp;'Output annual'!$AC$2&amp;'Output annual'!$AD$2&amp;"*FangerPMV(Hourly)",'Eplus results'!$1:$1048576,ROW(),FALSE)</f>
        <v>0</v>
      </c>
      <c r="AD6541" s="580">
        <f t="shared" si="546"/>
        <v>5</v>
      </c>
      <c r="AE6541" s="580">
        <f t="shared" si="547"/>
        <v>2.5</v>
      </c>
      <c r="AF6541" s="580">
        <f t="shared" si="548"/>
        <v>2.5</v>
      </c>
      <c r="AG6541" s="580">
        <f t="shared" si="549"/>
        <v>0</v>
      </c>
      <c r="AH6541" s="580">
        <f t="shared" si="550"/>
        <v>0</v>
      </c>
    </row>
    <row r="6542" spans="28:34">
      <c r="AB6542" s="580">
        <f>HLOOKUP("*"&amp;'Output annual'!$AC$2&amp;'Output annual'!$AD$2&amp;"*Zone People Number Of Occupants [](Hourly)",'Eplus results'!$1:$1048576,ROW(),FALSE)</f>
        <v>0</v>
      </c>
      <c r="AC6542" s="580">
        <f>HLOOKUP("*"&amp;'Output annual'!$AC$2&amp;'Output annual'!$AD$2&amp;"*FangerPMV(Hourly)",'Eplus results'!$1:$1048576,ROW(),FALSE)</f>
        <v>0</v>
      </c>
      <c r="AD6542" s="580">
        <f t="shared" si="546"/>
        <v>5</v>
      </c>
      <c r="AE6542" s="580">
        <f t="shared" si="547"/>
        <v>2.5</v>
      </c>
      <c r="AF6542" s="580">
        <f t="shared" si="548"/>
        <v>2.5</v>
      </c>
      <c r="AG6542" s="580">
        <f t="shared" si="549"/>
        <v>0</v>
      </c>
      <c r="AH6542" s="580">
        <f t="shared" si="550"/>
        <v>0</v>
      </c>
    </row>
    <row r="6543" spans="28:34">
      <c r="AB6543" s="580">
        <f>HLOOKUP("*"&amp;'Output annual'!$AC$2&amp;'Output annual'!$AD$2&amp;"*Zone People Number Of Occupants [](Hourly)",'Eplus results'!$1:$1048576,ROW(),FALSE)</f>
        <v>0</v>
      </c>
      <c r="AC6543" s="580">
        <f>HLOOKUP("*"&amp;'Output annual'!$AC$2&amp;'Output annual'!$AD$2&amp;"*FangerPMV(Hourly)",'Eplus results'!$1:$1048576,ROW(),FALSE)</f>
        <v>0</v>
      </c>
      <c r="AD6543" s="580">
        <f t="shared" si="546"/>
        <v>5</v>
      </c>
      <c r="AE6543" s="580">
        <f t="shared" si="547"/>
        <v>2.5</v>
      </c>
      <c r="AF6543" s="580">
        <f t="shared" si="548"/>
        <v>2.5</v>
      </c>
      <c r="AG6543" s="580">
        <f t="shared" si="549"/>
        <v>0</v>
      </c>
      <c r="AH6543" s="580">
        <f t="shared" si="550"/>
        <v>0</v>
      </c>
    </row>
    <row r="6544" spans="28:34">
      <c r="AB6544" s="580">
        <f>HLOOKUP("*"&amp;'Output annual'!$AC$2&amp;'Output annual'!$AD$2&amp;"*Zone People Number Of Occupants [](Hourly)",'Eplus results'!$1:$1048576,ROW(),FALSE)</f>
        <v>0</v>
      </c>
      <c r="AC6544" s="580">
        <f>HLOOKUP("*"&amp;'Output annual'!$AC$2&amp;'Output annual'!$AD$2&amp;"*FangerPMV(Hourly)",'Eplus results'!$1:$1048576,ROW(),FALSE)</f>
        <v>0</v>
      </c>
      <c r="AD6544" s="580">
        <f t="shared" si="546"/>
        <v>5</v>
      </c>
      <c r="AE6544" s="580">
        <f t="shared" si="547"/>
        <v>2.5</v>
      </c>
      <c r="AF6544" s="580">
        <f t="shared" si="548"/>
        <v>2.5</v>
      </c>
      <c r="AG6544" s="580">
        <f t="shared" si="549"/>
        <v>0</v>
      </c>
      <c r="AH6544" s="580">
        <f t="shared" si="550"/>
        <v>0</v>
      </c>
    </row>
    <row r="6545" spans="28:34">
      <c r="AB6545" s="580">
        <f>HLOOKUP("*"&amp;'Output annual'!$AC$2&amp;'Output annual'!$AD$2&amp;"*Zone People Number Of Occupants [](Hourly)",'Eplus results'!$1:$1048576,ROW(),FALSE)</f>
        <v>0</v>
      </c>
      <c r="AC6545" s="580">
        <f>HLOOKUP("*"&amp;'Output annual'!$AC$2&amp;'Output annual'!$AD$2&amp;"*FangerPMV(Hourly)",'Eplus results'!$1:$1048576,ROW(),FALSE)</f>
        <v>0</v>
      </c>
      <c r="AD6545" s="580">
        <f t="shared" si="546"/>
        <v>5</v>
      </c>
      <c r="AE6545" s="580">
        <f t="shared" si="547"/>
        <v>2.5</v>
      </c>
      <c r="AF6545" s="580">
        <f t="shared" si="548"/>
        <v>2.5</v>
      </c>
      <c r="AG6545" s="580">
        <f t="shared" si="549"/>
        <v>0</v>
      </c>
      <c r="AH6545" s="580">
        <f t="shared" si="550"/>
        <v>0</v>
      </c>
    </row>
    <row r="6546" spans="28:34">
      <c r="AB6546" s="580">
        <f>HLOOKUP("*"&amp;'Output annual'!$AC$2&amp;'Output annual'!$AD$2&amp;"*Zone People Number Of Occupants [](Hourly)",'Eplus results'!$1:$1048576,ROW(),FALSE)</f>
        <v>0</v>
      </c>
      <c r="AC6546" s="580">
        <f>HLOOKUP("*"&amp;'Output annual'!$AC$2&amp;'Output annual'!$AD$2&amp;"*FangerPMV(Hourly)",'Eplus results'!$1:$1048576,ROW(),FALSE)</f>
        <v>0</v>
      </c>
      <c r="AD6546" s="580">
        <f t="shared" si="546"/>
        <v>5</v>
      </c>
      <c r="AE6546" s="580">
        <f t="shared" si="547"/>
        <v>2.5</v>
      </c>
      <c r="AF6546" s="580">
        <f t="shared" si="548"/>
        <v>2.5</v>
      </c>
      <c r="AG6546" s="580">
        <f t="shared" si="549"/>
        <v>0</v>
      </c>
      <c r="AH6546" s="580">
        <f t="shared" si="550"/>
        <v>0</v>
      </c>
    </row>
    <row r="6547" spans="28:34">
      <c r="AB6547" s="580">
        <f>HLOOKUP("*"&amp;'Output annual'!$AC$2&amp;'Output annual'!$AD$2&amp;"*Zone People Number Of Occupants [](Hourly)",'Eplus results'!$1:$1048576,ROW(),FALSE)</f>
        <v>0</v>
      </c>
      <c r="AC6547" s="580">
        <f>HLOOKUP("*"&amp;'Output annual'!$AC$2&amp;'Output annual'!$AD$2&amp;"*FangerPMV(Hourly)",'Eplus results'!$1:$1048576,ROW(),FALSE)</f>
        <v>0</v>
      </c>
      <c r="AD6547" s="580">
        <f t="shared" si="546"/>
        <v>5</v>
      </c>
      <c r="AE6547" s="580">
        <f t="shared" si="547"/>
        <v>2.5</v>
      </c>
      <c r="AF6547" s="580">
        <f t="shared" si="548"/>
        <v>2.5</v>
      </c>
      <c r="AG6547" s="580">
        <f t="shared" si="549"/>
        <v>0</v>
      </c>
      <c r="AH6547" s="580">
        <f t="shared" si="550"/>
        <v>0</v>
      </c>
    </row>
    <row r="6548" spans="28:34">
      <c r="AB6548" s="580">
        <f>HLOOKUP("*"&amp;'Output annual'!$AC$2&amp;'Output annual'!$AD$2&amp;"*Zone People Number Of Occupants [](Hourly)",'Eplus results'!$1:$1048576,ROW(),FALSE)</f>
        <v>0</v>
      </c>
      <c r="AC6548" s="580">
        <f>HLOOKUP("*"&amp;'Output annual'!$AC$2&amp;'Output annual'!$AD$2&amp;"*FangerPMV(Hourly)",'Eplus results'!$1:$1048576,ROW(),FALSE)</f>
        <v>0</v>
      </c>
      <c r="AD6548" s="580">
        <f t="shared" si="546"/>
        <v>5</v>
      </c>
      <c r="AE6548" s="580">
        <f t="shared" si="547"/>
        <v>2.5</v>
      </c>
      <c r="AF6548" s="580">
        <f t="shared" si="548"/>
        <v>2.5</v>
      </c>
      <c r="AG6548" s="580">
        <f t="shared" si="549"/>
        <v>0</v>
      </c>
      <c r="AH6548" s="580">
        <f t="shared" si="550"/>
        <v>0</v>
      </c>
    </row>
    <row r="6549" spans="28:34">
      <c r="AB6549" s="580">
        <f>HLOOKUP("*"&amp;'Output annual'!$AC$2&amp;'Output annual'!$AD$2&amp;"*Zone People Number Of Occupants [](Hourly)",'Eplus results'!$1:$1048576,ROW(),FALSE)</f>
        <v>0</v>
      </c>
      <c r="AC6549" s="580">
        <f>HLOOKUP("*"&amp;'Output annual'!$AC$2&amp;'Output annual'!$AD$2&amp;"*FangerPMV(Hourly)",'Eplus results'!$1:$1048576,ROW(),FALSE)</f>
        <v>0</v>
      </c>
      <c r="AD6549" s="580">
        <f t="shared" si="546"/>
        <v>5</v>
      </c>
      <c r="AE6549" s="580">
        <f t="shared" si="547"/>
        <v>2.5</v>
      </c>
      <c r="AF6549" s="580">
        <f t="shared" si="548"/>
        <v>2.5</v>
      </c>
      <c r="AG6549" s="580">
        <f t="shared" si="549"/>
        <v>0</v>
      </c>
      <c r="AH6549" s="580">
        <f t="shared" si="550"/>
        <v>0</v>
      </c>
    </row>
    <row r="6550" spans="28:34">
      <c r="AB6550" s="580">
        <f>HLOOKUP("*"&amp;'Output annual'!$AC$2&amp;'Output annual'!$AD$2&amp;"*Zone People Number Of Occupants [](Hourly)",'Eplus results'!$1:$1048576,ROW(),FALSE)</f>
        <v>0</v>
      </c>
      <c r="AC6550" s="580">
        <f>HLOOKUP("*"&amp;'Output annual'!$AC$2&amp;'Output annual'!$AD$2&amp;"*FangerPMV(Hourly)",'Eplus results'!$1:$1048576,ROW(),FALSE)</f>
        <v>0</v>
      </c>
      <c r="AD6550" s="580">
        <f t="shared" si="546"/>
        <v>5</v>
      </c>
      <c r="AE6550" s="580">
        <f t="shared" si="547"/>
        <v>2.5</v>
      </c>
      <c r="AF6550" s="580">
        <f t="shared" si="548"/>
        <v>2.5</v>
      </c>
      <c r="AG6550" s="580">
        <f t="shared" si="549"/>
        <v>0</v>
      </c>
      <c r="AH6550" s="580">
        <f t="shared" si="550"/>
        <v>0</v>
      </c>
    </row>
    <row r="6551" spans="28:34">
      <c r="AB6551" s="580">
        <f>HLOOKUP("*"&amp;'Output annual'!$AC$2&amp;'Output annual'!$AD$2&amp;"*Zone People Number Of Occupants [](Hourly)",'Eplus results'!$1:$1048576,ROW(),FALSE)</f>
        <v>0</v>
      </c>
      <c r="AC6551" s="580">
        <f>HLOOKUP("*"&amp;'Output annual'!$AC$2&amp;'Output annual'!$AD$2&amp;"*FangerPMV(Hourly)",'Eplus results'!$1:$1048576,ROW(),FALSE)</f>
        <v>0</v>
      </c>
      <c r="AD6551" s="580">
        <f t="shared" si="546"/>
        <v>5</v>
      </c>
      <c r="AE6551" s="580">
        <f t="shared" si="547"/>
        <v>2.5</v>
      </c>
      <c r="AF6551" s="580">
        <f t="shared" si="548"/>
        <v>2.5</v>
      </c>
      <c r="AG6551" s="580">
        <f t="shared" si="549"/>
        <v>0</v>
      </c>
      <c r="AH6551" s="580">
        <f t="shared" si="550"/>
        <v>0</v>
      </c>
    </row>
    <row r="6552" spans="28:34">
      <c r="AB6552" s="580">
        <f>HLOOKUP("*"&amp;'Output annual'!$AC$2&amp;'Output annual'!$AD$2&amp;"*Zone People Number Of Occupants [](Hourly)",'Eplus results'!$1:$1048576,ROW(),FALSE)</f>
        <v>0</v>
      </c>
      <c r="AC6552" s="580">
        <f>HLOOKUP("*"&amp;'Output annual'!$AC$2&amp;'Output annual'!$AD$2&amp;"*FangerPMV(Hourly)",'Eplus results'!$1:$1048576,ROW(),FALSE)</f>
        <v>0</v>
      </c>
      <c r="AD6552" s="580">
        <f t="shared" si="546"/>
        <v>5</v>
      </c>
      <c r="AE6552" s="580">
        <f t="shared" si="547"/>
        <v>2.5</v>
      </c>
      <c r="AF6552" s="580">
        <f t="shared" si="548"/>
        <v>2.5</v>
      </c>
      <c r="AG6552" s="580">
        <f t="shared" si="549"/>
        <v>0</v>
      </c>
      <c r="AH6552" s="580">
        <f t="shared" si="550"/>
        <v>0</v>
      </c>
    </row>
    <row r="6553" spans="28:34">
      <c r="AB6553" s="580">
        <f>HLOOKUP("*"&amp;'Output annual'!$AC$2&amp;'Output annual'!$AD$2&amp;"*Zone People Number Of Occupants [](Hourly)",'Eplus results'!$1:$1048576,ROW(),FALSE)</f>
        <v>0</v>
      </c>
      <c r="AC6553" s="580">
        <f>HLOOKUP("*"&amp;'Output annual'!$AC$2&amp;'Output annual'!$AD$2&amp;"*FangerPMV(Hourly)",'Eplus results'!$1:$1048576,ROW(),FALSE)</f>
        <v>0</v>
      </c>
      <c r="AD6553" s="580">
        <f t="shared" si="546"/>
        <v>5</v>
      </c>
      <c r="AE6553" s="580">
        <f t="shared" si="547"/>
        <v>2.5</v>
      </c>
      <c r="AF6553" s="580">
        <f t="shared" si="548"/>
        <v>2.5</v>
      </c>
      <c r="AG6553" s="580">
        <f t="shared" si="549"/>
        <v>0</v>
      </c>
      <c r="AH6553" s="580">
        <f t="shared" si="550"/>
        <v>0</v>
      </c>
    </row>
    <row r="6554" spans="28:34">
      <c r="AB6554" s="580">
        <f>HLOOKUP("*"&amp;'Output annual'!$AC$2&amp;'Output annual'!$AD$2&amp;"*Zone People Number Of Occupants [](Hourly)",'Eplus results'!$1:$1048576,ROW(),FALSE)</f>
        <v>0</v>
      </c>
      <c r="AC6554" s="580">
        <f>HLOOKUP("*"&amp;'Output annual'!$AC$2&amp;'Output annual'!$AD$2&amp;"*FangerPMV(Hourly)",'Eplus results'!$1:$1048576,ROW(),FALSE)</f>
        <v>0</v>
      </c>
      <c r="AD6554" s="580">
        <f t="shared" si="546"/>
        <v>5</v>
      </c>
      <c r="AE6554" s="580">
        <f t="shared" si="547"/>
        <v>2.5</v>
      </c>
      <c r="AF6554" s="580">
        <f t="shared" si="548"/>
        <v>2.5</v>
      </c>
      <c r="AG6554" s="580">
        <f t="shared" si="549"/>
        <v>0</v>
      </c>
      <c r="AH6554" s="580">
        <f t="shared" si="550"/>
        <v>0</v>
      </c>
    </row>
    <row r="6555" spans="28:34">
      <c r="AB6555" s="580">
        <f>HLOOKUP("*"&amp;'Output annual'!$AC$2&amp;'Output annual'!$AD$2&amp;"*Zone People Number Of Occupants [](Hourly)",'Eplus results'!$1:$1048576,ROW(),FALSE)</f>
        <v>0</v>
      </c>
      <c r="AC6555" s="580">
        <f>HLOOKUP("*"&amp;'Output annual'!$AC$2&amp;'Output annual'!$AD$2&amp;"*FangerPMV(Hourly)",'Eplus results'!$1:$1048576,ROW(),FALSE)</f>
        <v>0</v>
      </c>
      <c r="AD6555" s="580">
        <f t="shared" si="546"/>
        <v>5</v>
      </c>
      <c r="AE6555" s="580">
        <f t="shared" si="547"/>
        <v>2.5</v>
      </c>
      <c r="AF6555" s="580">
        <f t="shared" si="548"/>
        <v>2.5</v>
      </c>
      <c r="AG6555" s="580">
        <f t="shared" si="549"/>
        <v>0</v>
      </c>
      <c r="AH6555" s="580">
        <f t="shared" si="550"/>
        <v>0</v>
      </c>
    </row>
    <row r="6556" spans="28:34">
      <c r="AB6556" s="580">
        <f>HLOOKUP("*"&amp;'Output annual'!$AC$2&amp;'Output annual'!$AD$2&amp;"*Zone People Number Of Occupants [](Hourly)",'Eplus results'!$1:$1048576,ROW(),FALSE)</f>
        <v>0</v>
      </c>
      <c r="AC6556" s="580">
        <f>HLOOKUP("*"&amp;'Output annual'!$AC$2&amp;'Output annual'!$AD$2&amp;"*FangerPMV(Hourly)",'Eplus results'!$1:$1048576,ROW(),FALSE)</f>
        <v>0</v>
      </c>
      <c r="AD6556" s="580">
        <f t="shared" si="546"/>
        <v>5</v>
      </c>
      <c r="AE6556" s="580">
        <f t="shared" si="547"/>
        <v>2.5</v>
      </c>
      <c r="AF6556" s="580">
        <f t="shared" si="548"/>
        <v>2.5</v>
      </c>
      <c r="AG6556" s="580">
        <f t="shared" si="549"/>
        <v>0</v>
      </c>
      <c r="AH6556" s="580">
        <f t="shared" si="550"/>
        <v>0</v>
      </c>
    </row>
    <row r="6557" spans="28:34">
      <c r="AB6557" s="580">
        <f>HLOOKUP("*"&amp;'Output annual'!$AC$2&amp;'Output annual'!$AD$2&amp;"*Zone People Number Of Occupants [](Hourly)",'Eplus results'!$1:$1048576,ROW(),FALSE)</f>
        <v>0</v>
      </c>
      <c r="AC6557" s="580">
        <f>HLOOKUP("*"&amp;'Output annual'!$AC$2&amp;'Output annual'!$AD$2&amp;"*FangerPMV(Hourly)",'Eplus results'!$1:$1048576,ROW(),FALSE)</f>
        <v>0</v>
      </c>
      <c r="AD6557" s="580">
        <f t="shared" si="546"/>
        <v>5</v>
      </c>
      <c r="AE6557" s="580">
        <f t="shared" si="547"/>
        <v>2.5</v>
      </c>
      <c r="AF6557" s="580">
        <f t="shared" si="548"/>
        <v>2.5</v>
      </c>
      <c r="AG6557" s="580">
        <f t="shared" si="549"/>
        <v>0</v>
      </c>
      <c r="AH6557" s="580">
        <f t="shared" si="550"/>
        <v>0</v>
      </c>
    </row>
    <row r="6558" spans="28:34">
      <c r="AB6558" s="580">
        <f>HLOOKUP("*"&amp;'Output annual'!$AC$2&amp;'Output annual'!$AD$2&amp;"*Zone People Number Of Occupants [](Hourly)",'Eplus results'!$1:$1048576,ROW(),FALSE)</f>
        <v>0</v>
      </c>
      <c r="AC6558" s="580">
        <f>HLOOKUP("*"&amp;'Output annual'!$AC$2&amp;'Output annual'!$AD$2&amp;"*FangerPMV(Hourly)",'Eplus results'!$1:$1048576,ROW(),FALSE)</f>
        <v>0</v>
      </c>
      <c r="AD6558" s="580">
        <f t="shared" si="546"/>
        <v>5</v>
      </c>
      <c r="AE6558" s="580">
        <f t="shared" si="547"/>
        <v>2.5</v>
      </c>
      <c r="AF6558" s="580">
        <f t="shared" si="548"/>
        <v>2.5</v>
      </c>
      <c r="AG6558" s="580">
        <f t="shared" si="549"/>
        <v>0</v>
      </c>
      <c r="AH6558" s="580">
        <f t="shared" si="550"/>
        <v>0</v>
      </c>
    </row>
    <row r="6559" spans="28:34">
      <c r="AB6559" s="580">
        <f>HLOOKUP("*"&amp;'Output annual'!$AC$2&amp;'Output annual'!$AD$2&amp;"*Zone People Number Of Occupants [](Hourly)",'Eplus results'!$1:$1048576,ROW(),FALSE)</f>
        <v>0</v>
      </c>
      <c r="AC6559" s="580">
        <f>HLOOKUP("*"&amp;'Output annual'!$AC$2&amp;'Output annual'!$AD$2&amp;"*FangerPMV(Hourly)",'Eplus results'!$1:$1048576,ROW(),FALSE)</f>
        <v>0</v>
      </c>
      <c r="AD6559" s="580">
        <f t="shared" si="546"/>
        <v>5</v>
      </c>
      <c r="AE6559" s="580">
        <f t="shared" si="547"/>
        <v>2.5</v>
      </c>
      <c r="AF6559" s="580">
        <f t="shared" si="548"/>
        <v>2.5</v>
      </c>
      <c r="AG6559" s="580">
        <f t="shared" si="549"/>
        <v>0</v>
      </c>
      <c r="AH6559" s="580">
        <f t="shared" si="550"/>
        <v>0</v>
      </c>
    </row>
    <row r="6560" spans="28:34">
      <c r="AB6560" s="580">
        <f>HLOOKUP("*"&amp;'Output annual'!$AC$2&amp;'Output annual'!$AD$2&amp;"*Zone People Number Of Occupants [](Hourly)",'Eplus results'!$1:$1048576,ROW(),FALSE)</f>
        <v>0</v>
      </c>
      <c r="AC6560" s="580">
        <f>HLOOKUP("*"&amp;'Output annual'!$AC$2&amp;'Output annual'!$AD$2&amp;"*FangerPMV(Hourly)",'Eplus results'!$1:$1048576,ROW(),FALSE)</f>
        <v>0</v>
      </c>
      <c r="AD6560" s="580">
        <f t="shared" si="546"/>
        <v>5</v>
      </c>
      <c r="AE6560" s="580">
        <f t="shared" si="547"/>
        <v>2.5</v>
      </c>
      <c r="AF6560" s="580">
        <f t="shared" si="548"/>
        <v>2.5</v>
      </c>
      <c r="AG6560" s="580">
        <f t="shared" si="549"/>
        <v>0</v>
      </c>
      <c r="AH6560" s="580">
        <f t="shared" si="550"/>
        <v>0</v>
      </c>
    </row>
    <row r="6561" spans="28:34">
      <c r="AB6561" s="580">
        <f>HLOOKUP("*"&amp;'Output annual'!$AC$2&amp;'Output annual'!$AD$2&amp;"*Zone People Number Of Occupants [](Hourly)",'Eplus results'!$1:$1048576,ROW(),FALSE)</f>
        <v>0</v>
      </c>
      <c r="AC6561" s="580">
        <f>HLOOKUP("*"&amp;'Output annual'!$AC$2&amp;'Output annual'!$AD$2&amp;"*FangerPMV(Hourly)",'Eplus results'!$1:$1048576,ROW(),FALSE)</f>
        <v>0</v>
      </c>
      <c r="AD6561" s="580">
        <f t="shared" si="546"/>
        <v>5</v>
      </c>
      <c r="AE6561" s="580">
        <f t="shared" si="547"/>
        <v>2.5</v>
      </c>
      <c r="AF6561" s="580">
        <f t="shared" si="548"/>
        <v>2.5</v>
      </c>
      <c r="AG6561" s="580">
        <f t="shared" si="549"/>
        <v>0</v>
      </c>
      <c r="AH6561" s="580">
        <f t="shared" si="550"/>
        <v>0</v>
      </c>
    </row>
    <row r="6562" spans="28:34">
      <c r="AB6562" s="580">
        <f>HLOOKUP("*"&amp;'Output annual'!$AC$2&amp;'Output annual'!$AD$2&amp;"*Zone People Number Of Occupants [](Hourly)",'Eplus results'!$1:$1048576,ROW(),FALSE)</f>
        <v>0</v>
      </c>
      <c r="AC6562" s="580">
        <f>HLOOKUP("*"&amp;'Output annual'!$AC$2&amp;'Output annual'!$AD$2&amp;"*FangerPMV(Hourly)",'Eplus results'!$1:$1048576,ROW(),FALSE)</f>
        <v>0</v>
      </c>
      <c r="AD6562" s="580">
        <f t="shared" si="546"/>
        <v>5</v>
      </c>
      <c r="AE6562" s="580">
        <f t="shared" si="547"/>
        <v>2.5</v>
      </c>
      <c r="AF6562" s="580">
        <f t="shared" si="548"/>
        <v>2.5</v>
      </c>
      <c r="AG6562" s="580">
        <f t="shared" si="549"/>
        <v>0</v>
      </c>
      <c r="AH6562" s="580">
        <f t="shared" si="550"/>
        <v>0</v>
      </c>
    </row>
    <row r="6563" spans="28:34">
      <c r="AB6563" s="580">
        <f>HLOOKUP("*"&amp;'Output annual'!$AC$2&amp;'Output annual'!$AD$2&amp;"*Zone People Number Of Occupants [](Hourly)",'Eplus results'!$1:$1048576,ROW(),FALSE)</f>
        <v>0</v>
      </c>
      <c r="AC6563" s="580">
        <f>HLOOKUP("*"&amp;'Output annual'!$AC$2&amp;'Output annual'!$AD$2&amp;"*FangerPMV(Hourly)",'Eplus results'!$1:$1048576,ROW(),FALSE)</f>
        <v>0</v>
      </c>
      <c r="AD6563" s="580">
        <f t="shared" si="546"/>
        <v>5</v>
      </c>
      <c r="AE6563" s="580">
        <f t="shared" si="547"/>
        <v>2.5</v>
      </c>
      <c r="AF6563" s="580">
        <f t="shared" si="548"/>
        <v>2.5</v>
      </c>
      <c r="AG6563" s="580">
        <f t="shared" si="549"/>
        <v>0</v>
      </c>
      <c r="AH6563" s="580">
        <f t="shared" si="550"/>
        <v>0</v>
      </c>
    </row>
    <row r="6564" spans="28:34">
      <c r="AB6564" s="580">
        <f>HLOOKUP("*"&amp;'Output annual'!$AC$2&amp;'Output annual'!$AD$2&amp;"*Zone People Number Of Occupants [](Hourly)",'Eplus results'!$1:$1048576,ROW(),FALSE)</f>
        <v>0</v>
      </c>
      <c r="AC6564" s="580">
        <f>HLOOKUP("*"&amp;'Output annual'!$AC$2&amp;'Output annual'!$AD$2&amp;"*FangerPMV(Hourly)",'Eplus results'!$1:$1048576,ROW(),FALSE)</f>
        <v>0</v>
      </c>
      <c r="AD6564" s="580">
        <f t="shared" si="546"/>
        <v>5</v>
      </c>
      <c r="AE6564" s="580">
        <f t="shared" si="547"/>
        <v>2.5</v>
      </c>
      <c r="AF6564" s="580">
        <f t="shared" si="548"/>
        <v>2.5</v>
      </c>
      <c r="AG6564" s="580">
        <f t="shared" si="549"/>
        <v>0</v>
      </c>
      <c r="AH6564" s="580">
        <f t="shared" si="550"/>
        <v>0</v>
      </c>
    </row>
    <row r="6565" spans="28:34">
      <c r="AB6565" s="580">
        <f>HLOOKUP("*"&amp;'Output annual'!$AC$2&amp;'Output annual'!$AD$2&amp;"*Zone People Number Of Occupants [](Hourly)",'Eplus results'!$1:$1048576,ROW(),FALSE)</f>
        <v>0</v>
      </c>
      <c r="AC6565" s="580">
        <f>HLOOKUP("*"&amp;'Output annual'!$AC$2&amp;'Output annual'!$AD$2&amp;"*FangerPMV(Hourly)",'Eplus results'!$1:$1048576,ROW(),FALSE)</f>
        <v>0</v>
      </c>
      <c r="AD6565" s="580">
        <f t="shared" si="546"/>
        <v>5</v>
      </c>
      <c r="AE6565" s="580">
        <f t="shared" si="547"/>
        <v>2.5</v>
      </c>
      <c r="AF6565" s="580">
        <f t="shared" si="548"/>
        <v>2.5</v>
      </c>
      <c r="AG6565" s="580">
        <f t="shared" si="549"/>
        <v>0</v>
      </c>
      <c r="AH6565" s="580">
        <f t="shared" si="550"/>
        <v>0</v>
      </c>
    </row>
    <row r="6566" spans="28:34">
      <c r="AB6566" s="580">
        <f>HLOOKUP("*"&amp;'Output annual'!$AC$2&amp;'Output annual'!$AD$2&amp;"*Zone People Number Of Occupants [](Hourly)",'Eplus results'!$1:$1048576,ROW(),FALSE)</f>
        <v>0</v>
      </c>
      <c r="AC6566" s="580">
        <f>HLOOKUP("*"&amp;'Output annual'!$AC$2&amp;'Output annual'!$AD$2&amp;"*FangerPMV(Hourly)",'Eplus results'!$1:$1048576,ROW(),FALSE)</f>
        <v>0</v>
      </c>
      <c r="AD6566" s="580">
        <f t="shared" si="546"/>
        <v>5</v>
      </c>
      <c r="AE6566" s="580">
        <f t="shared" si="547"/>
        <v>2.5</v>
      </c>
      <c r="AF6566" s="580">
        <f t="shared" si="548"/>
        <v>2.5</v>
      </c>
      <c r="AG6566" s="580">
        <f t="shared" si="549"/>
        <v>0</v>
      </c>
      <c r="AH6566" s="580">
        <f t="shared" si="550"/>
        <v>0</v>
      </c>
    </row>
    <row r="6567" spans="28:34">
      <c r="AB6567" s="580">
        <f>HLOOKUP("*"&amp;'Output annual'!$AC$2&amp;'Output annual'!$AD$2&amp;"*Zone People Number Of Occupants [](Hourly)",'Eplus results'!$1:$1048576,ROW(),FALSE)</f>
        <v>0</v>
      </c>
      <c r="AC6567" s="580">
        <f>HLOOKUP("*"&amp;'Output annual'!$AC$2&amp;'Output annual'!$AD$2&amp;"*FangerPMV(Hourly)",'Eplus results'!$1:$1048576,ROW(),FALSE)</f>
        <v>0</v>
      </c>
      <c r="AD6567" s="580">
        <f t="shared" si="546"/>
        <v>5</v>
      </c>
      <c r="AE6567" s="580">
        <f t="shared" si="547"/>
        <v>2.5</v>
      </c>
      <c r="AF6567" s="580">
        <f t="shared" si="548"/>
        <v>2.5</v>
      </c>
      <c r="AG6567" s="580">
        <f t="shared" si="549"/>
        <v>0</v>
      </c>
      <c r="AH6567" s="580">
        <f t="shared" si="550"/>
        <v>0</v>
      </c>
    </row>
    <row r="6568" spans="28:34">
      <c r="AB6568" s="580">
        <f>HLOOKUP("*"&amp;'Output annual'!$AC$2&amp;'Output annual'!$AD$2&amp;"*Zone People Number Of Occupants [](Hourly)",'Eplus results'!$1:$1048576,ROW(),FALSE)</f>
        <v>0</v>
      </c>
      <c r="AC6568" s="580">
        <f>HLOOKUP("*"&amp;'Output annual'!$AC$2&amp;'Output annual'!$AD$2&amp;"*FangerPMV(Hourly)",'Eplus results'!$1:$1048576,ROW(),FALSE)</f>
        <v>0</v>
      </c>
      <c r="AD6568" s="580">
        <f t="shared" si="546"/>
        <v>5</v>
      </c>
      <c r="AE6568" s="580">
        <f t="shared" si="547"/>
        <v>2.5</v>
      </c>
      <c r="AF6568" s="580">
        <f t="shared" si="548"/>
        <v>2.5</v>
      </c>
      <c r="AG6568" s="580">
        <f t="shared" si="549"/>
        <v>0</v>
      </c>
      <c r="AH6568" s="580">
        <f t="shared" si="550"/>
        <v>0</v>
      </c>
    </row>
    <row r="6569" spans="28:34">
      <c r="AB6569" s="580">
        <f>HLOOKUP("*"&amp;'Output annual'!$AC$2&amp;'Output annual'!$AD$2&amp;"*Zone People Number Of Occupants [](Hourly)",'Eplus results'!$1:$1048576,ROW(),FALSE)</f>
        <v>0</v>
      </c>
      <c r="AC6569" s="580">
        <f>HLOOKUP("*"&amp;'Output annual'!$AC$2&amp;'Output annual'!$AD$2&amp;"*FangerPMV(Hourly)",'Eplus results'!$1:$1048576,ROW(),FALSE)</f>
        <v>0</v>
      </c>
      <c r="AD6569" s="580">
        <f t="shared" si="546"/>
        <v>5</v>
      </c>
      <c r="AE6569" s="580">
        <f t="shared" si="547"/>
        <v>2.5</v>
      </c>
      <c r="AF6569" s="580">
        <f t="shared" si="548"/>
        <v>2.5</v>
      </c>
      <c r="AG6569" s="580">
        <f t="shared" si="549"/>
        <v>0</v>
      </c>
      <c r="AH6569" s="580">
        <f t="shared" si="550"/>
        <v>0</v>
      </c>
    </row>
    <row r="6570" spans="28:34">
      <c r="AB6570" s="580">
        <f>HLOOKUP("*"&amp;'Output annual'!$AC$2&amp;'Output annual'!$AD$2&amp;"*Zone People Number Of Occupants [](Hourly)",'Eplus results'!$1:$1048576,ROW(),FALSE)</f>
        <v>0</v>
      </c>
      <c r="AC6570" s="580">
        <f>HLOOKUP("*"&amp;'Output annual'!$AC$2&amp;'Output annual'!$AD$2&amp;"*FangerPMV(Hourly)",'Eplus results'!$1:$1048576,ROW(),FALSE)</f>
        <v>0</v>
      </c>
      <c r="AD6570" s="580">
        <f t="shared" si="546"/>
        <v>5</v>
      </c>
      <c r="AE6570" s="580">
        <f t="shared" si="547"/>
        <v>2.5</v>
      </c>
      <c r="AF6570" s="580">
        <f t="shared" si="548"/>
        <v>2.5</v>
      </c>
      <c r="AG6570" s="580">
        <f t="shared" si="549"/>
        <v>0</v>
      </c>
      <c r="AH6570" s="580">
        <f t="shared" si="550"/>
        <v>0</v>
      </c>
    </row>
    <row r="6571" spans="28:34">
      <c r="AB6571" s="580">
        <f>HLOOKUP("*"&amp;'Output annual'!$AC$2&amp;'Output annual'!$AD$2&amp;"*Zone People Number Of Occupants [](Hourly)",'Eplus results'!$1:$1048576,ROW(),FALSE)</f>
        <v>0</v>
      </c>
      <c r="AC6571" s="580">
        <f>HLOOKUP("*"&amp;'Output annual'!$AC$2&amp;'Output annual'!$AD$2&amp;"*FangerPMV(Hourly)",'Eplus results'!$1:$1048576,ROW(),FALSE)</f>
        <v>0</v>
      </c>
      <c r="AD6571" s="580">
        <f t="shared" si="546"/>
        <v>5</v>
      </c>
      <c r="AE6571" s="580">
        <f t="shared" si="547"/>
        <v>2.5</v>
      </c>
      <c r="AF6571" s="580">
        <f t="shared" si="548"/>
        <v>2.5</v>
      </c>
      <c r="AG6571" s="580">
        <f t="shared" si="549"/>
        <v>0</v>
      </c>
      <c r="AH6571" s="580">
        <f t="shared" si="550"/>
        <v>0</v>
      </c>
    </row>
    <row r="6572" spans="28:34">
      <c r="AB6572" s="580">
        <f>HLOOKUP("*"&amp;'Output annual'!$AC$2&amp;'Output annual'!$AD$2&amp;"*Zone People Number Of Occupants [](Hourly)",'Eplus results'!$1:$1048576,ROW(),FALSE)</f>
        <v>0</v>
      </c>
      <c r="AC6572" s="580">
        <f>HLOOKUP("*"&amp;'Output annual'!$AC$2&amp;'Output annual'!$AD$2&amp;"*FangerPMV(Hourly)",'Eplus results'!$1:$1048576,ROW(),FALSE)</f>
        <v>0</v>
      </c>
      <c r="AD6572" s="580">
        <f t="shared" si="546"/>
        <v>5</v>
      </c>
      <c r="AE6572" s="580">
        <f t="shared" si="547"/>
        <v>2.5</v>
      </c>
      <c r="AF6572" s="580">
        <f t="shared" si="548"/>
        <v>2.5</v>
      </c>
      <c r="AG6572" s="580">
        <f t="shared" si="549"/>
        <v>0</v>
      </c>
      <c r="AH6572" s="580">
        <f t="shared" si="550"/>
        <v>0</v>
      </c>
    </row>
    <row r="6573" spans="28:34">
      <c r="AB6573" s="580">
        <f>HLOOKUP("*"&amp;'Output annual'!$AC$2&amp;'Output annual'!$AD$2&amp;"*Zone People Number Of Occupants [](Hourly)",'Eplus results'!$1:$1048576,ROW(),FALSE)</f>
        <v>0</v>
      </c>
      <c r="AC6573" s="580">
        <f>HLOOKUP("*"&amp;'Output annual'!$AC$2&amp;'Output annual'!$AD$2&amp;"*FangerPMV(Hourly)",'Eplus results'!$1:$1048576,ROW(),FALSE)</f>
        <v>0</v>
      </c>
      <c r="AD6573" s="580">
        <f t="shared" si="546"/>
        <v>5</v>
      </c>
      <c r="AE6573" s="580">
        <f t="shared" si="547"/>
        <v>2.5</v>
      </c>
      <c r="AF6573" s="580">
        <f t="shared" si="548"/>
        <v>2.5</v>
      </c>
      <c r="AG6573" s="580">
        <f t="shared" si="549"/>
        <v>0</v>
      </c>
      <c r="AH6573" s="580">
        <f t="shared" si="550"/>
        <v>0</v>
      </c>
    </row>
    <row r="6574" spans="28:34">
      <c r="AB6574" s="580">
        <f>HLOOKUP("*"&amp;'Output annual'!$AC$2&amp;'Output annual'!$AD$2&amp;"*Zone People Number Of Occupants [](Hourly)",'Eplus results'!$1:$1048576,ROW(),FALSE)</f>
        <v>0</v>
      </c>
      <c r="AC6574" s="580">
        <f>HLOOKUP("*"&amp;'Output annual'!$AC$2&amp;'Output annual'!$AD$2&amp;"*FangerPMV(Hourly)",'Eplus results'!$1:$1048576,ROW(),FALSE)</f>
        <v>0</v>
      </c>
      <c r="AD6574" s="580">
        <f t="shared" si="546"/>
        <v>5</v>
      </c>
      <c r="AE6574" s="580">
        <f t="shared" si="547"/>
        <v>2.5</v>
      </c>
      <c r="AF6574" s="580">
        <f t="shared" si="548"/>
        <v>2.5</v>
      </c>
      <c r="AG6574" s="580">
        <f t="shared" si="549"/>
        <v>0</v>
      </c>
      <c r="AH6574" s="580">
        <f t="shared" si="550"/>
        <v>0</v>
      </c>
    </row>
    <row r="6575" spans="28:34">
      <c r="AB6575" s="580">
        <f>HLOOKUP("*"&amp;'Output annual'!$AC$2&amp;'Output annual'!$AD$2&amp;"*Zone People Number Of Occupants [](Hourly)",'Eplus results'!$1:$1048576,ROW(),FALSE)</f>
        <v>0</v>
      </c>
      <c r="AC6575" s="580">
        <f>HLOOKUP("*"&amp;'Output annual'!$AC$2&amp;'Output annual'!$AD$2&amp;"*FangerPMV(Hourly)",'Eplus results'!$1:$1048576,ROW(),FALSE)</f>
        <v>0</v>
      </c>
      <c r="AD6575" s="580">
        <f t="shared" si="546"/>
        <v>5</v>
      </c>
      <c r="AE6575" s="580">
        <f t="shared" si="547"/>
        <v>2.5</v>
      </c>
      <c r="AF6575" s="580">
        <f t="shared" si="548"/>
        <v>2.5</v>
      </c>
      <c r="AG6575" s="580">
        <f t="shared" si="549"/>
        <v>0</v>
      </c>
      <c r="AH6575" s="580">
        <f t="shared" si="550"/>
        <v>0</v>
      </c>
    </row>
    <row r="6576" spans="28:34">
      <c r="AB6576" s="580">
        <f>HLOOKUP("*"&amp;'Output annual'!$AC$2&amp;'Output annual'!$AD$2&amp;"*Zone People Number Of Occupants [](Hourly)",'Eplus results'!$1:$1048576,ROW(),FALSE)</f>
        <v>0</v>
      </c>
      <c r="AC6576" s="580">
        <f>HLOOKUP("*"&amp;'Output annual'!$AC$2&amp;'Output annual'!$AD$2&amp;"*FangerPMV(Hourly)",'Eplus results'!$1:$1048576,ROW(),FALSE)</f>
        <v>0</v>
      </c>
      <c r="AD6576" s="580">
        <f t="shared" si="546"/>
        <v>5</v>
      </c>
      <c r="AE6576" s="580">
        <f t="shared" si="547"/>
        <v>2.5</v>
      </c>
      <c r="AF6576" s="580">
        <f t="shared" si="548"/>
        <v>2.5</v>
      </c>
      <c r="AG6576" s="580">
        <f t="shared" si="549"/>
        <v>0</v>
      </c>
      <c r="AH6576" s="580">
        <f t="shared" si="550"/>
        <v>0</v>
      </c>
    </row>
    <row r="6577" spans="28:34">
      <c r="AB6577" s="580">
        <f>HLOOKUP("*"&amp;'Output annual'!$AC$2&amp;'Output annual'!$AD$2&amp;"*Zone People Number Of Occupants [](Hourly)",'Eplus results'!$1:$1048576,ROW(),FALSE)</f>
        <v>0</v>
      </c>
      <c r="AC6577" s="580">
        <f>HLOOKUP("*"&amp;'Output annual'!$AC$2&amp;'Output annual'!$AD$2&amp;"*FangerPMV(Hourly)",'Eplus results'!$1:$1048576,ROW(),FALSE)</f>
        <v>0</v>
      </c>
      <c r="AD6577" s="580">
        <f t="shared" si="546"/>
        <v>5</v>
      </c>
      <c r="AE6577" s="580">
        <f t="shared" si="547"/>
        <v>2.5</v>
      </c>
      <c r="AF6577" s="580">
        <f t="shared" si="548"/>
        <v>2.5</v>
      </c>
      <c r="AG6577" s="580">
        <f t="shared" si="549"/>
        <v>0</v>
      </c>
      <c r="AH6577" s="580">
        <f t="shared" si="550"/>
        <v>0</v>
      </c>
    </row>
    <row r="6578" spans="28:34">
      <c r="AB6578" s="580">
        <f>HLOOKUP("*"&amp;'Output annual'!$AC$2&amp;'Output annual'!$AD$2&amp;"*Zone People Number Of Occupants [](Hourly)",'Eplus results'!$1:$1048576,ROW(),FALSE)</f>
        <v>0</v>
      </c>
      <c r="AC6578" s="580">
        <f>HLOOKUP("*"&amp;'Output annual'!$AC$2&amp;'Output annual'!$AD$2&amp;"*FangerPMV(Hourly)",'Eplus results'!$1:$1048576,ROW(),FALSE)</f>
        <v>0</v>
      </c>
      <c r="AD6578" s="580">
        <f t="shared" si="546"/>
        <v>5</v>
      </c>
      <c r="AE6578" s="580">
        <f t="shared" si="547"/>
        <v>2.5</v>
      </c>
      <c r="AF6578" s="580">
        <f t="shared" si="548"/>
        <v>2.5</v>
      </c>
      <c r="AG6578" s="580">
        <f t="shared" si="549"/>
        <v>0</v>
      </c>
      <c r="AH6578" s="580">
        <f t="shared" si="550"/>
        <v>0</v>
      </c>
    </row>
    <row r="6579" spans="28:34">
      <c r="AB6579" s="580">
        <f>HLOOKUP("*"&amp;'Output annual'!$AC$2&amp;'Output annual'!$AD$2&amp;"*Zone People Number Of Occupants [](Hourly)",'Eplus results'!$1:$1048576,ROW(),FALSE)</f>
        <v>0</v>
      </c>
      <c r="AC6579" s="580">
        <f>HLOOKUP("*"&amp;'Output annual'!$AC$2&amp;'Output annual'!$AD$2&amp;"*FangerPMV(Hourly)",'Eplus results'!$1:$1048576,ROW(),FALSE)</f>
        <v>0</v>
      </c>
      <c r="AD6579" s="580">
        <f t="shared" si="546"/>
        <v>5</v>
      </c>
      <c r="AE6579" s="580">
        <f t="shared" si="547"/>
        <v>2.5</v>
      </c>
      <c r="AF6579" s="580">
        <f t="shared" si="548"/>
        <v>2.5</v>
      </c>
      <c r="AG6579" s="580">
        <f t="shared" si="549"/>
        <v>0</v>
      </c>
      <c r="AH6579" s="580">
        <f t="shared" si="550"/>
        <v>0</v>
      </c>
    </row>
    <row r="6580" spans="28:34">
      <c r="AB6580" s="580">
        <f>HLOOKUP("*"&amp;'Output annual'!$AC$2&amp;'Output annual'!$AD$2&amp;"*Zone People Number Of Occupants [](Hourly)",'Eplus results'!$1:$1048576,ROW(),FALSE)</f>
        <v>0</v>
      </c>
      <c r="AC6580" s="580">
        <f>HLOOKUP("*"&amp;'Output annual'!$AC$2&amp;'Output annual'!$AD$2&amp;"*FangerPMV(Hourly)",'Eplus results'!$1:$1048576,ROW(),FALSE)</f>
        <v>0</v>
      </c>
      <c r="AD6580" s="580">
        <f t="shared" si="546"/>
        <v>5</v>
      </c>
      <c r="AE6580" s="580">
        <f t="shared" si="547"/>
        <v>2.5</v>
      </c>
      <c r="AF6580" s="580">
        <f t="shared" si="548"/>
        <v>2.5</v>
      </c>
      <c r="AG6580" s="580">
        <f t="shared" si="549"/>
        <v>0</v>
      </c>
      <c r="AH6580" s="580">
        <f t="shared" si="550"/>
        <v>0</v>
      </c>
    </row>
    <row r="6581" spans="28:34">
      <c r="AB6581" s="580">
        <f>HLOOKUP("*"&amp;'Output annual'!$AC$2&amp;'Output annual'!$AD$2&amp;"*Zone People Number Of Occupants [](Hourly)",'Eplus results'!$1:$1048576,ROW(),FALSE)</f>
        <v>0</v>
      </c>
      <c r="AC6581" s="580">
        <f>HLOOKUP("*"&amp;'Output annual'!$AC$2&amp;'Output annual'!$AD$2&amp;"*FangerPMV(Hourly)",'Eplus results'!$1:$1048576,ROW(),FALSE)</f>
        <v>0</v>
      </c>
      <c r="AD6581" s="580">
        <f t="shared" si="546"/>
        <v>5</v>
      </c>
      <c r="AE6581" s="580">
        <f t="shared" si="547"/>
        <v>2.5</v>
      </c>
      <c r="AF6581" s="580">
        <f t="shared" si="548"/>
        <v>2.5</v>
      </c>
      <c r="AG6581" s="580">
        <f t="shared" si="549"/>
        <v>0</v>
      </c>
      <c r="AH6581" s="580">
        <f t="shared" si="550"/>
        <v>0</v>
      </c>
    </row>
    <row r="6582" spans="28:34">
      <c r="AB6582" s="580">
        <f>HLOOKUP("*"&amp;'Output annual'!$AC$2&amp;'Output annual'!$AD$2&amp;"*Zone People Number Of Occupants [](Hourly)",'Eplus results'!$1:$1048576,ROW(),FALSE)</f>
        <v>0</v>
      </c>
      <c r="AC6582" s="580">
        <f>HLOOKUP("*"&amp;'Output annual'!$AC$2&amp;'Output annual'!$AD$2&amp;"*FangerPMV(Hourly)",'Eplus results'!$1:$1048576,ROW(),FALSE)</f>
        <v>0</v>
      </c>
      <c r="AD6582" s="580">
        <f t="shared" si="546"/>
        <v>5</v>
      </c>
      <c r="AE6582" s="580">
        <f t="shared" si="547"/>
        <v>2.5</v>
      </c>
      <c r="AF6582" s="580">
        <f t="shared" si="548"/>
        <v>2.5</v>
      </c>
      <c r="AG6582" s="580">
        <f t="shared" si="549"/>
        <v>0</v>
      </c>
      <c r="AH6582" s="580">
        <f t="shared" si="550"/>
        <v>0</v>
      </c>
    </row>
    <row r="6583" spans="28:34">
      <c r="AB6583" s="580">
        <f>HLOOKUP("*"&amp;'Output annual'!$AC$2&amp;'Output annual'!$AD$2&amp;"*Zone People Number Of Occupants [](Hourly)",'Eplus results'!$1:$1048576,ROW(),FALSE)</f>
        <v>0</v>
      </c>
      <c r="AC6583" s="580">
        <f>HLOOKUP("*"&amp;'Output annual'!$AC$2&amp;'Output annual'!$AD$2&amp;"*FangerPMV(Hourly)",'Eplus results'!$1:$1048576,ROW(),FALSE)</f>
        <v>0</v>
      </c>
      <c r="AD6583" s="580">
        <f t="shared" si="546"/>
        <v>5</v>
      </c>
      <c r="AE6583" s="580">
        <f t="shared" si="547"/>
        <v>2.5</v>
      </c>
      <c r="AF6583" s="580">
        <f t="shared" si="548"/>
        <v>2.5</v>
      </c>
      <c r="AG6583" s="580">
        <f t="shared" si="549"/>
        <v>0</v>
      </c>
      <c r="AH6583" s="580">
        <f t="shared" si="550"/>
        <v>0</v>
      </c>
    </row>
    <row r="6584" spans="28:34">
      <c r="AB6584" s="580">
        <f>HLOOKUP("*"&amp;'Output annual'!$AC$2&amp;'Output annual'!$AD$2&amp;"*Zone People Number Of Occupants [](Hourly)",'Eplus results'!$1:$1048576,ROW(),FALSE)</f>
        <v>0</v>
      </c>
      <c r="AC6584" s="580">
        <f>HLOOKUP("*"&amp;'Output annual'!$AC$2&amp;'Output annual'!$AD$2&amp;"*FangerPMV(Hourly)",'Eplus results'!$1:$1048576,ROW(),FALSE)</f>
        <v>0</v>
      </c>
      <c r="AD6584" s="580">
        <f t="shared" si="546"/>
        <v>5</v>
      </c>
      <c r="AE6584" s="580">
        <f t="shared" si="547"/>
        <v>2.5</v>
      </c>
      <c r="AF6584" s="580">
        <f t="shared" si="548"/>
        <v>2.5</v>
      </c>
      <c r="AG6584" s="580">
        <f t="shared" si="549"/>
        <v>0</v>
      </c>
      <c r="AH6584" s="580">
        <f t="shared" si="550"/>
        <v>0</v>
      </c>
    </row>
    <row r="6585" spans="28:34">
      <c r="AB6585" s="580">
        <f>HLOOKUP("*"&amp;'Output annual'!$AC$2&amp;'Output annual'!$AD$2&amp;"*Zone People Number Of Occupants [](Hourly)",'Eplus results'!$1:$1048576,ROW(),FALSE)</f>
        <v>0</v>
      </c>
      <c r="AC6585" s="580">
        <f>HLOOKUP("*"&amp;'Output annual'!$AC$2&amp;'Output annual'!$AD$2&amp;"*FangerPMV(Hourly)",'Eplus results'!$1:$1048576,ROW(),FALSE)</f>
        <v>0</v>
      </c>
      <c r="AD6585" s="580">
        <f t="shared" si="546"/>
        <v>5</v>
      </c>
      <c r="AE6585" s="580">
        <f t="shared" si="547"/>
        <v>2.5</v>
      </c>
      <c r="AF6585" s="580">
        <f t="shared" si="548"/>
        <v>2.5</v>
      </c>
      <c r="AG6585" s="580">
        <f t="shared" si="549"/>
        <v>0</v>
      </c>
      <c r="AH6585" s="580">
        <f t="shared" si="550"/>
        <v>0</v>
      </c>
    </row>
    <row r="6586" spans="28:34">
      <c r="AB6586" s="580">
        <f>HLOOKUP("*"&amp;'Output annual'!$AC$2&amp;'Output annual'!$AD$2&amp;"*Zone People Number Of Occupants [](Hourly)",'Eplus results'!$1:$1048576,ROW(),FALSE)</f>
        <v>0</v>
      </c>
      <c r="AC6586" s="580">
        <f>HLOOKUP("*"&amp;'Output annual'!$AC$2&amp;'Output annual'!$AD$2&amp;"*FangerPMV(Hourly)",'Eplus results'!$1:$1048576,ROW(),FALSE)</f>
        <v>0</v>
      </c>
      <c r="AD6586" s="580">
        <f t="shared" si="546"/>
        <v>5</v>
      </c>
      <c r="AE6586" s="580">
        <f t="shared" si="547"/>
        <v>2.5</v>
      </c>
      <c r="AF6586" s="580">
        <f t="shared" si="548"/>
        <v>2.5</v>
      </c>
      <c r="AG6586" s="580">
        <f t="shared" si="549"/>
        <v>0</v>
      </c>
      <c r="AH6586" s="580">
        <f t="shared" si="550"/>
        <v>0</v>
      </c>
    </row>
    <row r="6587" spans="28:34">
      <c r="AB6587" s="580">
        <f>HLOOKUP("*"&amp;'Output annual'!$AC$2&amp;'Output annual'!$AD$2&amp;"*Zone People Number Of Occupants [](Hourly)",'Eplus results'!$1:$1048576,ROW(),FALSE)</f>
        <v>0</v>
      </c>
      <c r="AC6587" s="580">
        <f>HLOOKUP("*"&amp;'Output annual'!$AC$2&amp;'Output annual'!$AD$2&amp;"*FangerPMV(Hourly)",'Eplus results'!$1:$1048576,ROW(),FALSE)</f>
        <v>0</v>
      </c>
      <c r="AD6587" s="580">
        <f t="shared" si="546"/>
        <v>5</v>
      </c>
      <c r="AE6587" s="580">
        <f t="shared" si="547"/>
        <v>2.5</v>
      </c>
      <c r="AF6587" s="580">
        <f t="shared" si="548"/>
        <v>2.5</v>
      </c>
      <c r="AG6587" s="580">
        <f t="shared" si="549"/>
        <v>0</v>
      </c>
      <c r="AH6587" s="580">
        <f t="shared" si="550"/>
        <v>0</v>
      </c>
    </row>
    <row r="6588" spans="28:34">
      <c r="AB6588" s="580">
        <f>HLOOKUP("*"&amp;'Output annual'!$AC$2&amp;'Output annual'!$AD$2&amp;"*Zone People Number Of Occupants [](Hourly)",'Eplus results'!$1:$1048576,ROW(),FALSE)</f>
        <v>0</v>
      </c>
      <c r="AC6588" s="580">
        <f>HLOOKUP("*"&amp;'Output annual'!$AC$2&amp;'Output annual'!$AD$2&amp;"*FangerPMV(Hourly)",'Eplus results'!$1:$1048576,ROW(),FALSE)</f>
        <v>0</v>
      </c>
      <c r="AD6588" s="580">
        <f t="shared" si="546"/>
        <v>5</v>
      </c>
      <c r="AE6588" s="580">
        <f t="shared" si="547"/>
        <v>2.5</v>
      </c>
      <c r="AF6588" s="580">
        <f t="shared" si="548"/>
        <v>2.5</v>
      </c>
      <c r="AG6588" s="580">
        <f t="shared" si="549"/>
        <v>0</v>
      </c>
      <c r="AH6588" s="580">
        <f t="shared" si="550"/>
        <v>0</v>
      </c>
    </row>
    <row r="6589" spans="28:34">
      <c r="AB6589" s="580">
        <f>HLOOKUP("*"&amp;'Output annual'!$AC$2&amp;'Output annual'!$AD$2&amp;"*Zone People Number Of Occupants [](Hourly)",'Eplus results'!$1:$1048576,ROW(),FALSE)</f>
        <v>0</v>
      </c>
      <c r="AC6589" s="580">
        <f>HLOOKUP("*"&amp;'Output annual'!$AC$2&amp;'Output annual'!$AD$2&amp;"*FangerPMV(Hourly)",'Eplus results'!$1:$1048576,ROW(),FALSE)</f>
        <v>0</v>
      </c>
      <c r="AD6589" s="580">
        <f t="shared" si="546"/>
        <v>5</v>
      </c>
      <c r="AE6589" s="580">
        <f t="shared" si="547"/>
        <v>2.5</v>
      </c>
      <c r="AF6589" s="580">
        <f t="shared" si="548"/>
        <v>2.5</v>
      </c>
      <c r="AG6589" s="580">
        <f t="shared" si="549"/>
        <v>0</v>
      </c>
      <c r="AH6589" s="580">
        <f t="shared" si="550"/>
        <v>0</v>
      </c>
    </row>
    <row r="6590" spans="28:34">
      <c r="AB6590" s="580">
        <f>HLOOKUP("*"&amp;'Output annual'!$AC$2&amp;'Output annual'!$AD$2&amp;"*Zone People Number Of Occupants [](Hourly)",'Eplus results'!$1:$1048576,ROW(),FALSE)</f>
        <v>0</v>
      </c>
      <c r="AC6590" s="580">
        <f>HLOOKUP("*"&amp;'Output annual'!$AC$2&amp;'Output annual'!$AD$2&amp;"*FangerPMV(Hourly)",'Eplus results'!$1:$1048576,ROW(),FALSE)</f>
        <v>0</v>
      </c>
      <c r="AD6590" s="580">
        <f t="shared" si="546"/>
        <v>5</v>
      </c>
      <c r="AE6590" s="580">
        <f t="shared" si="547"/>
        <v>2.5</v>
      </c>
      <c r="AF6590" s="580">
        <f t="shared" si="548"/>
        <v>2.5</v>
      </c>
      <c r="AG6590" s="580">
        <f t="shared" si="549"/>
        <v>0</v>
      </c>
      <c r="AH6590" s="580">
        <f t="shared" si="550"/>
        <v>0</v>
      </c>
    </row>
    <row r="6591" spans="28:34">
      <c r="AB6591" s="580">
        <f>HLOOKUP("*"&amp;'Output annual'!$AC$2&amp;'Output annual'!$AD$2&amp;"*Zone People Number Of Occupants [](Hourly)",'Eplus results'!$1:$1048576,ROW(),FALSE)</f>
        <v>0</v>
      </c>
      <c r="AC6591" s="580">
        <f>HLOOKUP("*"&amp;'Output annual'!$AC$2&amp;'Output annual'!$AD$2&amp;"*FangerPMV(Hourly)",'Eplus results'!$1:$1048576,ROW(),FALSE)</f>
        <v>0</v>
      </c>
      <c r="AD6591" s="580">
        <f t="shared" si="546"/>
        <v>5</v>
      </c>
      <c r="AE6591" s="580">
        <f t="shared" si="547"/>
        <v>2.5</v>
      </c>
      <c r="AF6591" s="580">
        <f t="shared" si="548"/>
        <v>2.5</v>
      </c>
      <c r="AG6591" s="580">
        <f t="shared" si="549"/>
        <v>0</v>
      </c>
      <c r="AH6591" s="580">
        <f t="shared" si="550"/>
        <v>0</v>
      </c>
    </row>
    <row r="6592" spans="28:34">
      <c r="AB6592" s="580">
        <f>HLOOKUP("*"&amp;'Output annual'!$AC$2&amp;'Output annual'!$AD$2&amp;"*Zone People Number Of Occupants [](Hourly)",'Eplus results'!$1:$1048576,ROW(),FALSE)</f>
        <v>0</v>
      </c>
      <c r="AC6592" s="580">
        <f>HLOOKUP("*"&amp;'Output annual'!$AC$2&amp;'Output annual'!$AD$2&amp;"*FangerPMV(Hourly)",'Eplus results'!$1:$1048576,ROW(),FALSE)</f>
        <v>0</v>
      </c>
      <c r="AD6592" s="580">
        <f t="shared" si="546"/>
        <v>5</v>
      </c>
      <c r="AE6592" s="580">
        <f t="shared" si="547"/>
        <v>2.5</v>
      </c>
      <c r="AF6592" s="580">
        <f t="shared" si="548"/>
        <v>2.5</v>
      </c>
      <c r="AG6592" s="580">
        <f t="shared" si="549"/>
        <v>0</v>
      </c>
      <c r="AH6592" s="580">
        <f t="shared" si="550"/>
        <v>0</v>
      </c>
    </row>
    <row r="6593" spans="28:34">
      <c r="AB6593" s="580">
        <f>HLOOKUP("*"&amp;'Output annual'!$AC$2&amp;'Output annual'!$AD$2&amp;"*Zone People Number Of Occupants [](Hourly)",'Eplus results'!$1:$1048576,ROW(),FALSE)</f>
        <v>0</v>
      </c>
      <c r="AC6593" s="580">
        <f>HLOOKUP("*"&amp;'Output annual'!$AC$2&amp;'Output annual'!$AD$2&amp;"*FangerPMV(Hourly)",'Eplus results'!$1:$1048576,ROW(),FALSE)</f>
        <v>0</v>
      </c>
      <c r="AD6593" s="580">
        <f t="shared" si="546"/>
        <v>5</v>
      </c>
      <c r="AE6593" s="580">
        <f t="shared" si="547"/>
        <v>2.5</v>
      </c>
      <c r="AF6593" s="580">
        <f t="shared" si="548"/>
        <v>2.5</v>
      </c>
      <c r="AG6593" s="580">
        <f t="shared" si="549"/>
        <v>0</v>
      </c>
      <c r="AH6593" s="580">
        <f t="shared" si="550"/>
        <v>0</v>
      </c>
    </row>
    <row r="6594" spans="28:34">
      <c r="AB6594" s="580">
        <f>HLOOKUP("*"&amp;'Output annual'!$AC$2&amp;'Output annual'!$AD$2&amp;"*Zone People Number Of Occupants [](Hourly)",'Eplus results'!$1:$1048576,ROW(),FALSE)</f>
        <v>0</v>
      </c>
      <c r="AC6594" s="580">
        <f>HLOOKUP("*"&amp;'Output annual'!$AC$2&amp;'Output annual'!$AD$2&amp;"*FangerPMV(Hourly)",'Eplus results'!$1:$1048576,ROW(),FALSE)</f>
        <v>0</v>
      </c>
      <c r="AD6594" s="580">
        <f t="shared" si="546"/>
        <v>5</v>
      </c>
      <c r="AE6594" s="580">
        <f t="shared" si="547"/>
        <v>2.5</v>
      </c>
      <c r="AF6594" s="580">
        <f t="shared" si="548"/>
        <v>2.5</v>
      </c>
      <c r="AG6594" s="580">
        <f t="shared" si="549"/>
        <v>0</v>
      </c>
      <c r="AH6594" s="580">
        <f t="shared" si="550"/>
        <v>0</v>
      </c>
    </row>
    <row r="6595" spans="28:34">
      <c r="AB6595" s="580">
        <f>HLOOKUP("*"&amp;'Output annual'!$AC$2&amp;'Output annual'!$AD$2&amp;"*Zone People Number Of Occupants [](Hourly)",'Eplus results'!$1:$1048576,ROW(),FALSE)</f>
        <v>0</v>
      </c>
      <c r="AC6595" s="580">
        <f>HLOOKUP("*"&amp;'Output annual'!$AC$2&amp;'Output annual'!$AD$2&amp;"*FangerPMV(Hourly)",'Eplus results'!$1:$1048576,ROW(),FALSE)</f>
        <v>0</v>
      </c>
      <c r="AD6595" s="580">
        <f t="shared" ref="AD6595:AD6658" si="551">100-95*EXP(-0.03353*AC6595^4-0.2179*AC6595^2)</f>
        <v>5</v>
      </c>
      <c r="AE6595" s="580">
        <f t="shared" ref="AE6595:AE6658" si="552">AD6595*(1/(1+EXP(-6.3*$AC6595)))</f>
        <v>2.5</v>
      </c>
      <c r="AF6595" s="580">
        <f t="shared" ref="AF6595:AF6658" si="553">(AD6595-AE6595)</f>
        <v>2.5</v>
      </c>
      <c r="AG6595" s="580">
        <f t="shared" ref="AG6595:AG6658" si="554">AE6595*AB6595</f>
        <v>0</v>
      </c>
      <c r="AH6595" s="580">
        <f t="shared" ref="AH6595:AH6658" si="555">AF6595*AB6595</f>
        <v>0</v>
      </c>
    </row>
    <row r="6596" spans="28:34">
      <c r="AB6596" s="580">
        <f>HLOOKUP("*"&amp;'Output annual'!$AC$2&amp;'Output annual'!$AD$2&amp;"*Zone People Number Of Occupants [](Hourly)",'Eplus results'!$1:$1048576,ROW(),FALSE)</f>
        <v>0</v>
      </c>
      <c r="AC6596" s="580">
        <f>HLOOKUP("*"&amp;'Output annual'!$AC$2&amp;'Output annual'!$AD$2&amp;"*FangerPMV(Hourly)",'Eplus results'!$1:$1048576,ROW(),FALSE)</f>
        <v>0</v>
      </c>
      <c r="AD6596" s="580">
        <f t="shared" si="551"/>
        <v>5</v>
      </c>
      <c r="AE6596" s="580">
        <f t="shared" si="552"/>
        <v>2.5</v>
      </c>
      <c r="AF6596" s="580">
        <f t="shared" si="553"/>
        <v>2.5</v>
      </c>
      <c r="AG6596" s="580">
        <f t="shared" si="554"/>
        <v>0</v>
      </c>
      <c r="AH6596" s="580">
        <f t="shared" si="555"/>
        <v>0</v>
      </c>
    </row>
    <row r="6597" spans="28:34">
      <c r="AB6597" s="580">
        <f>HLOOKUP("*"&amp;'Output annual'!$AC$2&amp;'Output annual'!$AD$2&amp;"*Zone People Number Of Occupants [](Hourly)",'Eplus results'!$1:$1048576,ROW(),FALSE)</f>
        <v>0</v>
      </c>
      <c r="AC6597" s="580">
        <f>HLOOKUP("*"&amp;'Output annual'!$AC$2&amp;'Output annual'!$AD$2&amp;"*FangerPMV(Hourly)",'Eplus results'!$1:$1048576,ROW(),FALSE)</f>
        <v>0</v>
      </c>
      <c r="AD6597" s="580">
        <f t="shared" si="551"/>
        <v>5</v>
      </c>
      <c r="AE6597" s="580">
        <f t="shared" si="552"/>
        <v>2.5</v>
      </c>
      <c r="AF6597" s="580">
        <f t="shared" si="553"/>
        <v>2.5</v>
      </c>
      <c r="AG6597" s="580">
        <f t="shared" si="554"/>
        <v>0</v>
      </c>
      <c r="AH6597" s="580">
        <f t="shared" si="555"/>
        <v>0</v>
      </c>
    </row>
    <row r="6598" spans="28:34">
      <c r="AB6598" s="580">
        <f>HLOOKUP("*"&amp;'Output annual'!$AC$2&amp;'Output annual'!$AD$2&amp;"*Zone People Number Of Occupants [](Hourly)",'Eplus results'!$1:$1048576,ROW(),FALSE)</f>
        <v>0</v>
      </c>
      <c r="AC6598" s="580">
        <f>HLOOKUP("*"&amp;'Output annual'!$AC$2&amp;'Output annual'!$AD$2&amp;"*FangerPMV(Hourly)",'Eplus results'!$1:$1048576,ROW(),FALSE)</f>
        <v>0</v>
      </c>
      <c r="AD6598" s="580">
        <f t="shared" si="551"/>
        <v>5</v>
      </c>
      <c r="AE6598" s="580">
        <f t="shared" si="552"/>
        <v>2.5</v>
      </c>
      <c r="AF6598" s="580">
        <f t="shared" si="553"/>
        <v>2.5</v>
      </c>
      <c r="AG6598" s="580">
        <f t="shared" si="554"/>
        <v>0</v>
      </c>
      <c r="AH6598" s="580">
        <f t="shared" si="555"/>
        <v>0</v>
      </c>
    </row>
    <row r="6599" spans="28:34">
      <c r="AB6599" s="580">
        <f>HLOOKUP("*"&amp;'Output annual'!$AC$2&amp;'Output annual'!$AD$2&amp;"*Zone People Number Of Occupants [](Hourly)",'Eplus results'!$1:$1048576,ROW(),FALSE)</f>
        <v>0</v>
      </c>
      <c r="AC6599" s="580">
        <f>HLOOKUP("*"&amp;'Output annual'!$AC$2&amp;'Output annual'!$AD$2&amp;"*FangerPMV(Hourly)",'Eplus results'!$1:$1048576,ROW(),FALSE)</f>
        <v>0</v>
      </c>
      <c r="AD6599" s="580">
        <f t="shared" si="551"/>
        <v>5</v>
      </c>
      <c r="AE6599" s="580">
        <f t="shared" si="552"/>
        <v>2.5</v>
      </c>
      <c r="AF6599" s="580">
        <f t="shared" si="553"/>
        <v>2.5</v>
      </c>
      <c r="AG6599" s="580">
        <f t="shared" si="554"/>
        <v>0</v>
      </c>
      <c r="AH6599" s="580">
        <f t="shared" si="555"/>
        <v>0</v>
      </c>
    </row>
    <row r="6600" spans="28:34">
      <c r="AB6600" s="580">
        <f>HLOOKUP("*"&amp;'Output annual'!$AC$2&amp;'Output annual'!$AD$2&amp;"*Zone People Number Of Occupants [](Hourly)",'Eplus results'!$1:$1048576,ROW(),FALSE)</f>
        <v>0</v>
      </c>
      <c r="AC6600" s="580">
        <f>HLOOKUP("*"&amp;'Output annual'!$AC$2&amp;'Output annual'!$AD$2&amp;"*FangerPMV(Hourly)",'Eplus results'!$1:$1048576,ROW(),FALSE)</f>
        <v>0</v>
      </c>
      <c r="AD6600" s="580">
        <f t="shared" si="551"/>
        <v>5</v>
      </c>
      <c r="AE6600" s="580">
        <f t="shared" si="552"/>
        <v>2.5</v>
      </c>
      <c r="AF6600" s="580">
        <f t="shared" si="553"/>
        <v>2.5</v>
      </c>
      <c r="AG6600" s="580">
        <f t="shared" si="554"/>
        <v>0</v>
      </c>
      <c r="AH6600" s="580">
        <f t="shared" si="555"/>
        <v>0</v>
      </c>
    </row>
    <row r="6601" spans="28:34">
      <c r="AB6601" s="580">
        <f>HLOOKUP("*"&amp;'Output annual'!$AC$2&amp;'Output annual'!$AD$2&amp;"*Zone People Number Of Occupants [](Hourly)",'Eplus results'!$1:$1048576,ROW(),FALSE)</f>
        <v>0</v>
      </c>
      <c r="AC6601" s="580">
        <f>HLOOKUP("*"&amp;'Output annual'!$AC$2&amp;'Output annual'!$AD$2&amp;"*FangerPMV(Hourly)",'Eplus results'!$1:$1048576,ROW(),FALSE)</f>
        <v>0</v>
      </c>
      <c r="AD6601" s="580">
        <f t="shared" si="551"/>
        <v>5</v>
      </c>
      <c r="AE6601" s="580">
        <f t="shared" si="552"/>
        <v>2.5</v>
      </c>
      <c r="AF6601" s="580">
        <f t="shared" si="553"/>
        <v>2.5</v>
      </c>
      <c r="AG6601" s="580">
        <f t="shared" si="554"/>
        <v>0</v>
      </c>
      <c r="AH6601" s="580">
        <f t="shared" si="555"/>
        <v>0</v>
      </c>
    </row>
    <row r="6602" spans="28:34">
      <c r="AB6602" s="580">
        <f>HLOOKUP("*"&amp;'Output annual'!$AC$2&amp;'Output annual'!$AD$2&amp;"*Zone People Number Of Occupants [](Hourly)",'Eplus results'!$1:$1048576,ROW(),FALSE)</f>
        <v>0</v>
      </c>
      <c r="AC6602" s="580">
        <f>HLOOKUP("*"&amp;'Output annual'!$AC$2&amp;'Output annual'!$AD$2&amp;"*FangerPMV(Hourly)",'Eplus results'!$1:$1048576,ROW(),FALSE)</f>
        <v>0</v>
      </c>
      <c r="AD6602" s="580">
        <f t="shared" si="551"/>
        <v>5</v>
      </c>
      <c r="AE6602" s="580">
        <f t="shared" si="552"/>
        <v>2.5</v>
      </c>
      <c r="AF6602" s="580">
        <f t="shared" si="553"/>
        <v>2.5</v>
      </c>
      <c r="AG6602" s="580">
        <f t="shared" si="554"/>
        <v>0</v>
      </c>
      <c r="AH6602" s="580">
        <f t="shared" si="555"/>
        <v>0</v>
      </c>
    </row>
    <row r="6603" spans="28:34">
      <c r="AB6603" s="580">
        <f>HLOOKUP("*"&amp;'Output annual'!$AC$2&amp;'Output annual'!$AD$2&amp;"*Zone People Number Of Occupants [](Hourly)",'Eplus results'!$1:$1048576,ROW(),FALSE)</f>
        <v>0</v>
      </c>
      <c r="AC6603" s="580">
        <f>HLOOKUP("*"&amp;'Output annual'!$AC$2&amp;'Output annual'!$AD$2&amp;"*FangerPMV(Hourly)",'Eplus results'!$1:$1048576,ROW(),FALSE)</f>
        <v>0</v>
      </c>
      <c r="AD6603" s="580">
        <f t="shared" si="551"/>
        <v>5</v>
      </c>
      <c r="AE6603" s="580">
        <f t="shared" si="552"/>
        <v>2.5</v>
      </c>
      <c r="AF6603" s="580">
        <f t="shared" si="553"/>
        <v>2.5</v>
      </c>
      <c r="AG6603" s="580">
        <f t="shared" si="554"/>
        <v>0</v>
      </c>
      <c r="AH6603" s="580">
        <f t="shared" si="555"/>
        <v>0</v>
      </c>
    </row>
    <row r="6604" spans="28:34">
      <c r="AB6604" s="580">
        <f>HLOOKUP("*"&amp;'Output annual'!$AC$2&amp;'Output annual'!$AD$2&amp;"*Zone People Number Of Occupants [](Hourly)",'Eplus results'!$1:$1048576,ROW(),FALSE)</f>
        <v>0</v>
      </c>
      <c r="AC6604" s="580">
        <f>HLOOKUP("*"&amp;'Output annual'!$AC$2&amp;'Output annual'!$AD$2&amp;"*FangerPMV(Hourly)",'Eplus results'!$1:$1048576,ROW(),FALSE)</f>
        <v>0</v>
      </c>
      <c r="AD6604" s="580">
        <f t="shared" si="551"/>
        <v>5</v>
      </c>
      <c r="AE6604" s="580">
        <f t="shared" si="552"/>
        <v>2.5</v>
      </c>
      <c r="AF6604" s="580">
        <f t="shared" si="553"/>
        <v>2.5</v>
      </c>
      <c r="AG6604" s="580">
        <f t="shared" si="554"/>
        <v>0</v>
      </c>
      <c r="AH6604" s="580">
        <f t="shared" si="555"/>
        <v>0</v>
      </c>
    </row>
    <row r="6605" spans="28:34">
      <c r="AB6605" s="580">
        <f>HLOOKUP("*"&amp;'Output annual'!$AC$2&amp;'Output annual'!$AD$2&amp;"*Zone People Number Of Occupants [](Hourly)",'Eplus results'!$1:$1048576,ROW(),FALSE)</f>
        <v>0</v>
      </c>
      <c r="AC6605" s="580">
        <f>HLOOKUP("*"&amp;'Output annual'!$AC$2&amp;'Output annual'!$AD$2&amp;"*FangerPMV(Hourly)",'Eplus results'!$1:$1048576,ROW(),FALSE)</f>
        <v>0</v>
      </c>
      <c r="AD6605" s="580">
        <f t="shared" si="551"/>
        <v>5</v>
      </c>
      <c r="AE6605" s="580">
        <f t="shared" si="552"/>
        <v>2.5</v>
      </c>
      <c r="AF6605" s="580">
        <f t="shared" si="553"/>
        <v>2.5</v>
      </c>
      <c r="AG6605" s="580">
        <f t="shared" si="554"/>
        <v>0</v>
      </c>
      <c r="AH6605" s="580">
        <f t="shared" si="555"/>
        <v>0</v>
      </c>
    </row>
    <row r="6606" spans="28:34">
      <c r="AB6606" s="580">
        <f>HLOOKUP("*"&amp;'Output annual'!$AC$2&amp;'Output annual'!$AD$2&amp;"*Zone People Number Of Occupants [](Hourly)",'Eplus results'!$1:$1048576,ROW(),FALSE)</f>
        <v>0</v>
      </c>
      <c r="AC6606" s="580">
        <f>HLOOKUP("*"&amp;'Output annual'!$AC$2&amp;'Output annual'!$AD$2&amp;"*FangerPMV(Hourly)",'Eplus results'!$1:$1048576,ROW(),FALSE)</f>
        <v>0</v>
      </c>
      <c r="AD6606" s="580">
        <f t="shared" si="551"/>
        <v>5</v>
      </c>
      <c r="AE6606" s="580">
        <f t="shared" si="552"/>
        <v>2.5</v>
      </c>
      <c r="AF6606" s="580">
        <f t="shared" si="553"/>
        <v>2.5</v>
      </c>
      <c r="AG6606" s="580">
        <f t="shared" si="554"/>
        <v>0</v>
      </c>
      <c r="AH6606" s="580">
        <f t="shared" si="555"/>
        <v>0</v>
      </c>
    </row>
    <row r="6607" spans="28:34">
      <c r="AB6607" s="580">
        <f>HLOOKUP("*"&amp;'Output annual'!$AC$2&amp;'Output annual'!$AD$2&amp;"*Zone People Number Of Occupants [](Hourly)",'Eplus results'!$1:$1048576,ROW(),FALSE)</f>
        <v>0</v>
      </c>
      <c r="AC6607" s="580">
        <f>HLOOKUP("*"&amp;'Output annual'!$AC$2&amp;'Output annual'!$AD$2&amp;"*FangerPMV(Hourly)",'Eplus results'!$1:$1048576,ROW(),FALSE)</f>
        <v>0</v>
      </c>
      <c r="AD6607" s="580">
        <f t="shared" si="551"/>
        <v>5</v>
      </c>
      <c r="AE6607" s="580">
        <f t="shared" si="552"/>
        <v>2.5</v>
      </c>
      <c r="AF6607" s="580">
        <f t="shared" si="553"/>
        <v>2.5</v>
      </c>
      <c r="AG6607" s="580">
        <f t="shared" si="554"/>
        <v>0</v>
      </c>
      <c r="AH6607" s="580">
        <f t="shared" si="555"/>
        <v>0</v>
      </c>
    </row>
    <row r="6608" spans="28:34">
      <c r="AB6608" s="580">
        <f>HLOOKUP("*"&amp;'Output annual'!$AC$2&amp;'Output annual'!$AD$2&amp;"*Zone People Number Of Occupants [](Hourly)",'Eplus results'!$1:$1048576,ROW(),FALSE)</f>
        <v>0</v>
      </c>
      <c r="AC6608" s="580">
        <f>HLOOKUP("*"&amp;'Output annual'!$AC$2&amp;'Output annual'!$AD$2&amp;"*FangerPMV(Hourly)",'Eplus results'!$1:$1048576,ROW(),FALSE)</f>
        <v>0</v>
      </c>
      <c r="AD6608" s="580">
        <f t="shared" si="551"/>
        <v>5</v>
      </c>
      <c r="AE6608" s="580">
        <f t="shared" si="552"/>
        <v>2.5</v>
      </c>
      <c r="AF6608" s="580">
        <f t="shared" si="553"/>
        <v>2.5</v>
      </c>
      <c r="AG6608" s="580">
        <f t="shared" si="554"/>
        <v>0</v>
      </c>
      <c r="AH6608" s="580">
        <f t="shared" si="555"/>
        <v>0</v>
      </c>
    </row>
    <row r="6609" spans="28:34">
      <c r="AB6609" s="580">
        <f>HLOOKUP("*"&amp;'Output annual'!$AC$2&amp;'Output annual'!$AD$2&amp;"*Zone People Number Of Occupants [](Hourly)",'Eplus results'!$1:$1048576,ROW(),FALSE)</f>
        <v>0</v>
      </c>
      <c r="AC6609" s="580">
        <f>HLOOKUP("*"&amp;'Output annual'!$AC$2&amp;'Output annual'!$AD$2&amp;"*FangerPMV(Hourly)",'Eplus results'!$1:$1048576,ROW(),FALSE)</f>
        <v>0</v>
      </c>
      <c r="AD6609" s="580">
        <f t="shared" si="551"/>
        <v>5</v>
      </c>
      <c r="AE6609" s="580">
        <f t="shared" si="552"/>
        <v>2.5</v>
      </c>
      <c r="AF6609" s="580">
        <f t="shared" si="553"/>
        <v>2.5</v>
      </c>
      <c r="AG6609" s="580">
        <f t="shared" si="554"/>
        <v>0</v>
      </c>
      <c r="AH6609" s="580">
        <f t="shared" si="555"/>
        <v>0</v>
      </c>
    </row>
    <row r="6610" spans="28:34">
      <c r="AB6610" s="580">
        <f>HLOOKUP("*"&amp;'Output annual'!$AC$2&amp;'Output annual'!$AD$2&amp;"*Zone People Number Of Occupants [](Hourly)",'Eplus results'!$1:$1048576,ROW(),FALSE)</f>
        <v>0</v>
      </c>
      <c r="AC6610" s="580">
        <f>HLOOKUP("*"&amp;'Output annual'!$AC$2&amp;'Output annual'!$AD$2&amp;"*FangerPMV(Hourly)",'Eplus results'!$1:$1048576,ROW(),FALSE)</f>
        <v>0</v>
      </c>
      <c r="AD6610" s="580">
        <f t="shared" si="551"/>
        <v>5</v>
      </c>
      <c r="AE6610" s="580">
        <f t="shared" si="552"/>
        <v>2.5</v>
      </c>
      <c r="AF6610" s="580">
        <f t="shared" si="553"/>
        <v>2.5</v>
      </c>
      <c r="AG6610" s="580">
        <f t="shared" si="554"/>
        <v>0</v>
      </c>
      <c r="AH6610" s="580">
        <f t="shared" si="555"/>
        <v>0</v>
      </c>
    </row>
    <row r="6611" spans="28:34">
      <c r="AB6611" s="580">
        <f>HLOOKUP("*"&amp;'Output annual'!$AC$2&amp;'Output annual'!$AD$2&amp;"*Zone People Number Of Occupants [](Hourly)",'Eplus results'!$1:$1048576,ROW(),FALSE)</f>
        <v>0</v>
      </c>
      <c r="AC6611" s="580">
        <f>HLOOKUP("*"&amp;'Output annual'!$AC$2&amp;'Output annual'!$AD$2&amp;"*FangerPMV(Hourly)",'Eplus results'!$1:$1048576,ROW(),FALSE)</f>
        <v>0</v>
      </c>
      <c r="AD6611" s="580">
        <f t="shared" si="551"/>
        <v>5</v>
      </c>
      <c r="AE6611" s="580">
        <f t="shared" si="552"/>
        <v>2.5</v>
      </c>
      <c r="AF6611" s="580">
        <f t="shared" si="553"/>
        <v>2.5</v>
      </c>
      <c r="AG6611" s="580">
        <f t="shared" si="554"/>
        <v>0</v>
      </c>
      <c r="AH6611" s="580">
        <f t="shared" si="555"/>
        <v>0</v>
      </c>
    </row>
    <row r="6612" spans="28:34">
      <c r="AB6612" s="580">
        <f>HLOOKUP("*"&amp;'Output annual'!$AC$2&amp;'Output annual'!$AD$2&amp;"*Zone People Number Of Occupants [](Hourly)",'Eplus results'!$1:$1048576,ROW(),FALSE)</f>
        <v>0</v>
      </c>
      <c r="AC6612" s="580">
        <f>HLOOKUP("*"&amp;'Output annual'!$AC$2&amp;'Output annual'!$AD$2&amp;"*FangerPMV(Hourly)",'Eplus results'!$1:$1048576,ROW(),FALSE)</f>
        <v>0</v>
      </c>
      <c r="AD6612" s="580">
        <f t="shared" si="551"/>
        <v>5</v>
      </c>
      <c r="AE6612" s="580">
        <f t="shared" si="552"/>
        <v>2.5</v>
      </c>
      <c r="AF6612" s="580">
        <f t="shared" si="553"/>
        <v>2.5</v>
      </c>
      <c r="AG6612" s="580">
        <f t="shared" si="554"/>
        <v>0</v>
      </c>
      <c r="AH6612" s="580">
        <f t="shared" si="555"/>
        <v>0</v>
      </c>
    </row>
    <row r="6613" spans="28:34">
      <c r="AB6613" s="580">
        <f>HLOOKUP("*"&amp;'Output annual'!$AC$2&amp;'Output annual'!$AD$2&amp;"*Zone People Number Of Occupants [](Hourly)",'Eplus results'!$1:$1048576,ROW(),FALSE)</f>
        <v>0</v>
      </c>
      <c r="AC6613" s="580">
        <f>HLOOKUP("*"&amp;'Output annual'!$AC$2&amp;'Output annual'!$AD$2&amp;"*FangerPMV(Hourly)",'Eplus results'!$1:$1048576,ROW(),FALSE)</f>
        <v>0</v>
      </c>
      <c r="AD6613" s="580">
        <f t="shared" si="551"/>
        <v>5</v>
      </c>
      <c r="AE6613" s="580">
        <f t="shared" si="552"/>
        <v>2.5</v>
      </c>
      <c r="AF6613" s="580">
        <f t="shared" si="553"/>
        <v>2.5</v>
      </c>
      <c r="AG6613" s="580">
        <f t="shared" si="554"/>
        <v>0</v>
      </c>
      <c r="AH6613" s="580">
        <f t="shared" si="555"/>
        <v>0</v>
      </c>
    </row>
    <row r="6614" spans="28:34">
      <c r="AB6614" s="580">
        <f>HLOOKUP("*"&amp;'Output annual'!$AC$2&amp;'Output annual'!$AD$2&amp;"*Zone People Number Of Occupants [](Hourly)",'Eplus results'!$1:$1048576,ROW(),FALSE)</f>
        <v>0</v>
      </c>
      <c r="AC6614" s="580">
        <f>HLOOKUP("*"&amp;'Output annual'!$AC$2&amp;'Output annual'!$AD$2&amp;"*FangerPMV(Hourly)",'Eplus results'!$1:$1048576,ROW(),FALSE)</f>
        <v>0</v>
      </c>
      <c r="AD6614" s="580">
        <f t="shared" si="551"/>
        <v>5</v>
      </c>
      <c r="AE6614" s="580">
        <f t="shared" si="552"/>
        <v>2.5</v>
      </c>
      <c r="AF6614" s="580">
        <f t="shared" si="553"/>
        <v>2.5</v>
      </c>
      <c r="AG6614" s="580">
        <f t="shared" si="554"/>
        <v>0</v>
      </c>
      <c r="AH6614" s="580">
        <f t="shared" si="555"/>
        <v>0</v>
      </c>
    </row>
    <row r="6615" spans="28:34">
      <c r="AB6615" s="580">
        <f>HLOOKUP("*"&amp;'Output annual'!$AC$2&amp;'Output annual'!$AD$2&amp;"*Zone People Number Of Occupants [](Hourly)",'Eplus results'!$1:$1048576,ROW(),FALSE)</f>
        <v>0</v>
      </c>
      <c r="AC6615" s="580">
        <f>HLOOKUP("*"&amp;'Output annual'!$AC$2&amp;'Output annual'!$AD$2&amp;"*FangerPMV(Hourly)",'Eplus results'!$1:$1048576,ROW(),FALSE)</f>
        <v>0</v>
      </c>
      <c r="AD6615" s="580">
        <f t="shared" si="551"/>
        <v>5</v>
      </c>
      <c r="AE6615" s="580">
        <f t="shared" si="552"/>
        <v>2.5</v>
      </c>
      <c r="AF6615" s="580">
        <f t="shared" si="553"/>
        <v>2.5</v>
      </c>
      <c r="AG6615" s="580">
        <f t="shared" si="554"/>
        <v>0</v>
      </c>
      <c r="AH6615" s="580">
        <f t="shared" si="555"/>
        <v>0</v>
      </c>
    </row>
    <row r="6616" spans="28:34">
      <c r="AB6616" s="580">
        <f>HLOOKUP("*"&amp;'Output annual'!$AC$2&amp;'Output annual'!$AD$2&amp;"*Zone People Number Of Occupants [](Hourly)",'Eplus results'!$1:$1048576,ROW(),FALSE)</f>
        <v>0</v>
      </c>
      <c r="AC6616" s="580">
        <f>HLOOKUP("*"&amp;'Output annual'!$AC$2&amp;'Output annual'!$AD$2&amp;"*FangerPMV(Hourly)",'Eplus results'!$1:$1048576,ROW(),FALSE)</f>
        <v>0</v>
      </c>
      <c r="AD6616" s="580">
        <f t="shared" si="551"/>
        <v>5</v>
      </c>
      <c r="AE6616" s="580">
        <f t="shared" si="552"/>
        <v>2.5</v>
      </c>
      <c r="AF6616" s="580">
        <f t="shared" si="553"/>
        <v>2.5</v>
      </c>
      <c r="AG6616" s="580">
        <f t="shared" si="554"/>
        <v>0</v>
      </c>
      <c r="AH6616" s="580">
        <f t="shared" si="555"/>
        <v>0</v>
      </c>
    </row>
    <row r="6617" spans="28:34">
      <c r="AB6617" s="580">
        <f>HLOOKUP("*"&amp;'Output annual'!$AC$2&amp;'Output annual'!$AD$2&amp;"*Zone People Number Of Occupants [](Hourly)",'Eplus results'!$1:$1048576,ROW(),FALSE)</f>
        <v>0</v>
      </c>
      <c r="AC6617" s="580">
        <f>HLOOKUP("*"&amp;'Output annual'!$AC$2&amp;'Output annual'!$AD$2&amp;"*FangerPMV(Hourly)",'Eplus results'!$1:$1048576,ROW(),FALSE)</f>
        <v>0</v>
      </c>
      <c r="AD6617" s="580">
        <f t="shared" si="551"/>
        <v>5</v>
      </c>
      <c r="AE6617" s="580">
        <f t="shared" si="552"/>
        <v>2.5</v>
      </c>
      <c r="AF6617" s="580">
        <f t="shared" si="553"/>
        <v>2.5</v>
      </c>
      <c r="AG6617" s="580">
        <f t="shared" si="554"/>
        <v>0</v>
      </c>
      <c r="AH6617" s="580">
        <f t="shared" si="555"/>
        <v>0</v>
      </c>
    </row>
    <row r="6618" spans="28:34">
      <c r="AB6618" s="580">
        <f>HLOOKUP("*"&amp;'Output annual'!$AC$2&amp;'Output annual'!$AD$2&amp;"*Zone People Number Of Occupants [](Hourly)",'Eplus results'!$1:$1048576,ROW(),FALSE)</f>
        <v>0</v>
      </c>
      <c r="AC6618" s="580">
        <f>HLOOKUP("*"&amp;'Output annual'!$AC$2&amp;'Output annual'!$AD$2&amp;"*FangerPMV(Hourly)",'Eplus results'!$1:$1048576,ROW(),FALSE)</f>
        <v>0</v>
      </c>
      <c r="AD6618" s="580">
        <f t="shared" si="551"/>
        <v>5</v>
      </c>
      <c r="AE6618" s="580">
        <f t="shared" si="552"/>
        <v>2.5</v>
      </c>
      <c r="AF6618" s="580">
        <f t="shared" si="553"/>
        <v>2.5</v>
      </c>
      <c r="AG6618" s="580">
        <f t="shared" si="554"/>
        <v>0</v>
      </c>
      <c r="AH6618" s="580">
        <f t="shared" si="555"/>
        <v>0</v>
      </c>
    </row>
    <row r="6619" spans="28:34">
      <c r="AB6619" s="580">
        <f>HLOOKUP("*"&amp;'Output annual'!$AC$2&amp;'Output annual'!$AD$2&amp;"*Zone People Number Of Occupants [](Hourly)",'Eplus results'!$1:$1048576,ROW(),FALSE)</f>
        <v>0</v>
      </c>
      <c r="AC6619" s="580">
        <f>HLOOKUP("*"&amp;'Output annual'!$AC$2&amp;'Output annual'!$AD$2&amp;"*FangerPMV(Hourly)",'Eplus results'!$1:$1048576,ROW(),FALSE)</f>
        <v>0</v>
      </c>
      <c r="AD6619" s="580">
        <f t="shared" si="551"/>
        <v>5</v>
      </c>
      <c r="AE6619" s="580">
        <f t="shared" si="552"/>
        <v>2.5</v>
      </c>
      <c r="AF6619" s="580">
        <f t="shared" si="553"/>
        <v>2.5</v>
      </c>
      <c r="AG6619" s="580">
        <f t="shared" si="554"/>
        <v>0</v>
      </c>
      <c r="AH6619" s="580">
        <f t="shared" si="555"/>
        <v>0</v>
      </c>
    </row>
    <row r="6620" spans="28:34">
      <c r="AB6620" s="580">
        <f>HLOOKUP("*"&amp;'Output annual'!$AC$2&amp;'Output annual'!$AD$2&amp;"*Zone People Number Of Occupants [](Hourly)",'Eplus results'!$1:$1048576,ROW(),FALSE)</f>
        <v>0</v>
      </c>
      <c r="AC6620" s="580">
        <f>HLOOKUP("*"&amp;'Output annual'!$AC$2&amp;'Output annual'!$AD$2&amp;"*FangerPMV(Hourly)",'Eplus results'!$1:$1048576,ROW(),FALSE)</f>
        <v>0</v>
      </c>
      <c r="AD6620" s="580">
        <f t="shared" si="551"/>
        <v>5</v>
      </c>
      <c r="AE6620" s="580">
        <f t="shared" si="552"/>
        <v>2.5</v>
      </c>
      <c r="AF6620" s="580">
        <f t="shared" si="553"/>
        <v>2.5</v>
      </c>
      <c r="AG6620" s="580">
        <f t="shared" si="554"/>
        <v>0</v>
      </c>
      <c r="AH6620" s="580">
        <f t="shared" si="555"/>
        <v>0</v>
      </c>
    </row>
    <row r="6621" spans="28:34">
      <c r="AB6621" s="580">
        <f>HLOOKUP("*"&amp;'Output annual'!$AC$2&amp;'Output annual'!$AD$2&amp;"*Zone People Number Of Occupants [](Hourly)",'Eplus results'!$1:$1048576,ROW(),FALSE)</f>
        <v>0</v>
      </c>
      <c r="AC6621" s="580">
        <f>HLOOKUP("*"&amp;'Output annual'!$AC$2&amp;'Output annual'!$AD$2&amp;"*FangerPMV(Hourly)",'Eplus results'!$1:$1048576,ROW(),FALSE)</f>
        <v>0</v>
      </c>
      <c r="AD6621" s="580">
        <f t="shared" si="551"/>
        <v>5</v>
      </c>
      <c r="AE6621" s="580">
        <f t="shared" si="552"/>
        <v>2.5</v>
      </c>
      <c r="AF6621" s="580">
        <f t="shared" si="553"/>
        <v>2.5</v>
      </c>
      <c r="AG6621" s="580">
        <f t="shared" si="554"/>
        <v>0</v>
      </c>
      <c r="AH6621" s="580">
        <f t="shared" si="555"/>
        <v>0</v>
      </c>
    </row>
    <row r="6622" spans="28:34">
      <c r="AB6622" s="580">
        <f>HLOOKUP("*"&amp;'Output annual'!$AC$2&amp;'Output annual'!$AD$2&amp;"*Zone People Number Of Occupants [](Hourly)",'Eplus results'!$1:$1048576,ROW(),FALSE)</f>
        <v>0</v>
      </c>
      <c r="AC6622" s="580">
        <f>HLOOKUP("*"&amp;'Output annual'!$AC$2&amp;'Output annual'!$AD$2&amp;"*FangerPMV(Hourly)",'Eplus results'!$1:$1048576,ROW(),FALSE)</f>
        <v>0</v>
      </c>
      <c r="AD6622" s="580">
        <f t="shared" si="551"/>
        <v>5</v>
      </c>
      <c r="AE6622" s="580">
        <f t="shared" si="552"/>
        <v>2.5</v>
      </c>
      <c r="AF6622" s="580">
        <f t="shared" si="553"/>
        <v>2.5</v>
      </c>
      <c r="AG6622" s="580">
        <f t="shared" si="554"/>
        <v>0</v>
      </c>
      <c r="AH6622" s="580">
        <f t="shared" si="555"/>
        <v>0</v>
      </c>
    </row>
    <row r="6623" spans="28:34">
      <c r="AB6623" s="580">
        <f>HLOOKUP("*"&amp;'Output annual'!$AC$2&amp;'Output annual'!$AD$2&amp;"*Zone People Number Of Occupants [](Hourly)",'Eplus results'!$1:$1048576,ROW(),FALSE)</f>
        <v>0</v>
      </c>
      <c r="AC6623" s="580">
        <f>HLOOKUP("*"&amp;'Output annual'!$AC$2&amp;'Output annual'!$AD$2&amp;"*FangerPMV(Hourly)",'Eplus results'!$1:$1048576,ROW(),FALSE)</f>
        <v>0</v>
      </c>
      <c r="AD6623" s="580">
        <f t="shared" si="551"/>
        <v>5</v>
      </c>
      <c r="AE6623" s="580">
        <f t="shared" si="552"/>
        <v>2.5</v>
      </c>
      <c r="AF6623" s="580">
        <f t="shared" si="553"/>
        <v>2.5</v>
      </c>
      <c r="AG6623" s="580">
        <f t="shared" si="554"/>
        <v>0</v>
      </c>
      <c r="AH6623" s="580">
        <f t="shared" si="555"/>
        <v>0</v>
      </c>
    </row>
    <row r="6624" spans="28:34">
      <c r="AB6624" s="580">
        <f>HLOOKUP("*"&amp;'Output annual'!$AC$2&amp;'Output annual'!$AD$2&amp;"*Zone People Number Of Occupants [](Hourly)",'Eplus results'!$1:$1048576,ROW(),FALSE)</f>
        <v>0</v>
      </c>
      <c r="AC6624" s="580">
        <f>HLOOKUP("*"&amp;'Output annual'!$AC$2&amp;'Output annual'!$AD$2&amp;"*FangerPMV(Hourly)",'Eplus results'!$1:$1048576,ROW(),FALSE)</f>
        <v>0</v>
      </c>
      <c r="AD6624" s="580">
        <f t="shared" si="551"/>
        <v>5</v>
      </c>
      <c r="AE6624" s="580">
        <f t="shared" si="552"/>
        <v>2.5</v>
      </c>
      <c r="AF6624" s="580">
        <f t="shared" si="553"/>
        <v>2.5</v>
      </c>
      <c r="AG6624" s="580">
        <f t="shared" si="554"/>
        <v>0</v>
      </c>
      <c r="AH6624" s="580">
        <f t="shared" si="555"/>
        <v>0</v>
      </c>
    </row>
    <row r="6625" spans="28:34">
      <c r="AB6625" s="580">
        <f>HLOOKUP("*"&amp;'Output annual'!$AC$2&amp;'Output annual'!$AD$2&amp;"*Zone People Number Of Occupants [](Hourly)",'Eplus results'!$1:$1048576,ROW(),FALSE)</f>
        <v>0</v>
      </c>
      <c r="AC6625" s="580">
        <f>HLOOKUP("*"&amp;'Output annual'!$AC$2&amp;'Output annual'!$AD$2&amp;"*FangerPMV(Hourly)",'Eplus results'!$1:$1048576,ROW(),FALSE)</f>
        <v>0</v>
      </c>
      <c r="AD6625" s="580">
        <f t="shared" si="551"/>
        <v>5</v>
      </c>
      <c r="AE6625" s="580">
        <f t="shared" si="552"/>
        <v>2.5</v>
      </c>
      <c r="AF6625" s="580">
        <f t="shared" si="553"/>
        <v>2.5</v>
      </c>
      <c r="AG6625" s="580">
        <f t="shared" si="554"/>
        <v>0</v>
      </c>
      <c r="AH6625" s="580">
        <f t="shared" si="555"/>
        <v>0</v>
      </c>
    </row>
    <row r="6626" spans="28:34">
      <c r="AB6626" s="580">
        <f>HLOOKUP("*"&amp;'Output annual'!$AC$2&amp;'Output annual'!$AD$2&amp;"*Zone People Number Of Occupants [](Hourly)",'Eplus results'!$1:$1048576,ROW(),FALSE)</f>
        <v>0</v>
      </c>
      <c r="AC6626" s="580">
        <f>HLOOKUP("*"&amp;'Output annual'!$AC$2&amp;'Output annual'!$AD$2&amp;"*FangerPMV(Hourly)",'Eplus results'!$1:$1048576,ROW(),FALSE)</f>
        <v>0</v>
      </c>
      <c r="AD6626" s="580">
        <f t="shared" si="551"/>
        <v>5</v>
      </c>
      <c r="AE6626" s="580">
        <f t="shared" si="552"/>
        <v>2.5</v>
      </c>
      <c r="AF6626" s="580">
        <f t="shared" si="553"/>
        <v>2.5</v>
      </c>
      <c r="AG6626" s="580">
        <f t="shared" si="554"/>
        <v>0</v>
      </c>
      <c r="AH6626" s="580">
        <f t="shared" si="555"/>
        <v>0</v>
      </c>
    </row>
    <row r="6627" spans="28:34">
      <c r="AB6627" s="580">
        <f>HLOOKUP("*"&amp;'Output annual'!$AC$2&amp;'Output annual'!$AD$2&amp;"*Zone People Number Of Occupants [](Hourly)",'Eplus results'!$1:$1048576,ROW(),FALSE)</f>
        <v>0</v>
      </c>
      <c r="AC6627" s="580">
        <f>HLOOKUP("*"&amp;'Output annual'!$AC$2&amp;'Output annual'!$AD$2&amp;"*FangerPMV(Hourly)",'Eplus results'!$1:$1048576,ROW(),FALSE)</f>
        <v>0</v>
      </c>
      <c r="AD6627" s="580">
        <f t="shared" si="551"/>
        <v>5</v>
      </c>
      <c r="AE6627" s="580">
        <f t="shared" si="552"/>
        <v>2.5</v>
      </c>
      <c r="AF6627" s="580">
        <f t="shared" si="553"/>
        <v>2.5</v>
      </c>
      <c r="AG6627" s="580">
        <f t="shared" si="554"/>
        <v>0</v>
      </c>
      <c r="AH6627" s="580">
        <f t="shared" si="555"/>
        <v>0</v>
      </c>
    </row>
    <row r="6628" spans="28:34">
      <c r="AB6628" s="580">
        <f>HLOOKUP("*"&amp;'Output annual'!$AC$2&amp;'Output annual'!$AD$2&amp;"*Zone People Number Of Occupants [](Hourly)",'Eplus results'!$1:$1048576,ROW(),FALSE)</f>
        <v>0</v>
      </c>
      <c r="AC6628" s="580">
        <f>HLOOKUP("*"&amp;'Output annual'!$AC$2&amp;'Output annual'!$AD$2&amp;"*FangerPMV(Hourly)",'Eplus results'!$1:$1048576,ROW(),FALSE)</f>
        <v>0</v>
      </c>
      <c r="AD6628" s="580">
        <f t="shared" si="551"/>
        <v>5</v>
      </c>
      <c r="AE6628" s="580">
        <f t="shared" si="552"/>
        <v>2.5</v>
      </c>
      <c r="AF6628" s="580">
        <f t="shared" si="553"/>
        <v>2.5</v>
      </c>
      <c r="AG6628" s="580">
        <f t="shared" si="554"/>
        <v>0</v>
      </c>
      <c r="AH6628" s="580">
        <f t="shared" si="555"/>
        <v>0</v>
      </c>
    </row>
    <row r="6629" spans="28:34">
      <c r="AB6629" s="580">
        <f>HLOOKUP("*"&amp;'Output annual'!$AC$2&amp;'Output annual'!$AD$2&amp;"*Zone People Number Of Occupants [](Hourly)",'Eplus results'!$1:$1048576,ROW(),FALSE)</f>
        <v>0</v>
      </c>
      <c r="AC6629" s="580">
        <f>HLOOKUP("*"&amp;'Output annual'!$AC$2&amp;'Output annual'!$AD$2&amp;"*FangerPMV(Hourly)",'Eplus results'!$1:$1048576,ROW(),FALSE)</f>
        <v>0</v>
      </c>
      <c r="AD6629" s="580">
        <f t="shared" si="551"/>
        <v>5</v>
      </c>
      <c r="AE6629" s="580">
        <f t="shared" si="552"/>
        <v>2.5</v>
      </c>
      <c r="AF6629" s="580">
        <f t="shared" si="553"/>
        <v>2.5</v>
      </c>
      <c r="AG6629" s="580">
        <f t="shared" si="554"/>
        <v>0</v>
      </c>
      <c r="AH6629" s="580">
        <f t="shared" si="555"/>
        <v>0</v>
      </c>
    </row>
    <row r="6630" spans="28:34">
      <c r="AB6630" s="580">
        <f>HLOOKUP("*"&amp;'Output annual'!$AC$2&amp;'Output annual'!$AD$2&amp;"*Zone People Number Of Occupants [](Hourly)",'Eplus results'!$1:$1048576,ROW(),FALSE)</f>
        <v>0</v>
      </c>
      <c r="AC6630" s="580">
        <f>HLOOKUP("*"&amp;'Output annual'!$AC$2&amp;'Output annual'!$AD$2&amp;"*FangerPMV(Hourly)",'Eplus results'!$1:$1048576,ROW(),FALSE)</f>
        <v>0</v>
      </c>
      <c r="AD6630" s="580">
        <f t="shared" si="551"/>
        <v>5</v>
      </c>
      <c r="AE6630" s="580">
        <f t="shared" si="552"/>
        <v>2.5</v>
      </c>
      <c r="AF6630" s="580">
        <f t="shared" si="553"/>
        <v>2.5</v>
      </c>
      <c r="AG6630" s="580">
        <f t="shared" si="554"/>
        <v>0</v>
      </c>
      <c r="AH6630" s="580">
        <f t="shared" si="555"/>
        <v>0</v>
      </c>
    </row>
    <row r="6631" spans="28:34">
      <c r="AB6631" s="580">
        <f>HLOOKUP("*"&amp;'Output annual'!$AC$2&amp;'Output annual'!$AD$2&amp;"*Zone People Number Of Occupants [](Hourly)",'Eplus results'!$1:$1048576,ROW(),FALSE)</f>
        <v>0</v>
      </c>
      <c r="AC6631" s="580">
        <f>HLOOKUP("*"&amp;'Output annual'!$AC$2&amp;'Output annual'!$AD$2&amp;"*FangerPMV(Hourly)",'Eplus results'!$1:$1048576,ROW(),FALSE)</f>
        <v>0</v>
      </c>
      <c r="AD6631" s="580">
        <f t="shared" si="551"/>
        <v>5</v>
      </c>
      <c r="AE6631" s="580">
        <f t="shared" si="552"/>
        <v>2.5</v>
      </c>
      <c r="AF6631" s="580">
        <f t="shared" si="553"/>
        <v>2.5</v>
      </c>
      <c r="AG6631" s="580">
        <f t="shared" si="554"/>
        <v>0</v>
      </c>
      <c r="AH6631" s="580">
        <f t="shared" si="555"/>
        <v>0</v>
      </c>
    </row>
    <row r="6632" spans="28:34">
      <c r="AB6632" s="580">
        <f>HLOOKUP("*"&amp;'Output annual'!$AC$2&amp;'Output annual'!$AD$2&amp;"*Zone People Number Of Occupants [](Hourly)",'Eplus results'!$1:$1048576,ROW(),FALSE)</f>
        <v>0</v>
      </c>
      <c r="AC6632" s="580">
        <f>HLOOKUP("*"&amp;'Output annual'!$AC$2&amp;'Output annual'!$AD$2&amp;"*FangerPMV(Hourly)",'Eplus results'!$1:$1048576,ROW(),FALSE)</f>
        <v>0</v>
      </c>
      <c r="AD6632" s="580">
        <f t="shared" si="551"/>
        <v>5</v>
      </c>
      <c r="AE6632" s="580">
        <f t="shared" si="552"/>
        <v>2.5</v>
      </c>
      <c r="AF6632" s="580">
        <f t="shared" si="553"/>
        <v>2.5</v>
      </c>
      <c r="AG6632" s="580">
        <f t="shared" si="554"/>
        <v>0</v>
      </c>
      <c r="AH6632" s="580">
        <f t="shared" si="555"/>
        <v>0</v>
      </c>
    </row>
    <row r="6633" spans="28:34">
      <c r="AB6633" s="580">
        <f>HLOOKUP("*"&amp;'Output annual'!$AC$2&amp;'Output annual'!$AD$2&amp;"*Zone People Number Of Occupants [](Hourly)",'Eplus results'!$1:$1048576,ROW(),FALSE)</f>
        <v>0</v>
      </c>
      <c r="AC6633" s="580">
        <f>HLOOKUP("*"&amp;'Output annual'!$AC$2&amp;'Output annual'!$AD$2&amp;"*FangerPMV(Hourly)",'Eplus results'!$1:$1048576,ROW(),FALSE)</f>
        <v>0</v>
      </c>
      <c r="AD6633" s="580">
        <f t="shared" si="551"/>
        <v>5</v>
      </c>
      <c r="AE6633" s="580">
        <f t="shared" si="552"/>
        <v>2.5</v>
      </c>
      <c r="AF6633" s="580">
        <f t="shared" si="553"/>
        <v>2.5</v>
      </c>
      <c r="AG6633" s="580">
        <f t="shared" si="554"/>
        <v>0</v>
      </c>
      <c r="AH6633" s="580">
        <f t="shared" si="555"/>
        <v>0</v>
      </c>
    </row>
    <row r="6634" spans="28:34">
      <c r="AB6634" s="580">
        <f>HLOOKUP("*"&amp;'Output annual'!$AC$2&amp;'Output annual'!$AD$2&amp;"*Zone People Number Of Occupants [](Hourly)",'Eplus results'!$1:$1048576,ROW(),FALSE)</f>
        <v>0</v>
      </c>
      <c r="AC6634" s="580">
        <f>HLOOKUP("*"&amp;'Output annual'!$AC$2&amp;'Output annual'!$AD$2&amp;"*FangerPMV(Hourly)",'Eplus results'!$1:$1048576,ROW(),FALSE)</f>
        <v>0</v>
      </c>
      <c r="AD6634" s="580">
        <f t="shared" si="551"/>
        <v>5</v>
      </c>
      <c r="AE6634" s="580">
        <f t="shared" si="552"/>
        <v>2.5</v>
      </c>
      <c r="AF6634" s="580">
        <f t="shared" si="553"/>
        <v>2.5</v>
      </c>
      <c r="AG6634" s="580">
        <f t="shared" si="554"/>
        <v>0</v>
      </c>
      <c r="AH6634" s="580">
        <f t="shared" si="555"/>
        <v>0</v>
      </c>
    </row>
    <row r="6635" spans="28:34">
      <c r="AB6635" s="580">
        <f>HLOOKUP("*"&amp;'Output annual'!$AC$2&amp;'Output annual'!$AD$2&amp;"*Zone People Number Of Occupants [](Hourly)",'Eplus results'!$1:$1048576,ROW(),FALSE)</f>
        <v>0</v>
      </c>
      <c r="AC6635" s="580">
        <f>HLOOKUP("*"&amp;'Output annual'!$AC$2&amp;'Output annual'!$AD$2&amp;"*FangerPMV(Hourly)",'Eplus results'!$1:$1048576,ROW(),FALSE)</f>
        <v>0</v>
      </c>
      <c r="AD6635" s="580">
        <f t="shared" si="551"/>
        <v>5</v>
      </c>
      <c r="AE6635" s="580">
        <f t="shared" si="552"/>
        <v>2.5</v>
      </c>
      <c r="AF6635" s="580">
        <f t="shared" si="553"/>
        <v>2.5</v>
      </c>
      <c r="AG6635" s="580">
        <f t="shared" si="554"/>
        <v>0</v>
      </c>
      <c r="AH6635" s="580">
        <f t="shared" si="555"/>
        <v>0</v>
      </c>
    </row>
    <row r="6636" spans="28:34">
      <c r="AB6636" s="580">
        <f>HLOOKUP("*"&amp;'Output annual'!$AC$2&amp;'Output annual'!$AD$2&amp;"*Zone People Number Of Occupants [](Hourly)",'Eplus results'!$1:$1048576,ROW(),FALSE)</f>
        <v>0</v>
      </c>
      <c r="AC6636" s="580">
        <f>HLOOKUP("*"&amp;'Output annual'!$AC$2&amp;'Output annual'!$AD$2&amp;"*FangerPMV(Hourly)",'Eplus results'!$1:$1048576,ROW(),FALSE)</f>
        <v>0</v>
      </c>
      <c r="AD6636" s="580">
        <f t="shared" si="551"/>
        <v>5</v>
      </c>
      <c r="AE6636" s="580">
        <f t="shared" si="552"/>
        <v>2.5</v>
      </c>
      <c r="AF6636" s="580">
        <f t="shared" si="553"/>
        <v>2.5</v>
      </c>
      <c r="AG6636" s="580">
        <f t="shared" si="554"/>
        <v>0</v>
      </c>
      <c r="AH6636" s="580">
        <f t="shared" si="555"/>
        <v>0</v>
      </c>
    </row>
    <row r="6637" spans="28:34">
      <c r="AB6637" s="580">
        <f>HLOOKUP("*"&amp;'Output annual'!$AC$2&amp;'Output annual'!$AD$2&amp;"*Zone People Number Of Occupants [](Hourly)",'Eplus results'!$1:$1048576,ROW(),FALSE)</f>
        <v>0</v>
      </c>
      <c r="AC6637" s="580">
        <f>HLOOKUP("*"&amp;'Output annual'!$AC$2&amp;'Output annual'!$AD$2&amp;"*FangerPMV(Hourly)",'Eplus results'!$1:$1048576,ROW(),FALSE)</f>
        <v>0</v>
      </c>
      <c r="AD6637" s="580">
        <f t="shared" si="551"/>
        <v>5</v>
      </c>
      <c r="AE6637" s="580">
        <f t="shared" si="552"/>
        <v>2.5</v>
      </c>
      <c r="AF6637" s="580">
        <f t="shared" si="553"/>
        <v>2.5</v>
      </c>
      <c r="AG6637" s="580">
        <f t="shared" si="554"/>
        <v>0</v>
      </c>
      <c r="AH6637" s="580">
        <f t="shared" si="555"/>
        <v>0</v>
      </c>
    </row>
    <row r="6638" spans="28:34">
      <c r="AB6638" s="580">
        <f>HLOOKUP("*"&amp;'Output annual'!$AC$2&amp;'Output annual'!$AD$2&amp;"*Zone People Number Of Occupants [](Hourly)",'Eplus results'!$1:$1048576,ROW(),FALSE)</f>
        <v>0</v>
      </c>
      <c r="AC6638" s="580">
        <f>HLOOKUP("*"&amp;'Output annual'!$AC$2&amp;'Output annual'!$AD$2&amp;"*FangerPMV(Hourly)",'Eplus results'!$1:$1048576,ROW(),FALSE)</f>
        <v>0</v>
      </c>
      <c r="AD6638" s="580">
        <f t="shared" si="551"/>
        <v>5</v>
      </c>
      <c r="AE6638" s="580">
        <f t="shared" si="552"/>
        <v>2.5</v>
      </c>
      <c r="AF6638" s="580">
        <f t="shared" si="553"/>
        <v>2.5</v>
      </c>
      <c r="AG6638" s="580">
        <f t="shared" si="554"/>
        <v>0</v>
      </c>
      <c r="AH6638" s="580">
        <f t="shared" si="555"/>
        <v>0</v>
      </c>
    </row>
    <row r="6639" spans="28:34">
      <c r="AB6639" s="580">
        <f>HLOOKUP("*"&amp;'Output annual'!$AC$2&amp;'Output annual'!$AD$2&amp;"*Zone People Number Of Occupants [](Hourly)",'Eplus results'!$1:$1048576,ROW(),FALSE)</f>
        <v>0</v>
      </c>
      <c r="AC6639" s="580">
        <f>HLOOKUP("*"&amp;'Output annual'!$AC$2&amp;'Output annual'!$AD$2&amp;"*FangerPMV(Hourly)",'Eplus results'!$1:$1048576,ROW(),FALSE)</f>
        <v>0</v>
      </c>
      <c r="AD6639" s="580">
        <f t="shared" si="551"/>
        <v>5</v>
      </c>
      <c r="AE6639" s="580">
        <f t="shared" si="552"/>
        <v>2.5</v>
      </c>
      <c r="AF6639" s="580">
        <f t="shared" si="553"/>
        <v>2.5</v>
      </c>
      <c r="AG6639" s="580">
        <f t="shared" si="554"/>
        <v>0</v>
      </c>
      <c r="AH6639" s="580">
        <f t="shared" si="555"/>
        <v>0</v>
      </c>
    </row>
    <row r="6640" spans="28:34">
      <c r="AB6640" s="580">
        <f>HLOOKUP("*"&amp;'Output annual'!$AC$2&amp;'Output annual'!$AD$2&amp;"*Zone People Number Of Occupants [](Hourly)",'Eplus results'!$1:$1048576,ROW(),FALSE)</f>
        <v>0</v>
      </c>
      <c r="AC6640" s="580">
        <f>HLOOKUP("*"&amp;'Output annual'!$AC$2&amp;'Output annual'!$AD$2&amp;"*FangerPMV(Hourly)",'Eplus results'!$1:$1048576,ROW(),FALSE)</f>
        <v>0</v>
      </c>
      <c r="AD6640" s="580">
        <f t="shared" si="551"/>
        <v>5</v>
      </c>
      <c r="AE6640" s="580">
        <f t="shared" si="552"/>
        <v>2.5</v>
      </c>
      <c r="AF6640" s="580">
        <f t="shared" si="553"/>
        <v>2.5</v>
      </c>
      <c r="AG6640" s="580">
        <f t="shared" si="554"/>
        <v>0</v>
      </c>
      <c r="AH6640" s="580">
        <f t="shared" si="555"/>
        <v>0</v>
      </c>
    </row>
    <row r="6641" spans="28:34">
      <c r="AB6641" s="580">
        <f>HLOOKUP("*"&amp;'Output annual'!$AC$2&amp;'Output annual'!$AD$2&amp;"*Zone People Number Of Occupants [](Hourly)",'Eplus results'!$1:$1048576,ROW(),FALSE)</f>
        <v>0</v>
      </c>
      <c r="AC6641" s="580">
        <f>HLOOKUP("*"&amp;'Output annual'!$AC$2&amp;'Output annual'!$AD$2&amp;"*FangerPMV(Hourly)",'Eplus results'!$1:$1048576,ROW(),FALSE)</f>
        <v>0</v>
      </c>
      <c r="AD6641" s="580">
        <f t="shared" si="551"/>
        <v>5</v>
      </c>
      <c r="AE6641" s="580">
        <f t="shared" si="552"/>
        <v>2.5</v>
      </c>
      <c r="AF6641" s="580">
        <f t="shared" si="553"/>
        <v>2.5</v>
      </c>
      <c r="AG6641" s="580">
        <f t="shared" si="554"/>
        <v>0</v>
      </c>
      <c r="AH6641" s="580">
        <f t="shared" si="555"/>
        <v>0</v>
      </c>
    </row>
    <row r="6642" spans="28:34">
      <c r="AB6642" s="580">
        <f>HLOOKUP("*"&amp;'Output annual'!$AC$2&amp;'Output annual'!$AD$2&amp;"*Zone People Number Of Occupants [](Hourly)",'Eplus results'!$1:$1048576,ROW(),FALSE)</f>
        <v>0</v>
      </c>
      <c r="AC6642" s="580">
        <f>HLOOKUP("*"&amp;'Output annual'!$AC$2&amp;'Output annual'!$AD$2&amp;"*FangerPMV(Hourly)",'Eplus results'!$1:$1048576,ROW(),FALSE)</f>
        <v>0</v>
      </c>
      <c r="AD6642" s="580">
        <f t="shared" si="551"/>
        <v>5</v>
      </c>
      <c r="AE6642" s="580">
        <f t="shared" si="552"/>
        <v>2.5</v>
      </c>
      <c r="AF6642" s="580">
        <f t="shared" si="553"/>
        <v>2.5</v>
      </c>
      <c r="AG6642" s="580">
        <f t="shared" si="554"/>
        <v>0</v>
      </c>
      <c r="AH6642" s="580">
        <f t="shared" si="555"/>
        <v>0</v>
      </c>
    </row>
    <row r="6643" spans="28:34">
      <c r="AB6643" s="580">
        <f>HLOOKUP("*"&amp;'Output annual'!$AC$2&amp;'Output annual'!$AD$2&amp;"*Zone People Number Of Occupants [](Hourly)",'Eplus results'!$1:$1048576,ROW(),FALSE)</f>
        <v>0</v>
      </c>
      <c r="AC6643" s="580">
        <f>HLOOKUP("*"&amp;'Output annual'!$AC$2&amp;'Output annual'!$AD$2&amp;"*FangerPMV(Hourly)",'Eplus results'!$1:$1048576,ROW(),FALSE)</f>
        <v>0</v>
      </c>
      <c r="AD6643" s="580">
        <f t="shared" si="551"/>
        <v>5</v>
      </c>
      <c r="AE6643" s="580">
        <f t="shared" si="552"/>
        <v>2.5</v>
      </c>
      <c r="AF6643" s="580">
        <f t="shared" si="553"/>
        <v>2.5</v>
      </c>
      <c r="AG6643" s="580">
        <f t="shared" si="554"/>
        <v>0</v>
      </c>
      <c r="AH6643" s="580">
        <f t="shared" si="555"/>
        <v>0</v>
      </c>
    </row>
    <row r="6644" spans="28:34">
      <c r="AB6644" s="580">
        <f>HLOOKUP("*"&amp;'Output annual'!$AC$2&amp;'Output annual'!$AD$2&amp;"*Zone People Number Of Occupants [](Hourly)",'Eplus results'!$1:$1048576,ROW(),FALSE)</f>
        <v>0</v>
      </c>
      <c r="AC6644" s="580">
        <f>HLOOKUP("*"&amp;'Output annual'!$AC$2&amp;'Output annual'!$AD$2&amp;"*FangerPMV(Hourly)",'Eplus results'!$1:$1048576,ROW(),FALSE)</f>
        <v>0</v>
      </c>
      <c r="AD6644" s="580">
        <f t="shared" si="551"/>
        <v>5</v>
      </c>
      <c r="AE6644" s="580">
        <f t="shared" si="552"/>
        <v>2.5</v>
      </c>
      <c r="AF6644" s="580">
        <f t="shared" si="553"/>
        <v>2.5</v>
      </c>
      <c r="AG6644" s="580">
        <f t="shared" si="554"/>
        <v>0</v>
      </c>
      <c r="AH6644" s="580">
        <f t="shared" si="555"/>
        <v>0</v>
      </c>
    </row>
    <row r="6645" spans="28:34">
      <c r="AB6645" s="580">
        <f>HLOOKUP("*"&amp;'Output annual'!$AC$2&amp;'Output annual'!$AD$2&amp;"*Zone People Number Of Occupants [](Hourly)",'Eplus results'!$1:$1048576,ROW(),FALSE)</f>
        <v>0</v>
      </c>
      <c r="AC6645" s="580">
        <f>HLOOKUP("*"&amp;'Output annual'!$AC$2&amp;'Output annual'!$AD$2&amp;"*FangerPMV(Hourly)",'Eplus results'!$1:$1048576,ROW(),FALSE)</f>
        <v>0</v>
      </c>
      <c r="AD6645" s="580">
        <f t="shared" si="551"/>
        <v>5</v>
      </c>
      <c r="AE6645" s="580">
        <f t="shared" si="552"/>
        <v>2.5</v>
      </c>
      <c r="AF6645" s="580">
        <f t="shared" si="553"/>
        <v>2.5</v>
      </c>
      <c r="AG6645" s="580">
        <f t="shared" si="554"/>
        <v>0</v>
      </c>
      <c r="AH6645" s="580">
        <f t="shared" si="555"/>
        <v>0</v>
      </c>
    </row>
    <row r="6646" spans="28:34">
      <c r="AB6646" s="580">
        <f>HLOOKUP("*"&amp;'Output annual'!$AC$2&amp;'Output annual'!$AD$2&amp;"*Zone People Number Of Occupants [](Hourly)",'Eplus results'!$1:$1048576,ROW(),FALSE)</f>
        <v>0</v>
      </c>
      <c r="AC6646" s="580">
        <f>HLOOKUP("*"&amp;'Output annual'!$AC$2&amp;'Output annual'!$AD$2&amp;"*FangerPMV(Hourly)",'Eplus results'!$1:$1048576,ROW(),FALSE)</f>
        <v>0</v>
      </c>
      <c r="AD6646" s="580">
        <f t="shared" si="551"/>
        <v>5</v>
      </c>
      <c r="AE6646" s="580">
        <f t="shared" si="552"/>
        <v>2.5</v>
      </c>
      <c r="AF6646" s="580">
        <f t="shared" si="553"/>
        <v>2.5</v>
      </c>
      <c r="AG6646" s="580">
        <f t="shared" si="554"/>
        <v>0</v>
      </c>
      <c r="AH6646" s="580">
        <f t="shared" si="555"/>
        <v>0</v>
      </c>
    </row>
    <row r="6647" spans="28:34">
      <c r="AB6647" s="580">
        <f>HLOOKUP("*"&amp;'Output annual'!$AC$2&amp;'Output annual'!$AD$2&amp;"*Zone People Number Of Occupants [](Hourly)",'Eplus results'!$1:$1048576,ROW(),FALSE)</f>
        <v>0</v>
      </c>
      <c r="AC6647" s="580">
        <f>HLOOKUP("*"&amp;'Output annual'!$AC$2&amp;'Output annual'!$AD$2&amp;"*FangerPMV(Hourly)",'Eplus results'!$1:$1048576,ROW(),FALSE)</f>
        <v>0</v>
      </c>
      <c r="AD6647" s="580">
        <f t="shared" si="551"/>
        <v>5</v>
      </c>
      <c r="AE6647" s="580">
        <f t="shared" si="552"/>
        <v>2.5</v>
      </c>
      <c r="AF6647" s="580">
        <f t="shared" si="553"/>
        <v>2.5</v>
      </c>
      <c r="AG6647" s="580">
        <f t="shared" si="554"/>
        <v>0</v>
      </c>
      <c r="AH6647" s="580">
        <f t="shared" si="555"/>
        <v>0</v>
      </c>
    </row>
    <row r="6648" spans="28:34">
      <c r="AB6648" s="580">
        <f>HLOOKUP("*"&amp;'Output annual'!$AC$2&amp;'Output annual'!$AD$2&amp;"*Zone People Number Of Occupants [](Hourly)",'Eplus results'!$1:$1048576,ROW(),FALSE)</f>
        <v>0</v>
      </c>
      <c r="AC6648" s="580">
        <f>HLOOKUP("*"&amp;'Output annual'!$AC$2&amp;'Output annual'!$AD$2&amp;"*FangerPMV(Hourly)",'Eplus results'!$1:$1048576,ROW(),FALSE)</f>
        <v>0</v>
      </c>
      <c r="AD6648" s="580">
        <f t="shared" si="551"/>
        <v>5</v>
      </c>
      <c r="AE6648" s="580">
        <f t="shared" si="552"/>
        <v>2.5</v>
      </c>
      <c r="AF6648" s="580">
        <f t="shared" si="553"/>
        <v>2.5</v>
      </c>
      <c r="AG6648" s="580">
        <f t="shared" si="554"/>
        <v>0</v>
      </c>
      <c r="AH6648" s="580">
        <f t="shared" si="555"/>
        <v>0</v>
      </c>
    </row>
    <row r="6649" spans="28:34">
      <c r="AB6649" s="580">
        <f>HLOOKUP("*"&amp;'Output annual'!$AC$2&amp;'Output annual'!$AD$2&amp;"*Zone People Number Of Occupants [](Hourly)",'Eplus results'!$1:$1048576,ROW(),FALSE)</f>
        <v>0</v>
      </c>
      <c r="AC6649" s="580">
        <f>HLOOKUP("*"&amp;'Output annual'!$AC$2&amp;'Output annual'!$AD$2&amp;"*FangerPMV(Hourly)",'Eplus results'!$1:$1048576,ROW(),FALSE)</f>
        <v>0</v>
      </c>
      <c r="AD6649" s="580">
        <f t="shared" si="551"/>
        <v>5</v>
      </c>
      <c r="AE6649" s="580">
        <f t="shared" si="552"/>
        <v>2.5</v>
      </c>
      <c r="AF6649" s="580">
        <f t="shared" si="553"/>
        <v>2.5</v>
      </c>
      <c r="AG6649" s="580">
        <f t="shared" si="554"/>
        <v>0</v>
      </c>
      <c r="AH6649" s="580">
        <f t="shared" si="555"/>
        <v>0</v>
      </c>
    </row>
    <row r="6650" spans="28:34">
      <c r="AB6650" s="580">
        <f>HLOOKUP("*"&amp;'Output annual'!$AC$2&amp;'Output annual'!$AD$2&amp;"*Zone People Number Of Occupants [](Hourly)",'Eplus results'!$1:$1048576,ROW(),FALSE)</f>
        <v>0</v>
      </c>
      <c r="AC6650" s="580">
        <f>HLOOKUP("*"&amp;'Output annual'!$AC$2&amp;'Output annual'!$AD$2&amp;"*FangerPMV(Hourly)",'Eplus results'!$1:$1048576,ROW(),FALSE)</f>
        <v>0</v>
      </c>
      <c r="AD6650" s="580">
        <f t="shared" si="551"/>
        <v>5</v>
      </c>
      <c r="AE6650" s="580">
        <f t="shared" si="552"/>
        <v>2.5</v>
      </c>
      <c r="AF6650" s="580">
        <f t="shared" si="553"/>
        <v>2.5</v>
      </c>
      <c r="AG6650" s="580">
        <f t="shared" si="554"/>
        <v>0</v>
      </c>
      <c r="AH6650" s="580">
        <f t="shared" si="555"/>
        <v>0</v>
      </c>
    </row>
    <row r="6651" spans="28:34">
      <c r="AB6651" s="580">
        <f>HLOOKUP("*"&amp;'Output annual'!$AC$2&amp;'Output annual'!$AD$2&amp;"*Zone People Number Of Occupants [](Hourly)",'Eplus results'!$1:$1048576,ROW(),FALSE)</f>
        <v>0</v>
      </c>
      <c r="AC6651" s="580">
        <f>HLOOKUP("*"&amp;'Output annual'!$AC$2&amp;'Output annual'!$AD$2&amp;"*FangerPMV(Hourly)",'Eplus results'!$1:$1048576,ROW(),FALSE)</f>
        <v>0</v>
      </c>
      <c r="AD6651" s="580">
        <f t="shared" si="551"/>
        <v>5</v>
      </c>
      <c r="AE6651" s="580">
        <f t="shared" si="552"/>
        <v>2.5</v>
      </c>
      <c r="AF6651" s="580">
        <f t="shared" si="553"/>
        <v>2.5</v>
      </c>
      <c r="AG6651" s="580">
        <f t="shared" si="554"/>
        <v>0</v>
      </c>
      <c r="AH6651" s="580">
        <f t="shared" si="555"/>
        <v>0</v>
      </c>
    </row>
    <row r="6652" spans="28:34">
      <c r="AB6652" s="580">
        <f>HLOOKUP("*"&amp;'Output annual'!$AC$2&amp;'Output annual'!$AD$2&amp;"*Zone People Number Of Occupants [](Hourly)",'Eplus results'!$1:$1048576,ROW(),FALSE)</f>
        <v>0</v>
      </c>
      <c r="AC6652" s="580">
        <f>HLOOKUP("*"&amp;'Output annual'!$AC$2&amp;'Output annual'!$AD$2&amp;"*FangerPMV(Hourly)",'Eplus results'!$1:$1048576,ROW(),FALSE)</f>
        <v>0</v>
      </c>
      <c r="AD6652" s="580">
        <f t="shared" si="551"/>
        <v>5</v>
      </c>
      <c r="AE6652" s="580">
        <f t="shared" si="552"/>
        <v>2.5</v>
      </c>
      <c r="AF6652" s="580">
        <f t="shared" si="553"/>
        <v>2.5</v>
      </c>
      <c r="AG6652" s="580">
        <f t="shared" si="554"/>
        <v>0</v>
      </c>
      <c r="AH6652" s="580">
        <f t="shared" si="555"/>
        <v>0</v>
      </c>
    </row>
    <row r="6653" spans="28:34">
      <c r="AB6653" s="580">
        <f>HLOOKUP("*"&amp;'Output annual'!$AC$2&amp;'Output annual'!$AD$2&amp;"*Zone People Number Of Occupants [](Hourly)",'Eplus results'!$1:$1048576,ROW(),FALSE)</f>
        <v>0</v>
      </c>
      <c r="AC6653" s="580">
        <f>HLOOKUP("*"&amp;'Output annual'!$AC$2&amp;'Output annual'!$AD$2&amp;"*FangerPMV(Hourly)",'Eplus results'!$1:$1048576,ROW(),FALSE)</f>
        <v>0</v>
      </c>
      <c r="AD6653" s="580">
        <f t="shared" si="551"/>
        <v>5</v>
      </c>
      <c r="AE6653" s="580">
        <f t="shared" si="552"/>
        <v>2.5</v>
      </c>
      <c r="AF6653" s="580">
        <f t="shared" si="553"/>
        <v>2.5</v>
      </c>
      <c r="AG6653" s="580">
        <f t="shared" si="554"/>
        <v>0</v>
      </c>
      <c r="AH6653" s="580">
        <f t="shared" si="555"/>
        <v>0</v>
      </c>
    </row>
    <row r="6654" spans="28:34">
      <c r="AB6654" s="580">
        <f>HLOOKUP("*"&amp;'Output annual'!$AC$2&amp;'Output annual'!$AD$2&amp;"*Zone People Number Of Occupants [](Hourly)",'Eplus results'!$1:$1048576,ROW(),FALSE)</f>
        <v>0</v>
      </c>
      <c r="AC6654" s="580">
        <f>HLOOKUP("*"&amp;'Output annual'!$AC$2&amp;'Output annual'!$AD$2&amp;"*FangerPMV(Hourly)",'Eplus results'!$1:$1048576,ROW(),FALSE)</f>
        <v>0</v>
      </c>
      <c r="AD6654" s="580">
        <f t="shared" si="551"/>
        <v>5</v>
      </c>
      <c r="AE6654" s="580">
        <f t="shared" si="552"/>
        <v>2.5</v>
      </c>
      <c r="AF6654" s="580">
        <f t="shared" si="553"/>
        <v>2.5</v>
      </c>
      <c r="AG6654" s="580">
        <f t="shared" si="554"/>
        <v>0</v>
      </c>
      <c r="AH6654" s="580">
        <f t="shared" si="555"/>
        <v>0</v>
      </c>
    </row>
    <row r="6655" spans="28:34">
      <c r="AB6655" s="580">
        <f>HLOOKUP("*"&amp;'Output annual'!$AC$2&amp;'Output annual'!$AD$2&amp;"*Zone People Number Of Occupants [](Hourly)",'Eplus results'!$1:$1048576,ROW(),FALSE)</f>
        <v>0</v>
      </c>
      <c r="AC6655" s="580">
        <f>HLOOKUP("*"&amp;'Output annual'!$AC$2&amp;'Output annual'!$AD$2&amp;"*FangerPMV(Hourly)",'Eplus results'!$1:$1048576,ROW(),FALSE)</f>
        <v>0</v>
      </c>
      <c r="AD6655" s="580">
        <f t="shared" si="551"/>
        <v>5</v>
      </c>
      <c r="AE6655" s="580">
        <f t="shared" si="552"/>
        <v>2.5</v>
      </c>
      <c r="AF6655" s="580">
        <f t="shared" si="553"/>
        <v>2.5</v>
      </c>
      <c r="AG6655" s="580">
        <f t="shared" si="554"/>
        <v>0</v>
      </c>
      <c r="AH6655" s="580">
        <f t="shared" si="555"/>
        <v>0</v>
      </c>
    </row>
    <row r="6656" spans="28:34">
      <c r="AB6656" s="580">
        <f>HLOOKUP("*"&amp;'Output annual'!$AC$2&amp;'Output annual'!$AD$2&amp;"*Zone People Number Of Occupants [](Hourly)",'Eplus results'!$1:$1048576,ROW(),FALSE)</f>
        <v>0</v>
      </c>
      <c r="AC6656" s="580">
        <f>HLOOKUP("*"&amp;'Output annual'!$AC$2&amp;'Output annual'!$AD$2&amp;"*FangerPMV(Hourly)",'Eplus results'!$1:$1048576,ROW(),FALSE)</f>
        <v>0</v>
      </c>
      <c r="AD6656" s="580">
        <f t="shared" si="551"/>
        <v>5</v>
      </c>
      <c r="AE6656" s="580">
        <f t="shared" si="552"/>
        <v>2.5</v>
      </c>
      <c r="AF6656" s="580">
        <f t="shared" si="553"/>
        <v>2.5</v>
      </c>
      <c r="AG6656" s="580">
        <f t="shared" si="554"/>
        <v>0</v>
      </c>
      <c r="AH6656" s="580">
        <f t="shared" si="555"/>
        <v>0</v>
      </c>
    </row>
    <row r="6657" spans="28:34">
      <c r="AB6657" s="580">
        <f>HLOOKUP("*"&amp;'Output annual'!$AC$2&amp;'Output annual'!$AD$2&amp;"*Zone People Number Of Occupants [](Hourly)",'Eplus results'!$1:$1048576,ROW(),FALSE)</f>
        <v>0</v>
      </c>
      <c r="AC6657" s="580">
        <f>HLOOKUP("*"&amp;'Output annual'!$AC$2&amp;'Output annual'!$AD$2&amp;"*FangerPMV(Hourly)",'Eplus results'!$1:$1048576,ROW(),FALSE)</f>
        <v>0</v>
      </c>
      <c r="AD6657" s="580">
        <f t="shared" si="551"/>
        <v>5</v>
      </c>
      <c r="AE6657" s="580">
        <f t="shared" si="552"/>
        <v>2.5</v>
      </c>
      <c r="AF6657" s="580">
        <f t="shared" si="553"/>
        <v>2.5</v>
      </c>
      <c r="AG6657" s="580">
        <f t="shared" si="554"/>
        <v>0</v>
      </c>
      <c r="AH6657" s="580">
        <f t="shared" si="555"/>
        <v>0</v>
      </c>
    </row>
    <row r="6658" spans="28:34">
      <c r="AB6658" s="580">
        <f>HLOOKUP("*"&amp;'Output annual'!$AC$2&amp;'Output annual'!$AD$2&amp;"*Zone People Number Of Occupants [](Hourly)",'Eplus results'!$1:$1048576,ROW(),FALSE)</f>
        <v>0</v>
      </c>
      <c r="AC6658" s="580">
        <f>HLOOKUP("*"&amp;'Output annual'!$AC$2&amp;'Output annual'!$AD$2&amp;"*FangerPMV(Hourly)",'Eplus results'!$1:$1048576,ROW(),FALSE)</f>
        <v>0</v>
      </c>
      <c r="AD6658" s="580">
        <f t="shared" si="551"/>
        <v>5</v>
      </c>
      <c r="AE6658" s="580">
        <f t="shared" si="552"/>
        <v>2.5</v>
      </c>
      <c r="AF6658" s="580">
        <f t="shared" si="553"/>
        <v>2.5</v>
      </c>
      <c r="AG6658" s="580">
        <f t="shared" si="554"/>
        <v>0</v>
      </c>
      <c r="AH6658" s="580">
        <f t="shared" si="555"/>
        <v>0</v>
      </c>
    </row>
    <row r="6659" spans="28:34">
      <c r="AB6659" s="580">
        <f>HLOOKUP("*"&amp;'Output annual'!$AC$2&amp;'Output annual'!$AD$2&amp;"*Zone People Number Of Occupants [](Hourly)",'Eplus results'!$1:$1048576,ROW(),FALSE)</f>
        <v>0</v>
      </c>
      <c r="AC6659" s="580">
        <f>HLOOKUP("*"&amp;'Output annual'!$AC$2&amp;'Output annual'!$AD$2&amp;"*FangerPMV(Hourly)",'Eplus results'!$1:$1048576,ROW(),FALSE)</f>
        <v>0</v>
      </c>
      <c r="AD6659" s="580">
        <f t="shared" ref="AD6659:AD6722" si="556">100-95*EXP(-0.03353*AC6659^4-0.2179*AC6659^2)</f>
        <v>5</v>
      </c>
      <c r="AE6659" s="580">
        <f t="shared" ref="AE6659:AE6722" si="557">AD6659*(1/(1+EXP(-6.3*$AC6659)))</f>
        <v>2.5</v>
      </c>
      <c r="AF6659" s="580">
        <f t="shared" ref="AF6659:AF6722" si="558">(AD6659-AE6659)</f>
        <v>2.5</v>
      </c>
      <c r="AG6659" s="580">
        <f t="shared" ref="AG6659:AG6722" si="559">AE6659*AB6659</f>
        <v>0</v>
      </c>
      <c r="AH6659" s="580">
        <f t="shared" ref="AH6659:AH6722" si="560">AF6659*AB6659</f>
        <v>0</v>
      </c>
    </row>
    <row r="6660" spans="28:34">
      <c r="AB6660" s="580">
        <f>HLOOKUP("*"&amp;'Output annual'!$AC$2&amp;'Output annual'!$AD$2&amp;"*Zone People Number Of Occupants [](Hourly)",'Eplus results'!$1:$1048576,ROW(),FALSE)</f>
        <v>0</v>
      </c>
      <c r="AC6660" s="580">
        <f>HLOOKUP("*"&amp;'Output annual'!$AC$2&amp;'Output annual'!$AD$2&amp;"*FangerPMV(Hourly)",'Eplus results'!$1:$1048576,ROW(),FALSE)</f>
        <v>0</v>
      </c>
      <c r="AD6660" s="580">
        <f t="shared" si="556"/>
        <v>5</v>
      </c>
      <c r="AE6660" s="580">
        <f t="shared" si="557"/>
        <v>2.5</v>
      </c>
      <c r="AF6660" s="580">
        <f t="shared" si="558"/>
        <v>2.5</v>
      </c>
      <c r="AG6660" s="580">
        <f t="shared" si="559"/>
        <v>0</v>
      </c>
      <c r="AH6660" s="580">
        <f t="shared" si="560"/>
        <v>0</v>
      </c>
    </row>
    <row r="6661" spans="28:34">
      <c r="AB6661" s="580">
        <f>HLOOKUP("*"&amp;'Output annual'!$AC$2&amp;'Output annual'!$AD$2&amp;"*Zone People Number Of Occupants [](Hourly)",'Eplus results'!$1:$1048576,ROW(),FALSE)</f>
        <v>0</v>
      </c>
      <c r="AC6661" s="580">
        <f>HLOOKUP("*"&amp;'Output annual'!$AC$2&amp;'Output annual'!$AD$2&amp;"*FangerPMV(Hourly)",'Eplus results'!$1:$1048576,ROW(),FALSE)</f>
        <v>0</v>
      </c>
      <c r="AD6661" s="580">
        <f t="shared" si="556"/>
        <v>5</v>
      </c>
      <c r="AE6661" s="580">
        <f t="shared" si="557"/>
        <v>2.5</v>
      </c>
      <c r="AF6661" s="580">
        <f t="shared" si="558"/>
        <v>2.5</v>
      </c>
      <c r="AG6661" s="580">
        <f t="shared" si="559"/>
        <v>0</v>
      </c>
      <c r="AH6661" s="580">
        <f t="shared" si="560"/>
        <v>0</v>
      </c>
    </row>
    <row r="6662" spans="28:34">
      <c r="AB6662" s="580">
        <f>HLOOKUP("*"&amp;'Output annual'!$AC$2&amp;'Output annual'!$AD$2&amp;"*Zone People Number Of Occupants [](Hourly)",'Eplus results'!$1:$1048576,ROW(),FALSE)</f>
        <v>0</v>
      </c>
      <c r="AC6662" s="580">
        <f>HLOOKUP("*"&amp;'Output annual'!$AC$2&amp;'Output annual'!$AD$2&amp;"*FangerPMV(Hourly)",'Eplus results'!$1:$1048576,ROW(),FALSE)</f>
        <v>0</v>
      </c>
      <c r="AD6662" s="580">
        <f t="shared" si="556"/>
        <v>5</v>
      </c>
      <c r="AE6662" s="580">
        <f t="shared" si="557"/>
        <v>2.5</v>
      </c>
      <c r="AF6662" s="580">
        <f t="shared" si="558"/>
        <v>2.5</v>
      </c>
      <c r="AG6662" s="580">
        <f t="shared" si="559"/>
        <v>0</v>
      </c>
      <c r="AH6662" s="580">
        <f t="shared" si="560"/>
        <v>0</v>
      </c>
    </row>
    <row r="6663" spans="28:34">
      <c r="AB6663" s="580">
        <f>HLOOKUP("*"&amp;'Output annual'!$AC$2&amp;'Output annual'!$AD$2&amp;"*Zone People Number Of Occupants [](Hourly)",'Eplus results'!$1:$1048576,ROW(),FALSE)</f>
        <v>0</v>
      </c>
      <c r="AC6663" s="580">
        <f>HLOOKUP("*"&amp;'Output annual'!$AC$2&amp;'Output annual'!$AD$2&amp;"*FangerPMV(Hourly)",'Eplus results'!$1:$1048576,ROW(),FALSE)</f>
        <v>0</v>
      </c>
      <c r="AD6663" s="580">
        <f t="shared" si="556"/>
        <v>5</v>
      </c>
      <c r="AE6663" s="580">
        <f t="shared" si="557"/>
        <v>2.5</v>
      </c>
      <c r="AF6663" s="580">
        <f t="shared" si="558"/>
        <v>2.5</v>
      </c>
      <c r="AG6663" s="580">
        <f t="shared" si="559"/>
        <v>0</v>
      </c>
      <c r="AH6663" s="580">
        <f t="shared" si="560"/>
        <v>0</v>
      </c>
    </row>
    <row r="6664" spans="28:34">
      <c r="AB6664" s="580">
        <f>HLOOKUP("*"&amp;'Output annual'!$AC$2&amp;'Output annual'!$AD$2&amp;"*Zone People Number Of Occupants [](Hourly)",'Eplus results'!$1:$1048576,ROW(),FALSE)</f>
        <v>0</v>
      </c>
      <c r="AC6664" s="580">
        <f>HLOOKUP("*"&amp;'Output annual'!$AC$2&amp;'Output annual'!$AD$2&amp;"*FangerPMV(Hourly)",'Eplus results'!$1:$1048576,ROW(),FALSE)</f>
        <v>0</v>
      </c>
      <c r="AD6664" s="580">
        <f t="shared" si="556"/>
        <v>5</v>
      </c>
      <c r="AE6664" s="580">
        <f t="shared" si="557"/>
        <v>2.5</v>
      </c>
      <c r="AF6664" s="580">
        <f t="shared" si="558"/>
        <v>2.5</v>
      </c>
      <c r="AG6664" s="580">
        <f t="shared" si="559"/>
        <v>0</v>
      </c>
      <c r="AH6664" s="580">
        <f t="shared" si="560"/>
        <v>0</v>
      </c>
    </row>
    <row r="6665" spans="28:34">
      <c r="AB6665" s="580">
        <f>HLOOKUP("*"&amp;'Output annual'!$AC$2&amp;'Output annual'!$AD$2&amp;"*Zone People Number Of Occupants [](Hourly)",'Eplus results'!$1:$1048576,ROW(),FALSE)</f>
        <v>0</v>
      </c>
      <c r="AC6665" s="580">
        <f>HLOOKUP("*"&amp;'Output annual'!$AC$2&amp;'Output annual'!$AD$2&amp;"*FangerPMV(Hourly)",'Eplus results'!$1:$1048576,ROW(),FALSE)</f>
        <v>0</v>
      </c>
      <c r="AD6665" s="580">
        <f t="shared" si="556"/>
        <v>5</v>
      </c>
      <c r="AE6665" s="580">
        <f t="shared" si="557"/>
        <v>2.5</v>
      </c>
      <c r="AF6665" s="580">
        <f t="shared" si="558"/>
        <v>2.5</v>
      </c>
      <c r="AG6665" s="580">
        <f t="shared" si="559"/>
        <v>0</v>
      </c>
      <c r="AH6665" s="580">
        <f t="shared" si="560"/>
        <v>0</v>
      </c>
    </row>
    <row r="6666" spans="28:34">
      <c r="AB6666" s="580">
        <f>HLOOKUP("*"&amp;'Output annual'!$AC$2&amp;'Output annual'!$AD$2&amp;"*Zone People Number Of Occupants [](Hourly)",'Eplus results'!$1:$1048576,ROW(),FALSE)</f>
        <v>0</v>
      </c>
      <c r="AC6666" s="580">
        <f>HLOOKUP("*"&amp;'Output annual'!$AC$2&amp;'Output annual'!$AD$2&amp;"*FangerPMV(Hourly)",'Eplus results'!$1:$1048576,ROW(),FALSE)</f>
        <v>0</v>
      </c>
      <c r="AD6666" s="580">
        <f t="shared" si="556"/>
        <v>5</v>
      </c>
      <c r="AE6666" s="580">
        <f t="shared" si="557"/>
        <v>2.5</v>
      </c>
      <c r="AF6666" s="580">
        <f t="shared" si="558"/>
        <v>2.5</v>
      </c>
      <c r="AG6666" s="580">
        <f t="shared" si="559"/>
        <v>0</v>
      </c>
      <c r="AH6666" s="580">
        <f t="shared" si="560"/>
        <v>0</v>
      </c>
    </row>
    <row r="6667" spans="28:34">
      <c r="AB6667" s="580">
        <f>HLOOKUP("*"&amp;'Output annual'!$AC$2&amp;'Output annual'!$AD$2&amp;"*Zone People Number Of Occupants [](Hourly)",'Eplus results'!$1:$1048576,ROW(),FALSE)</f>
        <v>0</v>
      </c>
      <c r="AC6667" s="580">
        <f>HLOOKUP("*"&amp;'Output annual'!$AC$2&amp;'Output annual'!$AD$2&amp;"*FangerPMV(Hourly)",'Eplus results'!$1:$1048576,ROW(),FALSE)</f>
        <v>0</v>
      </c>
      <c r="AD6667" s="580">
        <f t="shared" si="556"/>
        <v>5</v>
      </c>
      <c r="AE6667" s="580">
        <f t="shared" si="557"/>
        <v>2.5</v>
      </c>
      <c r="AF6667" s="580">
        <f t="shared" si="558"/>
        <v>2.5</v>
      </c>
      <c r="AG6667" s="580">
        <f t="shared" si="559"/>
        <v>0</v>
      </c>
      <c r="AH6667" s="580">
        <f t="shared" si="560"/>
        <v>0</v>
      </c>
    </row>
    <row r="6668" spans="28:34">
      <c r="AB6668" s="580">
        <f>HLOOKUP("*"&amp;'Output annual'!$AC$2&amp;'Output annual'!$AD$2&amp;"*Zone People Number Of Occupants [](Hourly)",'Eplus results'!$1:$1048576,ROW(),FALSE)</f>
        <v>0</v>
      </c>
      <c r="AC6668" s="580">
        <f>HLOOKUP("*"&amp;'Output annual'!$AC$2&amp;'Output annual'!$AD$2&amp;"*FangerPMV(Hourly)",'Eplus results'!$1:$1048576,ROW(),FALSE)</f>
        <v>0</v>
      </c>
      <c r="AD6668" s="580">
        <f t="shared" si="556"/>
        <v>5</v>
      </c>
      <c r="AE6668" s="580">
        <f t="shared" si="557"/>
        <v>2.5</v>
      </c>
      <c r="AF6668" s="580">
        <f t="shared" si="558"/>
        <v>2.5</v>
      </c>
      <c r="AG6668" s="580">
        <f t="shared" si="559"/>
        <v>0</v>
      </c>
      <c r="AH6668" s="580">
        <f t="shared" si="560"/>
        <v>0</v>
      </c>
    </row>
    <row r="6669" spans="28:34">
      <c r="AB6669" s="580">
        <f>HLOOKUP("*"&amp;'Output annual'!$AC$2&amp;'Output annual'!$AD$2&amp;"*Zone People Number Of Occupants [](Hourly)",'Eplus results'!$1:$1048576,ROW(),FALSE)</f>
        <v>0</v>
      </c>
      <c r="AC6669" s="580">
        <f>HLOOKUP("*"&amp;'Output annual'!$AC$2&amp;'Output annual'!$AD$2&amp;"*FangerPMV(Hourly)",'Eplus results'!$1:$1048576,ROW(),FALSE)</f>
        <v>0</v>
      </c>
      <c r="AD6669" s="580">
        <f t="shared" si="556"/>
        <v>5</v>
      </c>
      <c r="AE6669" s="580">
        <f t="shared" si="557"/>
        <v>2.5</v>
      </c>
      <c r="AF6669" s="580">
        <f t="shared" si="558"/>
        <v>2.5</v>
      </c>
      <c r="AG6669" s="580">
        <f t="shared" si="559"/>
        <v>0</v>
      </c>
      <c r="AH6669" s="580">
        <f t="shared" si="560"/>
        <v>0</v>
      </c>
    </row>
    <row r="6670" spans="28:34">
      <c r="AB6670" s="580">
        <f>HLOOKUP("*"&amp;'Output annual'!$AC$2&amp;'Output annual'!$AD$2&amp;"*Zone People Number Of Occupants [](Hourly)",'Eplus results'!$1:$1048576,ROW(),FALSE)</f>
        <v>0</v>
      </c>
      <c r="AC6670" s="580">
        <f>HLOOKUP("*"&amp;'Output annual'!$AC$2&amp;'Output annual'!$AD$2&amp;"*FangerPMV(Hourly)",'Eplus results'!$1:$1048576,ROW(),FALSE)</f>
        <v>0</v>
      </c>
      <c r="AD6670" s="580">
        <f t="shared" si="556"/>
        <v>5</v>
      </c>
      <c r="AE6670" s="580">
        <f t="shared" si="557"/>
        <v>2.5</v>
      </c>
      <c r="AF6670" s="580">
        <f t="shared" si="558"/>
        <v>2.5</v>
      </c>
      <c r="AG6670" s="580">
        <f t="shared" si="559"/>
        <v>0</v>
      </c>
      <c r="AH6670" s="580">
        <f t="shared" si="560"/>
        <v>0</v>
      </c>
    </row>
    <row r="6671" spans="28:34">
      <c r="AB6671" s="580">
        <f>HLOOKUP("*"&amp;'Output annual'!$AC$2&amp;'Output annual'!$AD$2&amp;"*Zone People Number Of Occupants [](Hourly)",'Eplus results'!$1:$1048576,ROW(),FALSE)</f>
        <v>0</v>
      </c>
      <c r="AC6671" s="580">
        <f>HLOOKUP("*"&amp;'Output annual'!$AC$2&amp;'Output annual'!$AD$2&amp;"*FangerPMV(Hourly)",'Eplus results'!$1:$1048576,ROW(),FALSE)</f>
        <v>0</v>
      </c>
      <c r="AD6671" s="580">
        <f t="shared" si="556"/>
        <v>5</v>
      </c>
      <c r="AE6671" s="580">
        <f t="shared" si="557"/>
        <v>2.5</v>
      </c>
      <c r="AF6671" s="580">
        <f t="shared" si="558"/>
        <v>2.5</v>
      </c>
      <c r="AG6671" s="580">
        <f t="shared" si="559"/>
        <v>0</v>
      </c>
      <c r="AH6671" s="580">
        <f t="shared" si="560"/>
        <v>0</v>
      </c>
    </row>
    <row r="6672" spans="28:34">
      <c r="AB6672" s="580">
        <f>HLOOKUP("*"&amp;'Output annual'!$AC$2&amp;'Output annual'!$AD$2&amp;"*Zone People Number Of Occupants [](Hourly)",'Eplus results'!$1:$1048576,ROW(),FALSE)</f>
        <v>0</v>
      </c>
      <c r="AC6672" s="580">
        <f>HLOOKUP("*"&amp;'Output annual'!$AC$2&amp;'Output annual'!$AD$2&amp;"*FangerPMV(Hourly)",'Eplus results'!$1:$1048576,ROW(),FALSE)</f>
        <v>0</v>
      </c>
      <c r="AD6672" s="580">
        <f t="shared" si="556"/>
        <v>5</v>
      </c>
      <c r="AE6672" s="580">
        <f t="shared" si="557"/>
        <v>2.5</v>
      </c>
      <c r="AF6672" s="580">
        <f t="shared" si="558"/>
        <v>2.5</v>
      </c>
      <c r="AG6672" s="580">
        <f t="shared" si="559"/>
        <v>0</v>
      </c>
      <c r="AH6672" s="580">
        <f t="shared" si="560"/>
        <v>0</v>
      </c>
    </row>
    <row r="6673" spans="28:34">
      <c r="AB6673" s="580">
        <f>HLOOKUP("*"&amp;'Output annual'!$AC$2&amp;'Output annual'!$AD$2&amp;"*Zone People Number Of Occupants [](Hourly)",'Eplus results'!$1:$1048576,ROW(),FALSE)</f>
        <v>0</v>
      </c>
      <c r="AC6673" s="580">
        <f>HLOOKUP("*"&amp;'Output annual'!$AC$2&amp;'Output annual'!$AD$2&amp;"*FangerPMV(Hourly)",'Eplus results'!$1:$1048576,ROW(),FALSE)</f>
        <v>0</v>
      </c>
      <c r="AD6673" s="580">
        <f t="shared" si="556"/>
        <v>5</v>
      </c>
      <c r="AE6673" s="580">
        <f t="shared" si="557"/>
        <v>2.5</v>
      </c>
      <c r="AF6673" s="580">
        <f t="shared" si="558"/>
        <v>2.5</v>
      </c>
      <c r="AG6673" s="580">
        <f t="shared" si="559"/>
        <v>0</v>
      </c>
      <c r="AH6673" s="580">
        <f t="shared" si="560"/>
        <v>0</v>
      </c>
    </row>
    <row r="6674" spans="28:34">
      <c r="AB6674" s="580">
        <f>HLOOKUP("*"&amp;'Output annual'!$AC$2&amp;'Output annual'!$AD$2&amp;"*Zone People Number Of Occupants [](Hourly)",'Eplus results'!$1:$1048576,ROW(),FALSE)</f>
        <v>0</v>
      </c>
      <c r="AC6674" s="580">
        <f>HLOOKUP("*"&amp;'Output annual'!$AC$2&amp;'Output annual'!$AD$2&amp;"*FangerPMV(Hourly)",'Eplus results'!$1:$1048576,ROW(),FALSE)</f>
        <v>0</v>
      </c>
      <c r="AD6674" s="580">
        <f t="shared" si="556"/>
        <v>5</v>
      </c>
      <c r="AE6674" s="580">
        <f t="shared" si="557"/>
        <v>2.5</v>
      </c>
      <c r="AF6674" s="580">
        <f t="shared" si="558"/>
        <v>2.5</v>
      </c>
      <c r="AG6674" s="580">
        <f t="shared" si="559"/>
        <v>0</v>
      </c>
      <c r="AH6674" s="580">
        <f t="shared" si="560"/>
        <v>0</v>
      </c>
    </row>
    <row r="6675" spans="28:34">
      <c r="AB6675" s="580">
        <f>HLOOKUP("*"&amp;'Output annual'!$AC$2&amp;'Output annual'!$AD$2&amp;"*Zone People Number Of Occupants [](Hourly)",'Eplus results'!$1:$1048576,ROW(),FALSE)</f>
        <v>0</v>
      </c>
      <c r="AC6675" s="580">
        <f>HLOOKUP("*"&amp;'Output annual'!$AC$2&amp;'Output annual'!$AD$2&amp;"*FangerPMV(Hourly)",'Eplus results'!$1:$1048576,ROW(),FALSE)</f>
        <v>0</v>
      </c>
      <c r="AD6675" s="580">
        <f t="shared" si="556"/>
        <v>5</v>
      </c>
      <c r="AE6675" s="580">
        <f t="shared" si="557"/>
        <v>2.5</v>
      </c>
      <c r="AF6675" s="580">
        <f t="shared" si="558"/>
        <v>2.5</v>
      </c>
      <c r="AG6675" s="580">
        <f t="shared" si="559"/>
        <v>0</v>
      </c>
      <c r="AH6675" s="580">
        <f t="shared" si="560"/>
        <v>0</v>
      </c>
    </row>
    <row r="6676" spans="28:34">
      <c r="AB6676" s="580">
        <f>HLOOKUP("*"&amp;'Output annual'!$AC$2&amp;'Output annual'!$AD$2&amp;"*Zone People Number Of Occupants [](Hourly)",'Eplus results'!$1:$1048576,ROW(),FALSE)</f>
        <v>0</v>
      </c>
      <c r="AC6676" s="580">
        <f>HLOOKUP("*"&amp;'Output annual'!$AC$2&amp;'Output annual'!$AD$2&amp;"*FangerPMV(Hourly)",'Eplus results'!$1:$1048576,ROW(),FALSE)</f>
        <v>0</v>
      </c>
      <c r="AD6676" s="580">
        <f t="shared" si="556"/>
        <v>5</v>
      </c>
      <c r="AE6676" s="580">
        <f t="shared" si="557"/>
        <v>2.5</v>
      </c>
      <c r="AF6676" s="580">
        <f t="shared" si="558"/>
        <v>2.5</v>
      </c>
      <c r="AG6676" s="580">
        <f t="shared" si="559"/>
        <v>0</v>
      </c>
      <c r="AH6676" s="580">
        <f t="shared" si="560"/>
        <v>0</v>
      </c>
    </row>
    <row r="6677" spans="28:34">
      <c r="AB6677" s="580">
        <f>HLOOKUP("*"&amp;'Output annual'!$AC$2&amp;'Output annual'!$AD$2&amp;"*Zone People Number Of Occupants [](Hourly)",'Eplus results'!$1:$1048576,ROW(),FALSE)</f>
        <v>0</v>
      </c>
      <c r="AC6677" s="580">
        <f>HLOOKUP("*"&amp;'Output annual'!$AC$2&amp;'Output annual'!$AD$2&amp;"*FangerPMV(Hourly)",'Eplus results'!$1:$1048576,ROW(),FALSE)</f>
        <v>0</v>
      </c>
      <c r="AD6677" s="580">
        <f t="shared" si="556"/>
        <v>5</v>
      </c>
      <c r="AE6677" s="580">
        <f t="shared" si="557"/>
        <v>2.5</v>
      </c>
      <c r="AF6677" s="580">
        <f t="shared" si="558"/>
        <v>2.5</v>
      </c>
      <c r="AG6677" s="580">
        <f t="shared" si="559"/>
        <v>0</v>
      </c>
      <c r="AH6677" s="580">
        <f t="shared" si="560"/>
        <v>0</v>
      </c>
    </row>
    <row r="6678" spans="28:34">
      <c r="AB6678" s="580">
        <f>HLOOKUP("*"&amp;'Output annual'!$AC$2&amp;'Output annual'!$AD$2&amp;"*Zone People Number Of Occupants [](Hourly)",'Eplus results'!$1:$1048576,ROW(),FALSE)</f>
        <v>0</v>
      </c>
      <c r="AC6678" s="580">
        <f>HLOOKUP("*"&amp;'Output annual'!$AC$2&amp;'Output annual'!$AD$2&amp;"*FangerPMV(Hourly)",'Eplus results'!$1:$1048576,ROW(),FALSE)</f>
        <v>0</v>
      </c>
      <c r="AD6678" s="580">
        <f t="shared" si="556"/>
        <v>5</v>
      </c>
      <c r="AE6678" s="580">
        <f t="shared" si="557"/>
        <v>2.5</v>
      </c>
      <c r="AF6678" s="580">
        <f t="shared" si="558"/>
        <v>2.5</v>
      </c>
      <c r="AG6678" s="580">
        <f t="shared" si="559"/>
        <v>0</v>
      </c>
      <c r="AH6678" s="580">
        <f t="shared" si="560"/>
        <v>0</v>
      </c>
    </row>
    <row r="6679" spans="28:34">
      <c r="AB6679" s="580">
        <f>HLOOKUP("*"&amp;'Output annual'!$AC$2&amp;'Output annual'!$AD$2&amp;"*Zone People Number Of Occupants [](Hourly)",'Eplus results'!$1:$1048576,ROW(),FALSE)</f>
        <v>0</v>
      </c>
      <c r="AC6679" s="580">
        <f>HLOOKUP("*"&amp;'Output annual'!$AC$2&amp;'Output annual'!$AD$2&amp;"*FangerPMV(Hourly)",'Eplus results'!$1:$1048576,ROW(),FALSE)</f>
        <v>0</v>
      </c>
      <c r="AD6679" s="580">
        <f t="shared" si="556"/>
        <v>5</v>
      </c>
      <c r="AE6679" s="580">
        <f t="shared" si="557"/>
        <v>2.5</v>
      </c>
      <c r="AF6679" s="580">
        <f t="shared" si="558"/>
        <v>2.5</v>
      </c>
      <c r="AG6679" s="580">
        <f t="shared" si="559"/>
        <v>0</v>
      </c>
      <c r="AH6679" s="580">
        <f t="shared" si="560"/>
        <v>0</v>
      </c>
    </row>
    <row r="6680" spans="28:34">
      <c r="AB6680" s="580">
        <f>HLOOKUP("*"&amp;'Output annual'!$AC$2&amp;'Output annual'!$AD$2&amp;"*Zone People Number Of Occupants [](Hourly)",'Eplus results'!$1:$1048576,ROW(),FALSE)</f>
        <v>0</v>
      </c>
      <c r="AC6680" s="580">
        <f>HLOOKUP("*"&amp;'Output annual'!$AC$2&amp;'Output annual'!$AD$2&amp;"*FangerPMV(Hourly)",'Eplus results'!$1:$1048576,ROW(),FALSE)</f>
        <v>0</v>
      </c>
      <c r="AD6680" s="580">
        <f t="shared" si="556"/>
        <v>5</v>
      </c>
      <c r="AE6680" s="580">
        <f t="shared" si="557"/>
        <v>2.5</v>
      </c>
      <c r="AF6680" s="580">
        <f t="shared" si="558"/>
        <v>2.5</v>
      </c>
      <c r="AG6680" s="580">
        <f t="shared" si="559"/>
        <v>0</v>
      </c>
      <c r="AH6680" s="580">
        <f t="shared" si="560"/>
        <v>0</v>
      </c>
    </row>
    <row r="6681" spans="28:34">
      <c r="AB6681" s="580">
        <f>HLOOKUP("*"&amp;'Output annual'!$AC$2&amp;'Output annual'!$AD$2&amp;"*Zone People Number Of Occupants [](Hourly)",'Eplus results'!$1:$1048576,ROW(),FALSE)</f>
        <v>0</v>
      </c>
      <c r="AC6681" s="580">
        <f>HLOOKUP("*"&amp;'Output annual'!$AC$2&amp;'Output annual'!$AD$2&amp;"*FangerPMV(Hourly)",'Eplus results'!$1:$1048576,ROW(),FALSE)</f>
        <v>0</v>
      </c>
      <c r="AD6681" s="580">
        <f t="shared" si="556"/>
        <v>5</v>
      </c>
      <c r="AE6681" s="580">
        <f t="shared" si="557"/>
        <v>2.5</v>
      </c>
      <c r="AF6681" s="580">
        <f t="shared" si="558"/>
        <v>2.5</v>
      </c>
      <c r="AG6681" s="580">
        <f t="shared" si="559"/>
        <v>0</v>
      </c>
      <c r="AH6681" s="580">
        <f t="shared" si="560"/>
        <v>0</v>
      </c>
    </row>
    <row r="6682" spans="28:34">
      <c r="AB6682" s="580">
        <f>HLOOKUP("*"&amp;'Output annual'!$AC$2&amp;'Output annual'!$AD$2&amp;"*Zone People Number Of Occupants [](Hourly)",'Eplus results'!$1:$1048576,ROW(),FALSE)</f>
        <v>0</v>
      </c>
      <c r="AC6682" s="580">
        <f>HLOOKUP("*"&amp;'Output annual'!$AC$2&amp;'Output annual'!$AD$2&amp;"*FangerPMV(Hourly)",'Eplus results'!$1:$1048576,ROW(),FALSE)</f>
        <v>0</v>
      </c>
      <c r="AD6682" s="580">
        <f t="shared" si="556"/>
        <v>5</v>
      </c>
      <c r="AE6682" s="580">
        <f t="shared" si="557"/>
        <v>2.5</v>
      </c>
      <c r="AF6682" s="580">
        <f t="shared" si="558"/>
        <v>2.5</v>
      </c>
      <c r="AG6682" s="580">
        <f t="shared" si="559"/>
        <v>0</v>
      </c>
      <c r="AH6682" s="580">
        <f t="shared" si="560"/>
        <v>0</v>
      </c>
    </row>
    <row r="6683" spans="28:34">
      <c r="AB6683" s="580">
        <f>HLOOKUP("*"&amp;'Output annual'!$AC$2&amp;'Output annual'!$AD$2&amp;"*Zone People Number Of Occupants [](Hourly)",'Eplus results'!$1:$1048576,ROW(),FALSE)</f>
        <v>0</v>
      </c>
      <c r="AC6683" s="580">
        <f>HLOOKUP("*"&amp;'Output annual'!$AC$2&amp;'Output annual'!$AD$2&amp;"*FangerPMV(Hourly)",'Eplus results'!$1:$1048576,ROW(),FALSE)</f>
        <v>0</v>
      </c>
      <c r="AD6683" s="580">
        <f t="shared" si="556"/>
        <v>5</v>
      </c>
      <c r="AE6683" s="580">
        <f t="shared" si="557"/>
        <v>2.5</v>
      </c>
      <c r="AF6683" s="580">
        <f t="shared" si="558"/>
        <v>2.5</v>
      </c>
      <c r="AG6683" s="580">
        <f t="shared" si="559"/>
        <v>0</v>
      </c>
      <c r="AH6683" s="580">
        <f t="shared" si="560"/>
        <v>0</v>
      </c>
    </row>
    <row r="6684" spans="28:34">
      <c r="AB6684" s="580">
        <f>HLOOKUP("*"&amp;'Output annual'!$AC$2&amp;'Output annual'!$AD$2&amp;"*Zone People Number Of Occupants [](Hourly)",'Eplus results'!$1:$1048576,ROW(),FALSE)</f>
        <v>0</v>
      </c>
      <c r="AC6684" s="580">
        <f>HLOOKUP("*"&amp;'Output annual'!$AC$2&amp;'Output annual'!$AD$2&amp;"*FangerPMV(Hourly)",'Eplus results'!$1:$1048576,ROW(),FALSE)</f>
        <v>0</v>
      </c>
      <c r="AD6684" s="580">
        <f t="shared" si="556"/>
        <v>5</v>
      </c>
      <c r="AE6684" s="580">
        <f t="shared" si="557"/>
        <v>2.5</v>
      </c>
      <c r="AF6684" s="580">
        <f t="shared" si="558"/>
        <v>2.5</v>
      </c>
      <c r="AG6684" s="580">
        <f t="shared" si="559"/>
        <v>0</v>
      </c>
      <c r="AH6684" s="580">
        <f t="shared" si="560"/>
        <v>0</v>
      </c>
    </row>
    <row r="6685" spans="28:34">
      <c r="AB6685" s="580">
        <f>HLOOKUP("*"&amp;'Output annual'!$AC$2&amp;'Output annual'!$AD$2&amp;"*Zone People Number Of Occupants [](Hourly)",'Eplus results'!$1:$1048576,ROW(),FALSE)</f>
        <v>0</v>
      </c>
      <c r="AC6685" s="580">
        <f>HLOOKUP("*"&amp;'Output annual'!$AC$2&amp;'Output annual'!$AD$2&amp;"*FangerPMV(Hourly)",'Eplus results'!$1:$1048576,ROW(),FALSE)</f>
        <v>0</v>
      </c>
      <c r="AD6685" s="580">
        <f t="shared" si="556"/>
        <v>5</v>
      </c>
      <c r="AE6685" s="580">
        <f t="shared" si="557"/>
        <v>2.5</v>
      </c>
      <c r="AF6685" s="580">
        <f t="shared" si="558"/>
        <v>2.5</v>
      </c>
      <c r="AG6685" s="580">
        <f t="shared" si="559"/>
        <v>0</v>
      </c>
      <c r="AH6685" s="580">
        <f t="shared" si="560"/>
        <v>0</v>
      </c>
    </row>
    <row r="6686" spans="28:34">
      <c r="AB6686" s="580">
        <f>HLOOKUP("*"&amp;'Output annual'!$AC$2&amp;'Output annual'!$AD$2&amp;"*Zone People Number Of Occupants [](Hourly)",'Eplus results'!$1:$1048576,ROW(),FALSE)</f>
        <v>0</v>
      </c>
      <c r="AC6686" s="580">
        <f>HLOOKUP("*"&amp;'Output annual'!$AC$2&amp;'Output annual'!$AD$2&amp;"*FangerPMV(Hourly)",'Eplus results'!$1:$1048576,ROW(),FALSE)</f>
        <v>0</v>
      </c>
      <c r="AD6686" s="580">
        <f t="shared" si="556"/>
        <v>5</v>
      </c>
      <c r="AE6686" s="580">
        <f t="shared" si="557"/>
        <v>2.5</v>
      </c>
      <c r="AF6686" s="580">
        <f t="shared" si="558"/>
        <v>2.5</v>
      </c>
      <c r="AG6686" s="580">
        <f t="shared" si="559"/>
        <v>0</v>
      </c>
      <c r="AH6686" s="580">
        <f t="shared" si="560"/>
        <v>0</v>
      </c>
    </row>
    <row r="6687" spans="28:34">
      <c r="AB6687" s="580">
        <f>HLOOKUP("*"&amp;'Output annual'!$AC$2&amp;'Output annual'!$AD$2&amp;"*Zone People Number Of Occupants [](Hourly)",'Eplus results'!$1:$1048576,ROW(),FALSE)</f>
        <v>0</v>
      </c>
      <c r="AC6687" s="580">
        <f>HLOOKUP("*"&amp;'Output annual'!$AC$2&amp;'Output annual'!$AD$2&amp;"*FangerPMV(Hourly)",'Eplus results'!$1:$1048576,ROW(),FALSE)</f>
        <v>0</v>
      </c>
      <c r="AD6687" s="580">
        <f t="shared" si="556"/>
        <v>5</v>
      </c>
      <c r="AE6687" s="580">
        <f t="shared" si="557"/>
        <v>2.5</v>
      </c>
      <c r="AF6687" s="580">
        <f t="shared" si="558"/>
        <v>2.5</v>
      </c>
      <c r="AG6687" s="580">
        <f t="shared" si="559"/>
        <v>0</v>
      </c>
      <c r="AH6687" s="580">
        <f t="shared" si="560"/>
        <v>0</v>
      </c>
    </row>
    <row r="6688" spans="28:34">
      <c r="AB6688" s="580">
        <f>HLOOKUP("*"&amp;'Output annual'!$AC$2&amp;'Output annual'!$AD$2&amp;"*Zone People Number Of Occupants [](Hourly)",'Eplus results'!$1:$1048576,ROW(),FALSE)</f>
        <v>0</v>
      </c>
      <c r="AC6688" s="580">
        <f>HLOOKUP("*"&amp;'Output annual'!$AC$2&amp;'Output annual'!$AD$2&amp;"*FangerPMV(Hourly)",'Eplus results'!$1:$1048576,ROW(),FALSE)</f>
        <v>0</v>
      </c>
      <c r="AD6688" s="580">
        <f t="shared" si="556"/>
        <v>5</v>
      </c>
      <c r="AE6688" s="580">
        <f t="shared" si="557"/>
        <v>2.5</v>
      </c>
      <c r="AF6688" s="580">
        <f t="shared" si="558"/>
        <v>2.5</v>
      </c>
      <c r="AG6688" s="580">
        <f t="shared" si="559"/>
        <v>0</v>
      </c>
      <c r="AH6688" s="580">
        <f t="shared" si="560"/>
        <v>0</v>
      </c>
    </row>
    <row r="6689" spans="28:34">
      <c r="AB6689" s="580">
        <f>HLOOKUP("*"&amp;'Output annual'!$AC$2&amp;'Output annual'!$AD$2&amp;"*Zone People Number Of Occupants [](Hourly)",'Eplus results'!$1:$1048576,ROW(),FALSE)</f>
        <v>0</v>
      </c>
      <c r="AC6689" s="580">
        <f>HLOOKUP("*"&amp;'Output annual'!$AC$2&amp;'Output annual'!$AD$2&amp;"*FangerPMV(Hourly)",'Eplus results'!$1:$1048576,ROW(),FALSE)</f>
        <v>0</v>
      </c>
      <c r="AD6689" s="580">
        <f t="shared" si="556"/>
        <v>5</v>
      </c>
      <c r="AE6689" s="580">
        <f t="shared" si="557"/>
        <v>2.5</v>
      </c>
      <c r="AF6689" s="580">
        <f t="shared" si="558"/>
        <v>2.5</v>
      </c>
      <c r="AG6689" s="580">
        <f t="shared" si="559"/>
        <v>0</v>
      </c>
      <c r="AH6689" s="580">
        <f t="shared" si="560"/>
        <v>0</v>
      </c>
    </row>
    <row r="6690" spans="28:34">
      <c r="AB6690" s="580">
        <f>HLOOKUP("*"&amp;'Output annual'!$AC$2&amp;'Output annual'!$AD$2&amp;"*Zone People Number Of Occupants [](Hourly)",'Eplus results'!$1:$1048576,ROW(),FALSE)</f>
        <v>0</v>
      </c>
      <c r="AC6690" s="580">
        <f>HLOOKUP("*"&amp;'Output annual'!$AC$2&amp;'Output annual'!$AD$2&amp;"*FangerPMV(Hourly)",'Eplus results'!$1:$1048576,ROW(),FALSE)</f>
        <v>0</v>
      </c>
      <c r="AD6690" s="580">
        <f t="shared" si="556"/>
        <v>5</v>
      </c>
      <c r="AE6690" s="580">
        <f t="shared" si="557"/>
        <v>2.5</v>
      </c>
      <c r="AF6690" s="580">
        <f t="shared" si="558"/>
        <v>2.5</v>
      </c>
      <c r="AG6690" s="580">
        <f t="shared" si="559"/>
        <v>0</v>
      </c>
      <c r="AH6690" s="580">
        <f t="shared" si="560"/>
        <v>0</v>
      </c>
    </row>
    <row r="6691" spans="28:34">
      <c r="AB6691" s="580">
        <f>HLOOKUP("*"&amp;'Output annual'!$AC$2&amp;'Output annual'!$AD$2&amp;"*Zone People Number Of Occupants [](Hourly)",'Eplus results'!$1:$1048576,ROW(),FALSE)</f>
        <v>0</v>
      </c>
      <c r="AC6691" s="580">
        <f>HLOOKUP("*"&amp;'Output annual'!$AC$2&amp;'Output annual'!$AD$2&amp;"*FangerPMV(Hourly)",'Eplus results'!$1:$1048576,ROW(),FALSE)</f>
        <v>0</v>
      </c>
      <c r="AD6691" s="580">
        <f t="shared" si="556"/>
        <v>5</v>
      </c>
      <c r="AE6691" s="580">
        <f t="shared" si="557"/>
        <v>2.5</v>
      </c>
      <c r="AF6691" s="580">
        <f t="shared" si="558"/>
        <v>2.5</v>
      </c>
      <c r="AG6691" s="580">
        <f t="shared" si="559"/>
        <v>0</v>
      </c>
      <c r="AH6691" s="580">
        <f t="shared" si="560"/>
        <v>0</v>
      </c>
    </row>
    <row r="6692" spans="28:34">
      <c r="AB6692" s="580">
        <f>HLOOKUP("*"&amp;'Output annual'!$AC$2&amp;'Output annual'!$AD$2&amp;"*Zone People Number Of Occupants [](Hourly)",'Eplus results'!$1:$1048576,ROW(),FALSE)</f>
        <v>0</v>
      </c>
      <c r="AC6692" s="580">
        <f>HLOOKUP("*"&amp;'Output annual'!$AC$2&amp;'Output annual'!$AD$2&amp;"*FangerPMV(Hourly)",'Eplus results'!$1:$1048576,ROW(),FALSE)</f>
        <v>0</v>
      </c>
      <c r="AD6692" s="580">
        <f t="shared" si="556"/>
        <v>5</v>
      </c>
      <c r="AE6692" s="580">
        <f t="shared" si="557"/>
        <v>2.5</v>
      </c>
      <c r="AF6692" s="580">
        <f t="shared" si="558"/>
        <v>2.5</v>
      </c>
      <c r="AG6692" s="580">
        <f t="shared" si="559"/>
        <v>0</v>
      </c>
      <c r="AH6692" s="580">
        <f t="shared" si="560"/>
        <v>0</v>
      </c>
    </row>
    <row r="6693" spans="28:34">
      <c r="AB6693" s="580">
        <f>HLOOKUP("*"&amp;'Output annual'!$AC$2&amp;'Output annual'!$AD$2&amp;"*Zone People Number Of Occupants [](Hourly)",'Eplus results'!$1:$1048576,ROW(),FALSE)</f>
        <v>0</v>
      </c>
      <c r="AC6693" s="580">
        <f>HLOOKUP("*"&amp;'Output annual'!$AC$2&amp;'Output annual'!$AD$2&amp;"*FangerPMV(Hourly)",'Eplus results'!$1:$1048576,ROW(),FALSE)</f>
        <v>0</v>
      </c>
      <c r="AD6693" s="580">
        <f t="shared" si="556"/>
        <v>5</v>
      </c>
      <c r="AE6693" s="580">
        <f t="shared" si="557"/>
        <v>2.5</v>
      </c>
      <c r="AF6693" s="580">
        <f t="shared" si="558"/>
        <v>2.5</v>
      </c>
      <c r="AG6693" s="580">
        <f t="shared" si="559"/>
        <v>0</v>
      </c>
      <c r="AH6693" s="580">
        <f t="shared" si="560"/>
        <v>0</v>
      </c>
    </row>
    <row r="6694" spans="28:34">
      <c r="AB6694" s="580">
        <f>HLOOKUP("*"&amp;'Output annual'!$AC$2&amp;'Output annual'!$AD$2&amp;"*Zone People Number Of Occupants [](Hourly)",'Eplus results'!$1:$1048576,ROW(),FALSE)</f>
        <v>0</v>
      </c>
      <c r="AC6694" s="580">
        <f>HLOOKUP("*"&amp;'Output annual'!$AC$2&amp;'Output annual'!$AD$2&amp;"*FangerPMV(Hourly)",'Eplus results'!$1:$1048576,ROW(),FALSE)</f>
        <v>0</v>
      </c>
      <c r="AD6694" s="580">
        <f t="shared" si="556"/>
        <v>5</v>
      </c>
      <c r="AE6694" s="580">
        <f t="shared" si="557"/>
        <v>2.5</v>
      </c>
      <c r="AF6694" s="580">
        <f t="shared" si="558"/>
        <v>2.5</v>
      </c>
      <c r="AG6694" s="580">
        <f t="shared" si="559"/>
        <v>0</v>
      </c>
      <c r="AH6694" s="580">
        <f t="shared" si="560"/>
        <v>0</v>
      </c>
    </row>
    <row r="6695" spans="28:34">
      <c r="AB6695" s="580">
        <f>HLOOKUP("*"&amp;'Output annual'!$AC$2&amp;'Output annual'!$AD$2&amp;"*Zone People Number Of Occupants [](Hourly)",'Eplus results'!$1:$1048576,ROW(),FALSE)</f>
        <v>0</v>
      </c>
      <c r="AC6695" s="580">
        <f>HLOOKUP("*"&amp;'Output annual'!$AC$2&amp;'Output annual'!$AD$2&amp;"*FangerPMV(Hourly)",'Eplus results'!$1:$1048576,ROW(),FALSE)</f>
        <v>0</v>
      </c>
      <c r="AD6695" s="580">
        <f t="shared" si="556"/>
        <v>5</v>
      </c>
      <c r="AE6695" s="580">
        <f t="shared" si="557"/>
        <v>2.5</v>
      </c>
      <c r="AF6695" s="580">
        <f t="shared" si="558"/>
        <v>2.5</v>
      </c>
      <c r="AG6695" s="580">
        <f t="shared" si="559"/>
        <v>0</v>
      </c>
      <c r="AH6695" s="580">
        <f t="shared" si="560"/>
        <v>0</v>
      </c>
    </row>
    <row r="6696" spans="28:34">
      <c r="AB6696" s="580">
        <f>HLOOKUP("*"&amp;'Output annual'!$AC$2&amp;'Output annual'!$AD$2&amp;"*Zone People Number Of Occupants [](Hourly)",'Eplus results'!$1:$1048576,ROW(),FALSE)</f>
        <v>0</v>
      </c>
      <c r="AC6696" s="580">
        <f>HLOOKUP("*"&amp;'Output annual'!$AC$2&amp;'Output annual'!$AD$2&amp;"*FangerPMV(Hourly)",'Eplus results'!$1:$1048576,ROW(),FALSE)</f>
        <v>0</v>
      </c>
      <c r="AD6696" s="580">
        <f t="shared" si="556"/>
        <v>5</v>
      </c>
      <c r="AE6696" s="580">
        <f t="shared" si="557"/>
        <v>2.5</v>
      </c>
      <c r="AF6696" s="580">
        <f t="shared" si="558"/>
        <v>2.5</v>
      </c>
      <c r="AG6696" s="580">
        <f t="shared" si="559"/>
        <v>0</v>
      </c>
      <c r="AH6696" s="580">
        <f t="shared" si="560"/>
        <v>0</v>
      </c>
    </row>
    <row r="6697" spans="28:34">
      <c r="AB6697" s="580">
        <f>HLOOKUP("*"&amp;'Output annual'!$AC$2&amp;'Output annual'!$AD$2&amp;"*Zone People Number Of Occupants [](Hourly)",'Eplus results'!$1:$1048576,ROW(),FALSE)</f>
        <v>0</v>
      </c>
      <c r="AC6697" s="580">
        <f>HLOOKUP("*"&amp;'Output annual'!$AC$2&amp;'Output annual'!$AD$2&amp;"*FangerPMV(Hourly)",'Eplus results'!$1:$1048576,ROW(),FALSE)</f>
        <v>0</v>
      </c>
      <c r="AD6697" s="580">
        <f t="shared" si="556"/>
        <v>5</v>
      </c>
      <c r="AE6697" s="580">
        <f t="shared" si="557"/>
        <v>2.5</v>
      </c>
      <c r="AF6697" s="580">
        <f t="shared" si="558"/>
        <v>2.5</v>
      </c>
      <c r="AG6697" s="580">
        <f t="shared" si="559"/>
        <v>0</v>
      </c>
      <c r="AH6697" s="580">
        <f t="shared" si="560"/>
        <v>0</v>
      </c>
    </row>
    <row r="6698" spans="28:34">
      <c r="AB6698" s="580">
        <f>HLOOKUP("*"&amp;'Output annual'!$AC$2&amp;'Output annual'!$AD$2&amp;"*Zone People Number Of Occupants [](Hourly)",'Eplus results'!$1:$1048576,ROW(),FALSE)</f>
        <v>0</v>
      </c>
      <c r="AC6698" s="580">
        <f>HLOOKUP("*"&amp;'Output annual'!$AC$2&amp;'Output annual'!$AD$2&amp;"*FangerPMV(Hourly)",'Eplus results'!$1:$1048576,ROW(),FALSE)</f>
        <v>0</v>
      </c>
      <c r="AD6698" s="580">
        <f t="shared" si="556"/>
        <v>5</v>
      </c>
      <c r="AE6698" s="580">
        <f t="shared" si="557"/>
        <v>2.5</v>
      </c>
      <c r="AF6698" s="580">
        <f t="shared" si="558"/>
        <v>2.5</v>
      </c>
      <c r="AG6698" s="580">
        <f t="shared" si="559"/>
        <v>0</v>
      </c>
      <c r="AH6698" s="580">
        <f t="shared" si="560"/>
        <v>0</v>
      </c>
    </row>
    <row r="6699" spans="28:34">
      <c r="AB6699" s="580">
        <f>HLOOKUP("*"&amp;'Output annual'!$AC$2&amp;'Output annual'!$AD$2&amp;"*Zone People Number Of Occupants [](Hourly)",'Eplus results'!$1:$1048576,ROW(),FALSE)</f>
        <v>0</v>
      </c>
      <c r="AC6699" s="580">
        <f>HLOOKUP("*"&amp;'Output annual'!$AC$2&amp;'Output annual'!$AD$2&amp;"*FangerPMV(Hourly)",'Eplus results'!$1:$1048576,ROW(),FALSE)</f>
        <v>0</v>
      </c>
      <c r="AD6699" s="580">
        <f t="shared" si="556"/>
        <v>5</v>
      </c>
      <c r="AE6699" s="580">
        <f t="shared" si="557"/>
        <v>2.5</v>
      </c>
      <c r="AF6699" s="580">
        <f t="shared" si="558"/>
        <v>2.5</v>
      </c>
      <c r="AG6699" s="580">
        <f t="shared" si="559"/>
        <v>0</v>
      </c>
      <c r="AH6699" s="580">
        <f t="shared" si="560"/>
        <v>0</v>
      </c>
    </row>
    <row r="6700" spans="28:34">
      <c r="AB6700" s="580">
        <f>HLOOKUP("*"&amp;'Output annual'!$AC$2&amp;'Output annual'!$AD$2&amp;"*Zone People Number Of Occupants [](Hourly)",'Eplus results'!$1:$1048576,ROW(),FALSE)</f>
        <v>0</v>
      </c>
      <c r="AC6700" s="580">
        <f>HLOOKUP("*"&amp;'Output annual'!$AC$2&amp;'Output annual'!$AD$2&amp;"*FangerPMV(Hourly)",'Eplus results'!$1:$1048576,ROW(),FALSE)</f>
        <v>0</v>
      </c>
      <c r="AD6700" s="580">
        <f t="shared" si="556"/>
        <v>5</v>
      </c>
      <c r="AE6700" s="580">
        <f t="shared" si="557"/>
        <v>2.5</v>
      </c>
      <c r="AF6700" s="580">
        <f t="shared" si="558"/>
        <v>2.5</v>
      </c>
      <c r="AG6700" s="580">
        <f t="shared" si="559"/>
        <v>0</v>
      </c>
      <c r="AH6700" s="580">
        <f t="shared" si="560"/>
        <v>0</v>
      </c>
    </row>
    <row r="6701" spans="28:34">
      <c r="AB6701" s="580">
        <f>HLOOKUP("*"&amp;'Output annual'!$AC$2&amp;'Output annual'!$AD$2&amp;"*Zone People Number Of Occupants [](Hourly)",'Eplus results'!$1:$1048576,ROW(),FALSE)</f>
        <v>0</v>
      </c>
      <c r="AC6701" s="580">
        <f>HLOOKUP("*"&amp;'Output annual'!$AC$2&amp;'Output annual'!$AD$2&amp;"*FangerPMV(Hourly)",'Eplus results'!$1:$1048576,ROW(),FALSE)</f>
        <v>0</v>
      </c>
      <c r="AD6701" s="580">
        <f t="shared" si="556"/>
        <v>5</v>
      </c>
      <c r="AE6701" s="580">
        <f t="shared" si="557"/>
        <v>2.5</v>
      </c>
      <c r="AF6701" s="580">
        <f t="shared" si="558"/>
        <v>2.5</v>
      </c>
      <c r="AG6701" s="580">
        <f t="shared" si="559"/>
        <v>0</v>
      </c>
      <c r="AH6701" s="580">
        <f t="shared" si="560"/>
        <v>0</v>
      </c>
    </row>
    <row r="6702" spans="28:34">
      <c r="AB6702" s="580">
        <f>HLOOKUP("*"&amp;'Output annual'!$AC$2&amp;'Output annual'!$AD$2&amp;"*Zone People Number Of Occupants [](Hourly)",'Eplus results'!$1:$1048576,ROW(),FALSE)</f>
        <v>0</v>
      </c>
      <c r="AC6702" s="580">
        <f>HLOOKUP("*"&amp;'Output annual'!$AC$2&amp;'Output annual'!$AD$2&amp;"*FangerPMV(Hourly)",'Eplus results'!$1:$1048576,ROW(),FALSE)</f>
        <v>0</v>
      </c>
      <c r="AD6702" s="580">
        <f t="shared" si="556"/>
        <v>5</v>
      </c>
      <c r="AE6702" s="580">
        <f t="shared" si="557"/>
        <v>2.5</v>
      </c>
      <c r="AF6702" s="580">
        <f t="shared" si="558"/>
        <v>2.5</v>
      </c>
      <c r="AG6702" s="580">
        <f t="shared" si="559"/>
        <v>0</v>
      </c>
      <c r="AH6702" s="580">
        <f t="shared" si="560"/>
        <v>0</v>
      </c>
    </row>
    <row r="6703" spans="28:34">
      <c r="AB6703" s="580">
        <f>HLOOKUP("*"&amp;'Output annual'!$AC$2&amp;'Output annual'!$AD$2&amp;"*Zone People Number Of Occupants [](Hourly)",'Eplus results'!$1:$1048576,ROW(),FALSE)</f>
        <v>0</v>
      </c>
      <c r="AC6703" s="580">
        <f>HLOOKUP("*"&amp;'Output annual'!$AC$2&amp;'Output annual'!$AD$2&amp;"*FangerPMV(Hourly)",'Eplus results'!$1:$1048576,ROW(),FALSE)</f>
        <v>0</v>
      </c>
      <c r="AD6703" s="580">
        <f t="shared" si="556"/>
        <v>5</v>
      </c>
      <c r="AE6703" s="580">
        <f t="shared" si="557"/>
        <v>2.5</v>
      </c>
      <c r="AF6703" s="580">
        <f t="shared" si="558"/>
        <v>2.5</v>
      </c>
      <c r="AG6703" s="580">
        <f t="shared" si="559"/>
        <v>0</v>
      </c>
      <c r="AH6703" s="580">
        <f t="shared" si="560"/>
        <v>0</v>
      </c>
    </row>
    <row r="6704" spans="28:34">
      <c r="AB6704" s="580">
        <f>HLOOKUP("*"&amp;'Output annual'!$AC$2&amp;'Output annual'!$AD$2&amp;"*Zone People Number Of Occupants [](Hourly)",'Eplus results'!$1:$1048576,ROW(),FALSE)</f>
        <v>0</v>
      </c>
      <c r="AC6704" s="580">
        <f>HLOOKUP("*"&amp;'Output annual'!$AC$2&amp;'Output annual'!$AD$2&amp;"*FangerPMV(Hourly)",'Eplus results'!$1:$1048576,ROW(),FALSE)</f>
        <v>0</v>
      </c>
      <c r="AD6704" s="580">
        <f t="shared" si="556"/>
        <v>5</v>
      </c>
      <c r="AE6704" s="580">
        <f t="shared" si="557"/>
        <v>2.5</v>
      </c>
      <c r="AF6704" s="580">
        <f t="shared" si="558"/>
        <v>2.5</v>
      </c>
      <c r="AG6704" s="580">
        <f t="shared" si="559"/>
        <v>0</v>
      </c>
      <c r="AH6704" s="580">
        <f t="shared" si="560"/>
        <v>0</v>
      </c>
    </row>
    <row r="6705" spans="28:34">
      <c r="AB6705" s="580">
        <f>HLOOKUP("*"&amp;'Output annual'!$AC$2&amp;'Output annual'!$AD$2&amp;"*Zone People Number Of Occupants [](Hourly)",'Eplus results'!$1:$1048576,ROW(),FALSE)</f>
        <v>0</v>
      </c>
      <c r="AC6705" s="580">
        <f>HLOOKUP("*"&amp;'Output annual'!$AC$2&amp;'Output annual'!$AD$2&amp;"*FangerPMV(Hourly)",'Eplus results'!$1:$1048576,ROW(),FALSE)</f>
        <v>0</v>
      </c>
      <c r="AD6705" s="580">
        <f t="shared" si="556"/>
        <v>5</v>
      </c>
      <c r="AE6705" s="580">
        <f t="shared" si="557"/>
        <v>2.5</v>
      </c>
      <c r="AF6705" s="580">
        <f t="shared" si="558"/>
        <v>2.5</v>
      </c>
      <c r="AG6705" s="580">
        <f t="shared" si="559"/>
        <v>0</v>
      </c>
      <c r="AH6705" s="580">
        <f t="shared" si="560"/>
        <v>0</v>
      </c>
    </row>
    <row r="6706" spans="28:34">
      <c r="AB6706" s="580">
        <f>HLOOKUP("*"&amp;'Output annual'!$AC$2&amp;'Output annual'!$AD$2&amp;"*Zone People Number Of Occupants [](Hourly)",'Eplus results'!$1:$1048576,ROW(),FALSE)</f>
        <v>0</v>
      </c>
      <c r="AC6706" s="580">
        <f>HLOOKUP("*"&amp;'Output annual'!$AC$2&amp;'Output annual'!$AD$2&amp;"*FangerPMV(Hourly)",'Eplus results'!$1:$1048576,ROW(),FALSE)</f>
        <v>0</v>
      </c>
      <c r="AD6706" s="580">
        <f t="shared" si="556"/>
        <v>5</v>
      </c>
      <c r="AE6706" s="580">
        <f t="shared" si="557"/>
        <v>2.5</v>
      </c>
      <c r="AF6706" s="580">
        <f t="shared" si="558"/>
        <v>2.5</v>
      </c>
      <c r="AG6706" s="580">
        <f t="shared" si="559"/>
        <v>0</v>
      </c>
      <c r="AH6706" s="580">
        <f t="shared" si="560"/>
        <v>0</v>
      </c>
    </row>
    <row r="6707" spans="28:34">
      <c r="AB6707" s="580">
        <f>HLOOKUP("*"&amp;'Output annual'!$AC$2&amp;'Output annual'!$AD$2&amp;"*Zone People Number Of Occupants [](Hourly)",'Eplus results'!$1:$1048576,ROW(),FALSE)</f>
        <v>0</v>
      </c>
      <c r="AC6707" s="580">
        <f>HLOOKUP("*"&amp;'Output annual'!$AC$2&amp;'Output annual'!$AD$2&amp;"*FangerPMV(Hourly)",'Eplus results'!$1:$1048576,ROW(),FALSE)</f>
        <v>0</v>
      </c>
      <c r="AD6707" s="580">
        <f t="shared" si="556"/>
        <v>5</v>
      </c>
      <c r="AE6707" s="580">
        <f t="shared" si="557"/>
        <v>2.5</v>
      </c>
      <c r="AF6707" s="580">
        <f t="shared" si="558"/>
        <v>2.5</v>
      </c>
      <c r="AG6707" s="580">
        <f t="shared" si="559"/>
        <v>0</v>
      </c>
      <c r="AH6707" s="580">
        <f t="shared" si="560"/>
        <v>0</v>
      </c>
    </row>
    <row r="6708" spans="28:34">
      <c r="AB6708" s="580">
        <f>HLOOKUP("*"&amp;'Output annual'!$AC$2&amp;'Output annual'!$AD$2&amp;"*Zone People Number Of Occupants [](Hourly)",'Eplus results'!$1:$1048576,ROW(),FALSE)</f>
        <v>0</v>
      </c>
      <c r="AC6708" s="580">
        <f>HLOOKUP("*"&amp;'Output annual'!$AC$2&amp;'Output annual'!$AD$2&amp;"*FangerPMV(Hourly)",'Eplus results'!$1:$1048576,ROW(),FALSE)</f>
        <v>0</v>
      </c>
      <c r="AD6708" s="580">
        <f t="shared" si="556"/>
        <v>5</v>
      </c>
      <c r="AE6708" s="580">
        <f t="shared" si="557"/>
        <v>2.5</v>
      </c>
      <c r="AF6708" s="580">
        <f t="shared" si="558"/>
        <v>2.5</v>
      </c>
      <c r="AG6708" s="580">
        <f t="shared" si="559"/>
        <v>0</v>
      </c>
      <c r="AH6708" s="580">
        <f t="shared" si="560"/>
        <v>0</v>
      </c>
    </row>
    <row r="6709" spans="28:34">
      <c r="AB6709" s="580">
        <f>HLOOKUP("*"&amp;'Output annual'!$AC$2&amp;'Output annual'!$AD$2&amp;"*Zone People Number Of Occupants [](Hourly)",'Eplus results'!$1:$1048576,ROW(),FALSE)</f>
        <v>0</v>
      </c>
      <c r="AC6709" s="580">
        <f>HLOOKUP("*"&amp;'Output annual'!$AC$2&amp;'Output annual'!$AD$2&amp;"*FangerPMV(Hourly)",'Eplus results'!$1:$1048576,ROW(),FALSE)</f>
        <v>0</v>
      </c>
      <c r="AD6709" s="580">
        <f t="shared" si="556"/>
        <v>5</v>
      </c>
      <c r="AE6709" s="580">
        <f t="shared" si="557"/>
        <v>2.5</v>
      </c>
      <c r="AF6709" s="580">
        <f t="shared" si="558"/>
        <v>2.5</v>
      </c>
      <c r="AG6709" s="580">
        <f t="shared" si="559"/>
        <v>0</v>
      </c>
      <c r="AH6709" s="580">
        <f t="shared" si="560"/>
        <v>0</v>
      </c>
    </row>
    <row r="6710" spans="28:34">
      <c r="AB6710" s="580">
        <f>HLOOKUP("*"&amp;'Output annual'!$AC$2&amp;'Output annual'!$AD$2&amp;"*Zone People Number Of Occupants [](Hourly)",'Eplus results'!$1:$1048576,ROW(),FALSE)</f>
        <v>0</v>
      </c>
      <c r="AC6710" s="580">
        <f>HLOOKUP("*"&amp;'Output annual'!$AC$2&amp;'Output annual'!$AD$2&amp;"*FangerPMV(Hourly)",'Eplus results'!$1:$1048576,ROW(),FALSE)</f>
        <v>0</v>
      </c>
      <c r="AD6710" s="580">
        <f t="shared" si="556"/>
        <v>5</v>
      </c>
      <c r="AE6710" s="580">
        <f t="shared" si="557"/>
        <v>2.5</v>
      </c>
      <c r="AF6710" s="580">
        <f t="shared" si="558"/>
        <v>2.5</v>
      </c>
      <c r="AG6710" s="580">
        <f t="shared" si="559"/>
        <v>0</v>
      </c>
      <c r="AH6710" s="580">
        <f t="shared" si="560"/>
        <v>0</v>
      </c>
    </row>
    <row r="6711" spans="28:34">
      <c r="AB6711" s="580">
        <f>HLOOKUP("*"&amp;'Output annual'!$AC$2&amp;'Output annual'!$AD$2&amp;"*Zone People Number Of Occupants [](Hourly)",'Eplus results'!$1:$1048576,ROW(),FALSE)</f>
        <v>0</v>
      </c>
      <c r="AC6711" s="580">
        <f>HLOOKUP("*"&amp;'Output annual'!$AC$2&amp;'Output annual'!$AD$2&amp;"*FangerPMV(Hourly)",'Eplus results'!$1:$1048576,ROW(),FALSE)</f>
        <v>0</v>
      </c>
      <c r="AD6711" s="580">
        <f t="shared" si="556"/>
        <v>5</v>
      </c>
      <c r="AE6711" s="580">
        <f t="shared" si="557"/>
        <v>2.5</v>
      </c>
      <c r="AF6711" s="580">
        <f t="shared" si="558"/>
        <v>2.5</v>
      </c>
      <c r="AG6711" s="580">
        <f t="shared" si="559"/>
        <v>0</v>
      </c>
      <c r="AH6711" s="580">
        <f t="shared" si="560"/>
        <v>0</v>
      </c>
    </row>
    <row r="6712" spans="28:34">
      <c r="AB6712" s="580">
        <f>HLOOKUP("*"&amp;'Output annual'!$AC$2&amp;'Output annual'!$AD$2&amp;"*Zone People Number Of Occupants [](Hourly)",'Eplus results'!$1:$1048576,ROW(),FALSE)</f>
        <v>0</v>
      </c>
      <c r="AC6712" s="580">
        <f>HLOOKUP("*"&amp;'Output annual'!$AC$2&amp;'Output annual'!$AD$2&amp;"*FangerPMV(Hourly)",'Eplus results'!$1:$1048576,ROW(),FALSE)</f>
        <v>0</v>
      </c>
      <c r="AD6712" s="580">
        <f t="shared" si="556"/>
        <v>5</v>
      </c>
      <c r="AE6712" s="580">
        <f t="shared" si="557"/>
        <v>2.5</v>
      </c>
      <c r="AF6712" s="580">
        <f t="shared" si="558"/>
        <v>2.5</v>
      </c>
      <c r="AG6712" s="580">
        <f t="shared" si="559"/>
        <v>0</v>
      </c>
      <c r="AH6712" s="580">
        <f t="shared" si="560"/>
        <v>0</v>
      </c>
    </row>
    <row r="6713" spans="28:34">
      <c r="AB6713" s="580">
        <f>HLOOKUP("*"&amp;'Output annual'!$AC$2&amp;'Output annual'!$AD$2&amp;"*Zone People Number Of Occupants [](Hourly)",'Eplus results'!$1:$1048576,ROW(),FALSE)</f>
        <v>0</v>
      </c>
      <c r="AC6713" s="580">
        <f>HLOOKUP("*"&amp;'Output annual'!$AC$2&amp;'Output annual'!$AD$2&amp;"*FangerPMV(Hourly)",'Eplus results'!$1:$1048576,ROW(),FALSE)</f>
        <v>0</v>
      </c>
      <c r="AD6713" s="580">
        <f t="shared" si="556"/>
        <v>5</v>
      </c>
      <c r="AE6713" s="580">
        <f t="shared" si="557"/>
        <v>2.5</v>
      </c>
      <c r="AF6713" s="580">
        <f t="shared" si="558"/>
        <v>2.5</v>
      </c>
      <c r="AG6713" s="580">
        <f t="shared" si="559"/>
        <v>0</v>
      </c>
      <c r="AH6713" s="580">
        <f t="shared" si="560"/>
        <v>0</v>
      </c>
    </row>
    <row r="6714" spans="28:34">
      <c r="AB6714" s="580">
        <f>HLOOKUP("*"&amp;'Output annual'!$AC$2&amp;'Output annual'!$AD$2&amp;"*Zone People Number Of Occupants [](Hourly)",'Eplus results'!$1:$1048576,ROW(),FALSE)</f>
        <v>0</v>
      </c>
      <c r="AC6714" s="580">
        <f>HLOOKUP("*"&amp;'Output annual'!$AC$2&amp;'Output annual'!$AD$2&amp;"*FangerPMV(Hourly)",'Eplus results'!$1:$1048576,ROW(),FALSE)</f>
        <v>0</v>
      </c>
      <c r="AD6714" s="580">
        <f t="shared" si="556"/>
        <v>5</v>
      </c>
      <c r="AE6714" s="580">
        <f t="shared" si="557"/>
        <v>2.5</v>
      </c>
      <c r="AF6714" s="580">
        <f t="shared" si="558"/>
        <v>2.5</v>
      </c>
      <c r="AG6714" s="580">
        <f t="shared" si="559"/>
        <v>0</v>
      </c>
      <c r="AH6714" s="580">
        <f t="shared" si="560"/>
        <v>0</v>
      </c>
    </row>
    <row r="6715" spans="28:34">
      <c r="AB6715" s="580">
        <f>HLOOKUP("*"&amp;'Output annual'!$AC$2&amp;'Output annual'!$AD$2&amp;"*Zone People Number Of Occupants [](Hourly)",'Eplus results'!$1:$1048576,ROW(),FALSE)</f>
        <v>0</v>
      </c>
      <c r="AC6715" s="580">
        <f>HLOOKUP("*"&amp;'Output annual'!$AC$2&amp;'Output annual'!$AD$2&amp;"*FangerPMV(Hourly)",'Eplus results'!$1:$1048576,ROW(),FALSE)</f>
        <v>0</v>
      </c>
      <c r="AD6715" s="580">
        <f t="shared" si="556"/>
        <v>5</v>
      </c>
      <c r="AE6715" s="580">
        <f t="shared" si="557"/>
        <v>2.5</v>
      </c>
      <c r="AF6715" s="580">
        <f t="shared" si="558"/>
        <v>2.5</v>
      </c>
      <c r="AG6715" s="580">
        <f t="shared" si="559"/>
        <v>0</v>
      </c>
      <c r="AH6715" s="580">
        <f t="shared" si="560"/>
        <v>0</v>
      </c>
    </row>
    <row r="6716" spans="28:34">
      <c r="AB6716" s="580">
        <f>HLOOKUP("*"&amp;'Output annual'!$AC$2&amp;'Output annual'!$AD$2&amp;"*Zone People Number Of Occupants [](Hourly)",'Eplus results'!$1:$1048576,ROW(),FALSE)</f>
        <v>0</v>
      </c>
      <c r="AC6716" s="580">
        <f>HLOOKUP("*"&amp;'Output annual'!$AC$2&amp;'Output annual'!$AD$2&amp;"*FangerPMV(Hourly)",'Eplus results'!$1:$1048576,ROW(),FALSE)</f>
        <v>0</v>
      </c>
      <c r="AD6716" s="580">
        <f t="shared" si="556"/>
        <v>5</v>
      </c>
      <c r="AE6716" s="580">
        <f t="shared" si="557"/>
        <v>2.5</v>
      </c>
      <c r="AF6716" s="580">
        <f t="shared" si="558"/>
        <v>2.5</v>
      </c>
      <c r="AG6716" s="580">
        <f t="shared" si="559"/>
        <v>0</v>
      </c>
      <c r="AH6716" s="580">
        <f t="shared" si="560"/>
        <v>0</v>
      </c>
    </row>
    <row r="6717" spans="28:34">
      <c r="AB6717" s="580">
        <f>HLOOKUP("*"&amp;'Output annual'!$AC$2&amp;'Output annual'!$AD$2&amp;"*Zone People Number Of Occupants [](Hourly)",'Eplus results'!$1:$1048576,ROW(),FALSE)</f>
        <v>0</v>
      </c>
      <c r="AC6717" s="580">
        <f>HLOOKUP("*"&amp;'Output annual'!$AC$2&amp;'Output annual'!$AD$2&amp;"*FangerPMV(Hourly)",'Eplus results'!$1:$1048576,ROW(),FALSE)</f>
        <v>0</v>
      </c>
      <c r="AD6717" s="580">
        <f t="shared" si="556"/>
        <v>5</v>
      </c>
      <c r="AE6717" s="580">
        <f t="shared" si="557"/>
        <v>2.5</v>
      </c>
      <c r="AF6717" s="580">
        <f t="shared" si="558"/>
        <v>2.5</v>
      </c>
      <c r="AG6717" s="580">
        <f t="shared" si="559"/>
        <v>0</v>
      </c>
      <c r="AH6717" s="580">
        <f t="shared" si="560"/>
        <v>0</v>
      </c>
    </row>
    <row r="6718" spans="28:34">
      <c r="AB6718" s="580">
        <f>HLOOKUP("*"&amp;'Output annual'!$AC$2&amp;'Output annual'!$AD$2&amp;"*Zone People Number Of Occupants [](Hourly)",'Eplus results'!$1:$1048576,ROW(),FALSE)</f>
        <v>0</v>
      </c>
      <c r="AC6718" s="580">
        <f>HLOOKUP("*"&amp;'Output annual'!$AC$2&amp;'Output annual'!$AD$2&amp;"*FangerPMV(Hourly)",'Eplus results'!$1:$1048576,ROW(),FALSE)</f>
        <v>0</v>
      </c>
      <c r="AD6718" s="580">
        <f t="shared" si="556"/>
        <v>5</v>
      </c>
      <c r="AE6718" s="580">
        <f t="shared" si="557"/>
        <v>2.5</v>
      </c>
      <c r="AF6718" s="580">
        <f t="shared" si="558"/>
        <v>2.5</v>
      </c>
      <c r="AG6718" s="580">
        <f t="shared" si="559"/>
        <v>0</v>
      </c>
      <c r="AH6718" s="580">
        <f t="shared" si="560"/>
        <v>0</v>
      </c>
    </row>
    <row r="6719" spans="28:34">
      <c r="AB6719" s="580">
        <f>HLOOKUP("*"&amp;'Output annual'!$AC$2&amp;'Output annual'!$AD$2&amp;"*Zone People Number Of Occupants [](Hourly)",'Eplus results'!$1:$1048576,ROW(),FALSE)</f>
        <v>0</v>
      </c>
      <c r="AC6719" s="580">
        <f>HLOOKUP("*"&amp;'Output annual'!$AC$2&amp;'Output annual'!$AD$2&amp;"*FangerPMV(Hourly)",'Eplus results'!$1:$1048576,ROW(),FALSE)</f>
        <v>0</v>
      </c>
      <c r="AD6719" s="580">
        <f t="shared" si="556"/>
        <v>5</v>
      </c>
      <c r="AE6719" s="580">
        <f t="shared" si="557"/>
        <v>2.5</v>
      </c>
      <c r="AF6719" s="580">
        <f t="shared" si="558"/>
        <v>2.5</v>
      </c>
      <c r="AG6719" s="580">
        <f t="shared" si="559"/>
        <v>0</v>
      </c>
      <c r="AH6719" s="580">
        <f t="shared" si="560"/>
        <v>0</v>
      </c>
    </row>
    <row r="6720" spans="28:34">
      <c r="AB6720" s="580">
        <f>HLOOKUP("*"&amp;'Output annual'!$AC$2&amp;'Output annual'!$AD$2&amp;"*Zone People Number Of Occupants [](Hourly)",'Eplus results'!$1:$1048576,ROW(),FALSE)</f>
        <v>0</v>
      </c>
      <c r="AC6720" s="580">
        <f>HLOOKUP("*"&amp;'Output annual'!$AC$2&amp;'Output annual'!$AD$2&amp;"*FangerPMV(Hourly)",'Eplus results'!$1:$1048576,ROW(),FALSE)</f>
        <v>0</v>
      </c>
      <c r="AD6720" s="580">
        <f t="shared" si="556"/>
        <v>5</v>
      </c>
      <c r="AE6720" s="580">
        <f t="shared" si="557"/>
        <v>2.5</v>
      </c>
      <c r="AF6720" s="580">
        <f t="shared" si="558"/>
        <v>2.5</v>
      </c>
      <c r="AG6720" s="580">
        <f t="shared" si="559"/>
        <v>0</v>
      </c>
      <c r="AH6720" s="580">
        <f t="shared" si="560"/>
        <v>0</v>
      </c>
    </row>
    <row r="6721" spans="28:34">
      <c r="AB6721" s="580">
        <f>HLOOKUP("*"&amp;'Output annual'!$AC$2&amp;'Output annual'!$AD$2&amp;"*Zone People Number Of Occupants [](Hourly)",'Eplus results'!$1:$1048576,ROW(),FALSE)</f>
        <v>0</v>
      </c>
      <c r="AC6721" s="580">
        <f>HLOOKUP("*"&amp;'Output annual'!$AC$2&amp;'Output annual'!$AD$2&amp;"*FangerPMV(Hourly)",'Eplus results'!$1:$1048576,ROW(),FALSE)</f>
        <v>0</v>
      </c>
      <c r="AD6721" s="580">
        <f t="shared" si="556"/>
        <v>5</v>
      </c>
      <c r="AE6721" s="580">
        <f t="shared" si="557"/>
        <v>2.5</v>
      </c>
      <c r="AF6721" s="580">
        <f t="shared" si="558"/>
        <v>2.5</v>
      </c>
      <c r="AG6721" s="580">
        <f t="shared" si="559"/>
        <v>0</v>
      </c>
      <c r="AH6721" s="580">
        <f t="shared" si="560"/>
        <v>0</v>
      </c>
    </row>
    <row r="6722" spans="28:34">
      <c r="AB6722" s="580">
        <f>HLOOKUP("*"&amp;'Output annual'!$AC$2&amp;'Output annual'!$AD$2&amp;"*Zone People Number Of Occupants [](Hourly)",'Eplus results'!$1:$1048576,ROW(),FALSE)</f>
        <v>0</v>
      </c>
      <c r="AC6722" s="580">
        <f>HLOOKUP("*"&amp;'Output annual'!$AC$2&amp;'Output annual'!$AD$2&amp;"*FangerPMV(Hourly)",'Eplus results'!$1:$1048576,ROW(),FALSE)</f>
        <v>0</v>
      </c>
      <c r="AD6722" s="580">
        <f t="shared" si="556"/>
        <v>5</v>
      </c>
      <c r="AE6722" s="580">
        <f t="shared" si="557"/>
        <v>2.5</v>
      </c>
      <c r="AF6722" s="580">
        <f t="shared" si="558"/>
        <v>2.5</v>
      </c>
      <c r="AG6722" s="580">
        <f t="shared" si="559"/>
        <v>0</v>
      </c>
      <c r="AH6722" s="580">
        <f t="shared" si="560"/>
        <v>0</v>
      </c>
    </row>
    <row r="6723" spans="28:34">
      <c r="AB6723" s="580">
        <f>HLOOKUP("*"&amp;'Output annual'!$AC$2&amp;'Output annual'!$AD$2&amp;"*Zone People Number Of Occupants [](Hourly)",'Eplus results'!$1:$1048576,ROW(),FALSE)</f>
        <v>0</v>
      </c>
      <c r="AC6723" s="580">
        <f>HLOOKUP("*"&amp;'Output annual'!$AC$2&amp;'Output annual'!$AD$2&amp;"*FangerPMV(Hourly)",'Eplus results'!$1:$1048576,ROW(),FALSE)</f>
        <v>0</v>
      </c>
      <c r="AD6723" s="580">
        <f t="shared" ref="AD6723:AD6786" si="561">100-95*EXP(-0.03353*AC6723^4-0.2179*AC6723^2)</f>
        <v>5</v>
      </c>
      <c r="AE6723" s="580">
        <f t="shared" ref="AE6723:AE6786" si="562">AD6723*(1/(1+EXP(-6.3*$AC6723)))</f>
        <v>2.5</v>
      </c>
      <c r="AF6723" s="580">
        <f t="shared" ref="AF6723:AF6786" si="563">(AD6723-AE6723)</f>
        <v>2.5</v>
      </c>
      <c r="AG6723" s="580">
        <f t="shared" ref="AG6723:AG6786" si="564">AE6723*AB6723</f>
        <v>0</v>
      </c>
      <c r="AH6723" s="580">
        <f t="shared" ref="AH6723:AH6786" si="565">AF6723*AB6723</f>
        <v>0</v>
      </c>
    </row>
    <row r="6724" spans="28:34">
      <c r="AB6724" s="580">
        <f>HLOOKUP("*"&amp;'Output annual'!$AC$2&amp;'Output annual'!$AD$2&amp;"*Zone People Number Of Occupants [](Hourly)",'Eplus results'!$1:$1048576,ROW(),FALSE)</f>
        <v>0</v>
      </c>
      <c r="AC6724" s="580">
        <f>HLOOKUP("*"&amp;'Output annual'!$AC$2&amp;'Output annual'!$AD$2&amp;"*FangerPMV(Hourly)",'Eplus results'!$1:$1048576,ROW(),FALSE)</f>
        <v>0</v>
      </c>
      <c r="AD6724" s="580">
        <f t="shared" si="561"/>
        <v>5</v>
      </c>
      <c r="AE6724" s="580">
        <f t="shared" si="562"/>
        <v>2.5</v>
      </c>
      <c r="AF6724" s="580">
        <f t="shared" si="563"/>
        <v>2.5</v>
      </c>
      <c r="AG6724" s="580">
        <f t="shared" si="564"/>
        <v>0</v>
      </c>
      <c r="AH6724" s="580">
        <f t="shared" si="565"/>
        <v>0</v>
      </c>
    </row>
    <row r="6725" spans="28:34">
      <c r="AB6725" s="580">
        <f>HLOOKUP("*"&amp;'Output annual'!$AC$2&amp;'Output annual'!$AD$2&amp;"*Zone People Number Of Occupants [](Hourly)",'Eplus results'!$1:$1048576,ROW(),FALSE)</f>
        <v>0</v>
      </c>
      <c r="AC6725" s="580">
        <f>HLOOKUP("*"&amp;'Output annual'!$AC$2&amp;'Output annual'!$AD$2&amp;"*FangerPMV(Hourly)",'Eplus results'!$1:$1048576,ROW(),FALSE)</f>
        <v>0</v>
      </c>
      <c r="AD6725" s="580">
        <f t="shared" si="561"/>
        <v>5</v>
      </c>
      <c r="AE6725" s="580">
        <f t="shared" si="562"/>
        <v>2.5</v>
      </c>
      <c r="AF6725" s="580">
        <f t="shared" si="563"/>
        <v>2.5</v>
      </c>
      <c r="AG6725" s="580">
        <f t="shared" si="564"/>
        <v>0</v>
      </c>
      <c r="AH6725" s="580">
        <f t="shared" si="565"/>
        <v>0</v>
      </c>
    </row>
    <row r="6726" spans="28:34">
      <c r="AB6726" s="580">
        <f>HLOOKUP("*"&amp;'Output annual'!$AC$2&amp;'Output annual'!$AD$2&amp;"*Zone People Number Of Occupants [](Hourly)",'Eplus results'!$1:$1048576,ROW(),FALSE)</f>
        <v>0</v>
      </c>
      <c r="AC6726" s="580">
        <f>HLOOKUP("*"&amp;'Output annual'!$AC$2&amp;'Output annual'!$AD$2&amp;"*FangerPMV(Hourly)",'Eplus results'!$1:$1048576,ROW(),FALSE)</f>
        <v>0</v>
      </c>
      <c r="AD6726" s="580">
        <f t="shared" si="561"/>
        <v>5</v>
      </c>
      <c r="AE6726" s="580">
        <f t="shared" si="562"/>
        <v>2.5</v>
      </c>
      <c r="AF6726" s="580">
        <f t="shared" si="563"/>
        <v>2.5</v>
      </c>
      <c r="AG6726" s="580">
        <f t="shared" si="564"/>
        <v>0</v>
      </c>
      <c r="AH6726" s="580">
        <f t="shared" si="565"/>
        <v>0</v>
      </c>
    </row>
    <row r="6727" spans="28:34">
      <c r="AB6727" s="580">
        <f>HLOOKUP("*"&amp;'Output annual'!$AC$2&amp;'Output annual'!$AD$2&amp;"*Zone People Number Of Occupants [](Hourly)",'Eplus results'!$1:$1048576,ROW(),FALSE)</f>
        <v>0</v>
      </c>
      <c r="AC6727" s="580">
        <f>HLOOKUP("*"&amp;'Output annual'!$AC$2&amp;'Output annual'!$AD$2&amp;"*FangerPMV(Hourly)",'Eplus results'!$1:$1048576,ROW(),FALSE)</f>
        <v>0</v>
      </c>
      <c r="AD6727" s="580">
        <f t="shared" si="561"/>
        <v>5</v>
      </c>
      <c r="AE6727" s="580">
        <f t="shared" si="562"/>
        <v>2.5</v>
      </c>
      <c r="AF6727" s="580">
        <f t="shared" si="563"/>
        <v>2.5</v>
      </c>
      <c r="AG6727" s="580">
        <f t="shared" si="564"/>
        <v>0</v>
      </c>
      <c r="AH6727" s="580">
        <f t="shared" si="565"/>
        <v>0</v>
      </c>
    </row>
    <row r="6728" spans="28:34">
      <c r="AB6728" s="580">
        <f>HLOOKUP("*"&amp;'Output annual'!$AC$2&amp;'Output annual'!$AD$2&amp;"*Zone People Number Of Occupants [](Hourly)",'Eplus results'!$1:$1048576,ROW(),FALSE)</f>
        <v>0</v>
      </c>
      <c r="AC6728" s="580">
        <f>HLOOKUP("*"&amp;'Output annual'!$AC$2&amp;'Output annual'!$AD$2&amp;"*FangerPMV(Hourly)",'Eplus results'!$1:$1048576,ROW(),FALSE)</f>
        <v>0</v>
      </c>
      <c r="AD6728" s="580">
        <f t="shared" si="561"/>
        <v>5</v>
      </c>
      <c r="AE6728" s="580">
        <f t="shared" si="562"/>
        <v>2.5</v>
      </c>
      <c r="AF6728" s="580">
        <f t="shared" si="563"/>
        <v>2.5</v>
      </c>
      <c r="AG6728" s="580">
        <f t="shared" si="564"/>
        <v>0</v>
      </c>
      <c r="AH6728" s="580">
        <f t="shared" si="565"/>
        <v>0</v>
      </c>
    </row>
    <row r="6729" spans="28:34">
      <c r="AB6729" s="580">
        <f>HLOOKUP("*"&amp;'Output annual'!$AC$2&amp;'Output annual'!$AD$2&amp;"*Zone People Number Of Occupants [](Hourly)",'Eplus results'!$1:$1048576,ROW(),FALSE)</f>
        <v>0</v>
      </c>
      <c r="AC6729" s="580">
        <f>HLOOKUP("*"&amp;'Output annual'!$AC$2&amp;'Output annual'!$AD$2&amp;"*FangerPMV(Hourly)",'Eplus results'!$1:$1048576,ROW(),FALSE)</f>
        <v>0</v>
      </c>
      <c r="AD6729" s="580">
        <f t="shared" si="561"/>
        <v>5</v>
      </c>
      <c r="AE6729" s="580">
        <f t="shared" si="562"/>
        <v>2.5</v>
      </c>
      <c r="AF6729" s="580">
        <f t="shared" si="563"/>
        <v>2.5</v>
      </c>
      <c r="AG6729" s="580">
        <f t="shared" si="564"/>
        <v>0</v>
      </c>
      <c r="AH6729" s="580">
        <f t="shared" si="565"/>
        <v>0</v>
      </c>
    </row>
    <row r="6730" spans="28:34">
      <c r="AB6730" s="580">
        <f>HLOOKUP("*"&amp;'Output annual'!$AC$2&amp;'Output annual'!$AD$2&amp;"*Zone People Number Of Occupants [](Hourly)",'Eplus results'!$1:$1048576,ROW(),FALSE)</f>
        <v>0</v>
      </c>
      <c r="AC6730" s="580">
        <f>HLOOKUP("*"&amp;'Output annual'!$AC$2&amp;'Output annual'!$AD$2&amp;"*FangerPMV(Hourly)",'Eplus results'!$1:$1048576,ROW(),FALSE)</f>
        <v>0</v>
      </c>
      <c r="AD6730" s="580">
        <f t="shared" si="561"/>
        <v>5</v>
      </c>
      <c r="AE6730" s="580">
        <f t="shared" si="562"/>
        <v>2.5</v>
      </c>
      <c r="AF6730" s="580">
        <f t="shared" si="563"/>
        <v>2.5</v>
      </c>
      <c r="AG6730" s="580">
        <f t="shared" si="564"/>
        <v>0</v>
      </c>
      <c r="AH6730" s="580">
        <f t="shared" si="565"/>
        <v>0</v>
      </c>
    </row>
    <row r="6731" spans="28:34">
      <c r="AB6731" s="580">
        <f>HLOOKUP("*"&amp;'Output annual'!$AC$2&amp;'Output annual'!$AD$2&amp;"*Zone People Number Of Occupants [](Hourly)",'Eplus results'!$1:$1048576,ROW(),FALSE)</f>
        <v>0</v>
      </c>
      <c r="AC6731" s="580">
        <f>HLOOKUP("*"&amp;'Output annual'!$AC$2&amp;'Output annual'!$AD$2&amp;"*FangerPMV(Hourly)",'Eplus results'!$1:$1048576,ROW(),FALSE)</f>
        <v>0</v>
      </c>
      <c r="AD6731" s="580">
        <f t="shared" si="561"/>
        <v>5</v>
      </c>
      <c r="AE6731" s="580">
        <f t="shared" si="562"/>
        <v>2.5</v>
      </c>
      <c r="AF6731" s="580">
        <f t="shared" si="563"/>
        <v>2.5</v>
      </c>
      <c r="AG6731" s="580">
        <f t="shared" si="564"/>
        <v>0</v>
      </c>
      <c r="AH6731" s="580">
        <f t="shared" si="565"/>
        <v>0</v>
      </c>
    </row>
    <row r="6732" spans="28:34">
      <c r="AB6732" s="580">
        <f>HLOOKUP("*"&amp;'Output annual'!$AC$2&amp;'Output annual'!$AD$2&amp;"*Zone People Number Of Occupants [](Hourly)",'Eplus results'!$1:$1048576,ROW(),FALSE)</f>
        <v>0</v>
      </c>
      <c r="AC6732" s="580">
        <f>HLOOKUP("*"&amp;'Output annual'!$AC$2&amp;'Output annual'!$AD$2&amp;"*FangerPMV(Hourly)",'Eplus results'!$1:$1048576,ROW(),FALSE)</f>
        <v>0</v>
      </c>
      <c r="AD6732" s="580">
        <f t="shared" si="561"/>
        <v>5</v>
      </c>
      <c r="AE6732" s="580">
        <f t="shared" si="562"/>
        <v>2.5</v>
      </c>
      <c r="AF6732" s="580">
        <f t="shared" si="563"/>
        <v>2.5</v>
      </c>
      <c r="AG6732" s="580">
        <f t="shared" si="564"/>
        <v>0</v>
      </c>
      <c r="AH6732" s="580">
        <f t="shared" si="565"/>
        <v>0</v>
      </c>
    </row>
    <row r="6733" spans="28:34">
      <c r="AB6733" s="580">
        <f>HLOOKUP("*"&amp;'Output annual'!$AC$2&amp;'Output annual'!$AD$2&amp;"*Zone People Number Of Occupants [](Hourly)",'Eplus results'!$1:$1048576,ROW(),FALSE)</f>
        <v>0</v>
      </c>
      <c r="AC6733" s="580">
        <f>HLOOKUP("*"&amp;'Output annual'!$AC$2&amp;'Output annual'!$AD$2&amp;"*FangerPMV(Hourly)",'Eplus results'!$1:$1048576,ROW(),FALSE)</f>
        <v>0</v>
      </c>
      <c r="AD6733" s="580">
        <f t="shared" si="561"/>
        <v>5</v>
      </c>
      <c r="AE6733" s="580">
        <f t="shared" si="562"/>
        <v>2.5</v>
      </c>
      <c r="AF6733" s="580">
        <f t="shared" si="563"/>
        <v>2.5</v>
      </c>
      <c r="AG6733" s="580">
        <f t="shared" si="564"/>
        <v>0</v>
      </c>
      <c r="AH6733" s="580">
        <f t="shared" si="565"/>
        <v>0</v>
      </c>
    </row>
    <row r="6734" spans="28:34">
      <c r="AB6734" s="580">
        <f>HLOOKUP("*"&amp;'Output annual'!$AC$2&amp;'Output annual'!$AD$2&amp;"*Zone People Number Of Occupants [](Hourly)",'Eplus results'!$1:$1048576,ROW(),FALSE)</f>
        <v>0</v>
      </c>
      <c r="AC6734" s="580">
        <f>HLOOKUP("*"&amp;'Output annual'!$AC$2&amp;'Output annual'!$AD$2&amp;"*FangerPMV(Hourly)",'Eplus results'!$1:$1048576,ROW(),FALSE)</f>
        <v>0</v>
      </c>
      <c r="AD6734" s="580">
        <f t="shared" si="561"/>
        <v>5</v>
      </c>
      <c r="AE6734" s="580">
        <f t="shared" si="562"/>
        <v>2.5</v>
      </c>
      <c r="AF6734" s="580">
        <f t="shared" si="563"/>
        <v>2.5</v>
      </c>
      <c r="AG6734" s="580">
        <f t="shared" si="564"/>
        <v>0</v>
      </c>
      <c r="AH6734" s="580">
        <f t="shared" si="565"/>
        <v>0</v>
      </c>
    </row>
    <row r="6735" spans="28:34">
      <c r="AB6735" s="580">
        <f>HLOOKUP("*"&amp;'Output annual'!$AC$2&amp;'Output annual'!$AD$2&amp;"*Zone People Number Of Occupants [](Hourly)",'Eplus results'!$1:$1048576,ROW(),FALSE)</f>
        <v>0</v>
      </c>
      <c r="AC6735" s="580">
        <f>HLOOKUP("*"&amp;'Output annual'!$AC$2&amp;'Output annual'!$AD$2&amp;"*FangerPMV(Hourly)",'Eplus results'!$1:$1048576,ROW(),FALSE)</f>
        <v>0</v>
      </c>
      <c r="AD6735" s="580">
        <f t="shared" si="561"/>
        <v>5</v>
      </c>
      <c r="AE6735" s="580">
        <f t="shared" si="562"/>
        <v>2.5</v>
      </c>
      <c r="AF6735" s="580">
        <f t="shared" si="563"/>
        <v>2.5</v>
      </c>
      <c r="AG6735" s="580">
        <f t="shared" si="564"/>
        <v>0</v>
      </c>
      <c r="AH6735" s="580">
        <f t="shared" si="565"/>
        <v>0</v>
      </c>
    </row>
    <row r="6736" spans="28:34">
      <c r="AB6736" s="580">
        <f>HLOOKUP("*"&amp;'Output annual'!$AC$2&amp;'Output annual'!$AD$2&amp;"*Zone People Number Of Occupants [](Hourly)",'Eplus results'!$1:$1048576,ROW(),FALSE)</f>
        <v>0</v>
      </c>
      <c r="AC6736" s="580">
        <f>HLOOKUP("*"&amp;'Output annual'!$AC$2&amp;'Output annual'!$AD$2&amp;"*FangerPMV(Hourly)",'Eplus results'!$1:$1048576,ROW(),FALSE)</f>
        <v>0</v>
      </c>
      <c r="AD6736" s="580">
        <f t="shared" si="561"/>
        <v>5</v>
      </c>
      <c r="AE6736" s="580">
        <f t="shared" si="562"/>
        <v>2.5</v>
      </c>
      <c r="AF6736" s="580">
        <f t="shared" si="563"/>
        <v>2.5</v>
      </c>
      <c r="AG6736" s="580">
        <f t="shared" si="564"/>
        <v>0</v>
      </c>
      <c r="AH6736" s="580">
        <f t="shared" si="565"/>
        <v>0</v>
      </c>
    </row>
    <row r="6737" spans="28:34">
      <c r="AB6737" s="580">
        <f>HLOOKUP("*"&amp;'Output annual'!$AC$2&amp;'Output annual'!$AD$2&amp;"*Zone People Number Of Occupants [](Hourly)",'Eplus results'!$1:$1048576,ROW(),FALSE)</f>
        <v>0</v>
      </c>
      <c r="AC6737" s="580">
        <f>HLOOKUP("*"&amp;'Output annual'!$AC$2&amp;'Output annual'!$AD$2&amp;"*FangerPMV(Hourly)",'Eplus results'!$1:$1048576,ROW(),FALSE)</f>
        <v>0</v>
      </c>
      <c r="AD6737" s="580">
        <f t="shared" si="561"/>
        <v>5</v>
      </c>
      <c r="AE6737" s="580">
        <f t="shared" si="562"/>
        <v>2.5</v>
      </c>
      <c r="AF6737" s="580">
        <f t="shared" si="563"/>
        <v>2.5</v>
      </c>
      <c r="AG6737" s="580">
        <f t="shared" si="564"/>
        <v>0</v>
      </c>
      <c r="AH6737" s="580">
        <f t="shared" si="565"/>
        <v>0</v>
      </c>
    </row>
    <row r="6738" spans="28:34">
      <c r="AB6738" s="580">
        <f>HLOOKUP("*"&amp;'Output annual'!$AC$2&amp;'Output annual'!$AD$2&amp;"*Zone People Number Of Occupants [](Hourly)",'Eplus results'!$1:$1048576,ROW(),FALSE)</f>
        <v>0</v>
      </c>
      <c r="AC6738" s="580">
        <f>HLOOKUP("*"&amp;'Output annual'!$AC$2&amp;'Output annual'!$AD$2&amp;"*FangerPMV(Hourly)",'Eplus results'!$1:$1048576,ROW(),FALSE)</f>
        <v>0</v>
      </c>
      <c r="AD6738" s="580">
        <f t="shared" si="561"/>
        <v>5</v>
      </c>
      <c r="AE6738" s="580">
        <f t="shared" si="562"/>
        <v>2.5</v>
      </c>
      <c r="AF6738" s="580">
        <f t="shared" si="563"/>
        <v>2.5</v>
      </c>
      <c r="AG6738" s="580">
        <f t="shared" si="564"/>
        <v>0</v>
      </c>
      <c r="AH6738" s="580">
        <f t="shared" si="565"/>
        <v>0</v>
      </c>
    </row>
    <row r="6739" spans="28:34">
      <c r="AB6739" s="580">
        <f>HLOOKUP("*"&amp;'Output annual'!$AC$2&amp;'Output annual'!$AD$2&amp;"*Zone People Number Of Occupants [](Hourly)",'Eplus results'!$1:$1048576,ROW(),FALSE)</f>
        <v>0</v>
      </c>
      <c r="AC6739" s="580">
        <f>HLOOKUP("*"&amp;'Output annual'!$AC$2&amp;'Output annual'!$AD$2&amp;"*FangerPMV(Hourly)",'Eplus results'!$1:$1048576,ROW(),FALSE)</f>
        <v>0</v>
      </c>
      <c r="AD6739" s="580">
        <f t="shared" si="561"/>
        <v>5</v>
      </c>
      <c r="AE6739" s="580">
        <f t="shared" si="562"/>
        <v>2.5</v>
      </c>
      <c r="AF6739" s="580">
        <f t="shared" si="563"/>
        <v>2.5</v>
      </c>
      <c r="AG6739" s="580">
        <f t="shared" si="564"/>
        <v>0</v>
      </c>
      <c r="AH6739" s="580">
        <f t="shared" si="565"/>
        <v>0</v>
      </c>
    </row>
    <row r="6740" spans="28:34">
      <c r="AB6740" s="580">
        <f>HLOOKUP("*"&amp;'Output annual'!$AC$2&amp;'Output annual'!$AD$2&amp;"*Zone People Number Of Occupants [](Hourly)",'Eplus results'!$1:$1048576,ROW(),FALSE)</f>
        <v>0</v>
      </c>
      <c r="AC6740" s="580">
        <f>HLOOKUP("*"&amp;'Output annual'!$AC$2&amp;'Output annual'!$AD$2&amp;"*FangerPMV(Hourly)",'Eplus results'!$1:$1048576,ROW(),FALSE)</f>
        <v>0</v>
      </c>
      <c r="AD6740" s="580">
        <f t="shared" si="561"/>
        <v>5</v>
      </c>
      <c r="AE6740" s="580">
        <f t="shared" si="562"/>
        <v>2.5</v>
      </c>
      <c r="AF6740" s="580">
        <f t="shared" si="563"/>
        <v>2.5</v>
      </c>
      <c r="AG6740" s="580">
        <f t="shared" si="564"/>
        <v>0</v>
      </c>
      <c r="AH6740" s="580">
        <f t="shared" si="565"/>
        <v>0</v>
      </c>
    </row>
    <row r="6741" spans="28:34">
      <c r="AB6741" s="580">
        <f>HLOOKUP("*"&amp;'Output annual'!$AC$2&amp;'Output annual'!$AD$2&amp;"*Zone People Number Of Occupants [](Hourly)",'Eplus results'!$1:$1048576,ROW(),FALSE)</f>
        <v>0</v>
      </c>
      <c r="AC6741" s="580">
        <f>HLOOKUP("*"&amp;'Output annual'!$AC$2&amp;'Output annual'!$AD$2&amp;"*FangerPMV(Hourly)",'Eplus results'!$1:$1048576,ROW(),FALSE)</f>
        <v>0</v>
      </c>
      <c r="AD6741" s="580">
        <f t="shared" si="561"/>
        <v>5</v>
      </c>
      <c r="AE6741" s="580">
        <f t="shared" si="562"/>
        <v>2.5</v>
      </c>
      <c r="AF6741" s="580">
        <f t="shared" si="563"/>
        <v>2.5</v>
      </c>
      <c r="AG6741" s="580">
        <f t="shared" si="564"/>
        <v>0</v>
      </c>
      <c r="AH6741" s="580">
        <f t="shared" si="565"/>
        <v>0</v>
      </c>
    </row>
    <row r="6742" spans="28:34">
      <c r="AB6742" s="580">
        <f>HLOOKUP("*"&amp;'Output annual'!$AC$2&amp;'Output annual'!$AD$2&amp;"*Zone People Number Of Occupants [](Hourly)",'Eplus results'!$1:$1048576,ROW(),FALSE)</f>
        <v>0</v>
      </c>
      <c r="AC6742" s="580">
        <f>HLOOKUP("*"&amp;'Output annual'!$AC$2&amp;'Output annual'!$AD$2&amp;"*FangerPMV(Hourly)",'Eplus results'!$1:$1048576,ROW(),FALSE)</f>
        <v>0</v>
      </c>
      <c r="AD6742" s="580">
        <f t="shared" si="561"/>
        <v>5</v>
      </c>
      <c r="AE6742" s="580">
        <f t="shared" si="562"/>
        <v>2.5</v>
      </c>
      <c r="AF6742" s="580">
        <f t="shared" si="563"/>
        <v>2.5</v>
      </c>
      <c r="AG6742" s="580">
        <f t="shared" si="564"/>
        <v>0</v>
      </c>
      <c r="AH6742" s="580">
        <f t="shared" si="565"/>
        <v>0</v>
      </c>
    </row>
    <row r="6743" spans="28:34">
      <c r="AB6743" s="580">
        <f>HLOOKUP("*"&amp;'Output annual'!$AC$2&amp;'Output annual'!$AD$2&amp;"*Zone People Number Of Occupants [](Hourly)",'Eplus results'!$1:$1048576,ROW(),FALSE)</f>
        <v>0</v>
      </c>
      <c r="AC6743" s="580">
        <f>HLOOKUP("*"&amp;'Output annual'!$AC$2&amp;'Output annual'!$AD$2&amp;"*FangerPMV(Hourly)",'Eplus results'!$1:$1048576,ROW(),FALSE)</f>
        <v>0</v>
      </c>
      <c r="AD6743" s="580">
        <f t="shared" si="561"/>
        <v>5</v>
      </c>
      <c r="AE6743" s="580">
        <f t="shared" si="562"/>
        <v>2.5</v>
      </c>
      <c r="AF6743" s="580">
        <f t="shared" si="563"/>
        <v>2.5</v>
      </c>
      <c r="AG6743" s="580">
        <f t="shared" si="564"/>
        <v>0</v>
      </c>
      <c r="AH6743" s="580">
        <f t="shared" si="565"/>
        <v>0</v>
      </c>
    </row>
    <row r="6744" spans="28:34">
      <c r="AB6744" s="580">
        <f>HLOOKUP("*"&amp;'Output annual'!$AC$2&amp;'Output annual'!$AD$2&amp;"*Zone People Number Of Occupants [](Hourly)",'Eplus results'!$1:$1048576,ROW(),FALSE)</f>
        <v>0</v>
      </c>
      <c r="AC6744" s="580">
        <f>HLOOKUP("*"&amp;'Output annual'!$AC$2&amp;'Output annual'!$AD$2&amp;"*FangerPMV(Hourly)",'Eplus results'!$1:$1048576,ROW(),FALSE)</f>
        <v>0</v>
      </c>
      <c r="AD6744" s="580">
        <f t="shared" si="561"/>
        <v>5</v>
      </c>
      <c r="AE6744" s="580">
        <f t="shared" si="562"/>
        <v>2.5</v>
      </c>
      <c r="AF6744" s="580">
        <f t="shared" si="563"/>
        <v>2.5</v>
      </c>
      <c r="AG6744" s="580">
        <f t="shared" si="564"/>
        <v>0</v>
      </c>
      <c r="AH6744" s="580">
        <f t="shared" si="565"/>
        <v>0</v>
      </c>
    </row>
    <row r="6745" spans="28:34">
      <c r="AB6745" s="580">
        <f>HLOOKUP("*"&amp;'Output annual'!$AC$2&amp;'Output annual'!$AD$2&amp;"*Zone People Number Of Occupants [](Hourly)",'Eplus results'!$1:$1048576,ROW(),FALSE)</f>
        <v>0</v>
      </c>
      <c r="AC6745" s="580">
        <f>HLOOKUP("*"&amp;'Output annual'!$AC$2&amp;'Output annual'!$AD$2&amp;"*FangerPMV(Hourly)",'Eplus results'!$1:$1048576,ROW(),FALSE)</f>
        <v>0</v>
      </c>
      <c r="AD6745" s="580">
        <f t="shared" si="561"/>
        <v>5</v>
      </c>
      <c r="AE6745" s="580">
        <f t="shared" si="562"/>
        <v>2.5</v>
      </c>
      <c r="AF6745" s="580">
        <f t="shared" si="563"/>
        <v>2.5</v>
      </c>
      <c r="AG6745" s="580">
        <f t="shared" si="564"/>
        <v>0</v>
      </c>
      <c r="AH6745" s="580">
        <f t="shared" si="565"/>
        <v>0</v>
      </c>
    </row>
    <row r="6746" spans="28:34">
      <c r="AB6746" s="580">
        <f>HLOOKUP("*"&amp;'Output annual'!$AC$2&amp;'Output annual'!$AD$2&amp;"*Zone People Number Of Occupants [](Hourly)",'Eplus results'!$1:$1048576,ROW(),FALSE)</f>
        <v>0</v>
      </c>
      <c r="AC6746" s="580">
        <f>HLOOKUP("*"&amp;'Output annual'!$AC$2&amp;'Output annual'!$AD$2&amp;"*FangerPMV(Hourly)",'Eplus results'!$1:$1048576,ROW(),FALSE)</f>
        <v>0</v>
      </c>
      <c r="AD6746" s="580">
        <f t="shared" si="561"/>
        <v>5</v>
      </c>
      <c r="AE6746" s="580">
        <f t="shared" si="562"/>
        <v>2.5</v>
      </c>
      <c r="AF6746" s="580">
        <f t="shared" si="563"/>
        <v>2.5</v>
      </c>
      <c r="AG6746" s="580">
        <f t="shared" si="564"/>
        <v>0</v>
      </c>
      <c r="AH6746" s="580">
        <f t="shared" si="565"/>
        <v>0</v>
      </c>
    </row>
    <row r="6747" spans="28:34">
      <c r="AB6747" s="580">
        <f>HLOOKUP("*"&amp;'Output annual'!$AC$2&amp;'Output annual'!$AD$2&amp;"*Zone People Number Of Occupants [](Hourly)",'Eplus results'!$1:$1048576,ROW(),FALSE)</f>
        <v>0</v>
      </c>
      <c r="AC6747" s="580">
        <f>HLOOKUP("*"&amp;'Output annual'!$AC$2&amp;'Output annual'!$AD$2&amp;"*FangerPMV(Hourly)",'Eplus results'!$1:$1048576,ROW(),FALSE)</f>
        <v>0</v>
      </c>
      <c r="AD6747" s="580">
        <f t="shared" si="561"/>
        <v>5</v>
      </c>
      <c r="AE6747" s="580">
        <f t="shared" si="562"/>
        <v>2.5</v>
      </c>
      <c r="AF6747" s="580">
        <f t="shared" si="563"/>
        <v>2.5</v>
      </c>
      <c r="AG6747" s="580">
        <f t="shared" si="564"/>
        <v>0</v>
      </c>
      <c r="AH6747" s="580">
        <f t="shared" si="565"/>
        <v>0</v>
      </c>
    </row>
    <row r="6748" spans="28:34">
      <c r="AB6748" s="580">
        <f>HLOOKUP("*"&amp;'Output annual'!$AC$2&amp;'Output annual'!$AD$2&amp;"*Zone People Number Of Occupants [](Hourly)",'Eplus results'!$1:$1048576,ROW(),FALSE)</f>
        <v>0</v>
      </c>
      <c r="AC6748" s="580">
        <f>HLOOKUP("*"&amp;'Output annual'!$AC$2&amp;'Output annual'!$AD$2&amp;"*FangerPMV(Hourly)",'Eplus results'!$1:$1048576,ROW(),FALSE)</f>
        <v>0</v>
      </c>
      <c r="AD6748" s="580">
        <f t="shared" si="561"/>
        <v>5</v>
      </c>
      <c r="AE6748" s="580">
        <f t="shared" si="562"/>
        <v>2.5</v>
      </c>
      <c r="AF6748" s="580">
        <f t="shared" si="563"/>
        <v>2.5</v>
      </c>
      <c r="AG6748" s="580">
        <f t="shared" si="564"/>
        <v>0</v>
      </c>
      <c r="AH6748" s="580">
        <f t="shared" si="565"/>
        <v>0</v>
      </c>
    </row>
    <row r="6749" spans="28:34">
      <c r="AB6749" s="580">
        <f>HLOOKUP("*"&amp;'Output annual'!$AC$2&amp;'Output annual'!$AD$2&amp;"*Zone People Number Of Occupants [](Hourly)",'Eplus results'!$1:$1048576,ROW(),FALSE)</f>
        <v>0</v>
      </c>
      <c r="AC6749" s="580">
        <f>HLOOKUP("*"&amp;'Output annual'!$AC$2&amp;'Output annual'!$AD$2&amp;"*FangerPMV(Hourly)",'Eplus results'!$1:$1048576,ROW(),FALSE)</f>
        <v>0</v>
      </c>
      <c r="AD6749" s="580">
        <f t="shared" si="561"/>
        <v>5</v>
      </c>
      <c r="AE6749" s="580">
        <f t="shared" si="562"/>
        <v>2.5</v>
      </c>
      <c r="AF6749" s="580">
        <f t="shared" si="563"/>
        <v>2.5</v>
      </c>
      <c r="AG6749" s="580">
        <f t="shared" si="564"/>
        <v>0</v>
      </c>
      <c r="AH6749" s="580">
        <f t="shared" si="565"/>
        <v>0</v>
      </c>
    </row>
    <row r="6750" spans="28:34">
      <c r="AB6750" s="580">
        <f>HLOOKUP("*"&amp;'Output annual'!$AC$2&amp;'Output annual'!$AD$2&amp;"*Zone People Number Of Occupants [](Hourly)",'Eplus results'!$1:$1048576,ROW(),FALSE)</f>
        <v>0</v>
      </c>
      <c r="AC6750" s="580">
        <f>HLOOKUP("*"&amp;'Output annual'!$AC$2&amp;'Output annual'!$AD$2&amp;"*FangerPMV(Hourly)",'Eplus results'!$1:$1048576,ROW(),FALSE)</f>
        <v>0</v>
      </c>
      <c r="AD6750" s="580">
        <f t="shared" si="561"/>
        <v>5</v>
      </c>
      <c r="AE6750" s="580">
        <f t="shared" si="562"/>
        <v>2.5</v>
      </c>
      <c r="AF6750" s="580">
        <f t="shared" si="563"/>
        <v>2.5</v>
      </c>
      <c r="AG6750" s="580">
        <f t="shared" si="564"/>
        <v>0</v>
      </c>
      <c r="AH6750" s="580">
        <f t="shared" si="565"/>
        <v>0</v>
      </c>
    </row>
    <row r="6751" spans="28:34">
      <c r="AB6751" s="580">
        <f>HLOOKUP("*"&amp;'Output annual'!$AC$2&amp;'Output annual'!$AD$2&amp;"*Zone People Number Of Occupants [](Hourly)",'Eplus results'!$1:$1048576,ROW(),FALSE)</f>
        <v>0</v>
      </c>
      <c r="AC6751" s="580">
        <f>HLOOKUP("*"&amp;'Output annual'!$AC$2&amp;'Output annual'!$AD$2&amp;"*FangerPMV(Hourly)",'Eplus results'!$1:$1048576,ROW(),FALSE)</f>
        <v>0</v>
      </c>
      <c r="AD6751" s="580">
        <f t="shared" si="561"/>
        <v>5</v>
      </c>
      <c r="AE6751" s="580">
        <f t="shared" si="562"/>
        <v>2.5</v>
      </c>
      <c r="AF6751" s="580">
        <f t="shared" si="563"/>
        <v>2.5</v>
      </c>
      <c r="AG6751" s="580">
        <f t="shared" si="564"/>
        <v>0</v>
      </c>
      <c r="AH6751" s="580">
        <f t="shared" si="565"/>
        <v>0</v>
      </c>
    </row>
    <row r="6752" spans="28:34">
      <c r="AB6752" s="580">
        <f>HLOOKUP("*"&amp;'Output annual'!$AC$2&amp;'Output annual'!$AD$2&amp;"*Zone People Number Of Occupants [](Hourly)",'Eplus results'!$1:$1048576,ROW(),FALSE)</f>
        <v>0</v>
      </c>
      <c r="AC6752" s="580">
        <f>HLOOKUP("*"&amp;'Output annual'!$AC$2&amp;'Output annual'!$AD$2&amp;"*FangerPMV(Hourly)",'Eplus results'!$1:$1048576,ROW(),FALSE)</f>
        <v>0</v>
      </c>
      <c r="AD6752" s="580">
        <f t="shared" si="561"/>
        <v>5</v>
      </c>
      <c r="AE6752" s="580">
        <f t="shared" si="562"/>
        <v>2.5</v>
      </c>
      <c r="AF6752" s="580">
        <f t="shared" si="563"/>
        <v>2.5</v>
      </c>
      <c r="AG6752" s="580">
        <f t="shared" si="564"/>
        <v>0</v>
      </c>
      <c r="AH6752" s="580">
        <f t="shared" si="565"/>
        <v>0</v>
      </c>
    </row>
    <row r="6753" spans="28:34">
      <c r="AB6753" s="580">
        <f>HLOOKUP("*"&amp;'Output annual'!$AC$2&amp;'Output annual'!$AD$2&amp;"*Zone People Number Of Occupants [](Hourly)",'Eplus results'!$1:$1048576,ROW(),FALSE)</f>
        <v>0</v>
      </c>
      <c r="AC6753" s="580">
        <f>HLOOKUP("*"&amp;'Output annual'!$AC$2&amp;'Output annual'!$AD$2&amp;"*FangerPMV(Hourly)",'Eplus results'!$1:$1048576,ROW(),FALSE)</f>
        <v>0</v>
      </c>
      <c r="AD6753" s="580">
        <f t="shared" si="561"/>
        <v>5</v>
      </c>
      <c r="AE6753" s="580">
        <f t="shared" si="562"/>
        <v>2.5</v>
      </c>
      <c r="AF6753" s="580">
        <f t="shared" si="563"/>
        <v>2.5</v>
      </c>
      <c r="AG6753" s="580">
        <f t="shared" si="564"/>
        <v>0</v>
      </c>
      <c r="AH6753" s="580">
        <f t="shared" si="565"/>
        <v>0</v>
      </c>
    </row>
    <row r="6754" spans="28:34">
      <c r="AB6754" s="580">
        <f>HLOOKUP("*"&amp;'Output annual'!$AC$2&amp;'Output annual'!$AD$2&amp;"*Zone People Number Of Occupants [](Hourly)",'Eplus results'!$1:$1048576,ROW(),FALSE)</f>
        <v>0</v>
      </c>
      <c r="AC6754" s="580">
        <f>HLOOKUP("*"&amp;'Output annual'!$AC$2&amp;'Output annual'!$AD$2&amp;"*FangerPMV(Hourly)",'Eplus results'!$1:$1048576,ROW(),FALSE)</f>
        <v>0</v>
      </c>
      <c r="AD6754" s="580">
        <f t="shared" si="561"/>
        <v>5</v>
      </c>
      <c r="AE6754" s="580">
        <f t="shared" si="562"/>
        <v>2.5</v>
      </c>
      <c r="AF6754" s="580">
        <f t="shared" si="563"/>
        <v>2.5</v>
      </c>
      <c r="AG6754" s="580">
        <f t="shared" si="564"/>
        <v>0</v>
      </c>
      <c r="AH6754" s="580">
        <f t="shared" si="565"/>
        <v>0</v>
      </c>
    </row>
    <row r="6755" spans="28:34">
      <c r="AB6755" s="580">
        <f>HLOOKUP("*"&amp;'Output annual'!$AC$2&amp;'Output annual'!$AD$2&amp;"*Zone People Number Of Occupants [](Hourly)",'Eplus results'!$1:$1048576,ROW(),FALSE)</f>
        <v>0</v>
      </c>
      <c r="AC6755" s="580">
        <f>HLOOKUP("*"&amp;'Output annual'!$AC$2&amp;'Output annual'!$AD$2&amp;"*FangerPMV(Hourly)",'Eplus results'!$1:$1048576,ROW(),FALSE)</f>
        <v>0</v>
      </c>
      <c r="AD6755" s="580">
        <f t="shared" si="561"/>
        <v>5</v>
      </c>
      <c r="AE6755" s="580">
        <f t="shared" si="562"/>
        <v>2.5</v>
      </c>
      <c r="AF6755" s="580">
        <f t="shared" si="563"/>
        <v>2.5</v>
      </c>
      <c r="AG6755" s="580">
        <f t="shared" si="564"/>
        <v>0</v>
      </c>
      <c r="AH6755" s="580">
        <f t="shared" si="565"/>
        <v>0</v>
      </c>
    </row>
    <row r="6756" spans="28:34">
      <c r="AB6756" s="580">
        <f>HLOOKUP("*"&amp;'Output annual'!$AC$2&amp;'Output annual'!$AD$2&amp;"*Zone People Number Of Occupants [](Hourly)",'Eplus results'!$1:$1048576,ROW(),FALSE)</f>
        <v>0</v>
      </c>
      <c r="AC6756" s="580">
        <f>HLOOKUP("*"&amp;'Output annual'!$AC$2&amp;'Output annual'!$AD$2&amp;"*FangerPMV(Hourly)",'Eplus results'!$1:$1048576,ROW(),FALSE)</f>
        <v>0</v>
      </c>
      <c r="AD6756" s="580">
        <f t="shared" si="561"/>
        <v>5</v>
      </c>
      <c r="AE6756" s="580">
        <f t="shared" si="562"/>
        <v>2.5</v>
      </c>
      <c r="AF6756" s="580">
        <f t="shared" si="563"/>
        <v>2.5</v>
      </c>
      <c r="AG6756" s="580">
        <f t="shared" si="564"/>
        <v>0</v>
      </c>
      <c r="AH6756" s="580">
        <f t="shared" si="565"/>
        <v>0</v>
      </c>
    </row>
    <row r="6757" spans="28:34">
      <c r="AB6757" s="580">
        <f>HLOOKUP("*"&amp;'Output annual'!$AC$2&amp;'Output annual'!$AD$2&amp;"*Zone People Number Of Occupants [](Hourly)",'Eplus results'!$1:$1048576,ROW(),FALSE)</f>
        <v>0</v>
      </c>
      <c r="AC6757" s="580">
        <f>HLOOKUP("*"&amp;'Output annual'!$AC$2&amp;'Output annual'!$AD$2&amp;"*FangerPMV(Hourly)",'Eplus results'!$1:$1048576,ROW(),FALSE)</f>
        <v>0</v>
      </c>
      <c r="AD6757" s="580">
        <f t="shared" si="561"/>
        <v>5</v>
      </c>
      <c r="AE6757" s="580">
        <f t="shared" si="562"/>
        <v>2.5</v>
      </c>
      <c r="AF6757" s="580">
        <f t="shared" si="563"/>
        <v>2.5</v>
      </c>
      <c r="AG6757" s="580">
        <f t="shared" si="564"/>
        <v>0</v>
      </c>
      <c r="AH6757" s="580">
        <f t="shared" si="565"/>
        <v>0</v>
      </c>
    </row>
    <row r="6758" spans="28:34">
      <c r="AB6758" s="580">
        <f>HLOOKUP("*"&amp;'Output annual'!$AC$2&amp;'Output annual'!$AD$2&amp;"*Zone People Number Of Occupants [](Hourly)",'Eplus results'!$1:$1048576,ROW(),FALSE)</f>
        <v>0</v>
      </c>
      <c r="AC6758" s="580">
        <f>HLOOKUP("*"&amp;'Output annual'!$AC$2&amp;'Output annual'!$AD$2&amp;"*FangerPMV(Hourly)",'Eplus results'!$1:$1048576,ROW(),FALSE)</f>
        <v>0</v>
      </c>
      <c r="AD6758" s="580">
        <f t="shared" si="561"/>
        <v>5</v>
      </c>
      <c r="AE6758" s="580">
        <f t="shared" si="562"/>
        <v>2.5</v>
      </c>
      <c r="AF6758" s="580">
        <f t="shared" si="563"/>
        <v>2.5</v>
      </c>
      <c r="AG6758" s="580">
        <f t="shared" si="564"/>
        <v>0</v>
      </c>
      <c r="AH6758" s="580">
        <f t="shared" si="565"/>
        <v>0</v>
      </c>
    </row>
    <row r="6759" spans="28:34">
      <c r="AB6759" s="580">
        <f>HLOOKUP("*"&amp;'Output annual'!$AC$2&amp;'Output annual'!$AD$2&amp;"*Zone People Number Of Occupants [](Hourly)",'Eplus results'!$1:$1048576,ROW(),FALSE)</f>
        <v>0</v>
      </c>
      <c r="AC6759" s="580">
        <f>HLOOKUP("*"&amp;'Output annual'!$AC$2&amp;'Output annual'!$AD$2&amp;"*FangerPMV(Hourly)",'Eplus results'!$1:$1048576,ROW(),FALSE)</f>
        <v>0</v>
      </c>
      <c r="AD6759" s="580">
        <f t="shared" si="561"/>
        <v>5</v>
      </c>
      <c r="AE6759" s="580">
        <f t="shared" si="562"/>
        <v>2.5</v>
      </c>
      <c r="AF6759" s="580">
        <f t="shared" si="563"/>
        <v>2.5</v>
      </c>
      <c r="AG6759" s="580">
        <f t="shared" si="564"/>
        <v>0</v>
      </c>
      <c r="AH6759" s="580">
        <f t="shared" si="565"/>
        <v>0</v>
      </c>
    </row>
    <row r="6760" spans="28:34">
      <c r="AB6760" s="580">
        <f>HLOOKUP("*"&amp;'Output annual'!$AC$2&amp;'Output annual'!$AD$2&amp;"*Zone People Number Of Occupants [](Hourly)",'Eplus results'!$1:$1048576,ROW(),FALSE)</f>
        <v>0</v>
      </c>
      <c r="AC6760" s="580">
        <f>HLOOKUP("*"&amp;'Output annual'!$AC$2&amp;'Output annual'!$AD$2&amp;"*FangerPMV(Hourly)",'Eplus results'!$1:$1048576,ROW(),FALSE)</f>
        <v>0</v>
      </c>
      <c r="AD6760" s="580">
        <f t="shared" si="561"/>
        <v>5</v>
      </c>
      <c r="AE6760" s="580">
        <f t="shared" si="562"/>
        <v>2.5</v>
      </c>
      <c r="AF6760" s="580">
        <f t="shared" si="563"/>
        <v>2.5</v>
      </c>
      <c r="AG6760" s="580">
        <f t="shared" si="564"/>
        <v>0</v>
      </c>
      <c r="AH6760" s="580">
        <f t="shared" si="565"/>
        <v>0</v>
      </c>
    </row>
    <row r="6761" spans="28:34">
      <c r="AB6761" s="580">
        <f>HLOOKUP("*"&amp;'Output annual'!$AC$2&amp;'Output annual'!$AD$2&amp;"*Zone People Number Of Occupants [](Hourly)",'Eplus results'!$1:$1048576,ROW(),FALSE)</f>
        <v>0</v>
      </c>
      <c r="AC6761" s="580">
        <f>HLOOKUP("*"&amp;'Output annual'!$AC$2&amp;'Output annual'!$AD$2&amp;"*FangerPMV(Hourly)",'Eplus results'!$1:$1048576,ROW(),FALSE)</f>
        <v>0</v>
      </c>
      <c r="AD6761" s="580">
        <f t="shared" si="561"/>
        <v>5</v>
      </c>
      <c r="AE6761" s="580">
        <f t="shared" si="562"/>
        <v>2.5</v>
      </c>
      <c r="AF6761" s="580">
        <f t="shared" si="563"/>
        <v>2.5</v>
      </c>
      <c r="AG6761" s="580">
        <f t="shared" si="564"/>
        <v>0</v>
      </c>
      <c r="AH6761" s="580">
        <f t="shared" si="565"/>
        <v>0</v>
      </c>
    </row>
    <row r="6762" spans="28:34">
      <c r="AB6762" s="580">
        <f>HLOOKUP("*"&amp;'Output annual'!$AC$2&amp;'Output annual'!$AD$2&amp;"*Zone People Number Of Occupants [](Hourly)",'Eplus results'!$1:$1048576,ROW(),FALSE)</f>
        <v>0</v>
      </c>
      <c r="AC6762" s="580">
        <f>HLOOKUP("*"&amp;'Output annual'!$AC$2&amp;'Output annual'!$AD$2&amp;"*FangerPMV(Hourly)",'Eplus results'!$1:$1048576,ROW(),FALSE)</f>
        <v>0</v>
      </c>
      <c r="AD6762" s="580">
        <f t="shared" si="561"/>
        <v>5</v>
      </c>
      <c r="AE6762" s="580">
        <f t="shared" si="562"/>
        <v>2.5</v>
      </c>
      <c r="AF6762" s="580">
        <f t="shared" si="563"/>
        <v>2.5</v>
      </c>
      <c r="AG6762" s="580">
        <f t="shared" si="564"/>
        <v>0</v>
      </c>
      <c r="AH6762" s="580">
        <f t="shared" si="565"/>
        <v>0</v>
      </c>
    </row>
    <row r="6763" spans="28:34">
      <c r="AB6763" s="580">
        <f>HLOOKUP("*"&amp;'Output annual'!$AC$2&amp;'Output annual'!$AD$2&amp;"*Zone People Number Of Occupants [](Hourly)",'Eplus results'!$1:$1048576,ROW(),FALSE)</f>
        <v>0</v>
      </c>
      <c r="AC6763" s="580">
        <f>HLOOKUP("*"&amp;'Output annual'!$AC$2&amp;'Output annual'!$AD$2&amp;"*FangerPMV(Hourly)",'Eplus results'!$1:$1048576,ROW(),FALSE)</f>
        <v>0</v>
      </c>
      <c r="AD6763" s="580">
        <f t="shared" si="561"/>
        <v>5</v>
      </c>
      <c r="AE6763" s="580">
        <f t="shared" si="562"/>
        <v>2.5</v>
      </c>
      <c r="AF6763" s="580">
        <f t="shared" si="563"/>
        <v>2.5</v>
      </c>
      <c r="AG6763" s="580">
        <f t="shared" si="564"/>
        <v>0</v>
      </c>
      <c r="AH6763" s="580">
        <f t="shared" si="565"/>
        <v>0</v>
      </c>
    </row>
    <row r="6764" spans="28:34">
      <c r="AB6764" s="580">
        <f>HLOOKUP("*"&amp;'Output annual'!$AC$2&amp;'Output annual'!$AD$2&amp;"*Zone People Number Of Occupants [](Hourly)",'Eplus results'!$1:$1048576,ROW(),FALSE)</f>
        <v>0</v>
      </c>
      <c r="AC6764" s="580">
        <f>HLOOKUP("*"&amp;'Output annual'!$AC$2&amp;'Output annual'!$AD$2&amp;"*FangerPMV(Hourly)",'Eplus results'!$1:$1048576,ROW(),FALSE)</f>
        <v>0</v>
      </c>
      <c r="AD6764" s="580">
        <f t="shared" si="561"/>
        <v>5</v>
      </c>
      <c r="AE6764" s="580">
        <f t="shared" si="562"/>
        <v>2.5</v>
      </c>
      <c r="AF6764" s="580">
        <f t="shared" si="563"/>
        <v>2.5</v>
      </c>
      <c r="AG6764" s="580">
        <f t="shared" si="564"/>
        <v>0</v>
      </c>
      <c r="AH6764" s="580">
        <f t="shared" si="565"/>
        <v>0</v>
      </c>
    </row>
    <row r="6765" spans="28:34">
      <c r="AB6765" s="580">
        <f>HLOOKUP("*"&amp;'Output annual'!$AC$2&amp;'Output annual'!$AD$2&amp;"*Zone People Number Of Occupants [](Hourly)",'Eplus results'!$1:$1048576,ROW(),FALSE)</f>
        <v>0</v>
      </c>
      <c r="AC6765" s="580">
        <f>HLOOKUP("*"&amp;'Output annual'!$AC$2&amp;'Output annual'!$AD$2&amp;"*FangerPMV(Hourly)",'Eplus results'!$1:$1048576,ROW(),FALSE)</f>
        <v>0</v>
      </c>
      <c r="AD6765" s="580">
        <f t="shared" si="561"/>
        <v>5</v>
      </c>
      <c r="AE6765" s="580">
        <f t="shared" si="562"/>
        <v>2.5</v>
      </c>
      <c r="AF6765" s="580">
        <f t="shared" si="563"/>
        <v>2.5</v>
      </c>
      <c r="AG6765" s="580">
        <f t="shared" si="564"/>
        <v>0</v>
      </c>
      <c r="AH6765" s="580">
        <f t="shared" si="565"/>
        <v>0</v>
      </c>
    </row>
    <row r="6766" spans="28:34">
      <c r="AB6766" s="580">
        <f>HLOOKUP("*"&amp;'Output annual'!$AC$2&amp;'Output annual'!$AD$2&amp;"*Zone People Number Of Occupants [](Hourly)",'Eplus results'!$1:$1048576,ROW(),FALSE)</f>
        <v>0</v>
      </c>
      <c r="AC6766" s="580">
        <f>HLOOKUP("*"&amp;'Output annual'!$AC$2&amp;'Output annual'!$AD$2&amp;"*FangerPMV(Hourly)",'Eplus results'!$1:$1048576,ROW(),FALSE)</f>
        <v>0</v>
      </c>
      <c r="AD6766" s="580">
        <f t="shared" si="561"/>
        <v>5</v>
      </c>
      <c r="AE6766" s="580">
        <f t="shared" si="562"/>
        <v>2.5</v>
      </c>
      <c r="AF6766" s="580">
        <f t="shared" si="563"/>
        <v>2.5</v>
      </c>
      <c r="AG6766" s="580">
        <f t="shared" si="564"/>
        <v>0</v>
      </c>
      <c r="AH6766" s="580">
        <f t="shared" si="565"/>
        <v>0</v>
      </c>
    </row>
    <row r="6767" spans="28:34">
      <c r="AB6767" s="580">
        <f>HLOOKUP("*"&amp;'Output annual'!$AC$2&amp;'Output annual'!$AD$2&amp;"*Zone People Number Of Occupants [](Hourly)",'Eplus results'!$1:$1048576,ROW(),FALSE)</f>
        <v>0</v>
      </c>
      <c r="AC6767" s="580">
        <f>HLOOKUP("*"&amp;'Output annual'!$AC$2&amp;'Output annual'!$AD$2&amp;"*FangerPMV(Hourly)",'Eplus results'!$1:$1048576,ROW(),FALSE)</f>
        <v>0</v>
      </c>
      <c r="AD6767" s="580">
        <f t="shared" si="561"/>
        <v>5</v>
      </c>
      <c r="AE6767" s="580">
        <f t="shared" si="562"/>
        <v>2.5</v>
      </c>
      <c r="AF6767" s="580">
        <f t="shared" si="563"/>
        <v>2.5</v>
      </c>
      <c r="AG6767" s="580">
        <f t="shared" si="564"/>
        <v>0</v>
      </c>
      <c r="AH6767" s="580">
        <f t="shared" si="565"/>
        <v>0</v>
      </c>
    </row>
    <row r="6768" spans="28:34">
      <c r="AB6768" s="580">
        <f>HLOOKUP("*"&amp;'Output annual'!$AC$2&amp;'Output annual'!$AD$2&amp;"*Zone People Number Of Occupants [](Hourly)",'Eplus results'!$1:$1048576,ROW(),FALSE)</f>
        <v>0</v>
      </c>
      <c r="AC6768" s="580">
        <f>HLOOKUP("*"&amp;'Output annual'!$AC$2&amp;'Output annual'!$AD$2&amp;"*FangerPMV(Hourly)",'Eplus results'!$1:$1048576,ROW(),FALSE)</f>
        <v>0</v>
      </c>
      <c r="AD6768" s="580">
        <f t="shared" si="561"/>
        <v>5</v>
      </c>
      <c r="AE6768" s="580">
        <f t="shared" si="562"/>
        <v>2.5</v>
      </c>
      <c r="AF6768" s="580">
        <f t="shared" si="563"/>
        <v>2.5</v>
      </c>
      <c r="AG6768" s="580">
        <f t="shared" si="564"/>
        <v>0</v>
      </c>
      <c r="AH6768" s="580">
        <f t="shared" si="565"/>
        <v>0</v>
      </c>
    </row>
    <row r="6769" spans="28:34">
      <c r="AB6769" s="580">
        <f>HLOOKUP("*"&amp;'Output annual'!$AC$2&amp;'Output annual'!$AD$2&amp;"*Zone People Number Of Occupants [](Hourly)",'Eplus results'!$1:$1048576,ROW(),FALSE)</f>
        <v>0</v>
      </c>
      <c r="AC6769" s="580">
        <f>HLOOKUP("*"&amp;'Output annual'!$AC$2&amp;'Output annual'!$AD$2&amp;"*FangerPMV(Hourly)",'Eplus results'!$1:$1048576,ROW(),FALSE)</f>
        <v>0</v>
      </c>
      <c r="AD6769" s="580">
        <f t="shared" si="561"/>
        <v>5</v>
      </c>
      <c r="AE6769" s="580">
        <f t="shared" si="562"/>
        <v>2.5</v>
      </c>
      <c r="AF6769" s="580">
        <f t="shared" si="563"/>
        <v>2.5</v>
      </c>
      <c r="AG6769" s="580">
        <f t="shared" si="564"/>
        <v>0</v>
      </c>
      <c r="AH6769" s="580">
        <f t="shared" si="565"/>
        <v>0</v>
      </c>
    </row>
    <row r="6770" spans="28:34">
      <c r="AB6770" s="580">
        <f>HLOOKUP("*"&amp;'Output annual'!$AC$2&amp;'Output annual'!$AD$2&amp;"*Zone People Number Of Occupants [](Hourly)",'Eplus results'!$1:$1048576,ROW(),FALSE)</f>
        <v>0</v>
      </c>
      <c r="AC6770" s="580">
        <f>HLOOKUP("*"&amp;'Output annual'!$AC$2&amp;'Output annual'!$AD$2&amp;"*FangerPMV(Hourly)",'Eplus results'!$1:$1048576,ROW(),FALSE)</f>
        <v>0</v>
      </c>
      <c r="AD6770" s="580">
        <f t="shared" si="561"/>
        <v>5</v>
      </c>
      <c r="AE6770" s="580">
        <f t="shared" si="562"/>
        <v>2.5</v>
      </c>
      <c r="AF6770" s="580">
        <f t="shared" si="563"/>
        <v>2.5</v>
      </c>
      <c r="AG6770" s="580">
        <f t="shared" si="564"/>
        <v>0</v>
      </c>
      <c r="AH6770" s="580">
        <f t="shared" si="565"/>
        <v>0</v>
      </c>
    </row>
    <row r="6771" spans="28:34">
      <c r="AB6771" s="580">
        <f>HLOOKUP("*"&amp;'Output annual'!$AC$2&amp;'Output annual'!$AD$2&amp;"*Zone People Number Of Occupants [](Hourly)",'Eplus results'!$1:$1048576,ROW(),FALSE)</f>
        <v>0</v>
      </c>
      <c r="AC6771" s="580">
        <f>HLOOKUP("*"&amp;'Output annual'!$AC$2&amp;'Output annual'!$AD$2&amp;"*FangerPMV(Hourly)",'Eplus results'!$1:$1048576,ROW(),FALSE)</f>
        <v>0</v>
      </c>
      <c r="AD6771" s="580">
        <f t="shared" si="561"/>
        <v>5</v>
      </c>
      <c r="AE6771" s="580">
        <f t="shared" si="562"/>
        <v>2.5</v>
      </c>
      <c r="AF6771" s="580">
        <f t="shared" si="563"/>
        <v>2.5</v>
      </c>
      <c r="AG6771" s="580">
        <f t="shared" si="564"/>
        <v>0</v>
      </c>
      <c r="AH6771" s="580">
        <f t="shared" si="565"/>
        <v>0</v>
      </c>
    </row>
    <row r="6772" spans="28:34">
      <c r="AB6772" s="580">
        <f>HLOOKUP("*"&amp;'Output annual'!$AC$2&amp;'Output annual'!$AD$2&amp;"*Zone People Number Of Occupants [](Hourly)",'Eplus results'!$1:$1048576,ROW(),FALSE)</f>
        <v>0</v>
      </c>
      <c r="AC6772" s="580">
        <f>HLOOKUP("*"&amp;'Output annual'!$AC$2&amp;'Output annual'!$AD$2&amp;"*FangerPMV(Hourly)",'Eplus results'!$1:$1048576,ROW(),FALSE)</f>
        <v>0</v>
      </c>
      <c r="AD6772" s="580">
        <f t="shared" si="561"/>
        <v>5</v>
      </c>
      <c r="AE6772" s="580">
        <f t="shared" si="562"/>
        <v>2.5</v>
      </c>
      <c r="AF6772" s="580">
        <f t="shared" si="563"/>
        <v>2.5</v>
      </c>
      <c r="AG6772" s="580">
        <f t="shared" si="564"/>
        <v>0</v>
      </c>
      <c r="AH6772" s="580">
        <f t="shared" si="565"/>
        <v>0</v>
      </c>
    </row>
    <row r="6773" spans="28:34">
      <c r="AB6773" s="580">
        <f>HLOOKUP("*"&amp;'Output annual'!$AC$2&amp;'Output annual'!$AD$2&amp;"*Zone People Number Of Occupants [](Hourly)",'Eplus results'!$1:$1048576,ROW(),FALSE)</f>
        <v>0</v>
      </c>
      <c r="AC6773" s="580">
        <f>HLOOKUP("*"&amp;'Output annual'!$AC$2&amp;'Output annual'!$AD$2&amp;"*FangerPMV(Hourly)",'Eplus results'!$1:$1048576,ROW(),FALSE)</f>
        <v>0</v>
      </c>
      <c r="AD6773" s="580">
        <f t="shared" si="561"/>
        <v>5</v>
      </c>
      <c r="AE6773" s="580">
        <f t="shared" si="562"/>
        <v>2.5</v>
      </c>
      <c r="AF6773" s="580">
        <f t="shared" si="563"/>
        <v>2.5</v>
      </c>
      <c r="AG6773" s="580">
        <f t="shared" si="564"/>
        <v>0</v>
      </c>
      <c r="AH6773" s="580">
        <f t="shared" si="565"/>
        <v>0</v>
      </c>
    </row>
    <row r="6774" spans="28:34">
      <c r="AB6774" s="580">
        <f>HLOOKUP("*"&amp;'Output annual'!$AC$2&amp;'Output annual'!$AD$2&amp;"*Zone People Number Of Occupants [](Hourly)",'Eplus results'!$1:$1048576,ROW(),FALSE)</f>
        <v>0</v>
      </c>
      <c r="AC6774" s="580">
        <f>HLOOKUP("*"&amp;'Output annual'!$AC$2&amp;'Output annual'!$AD$2&amp;"*FangerPMV(Hourly)",'Eplus results'!$1:$1048576,ROW(),FALSE)</f>
        <v>0</v>
      </c>
      <c r="AD6774" s="580">
        <f t="shared" si="561"/>
        <v>5</v>
      </c>
      <c r="AE6774" s="580">
        <f t="shared" si="562"/>
        <v>2.5</v>
      </c>
      <c r="AF6774" s="580">
        <f t="shared" si="563"/>
        <v>2.5</v>
      </c>
      <c r="AG6774" s="580">
        <f t="shared" si="564"/>
        <v>0</v>
      </c>
      <c r="AH6774" s="580">
        <f t="shared" si="565"/>
        <v>0</v>
      </c>
    </row>
    <row r="6775" spans="28:34">
      <c r="AB6775" s="580">
        <f>HLOOKUP("*"&amp;'Output annual'!$AC$2&amp;'Output annual'!$AD$2&amp;"*Zone People Number Of Occupants [](Hourly)",'Eplus results'!$1:$1048576,ROW(),FALSE)</f>
        <v>0</v>
      </c>
      <c r="AC6775" s="580">
        <f>HLOOKUP("*"&amp;'Output annual'!$AC$2&amp;'Output annual'!$AD$2&amp;"*FangerPMV(Hourly)",'Eplus results'!$1:$1048576,ROW(),FALSE)</f>
        <v>0</v>
      </c>
      <c r="AD6775" s="580">
        <f t="shared" si="561"/>
        <v>5</v>
      </c>
      <c r="AE6775" s="580">
        <f t="shared" si="562"/>
        <v>2.5</v>
      </c>
      <c r="AF6775" s="580">
        <f t="shared" si="563"/>
        <v>2.5</v>
      </c>
      <c r="AG6775" s="580">
        <f t="shared" si="564"/>
        <v>0</v>
      </c>
      <c r="AH6775" s="580">
        <f t="shared" si="565"/>
        <v>0</v>
      </c>
    </row>
    <row r="6776" spans="28:34">
      <c r="AB6776" s="580">
        <f>HLOOKUP("*"&amp;'Output annual'!$AC$2&amp;'Output annual'!$AD$2&amp;"*Zone People Number Of Occupants [](Hourly)",'Eplus results'!$1:$1048576,ROW(),FALSE)</f>
        <v>0</v>
      </c>
      <c r="AC6776" s="580">
        <f>HLOOKUP("*"&amp;'Output annual'!$AC$2&amp;'Output annual'!$AD$2&amp;"*FangerPMV(Hourly)",'Eplus results'!$1:$1048576,ROW(),FALSE)</f>
        <v>0</v>
      </c>
      <c r="AD6776" s="580">
        <f t="shared" si="561"/>
        <v>5</v>
      </c>
      <c r="AE6776" s="580">
        <f t="shared" si="562"/>
        <v>2.5</v>
      </c>
      <c r="AF6776" s="580">
        <f t="shared" si="563"/>
        <v>2.5</v>
      </c>
      <c r="AG6776" s="580">
        <f t="shared" si="564"/>
        <v>0</v>
      </c>
      <c r="AH6776" s="580">
        <f t="shared" si="565"/>
        <v>0</v>
      </c>
    </row>
    <row r="6777" spans="28:34">
      <c r="AB6777" s="580">
        <f>HLOOKUP("*"&amp;'Output annual'!$AC$2&amp;'Output annual'!$AD$2&amp;"*Zone People Number Of Occupants [](Hourly)",'Eplus results'!$1:$1048576,ROW(),FALSE)</f>
        <v>0</v>
      </c>
      <c r="AC6777" s="580">
        <f>HLOOKUP("*"&amp;'Output annual'!$AC$2&amp;'Output annual'!$AD$2&amp;"*FangerPMV(Hourly)",'Eplus results'!$1:$1048576,ROW(),FALSE)</f>
        <v>0</v>
      </c>
      <c r="AD6777" s="580">
        <f t="shared" si="561"/>
        <v>5</v>
      </c>
      <c r="AE6777" s="580">
        <f t="shared" si="562"/>
        <v>2.5</v>
      </c>
      <c r="AF6777" s="580">
        <f t="shared" si="563"/>
        <v>2.5</v>
      </c>
      <c r="AG6777" s="580">
        <f t="shared" si="564"/>
        <v>0</v>
      </c>
      <c r="AH6777" s="580">
        <f t="shared" si="565"/>
        <v>0</v>
      </c>
    </row>
    <row r="6778" spans="28:34">
      <c r="AB6778" s="580">
        <f>HLOOKUP("*"&amp;'Output annual'!$AC$2&amp;'Output annual'!$AD$2&amp;"*Zone People Number Of Occupants [](Hourly)",'Eplus results'!$1:$1048576,ROW(),FALSE)</f>
        <v>0</v>
      </c>
      <c r="AC6778" s="580">
        <f>HLOOKUP("*"&amp;'Output annual'!$AC$2&amp;'Output annual'!$AD$2&amp;"*FangerPMV(Hourly)",'Eplus results'!$1:$1048576,ROW(),FALSE)</f>
        <v>0</v>
      </c>
      <c r="AD6778" s="580">
        <f t="shared" si="561"/>
        <v>5</v>
      </c>
      <c r="AE6778" s="580">
        <f t="shared" si="562"/>
        <v>2.5</v>
      </c>
      <c r="AF6778" s="580">
        <f t="shared" si="563"/>
        <v>2.5</v>
      </c>
      <c r="AG6778" s="580">
        <f t="shared" si="564"/>
        <v>0</v>
      </c>
      <c r="AH6778" s="580">
        <f t="shared" si="565"/>
        <v>0</v>
      </c>
    </row>
    <row r="6779" spans="28:34">
      <c r="AB6779" s="580">
        <f>HLOOKUP("*"&amp;'Output annual'!$AC$2&amp;'Output annual'!$AD$2&amp;"*Zone People Number Of Occupants [](Hourly)",'Eplus results'!$1:$1048576,ROW(),FALSE)</f>
        <v>0</v>
      </c>
      <c r="AC6779" s="580">
        <f>HLOOKUP("*"&amp;'Output annual'!$AC$2&amp;'Output annual'!$AD$2&amp;"*FangerPMV(Hourly)",'Eplus results'!$1:$1048576,ROW(),FALSE)</f>
        <v>0</v>
      </c>
      <c r="AD6779" s="580">
        <f t="shared" si="561"/>
        <v>5</v>
      </c>
      <c r="AE6779" s="580">
        <f t="shared" si="562"/>
        <v>2.5</v>
      </c>
      <c r="AF6779" s="580">
        <f t="shared" si="563"/>
        <v>2.5</v>
      </c>
      <c r="AG6779" s="580">
        <f t="shared" si="564"/>
        <v>0</v>
      </c>
      <c r="AH6779" s="580">
        <f t="shared" si="565"/>
        <v>0</v>
      </c>
    </row>
    <row r="6780" spans="28:34">
      <c r="AB6780" s="580">
        <f>HLOOKUP("*"&amp;'Output annual'!$AC$2&amp;'Output annual'!$AD$2&amp;"*Zone People Number Of Occupants [](Hourly)",'Eplus results'!$1:$1048576,ROW(),FALSE)</f>
        <v>0</v>
      </c>
      <c r="AC6780" s="580">
        <f>HLOOKUP("*"&amp;'Output annual'!$AC$2&amp;'Output annual'!$AD$2&amp;"*FangerPMV(Hourly)",'Eplus results'!$1:$1048576,ROW(),FALSE)</f>
        <v>0</v>
      </c>
      <c r="AD6780" s="580">
        <f t="shared" si="561"/>
        <v>5</v>
      </c>
      <c r="AE6780" s="580">
        <f t="shared" si="562"/>
        <v>2.5</v>
      </c>
      <c r="AF6780" s="580">
        <f t="shared" si="563"/>
        <v>2.5</v>
      </c>
      <c r="AG6780" s="580">
        <f t="shared" si="564"/>
        <v>0</v>
      </c>
      <c r="AH6780" s="580">
        <f t="shared" si="565"/>
        <v>0</v>
      </c>
    </row>
    <row r="6781" spans="28:34">
      <c r="AB6781" s="580">
        <f>HLOOKUP("*"&amp;'Output annual'!$AC$2&amp;'Output annual'!$AD$2&amp;"*Zone People Number Of Occupants [](Hourly)",'Eplus results'!$1:$1048576,ROW(),FALSE)</f>
        <v>0</v>
      </c>
      <c r="AC6781" s="580">
        <f>HLOOKUP("*"&amp;'Output annual'!$AC$2&amp;'Output annual'!$AD$2&amp;"*FangerPMV(Hourly)",'Eplus results'!$1:$1048576,ROW(),FALSE)</f>
        <v>0</v>
      </c>
      <c r="AD6781" s="580">
        <f t="shared" si="561"/>
        <v>5</v>
      </c>
      <c r="AE6781" s="580">
        <f t="shared" si="562"/>
        <v>2.5</v>
      </c>
      <c r="AF6781" s="580">
        <f t="shared" si="563"/>
        <v>2.5</v>
      </c>
      <c r="AG6781" s="580">
        <f t="shared" si="564"/>
        <v>0</v>
      </c>
      <c r="AH6781" s="580">
        <f t="shared" si="565"/>
        <v>0</v>
      </c>
    </row>
    <row r="6782" spans="28:34">
      <c r="AB6782" s="580">
        <f>HLOOKUP("*"&amp;'Output annual'!$AC$2&amp;'Output annual'!$AD$2&amp;"*Zone People Number Of Occupants [](Hourly)",'Eplus results'!$1:$1048576,ROW(),FALSE)</f>
        <v>0</v>
      </c>
      <c r="AC6782" s="580">
        <f>HLOOKUP("*"&amp;'Output annual'!$AC$2&amp;'Output annual'!$AD$2&amp;"*FangerPMV(Hourly)",'Eplus results'!$1:$1048576,ROW(),FALSE)</f>
        <v>0</v>
      </c>
      <c r="AD6782" s="580">
        <f t="shared" si="561"/>
        <v>5</v>
      </c>
      <c r="AE6782" s="580">
        <f t="shared" si="562"/>
        <v>2.5</v>
      </c>
      <c r="AF6782" s="580">
        <f t="shared" si="563"/>
        <v>2.5</v>
      </c>
      <c r="AG6782" s="580">
        <f t="shared" si="564"/>
        <v>0</v>
      </c>
      <c r="AH6782" s="580">
        <f t="shared" si="565"/>
        <v>0</v>
      </c>
    </row>
    <row r="6783" spans="28:34">
      <c r="AB6783" s="580">
        <f>HLOOKUP("*"&amp;'Output annual'!$AC$2&amp;'Output annual'!$AD$2&amp;"*Zone People Number Of Occupants [](Hourly)",'Eplus results'!$1:$1048576,ROW(),FALSE)</f>
        <v>0</v>
      </c>
      <c r="AC6783" s="580">
        <f>HLOOKUP("*"&amp;'Output annual'!$AC$2&amp;'Output annual'!$AD$2&amp;"*FangerPMV(Hourly)",'Eplus results'!$1:$1048576,ROW(),FALSE)</f>
        <v>0</v>
      </c>
      <c r="AD6783" s="580">
        <f t="shared" si="561"/>
        <v>5</v>
      </c>
      <c r="AE6783" s="580">
        <f t="shared" si="562"/>
        <v>2.5</v>
      </c>
      <c r="AF6783" s="580">
        <f t="shared" si="563"/>
        <v>2.5</v>
      </c>
      <c r="AG6783" s="580">
        <f t="shared" si="564"/>
        <v>0</v>
      </c>
      <c r="AH6783" s="580">
        <f t="shared" si="565"/>
        <v>0</v>
      </c>
    </row>
    <row r="6784" spans="28:34">
      <c r="AB6784" s="580">
        <f>HLOOKUP("*"&amp;'Output annual'!$AC$2&amp;'Output annual'!$AD$2&amp;"*Zone People Number Of Occupants [](Hourly)",'Eplus results'!$1:$1048576,ROW(),FALSE)</f>
        <v>0</v>
      </c>
      <c r="AC6784" s="580">
        <f>HLOOKUP("*"&amp;'Output annual'!$AC$2&amp;'Output annual'!$AD$2&amp;"*FangerPMV(Hourly)",'Eplus results'!$1:$1048576,ROW(),FALSE)</f>
        <v>0</v>
      </c>
      <c r="AD6784" s="580">
        <f t="shared" si="561"/>
        <v>5</v>
      </c>
      <c r="AE6784" s="580">
        <f t="shared" si="562"/>
        <v>2.5</v>
      </c>
      <c r="AF6784" s="580">
        <f t="shared" si="563"/>
        <v>2.5</v>
      </c>
      <c r="AG6784" s="580">
        <f t="shared" si="564"/>
        <v>0</v>
      </c>
      <c r="AH6784" s="580">
        <f t="shared" si="565"/>
        <v>0</v>
      </c>
    </row>
    <row r="6785" spans="28:34">
      <c r="AB6785" s="580">
        <f>HLOOKUP("*"&amp;'Output annual'!$AC$2&amp;'Output annual'!$AD$2&amp;"*Zone People Number Of Occupants [](Hourly)",'Eplus results'!$1:$1048576,ROW(),FALSE)</f>
        <v>0</v>
      </c>
      <c r="AC6785" s="580">
        <f>HLOOKUP("*"&amp;'Output annual'!$AC$2&amp;'Output annual'!$AD$2&amp;"*FangerPMV(Hourly)",'Eplus results'!$1:$1048576,ROW(),FALSE)</f>
        <v>0</v>
      </c>
      <c r="AD6785" s="580">
        <f t="shared" si="561"/>
        <v>5</v>
      </c>
      <c r="AE6785" s="580">
        <f t="shared" si="562"/>
        <v>2.5</v>
      </c>
      <c r="AF6785" s="580">
        <f t="shared" si="563"/>
        <v>2.5</v>
      </c>
      <c r="AG6785" s="580">
        <f t="shared" si="564"/>
        <v>0</v>
      </c>
      <c r="AH6785" s="580">
        <f t="shared" si="565"/>
        <v>0</v>
      </c>
    </row>
    <row r="6786" spans="28:34">
      <c r="AB6786" s="580">
        <f>HLOOKUP("*"&amp;'Output annual'!$AC$2&amp;'Output annual'!$AD$2&amp;"*Zone People Number Of Occupants [](Hourly)",'Eplus results'!$1:$1048576,ROW(),FALSE)</f>
        <v>0</v>
      </c>
      <c r="AC6786" s="580">
        <f>HLOOKUP("*"&amp;'Output annual'!$AC$2&amp;'Output annual'!$AD$2&amp;"*FangerPMV(Hourly)",'Eplus results'!$1:$1048576,ROW(),FALSE)</f>
        <v>0</v>
      </c>
      <c r="AD6786" s="580">
        <f t="shared" si="561"/>
        <v>5</v>
      </c>
      <c r="AE6786" s="580">
        <f t="shared" si="562"/>
        <v>2.5</v>
      </c>
      <c r="AF6786" s="580">
        <f t="shared" si="563"/>
        <v>2.5</v>
      </c>
      <c r="AG6786" s="580">
        <f t="shared" si="564"/>
        <v>0</v>
      </c>
      <c r="AH6786" s="580">
        <f t="shared" si="565"/>
        <v>0</v>
      </c>
    </row>
    <row r="6787" spans="28:34">
      <c r="AB6787" s="580">
        <f>HLOOKUP("*"&amp;'Output annual'!$AC$2&amp;'Output annual'!$AD$2&amp;"*Zone People Number Of Occupants [](Hourly)",'Eplus results'!$1:$1048576,ROW(),FALSE)</f>
        <v>0</v>
      </c>
      <c r="AC6787" s="580">
        <f>HLOOKUP("*"&amp;'Output annual'!$AC$2&amp;'Output annual'!$AD$2&amp;"*FangerPMV(Hourly)",'Eplus results'!$1:$1048576,ROW(),FALSE)</f>
        <v>0</v>
      </c>
      <c r="AD6787" s="580">
        <f t="shared" ref="AD6787:AD6850" si="566">100-95*EXP(-0.03353*AC6787^4-0.2179*AC6787^2)</f>
        <v>5</v>
      </c>
      <c r="AE6787" s="580">
        <f t="shared" ref="AE6787:AE6850" si="567">AD6787*(1/(1+EXP(-6.3*$AC6787)))</f>
        <v>2.5</v>
      </c>
      <c r="AF6787" s="580">
        <f t="shared" ref="AF6787:AF6850" si="568">(AD6787-AE6787)</f>
        <v>2.5</v>
      </c>
      <c r="AG6787" s="580">
        <f t="shared" ref="AG6787:AG6850" si="569">AE6787*AB6787</f>
        <v>0</v>
      </c>
      <c r="AH6787" s="580">
        <f t="shared" ref="AH6787:AH6850" si="570">AF6787*AB6787</f>
        <v>0</v>
      </c>
    </row>
    <row r="6788" spans="28:34">
      <c r="AB6788" s="580">
        <f>HLOOKUP("*"&amp;'Output annual'!$AC$2&amp;'Output annual'!$AD$2&amp;"*Zone People Number Of Occupants [](Hourly)",'Eplus results'!$1:$1048576,ROW(),FALSE)</f>
        <v>0</v>
      </c>
      <c r="AC6788" s="580">
        <f>HLOOKUP("*"&amp;'Output annual'!$AC$2&amp;'Output annual'!$AD$2&amp;"*FangerPMV(Hourly)",'Eplus results'!$1:$1048576,ROW(),FALSE)</f>
        <v>0</v>
      </c>
      <c r="AD6788" s="580">
        <f t="shared" si="566"/>
        <v>5</v>
      </c>
      <c r="AE6788" s="580">
        <f t="shared" si="567"/>
        <v>2.5</v>
      </c>
      <c r="AF6788" s="580">
        <f t="shared" si="568"/>
        <v>2.5</v>
      </c>
      <c r="AG6788" s="580">
        <f t="shared" si="569"/>
        <v>0</v>
      </c>
      <c r="AH6788" s="580">
        <f t="shared" si="570"/>
        <v>0</v>
      </c>
    </row>
    <row r="6789" spans="28:34">
      <c r="AB6789" s="580">
        <f>HLOOKUP("*"&amp;'Output annual'!$AC$2&amp;'Output annual'!$AD$2&amp;"*Zone People Number Of Occupants [](Hourly)",'Eplus results'!$1:$1048576,ROW(),FALSE)</f>
        <v>0</v>
      </c>
      <c r="AC6789" s="580">
        <f>HLOOKUP("*"&amp;'Output annual'!$AC$2&amp;'Output annual'!$AD$2&amp;"*FangerPMV(Hourly)",'Eplus results'!$1:$1048576,ROW(),FALSE)</f>
        <v>0</v>
      </c>
      <c r="AD6789" s="580">
        <f t="shared" si="566"/>
        <v>5</v>
      </c>
      <c r="AE6789" s="580">
        <f t="shared" si="567"/>
        <v>2.5</v>
      </c>
      <c r="AF6789" s="580">
        <f t="shared" si="568"/>
        <v>2.5</v>
      </c>
      <c r="AG6789" s="580">
        <f t="shared" si="569"/>
        <v>0</v>
      </c>
      <c r="AH6789" s="580">
        <f t="shared" si="570"/>
        <v>0</v>
      </c>
    </row>
    <row r="6790" spans="28:34">
      <c r="AB6790" s="580">
        <f>HLOOKUP("*"&amp;'Output annual'!$AC$2&amp;'Output annual'!$AD$2&amp;"*Zone People Number Of Occupants [](Hourly)",'Eplus results'!$1:$1048576,ROW(),FALSE)</f>
        <v>0</v>
      </c>
      <c r="AC6790" s="580">
        <f>HLOOKUP("*"&amp;'Output annual'!$AC$2&amp;'Output annual'!$AD$2&amp;"*FangerPMV(Hourly)",'Eplus results'!$1:$1048576,ROW(),FALSE)</f>
        <v>0</v>
      </c>
      <c r="AD6790" s="580">
        <f t="shared" si="566"/>
        <v>5</v>
      </c>
      <c r="AE6790" s="580">
        <f t="shared" si="567"/>
        <v>2.5</v>
      </c>
      <c r="AF6790" s="580">
        <f t="shared" si="568"/>
        <v>2.5</v>
      </c>
      <c r="AG6790" s="580">
        <f t="shared" si="569"/>
        <v>0</v>
      </c>
      <c r="AH6790" s="580">
        <f t="shared" si="570"/>
        <v>0</v>
      </c>
    </row>
    <row r="6791" spans="28:34">
      <c r="AB6791" s="580">
        <f>HLOOKUP("*"&amp;'Output annual'!$AC$2&amp;'Output annual'!$AD$2&amp;"*Zone People Number Of Occupants [](Hourly)",'Eplus results'!$1:$1048576,ROW(),FALSE)</f>
        <v>0</v>
      </c>
      <c r="AC6791" s="580">
        <f>HLOOKUP("*"&amp;'Output annual'!$AC$2&amp;'Output annual'!$AD$2&amp;"*FangerPMV(Hourly)",'Eplus results'!$1:$1048576,ROW(),FALSE)</f>
        <v>0</v>
      </c>
      <c r="AD6791" s="580">
        <f t="shared" si="566"/>
        <v>5</v>
      </c>
      <c r="AE6791" s="580">
        <f t="shared" si="567"/>
        <v>2.5</v>
      </c>
      <c r="AF6791" s="580">
        <f t="shared" si="568"/>
        <v>2.5</v>
      </c>
      <c r="AG6791" s="580">
        <f t="shared" si="569"/>
        <v>0</v>
      </c>
      <c r="AH6791" s="580">
        <f t="shared" si="570"/>
        <v>0</v>
      </c>
    </row>
    <row r="6792" spans="28:34">
      <c r="AB6792" s="580">
        <f>HLOOKUP("*"&amp;'Output annual'!$AC$2&amp;'Output annual'!$AD$2&amp;"*Zone People Number Of Occupants [](Hourly)",'Eplus results'!$1:$1048576,ROW(),FALSE)</f>
        <v>0</v>
      </c>
      <c r="AC6792" s="580">
        <f>HLOOKUP("*"&amp;'Output annual'!$AC$2&amp;'Output annual'!$AD$2&amp;"*FangerPMV(Hourly)",'Eplus results'!$1:$1048576,ROW(),FALSE)</f>
        <v>0</v>
      </c>
      <c r="AD6792" s="580">
        <f t="shared" si="566"/>
        <v>5</v>
      </c>
      <c r="AE6792" s="580">
        <f t="shared" si="567"/>
        <v>2.5</v>
      </c>
      <c r="AF6792" s="580">
        <f t="shared" si="568"/>
        <v>2.5</v>
      </c>
      <c r="AG6792" s="580">
        <f t="shared" si="569"/>
        <v>0</v>
      </c>
      <c r="AH6792" s="580">
        <f t="shared" si="570"/>
        <v>0</v>
      </c>
    </row>
    <row r="6793" spans="28:34">
      <c r="AB6793" s="580">
        <f>HLOOKUP("*"&amp;'Output annual'!$AC$2&amp;'Output annual'!$AD$2&amp;"*Zone People Number Of Occupants [](Hourly)",'Eplus results'!$1:$1048576,ROW(),FALSE)</f>
        <v>0</v>
      </c>
      <c r="AC6793" s="580">
        <f>HLOOKUP("*"&amp;'Output annual'!$AC$2&amp;'Output annual'!$AD$2&amp;"*FangerPMV(Hourly)",'Eplus results'!$1:$1048576,ROW(),FALSE)</f>
        <v>0</v>
      </c>
      <c r="AD6793" s="580">
        <f t="shared" si="566"/>
        <v>5</v>
      </c>
      <c r="AE6793" s="580">
        <f t="shared" si="567"/>
        <v>2.5</v>
      </c>
      <c r="AF6793" s="580">
        <f t="shared" si="568"/>
        <v>2.5</v>
      </c>
      <c r="AG6793" s="580">
        <f t="shared" si="569"/>
        <v>0</v>
      </c>
      <c r="AH6793" s="580">
        <f t="shared" si="570"/>
        <v>0</v>
      </c>
    </row>
    <row r="6794" spans="28:34">
      <c r="AB6794" s="580">
        <f>HLOOKUP("*"&amp;'Output annual'!$AC$2&amp;'Output annual'!$AD$2&amp;"*Zone People Number Of Occupants [](Hourly)",'Eplus results'!$1:$1048576,ROW(),FALSE)</f>
        <v>0</v>
      </c>
      <c r="AC6794" s="580">
        <f>HLOOKUP("*"&amp;'Output annual'!$AC$2&amp;'Output annual'!$AD$2&amp;"*FangerPMV(Hourly)",'Eplus results'!$1:$1048576,ROW(),FALSE)</f>
        <v>0</v>
      </c>
      <c r="AD6794" s="580">
        <f t="shared" si="566"/>
        <v>5</v>
      </c>
      <c r="AE6794" s="580">
        <f t="shared" si="567"/>
        <v>2.5</v>
      </c>
      <c r="AF6794" s="580">
        <f t="shared" si="568"/>
        <v>2.5</v>
      </c>
      <c r="AG6794" s="580">
        <f t="shared" si="569"/>
        <v>0</v>
      </c>
      <c r="AH6794" s="580">
        <f t="shared" si="570"/>
        <v>0</v>
      </c>
    </row>
    <row r="6795" spans="28:34">
      <c r="AB6795" s="580">
        <f>HLOOKUP("*"&amp;'Output annual'!$AC$2&amp;'Output annual'!$AD$2&amp;"*Zone People Number Of Occupants [](Hourly)",'Eplus results'!$1:$1048576,ROW(),FALSE)</f>
        <v>0</v>
      </c>
      <c r="AC6795" s="580">
        <f>HLOOKUP("*"&amp;'Output annual'!$AC$2&amp;'Output annual'!$AD$2&amp;"*FangerPMV(Hourly)",'Eplus results'!$1:$1048576,ROW(),FALSE)</f>
        <v>0</v>
      </c>
      <c r="AD6795" s="580">
        <f t="shared" si="566"/>
        <v>5</v>
      </c>
      <c r="AE6795" s="580">
        <f t="shared" si="567"/>
        <v>2.5</v>
      </c>
      <c r="AF6795" s="580">
        <f t="shared" si="568"/>
        <v>2.5</v>
      </c>
      <c r="AG6795" s="580">
        <f t="shared" si="569"/>
        <v>0</v>
      </c>
      <c r="AH6795" s="580">
        <f t="shared" si="570"/>
        <v>0</v>
      </c>
    </row>
    <row r="6796" spans="28:34">
      <c r="AB6796" s="580">
        <f>HLOOKUP("*"&amp;'Output annual'!$AC$2&amp;'Output annual'!$AD$2&amp;"*Zone People Number Of Occupants [](Hourly)",'Eplus results'!$1:$1048576,ROW(),FALSE)</f>
        <v>0</v>
      </c>
      <c r="AC6796" s="580">
        <f>HLOOKUP("*"&amp;'Output annual'!$AC$2&amp;'Output annual'!$AD$2&amp;"*FangerPMV(Hourly)",'Eplus results'!$1:$1048576,ROW(),FALSE)</f>
        <v>0</v>
      </c>
      <c r="AD6796" s="580">
        <f t="shared" si="566"/>
        <v>5</v>
      </c>
      <c r="AE6796" s="580">
        <f t="shared" si="567"/>
        <v>2.5</v>
      </c>
      <c r="AF6796" s="580">
        <f t="shared" si="568"/>
        <v>2.5</v>
      </c>
      <c r="AG6796" s="580">
        <f t="shared" si="569"/>
        <v>0</v>
      </c>
      <c r="AH6796" s="580">
        <f t="shared" si="570"/>
        <v>0</v>
      </c>
    </row>
    <row r="6797" spans="28:34">
      <c r="AB6797" s="580">
        <f>HLOOKUP("*"&amp;'Output annual'!$AC$2&amp;'Output annual'!$AD$2&amp;"*Zone People Number Of Occupants [](Hourly)",'Eplus results'!$1:$1048576,ROW(),FALSE)</f>
        <v>0</v>
      </c>
      <c r="AC6797" s="580">
        <f>HLOOKUP("*"&amp;'Output annual'!$AC$2&amp;'Output annual'!$AD$2&amp;"*FangerPMV(Hourly)",'Eplus results'!$1:$1048576,ROW(),FALSE)</f>
        <v>0</v>
      </c>
      <c r="AD6797" s="580">
        <f t="shared" si="566"/>
        <v>5</v>
      </c>
      <c r="AE6797" s="580">
        <f t="shared" si="567"/>
        <v>2.5</v>
      </c>
      <c r="AF6797" s="580">
        <f t="shared" si="568"/>
        <v>2.5</v>
      </c>
      <c r="AG6797" s="580">
        <f t="shared" si="569"/>
        <v>0</v>
      </c>
      <c r="AH6797" s="580">
        <f t="shared" si="570"/>
        <v>0</v>
      </c>
    </row>
    <row r="6798" spans="28:34">
      <c r="AB6798" s="580">
        <f>HLOOKUP("*"&amp;'Output annual'!$AC$2&amp;'Output annual'!$AD$2&amp;"*Zone People Number Of Occupants [](Hourly)",'Eplus results'!$1:$1048576,ROW(),FALSE)</f>
        <v>0</v>
      </c>
      <c r="AC6798" s="580">
        <f>HLOOKUP("*"&amp;'Output annual'!$AC$2&amp;'Output annual'!$AD$2&amp;"*FangerPMV(Hourly)",'Eplus results'!$1:$1048576,ROW(),FALSE)</f>
        <v>0</v>
      </c>
      <c r="AD6798" s="580">
        <f t="shared" si="566"/>
        <v>5</v>
      </c>
      <c r="AE6798" s="580">
        <f t="shared" si="567"/>
        <v>2.5</v>
      </c>
      <c r="AF6798" s="580">
        <f t="shared" si="568"/>
        <v>2.5</v>
      </c>
      <c r="AG6798" s="580">
        <f t="shared" si="569"/>
        <v>0</v>
      </c>
      <c r="AH6798" s="580">
        <f t="shared" si="570"/>
        <v>0</v>
      </c>
    </row>
    <row r="6799" spans="28:34">
      <c r="AB6799" s="580">
        <f>HLOOKUP("*"&amp;'Output annual'!$AC$2&amp;'Output annual'!$AD$2&amp;"*Zone People Number Of Occupants [](Hourly)",'Eplus results'!$1:$1048576,ROW(),FALSE)</f>
        <v>0</v>
      </c>
      <c r="AC6799" s="580">
        <f>HLOOKUP("*"&amp;'Output annual'!$AC$2&amp;'Output annual'!$AD$2&amp;"*FangerPMV(Hourly)",'Eplus results'!$1:$1048576,ROW(),FALSE)</f>
        <v>0</v>
      </c>
      <c r="AD6799" s="580">
        <f t="shared" si="566"/>
        <v>5</v>
      </c>
      <c r="AE6799" s="580">
        <f t="shared" si="567"/>
        <v>2.5</v>
      </c>
      <c r="AF6799" s="580">
        <f t="shared" si="568"/>
        <v>2.5</v>
      </c>
      <c r="AG6799" s="580">
        <f t="shared" si="569"/>
        <v>0</v>
      </c>
      <c r="AH6799" s="580">
        <f t="shared" si="570"/>
        <v>0</v>
      </c>
    </row>
    <row r="6800" spans="28:34">
      <c r="AB6800" s="580">
        <f>HLOOKUP("*"&amp;'Output annual'!$AC$2&amp;'Output annual'!$AD$2&amp;"*Zone People Number Of Occupants [](Hourly)",'Eplus results'!$1:$1048576,ROW(),FALSE)</f>
        <v>0</v>
      </c>
      <c r="AC6800" s="580">
        <f>HLOOKUP("*"&amp;'Output annual'!$AC$2&amp;'Output annual'!$AD$2&amp;"*FangerPMV(Hourly)",'Eplus results'!$1:$1048576,ROW(),FALSE)</f>
        <v>0</v>
      </c>
      <c r="AD6800" s="580">
        <f t="shared" si="566"/>
        <v>5</v>
      </c>
      <c r="AE6800" s="580">
        <f t="shared" si="567"/>
        <v>2.5</v>
      </c>
      <c r="AF6800" s="580">
        <f t="shared" si="568"/>
        <v>2.5</v>
      </c>
      <c r="AG6800" s="580">
        <f t="shared" si="569"/>
        <v>0</v>
      </c>
      <c r="AH6800" s="580">
        <f t="shared" si="570"/>
        <v>0</v>
      </c>
    </row>
    <row r="6801" spans="28:34">
      <c r="AB6801" s="580">
        <f>HLOOKUP("*"&amp;'Output annual'!$AC$2&amp;'Output annual'!$AD$2&amp;"*Zone People Number Of Occupants [](Hourly)",'Eplus results'!$1:$1048576,ROW(),FALSE)</f>
        <v>0</v>
      </c>
      <c r="AC6801" s="580">
        <f>HLOOKUP("*"&amp;'Output annual'!$AC$2&amp;'Output annual'!$AD$2&amp;"*FangerPMV(Hourly)",'Eplus results'!$1:$1048576,ROW(),FALSE)</f>
        <v>0</v>
      </c>
      <c r="AD6801" s="580">
        <f t="shared" si="566"/>
        <v>5</v>
      </c>
      <c r="AE6801" s="580">
        <f t="shared" si="567"/>
        <v>2.5</v>
      </c>
      <c r="AF6801" s="580">
        <f t="shared" si="568"/>
        <v>2.5</v>
      </c>
      <c r="AG6801" s="580">
        <f t="shared" si="569"/>
        <v>0</v>
      </c>
      <c r="AH6801" s="580">
        <f t="shared" si="570"/>
        <v>0</v>
      </c>
    </row>
    <row r="6802" spans="28:34">
      <c r="AB6802" s="580">
        <f>HLOOKUP("*"&amp;'Output annual'!$AC$2&amp;'Output annual'!$AD$2&amp;"*Zone People Number Of Occupants [](Hourly)",'Eplus results'!$1:$1048576,ROW(),FALSE)</f>
        <v>0</v>
      </c>
      <c r="AC6802" s="580">
        <f>HLOOKUP("*"&amp;'Output annual'!$AC$2&amp;'Output annual'!$AD$2&amp;"*FangerPMV(Hourly)",'Eplus results'!$1:$1048576,ROW(),FALSE)</f>
        <v>0</v>
      </c>
      <c r="AD6802" s="580">
        <f t="shared" si="566"/>
        <v>5</v>
      </c>
      <c r="AE6802" s="580">
        <f t="shared" si="567"/>
        <v>2.5</v>
      </c>
      <c r="AF6802" s="580">
        <f t="shared" si="568"/>
        <v>2.5</v>
      </c>
      <c r="AG6802" s="580">
        <f t="shared" si="569"/>
        <v>0</v>
      </c>
      <c r="AH6802" s="580">
        <f t="shared" si="570"/>
        <v>0</v>
      </c>
    </row>
    <row r="6803" spans="28:34">
      <c r="AB6803" s="580">
        <f>HLOOKUP("*"&amp;'Output annual'!$AC$2&amp;'Output annual'!$AD$2&amp;"*Zone People Number Of Occupants [](Hourly)",'Eplus results'!$1:$1048576,ROW(),FALSE)</f>
        <v>0</v>
      </c>
      <c r="AC6803" s="580">
        <f>HLOOKUP("*"&amp;'Output annual'!$AC$2&amp;'Output annual'!$AD$2&amp;"*FangerPMV(Hourly)",'Eplus results'!$1:$1048576,ROW(),FALSE)</f>
        <v>0</v>
      </c>
      <c r="AD6803" s="580">
        <f t="shared" si="566"/>
        <v>5</v>
      </c>
      <c r="AE6803" s="580">
        <f t="shared" si="567"/>
        <v>2.5</v>
      </c>
      <c r="AF6803" s="580">
        <f t="shared" si="568"/>
        <v>2.5</v>
      </c>
      <c r="AG6803" s="580">
        <f t="shared" si="569"/>
        <v>0</v>
      </c>
      <c r="AH6803" s="580">
        <f t="shared" si="570"/>
        <v>0</v>
      </c>
    </row>
    <row r="6804" spans="28:34">
      <c r="AB6804" s="580">
        <f>HLOOKUP("*"&amp;'Output annual'!$AC$2&amp;'Output annual'!$AD$2&amp;"*Zone People Number Of Occupants [](Hourly)",'Eplus results'!$1:$1048576,ROW(),FALSE)</f>
        <v>0</v>
      </c>
      <c r="AC6804" s="580">
        <f>HLOOKUP("*"&amp;'Output annual'!$AC$2&amp;'Output annual'!$AD$2&amp;"*FangerPMV(Hourly)",'Eplus results'!$1:$1048576,ROW(),FALSE)</f>
        <v>0</v>
      </c>
      <c r="AD6804" s="580">
        <f t="shared" si="566"/>
        <v>5</v>
      </c>
      <c r="AE6804" s="580">
        <f t="shared" si="567"/>
        <v>2.5</v>
      </c>
      <c r="AF6804" s="580">
        <f t="shared" si="568"/>
        <v>2.5</v>
      </c>
      <c r="AG6804" s="580">
        <f t="shared" si="569"/>
        <v>0</v>
      </c>
      <c r="AH6804" s="580">
        <f t="shared" si="570"/>
        <v>0</v>
      </c>
    </row>
    <row r="6805" spans="28:34">
      <c r="AB6805" s="580">
        <f>HLOOKUP("*"&amp;'Output annual'!$AC$2&amp;'Output annual'!$AD$2&amp;"*Zone People Number Of Occupants [](Hourly)",'Eplus results'!$1:$1048576,ROW(),FALSE)</f>
        <v>0</v>
      </c>
      <c r="AC6805" s="580">
        <f>HLOOKUP("*"&amp;'Output annual'!$AC$2&amp;'Output annual'!$AD$2&amp;"*FangerPMV(Hourly)",'Eplus results'!$1:$1048576,ROW(),FALSE)</f>
        <v>0</v>
      </c>
      <c r="AD6805" s="580">
        <f t="shared" si="566"/>
        <v>5</v>
      </c>
      <c r="AE6805" s="580">
        <f t="shared" si="567"/>
        <v>2.5</v>
      </c>
      <c r="AF6805" s="580">
        <f t="shared" si="568"/>
        <v>2.5</v>
      </c>
      <c r="AG6805" s="580">
        <f t="shared" si="569"/>
        <v>0</v>
      </c>
      <c r="AH6805" s="580">
        <f t="shared" si="570"/>
        <v>0</v>
      </c>
    </row>
    <row r="6806" spans="28:34">
      <c r="AB6806" s="580">
        <f>HLOOKUP("*"&amp;'Output annual'!$AC$2&amp;'Output annual'!$AD$2&amp;"*Zone People Number Of Occupants [](Hourly)",'Eplus results'!$1:$1048576,ROW(),FALSE)</f>
        <v>0</v>
      </c>
      <c r="AC6806" s="580">
        <f>HLOOKUP("*"&amp;'Output annual'!$AC$2&amp;'Output annual'!$AD$2&amp;"*FangerPMV(Hourly)",'Eplus results'!$1:$1048576,ROW(),FALSE)</f>
        <v>0</v>
      </c>
      <c r="AD6806" s="580">
        <f t="shared" si="566"/>
        <v>5</v>
      </c>
      <c r="AE6806" s="580">
        <f t="shared" si="567"/>
        <v>2.5</v>
      </c>
      <c r="AF6806" s="580">
        <f t="shared" si="568"/>
        <v>2.5</v>
      </c>
      <c r="AG6806" s="580">
        <f t="shared" si="569"/>
        <v>0</v>
      </c>
      <c r="AH6806" s="580">
        <f t="shared" si="570"/>
        <v>0</v>
      </c>
    </row>
    <row r="6807" spans="28:34">
      <c r="AB6807" s="580">
        <f>HLOOKUP("*"&amp;'Output annual'!$AC$2&amp;'Output annual'!$AD$2&amp;"*Zone People Number Of Occupants [](Hourly)",'Eplus results'!$1:$1048576,ROW(),FALSE)</f>
        <v>0</v>
      </c>
      <c r="AC6807" s="580">
        <f>HLOOKUP("*"&amp;'Output annual'!$AC$2&amp;'Output annual'!$AD$2&amp;"*FangerPMV(Hourly)",'Eplus results'!$1:$1048576,ROW(),FALSE)</f>
        <v>0</v>
      </c>
      <c r="AD6807" s="580">
        <f t="shared" si="566"/>
        <v>5</v>
      </c>
      <c r="AE6807" s="580">
        <f t="shared" si="567"/>
        <v>2.5</v>
      </c>
      <c r="AF6807" s="580">
        <f t="shared" si="568"/>
        <v>2.5</v>
      </c>
      <c r="AG6807" s="580">
        <f t="shared" si="569"/>
        <v>0</v>
      </c>
      <c r="AH6807" s="580">
        <f t="shared" si="570"/>
        <v>0</v>
      </c>
    </row>
    <row r="6808" spans="28:34">
      <c r="AB6808" s="580">
        <f>HLOOKUP("*"&amp;'Output annual'!$AC$2&amp;'Output annual'!$AD$2&amp;"*Zone People Number Of Occupants [](Hourly)",'Eplus results'!$1:$1048576,ROW(),FALSE)</f>
        <v>0</v>
      </c>
      <c r="AC6808" s="580">
        <f>HLOOKUP("*"&amp;'Output annual'!$AC$2&amp;'Output annual'!$AD$2&amp;"*FangerPMV(Hourly)",'Eplus results'!$1:$1048576,ROW(),FALSE)</f>
        <v>0</v>
      </c>
      <c r="AD6808" s="580">
        <f t="shared" si="566"/>
        <v>5</v>
      </c>
      <c r="AE6808" s="580">
        <f t="shared" si="567"/>
        <v>2.5</v>
      </c>
      <c r="AF6808" s="580">
        <f t="shared" si="568"/>
        <v>2.5</v>
      </c>
      <c r="AG6808" s="580">
        <f t="shared" si="569"/>
        <v>0</v>
      </c>
      <c r="AH6808" s="580">
        <f t="shared" si="570"/>
        <v>0</v>
      </c>
    </row>
    <row r="6809" spans="28:34">
      <c r="AB6809" s="580">
        <f>HLOOKUP("*"&amp;'Output annual'!$AC$2&amp;'Output annual'!$AD$2&amp;"*Zone People Number Of Occupants [](Hourly)",'Eplus results'!$1:$1048576,ROW(),FALSE)</f>
        <v>0</v>
      </c>
      <c r="AC6809" s="580">
        <f>HLOOKUP("*"&amp;'Output annual'!$AC$2&amp;'Output annual'!$AD$2&amp;"*FangerPMV(Hourly)",'Eplus results'!$1:$1048576,ROW(),FALSE)</f>
        <v>0</v>
      </c>
      <c r="AD6809" s="580">
        <f t="shared" si="566"/>
        <v>5</v>
      </c>
      <c r="AE6809" s="580">
        <f t="shared" si="567"/>
        <v>2.5</v>
      </c>
      <c r="AF6809" s="580">
        <f t="shared" si="568"/>
        <v>2.5</v>
      </c>
      <c r="AG6809" s="580">
        <f t="shared" si="569"/>
        <v>0</v>
      </c>
      <c r="AH6809" s="580">
        <f t="shared" si="570"/>
        <v>0</v>
      </c>
    </row>
    <row r="6810" spans="28:34">
      <c r="AB6810" s="580">
        <f>HLOOKUP("*"&amp;'Output annual'!$AC$2&amp;'Output annual'!$AD$2&amp;"*Zone People Number Of Occupants [](Hourly)",'Eplus results'!$1:$1048576,ROW(),FALSE)</f>
        <v>0</v>
      </c>
      <c r="AC6810" s="580">
        <f>HLOOKUP("*"&amp;'Output annual'!$AC$2&amp;'Output annual'!$AD$2&amp;"*FangerPMV(Hourly)",'Eplus results'!$1:$1048576,ROW(),FALSE)</f>
        <v>0</v>
      </c>
      <c r="AD6810" s="580">
        <f t="shared" si="566"/>
        <v>5</v>
      </c>
      <c r="AE6810" s="580">
        <f t="shared" si="567"/>
        <v>2.5</v>
      </c>
      <c r="AF6810" s="580">
        <f t="shared" si="568"/>
        <v>2.5</v>
      </c>
      <c r="AG6810" s="580">
        <f t="shared" si="569"/>
        <v>0</v>
      </c>
      <c r="AH6810" s="580">
        <f t="shared" si="570"/>
        <v>0</v>
      </c>
    </row>
    <row r="6811" spans="28:34">
      <c r="AB6811" s="580">
        <f>HLOOKUP("*"&amp;'Output annual'!$AC$2&amp;'Output annual'!$AD$2&amp;"*Zone People Number Of Occupants [](Hourly)",'Eplus results'!$1:$1048576,ROW(),FALSE)</f>
        <v>0</v>
      </c>
      <c r="AC6811" s="580">
        <f>HLOOKUP("*"&amp;'Output annual'!$AC$2&amp;'Output annual'!$AD$2&amp;"*FangerPMV(Hourly)",'Eplus results'!$1:$1048576,ROW(),FALSE)</f>
        <v>0</v>
      </c>
      <c r="AD6811" s="580">
        <f t="shared" si="566"/>
        <v>5</v>
      </c>
      <c r="AE6811" s="580">
        <f t="shared" si="567"/>
        <v>2.5</v>
      </c>
      <c r="AF6811" s="580">
        <f t="shared" si="568"/>
        <v>2.5</v>
      </c>
      <c r="AG6811" s="580">
        <f t="shared" si="569"/>
        <v>0</v>
      </c>
      <c r="AH6811" s="580">
        <f t="shared" si="570"/>
        <v>0</v>
      </c>
    </row>
    <row r="6812" spans="28:34">
      <c r="AB6812" s="580">
        <f>HLOOKUP("*"&amp;'Output annual'!$AC$2&amp;'Output annual'!$AD$2&amp;"*Zone People Number Of Occupants [](Hourly)",'Eplus results'!$1:$1048576,ROW(),FALSE)</f>
        <v>0</v>
      </c>
      <c r="AC6812" s="580">
        <f>HLOOKUP("*"&amp;'Output annual'!$AC$2&amp;'Output annual'!$AD$2&amp;"*FangerPMV(Hourly)",'Eplus results'!$1:$1048576,ROW(),FALSE)</f>
        <v>0</v>
      </c>
      <c r="AD6812" s="580">
        <f t="shared" si="566"/>
        <v>5</v>
      </c>
      <c r="AE6812" s="580">
        <f t="shared" si="567"/>
        <v>2.5</v>
      </c>
      <c r="AF6812" s="580">
        <f t="shared" si="568"/>
        <v>2.5</v>
      </c>
      <c r="AG6812" s="580">
        <f t="shared" si="569"/>
        <v>0</v>
      </c>
      <c r="AH6812" s="580">
        <f t="shared" si="570"/>
        <v>0</v>
      </c>
    </row>
    <row r="6813" spans="28:34">
      <c r="AB6813" s="580">
        <f>HLOOKUP("*"&amp;'Output annual'!$AC$2&amp;'Output annual'!$AD$2&amp;"*Zone People Number Of Occupants [](Hourly)",'Eplus results'!$1:$1048576,ROW(),FALSE)</f>
        <v>0</v>
      </c>
      <c r="AC6813" s="580">
        <f>HLOOKUP("*"&amp;'Output annual'!$AC$2&amp;'Output annual'!$AD$2&amp;"*FangerPMV(Hourly)",'Eplus results'!$1:$1048576,ROW(),FALSE)</f>
        <v>0</v>
      </c>
      <c r="AD6813" s="580">
        <f t="shared" si="566"/>
        <v>5</v>
      </c>
      <c r="AE6813" s="580">
        <f t="shared" si="567"/>
        <v>2.5</v>
      </c>
      <c r="AF6813" s="580">
        <f t="shared" si="568"/>
        <v>2.5</v>
      </c>
      <c r="AG6813" s="580">
        <f t="shared" si="569"/>
        <v>0</v>
      </c>
      <c r="AH6813" s="580">
        <f t="shared" si="570"/>
        <v>0</v>
      </c>
    </row>
    <row r="6814" spans="28:34">
      <c r="AB6814" s="580">
        <f>HLOOKUP("*"&amp;'Output annual'!$AC$2&amp;'Output annual'!$AD$2&amp;"*Zone People Number Of Occupants [](Hourly)",'Eplus results'!$1:$1048576,ROW(),FALSE)</f>
        <v>0</v>
      </c>
      <c r="AC6814" s="580">
        <f>HLOOKUP("*"&amp;'Output annual'!$AC$2&amp;'Output annual'!$AD$2&amp;"*FangerPMV(Hourly)",'Eplus results'!$1:$1048576,ROW(),FALSE)</f>
        <v>0</v>
      </c>
      <c r="AD6814" s="580">
        <f t="shared" si="566"/>
        <v>5</v>
      </c>
      <c r="AE6814" s="580">
        <f t="shared" si="567"/>
        <v>2.5</v>
      </c>
      <c r="AF6814" s="580">
        <f t="shared" si="568"/>
        <v>2.5</v>
      </c>
      <c r="AG6814" s="580">
        <f t="shared" si="569"/>
        <v>0</v>
      </c>
      <c r="AH6814" s="580">
        <f t="shared" si="570"/>
        <v>0</v>
      </c>
    </row>
    <row r="6815" spans="28:34">
      <c r="AB6815" s="580">
        <f>HLOOKUP("*"&amp;'Output annual'!$AC$2&amp;'Output annual'!$AD$2&amp;"*Zone People Number Of Occupants [](Hourly)",'Eplus results'!$1:$1048576,ROW(),FALSE)</f>
        <v>0</v>
      </c>
      <c r="AC6815" s="580">
        <f>HLOOKUP("*"&amp;'Output annual'!$AC$2&amp;'Output annual'!$AD$2&amp;"*FangerPMV(Hourly)",'Eplus results'!$1:$1048576,ROW(),FALSE)</f>
        <v>0</v>
      </c>
      <c r="AD6815" s="580">
        <f t="shared" si="566"/>
        <v>5</v>
      </c>
      <c r="AE6815" s="580">
        <f t="shared" si="567"/>
        <v>2.5</v>
      </c>
      <c r="AF6815" s="580">
        <f t="shared" si="568"/>
        <v>2.5</v>
      </c>
      <c r="AG6815" s="580">
        <f t="shared" si="569"/>
        <v>0</v>
      </c>
      <c r="AH6815" s="580">
        <f t="shared" si="570"/>
        <v>0</v>
      </c>
    </row>
    <row r="6816" spans="28:34">
      <c r="AB6816" s="580">
        <f>HLOOKUP("*"&amp;'Output annual'!$AC$2&amp;'Output annual'!$AD$2&amp;"*Zone People Number Of Occupants [](Hourly)",'Eplus results'!$1:$1048576,ROW(),FALSE)</f>
        <v>0</v>
      </c>
      <c r="AC6816" s="580">
        <f>HLOOKUP("*"&amp;'Output annual'!$AC$2&amp;'Output annual'!$AD$2&amp;"*FangerPMV(Hourly)",'Eplus results'!$1:$1048576,ROW(),FALSE)</f>
        <v>0</v>
      </c>
      <c r="AD6816" s="580">
        <f t="shared" si="566"/>
        <v>5</v>
      </c>
      <c r="AE6816" s="580">
        <f t="shared" si="567"/>
        <v>2.5</v>
      </c>
      <c r="AF6816" s="580">
        <f t="shared" si="568"/>
        <v>2.5</v>
      </c>
      <c r="AG6816" s="580">
        <f t="shared" si="569"/>
        <v>0</v>
      </c>
      <c r="AH6816" s="580">
        <f t="shared" si="570"/>
        <v>0</v>
      </c>
    </row>
    <row r="6817" spans="28:34">
      <c r="AB6817" s="580">
        <f>HLOOKUP("*"&amp;'Output annual'!$AC$2&amp;'Output annual'!$AD$2&amp;"*Zone People Number Of Occupants [](Hourly)",'Eplus results'!$1:$1048576,ROW(),FALSE)</f>
        <v>0</v>
      </c>
      <c r="AC6817" s="580">
        <f>HLOOKUP("*"&amp;'Output annual'!$AC$2&amp;'Output annual'!$AD$2&amp;"*FangerPMV(Hourly)",'Eplus results'!$1:$1048576,ROW(),FALSE)</f>
        <v>0</v>
      </c>
      <c r="AD6817" s="580">
        <f t="shared" si="566"/>
        <v>5</v>
      </c>
      <c r="AE6817" s="580">
        <f t="shared" si="567"/>
        <v>2.5</v>
      </c>
      <c r="AF6817" s="580">
        <f t="shared" si="568"/>
        <v>2.5</v>
      </c>
      <c r="AG6817" s="580">
        <f t="shared" si="569"/>
        <v>0</v>
      </c>
      <c r="AH6817" s="580">
        <f t="shared" si="570"/>
        <v>0</v>
      </c>
    </row>
    <row r="6818" spans="28:34">
      <c r="AB6818" s="580">
        <f>HLOOKUP("*"&amp;'Output annual'!$AC$2&amp;'Output annual'!$AD$2&amp;"*Zone People Number Of Occupants [](Hourly)",'Eplus results'!$1:$1048576,ROW(),FALSE)</f>
        <v>0</v>
      </c>
      <c r="AC6818" s="580">
        <f>HLOOKUP("*"&amp;'Output annual'!$AC$2&amp;'Output annual'!$AD$2&amp;"*FangerPMV(Hourly)",'Eplus results'!$1:$1048576,ROW(),FALSE)</f>
        <v>0</v>
      </c>
      <c r="AD6818" s="580">
        <f t="shared" si="566"/>
        <v>5</v>
      </c>
      <c r="AE6818" s="580">
        <f t="shared" si="567"/>
        <v>2.5</v>
      </c>
      <c r="AF6818" s="580">
        <f t="shared" si="568"/>
        <v>2.5</v>
      </c>
      <c r="AG6818" s="580">
        <f t="shared" si="569"/>
        <v>0</v>
      </c>
      <c r="AH6818" s="580">
        <f t="shared" si="570"/>
        <v>0</v>
      </c>
    </row>
    <row r="6819" spans="28:34">
      <c r="AB6819" s="580">
        <f>HLOOKUP("*"&amp;'Output annual'!$AC$2&amp;'Output annual'!$AD$2&amp;"*Zone People Number Of Occupants [](Hourly)",'Eplus results'!$1:$1048576,ROW(),FALSE)</f>
        <v>0</v>
      </c>
      <c r="AC6819" s="580">
        <f>HLOOKUP("*"&amp;'Output annual'!$AC$2&amp;'Output annual'!$AD$2&amp;"*FangerPMV(Hourly)",'Eplus results'!$1:$1048576,ROW(),FALSE)</f>
        <v>0</v>
      </c>
      <c r="AD6819" s="580">
        <f t="shared" si="566"/>
        <v>5</v>
      </c>
      <c r="AE6819" s="580">
        <f t="shared" si="567"/>
        <v>2.5</v>
      </c>
      <c r="AF6819" s="580">
        <f t="shared" si="568"/>
        <v>2.5</v>
      </c>
      <c r="AG6819" s="580">
        <f t="shared" si="569"/>
        <v>0</v>
      </c>
      <c r="AH6819" s="580">
        <f t="shared" si="570"/>
        <v>0</v>
      </c>
    </row>
    <row r="6820" spans="28:34">
      <c r="AB6820" s="580">
        <f>HLOOKUP("*"&amp;'Output annual'!$AC$2&amp;'Output annual'!$AD$2&amp;"*Zone People Number Of Occupants [](Hourly)",'Eplus results'!$1:$1048576,ROW(),FALSE)</f>
        <v>0</v>
      </c>
      <c r="AC6820" s="580">
        <f>HLOOKUP("*"&amp;'Output annual'!$AC$2&amp;'Output annual'!$AD$2&amp;"*FangerPMV(Hourly)",'Eplus results'!$1:$1048576,ROW(),FALSE)</f>
        <v>0</v>
      </c>
      <c r="AD6820" s="580">
        <f t="shared" si="566"/>
        <v>5</v>
      </c>
      <c r="AE6820" s="580">
        <f t="shared" si="567"/>
        <v>2.5</v>
      </c>
      <c r="AF6820" s="580">
        <f t="shared" si="568"/>
        <v>2.5</v>
      </c>
      <c r="AG6820" s="580">
        <f t="shared" si="569"/>
        <v>0</v>
      </c>
      <c r="AH6820" s="580">
        <f t="shared" si="570"/>
        <v>0</v>
      </c>
    </row>
    <row r="6821" spans="28:34">
      <c r="AB6821" s="580">
        <f>HLOOKUP("*"&amp;'Output annual'!$AC$2&amp;'Output annual'!$AD$2&amp;"*Zone People Number Of Occupants [](Hourly)",'Eplus results'!$1:$1048576,ROW(),FALSE)</f>
        <v>0</v>
      </c>
      <c r="AC6821" s="580">
        <f>HLOOKUP("*"&amp;'Output annual'!$AC$2&amp;'Output annual'!$AD$2&amp;"*FangerPMV(Hourly)",'Eplus results'!$1:$1048576,ROW(),FALSE)</f>
        <v>0</v>
      </c>
      <c r="AD6821" s="580">
        <f t="shared" si="566"/>
        <v>5</v>
      </c>
      <c r="AE6821" s="580">
        <f t="shared" si="567"/>
        <v>2.5</v>
      </c>
      <c r="AF6821" s="580">
        <f t="shared" si="568"/>
        <v>2.5</v>
      </c>
      <c r="AG6821" s="580">
        <f t="shared" si="569"/>
        <v>0</v>
      </c>
      <c r="AH6821" s="580">
        <f t="shared" si="570"/>
        <v>0</v>
      </c>
    </row>
    <row r="6822" spans="28:34">
      <c r="AB6822" s="580">
        <f>HLOOKUP("*"&amp;'Output annual'!$AC$2&amp;'Output annual'!$AD$2&amp;"*Zone People Number Of Occupants [](Hourly)",'Eplus results'!$1:$1048576,ROW(),FALSE)</f>
        <v>0</v>
      </c>
      <c r="AC6822" s="580">
        <f>HLOOKUP("*"&amp;'Output annual'!$AC$2&amp;'Output annual'!$AD$2&amp;"*FangerPMV(Hourly)",'Eplus results'!$1:$1048576,ROW(),FALSE)</f>
        <v>0</v>
      </c>
      <c r="AD6822" s="580">
        <f t="shared" si="566"/>
        <v>5</v>
      </c>
      <c r="AE6822" s="580">
        <f t="shared" si="567"/>
        <v>2.5</v>
      </c>
      <c r="AF6822" s="580">
        <f t="shared" si="568"/>
        <v>2.5</v>
      </c>
      <c r="AG6822" s="580">
        <f t="shared" si="569"/>
        <v>0</v>
      </c>
      <c r="AH6822" s="580">
        <f t="shared" si="570"/>
        <v>0</v>
      </c>
    </row>
    <row r="6823" spans="28:34">
      <c r="AB6823" s="580">
        <f>HLOOKUP("*"&amp;'Output annual'!$AC$2&amp;'Output annual'!$AD$2&amp;"*Zone People Number Of Occupants [](Hourly)",'Eplus results'!$1:$1048576,ROW(),FALSE)</f>
        <v>0</v>
      </c>
      <c r="AC6823" s="580">
        <f>HLOOKUP("*"&amp;'Output annual'!$AC$2&amp;'Output annual'!$AD$2&amp;"*FangerPMV(Hourly)",'Eplus results'!$1:$1048576,ROW(),FALSE)</f>
        <v>0</v>
      </c>
      <c r="AD6823" s="580">
        <f t="shared" si="566"/>
        <v>5</v>
      </c>
      <c r="AE6823" s="580">
        <f t="shared" si="567"/>
        <v>2.5</v>
      </c>
      <c r="AF6823" s="580">
        <f t="shared" si="568"/>
        <v>2.5</v>
      </c>
      <c r="AG6823" s="580">
        <f t="shared" si="569"/>
        <v>0</v>
      </c>
      <c r="AH6823" s="580">
        <f t="shared" si="570"/>
        <v>0</v>
      </c>
    </row>
    <row r="6824" spans="28:34">
      <c r="AB6824" s="580">
        <f>HLOOKUP("*"&amp;'Output annual'!$AC$2&amp;'Output annual'!$AD$2&amp;"*Zone People Number Of Occupants [](Hourly)",'Eplus results'!$1:$1048576,ROW(),FALSE)</f>
        <v>0</v>
      </c>
      <c r="AC6824" s="580">
        <f>HLOOKUP("*"&amp;'Output annual'!$AC$2&amp;'Output annual'!$AD$2&amp;"*FangerPMV(Hourly)",'Eplus results'!$1:$1048576,ROW(),FALSE)</f>
        <v>0</v>
      </c>
      <c r="AD6824" s="580">
        <f t="shared" si="566"/>
        <v>5</v>
      </c>
      <c r="AE6824" s="580">
        <f t="shared" si="567"/>
        <v>2.5</v>
      </c>
      <c r="AF6824" s="580">
        <f t="shared" si="568"/>
        <v>2.5</v>
      </c>
      <c r="AG6824" s="580">
        <f t="shared" si="569"/>
        <v>0</v>
      </c>
      <c r="AH6824" s="580">
        <f t="shared" si="570"/>
        <v>0</v>
      </c>
    </row>
    <row r="6825" spans="28:34">
      <c r="AB6825" s="580">
        <f>HLOOKUP("*"&amp;'Output annual'!$AC$2&amp;'Output annual'!$AD$2&amp;"*Zone People Number Of Occupants [](Hourly)",'Eplus results'!$1:$1048576,ROW(),FALSE)</f>
        <v>0</v>
      </c>
      <c r="AC6825" s="580">
        <f>HLOOKUP("*"&amp;'Output annual'!$AC$2&amp;'Output annual'!$AD$2&amp;"*FangerPMV(Hourly)",'Eplus results'!$1:$1048576,ROW(),FALSE)</f>
        <v>0</v>
      </c>
      <c r="AD6825" s="580">
        <f t="shared" si="566"/>
        <v>5</v>
      </c>
      <c r="AE6825" s="580">
        <f t="shared" si="567"/>
        <v>2.5</v>
      </c>
      <c r="AF6825" s="580">
        <f t="shared" si="568"/>
        <v>2.5</v>
      </c>
      <c r="AG6825" s="580">
        <f t="shared" si="569"/>
        <v>0</v>
      </c>
      <c r="AH6825" s="580">
        <f t="shared" si="570"/>
        <v>0</v>
      </c>
    </row>
    <row r="6826" spans="28:34">
      <c r="AB6826" s="580">
        <f>HLOOKUP("*"&amp;'Output annual'!$AC$2&amp;'Output annual'!$AD$2&amp;"*Zone People Number Of Occupants [](Hourly)",'Eplus results'!$1:$1048576,ROW(),FALSE)</f>
        <v>0</v>
      </c>
      <c r="AC6826" s="580">
        <f>HLOOKUP("*"&amp;'Output annual'!$AC$2&amp;'Output annual'!$AD$2&amp;"*FangerPMV(Hourly)",'Eplus results'!$1:$1048576,ROW(),FALSE)</f>
        <v>0</v>
      </c>
      <c r="AD6826" s="580">
        <f t="shared" si="566"/>
        <v>5</v>
      </c>
      <c r="AE6826" s="580">
        <f t="shared" si="567"/>
        <v>2.5</v>
      </c>
      <c r="AF6826" s="580">
        <f t="shared" si="568"/>
        <v>2.5</v>
      </c>
      <c r="AG6826" s="580">
        <f t="shared" si="569"/>
        <v>0</v>
      </c>
      <c r="AH6826" s="580">
        <f t="shared" si="570"/>
        <v>0</v>
      </c>
    </row>
    <row r="6827" spans="28:34">
      <c r="AB6827" s="580">
        <f>HLOOKUP("*"&amp;'Output annual'!$AC$2&amp;'Output annual'!$AD$2&amp;"*Zone People Number Of Occupants [](Hourly)",'Eplus results'!$1:$1048576,ROW(),FALSE)</f>
        <v>0</v>
      </c>
      <c r="AC6827" s="580">
        <f>HLOOKUP("*"&amp;'Output annual'!$AC$2&amp;'Output annual'!$AD$2&amp;"*FangerPMV(Hourly)",'Eplus results'!$1:$1048576,ROW(),FALSE)</f>
        <v>0</v>
      </c>
      <c r="AD6827" s="580">
        <f t="shared" si="566"/>
        <v>5</v>
      </c>
      <c r="AE6827" s="580">
        <f t="shared" si="567"/>
        <v>2.5</v>
      </c>
      <c r="AF6827" s="580">
        <f t="shared" si="568"/>
        <v>2.5</v>
      </c>
      <c r="AG6827" s="580">
        <f t="shared" si="569"/>
        <v>0</v>
      </c>
      <c r="AH6827" s="580">
        <f t="shared" si="570"/>
        <v>0</v>
      </c>
    </row>
    <row r="6828" spans="28:34">
      <c r="AB6828" s="580">
        <f>HLOOKUP("*"&amp;'Output annual'!$AC$2&amp;'Output annual'!$AD$2&amp;"*Zone People Number Of Occupants [](Hourly)",'Eplus results'!$1:$1048576,ROW(),FALSE)</f>
        <v>0</v>
      </c>
      <c r="AC6828" s="580">
        <f>HLOOKUP("*"&amp;'Output annual'!$AC$2&amp;'Output annual'!$AD$2&amp;"*FangerPMV(Hourly)",'Eplus results'!$1:$1048576,ROW(),FALSE)</f>
        <v>0</v>
      </c>
      <c r="AD6828" s="580">
        <f t="shared" si="566"/>
        <v>5</v>
      </c>
      <c r="AE6828" s="580">
        <f t="shared" si="567"/>
        <v>2.5</v>
      </c>
      <c r="AF6828" s="580">
        <f t="shared" si="568"/>
        <v>2.5</v>
      </c>
      <c r="AG6828" s="580">
        <f t="shared" si="569"/>
        <v>0</v>
      </c>
      <c r="AH6828" s="580">
        <f t="shared" si="570"/>
        <v>0</v>
      </c>
    </row>
    <row r="6829" spans="28:34">
      <c r="AB6829" s="580">
        <f>HLOOKUP("*"&amp;'Output annual'!$AC$2&amp;'Output annual'!$AD$2&amp;"*Zone People Number Of Occupants [](Hourly)",'Eplus results'!$1:$1048576,ROW(),FALSE)</f>
        <v>0</v>
      </c>
      <c r="AC6829" s="580">
        <f>HLOOKUP("*"&amp;'Output annual'!$AC$2&amp;'Output annual'!$AD$2&amp;"*FangerPMV(Hourly)",'Eplus results'!$1:$1048576,ROW(),FALSE)</f>
        <v>0</v>
      </c>
      <c r="AD6829" s="580">
        <f t="shared" si="566"/>
        <v>5</v>
      </c>
      <c r="AE6829" s="580">
        <f t="shared" si="567"/>
        <v>2.5</v>
      </c>
      <c r="AF6829" s="580">
        <f t="shared" si="568"/>
        <v>2.5</v>
      </c>
      <c r="AG6829" s="580">
        <f t="shared" si="569"/>
        <v>0</v>
      </c>
      <c r="AH6829" s="580">
        <f t="shared" si="570"/>
        <v>0</v>
      </c>
    </row>
    <row r="6830" spans="28:34">
      <c r="AB6830" s="580">
        <f>HLOOKUP("*"&amp;'Output annual'!$AC$2&amp;'Output annual'!$AD$2&amp;"*Zone People Number Of Occupants [](Hourly)",'Eplus results'!$1:$1048576,ROW(),FALSE)</f>
        <v>0</v>
      </c>
      <c r="AC6830" s="580">
        <f>HLOOKUP("*"&amp;'Output annual'!$AC$2&amp;'Output annual'!$AD$2&amp;"*FangerPMV(Hourly)",'Eplus results'!$1:$1048576,ROW(),FALSE)</f>
        <v>0</v>
      </c>
      <c r="AD6830" s="580">
        <f t="shared" si="566"/>
        <v>5</v>
      </c>
      <c r="AE6830" s="580">
        <f t="shared" si="567"/>
        <v>2.5</v>
      </c>
      <c r="AF6830" s="580">
        <f t="shared" si="568"/>
        <v>2.5</v>
      </c>
      <c r="AG6830" s="580">
        <f t="shared" si="569"/>
        <v>0</v>
      </c>
      <c r="AH6830" s="580">
        <f t="shared" si="570"/>
        <v>0</v>
      </c>
    </row>
    <row r="6831" spans="28:34">
      <c r="AB6831" s="580">
        <f>HLOOKUP("*"&amp;'Output annual'!$AC$2&amp;'Output annual'!$AD$2&amp;"*Zone People Number Of Occupants [](Hourly)",'Eplus results'!$1:$1048576,ROW(),FALSE)</f>
        <v>0</v>
      </c>
      <c r="AC6831" s="580">
        <f>HLOOKUP("*"&amp;'Output annual'!$AC$2&amp;'Output annual'!$AD$2&amp;"*FangerPMV(Hourly)",'Eplus results'!$1:$1048576,ROW(),FALSE)</f>
        <v>0</v>
      </c>
      <c r="AD6831" s="580">
        <f t="shared" si="566"/>
        <v>5</v>
      </c>
      <c r="AE6831" s="580">
        <f t="shared" si="567"/>
        <v>2.5</v>
      </c>
      <c r="AF6831" s="580">
        <f t="shared" si="568"/>
        <v>2.5</v>
      </c>
      <c r="AG6831" s="580">
        <f t="shared" si="569"/>
        <v>0</v>
      </c>
      <c r="AH6831" s="580">
        <f t="shared" si="570"/>
        <v>0</v>
      </c>
    </row>
    <row r="6832" spans="28:34">
      <c r="AB6832" s="580">
        <f>HLOOKUP("*"&amp;'Output annual'!$AC$2&amp;'Output annual'!$AD$2&amp;"*Zone People Number Of Occupants [](Hourly)",'Eplus results'!$1:$1048576,ROW(),FALSE)</f>
        <v>0</v>
      </c>
      <c r="AC6832" s="580">
        <f>HLOOKUP("*"&amp;'Output annual'!$AC$2&amp;'Output annual'!$AD$2&amp;"*FangerPMV(Hourly)",'Eplus results'!$1:$1048576,ROW(),FALSE)</f>
        <v>0</v>
      </c>
      <c r="AD6832" s="580">
        <f t="shared" si="566"/>
        <v>5</v>
      </c>
      <c r="AE6832" s="580">
        <f t="shared" si="567"/>
        <v>2.5</v>
      </c>
      <c r="AF6832" s="580">
        <f t="shared" si="568"/>
        <v>2.5</v>
      </c>
      <c r="AG6832" s="580">
        <f t="shared" si="569"/>
        <v>0</v>
      </c>
      <c r="AH6832" s="580">
        <f t="shared" si="570"/>
        <v>0</v>
      </c>
    </row>
    <row r="6833" spans="28:34">
      <c r="AB6833" s="580">
        <f>HLOOKUP("*"&amp;'Output annual'!$AC$2&amp;'Output annual'!$AD$2&amp;"*Zone People Number Of Occupants [](Hourly)",'Eplus results'!$1:$1048576,ROW(),FALSE)</f>
        <v>0</v>
      </c>
      <c r="AC6833" s="580">
        <f>HLOOKUP("*"&amp;'Output annual'!$AC$2&amp;'Output annual'!$AD$2&amp;"*FangerPMV(Hourly)",'Eplus results'!$1:$1048576,ROW(),FALSE)</f>
        <v>0</v>
      </c>
      <c r="AD6833" s="580">
        <f t="shared" si="566"/>
        <v>5</v>
      </c>
      <c r="AE6833" s="580">
        <f t="shared" si="567"/>
        <v>2.5</v>
      </c>
      <c r="AF6833" s="580">
        <f t="shared" si="568"/>
        <v>2.5</v>
      </c>
      <c r="AG6833" s="580">
        <f t="shared" si="569"/>
        <v>0</v>
      </c>
      <c r="AH6833" s="580">
        <f t="shared" si="570"/>
        <v>0</v>
      </c>
    </row>
    <row r="6834" spans="28:34">
      <c r="AB6834" s="580">
        <f>HLOOKUP("*"&amp;'Output annual'!$AC$2&amp;'Output annual'!$AD$2&amp;"*Zone People Number Of Occupants [](Hourly)",'Eplus results'!$1:$1048576,ROW(),FALSE)</f>
        <v>0</v>
      </c>
      <c r="AC6834" s="580">
        <f>HLOOKUP("*"&amp;'Output annual'!$AC$2&amp;'Output annual'!$AD$2&amp;"*FangerPMV(Hourly)",'Eplus results'!$1:$1048576,ROW(),FALSE)</f>
        <v>0</v>
      </c>
      <c r="AD6834" s="580">
        <f t="shared" si="566"/>
        <v>5</v>
      </c>
      <c r="AE6834" s="580">
        <f t="shared" si="567"/>
        <v>2.5</v>
      </c>
      <c r="AF6834" s="580">
        <f t="shared" si="568"/>
        <v>2.5</v>
      </c>
      <c r="AG6834" s="580">
        <f t="shared" si="569"/>
        <v>0</v>
      </c>
      <c r="AH6834" s="580">
        <f t="shared" si="570"/>
        <v>0</v>
      </c>
    </row>
    <row r="6835" spans="28:34">
      <c r="AB6835" s="580">
        <f>HLOOKUP("*"&amp;'Output annual'!$AC$2&amp;'Output annual'!$AD$2&amp;"*Zone People Number Of Occupants [](Hourly)",'Eplus results'!$1:$1048576,ROW(),FALSE)</f>
        <v>0</v>
      </c>
      <c r="AC6835" s="580">
        <f>HLOOKUP("*"&amp;'Output annual'!$AC$2&amp;'Output annual'!$AD$2&amp;"*FangerPMV(Hourly)",'Eplus results'!$1:$1048576,ROW(),FALSE)</f>
        <v>0</v>
      </c>
      <c r="AD6835" s="580">
        <f t="shared" si="566"/>
        <v>5</v>
      </c>
      <c r="AE6835" s="580">
        <f t="shared" si="567"/>
        <v>2.5</v>
      </c>
      <c r="AF6835" s="580">
        <f t="shared" si="568"/>
        <v>2.5</v>
      </c>
      <c r="AG6835" s="580">
        <f t="shared" si="569"/>
        <v>0</v>
      </c>
      <c r="AH6835" s="580">
        <f t="shared" si="570"/>
        <v>0</v>
      </c>
    </row>
    <row r="6836" spans="28:34">
      <c r="AB6836" s="580">
        <f>HLOOKUP("*"&amp;'Output annual'!$AC$2&amp;'Output annual'!$AD$2&amp;"*Zone People Number Of Occupants [](Hourly)",'Eplus results'!$1:$1048576,ROW(),FALSE)</f>
        <v>0</v>
      </c>
      <c r="AC6836" s="580">
        <f>HLOOKUP("*"&amp;'Output annual'!$AC$2&amp;'Output annual'!$AD$2&amp;"*FangerPMV(Hourly)",'Eplus results'!$1:$1048576,ROW(),FALSE)</f>
        <v>0</v>
      </c>
      <c r="AD6836" s="580">
        <f t="shared" si="566"/>
        <v>5</v>
      </c>
      <c r="AE6836" s="580">
        <f t="shared" si="567"/>
        <v>2.5</v>
      </c>
      <c r="AF6836" s="580">
        <f t="shared" si="568"/>
        <v>2.5</v>
      </c>
      <c r="AG6836" s="580">
        <f t="shared" si="569"/>
        <v>0</v>
      </c>
      <c r="AH6836" s="580">
        <f t="shared" si="570"/>
        <v>0</v>
      </c>
    </row>
    <row r="6837" spans="28:34">
      <c r="AB6837" s="580">
        <f>HLOOKUP("*"&amp;'Output annual'!$AC$2&amp;'Output annual'!$AD$2&amp;"*Zone People Number Of Occupants [](Hourly)",'Eplus results'!$1:$1048576,ROW(),FALSE)</f>
        <v>0</v>
      </c>
      <c r="AC6837" s="580">
        <f>HLOOKUP("*"&amp;'Output annual'!$AC$2&amp;'Output annual'!$AD$2&amp;"*FangerPMV(Hourly)",'Eplus results'!$1:$1048576,ROW(),FALSE)</f>
        <v>0</v>
      </c>
      <c r="AD6837" s="580">
        <f t="shared" si="566"/>
        <v>5</v>
      </c>
      <c r="AE6837" s="580">
        <f t="shared" si="567"/>
        <v>2.5</v>
      </c>
      <c r="AF6837" s="580">
        <f t="shared" si="568"/>
        <v>2.5</v>
      </c>
      <c r="AG6837" s="580">
        <f t="shared" si="569"/>
        <v>0</v>
      </c>
      <c r="AH6837" s="580">
        <f t="shared" si="570"/>
        <v>0</v>
      </c>
    </row>
    <row r="6838" spans="28:34">
      <c r="AB6838" s="580">
        <f>HLOOKUP("*"&amp;'Output annual'!$AC$2&amp;'Output annual'!$AD$2&amp;"*Zone People Number Of Occupants [](Hourly)",'Eplus results'!$1:$1048576,ROW(),FALSE)</f>
        <v>0</v>
      </c>
      <c r="AC6838" s="580">
        <f>HLOOKUP("*"&amp;'Output annual'!$AC$2&amp;'Output annual'!$AD$2&amp;"*FangerPMV(Hourly)",'Eplus results'!$1:$1048576,ROW(),FALSE)</f>
        <v>0</v>
      </c>
      <c r="AD6838" s="580">
        <f t="shared" si="566"/>
        <v>5</v>
      </c>
      <c r="AE6838" s="580">
        <f t="shared" si="567"/>
        <v>2.5</v>
      </c>
      <c r="AF6838" s="580">
        <f t="shared" si="568"/>
        <v>2.5</v>
      </c>
      <c r="AG6838" s="580">
        <f t="shared" si="569"/>
        <v>0</v>
      </c>
      <c r="AH6838" s="580">
        <f t="shared" si="570"/>
        <v>0</v>
      </c>
    </row>
    <row r="6839" spans="28:34">
      <c r="AB6839" s="580">
        <f>HLOOKUP("*"&amp;'Output annual'!$AC$2&amp;'Output annual'!$AD$2&amp;"*Zone People Number Of Occupants [](Hourly)",'Eplus results'!$1:$1048576,ROW(),FALSE)</f>
        <v>0</v>
      </c>
      <c r="AC6839" s="580">
        <f>HLOOKUP("*"&amp;'Output annual'!$AC$2&amp;'Output annual'!$AD$2&amp;"*FangerPMV(Hourly)",'Eplus results'!$1:$1048576,ROW(),FALSE)</f>
        <v>0</v>
      </c>
      <c r="AD6839" s="580">
        <f t="shared" si="566"/>
        <v>5</v>
      </c>
      <c r="AE6839" s="580">
        <f t="shared" si="567"/>
        <v>2.5</v>
      </c>
      <c r="AF6839" s="580">
        <f t="shared" si="568"/>
        <v>2.5</v>
      </c>
      <c r="AG6839" s="580">
        <f t="shared" si="569"/>
        <v>0</v>
      </c>
      <c r="AH6839" s="580">
        <f t="shared" si="570"/>
        <v>0</v>
      </c>
    </row>
    <row r="6840" spans="28:34">
      <c r="AB6840" s="580">
        <f>HLOOKUP("*"&amp;'Output annual'!$AC$2&amp;'Output annual'!$AD$2&amp;"*Zone People Number Of Occupants [](Hourly)",'Eplus results'!$1:$1048576,ROW(),FALSE)</f>
        <v>0</v>
      </c>
      <c r="AC6840" s="580">
        <f>HLOOKUP("*"&amp;'Output annual'!$AC$2&amp;'Output annual'!$AD$2&amp;"*FangerPMV(Hourly)",'Eplus results'!$1:$1048576,ROW(),FALSE)</f>
        <v>0</v>
      </c>
      <c r="AD6840" s="580">
        <f t="shared" si="566"/>
        <v>5</v>
      </c>
      <c r="AE6840" s="580">
        <f t="shared" si="567"/>
        <v>2.5</v>
      </c>
      <c r="AF6840" s="580">
        <f t="shared" si="568"/>
        <v>2.5</v>
      </c>
      <c r="AG6840" s="580">
        <f t="shared" si="569"/>
        <v>0</v>
      </c>
      <c r="AH6840" s="580">
        <f t="shared" si="570"/>
        <v>0</v>
      </c>
    </row>
    <row r="6841" spans="28:34">
      <c r="AB6841" s="580">
        <f>HLOOKUP("*"&amp;'Output annual'!$AC$2&amp;'Output annual'!$AD$2&amp;"*Zone People Number Of Occupants [](Hourly)",'Eplus results'!$1:$1048576,ROW(),FALSE)</f>
        <v>0</v>
      </c>
      <c r="AC6841" s="580">
        <f>HLOOKUP("*"&amp;'Output annual'!$AC$2&amp;'Output annual'!$AD$2&amp;"*FangerPMV(Hourly)",'Eplus results'!$1:$1048576,ROW(),FALSE)</f>
        <v>0</v>
      </c>
      <c r="AD6841" s="580">
        <f t="shared" si="566"/>
        <v>5</v>
      </c>
      <c r="AE6841" s="580">
        <f t="shared" si="567"/>
        <v>2.5</v>
      </c>
      <c r="AF6841" s="580">
        <f t="shared" si="568"/>
        <v>2.5</v>
      </c>
      <c r="AG6841" s="580">
        <f t="shared" si="569"/>
        <v>0</v>
      </c>
      <c r="AH6841" s="580">
        <f t="shared" si="570"/>
        <v>0</v>
      </c>
    </row>
    <row r="6842" spans="28:34">
      <c r="AB6842" s="580">
        <f>HLOOKUP("*"&amp;'Output annual'!$AC$2&amp;'Output annual'!$AD$2&amp;"*Zone People Number Of Occupants [](Hourly)",'Eplus results'!$1:$1048576,ROW(),FALSE)</f>
        <v>0</v>
      </c>
      <c r="AC6842" s="580">
        <f>HLOOKUP("*"&amp;'Output annual'!$AC$2&amp;'Output annual'!$AD$2&amp;"*FangerPMV(Hourly)",'Eplus results'!$1:$1048576,ROW(),FALSE)</f>
        <v>0</v>
      </c>
      <c r="AD6842" s="580">
        <f t="shared" si="566"/>
        <v>5</v>
      </c>
      <c r="AE6842" s="580">
        <f t="shared" si="567"/>
        <v>2.5</v>
      </c>
      <c r="AF6842" s="580">
        <f t="shared" si="568"/>
        <v>2.5</v>
      </c>
      <c r="AG6842" s="580">
        <f t="shared" si="569"/>
        <v>0</v>
      </c>
      <c r="AH6842" s="580">
        <f t="shared" si="570"/>
        <v>0</v>
      </c>
    </row>
    <row r="6843" spans="28:34">
      <c r="AB6843" s="580">
        <f>HLOOKUP("*"&amp;'Output annual'!$AC$2&amp;'Output annual'!$AD$2&amp;"*Zone People Number Of Occupants [](Hourly)",'Eplus results'!$1:$1048576,ROW(),FALSE)</f>
        <v>0</v>
      </c>
      <c r="AC6843" s="580">
        <f>HLOOKUP("*"&amp;'Output annual'!$AC$2&amp;'Output annual'!$AD$2&amp;"*FangerPMV(Hourly)",'Eplus results'!$1:$1048576,ROW(),FALSE)</f>
        <v>0</v>
      </c>
      <c r="AD6843" s="580">
        <f t="shared" si="566"/>
        <v>5</v>
      </c>
      <c r="AE6843" s="580">
        <f t="shared" si="567"/>
        <v>2.5</v>
      </c>
      <c r="AF6843" s="580">
        <f t="shared" si="568"/>
        <v>2.5</v>
      </c>
      <c r="AG6843" s="580">
        <f t="shared" si="569"/>
        <v>0</v>
      </c>
      <c r="AH6843" s="580">
        <f t="shared" si="570"/>
        <v>0</v>
      </c>
    </row>
    <row r="6844" spans="28:34">
      <c r="AB6844" s="580">
        <f>HLOOKUP("*"&amp;'Output annual'!$AC$2&amp;'Output annual'!$AD$2&amp;"*Zone People Number Of Occupants [](Hourly)",'Eplus results'!$1:$1048576,ROW(),FALSE)</f>
        <v>0</v>
      </c>
      <c r="AC6844" s="580">
        <f>HLOOKUP("*"&amp;'Output annual'!$AC$2&amp;'Output annual'!$AD$2&amp;"*FangerPMV(Hourly)",'Eplus results'!$1:$1048576,ROW(),FALSE)</f>
        <v>0</v>
      </c>
      <c r="AD6844" s="580">
        <f t="shared" si="566"/>
        <v>5</v>
      </c>
      <c r="AE6844" s="580">
        <f t="shared" si="567"/>
        <v>2.5</v>
      </c>
      <c r="AF6844" s="580">
        <f t="shared" si="568"/>
        <v>2.5</v>
      </c>
      <c r="AG6844" s="580">
        <f t="shared" si="569"/>
        <v>0</v>
      </c>
      <c r="AH6844" s="580">
        <f t="shared" si="570"/>
        <v>0</v>
      </c>
    </row>
    <row r="6845" spans="28:34">
      <c r="AB6845" s="580">
        <f>HLOOKUP("*"&amp;'Output annual'!$AC$2&amp;'Output annual'!$AD$2&amp;"*Zone People Number Of Occupants [](Hourly)",'Eplus results'!$1:$1048576,ROW(),FALSE)</f>
        <v>0</v>
      </c>
      <c r="AC6845" s="580">
        <f>HLOOKUP("*"&amp;'Output annual'!$AC$2&amp;'Output annual'!$AD$2&amp;"*FangerPMV(Hourly)",'Eplus results'!$1:$1048576,ROW(),FALSE)</f>
        <v>0</v>
      </c>
      <c r="AD6845" s="580">
        <f t="shared" si="566"/>
        <v>5</v>
      </c>
      <c r="AE6845" s="580">
        <f t="shared" si="567"/>
        <v>2.5</v>
      </c>
      <c r="AF6845" s="580">
        <f t="shared" si="568"/>
        <v>2.5</v>
      </c>
      <c r="AG6845" s="580">
        <f t="shared" si="569"/>
        <v>0</v>
      </c>
      <c r="AH6845" s="580">
        <f t="shared" si="570"/>
        <v>0</v>
      </c>
    </row>
    <row r="6846" spans="28:34">
      <c r="AB6846" s="580">
        <f>HLOOKUP("*"&amp;'Output annual'!$AC$2&amp;'Output annual'!$AD$2&amp;"*Zone People Number Of Occupants [](Hourly)",'Eplus results'!$1:$1048576,ROW(),FALSE)</f>
        <v>0</v>
      </c>
      <c r="AC6846" s="580">
        <f>HLOOKUP("*"&amp;'Output annual'!$AC$2&amp;'Output annual'!$AD$2&amp;"*FangerPMV(Hourly)",'Eplus results'!$1:$1048576,ROW(),FALSE)</f>
        <v>0</v>
      </c>
      <c r="AD6846" s="580">
        <f t="shared" si="566"/>
        <v>5</v>
      </c>
      <c r="AE6846" s="580">
        <f t="shared" si="567"/>
        <v>2.5</v>
      </c>
      <c r="AF6846" s="580">
        <f t="shared" si="568"/>
        <v>2.5</v>
      </c>
      <c r="AG6846" s="580">
        <f t="shared" si="569"/>
        <v>0</v>
      </c>
      <c r="AH6846" s="580">
        <f t="shared" si="570"/>
        <v>0</v>
      </c>
    </row>
    <row r="6847" spans="28:34">
      <c r="AB6847" s="580">
        <f>HLOOKUP("*"&amp;'Output annual'!$AC$2&amp;'Output annual'!$AD$2&amp;"*Zone People Number Of Occupants [](Hourly)",'Eplus results'!$1:$1048576,ROW(),FALSE)</f>
        <v>0</v>
      </c>
      <c r="AC6847" s="580">
        <f>HLOOKUP("*"&amp;'Output annual'!$AC$2&amp;'Output annual'!$AD$2&amp;"*FangerPMV(Hourly)",'Eplus results'!$1:$1048576,ROW(),FALSE)</f>
        <v>0</v>
      </c>
      <c r="AD6847" s="580">
        <f t="shared" si="566"/>
        <v>5</v>
      </c>
      <c r="AE6847" s="580">
        <f t="shared" si="567"/>
        <v>2.5</v>
      </c>
      <c r="AF6847" s="580">
        <f t="shared" si="568"/>
        <v>2.5</v>
      </c>
      <c r="AG6847" s="580">
        <f t="shared" si="569"/>
        <v>0</v>
      </c>
      <c r="AH6847" s="580">
        <f t="shared" si="570"/>
        <v>0</v>
      </c>
    </row>
    <row r="6848" spans="28:34">
      <c r="AB6848" s="580">
        <f>HLOOKUP("*"&amp;'Output annual'!$AC$2&amp;'Output annual'!$AD$2&amp;"*Zone People Number Of Occupants [](Hourly)",'Eplus results'!$1:$1048576,ROW(),FALSE)</f>
        <v>0</v>
      </c>
      <c r="AC6848" s="580">
        <f>HLOOKUP("*"&amp;'Output annual'!$AC$2&amp;'Output annual'!$AD$2&amp;"*FangerPMV(Hourly)",'Eplus results'!$1:$1048576,ROW(),FALSE)</f>
        <v>0</v>
      </c>
      <c r="AD6848" s="580">
        <f t="shared" si="566"/>
        <v>5</v>
      </c>
      <c r="AE6848" s="580">
        <f t="shared" si="567"/>
        <v>2.5</v>
      </c>
      <c r="AF6848" s="580">
        <f t="shared" si="568"/>
        <v>2.5</v>
      </c>
      <c r="AG6848" s="580">
        <f t="shared" si="569"/>
        <v>0</v>
      </c>
      <c r="AH6848" s="580">
        <f t="shared" si="570"/>
        <v>0</v>
      </c>
    </row>
    <row r="6849" spans="28:34">
      <c r="AB6849" s="580">
        <f>HLOOKUP("*"&amp;'Output annual'!$AC$2&amp;'Output annual'!$AD$2&amp;"*Zone People Number Of Occupants [](Hourly)",'Eplus results'!$1:$1048576,ROW(),FALSE)</f>
        <v>0</v>
      </c>
      <c r="AC6849" s="580">
        <f>HLOOKUP("*"&amp;'Output annual'!$AC$2&amp;'Output annual'!$AD$2&amp;"*FangerPMV(Hourly)",'Eplus results'!$1:$1048576,ROW(),FALSE)</f>
        <v>0</v>
      </c>
      <c r="AD6849" s="580">
        <f t="shared" si="566"/>
        <v>5</v>
      </c>
      <c r="AE6849" s="580">
        <f t="shared" si="567"/>
        <v>2.5</v>
      </c>
      <c r="AF6849" s="580">
        <f t="shared" si="568"/>
        <v>2.5</v>
      </c>
      <c r="AG6849" s="580">
        <f t="shared" si="569"/>
        <v>0</v>
      </c>
      <c r="AH6849" s="580">
        <f t="shared" si="570"/>
        <v>0</v>
      </c>
    </row>
    <row r="6850" spans="28:34">
      <c r="AB6850" s="580">
        <f>HLOOKUP("*"&amp;'Output annual'!$AC$2&amp;'Output annual'!$AD$2&amp;"*Zone People Number Of Occupants [](Hourly)",'Eplus results'!$1:$1048576,ROW(),FALSE)</f>
        <v>0</v>
      </c>
      <c r="AC6850" s="580">
        <f>HLOOKUP("*"&amp;'Output annual'!$AC$2&amp;'Output annual'!$AD$2&amp;"*FangerPMV(Hourly)",'Eplus results'!$1:$1048576,ROW(),FALSE)</f>
        <v>0</v>
      </c>
      <c r="AD6850" s="580">
        <f t="shared" si="566"/>
        <v>5</v>
      </c>
      <c r="AE6850" s="580">
        <f t="shared" si="567"/>
        <v>2.5</v>
      </c>
      <c r="AF6850" s="580">
        <f t="shared" si="568"/>
        <v>2.5</v>
      </c>
      <c r="AG6850" s="580">
        <f t="shared" si="569"/>
        <v>0</v>
      </c>
      <c r="AH6850" s="580">
        <f t="shared" si="570"/>
        <v>0</v>
      </c>
    </row>
    <row r="6851" spans="28:34">
      <c r="AB6851" s="580">
        <f>HLOOKUP("*"&amp;'Output annual'!$AC$2&amp;'Output annual'!$AD$2&amp;"*Zone People Number Of Occupants [](Hourly)",'Eplus results'!$1:$1048576,ROW(),FALSE)</f>
        <v>0</v>
      </c>
      <c r="AC6851" s="580">
        <f>HLOOKUP("*"&amp;'Output annual'!$AC$2&amp;'Output annual'!$AD$2&amp;"*FangerPMV(Hourly)",'Eplus results'!$1:$1048576,ROW(),FALSE)</f>
        <v>0</v>
      </c>
      <c r="AD6851" s="580">
        <f t="shared" ref="AD6851:AD6914" si="571">100-95*EXP(-0.03353*AC6851^4-0.2179*AC6851^2)</f>
        <v>5</v>
      </c>
      <c r="AE6851" s="580">
        <f t="shared" ref="AE6851:AE6914" si="572">AD6851*(1/(1+EXP(-6.3*$AC6851)))</f>
        <v>2.5</v>
      </c>
      <c r="AF6851" s="580">
        <f t="shared" ref="AF6851:AF6914" si="573">(AD6851-AE6851)</f>
        <v>2.5</v>
      </c>
      <c r="AG6851" s="580">
        <f t="shared" ref="AG6851:AG6914" si="574">AE6851*AB6851</f>
        <v>0</v>
      </c>
      <c r="AH6851" s="580">
        <f t="shared" ref="AH6851:AH6914" si="575">AF6851*AB6851</f>
        <v>0</v>
      </c>
    </row>
    <row r="6852" spans="28:34">
      <c r="AB6852" s="580">
        <f>HLOOKUP("*"&amp;'Output annual'!$AC$2&amp;'Output annual'!$AD$2&amp;"*Zone People Number Of Occupants [](Hourly)",'Eplus results'!$1:$1048576,ROW(),FALSE)</f>
        <v>0</v>
      </c>
      <c r="AC6852" s="580">
        <f>HLOOKUP("*"&amp;'Output annual'!$AC$2&amp;'Output annual'!$AD$2&amp;"*FangerPMV(Hourly)",'Eplus results'!$1:$1048576,ROW(),FALSE)</f>
        <v>0</v>
      </c>
      <c r="AD6852" s="580">
        <f t="shared" si="571"/>
        <v>5</v>
      </c>
      <c r="AE6852" s="580">
        <f t="shared" si="572"/>
        <v>2.5</v>
      </c>
      <c r="AF6852" s="580">
        <f t="shared" si="573"/>
        <v>2.5</v>
      </c>
      <c r="AG6852" s="580">
        <f t="shared" si="574"/>
        <v>0</v>
      </c>
      <c r="AH6852" s="580">
        <f t="shared" si="575"/>
        <v>0</v>
      </c>
    </row>
    <row r="6853" spans="28:34">
      <c r="AB6853" s="580">
        <f>HLOOKUP("*"&amp;'Output annual'!$AC$2&amp;'Output annual'!$AD$2&amp;"*Zone People Number Of Occupants [](Hourly)",'Eplus results'!$1:$1048576,ROW(),FALSE)</f>
        <v>0</v>
      </c>
      <c r="AC6853" s="580">
        <f>HLOOKUP("*"&amp;'Output annual'!$AC$2&amp;'Output annual'!$AD$2&amp;"*FangerPMV(Hourly)",'Eplus results'!$1:$1048576,ROW(),FALSE)</f>
        <v>0</v>
      </c>
      <c r="AD6853" s="580">
        <f t="shared" si="571"/>
        <v>5</v>
      </c>
      <c r="AE6853" s="580">
        <f t="shared" si="572"/>
        <v>2.5</v>
      </c>
      <c r="AF6853" s="580">
        <f t="shared" si="573"/>
        <v>2.5</v>
      </c>
      <c r="AG6853" s="580">
        <f t="shared" si="574"/>
        <v>0</v>
      </c>
      <c r="AH6853" s="580">
        <f t="shared" si="575"/>
        <v>0</v>
      </c>
    </row>
    <row r="6854" spans="28:34">
      <c r="AB6854" s="580">
        <f>HLOOKUP("*"&amp;'Output annual'!$AC$2&amp;'Output annual'!$AD$2&amp;"*Zone People Number Of Occupants [](Hourly)",'Eplus results'!$1:$1048576,ROW(),FALSE)</f>
        <v>0</v>
      </c>
      <c r="AC6854" s="580">
        <f>HLOOKUP("*"&amp;'Output annual'!$AC$2&amp;'Output annual'!$AD$2&amp;"*FangerPMV(Hourly)",'Eplus results'!$1:$1048576,ROW(),FALSE)</f>
        <v>0</v>
      </c>
      <c r="AD6854" s="580">
        <f t="shared" si="571"/>
        <v>5</v>
      </c>
      <c r="AE6854" s="580">
        <f t="shared" si="572"/>
        <v>2.5</v>
      </c>
      <c r="AF6854" s="580">
        <f t="shared" si="573"/>
        <v>2.5</v>
      </c>
      <c r="AG6854" s="580">
        <f t="shared" si="574"/>
        <v>0</v>
      </c>
      <c r="AH6854" s="580">
        <f t="shared" si="575"/>
        <v>0</v>
      </c>
    </row>
    <row r="6855" spans="28:34">
      <c r="AB6855" s="580">
        <f>HLOOKUP("*"&amp;'Output annual'!$AC$2&amp;'Output annual'!$AD$2&amp;"*Zone People Number Of Occupants [](Hourly)",'Eplus results'!$1:$1048576,ROW(),FALSE)</f>
        <v>0</v>
      </c>
      <c r="AC6855" s="580">
        <f>HLOOKUP("*"&amp;'Output annual'!$AC$2&amp;'Output annual'!$AD$2&amp;"*FangerPMV(Hourly)",'Eplus results'!$1:$1048576,ROW(),FALSE)</f>
        <v>0</v>
      </c>
      <c r="AD6855" s="580">
        <f t="shared" si="571"/>
        <v>5</v>
      </c>
      <c r="AE6855" s="580">
        <f t="shared" si="572"/>
        <v>2.5</v>
      </c>
      <c r="AF6855" s="580">
        <f t="shared" si="573"/>
        <v>2.5</v>
      </c>
      <c r="AG6855" s="580">
        <f t="shared" si="574"/>
        <v>0</v>
      </c>
      <c r="AH6855" s="580">
        <f t="shared" si="575"/>
        <v>0</v>
      </c>
    </row>
    <row r="6856" spans="28:34">
      <c r="AB6856" s="580">
        <f>HLOOKUP("*"&amp;'Output annual'!$AC$2&amp;'Output annual'!$AD$2&amp;"*Zone People Number Of Occupants [](Hourly)",'Eplus results'!$1:$1048576,ROW(),FALSE)</f>
        <v>0</v>
      </c>
      <c r="AC6856" s="580">
        <f>HLOOKUP("*"&amp;'Output annual'!$AC$2&amp;'Output annual'!$AD$2&amp;"*FangerPMV(Hourly)",'Eplus results'!$1:$1048576,ROW(),FALSE)</f>
        <v>0</v>
      </c>
      <c r="AD6856" s="580">
        <f t="shared" si="571"/>
        <v>5</v>
      </c>
      <c r="AE6856" s="580">
        <f t="shared" si="572"/>
        <v>2.5</v>
      </c>
      <c r="AF6856" s="580">
        <f t="shared" si="573"/>
        <v>2.5</v>
      </c>
      <c r="AG6856" s="580">
        <f t="shared" si="574"/>
        <v>0</v>
      </c>
      <c r="AH6856" s="580">
        <f t="shared" si="575"/>
        <v>0</v>
      </c>
    </row>
    <row r="6857" spans="28:34">
      <c r="AB6857" s="580">
        <f>HLOOKUP("*"&amp;'Output annual'!$AC$2&amp;'Output annual'!$AD$2&amp;"*Zone People Number Of Occupants [](Hourly)",'Eplus results'!$1:$1048576,ROW(),FALSE)</f>
        <v>0</v>
      </c>
      <c r="AC6857" s="580">
        <f>HLOOKUP("*"&amp;'Output annual'!$AC$2&amp;'Output annual'!$AD$2&amp;"*FangerPMV(Hourly)",'Eplus results'!$1:$1048576,ROW(),FALSE)</f>
        <v>0</v>
      </c>
      <c r="AD6857" s="580">
        <f t="shared" si="571"/>
        <v>5</v>
      </c>
      <c r="AE6857" s="580">
        <f t="shared" si="572"/>
        <v>2.5</v>
      </c>
      <c r="AF6857" s="580">
        <f t="shared" si="573"/>
        <v>2.5</v>
      </c>
      <c r="AG6857" s="580">
        <f t="shared" si="574"/>
        <v>0</v>
      </c>
      <c r="AH6857" s="580">
        <f t="shared" si="575"/>
        <v>0</v>
      </c>
    </row>
    <row r="6858" spans="28:34">
      <c r="AB6858" s="580">
        <f>HLOOKUP("*"&amp;'Output annual'!$AC$2&amp;'Output annual'!$AD$2&amp;"*Zone People Number Of Occupants [](Hourly)",'Eplus results'!$1:$1048576,ROW(),FALSE)</f>
        <v>0</v>
      </c>
      <c r="AC6858" s="580">
        <f>HLOOKUP("*"&amp;'Output annual'!$AC$2&amp;'Output annual'!$AD$2&amp;"*FangerPMV(Hourly)",'Eplus results'!$1:$1048576,ROW(),FALSE)</f>
        <v>0</v>
      </c>
      <c r="AD6858" s="580">
        <f t="shared" si="571"/>
        <v>5</v>
      </c>
      <c r="AE6858" s="580">
        <f t="shared" si="572"/>
        <v>2.5</v>
      </c>
      <c r="AF6858" s="580">
        <f t="shared" si="573"/>
        <v>2.5</v>
      </c>
      <c r="AG6858" s="580">
        <f t="shared" si="574"/>
        <v>0</v>
      </c>
      <c r="AH6858" s="580">
        <f t="shared" si="575"/>
        <v>0</v>
      </c>
    </row>
    <row r="6859" spans="28:34">
      <c r="AB6859" s="580">
        <f>HLOOKUP("*"&amp;'Output annual'!$AC$2&amp;'Output annual'!$AD$2&amp;"*Zone People Number Of Occupants [](Hourly)",'Eplus results'!$1:$1048576,ROW(),FALSE)</f>
        <v>0</v>
      </c>
      <c r="AC6859" s="580">
        <f>HLOOKUP("*"&amp;'Output annual'!$AC$2&amp;'Output annual'!$AD$2&amp;"*FangerPMV(Hourly)",'Eplus results'!$1:$1048576,ROW(),FALSE)</f>
        <v>0</v>
      </c>
      <c r="AD6859" s="580">
        <f t="shared" si="571"/>
        <v>5</v>
      </c>
      <c r="AE6859" s="580">
        <f t="shared" si="572"/>
        <v>2.5</v>
      </c>
      <c r="AF6859" s="580">
        <f t="shared" si="573"/>
        <v>2.5</v>
      </c>
      <c r="AG6859" s="580">
        <f t="shared" si="574"/>
        <v>0</v>
      </c>
      <c r="AH6859" s="580">
        <f t="shared" si="575"/>
        <v>0</v>
      </c>
    </row>
    <row r="6860" spans="28:34">
      <c r="AB6860" s="580">
        <f>HLOOKUP("*"&amp;'Output annual'!$AC$2&amp;'Output annual'!$AD$2&amp;"*Zone People Number Of Occupants [](Hourly)",'Eplus results'!$1:$1048576,ROW(),FALSE)</f>
        <v>0</v>
      </c>
      <c r="AC6860" s="580">
        <f>HLOOKUP("*"&amp;'Output annual'!$AC$2&amp;'Output annual'!$AD$2&amp;"*FangerPMV(Hourly)",'Eplus results'!$1:$1048576,ROW(),FALSE)</f>
        <v>0</v>
      </c>
      <c r="AD6860" s="580">
        <f t="shared" si="571"/>
        <v>5</v>
      </c>
      <c r="AE6860" s="580">
        <f t="shared" si="572"/>
        <v>2.5</v>
      </c>
      <c r="AF6860" s="580">
        <f t="shared" si="573"/>
        <v>2.5</v>
      </c>
      <c r="AG6860" s="580">
        <f t="shared" si="574"/>
        <v>0</v>
      </c>
      <c r="AH6860" s="580">
        <f t="shared" si="575"/>
        <v>0</v>
      </c>
    </row>
    <row r="6861" spans="28:34">
      <c r="AB6861" s="580">
        <f>HLOOKUP("*"&amp;'Output annual'!$AC$2&amp;'Output annual'!$AD$2&amp;"*Zone People Number Of Occupants [](Hourly)",'Eplus results'!$1:$1048576,ROW(),FALSE)</f>
        <v>0</v>
      </c>
      <c r="AC6861" s="580">
        <f>HLOOKUP("*"&amp;'Output annual'!$AC$2&amp;'Output annual'!$AD$2&amp;"*FangerPMV(Hourly)",'Eplus results'!$1:$1048576,ROW(),FALSE)</f>
        <v>0</v>
      </c>
      <c r="AD6861" s="580">
        <f t="shared" si="571"/>
        <v>5</v>
      </c>
      <c r="AE6861" s="580">
        <f t="shared" si="572"/>
        <v>2.5</v>
      </c>
      <c r="AF6861" s="580">
        <f t="shared" si="573"/>
        <v>2.5</v>
      </c>
      <c r="AG6861" s="580">
        <f t="shared" si="574"/>
        <v>0</v>
      </c>
      <c r="AH6861" s="580">
        <f t="shared" si="575"/>
        <v>0</v>
      </c>
    </row>
    <row r="6862" spans="28:34">
      <c r="AB6862" s="580">
        <f>HLOOKUP("*"&amp;'Output annual'!$AC$2&amp;'Output annual'!$AD$2&amp;"*Zone People Number Of Occupants [](Hourly)",'Eplus results'!$1:$1048576,ROW(),FALSE)</f>
        <v>0</v>
      </c>
      <c r="AC6862" s="580">
        <f>HLOOKUP("*"&amp;'Output annual'!$AC$2&amp;'Output annual'!$AD$2&amp;"*FangerPMV(Hourly)",'Eplus results'!$1:$1048576,ROW(),FALSE)</f>
        <v>0</v>
      </c>
      <c r="AD6862" s="580">
        <f t="shared" si="571"/>
        <v>5</v>
      </c>
      <c r="AE6862" s="580">
        <f t="shared" si="572"/>
        <v>2.5</v>
      </c>
      <c r="AF6862" s="580">
        <f t="shared" si="573"/>
        <v>2.5</v>
      </c>
      <c r="AG6862" s="580">
        <f t="shared" si="574"/>
        <v>0</v>
      </c>
      <c r="AH6862" s="580">
        <f t="shared" si="575"/>
        <v>0</v>
      </c>
    </row>
    <row r="6863" spans="28:34">
      <c r="AB6863" s="580">
        <f>HLOOKUP("*"&amp;'Output annual'!$AC$2&amp;'Output annual'!$AD$2&amp;"*Zone People Number Of Occupants [](Hourly)",'Eplus results'!$1:$1048576,ROW(),FALSE)</f>
        <v>0</v>
      </c>
      <c r="AC6863" s="580">
        <f>HLOOKUP("*"&amp;'Output annual'!$AC$2&amp;'Output annual'!$AD$2&amp;"*FangerPMV(Hourly)",'Eplus results'!$1:$1048576,ROW(),FALSE)</f>
        <v>0</v>
      </c>
      <c r="AD6863" s="580">
        <f t="shared" si="571"/>
        <v>5</v>
      </c>
      <c r="AE6863" s="580">
        <f t="shared" si="572"/>
        <v>2.5</v>
      </c>
      <c r="AF6863" s="580">
        <f t="shared" si="573"/>
        <v>2.5</v>
      </c>
      <c r="AG6863" s="580">
        <f t="shared" si="574"/>
        <v>0</v>
      </c>
      <c r="AH6863" s="580">
        <f t="shared" si="575"/>
        <v>0</v>
      </c>
    </row>
    <row r="6864" spans="28:34">
      <c r="AB6864" s="580">
        <f>HLOOKUP("*"&amp;'Output annual'!$AC$2&amp;'Output annual'!$AD$2&amp;"*Zone People Number Of Occupants [](Hourly)",'Eplus results'!$1:$1048576,ROW(),FALSE)</f>
        <v>0</v>
      </c>
      <c r="AC6864" s="580">
        <f>HLOOKUP("*"&amp;'Output annual'!$AC$2&amp;'Output annual'!$AD$2&amp;"*FangerPMV(Hourly)",'Eplus results'!$1:$1048576,ROW(),FALSE)</f>
        <v>0</v>
      </c>
      <c r="AD6864" s="580">
        <f t="shared" si="571"/>
        <v>5</v>
      </c>
      <c r="AE6864" s="580">
        <f t="shared" si="572"/>
        <v>2.5</v>
      </c>
      <c r="AF6864" s="580">
        <f t="shared" si="573"/>
        <v>2.5</v>
      </c>
      <c r="AG6864" s="580">
        <f t="shared" si="574"/>
        <v>0</v>
      </c>
      <c r="AH6864" s="580">
        <f t="shared" si="575"/>
        <v>0</v>
      </c>
    </row>
    <row r="6865" spans="28:34">
      <c r="AB6865" s="580">
        <f>HLOOKUP("*"&amp;'Output annual'!$AC$2&amp;'Output annual'!$AD$2&amp;"*Zone People Number Of Occupants [](Hourly)",'Eplus results'!$1:$1048576,ROW(),FALSE)</f>
        <v>0</v>
      </c>
      <c r="AC6865" s="580">
        <f>HLOOKUP("*"&amp;'Output annual'!$AC$2&amp;'Output annual'!$AD$2&amp;"*FangerPMV(Hourly)",'Eplus results'!$1:$1048576,ROW(),FALSE)</f>
        <v>0</v>
      </c>
      <c r="AD6865" s="580">
        <f t="shared" si="571"/>
        <v>5</v>
      </c>
      <c r="AE6865" s="580">
        <f t="shared" si="572"/>
        <v>2.5</v>
      </c>
      <c r="AF6865" s="580">
        <f t="shared" si="573"/>
        <v>2.5</v>
      </c>
      <c r="AG6865" s="580">
        <f t="shared" si="574"/>
        <v>0</v>
      </c>
      <c r="AH6865" s="580">
        <f t="shared" si="575"/>
        <v>0</v>
      </c>
    </row>
    <row r="6866" spans="28:34">
      <c r="AB6866" s="580">
        <f>HLOOKUP("*"&amp;'Output annual'!$AC$2&amp;'Output annual'!$AD$2&amp;"*Zone People Number Of Occupants [](Hourly)",'Eplus results'!$1:$1048576,ROW(),FALSE)</f>
        <v>0</v>
      </c>
      <c r="AC6866" s="580">
        <f>HLOOKUP("*"&amp;'Output annual'!$AC$2&amp;'Output annual'!$AD$2&amp;"*FangerPMV(Hourly)",'Eplus results'!$1:$1048576,ROW(),FALSE)</f>
        <v>0</v>
      </c>
      <c r="AD6866" s="580">
        <f t="shared" si="571"/>
        <v>5</v>
      </c>
      <c r="AE6866" s="580">
        <f t="shared" si="572"/>
        <v>2.5</v>
      </c>
      <c r="AF6866" s="580">
        <f t="shared" si="573"/>
        <v>2.5</v>
      </c>
      <c r="AG6866" s="580">
        <f t="shared" si="574"/>
        <v>0</v>
      </c>
      <c r="AH6866" s="580">
        <f t="shared" si="575"/>
        <v>0</v>
      </c>
    </row>
    <row r="6867" spans="28:34">
      <c r="AB6867" s="580">
        <f>HLOOKUP("*"&amp;'Output annual'!$AC$2&amp;'Output annual'!$AD$2&amp;"*Zone People Number Of Occupants [](Hourly)",'Eplus results'!$1:$1048576,ROW(),FALSE)</f>
        <v>0</v>
      </c>
      <c r="AC6867" s="580">
        <f>HLOOKUP("*"&amp;'Output annual'!$AC$2&amp;'Output annual'!$AD$2&amp;"*FangerPMV(Hourly)",'Eplus results'!$1:$1048576,ROW(),FALSE)</f>
        <v>0</v>
      </c>
      <c r="AD6867" s="580">
        <f t="shared" si="571"/>
        <v>5</v>
      </c>
      <c r="AE6867" s="580">
        <f t="shared" si="572"/>
        <v>2.5</v>
      </c>
      <c r="AF6867" s="580">
        <f t="shared" si="573"/>
        <v>2.5</v>
      </c>
      <c r="AG6867" s="580">
        <f t="shared" si="574"/>
        <v>0</v>
      </c>
      <c r="AH6867" s="580">
        <f t="shared" si="575"/>
        <v>0</v>
      </c>
    </row>
    <row r="6868" spans="28:34">
      <c r="AB6868" s="580">
        <f>HLOOKUP("*"&amp;'Output annual'!$AC$2&amp;'Output annual'!$AD$2&amp;"*Zone People Number Of Occupants [](Hourly)",'Eplus results'!$1:$1048576,ROW(),FALSE)</f>
        <v>0</v>
      </c>
      <c r="AC6868" s="580">
        <f>HLOOKUP("*"&amp;'Output annual'!$AC$2&amp;'Output annual'!$AD$2&amp;"*FangerPMV(Hourly)",'Eplus results'!$1:$1048576,ROW(),FALSE)</f>
        <v>0</v>
      </c>
      <c r="AD6868" s="580">
        <f t="shared" si="571"/>
        <v>5</v>
      </c>
      <c r="AE6868" s="580">
        <f t="shared" si="572"/>
        <v>2.5</v>
      </c>
      <c r="AF6868" s="580">
        <f t="shared" si="573"/>
        <v>2.5</v>
      </c>
      <c r="AG6868" s="580">
        <f t="shared" si="574"/>
        <v>0</v>
      </c>
      <c r="AH6868" s="580">
        <f t="shared" si="575"/>
        <v>0</v>
      </c>
    </row>
    <row r="6869" spans="28:34">
      <c r="AB6869" s="580">
        <f>HLOOKUP("*"&amp;'Output annual'!$AC$2&amp;'Output annual'!$AD$2&amp;"*Zone People Number Of Occupants [](Hourly)",'Eplus results'!$1:$1048576,ROW(),FALSE)</f>
        <v>0</v>
      </c>
      <c r="AC6869" s="580">
        <f>HLOOKUP("*"&amp;'Output annual'!$AC$2&amp;'Output annual'!$AD$2&amp;"*FangerPMV(Hourly)",'Eplus results'!$1:$1048576,ROW(),FALSE)</f>
        <v>0</v>
      </c>
      <c r="AD6869" s="580">
        <f t="shared" si="571"/>
        <v>5</v>
      </c>
      <c r="AE6869" s="580">
        <f t="shared" si="572"/>
        <v>2.5</v>
      </c>
      <c r="AF6869" s="580">
        <f t="shared" si="573"/>
        <v>2.5</v>
      </c>
      <c r="AG6869" s="580">
        <f t="shared" si="574"/>
        <v>0</v>
      </c>
      <c r="AH6869" s="580">
        <f t="shared" si="575"/>
        <v>0</v>
      </c>
    </row>
    <row r="6870" spans="28:34">
      <c r="AB6870" s="580">
        <f>HLOOKUP("*"&amp;'Output annual'!$AC$2&amp;'Output annual'!$AD$2&amp;"*Zone People Number Of Occupants [](Hourly)",'Eplus results'!$1:$1048576,ROW(),FALSE)</f>
        <v>0</v>
      </c>
      <c r="AC6870" s="580">
        <f>HLOOKUP("*"&amp;'Output annual'!$AC$2&amp;'Output annual'!$AD$2&amp;"*FangerPMV(Hourly)",'Eplus results'!$1:$1048576,ROW(),FALSE)</f>
        <v>0</v>
      </c>
      <c r="AD6870" s="580">
        <f t="shared" si="571"/>
        <v>5</v>
      </c>
      <c r="AE6870" s="580">
        <f t="shared" si="572"/>
        <v>2.5</v>
      </c>
      <c r="AF6870" s="580">
        <f t="shared" si="573"/>
        <v>2.5</v>
      </c>
      <c r="AG6870" s="580">
        <f t="shared" si="574"/>
        <v>0</v>
      </c>
      <c r="AH6870" s="580">
        <f t="shared" si="575"/>
        <v>0</v>
      </c>
    </row>
    <row r="6871" spans="28:34">
      <c r="AB6871" s="580">
        <f>HLOOKUP("*"&amp;'Output annual'!$AC$2&amp;'Output annual'!$AD$2&amp;"*Zone People Number Of Occupants [](Hourly)",'Eplus results'!$1:$1048576,ROW(),FALSE)</f>
        <v>0</v>
      </c>
      <c r="AC6871" s="580">
        <f>HLOOKUP("*"&amp;'Output annual'!$AC$2&amp;'Output annual'!$AD$2&amp;"*FangerPMV(Hourly)",'Eplus results'!$1:$1048576,ROW(),FALSE)</f>
        <v>0</v>
      </c>
      <c r="AD6871" s="580">
        <f t="shared" si="571"/>
        <v>5</v>
      </c>
      <c r="AE6871" s="580">
        <f t="shared" si="572"/>
        <v>2.5</v>
      </c>
      <c r="AF6871" s="580">
        <f t="shared" si="573"/>
        <v>2.5</v>
      </c>
      <c r="AG6871" s="580">
        <f t="shared" si="574"/>
        <v>0</v>
      </c>
      <c r="AH6871" s="580">
        <f t="shared" si="575"/>
        <v>0</v>
      </c>
    </row>
    <row r="6872" spans="28:34">
      <c r="AB6872" s="580">
        <f>HLOOKUP("*"&amp;'Output annual'!$AC$2&amp;'Output annual'!$AD$2&amp;"*Zone People Number Of Occupants [](Hourly)",'Eplus results'!$1:$1048576,ROW(),FALSE)</f>
        <v>0</v>
      </c>
      <c r="AC6872" s="580">
        <f>HLOOKUP("*"&amp;'Output annual'!$AC$2&amp;'Output annual'!$AD$2&amp;"*FangerPMV(Hourly)",'Eplus results'!$1:$1048576,ROW(),FALSE)</f>
        <v>0</v>
      </c>
      <c r="AD6872" s="580">
        <f t="shared" si="571"/>
        <v>5</v>
      </c>
      <c r="AE6872" s="580">
        <f t="shared" si="572"/>
        <v>2.5</v>
      </c>
      <c r="AF6872" s="580">
        <f t="shared" si="573"/>
        <v>2.5</v>
      </c>
      <c r="AG6872" s="580">
        <f t="shared" si="574"/>
        <v>0</v>
      </c>
      <c r="AH6872" s="580">
        <f t="shared" si="575"/>
        <v>0</v>
      </c>
    </row>
    <row r="6873" spans="28:34">
      <c r="AB6873" s="580">
        <f>HLOOKUP("*"&amp;'Output annual'!$AC$2&amp;'Output annual'!$AD$2&amp;"*Zone People Number Of Occupants [](Hourly)",'Eplus results'!$1:$1048576,ROW(),FALSE)</f>
        <v>0</v>
      </c>
      <c r="AC6873" s="580">
        <f>HLOOKUP("*"&amp;'Output annual'!$AC$2&amp;'Output annual'!$AD$2&amp;"*FangerPMV(Hourly)",'Eplus results'!$1:$1048576,ROW(),FALSE)</f>
        <v>0</v>
      </c>
      <c r="AD6873" s="580">
        <f t="shared" si="571"/>
        <v>5</v>
      </c>
      <c r="AE6873" s="580">
        <f t="shared" si="572"/>
        <v>2.5</v>
      </c>
      <c r="AF6873" s="580">
        <f t="shared" si="573"/>
        <v>2.5</v>
      </c>
      <c r="AG6873" s="580">
        <f t="shared" si="574"/>
        <v>0</v>
      </c>
      <c r="AH6873" s="580">
        <f t="shared" si="575"/>
        <v>0</v>
      </c>
    </row>
    <row r="6874" spans="28:34">
      <c r="AB6874" s="580">
        <f>HLOOKUP("*"&amp;'Output annual'!$AC$2&amp;'Output annual'!$AD$2&amp;"*Zone People Number Of Occupants [](Hourly)",'Eplus results'!$1:$1048576,ROW(),FALSE)</f>
        <v>0</v>
      </c>
      <c r="AC6874" s="580">
        <f>HLOOKUP("*"&amp;'Output annual'!$AC$2&amp;'Output annual'!$AD$2&amp;"*FangerPMV(Hourly)",'Eplus results'!$1:$1048576,ROW(),FALSE)</f>
        <v>0</v>
      </c>
      <c r="AD6874" s="580">
        <f t="shared" si="571"/>
        <v>5</v>
      </c>
      <c r="AE6874" s="580">
        <f t="shared" si="572"/>
        <v>2.5</v>
      </c>
      <c r="AF6874" s="580">
        <f t="shared" si="573"/>
        <v>2.5</v>
      </c>
      <c r="AG6874" s="580">
        <f t="shared" si="574"/>
        <v>0</v>
      </c>
      <c r="AH6874" s="580">
        <f t="shared" si="575"/>
        <v>0</v>
      </c>
    </row>
    <row r="6875" spans="28:34">
      <c r="AB6875" s="580">
        <f>HLOOKUP("*"&amp;'Output annual'!$AC$2&amp;'Output annual'!$AD$2&amp;"*Zone People Number Of Occupants [](Hourly)",'Eplus results'!$1:$1048576,ROW(),FALSE)</f>
        <v>0</v>
      </c>
      <c r="AC6875" s="580">
        <f>HLOOKUP("*"&amp;'Output annual'!$AC$2&amp;'Output annual'!$AD$2&amp;"*FangerPMV(Hourly)",'Eplus results'!$1:$1048576,ROW(),FALSE)</f>
        <v>0</v>
      </c>
      <c r="AD6875" s="580">
        <f t="shared" si="571"/>
        <v>5</v>
      </c>
      <c r="AE6875" s="580">
        <f t="shared" si="572"/>
        <v>2.5</v>
      </c>
      <c r="AF6875" s="580">
        <f t="shared" si="573"/>
        <v>2.5</v>
      </c>
      <c r="AG6875" s="580">
        <f t="shared" si="574"/>
        <v>0</v>
      </c>
      <c r="AH6875" s="580">
        <f t="shared" si="575"/>
        <v>0</v>
      </c>
    </row>
    <row r="6876" spans="28:34">
      <c r="AB6876" s="580">
        <f>HLOOKUP("*"&amp;'Output annual'!$AC$2&amp;'Output annual'!$AD$2&amp;"*Zone People Number Of Occupants [](Hourly)",'Eplus results'!$1:$1048576,ROW(),FALSE)</f>
        <v>0</v>
      </c>
      <c r="AC6876" s="580">
        <f>HLOOKUP("*"&amp;'Output annual'!$AC$2&amp;'Output annual'!$AD$2&amp;"*FangerPMV(Hourly)",'Eplus results'!$1:$1048576,ROW(),FALSE)</f>
        <v>0</v>
      </c>
      <c r="AD6876" s="580">
        <f t="shared" si="571"/>
        <v>5</v>
      </c>
      <c r="AE6876" s="580">
        <f t="shared" si="572"/>
        <v>2.5</v>
      </c>
      <c r="AF6876" s="580">
        <f t="shared" si="573"/>
        <v>2.5</v>
      </c>
      <c r="AG6876" s="580">
        <f t="shared" si="574"/>
        <v>0</v>
      </c>
      <c r="AH6876" s="580">
        <f t="shared" si="575"/>
        <v>0</v>
      </c>
    </row>
    <row r="6877" spans="28:34">
      <c r="AB6877" s="580">
        <f>HLOOKUP("*"&amp;'Output annual'!$AC$2&amp;'Output annual'!$AD$2&amp;"*Zone People Number Of Occupants [](Hourly)",'Eplus results'!$1:$1048576,ROW(),FALSE)</f>
        <v>0</v>
      </c>
      <c r="AC6877" s="580">
        <f>HLOOKUP("*"&amp;'Output annual'!$AC$2&amp;'Output annual'!$AD$2&amp;"*FangerPMV(Hourly)",'Eplus results'!$1:$1048576,ROW(),FALSE)</f>
        <v>0</v>
      </c>
      <c r="AD6877" s="580">
        <f t="shared" si="571"/>
        <v>5</v>
      </c>
      <c r="AE6877" s="580">
        <f t="shared" si="572"/>
        <v>2.5</v>
      </c>
      <c r="AF6877" s="580">
        <f t="shared" si="573"/>
        <v>2.5</v>
      </c>
      <c r="AG6877" s="580">
        <f t="shared" si="574"/>
        <v>0</v>
      </c>
      <c r="AH6877" s="580">
        <f t="shared" si="575"/>
        <v>0</v>
      </c>
    </row>
    <row r="6878" spans="28:34">
      <c r="AB6878" s="580">
        <f>HLOOKUP("*"&amp;'Output annual'!$AC$2&amp;'Output annual'!$AD$2&amp;"*Zone People Number Of Occupants [](Hourly)",'Eplus results'!$1:$1048576,ROW(),FALSE)</f>
        <v>0</v>
      </c>
      <c r="AC6878" s="580">
        <f>HLOOKUP("*"&amp;'Output annual'!$AC$2&amp;'Output annual'!$AD$2&amp;"*FangerPMV(Hourly)",'Eplus results'!$1:$1048576,ROW(),FALSE)</f>
        <v>0</v>
      </c>
      <c r="AD6878" s="580">
        <f t="shared" si="571"/>
        <v>5</v>
      </c>
      <c r="AE6878" s="580">
        <f t="shared" si="572"/>
        <v>2.5</v>
      </c>
      <c r="AF6878" s="580">
        <f t="shared" si="573"/>
        <v>2.5</v>
      </c>
      <c r="AG6878" s="580">
        <f t="shared" si="574"/>
        <v>0</v>
      </c>
      <c r="AH6878" s="580">
        <f t="shared" si="575"/>
        <v>0</v>
      </c>
    </row>
    <row r="6879" spans="28:34">
      <c r="AB6879" s="580">
        <f>HLOOKUP("*"&amp;'Output annual'!$AC$2&amp;'Output annual'!$AD$2&amp;"*Zone People Number Of Occupants [](Hourly)",'Eplus results'!$1:$1048576,ROW(),FALSE)</f>
        <v>0</v>
      </c>
      <c r="AC6879" s="580">
        <f>HLOOKUP("*"&amp;'Output annual'!$AC$2&amp;'Output annual'!$AD$2&amp;"*FangerPMV(Hourly)",'Eplus results'!$1:$1048576,ROW(),FALSE)</f>
        <v>0</v>
      </c>
      <c r="AD6879" s="580">
        <f t="shared" si="571"/>
        <v>5</v>
      </c>
      <c r="AE6879" s="580">
        <f t="shared" si="572"/>
        <v>2.5</v>
      </c>
      <c r="AF6879" s="580">
        <f t="shared" si="573"/>
        <v>2.5</v>
      </c>
      <c r="AG6879" s="580">
        <f t="shared" si="574"/>
        <v>0</v>
      </c>
      <c r="AH6879" s="580">
        <f t="shared" si="575"/>
        <v>0</v>
      </c>
    </row>
    <row r="6880" spans="28:34">
      <c r="AB6880" s="580">
        <f>HLOOKUP("*"&amp;'Output annual'!$AC$2&amp;'Output annual'!$AD$2&amp;"*Zone People Number Of Occupants [](Hourly)",'Eplus results'!$1:$1048576,ROW(),FALSE)</f>
        <v>0</v>
      </c>
      <c r="AC6880" s="580">
        <f>HLOOKUP("*"&amp;'Output annual'!$AC$2&amp;'Output annual'!$AD$2&amp;"*FangerPMV(Hourly)",'Eplus results'!$1:$1048576,ROW(),FALSE)</f>
        <v>0</v>
      </c>
      <c r="AD6880" s="580">
        <f t="shared" si="571"/>
        <v>5</v>
      </c>
      <c r="AE6880" s="580">
        <f t="shared" si="572"/>
        <v>2.5</v>
      </c>
      <c r="AF6880" s="580">
        <f t="shared" si="573"/>
        <v>2.5</v>
      </c>
      <c r="AG6880" s="580">
        <f t="shared" si="574"/>
        <v>0</v>
      </c>
      <c r="AH6880" s="580">
        <f t="shared" si="575"/>
        <v>0</v>
      </c>
    </row>
    <row r="6881" spans="28:34">
      <c r="AB6881" s="580">
        <f>HLOOKUP("*"&amp;'Output annual'!$AC$2&amp;'Output annual'!$AD$2&amp;"*Zone People Number Of Occupants [](Hourly)",'Eplus results'!$1:$1048576,ROW(),FALSE)</f>
        <v>0</v>
      </c>
      <c r="AC6881" s="580">
        <f>HLOOKUP("*"&amp;'Output annual'!$AC$2&amp;'Output annual'!$AD$2&amp;"*FangerPMV(Hourly)",'Eplus results'!$1:$1048576,ROW(),FALSE)</f>
        <v>0</v>
      </c>
      <c r="AD6881" s="580">
        <f t="shared" si="571"/>
        <v>5</v>
      </c>
      <c r="AE6881" s="580">
        <f t="shared" si="572"/>
        <v>2.5</v>
      </c>
      <c r="AF6881" s="580">
        <f t="shared" si="573"/>
        <v>2.5</v>
      </c>
      <c r="AG6881" s="580">
        <f t="shared" si="574"/>
        <v>0</v>
      </c>
      <c r="AH6881" s="580">
        <f t="shared" si="575"/>
        <v>0</v>
      </c>
    </row>
    <row r="6882" spans="28:34">
      <c r="AB6882" s="580">
        <f>HLOOKUP("*"&amp;'Output annual'!$AC$2&amp;'Output annual'!$AD$2&amp;"*Zone People Number Of Occupants [](Hourly)",'Eplus results'!$1:$1048576,ROW(),FALSE)</f>
        <v>0</v>
      </c>
      <c r="AC6882" s="580">
        <f>HLOOKUP("*"&amp;'Output annual'!$AC$2&amp;'Output annual'!$AD$2&amp;"*FangerPMV(Hourly)",'Eplus results'!$1:$1048576,ROW(),FALSE)</f>
        <v>0</v>
      </c>
      <c r="AD6882" s="580">
        <f t="shared" si="571"/>
        <v>5</v>
      </c>
      <c r="AE6882" s="580">
        <f t="shared" si="572"/>
        <v>2.5</v>
      </c>
      <c r="AF6882" s="580">
        <f t="shared" si="573"/>
        <v>2.5</v>
      </c>
      <c r="AG6882" s="580">
        <f t="shared" si="574"/>
        <v>0</v>
      </c>
      <c r="AH6882" s="580">
        <f t="shared" si="575"/>
        <v>0</v>
      </c>
    </row>
    <row r="6883" spans="28:34">
      <c r="AB6883" s="580">
        <f>HLOOKUP("*"&amp;'Output annual'!$AC$2&amp;'Output annual'!$AD$2&amp;"*Zone People Number Of Occupants [](Hourly)",'Eplus results'!$1:$1048576,ROW(),FALSE)</f>
        <v>0</v>
      </c>
      <c r="AC6883" s="580">
        <f>HLOOKUP("*"&amp;'Output annual'!$AC$2&amp;'Output annual'!$AD$2&amp;"*FangerPMV(Hourly)",'Eplus results'!$1:$1048576,ROW(),FALSE)</f>
        <v>0</v>
      </c>
      <c r="AD6883" s="580">
        <f t="shared" si="571"/>
        <v>5</v>
      </c>
      <c r="AE6883" s="580">
        <f t="shared" si="572"/>
        <v>2.5</v>
      </c>
      <c r="AF6883" s="580">
        <f t="shared" si="573"/>
        <v>2.5</v>
      </c>
      <c r="AG6883" s="580">
        <f t="shared" si="574"/>
        <v>0</v>
      </c>
      <c r="AH6883" s="580">
        <f t="shared" si="575"/>
        <v>0</v>
      </c>
    </row>
    <row r="6884" spans="28:34">
      <c r="AB6884" s="580">
        <f>HLOOKUP("*"&amp;'Output annual'!$AC$2&amp;'Output annual'!$AD$2&amp;"*Zone People Number Of Occupants [](Hourly)",'Eplus results'!$1:$1048576,ROW(),FALSE)</f>
        <v>0</v>
      </c>
      <c r="AC6884" s="580">
        <f>HLOOKUP("*"&amp;'Output annual'!$AC$2&amp;'Output annual'!$AD$2&amp;"*FangerPMV(Hourly)",'Eplus results'!$1:$1048576,ROW(),FALSE)</f>
        <v>0</v>
      </c>
      <c r="AD6884" s="580">
        <f t="shared" si="571"/>
        <v>5</v>
      </c>
      <c r="AE6884" s="580">
        <f t="shared" si="572"/>
        <v>2.5</v>
      </c>
      <c r="AF6884" s="580">
        <f t="shared" si="573"/>
        <v>2.5</v>
      </c>
      <c r="AG6884" s="580">
        <f t="shared" si="574"/>
        <v>0</v>
      </c>
      <c r="AH6884" s="580">
        <f t="shared" si="575"/>
        <v>0</v>
      </c>
    </row>
    <row r="6885" spans="28:34">
      <c r="AB6885" s="580">
        <f>HLOOKUP("*"&amp;'Output annual'!$AC$2&amp;'Output annual'!$AD$2&amp;"*Zone People Number Of Occupants [](Hourly)",'Eplus results'!$1:$1048576,ROW(),FALSE)</f>
        <v>0</v>
      </c>
      <c r="AC6885" s="580">
        <f>HLOOKUP("*"&amp;'Output annual'!$AC$2&amp;'Output annual'!$AD$2&amp;"*FangerPMV(Hourly)",'Eplus results'!$1:$1048576,ROW(),FALSE)</f>
        <v>0</v>
      </c>
      <c r="AD6885" s="580">
        <f t="shared" si="571"/>
        <v>5</v>
      </c>
      <c r="AE6885" s="580">
        <f t="shared" si="572"/>
        <v>2.5</v>
      </c>
      <c r="AF6885" s="580">
        <f t="shared" si="573"/>
        <v>2.5</v>
      </c>
      <c r="AG6885" s="580">
        <f t="shared" si="574"/>
        <v>0</v>
      </c>
      <c r="AH6885" s="580">
        <f t="shared" si="575"/>
        <v>0</v>
      </c>
    </row>
    <row r="6886" spans="28:34">
      <c r="AB6886" s="580">
        <f>HLOOKUP("*"&amp;'Output annual'!$AC$2&amp;'Output annual'!$AD$2&amp;"*Zone People Number Of Occupants [](Hourly)",'Eplus results'!$1:$1048576,ROW(),FALSE)</f>
        <v>0</v>
      </c>
      <c r="AC6886" s="580">
        <f>HLOOKUP("*"&amp;'Output annual'!$AC$2&amp;'Output annual'!$AD$2&amp;"*FangerPMV(Hourly)",'Eplus results'!$1:$1048576,ROW(),FALSE)</f>
        <v>0</v>
      </c>
      <c r="AD6886" s="580">
        <f t="shared" si="571"/>
        <v>5</v>
      </c>
      <c r="AE6886" s="580">
        <f t="shared" si="572"/>
        <v>2.5</v>
      </c>
      <c r="AF6886" s="580">
        <f t="shared" si="573"/>
        <v>2.5</v>
      </c>
      <c r="AG6886" s="580">
        <f t="shared" si="574"/>
        <v>0</v>
      </c>
      <c r="AH6886" s="580">
        <f t="shared" si="575"/>
        <v>0</v>
      </c>
    </row>
    <row r="6887" spans="28:34">
      <c r="AB6887" s="580">
        <f>HLOOKUP("*"&amp;'Output annual'!$AC$2&amp;'Output annual'!$AD$2&amp;"*Zone People Number Of Occupants [](Hourly)",'Eplus results'!$1:$1048576,ROW(),FALSE)</f>
        <v>0</v>
      </c>
      <c r="AC6887" s="580">
        <f>HLOOKUP("*"&amp;'Output annual'!$AC$2&amp;'Output annual'!$AD$2&amp;"*FangerPMV(Hourly)",'Eplus results'!$1:$1048576,ROW(),FALSE)</f>
        <v>0</v>
      </c>
      <c r="AD6887" s="580">
        <f t="shared" si="571"/>
        <v>5</v>
      </c>
      <c r="AE6887" s="580">
        <f t="shared" si="572"/>
        <v>2.5</v>
      </c>
      <c r="AF6887" s="580">
        <f t="shared" si="573"/>
        <v>2.5</v>
      </c>
      <c r="AG6887" s="580">
        <f t="shared" si="574"/>
        <v>0</v>
      </c>
      <c r="AH6887" s="580">
        <f t="shared" si="575"/>
        <v>0</v>
      </c>
    </row>
    <row r="6888" spans="28:34">
      <c r="AB6888" s="580">
        <f>HLOOKUP("*"&amp;'Output annual'!$AC$2&amp;'Output annual'!$AD$2&amp;"*Zone People Number Of Occupants [](Hourly)",'Eplus results'!$1:$1048576,ROW(),FALSE)</f>
        <v>0</v>
      </c>
      <c r="AC6888" s="580">
        <f>HLOOKUP("*"&amp;'Output annual'!$AC$2&amp;'Output annual'!$AD$2&amp;"*FangerPMV(Hourly)",'Eplus results'!$1:$1048576,ROW(),FALSE)</f>
        <v>0</v>
      </c>
      <c r="AD6888" s="580">
        <f t="shared" si="571"/>
        <v>5</v>
      </c>
      <c r="AE6888" s="580">
        <f t="shared" si="572"/>
        <v>2.5</v>
      </c>
      <c r="AF6888" s="580">
        <f t="shared" si="573"/>
        <v>2.5</v>
      </c>
      <c r="AG6888" s="580">
        <f t="shared" si="574"/>
        <v>0</v>
      </c>
      <c r="AH6888" s="580">
        <f t="shared" si="575"/>
        <v>0</v>
      </c>
    </row>
    <row r="6889" spans="28:34">
      <c r="AB6889" s="580">
        <f>HLOOKUP("*"&amp;'Output annual'!$AC$2&amp;'Output annual'!$AD$2&amp;"*Zone People Number Of Occupants [](Hourly)",'Eplus results'!$1:$1048576,ROW(),FALSE)</f>
        <v>0</v>
      </c>
      <c r="AC6889" s="580">
        <f>HLOOKUP("*"&amp;'Output annual'!$AC$2&amp;'Output annual'!$AD$2&amp;"*FangerPMV(Hourly)",'Eplus results'!$1:$1048576,ROW(),FALSE)</f>
        <v>0</v>
      </c>
      <c r="AD6889" s="580">
        <f t="shared" si="571"/>
        <v>5</v>
      </c>
      <c r="AE6889" s="580">
        <f t="shared" si="572"/>
        <v>2.5</v>
      </c>
      <c r="AF6889" s="580">
        <f t="shared" si="573"/>
        <v>2.5</v>
      </c>
      <c r="AG6889" s="580">
        <f t="shared" si="574"/>
        <v>0</v>
      </c>
      <c r="AH6889" s="580">
        <f t="shared" si="575"/>
        <v>0</v>
      </c>
    </row>
    <row r="6890" spans="28:34">
      <c r="AB6890" s="580">
        <f>HLOOKUP("*"&amp;'Output annual'!$AC$2&amp;'Output annual'!$AD$2&amp;"*Zone People Number Of Occupants [](Hourly)",'Eplus results'!$1:$1048576,ROW(),FALSE)</f>
        <v>0</v>
      </c>
      <c r="AC6890" s="580">
        <f>HLOOKUP("*"&amp;'Output annual'!$AC$2&amp;'Output annual'!$AD$2&amp;"*FangerPMV(Hourly)",'Eplus results'!$1:$1048576,ROW(),FALSE)</f>
        <v>0</v>
      </c>
      <c r="AD6890" s="580">
        <f t="shared" si="571"/>
        <v>5</v>
      </c>
      <c r="AE6890" s="580">
        <f t="shared" si="572"/>
        <v>2.5</v>
      </c>
      <c r="AF6890" s="580">
        <f t="shared" si="573"/>
        <v>2.5</v>
      </c>
      <c r="AG6890" s="580">
        <f t="shared" si="574"/>
        <v>0</v>
      </c>
      <c r="AH6890" s="580">
        <f t="shared" si="575"/>
        <v>0</v>
      </c>
    </row>
    <row r="6891" spans="28:34">
      <c r="AB6891" s="580">
        <f>HLOOKUP("*"&amp;'Output annual'!$AC$2&amp;'Output annual'!$AD$2&amp;"*Zone People Number Of Occupants [](Hourly)",'Eplus results'!$1:$1048576,ROW(),FALSE)</f>
        <v>0</v>
      </c>
      <c r="AC6891" s="580">
        <f>HLOOKUP("*"&amp;'Output annual'!$AC$2&amp;'Output annual'!$AD$2&amp;"*FangerPMV(Hourly)",'Eplus results'!$1:$1048576,ROW(),FALSE)</f>
        <v>0</v>
      </c>
      <c r="AD6891" s="580">
        <f t="shared" si="571"/>
        <v>5</v>
      </c>
      <c r="AE6891" s="580">
        <f t="shared" si="572"/>
        <v>2.5</v>
      </c>
      <c r="AF6891" s="580">
        <f t="shared" si="573"/>
        <v>2.5</v>
      </c>
      <c r="AG6891" s="580">
        <f t="shared" si="574"/>
        <v>0</v>
      </c>
      <c r="AH6891" s="580">
        <f t="shared" si="575"/>
        <v>0</v>
      </c>
    </row>
    <row r="6892" spans="28:34">
      <c r="AB6892" s="580">
        <f>HLOOKUP("*"&amp;'Output annual'!$AC$2&amp;'Output annual'!$AD$2&amp;"*Zone People Number Of Occupants [](Hourly)",'Eplus results'!$1:$1048576,ROW(),FALSE)</f>
        <v>0</v>
      </c>
      <c r="AC6892" s="580">
        <f>HLOOKUP("*"&amp;'Output annual'!$AC$2&amp;'Output annual'!$AD$2&amp;"*FangerPMV(Hourly)",'Eplus results'!$1:$1048576,ROW(),FALSE)</f>
        <v>0</v>
      </c>
      <c r="AD6892" s="580">
        <f t="shared" si="571"/>
        <v>5</v>
      </c>
      <c r="AE6892" s="580">
        <f t="shared" si="572"/>
        <v>2.5</v>
      </c>
      <c r="AF6892" s="580">
        <f t="shared" si="573"/>
        <v>2.5</v>
      </c>
      <c r="AG6892" s="580">
        <f t="shared" si="574"/>
        <v>0</v>
      </c>
      <c r="AH6892" s="580">
        <f t="shared" si="575"/>
        <v>0</v>
      </c>
    </row>
    <row r="6893" spans="28:34">
      <c r="AB6893" s="580">
        <f>HLOOKUP("*"&amp;'Output annual'!$AC$2&amp;'Output annual'!$AD$2&amp;"*Zone People Number Of Occupants [](Hourly)",'Eplus results'!$1:$1048576,ROW(),FALSE)</f>
        <v>0</v>
      </c>
      <c r="AC6893" s="580">
        <f>HLOOKUP("*"&amp;'Output annual'!$AC$2&amp;'Output annual'!$AD$2&amp;"*FangerPMV(Hourly)",'Eplus results'!$1:$1048576,ROW(),FALSE)</f>
        <v>0</v>
      </c>
      <c r="AD6893" s="580">
        <f t="shared" si="571"/>
        <v>5</v>
      </c>
      <c r="AE6893" s="580">
        <f t="shared" si="572"/>
        <v>2.5</v>
      </c>
      <c r="AF6893" s="580">
        <f t="shared" si="573"/>
        <v>2.5</v>
      </c>
      <c r="AG6893" s="580">
        <f t="shared" si="574"/>
        <v>0</v>
      </c>
      <c r="AH6893" s="580">
        <f t="shared" si="575"/>
        <v>0</v>
      </c>
    </row>
    <row r="6894" spans="28:34">
      <c r="AB6894" s="580">
        <f>HLOOKUP("*"&amp;'Output annual'!$AC$2&amp;'Output annual'!$AD$2&amp;"*Zone People Number Of Occupants [](Hourly)",'Eplus results'!$1:$1048576,ROW(),FALSE)</f>
        <v>0</v>
      </c>
      <c r="AC6894" s="580">
        <f>HLOOKUP("*"&amp;'Output annual'!$AC$2&amp;'Output annual'!$AD$2&amp;"*FangerPMV(Hourly)",'Eplus results'!$1:$1048576,ROW(),FALSE)</f>
        <v>0</v>
      </c>
      <c r="AD6894" s="580">
        <f t="shared" si="571"/>
        <v>5</v>
      </c>
      <c r="AE6894" s="580">
        <f t="shared" si="572"/>
        <v>2.5</v>
      </c>
      <c r="AF6894" s="580">
        <f t="shared" si="573"/>
        <v>2.5</v>
      </c>
      <c r="AG6894" s="580">
        <f t="shared" si="574"/>
        <v>0</v>
      </c>
      <c r="AH6894" s="580">
        <f t="shared" si="575"/>
        <v>0</v>
      </c>
    </row>
    <row r="6895" spans="28:34">
      <c r="AB6895" s="580">
        <f>HLOOKUP("*"&amp;'Output annual'!$AC$2&amp;'Output annual'!$AD$2&amp;"*Zone People Number Of Occupants [](Hourly)",'Eplus results'!$1:$1048576,ROW(),FALSE)</f>
        <v>0</v>
      </c>
      <c r="AC6895" s="580">
        <f>HLOOKUP("*"&amp;'Output annual'!$AC$2&amp;'Output annual'!$AD$2&amp;"*FangerPMV(Hourly)",'Eplus results'!$1:$1048576,ROW(),FALSE)</f>
        <v>0</v>
      </c>
      <c r="AD6895" s="580">
        <f t="shared" si="571"/>
        <v>5</v>
      </c>
      <c r="AE6895" s="580">
        <f t="shared" si="572"/>
        <v>2.5</v>
      </c>
      <c r="AF6895" s="580">
        <f t="shared" si="573"/>
        <v>2.5</v>
      </c>
      <c r="AG6895" s="580">
        <f t="shared" si="574"/>
        <v>0</v>
      </c>
      <c r="AH6895" s="580">
        <f t="shared" si="575"/>
        <v>0</v>
      </c>
    </row>
    <row r="6896" spans="28:34">
      <c r="AB6896" s="580">
        <f>HLOOKUP("*"&amp;'Output annual'!$AC$2&amp;'Output annual'!$AD$2&amp;"*Zone People Number Of Occupants [](Hourly)",'Eplus results'!$1:$1048576,ROW(),FALSE)</f>
        <v>0</v>
      </c>
      <c r="AC6896" s="580">
        <f>HLOOKUP("*"&amp;'Output annual'!$AC$2&amp;'Output annual'!$AD$2&amp;"*FangerPMV(Hourly)",'Eplus results'!$1:$1048576,ROW(),FALSE)</f>
        <v>0</v>
      </c>
      <c r="AD6896" s="580">
        <f t="shared" si="571"/>
        <v>5</v>
      </c>
      <c r="AE6896" s="580">
        <f t="shared" si="572"/>
        <v>2.5</v>
      </c>
      <c r="AF6896" s="580">
        <f t="shared" si="573"/>
        <v>2.5</v>
      </c>
      <c r="AG6896" s="580">
        <f t="shared" si="574"/>
        <v>0</v>
      </c>
      <c r="AH6896" s="580">
        <f t="shared" si="575"/>
        <v>0</v>
      </c>
    </row>
    <row r="6897" spans="28:34">
      <c r="AB6897" s="580">
        <f>HLOOKUP("*"&amp;'Output annual'!$AC$2&amp;'Output annual'!$AD$2&amp;"*Zone People Number Of Occupants [](Hourly)",'Eplus results'!$1:$1048576,ROW(),FALSE)</f>
        <v>0</v>
      </c>
      <c r="AC6897" s="580">
        <f>HLOOKUP("*"&amp;'Output annual'!$AC$2&amp;'Output annual'!$AD$2&amp;"*FangerPMV(Hourly)",'Eplus results'!$1:$1048576,ROW(),FALSE)</f>
        <v>0</v>
      </c>
      <c r="AD6897" s="580">
        <f t="shared" si="571"/>
        <v>5</v>
      </c>
      <c r="AE6897" s="580">
        <f t="shared" si="572"/>
        <v>2.5</v>
      </c>
      <c r="AF6897" s="580">
        <f t="shared" si="573"/>
        <v>2.5</v>
      </c>
      <c r="AG6897" s="580">
        <f t="shared" si="574"/>
        <v>0</v>
      </c>
      <c r="AH6897" s="580">
        <f t="shared" si="575"/>
        <v>0</v>
      </c>
    </row>
    <row r="6898" spans="28:34">
      <c r="AB6898" s="580">
        <f>HLOOKUP("*"&amp;'Output annual'!$AC$2&amp;'Output annual'!$AD$2&amp;"*Zone People Number Of Occupants [](Hourly)",'Eplus results'!$1:$1048576,ROW(),FALSE)</f>
        <v>0</v>
      </c>
      <c r="AC6898" s="580">
        <f>HLOOKUP("*"&amp;'Output annual'!$AC$2&amp;'Output annual'!$AD$2&amp;"*FangerPMV(Hourly)",'Eplus results'!$1:$1048576,ROW(),FALSE)</f>
        <v>0</v>
      </c>
      <c r="AD6898" s="580">
        <f t="shared" si="571"/>
        <v>5</v>
      </c>
      <c r="AE6898" s="580">
        <f t="shared" si="572"/>
        <v>2.5</v>
      </c>
      <c r="AF6898" s="580">
        <f t="shared" si="573"/>
        <v>2.5</v>
      </c>
      <c r="AG6898" s="580">
        <f t="shared" si="574"/>
        <v>0</v>
      </c>
      <c r="AH6898" s="580">
        <f t="shared" si="575"/>
        <v>0</v>
      </c>
    </row>
    <row r="6899" spans="28:34">
      <c r="AB6899" s="580">
        <f>HLOOKUP("*"&amp;'Output annual'!$AC$2&amp;'Output annual'!$AD$2&amp;"*Zone People Number Of Occupants [](Hourly)",'Eplus results'!$1:$1048576,ROW(),FALSE)</f>
        <v>0</v>
      </c>
      <c r="AC6899" s="580">
        <f>HLOOKUP("*"&amp;'Output annual'!$AC$2&amp;'Output annual'!$AD$2&amp;"*FangerPMV(Hourly)",'Eplus results'!$1:$1048576,ROW(),FALSE)</f>
        <v>0</v>
      </c>
      <c r="AD6899" s="580">
        <f t="shared" si="571"/>
        <v>5</v>
      </c>
      <c r="AE6899" s="580">
        <f t="shared" si="572"/>
        <v>2.5</v>
      </c>
      <c r="AF6899" s="580">
        <f t="shared" si="573"/>
        <v>2.5</v>
      </c>
      <c r="AG6899" s="580">
        <f t="shared" si="574"/>
        <v>0</v>
      </c>
      <c r="AH6899" s="580">
        <f t="shared" si="575"/>
        <v>0</v>
      </c>
    </row>
    <row r="6900" spans="28:34">
      <c r="AB6900" s="580">
        <f>HLOOKUP("*"&amp;'Output annual'!$AC$2&amp;'Output annual'!$AD$2&amp;"*Zone People Number Of Occupants [](Hourly)",'Eplus results'!$1:$1048576,ROW(),FALSE)</f>
        <v>0</v>
      </c>
      <c r="AC6900" s="580">
        <f>HLOOKUP("*"&amp;'Output annual'!$AC$2&amp;'Output annual'!$AD$2&amp;"*FangerPMV(Hourly)",'Eplus results'!$1:$1048576,ROW(),FALSE)</f>
        <v>0</v>
      </c>
      <c r="AD6900" s="580">
        <f t="shared" si="571"/>
        <v>5</v>
      </c>
      <c r="AE6900" s="580">
        <f t="shared" si="572"/>
        <v>2.5</v>
      </c>
      <c r="AF6900" s="580">
        <f t="shared" si="573"/>
        <v>2.5</v>
      </c>
      <c r="AG6900" s="580">
        <f t="shared" si="574"/>
        <v>0</v>
      </c>
      <c r="AH6900" s="580">
        <f t="shared" si="575"/>
        <v>0</v>
      </c>
    </row>
    <row r="6901" spans="28:34">
      <c r="AB6901" s="580">
        <f>HLOOKUP("*"&amp;'Output annual'!$AC$2&amp;'Output annual'!$AD$2&amp;"*Zone People Number Of Occupants [](Hourly)",'Eplus results'!$1:$1048576,ROW(),FALSE)</f>
        <v>0</v>
      </c>
      <c r="AC6901" s="580">
        <f>HLOOKUP("*"&amp;'Output annual'!$AC$2&amp;'Output annual'!$AD$2&amp;"*FangerPMV(Hourly)",'Eplus results'!$1:$1048576,ROW(),FALSE)</f>
        <v>0</v>
      </c>
      <c r="AD6901" s="580">
        <f t="shared" si="571"/>
        <v>5</v>
      </c>
      <c r="AE6901" s="580">
        <f t="shared" si="572"/>
        <v>2.5</v>
      </c>
      <c r="AF6901" s="580">
        <f t="shared" si="573"/>
        <v>2.5</v>
      </c>
      <c r="AG6901" s="580">
        <f t="shared" si="574"/>
        <v>0</v>
      </c>
      <c r="AH6901" s="580">
        <f t="shared" si="575"/>
        <v>0</v>
      </c>
    </row>
    <row r="6902" spans="28:34">
      <c r="AB6902" s="580">
        <f>HLOOKUP("*"&amp;'Output annual'!$AC$2&amp;'Output annual'!$AD$2&amp;"*Zone People Number Of Occupants [](Hourly)",'Eplus results'!$1:$1048576,ROW(),FALSE)</f>
        <v>0</v>
      </c>
      <c r="AC6902" s="580">
        <f>HLOOKUP("*"&amp;'Output annual'!$AC$2&amp;'Output annual'!$AD$2&amp;"*FangerPMV(Hourly)",'Eplus results'!$1:$1048576,ROW(),FALSE)</f>
        <v>0</v>
      </c>
      <c r="AD6902" s="580">
        <f t="shared" si="571"/>
        <v>5</v>
      </c>
      <c r="AE6902" s="580">
        <f t="shared" si="572"/>
        <v>2.5</v>
      </c>
      <c r="AF6902" s="580">
        <f t="shared" si="573"/>
        <v>2.5</v>
      </c>
      <c r="AG6902" s="580">
        <f t="shared" si="574"/>
        <v>0</v>
      </c>
      <c r="AH6902" s="580">
        <f t="shared" si="575"/>
        <v>0</v>
      </c>
    </row>
    <row r="6903" spans="28:34">
      <c r="AB6903" s="580">
        <f>HLOOKUP("*"&amp;'Output annual'!$AC$2&amp;'Output annual'!$AD$2&amp;"*Zone People Number Of Occupants [](Hourly)",'Eplus results'!$1:$1048576,ROW(),FALSE)</f>
        <v>0</v>
      </c>
      <c r="AC6903" s="580">
        <f>HLOOKUP("*"&amp;'Output annual'!$AC$2&amp;'Output annual'!$AD$2&amp;"*FangerPMV(Hourly)",'Eplus results'!$1:$1048576,ROW(),FALSE)</f>
        <v>0</v>
      </c>
      <c r="AD6903" s="580">
        <f t="shared" si="571"/>
        <v>5</v>
      </c>
      <c r="AE6903" s="580">
        <f t="shared" si="572"/>
        <v>2.5</v>
      </c>
      <c r="AF6903" s="580">
        <f t="shared" si="573"/>
        <v>2.5</v>
      </c>
      <c r="AG6903" s="580">
        <f t="shared" si="574"/>
        <v>0</v>
      </c>
      <c r="AH6903" s="580">
        <f t="shared" si="575"/>
        <v>0</v>
      </c>
    </row>
    <row r="6904" spans="28:34">
      <c r="AB6904" s="580">
        <f>HLOOKUP("*"&amp;'Output annual'!$AC$2&amp;'Output annual'!$AD$2&amp;"*Zone People Number Of Occupants [](Hourly)",'Eplus results'!$1:$1048576,ROW(),FALSE)</f>
        <v>0</v>
      </c>
      <c r="AC6904" s="580">
        <f>HLOOKUP("*"&amp;'Output annual'!$AC$2&amp;'Output annual'!$AD$2&amp;"*FangerPMV(Hourly)",'Eplus results'!$1:$1048576,ROW(),FALSE)</f>
        <v>0</v>
      </c>
      <c r="AD6904" s="580">
        <f t="shared" si="571"/>
        <v>5</v>
      </c>
      <c r="AE6904" s="580">
        <f t="shared" si="572"/>
        <v>2.5</v>
      </c>
      <c r="AF6904" s="580">
        <f t="shared" si="573"/>
        <v>2.5</v>
      </c>
      <c r="AG6904" s="580">
        <f t="shared" si="574"/>
        <v>0</v>
      </c>
      <c r="AH6904" s="580">
        <f t="shared" si="575"/>
        <v>0</v>
      </c>
    </row>
    <row r="6905" spans="28:34">
      <c r="AB6905" s="580">
        <f>HLOOKUP("*"&amp;'Output annual'!$AC$2&amp;'Output annual'!$AD$2&amp;"*Zone People Number Of Occupants [](Hourly)",'Eplus results'!$1:$1048576,ROW(),FALSE)</f>
        <v>0</v>
      </c>
      <c r="AC6905" s="580">
        <f>HLOOKUP("*"&amp;'Output annual'!$AC$2&amp;'Output annual'!$AD$2&amp;"*FangerPMV(Hourly)",'Eplus results'!$1:$1048576,ROW(),FALSE)</f>
        <v>0</v>
      </c>
      <c r="AD6905" s="580">
        <f t="shared" si="571"/>
        <v>5</v>
      </c>
      <c r="AE6905" s="580">
        <f t="shared" si="572"/>
        <v>2.5</v>
      </c>
      <c r="AF6905" s="580">
        <f t="shared" si="573"/>
        <v>2.5</v>
      </c>
      <c r="AG6905" s="580">
        <f t="shared" si="574"/>
        <v>0</v>
      </c>
      <c r="AH6905" s="580">
        <f t="shared" si="575"/>
        <v>0</v>
      </c>
    </row>
    <row r="6906" spans="28:34">
      <c r="AB6906" s="580">
        <f>HLOOKUP("*"&amp;'Output annual'!$AC$2&amp;'Output annual'!$AD$2&amp;"*Zone People Number Of Occupants [](Hourly)",'Eplus results'!$1:$1048576,ROW(),FALSE)</f>
        <v>0</v>
      </c>
      <c r="AC6906" s="580">
        <f>HLOOKUP("*"&amp;'Output annual'!$AC$2&amp;'Output annual'!$AD$2&amp;"*FangerPMV(Hourly)",'Eplus results'!$1:$1048576,ROW(),FALSE)</f>
        <v>0</v>
      </c>
      <c r="AD6906" s="580">
        <f t="shared" si="571"/>
        <v>5</v>
      </c>
      <c r="AE6906" s="580">
        <f t="shared" si="572"/>
        <v>2.5</v>
      </c>
      <c r="AF6906" s="580">
        <f t="shared" si="573"/>
        <v>2.5</v>
      </c>
      <c r="AG6906" s="580">
        <f t="shared" si="574"/>
        <v>0</v>
      </c>
      <c r="AH6906" s="580">
        <f t="shared" si="575"/>
        <v>0</v>
      </c>
    </row>
    <row r="6907" spans="28:34">
      <c r="AB6907" s="580">
        <f>HLOOKUP("*"&amp;'Output annual'!$AC$2&amp;'Output annual'!$AD$2&amp;"*Zone People Number Of Occupants [](Hourly)",'Eplus results'!$1:$1048576,ROW(),FALSE)</f>
        <v>0</v>
      </c>
      <c r="AC6907" s="580">
        <f>HLOOKUP("*"&amp;'Output annual'!$AC$2&amp;'Output annual'!$AD$2&amp;"*FangerPMV(Hourly)",'Eplus results'!$1:$1048576,ROW(),FALSE)</f>
        <v>0</v>
      </c>
      <c r="AD6907" s="580">
        <f t="shared" si="571"/>
        <v>5</v>
      </c>
      <c r="AE6907" s="580">
        <f t="shared" si="572"/>
        <v>2.5</v>
      </c>
      <c r="AF6907" s="580">
        <f t="shared" si="573"/>
        <v>2.5</v>
      </c>
      <c r="AG6907" s="580">
        <f t="shared" si="574"/>
        <v>0</v>
      </c>
      <c r="AH6907" s="580">
        <f t="shared" si="575"/>
        <v>0</v>
      </c>
    </row>
    <row r="6908" spans="28:34">
      <c r="AB6908" s="580">
        <f>HLOOKUP("*"&amp;'Output annual'!$AC$2&amp;'Output annual'!$AD$2&amp;"*Zone People Number Of Occupants [](Hourly)",'Eplus results'!$1:$1048576,ROW(),FALSE)</f>
        <v>0</v>
      </c>
      <c r="AC6908" s="580">
        <f>HLOOKUP("*"&amp;'Output annual'!$AC$2&amp;'Output annual'!$AD$2&amp;"*FangerPMV(Hourly)",'Eplus results'!$1:$1048576,ROW(),FALSE)</f>
        <v>0</v>
      </c>
      <c r="AD6908" s="580">
        <f t="shared" si="571"/>
        <v>5</v>
      </c>
      <c r="AE6908" s="580">
        <f t="shared" si="572"/>
        <v>2.5</v>
      </c>
      <c r="AF6908" s="580">
        <f t="shared" si="573"/>
        <v>2.5</v>
      </c>
      <c r="AG6908" s="580">
        <f t="shared" si="574"/>
        <v>0</v>
      </c>
      <c r="AH6908" s="580">
        <f t="shared" si="575"/>
        <v>0</v>
      </c>
    </row>
    <row r="6909" spans="28:34">
      <c r="AB6909" s="580">
        <f>HLOOKUP("*"&amp;'Output annual'!$AC$2&amp;'Output annual'!$AD$2&amp;"*Zone People Number Of Occupants [](Hourly)",'Eplus results'!$1:$1048576,ROW(),FALSE)</f>
        <v>0</v>
      </c>
      <c r="AC6909" s="580">
        <f>HLOOKUP("*"&amp;'Output annual'!$AC$2&amp;'Output annual'!$AD$2&amp;"*FangerPMV(Hourly)",'Eplus results'!$1:$1048576,ROW(),FALSE)</f>
        <v>0</v>
      </c>
      <c r="AD6909" s="580">
        <f t="shared" si="571"/>
        <v>5</v>
      </c>
      <c r="AE6909" s="580">
        <f t="shared" si="572"/>
        <v>2.5</v>
      </c>
      <c r="AF6909" s="580">
        <f t="shared" si="573"/>
        <v>2.5</v>
      </c>
      <c r="AG6909" s="580">
        <f t="shared" si="574"/>
        <v>0</v>
      </c>
      <c r="AH6909" s="580">
        <f t="shared" si="575"/>
        <v>0</v>
      </c>
    </row>
    <row r="6910" spans="28:34">
      <c r="AB6910" s="580">
        <f>HLOOKUP("*"&amp;'Output annual'!$AC$2&amp;'Output annual'!$AD$2&amp;"*Zone People Number Of Occupants [](Hourly)",'Eplus results'!$1:$1048576,ROW(),FALSE)</f>
        <v>0</v>
      </c>
      <c r="AC6910" s="580">
        <f>HLOOKUP("*"&amp;'Output annual'!$AC$2&amp;'Output annual'!$AD$2&amp;"*FangerPMV(Hourly)",'Eplus results'!$1:$1048576,ROW(),FALSE)</f>
        <v>0</v>
      </c>
      <c r="AD6910" s="580">
        <f t="shared" si="571"/>
        <v>5</v>
      </c>
      <c r="AE6910" s="580">
        <f t="shared" si="572"/>
        <v>2.5</v>
      </c>
      <c r="AF6910" s="580">
        <f t="shared" si="573"/>
        <v>2.5</v>
      </c>
      <c r="AG6910" s="580">
        <f t="shared" si="574"/>
        <v>0</v>
      </c>
      <c r="AH6910" s="580">
        <f t="shared" si="575"/>
        <v>0</v>
      </c>
    </row>
    <row r="6911" spans="28:34">
      <c r="AB6911" s="580">
        <f>HLOOKUP("*"&amp;'Output annual'!$AC$2&amp;'Output annual'!$AD$2&amp;"*Zone People Number Of Occupants [](Hourly)",'Eplus results'!$1:$1048576,ROW(),FALSE)</f>
        <v>0</v>
      </c>
      <c r="AC6911" s="580">
        <f>HLOOKUP("*"&amp;'Output annual'!$AC$2&amp;'Output annual'!$AD$2&amp;"*FangerPMV(Hourly)",'Eplus results'!$1:$1048576,ROW(),FALSE)</f>
        <v>0</v>
      </c>
      <c r="AD6911" s="580">
        <f t="shared" si="571"/>
        <v>5</v>
      </c>
      <c r="AE6911" s="580">
        <f t="shared" si="572"/>
        <v>2.5</v>
      </c>
      <c r="AF6911" s="580">
        <f t="shared" si="573"/>
        <v>2.5</v>
      </c>
      <c r="AG6911" s="580">
        <f t="shared" si="574"/>
        <v>0</v>
      </c>
      <c r="AH6911" s="580">
        <f t="shared" si="575"/>
        <v>0</v>
      </c>
    </row>
    <row r="6912" spans="28:34">
      <c r="AB6912" s="580">
        <f>HLOOKUP("*"&amp;'Output annual'!$AC$2&amp;'Output annual'!$AD$2&amp;"*Zone People Number Of Occupants [](Hourly)",'Eplus results'!$1:$1048576,ROW(),FALSE)</f>
        <v>0</v>
      </c>
      <c r="AC6912" s="580">
        <f>HLOOKUP("*"&amp;'Output annual'!$AC$2&amp;'Output annual'!$AD$2&amp;"*FangerPMV(Hourly)",'Eplus results'!$1:$1048576,ROW(),FALSE)</f>
        <v>0</v>
      </c>
      <c r="AD6912" s="580">
        <f t="shared" si="571"/>
        <v>5</v>
      </c>
      <c r="AE6912" s="580">
        <f t="shared" si="572"/>
        <v>2.5</v>
      </c>
      <c r="AF6912" s="580">
        <f t="shared" si="573"/>
        <v>2.5</v>
      </c>
      <c r="AG6912" s="580">
        <f t="shared" si="574"/>
        <v>0</v>
      </c>
      <c r="AH6912" s="580">
        <f t="shared" si="575"/>
        <v>0</v>
      </c>
    </row>
    <row r="6913" spans="28:34">
      <c r="AB6913" s="580">
        <f>HLOOKUP("*"&amp;'Output annual'!$AC$2&amp;'Output annual'!$AD$2&amp;"*Zone People Number Of Occupants [](Hourly)",'Eplus results'!$1:$1048576,ROW(),FALSE)</f>
        <v>0</v>
      </c>
      <c r="AC6913" s="580">
        <f>HLOOKUP("*"&amp;'Output annual'!$AC$2&amp;'Output annual'!$AD$2&amp;"*FangerPMV(Hourly)",'Eplus results'!$1:$1048576,ROW(),FALSE)</f>
        <v>0</v>
      </c>
      <c r="AD6913" s="580">
        <f t="shared" si="571"/>
        <v>5</v>
      </c>
      <c r="AE6913" s="580">
        <f t="shared" si="572"/>
        <v>2.5</v>
      </c>
      <c r="AF6913" s="580">
        <f t="shared" si="573"/>
        <v>2.5</v>
      </c>
      <c r="AG6913" s="580">
        <f t="shared" si="574"/>
        <v>0</v>
      </c>
      <c r="AH6913" s="580">
        <f t="shared" si="575"/>
        <v>0</v>
      </c>
    </row>
    <row r="6914" spans="28:34">
      <c r="AB6914" s="580">
        <f>HLOOKUP("*"&amp;'Output annual'!$AC$2&amp;'Output annual'!$AD$2&amp;"*Zone People Number Of Occupants [](Hourly)",'Eplus results'!$1:$1048576,ROW(),FALSE)</f>
        <v>0</v>
      </c>
      <c r="AC6914" s="580">
        <f>HLOOKUP("*"&amp;'Output annual'!$AC$2&amp;'Output annual'!$AD$2&amp;"*FangerPMV(Hourly)",'Eplus results'!$1:$1048576,ROW(),FALSE)</f>
        <v>0</v>
      </c>
      <c r="AD6914" s="580">
        <f t="shared" si="571"/>
        <v>5</v>
      </c>
      <c r="AE6914" s="580">
        <f t="shared" si="572"/>
        <v>2.5</v>
      </c>
      <c r="AF6914" s="580">
        <f t="shared" si="573"/>
        <v>2.5</v>
      </c>
      <c r="AG6914" s="580">
        <f t="shared" si="574"/>
        <v>0</v>
      </c>
      <c r="AH6914" s="580">
        <f t="shared" si="575"/>
        <v>0</v>
      </c>
    </row>
    <row r="6915" spans="28:34">
      <c r="AB6915" s="580">
        <f>HLOOKUP("*"&amp;'Output annual'!$AC$2&amp;'Output annual'!$AD$2&amp;"*Zone People Number Of Occupants [](Hourly)",'Eplus results'!$1:$1048576,ROW(),FALSE)</f>
        <v>0</v>
      </c>
      <c r="AC6915" s="580">
        <f>HLOOKUP("*"&amp;'Output annual'!$AC$2&amp;'Output annual'!$AD$2&amp;"*FangerPMV(Hourly)",'Eplus results'!$1:$1048576,ROW(),FALSE)</f>
        <v>0</v>
      </c>
      <c r="AD6915" s="580">
        <f t="shared" ref="AD6915:AD6978" si="576">100-95*EXP(-0.03353*AC6915^4-0.2179*AC6915^2)</f>
        <v>5</v>
      </c>
      <c r="AE6915" s="580">
        <f t="shared" ref="AE6915:AE6978" si="577">AD6915*(1/(1+EXP(-6.3*$AC6915)))</f>
        <v>2.5</v>
      </c>
      <c r="AF6915" s="580">
        <f t="shared" ref="AF6915:AF6978" si="578">(AD6915-AE6915)</f>
        <v>2.5</v>
      </c>
      <c r="AG6915" s="580">
        <f t="shared" ref="AG6915:AG6978" si="579">AE6915*AB6915</f>
        <v>0</v>
      </c>
      <c r="AH6915" s="580">
        <f t="shared" ref="AH6915:AH6978" si="580">AF6915*AB6915</f>
        <v>0</v>
      </c>
    </row>
    <row r="6916" spans="28:34">
      <c r="AB6916" s="580">
        <f>HLOOKUP("*"&amp;'Output annual'!$AC$2&amp;'Output annual'!$AD$2&amp;"*Zone People Number Of Occupants [](Hourly)",'Eplus results'!$1:$1048576,ROW(),FALSE)</f>
        <v>0</v>
      </c>
      <c r="AC6916" s="580">
        <f>HLOOKUP("*"&amp;'Output annual'!$AC$2&amp;'Output annual'!$AD$2&amp;"*FangerPMV(Hourly)",'Eplus results'!$1:$1048576,ROW(),FALSE)</f>
        <v>0</v>
      </c>
      <c r="AD6916" s="580">
        <f t="shared" si="576"/>
        <v>5</v>
      </c>
      <c r="AE6916" s="580">
        <f t="shared" si="577"/>
        <v>2.5</v>
      </c>
      <c r="AF6916" s="580">
        <f t="shared" si="578"/>
        <v>2.5</v>
      </c>
      <c r="AG6916" s="580">
        <f t="shared" si="579"/>
        <v>0</v>
      </c>
      <c r="AH6916" s="580">
        <f t="shared" si="580"/>
        <v>0</v>
      </c>
    </row>
    <row r="6917" spans="28:34">
      <c r="AB6917" s="580">
        <f>HLOOKUP("*"&amp;'Output annual'!$AC$2&amp;'Output annual'!$AD$2&amp;"*Zone People Number Of Occupants [](Hourly)",'Eplus results'!$1:$1048576,ROW(),FALSE)</f>
        <v>0</v>
      </c>
      <c r="AC6917" s="580">
        <f>HLOOKUP("*"&amp;'Output annual'!$AC$2&amp;'Output annual'!$AD$2&amp;"*FangerPMV(Hourly)",'Eplus results'!$1:$1048576,ROW(),FALSE)</f>
        <v>0</v>
      </c>
      <c r="AD6917" s="580">
        <f t="shared" si="576"/>
        <v>5</v>
      </c>
      <c r="AE6917" s="580">
        <f t="shared" si="577"/>
        <v>2.5</v>
      </c>
      <c r="AF6917" s="580">
        <f t="shared" si="578"/>
        <v>2.5</v>
      </c>
      <c r="AG6917" s="580">
        <f t="shared" si="579"/>
        <v>0</v>
      </c>
      <c r="AH6917" s="580">
        <f t="shared" si="580"/>
        <v>0</v>
      </c>
    </row>
    <row r="6918" spans="28:34">
      <c r="AB6918" s="580">
        <f>HLOOKUP("*"&amp;'Output annual'!$AC$2&amp;'Output annual'!$AD$2&amp;"*Zone People Number Of Occupants [](Hourly)",'Eplus results'!$1:$1048576,ROW(),FALSE)</f>
        <v>0</v>
      </c>
      <c r="AC6918" s="580">
        <f>HLOOKUP("*"&amp;'Output annual'!$AC$2&amp;'Output annual'!$AD$2&amp;"*FangerPMV(Hourly)",'Eplus results'!$1:$1048576,ROW(),FALSE)</f>
        <v>0</v>
      </c>
      <c r="AD6918" s="580">
        <f t="shared" si="576"/>
        <v>5</v>
      </c>
      <c r="AE6918" s="580">
        <f t="shared" si="577"/>
        <v>2.5</v>
      </c>
      <c r="AF6918" s="580">
        <f t="shared" si="578"/>
        <v>2.5</v>
      </c>
      <c r="AG6918" s="580">
        <f t="shared" si="579"/>
        <v>0</v>
      </c>
      <c r="AH6918" s="580">
        <f t="shared" si="580"/>
        <v>0</v>
      </c>
    </row>
    <row r="6919" spans="28:34">
      <c r="AB6919" s="580">
        <f>HLOOKUP("*"&amp;'Output annual'!$AC$2&amp;'Output annual'!$AD$2&amp;"*Zone People Number Of Occupants [](Hourly)",'Eplus results'!$1:$1048576,ROW(),FALSE)</f>
        <v>0</v>
      </c>
      <c r="AC6919" s="580">
        <f>HLOOKUP("*"&amp;'Output annual'!$AC$2&amp;'Output annual'!$AD$2&amp;"*FangerPMV(Hourly)",'Eplus results'!$1:$1048576,ROW(),FALSE)</f>
        <v>0</v>
      </c>
      <c r="AD6919" s="580">
        <f t="shared" si="576"/>
        <v>5</v>
      </c>
      <c r="AE6919" s="580">
        <f t="shared" si="577"/>
        <v>2.5</v>
      </c>
      <c r="AF6919" s="580">
        <f t="shared" si="578"/>
        <v>2.5</v>
      </c>
      <c r="AG6919" s="580">
        <f t="shared" si="579"/>
        <v>0</v>
      </c>
      <c r="AH6919" s="580">
        <f t="shared" si="580"/>
        <v>0</v>
      </c>
    </row>
    <row r="6920" spans="28:34">
      <c r="AB6920" s="580">
        <f>HLOOKUP("*"&amp;'Output annual'!$AC$2&amp;'Output annual'!$AD$2&amp;"*Zone People Number Of Occupants [](Hourly)",'Eplus results'!$1:$1048576,ROW(),FALSE)</f>
        <v>0</v>
      </c>
      <c r="AC6920" s="580">
        <f>HLOOKUP("*"&amp;'Output annual'!$AC$2&amp;'Output annual'!$AD$2&amp;"*FangerPMV(Hourly)",'Eplus results'!$1:$1048576,ROW(),FALSE)</f>
        <v>0</v>
      </c>
      <c r="AD6920" s="580">
        <f t="shared" si="576"/>
        <v>5</v>
      </c>
      <c r="AE6920" s="580">
        <f t="shared" si="577"/>
        <v>2.5</v>
      </c>
      <c r="AF6920" s="580">
        <f t="shared" si="578"/>
        <v>2.5</v>
      </c>
      <c r="AG6920" s="580">
        <f t="shared" si="579"/>
        <v>0</v>
      </c>
      <c r="AH6920" s="580">
        <f t="shared" si="580"/>
        <v>0</v>
      </c>
    </row>
    <row r="6921" spans="28:34">
      <c r="AB6921" s="580">
        <f>HLOOKUP("*"&amp;'Output annual'!$AC$2&amp;'Output annual'!$AD$2&amp;"*Zone People Number Of Occupants [](Hourly)",'Eplus results'!$1:$1048576,ROW(),FALSE)</f>
        <v>0</v>
      </c>
      <c r="AC6921" s="580">
        <f>HLOOKUP("*"&amp;'Output annual'!$AC$2&amp;'Output annual'!$AD$2&amp;"*FangerPMV(Hourly)",'Eplus results'!$1:$1048576,ROW(),FALSE)</f>
        <v>0</v>
      </c>
      <c r="AD6921" s="580">
        <f t="shared" si="576"/>
        <v>5</v>
      </c>
      <c r="AE6921" s="580">
        <f t="shared" si="577"/>
        <v>2.5</v>
      </c>
      <c r="AF6921" s="580">
        <f t="shared" si="578"/>
        <v>2.5</v>
      </c>
      <c r="AG6921" s="580">
        <f t="shared" si="579"/>
        <v>0</v>
      </c>
      <c r="AH6921" s="580">
        <f t="shared" si="580"/>
        <v>0</v>
      </c>
    </row>
    <row r="6922" spans="28:34">
      <c r="AB6922" s="580">
        <f>HLOOKUP("*"&amp;'Output annual'!$AC$2&amp;'Output annual'!$AD$2&amp;"*Zone People Number Of Occupants [](Hourly)",'Eplus results'!$1:$1048576,ROW(),FALSE)</f>
        <v>0</v>
      </c>
      <c r="AC6922" s="580">
        <f>HLOOKUP("*"&amp;'Output annual'!$AC$2&amp;'Output annual'!$AD$2&amp;"*FangerPMV(Hourly)",'Eplus results'!$1:$1048576,ROW(),FALSE)</f>
        <v>0</v>
      </c>
      <c r="AD6922" s="580">
        <f t="shared" si="576"/>
        <v>5</v>
      </c>
      <c r="AE6922" s="580">
        <f t="shared" si="577"/>
        <v>2.5</v>
      </c>
      <c r="AF6922" s="580">
        <f t="shared" si="578"/>
        <v>2.5</v>
      </c>
      <c r="AG6922" s="580">
        <f t="shared" si="579"/>
        <v>0</v>
      </c>
      <c r="AH6922" s="580">
        <f t="shared" si="580"/>
        <v>0</v>
      </c>
    </row>
    <row r="6923" spans="28:34">
      <c r="AB6923" s="580">
        <f>HLOOKUP("*"&amp;'Output annual'!$AC$2&amp;'Output annual'!$AD$2&amp;"*Zone People Number Of Occupants [](Hourly)",'Eplus results'!$1:$1048576,ROW(),FALSE)</f>
        <v>0</v>
      </c>
      <c r="AC6923" s="580">
        <f>HLOOKUP("*"&amp;'Output annual'!$AC$2&amp;'Output annual'!$AD$2&amp;"*FangerPMV(Hourly)",'Eplus results'!$1:$1048576,ROW(),FALSE)</f>
        <v>0</v>
      </c>
      <c r="AD6923" s="580">
        <f t="shared" si="576"/>
        <v>5</v>
      </c>
      <c r="AE6923" s="580">
        <f t="shared" si="577"/>
        <v>2.5</v>
      </c>
      <c r="AF6923" s="580">
        <f t="shared" si="578"/>
        <v>2.5</v>
      </c>
      <c r="AG6923" s="580">
        <f t="shared" si="579"/>
        <v>0</v>
      </c>
      <c r="AH6923" s="580">
        <f t="shared" si="580"/>
        <v>0</v>
      </c>
    </row>
    <row r="6924" spans="28:34">
      <c r="AB6924" s="580">
        <f>HLOOKUP("*"&amp;'Output annual'!$AC$2&amp;'Output annual'!$AD$2&amp;"*Zone People Number Of Occupants [](Hourly)",'Eplus results'!$1:$1048576,ROW(),FALSE)</f>
        <v>0</v>
      </c>
      <c r="AC6924" s="580">
        <f>HLOOKUP("*"&amp;'Output annual'!$AC$2&amp;'Output annual'!$AD$2&amp;"*FangerPMV(Hourly)",'Eplus results'!$1:$1048576,ROW(),FALSE)</f>
        <v>0</v>
      </c>
      <c r="AD6924" s="580">
        <f t="shared" si="576"/>
        <v>5</v>
      </c>
      <c r="AE6924" s="580">
        <f t="shared" si="577"/>
        <v>2.5</v>
      </c>
      <c r="AF6924" s="580">
        <f t="shared" si="578"/>
        <v>2.5</v>
      </c>
      <c r="AG6924" s="580">
        <f t="shared" si="579"/>
        <v>0</v>
      </c>
      <c r="AH6924" s="580">
        <f t="shared" si="580"/>
        <v>0</v>
      </c>
    </row>
    <row r="6925" spans="28:34">
      <c r="AB6925" s="580">
        <f>HLOOKUP("*"&amp;'Output annual'!$AC$2&amp;'Output annual'!$AD$2&amp;"*Zone People Number Of Occupants [](Hourly)",'Eplus results'!$1:$1048576,ROW(),FALSE)</f>
        <v>0</v>
      </c>
      <c r="AC6925" s="580">
        <f>HLOOKUP("*"&amp;'Output annual'!$AC$2&amp;'Output annual'!$AD$2&amp;"*FangerPMV(Hourly)",'Eplus results'!$1:$1048576,ROW(),FALSE)</f>
        <v>0</v>
      </c>
      <c r="AD6925" s="580">
        <f t="shared" si="576"/>
        <v>5</v>
      </c>
      <c r="AE6925" s="580">
        <f t="shared" si="577"/>
        <v>2.5</v>
      </c>
      <c r="AF6925" s="580">
        <f t="shared" si="578"/>
        <v>2.5</v>
      </c>
      <c r="AG6925" s="580">
        <f t="shared" si="579"/>
        <v>0</v>
      </c>
      <c r="AH6925" s="580">
        <f t="shared" si="580"/>
        <v>0</v>
      </c>
    </row>
    <row r="6926" spans="28:34">
      <c r="AB6926" s="580">
        <f>HLOOKUP("*"&amp;'Output annual'!$AC$2&amp;'Output annual'!$AD$2&amp;"*Zone People Number Of Occupants [](Hourly)",'Eplus results'!$1:$1048576,ROW(),FALSE)</f>
        <v>0</v>
      </c>
      <c r="AC6926" s="580">
        <f>HLOOKUP("*"&amp;'Output annual'!$AC$2&amp;'Output annual'!$AD$2&amp;"*FangerPMV(Hourly)",'Eplus results'!$1:$1048576,ROW(),FALSE)</f>
        <v>0</v>
      </c>
      <c r="AD6926" s="580">
        <f t="shared" si="576"/>
        <v>5</v>
      </c>
      <c r="AE6926" s="580">
        <f t="shared" si="577"/>
        <v>2.5</v>
      </c>
      <c r="AF6926" s="580">
        <f t="shared" si="578"/>
        <v>2.5</v>
      </c>
      <c r="AG6926" s="580">
        <f t="shared" si="579"/>
        <v>0</v>
      </c>
      <c r="AH6926" s="580">
        <f t="shared" si="580"/>
        <v>0</v>
      </c>
    </row>
    <row r="6927" spans="28:34">
      <c r="AB6927" s="580">
        <f>HLOOKUP("*"&amp;'Output annual'!$AC$2&amp;'Output annual'!$AD$2&amp;"*Zone People Number Of Occupants [](Hourly)",'Eplus results'!$1:$1048576,ROW(),FALSE)</f>
        <v>0</v>
      </c>
      <c r="AC6927" s="580">
        <f>HLOOKUP("*"&amp;'Output annual'!$AC$2&amp;'Output annual'!$AD$2&amp;"*FangerPMV(Hourly)",'Eplus results'!$1:$1048576,ROW(),FALSE)</f>
        <v>0</v>
      </c>
      <c r="AD6927" s="580">
        <f t="shared" si="576"/>
        <v>5</v>
      </c>
      <c r="AE6927" s="580">
        <f t="shared" si="577"/>
        <v>2.5</v>
      </c>
      <c r="AF6927" s="580">
        <f t="shared" si="578"/>
        <v>2.5</v>
      </c>
      <c r="AG6927" s="580">
        <f t="shared" si="579"/>
        <v>0</v>
      </c>
      <c r="AH6927" s="580">
        <f t="shared" si="580"/>
        <v>0</v>
      </c>
    </row>
    <row r="6928" spans="28:34">
      <c r="AB6928" s="580">
        <f>HLOOKUP("*"&amp;'Output annual'!$AC$2&amp;'Output annual'!$AD$2&amp;"*Zone People Number Of Occupants [](Hourly)",'Eplus results'!$1:$1048576,ROW(),FALSE)</f>
        <v>0</v>
      </c>
      <c r="AC6928" s="580">
        <f>HLOOKUP("*"&amp;'Output annual'!$AC$2&amp;'Output annual'!$AD$2&amp;"*FangerPMV(Hourly)",'Eplus results'!$1:$1048576,ROW(),FALSE)</f>
        <v>0</v>
      </c>
      <c r="AD6928" s="580">
        <f t="shared" si="576"/>
        <v>5</v>
      </c>
      <c r="AE6928" s="580">
        <f t="shared" si="577"/>
        <v>2.5</v>
      </c>
      <c r="AF6928" s="580">
        <f t="shared" si="578"/>
        <v>2.5</v>
      </c>
      <c r="AG6928" s="580">
        <f t="shared" si="579"/>
        <v>0</v>
      </c>
      <c r="AH6928" s="580">
        <f t="shared" si="580"/>
        <v>0</v>
      </c>
    </row>
    <row r="6929" spans="28:34">
      <c r="AB6929" s="580">
        <f>HLOOKUP("*"&amp;'Output annual'!$AC$2&amp;'Output annual'!$AD$2&amp;"*Zone People Number Of Occupants [](Hourly)",'Eplus results'!$1:$1048576,ROW(),FALSE)</f>
        <v>0</v>
      </c>
      <c r="AC6929" s="580">
        <f>HLOOKUP("*"&amp;'Output annual'!$AC$2&amp;'Output annual'!$AD$2&amp;"*FangerPMV(Hourly)",'Eplus results'!$1:$1048576,ROW(),FALSE)</f>
        <v>0</v>
      </c>
      <c r="AD6929" s="580">
        <f t="shared" si="576"/>
        <v>5</v>
      </c>
      <c r="AE6929" s="580">
        <f t="shared" si="577"/>
        <v>2.5</v>
      </c>
      <c r="AF6929" s="580">
        <f t="shared" si="578"/>
        <v>2.5</v>
      </c>
      <c r="AG6929" s="580">
        <f t="shared" si="579"/>
        <v>0</v>
      </c>
      <c r="AH6929" s="580">
        <f t="shared" si="580"/>
        <v>0</v>
      </c>
    </row>
    <row r="6930" spans="28:34">
      <c r="AB6930" s="580">
        <f>HLOOKUP("*"&amp;'Output annual'!$AC$2&amp;'Output annual'!$AD$2&amp;"*Zone People Number Of Occupants [](Hourly)",'Eplus results'!$1:$1048576,ROW(),FALSE)</f>
        <v>0</v>
      </c>
      <c r="AC6930" s="580">
        <f>HLOOKUP("*"&amp;'Output annual'!$AC$2&amp;'Output annual'!$AD$2&amp;"*FangerPMV(Hourly)",'Eplus results'!$1:$1048576,ROW(),FALSE)</f>
        <v>0</v>
      </c>
      <c r="AD6930" s="580">
        <f t="shared" si="576"/>
        <v>5</v>
      </c>
      <c r="AE6930" s="580">
        <f t="shared" si="577"/>
        <v>2.5</v>
      </c>
      <c r="AF6930" s="580">
        <f t="shared" si="578"/>
        <v>2.5</v>
      </c>
      <c r="AG6930" s="580">
        <f t="shared" si="579"/>
        <v>0</v>
      </c>
      <c r="AH6930" s="580">
        <f t="shared" si="580"/>
        <v>0</v>
      </c>
    </row>
    <row r="6931" spans="28:34">
      <c r="AB6931" s="580">
        <f>HLOOKUP("*"&amp;'Output annual'!$AC$2&amp;'Output annual'!$AD$2&amp;"*Zone People Number Of Occupants [](Hourly)",'Eplus results'!$1:$1048576,ROW(),FALSE)</f>
        <v>0</v>
      </c>
      <c r="AC6931" s="580">
        <f>HLOOKUP("*"&amp;'Output annual'!$AC$2&amp;'Output annual'!$AD$2&amp;"*FangerPMV(Hourly)",'Eplus results'!$1:$1048576,ROW(),FALSE)</f>
        <v>0</v>
      </c>
      <c r="AD6931" s="580">
        <f t="shared" si="576"/>
        <v>5</v>
      </c>
      <c r="AE6931" s="580">
        <f t="shared" si="577"/>
        <v>2.5</v>
      </c>
      <c r="AF6931" s="580">
        <f t="shared" si="578"/>
        <v>2.5</v>
      </c>
      <c r="AG6931" s="580">
        <f t="shared" si="579"/>
        <v>0</v>
      </c>
      <c r="AH6931" s="580">
        <f t="shared" si="580"/>
        <v>0</v>
      </c>
    </row>
    <row r="6932" spans="28:34">
      <c r="AB6932" s="580">
        <f>HLOOKUP("*"&amp;'Output annual'!$AC$2&amp;'Output annual'!$AD$2&amp;"*Zone People Number Of Occupants [](Hourly)",'Eplus results'!$1:$1048576,ROW(),FALSE)</f>
        <v>0</v>
      </c>
      <c r="AC6932" s="580">
        <f>HLOOKUP("*"&amp;'Output annual'!$AC$2&amp;'Output annual'!$AD$2&amp;"*FangerPMV(Hourly)",'Eplus results'!$1:$1048576,ROW(),FALSE)</f>
        <v>0</v>
      </c>
      <c r="AD6932" s="580">
        <f t="shared" si="576"/>
        <v>5</v>
      </c>
      <c r="AE6932" s="580">
        <f t="shared" si="577"/>
        <v>2.5</v>
      </c>
      <c r="AF6932" s="580">
        <f t="shared" si="578"/>
        <v>2.5</v>
      </c>
      <c r="AG6932" s="580">
        <f t="shared" si="579"/>
        <v>0</v>
      </c>
      <c r="AH6932" s="580">
        <f t="shared" si="580"/>
        <v>0</v>
      </c>
    </row>
    <row r="6933" spans="28:34">
      <c r="AB6933" s="580">
        <f>HLOOKUP("*"&amp;'Output annual'!$AC$2&amp;'Output annual'!$AD$2&amp;"*Zone People Number Of Occupants [](Hourly)",'Eplus results'!$1:$1048576,ROW(),FALSE)</f>
        <v>0</v>
      </c>
      <c r="AC6933" s="580">
        <f>HLOOKUP("*"&amp;'Output annual'!$AC$2&amp;'Output annual'!$AD$2&amp;"*FangerPMV(Hourly)",'Eplus results'!$1:$1048576,ROW(),FALSE)</f>
        <v>0</v>
      </c>
      <c r="AD6933" s="580">
        <f t="shared" si="576"/>
        <v>5</v>
      </c>
      <c r="AE6933" s="580">
        <f t="shared" si="577"/>
        <v>2.5</v>
      </c>
      <c r="AF6933" s="580">
        <f t="shared" si="578"/>
        <v>2.5</v>
      </c>
      <c r="AG6933" s="580">
        <f t="shared" si="579"/>
        <v>0</v>
      </c>
      <c r="AH6933" s="580">
        <f t="shared" si="580"/>
        <v>0</v>
      </c>
    </row>
    <row r="6934" spans="28:34">
      <c r="AB6934" s="580">
        <f>HLOOKUP("*"&amp;'Output annual'!$AC$2&amp;'Output annual'!$AD$2&amp;"*Zone People Number Of Occupants [](Hourly)",'Eplus results'!$1:$1048576,ROW(),FALSE)</f>
        <v>0</v>
      </c>
      <c r="AC6934" s="580">
        <f>HLOOKUP("*"&amp;'Output annual'!$AC$2&amp;'Output annual'!$AD$2&amp;"*FangerPMV(Hourly)",'Eplus results'!$1:$1048576,ROW(),FALSE)</f>
        <v>0</v>
      </c>
      <c r="AD6934" s="580">
        <f t="shared" si="576"/>
        <v>5</v>
      </c>
      <c r="AE6934" s="580">
        <f t="shared" si="577"/>
        <v>2.5</v>
      </c>
      <c r="AF6934" s="580">
        <f t="shared" si="578"/>
        <v>2.5</v>
      </c>
      <c r="AG6934" s="580">
        <f t="shared" si="579"/>
        <v>0</v>
      </c>
      <c r="AH6934" s="580">
        <f t="shared" si="580"/>
        <v>0</v>
      </c>
    </row>
    <row r="6935" spans="28:34">
      <c r="AB6935" s="580">
        <f>HLOOKUP("*"&amp;'Output annual'!$AC$2&amp;'Output annual'!$AD$2&amp;"*Zone People Number Of Occupants [](Hourly)",'Eplus results'!$1:$1048576,ROW(),FALSE)</f>
        <v>0</v>
      </c>
      <c r="AC6935" s="580">
        <f>HLOOKUP("*"&amp;'Output annual'!$AC$2&amp;'Output annual'!$AD$2&amp;"*FangerPMV(Hourly)",'Eplus results'!$1:$1048576,ROW(),FALSE)</f>
        <v>0</v>
      </c>
      <c r="AD6935" s="580">
        <f t="shared" si="576"/>
        <v>5</v>
      </c>
      <c r="AE6935" s="580">
        <f t="shared" si="577"/>
        <v>2.5</v>
      </c>
      <c r="AF6935" s="580">
        <f t="shared" si="578"/>
        <v>2.5</v>
      </c>
      <c r="AG6935" s="580">
        <f t="shared" si="579"/>
        <v>0</v>
      </c>
      <c r="AH6935" s="580">
        <f t="shared" si="580"/>
        <v>0</v>
      </c>
    </row>
    <row r="6936" spans="28:34">
      <c r="AB6936" s="580">
        <f>HLOOKUP("*"&amp;'Output annual'!$AC$2&amp;'Output annual'!$AD$2&amp;"*Zone People Number Of Occupants [](Hourly)",'Eplus results'!$1:$1048576,ROW(),FALSE)</f>
        <v>0</v>
      </c>
      <c r="AC6936" s="580">
        <f>HLOOKUP("*"&amp;'Output annual'!$AC$2&amp;'Output annual'!$AD$2&amp;"*FangerPMV(Hourly)",'Eplus results'!$1:$1048576,ROW(),FALSE)</f>
        <v>0</v>
      </c>
      <c r="AD6936" s="580">
        <f t="shared" si="576"/>
        <v>5</v>
      </c>
      <c r="AE6936" s="580">
        <f t="shared" si="577"/>
        <v>2.5</v>
      </c>
      <c r="AF6936" s="580">
        <f t="shared" si="578"/>
        <v>2.5</v>
      </c>
      <c r="AG6936" s="580">
        <f t="shared" si="579"/>
        <v>0</v>
      </c>
      <c r="AH6936" s="580">
        <f t="shared" si="580"/>
        <v>0</v>
      </c>
    </row>
    <row r="6937" spans="28:34">
      <c r="AB6937" s="580">
        <f>HLOOKUP("*"&amp;'Output annual'!$AC$2&amp;'Output annual'!$AD$2&amp;"*Zone People Number Of Occupants [](Hourly)",'Eplus results'!$1:$1048576,ROW(),FALSE)</f>
        <v>0</v>
      </c>
      <c r="AC6937" s="580">
        <f>HLOOKUP("*"&amp;'Output annual'!$AC$2&amp;'Output annual'!$AD$2&amp;"*FangerPMV(Hourly)",'Eplus results'!$1:$1048576,ROW(),FALSE)</f>
        <v>0</v>
      </c>
      <c r="AD6937" s="580">
        <f t="shared" si="576"/>
        <v>5</v>
      </c>
      <c r="AE6937" s="580">
        <f t="shared" si="577"/>
        <v>2.5</v>
      </c>
      <c r="AF6937" s="580">
        <f t="shared" si="578"/>
        <v>2.5</v>
      </c>
      <c r="AG6937" s="580">
        <f t="shared" si="579"/>
        <v>0</v>
      </c>
      <c r="AH6937" s="580">
        <f t="shared" si="580"/>
        <v>0</v>
      </c>
    </row>
    <row r="6938" spans="28:34">
      <c r="AB6938" s="580">
        <f>HLOOKUP("*"&amp;'Output annual'!$AC$2&amp;'Output annual'!$AD$2&amp;"*Zone People Number Of Occupants [](Hourly)",'Eplus results'!$1:$1048576,ROW(),FALSE)</f>
        <v>0</v>
      </c>
      <c r="AC6938" s="580">
        <f>HLOOKUP("*"&amp;'Output annual'!$AC$2&amp;'Output annual'!$AD$2&amp;"*FangerPMV(Hourly)",'Eplus results'!$1:$1048576,ROW(),FALSE)</f>
        <v>0</v>
      </c>
      <c r="AD6938" s="580">
        <f t="shared" si="576"/>
        <v>5</v>
      </c>
      <c r="AE6938" s="580">
        <f t="shared" si="577"/>
        <v>2.5</v>
      </c>
      <c r="AF6938" s="580">
        <f t="shared" si="578"/>
        <v>2.5</v>
      </c>
      <c r="AG6938" s="580">
        <f t="shared" si="579"/>
        <v>0</v>
      </c>
      <c r="AH6938" s="580">
        <f t="shared" si="580"/>
        <v>0</v>
      </c>
    </row>
    <row r="6939" spans="28:34">
      <c r="AB6939" s="580">
        <f>HLOOKUP("*"&amp;'Output annual'!$AC$2&amp;'Output annual'!$AD$2&amp;"*Zone People Number Of Occupants [](Hourly)",'Eplus results'!$1:$1048576,ROW(),FALSE)</f>
        <v>0</v>
      </c>
      <c r="AC6939" s="580">
        <f>HLOOKUP("*"&amp;'Output annual'!$AC$2&amp;'Output annual'!$AD$2&amp;"*FangerPMV(Hourly)",'Eplus results'!$1:$1048576,ROW(),FALSE)</f>
        <v>0</v>
      </c>
      <c r="AD6939" s="580">
        <f t="shared" si="576"/>
        <v>5</v>
      </c>
      <c r="AE6939" s="580">
        <f t="shared" si="577"/>
        <v>2.5</v>
      </c>
      <c r="AF6939" s="580">
        <f t="shared" si="578"/>
        <v>2.5</v>
      </c>
      <c r="AG6939" s="580">
        <f t="shared" si="579"/>
        <v>0</v>
      </c>
      <c r="AH6939" s="580">
        <f t="shared" si="580"/>
        <v>0</v>
      </c>
    </row>
    <row r="6940" spans="28:34">
      <c r="AB6940" s="580">
        <f>HLOOKUP("*"&amp;'Output annual'!$AC$2&amp;'Output annual'!$AD$2&amp;"*Zone People Number Of Occupants [](Hourly)",'Eplus results'!$1:$1048576,ROW(),FALSE)</f>
        <v>0</v>
      </c>
      <c r="AC6940" s="580">
        <f>HLOOKUP("*"&amp;'Output annual'!$AC$2&amp;'Output annual'!$AD$2&amp;"*FangerPMV(Hourly)",'Eplus results'!$1:$1048576,ROW(),FALSE)</f>
        <v>0</v>
      </c>
      <c r="AD6940" s="580">
        <f t="shared" si="576"/>
        <v>5</v>
      </c>
      <c r="AE6940" s="580">
        <f t="shared" si="577"/>
        <v>2.5</v>
      </c>
      <c r="AF6940" s="580">
        <f t="shared" si="578"/>
        <v>2.5</v>
      </c>
      <c r="AG6940" s="580">
        <f t="shared" si="579"/>
        <v>0</v>
      </c>
      <c r="AH6940" s="580">
        <f t="shared" si="580"/>
        <v>0</v>
      </c>
    </row>
    <row r="6941" spans="28:34">
      <c r="AB6941" s="580">
        <f>HLOOKUP("*"&amp;'Output annual'!$AC$2&amp;'Output annual'!$AD$2&amp;"*Zone People Number Of Occupants [](Hourly)",'Eplus results'!$1:$1048576,ROW(),FALSE)</f>
        <v>0</v>
      </c>
      <c r="AC6941" s="580">
        <f>HLOOKUP("*"&amp;'Output annual'!$AC$2&amp;'Output annual'!$AD$2&amp;"*FangerPMV(Hourly)",'Eplus results'!$1:$1048576,ROW(),FALSE)</f>
        <v>0</v>
      </c>
      <c r="AD6941" s="580">
        <f t="shared" si="576"/>
        <v>5</v>
      </c>
      <c r="AE6941" s="580">
        <f t="shared" si="577"/>
        <v>2.5</v>
      </c>
      <c r="AF6941" s="580">
        <f t="shared" si="578"/>
        <v>2.5</v>
      </c>
      <c r="AG6941" s="580">
        <f t="shared" si="579"/>
        <v>0</v>
      </c>
      <c r="AH6941" s="580">
        <f t="shared" si="580"/>
        <v>0</v>
      </c>
    </row>
    <row r="6942" spans="28:34">
      <c r="AB6942" s="580">
        <f>HLOOKUP("*"&amp;'Output annual'!$AC$2&amp;'Output annual'!$AD$2&amp;"*Zone People Number Of Occupants [](Hourly)",'Eplus results'!$1:$1048576,ROW(),FALSE)</f>
        <v>0</v>
      </c>
      <c r="AC6942" s="580">
        <f>HLOOKUP("*"&amp;'Output annual'!$AC$2&amp;'Output annual'!$AD$2&amp;"*FangerPMV(Hourly)",'Eplus results'!$1:$1048576,ROW(),FALSE)</f>
        <v>0</v>
      </c>
      <c r="AD6942" s="580">
        <f t="shared" si="576"/>
        <v>5</v>
      </c>
      <c r="AE6942" s="580">
        <f t="shared" si="577"/>
        <v>2.5</v>
      </c>
      <c r="AF6942" s="580">
        <f t="shared" si="578"/>
        <v>2.5</v>
      </c>
      <c r="AG6942" s="580">
        <f t="shared" si="579"/>
        <v>0</v>
      </c>
      <c r="AH6942" s="580">
        <f t="shared" si="580"/>
        <v>0</v>
      </c>
    </row>
    <row r="6943" spans="28:34">
      <c r="AB6943" s="580">
        <f>HLOOKUP("*"&amp;'Output annual'!$AC$2&amp;'Output annual'!$AD$2&amp;"*Zone People Number Of Occupants [](Hourly)",'Eplus results'!$1:$1048576,ROW(),FALSE)</f>
        <v>0</v>
      </c>
      <c r="AC6943" s="580">
        <f>HLOOKUP("*"&amp;'Output annual'!$AC$2&amp;'Output annual'!$AD$2&amp;"*FangerPMV(Hourly)",'Eplus results'!$1:$1048576,ROW(),FALSE)</f>
        <v>0</v>
      </c>
      <c r="AD6943" s="580">
        <f t="shared" si="576"/>
        <v>5</v>
      </c>
      <c r="AE6943" s="580">
        <f t="shared" si="577"/>
        <v>2.5</v>
      </c>
      <c r="AF6943" s="580">
        <f t="shared" si="578"/>
        <v>2.5</v>
      </c>
      <c r="AG6943" s="580">
        <f t="shared" si="579"/>
        <v>0</v>
      </c>
      <c r="AH6943" s="580">
        <f t="shared" si="580"/>
        <v>0</v>
      </c>
    </row>
    <row r="6944" spans="28:34">
      <c r="AB6944" s="580">
        <f>HLOOKUP("*"&amp;'Output annual'!$AC$2&amp;'Output annual'!$AD$2&amp;"*Zone People Number Of Occupants [](Hourly)",'Eplus results'!$1:$1048576,ROW(),FALSE)</f>
        <v>0</v>
      </c>
      <c r="AC6944" s="580">
        <f>HLOOKUP("*"&amp;'Output annual'!$AC$2&amp;'Output annual'!$AD$2&amp;"*FangerPMV(Hourly)",'Eplus results'!$1:$1048576,ROW(),FALSE)</f>
        <v>0</v>
      </c>
      <c r="AD6944" s="580">
        <f t="shared" si="576"/>
        <v>5</v>
      </c>
      <c r="AE6944" s="580">
        <f t="shared" si="577"/>
        <v>2.5</v>
      </c>
      <c r="AF6944" s="580">
        <f t="shared" si="578"/>
        <v>2.5</v>
      </c>
      <c r="AG6944" s="580">
        <f t="shared" si="579"/>
        <v>0</v>
      </c>
      <c r="AH6944" s="580">
        <f t="shared" si="580"/>
        <v>0</v>
      </c>
    </row>
    <row r="6945" spans="28:34">
      <c r="AB6945" s="580">
        <f>HLOOKUP("*"&amp;'Output annual'!$AC$2&amp;'Output annual'!$AD$2&amp;"*Zone People Number Of Occupants [](Hourly)",'Eplus results'!$1:$1048576,ROW(),FALSE)</f>
        <v>0</v>
      </c>
      <c r="AC6945" s="580">
        <f>HLOOKUP("*"&amp;'Output annual'!$AC$2&amp;'Output annual'!$AD$2&amp;"*FangerPMV(Hourly)",'Eplus results'!$1:$1048576,ROW(),FALSE)</f>
        <v>0</v>
      </c>
      <c r="AD6945" s="580">
        <f t="shared" si="576"/>
        <v>5</v>
      </c>
      <c r="AE6945" s="580">
        <f t="shared" si="577"/>
        <v>2.5</v>
      </c>
      <c r="AF6945" s="580">
        <f t="shared" si="578"/>
        <v>2.5</v>
      </c>
      <c r="AG6945" s="580">
        <f t="shared" si="579"/>
        <v>0</v>
      </c>
      <c r="AH6945" s="580">
        <f t="shared" si="580"/>
        <v>0</v>
      </c>
    </row>
    <row r="6946" spans="28:34">
      <c r="AB6946" s="580">
        <f>HLOOKUP("*"&amp;'Output annual'!$AC$2&amp;'Output annual'!$AD$2&amp;"*Zone People Number Of Occupants [](Hourly)",'Eplus results'!$1:$1048576,ROW(),FALSE)</f>
        <v>0</v>
      </c>
      <c r="AC6946" s="580">
        <f>HLOOKUP("*"&amp;'Output annual'!$AC$2&amp;'Output annual'!$AD$2&amp;"*FangerPMV(Hourly)",'Eplus results'!$1:$1048576,ROW(),FALSE)</f>
        <v>0</v>
      </c>
      <c r="AD6946" s="580">
        <f t="shared" si="576"/>
        <v>5</v>
      </c>
      <c r="AE6946" s="580">
        <f t="shared" si="577"/>
        <v>2.5</v>
      </c>
      <c r="AF6946" s="580">
        <f t="shared" si="578"/>
        <v>2.5</v>
      </c>
      <c r="AG6946" s="580">
        <f t="shared" si="579"/>
        <v>0</v>
      </c>
      <c r="AH6946" s="580">
        <f t="shared" si="580"/>
        <v>0</v>
      </c>
    </row>
    <row r="6947" spans="28:34">
      <c r="AB6947" s="580">
        <f>HLOOKUP("*"&amp;'Output annual'!$AC$2&amp;'Output annual'!$AD$2&amp;"*Zone People Number Of Occupants [](Hourly)",'Eplus results'!$1:$1048576,ROW(),FALSE)</f>
        <v>0</v>
      </c>
      <c r="AC6947" s="580">
        <f>HLOOKUP("*"&amp;'Output annual'!$AC$2&amp;'Output annual'!$AD$2&amp;"*FangerPMV(Hourly)",'Eplus results'!$1:$1048576,ROW(),FALSE)</f>
        <v>0</v>
      </c>
      <c r="AD6947" s="580">
        <f t="shared" si="576"/>
        <v>5</v>
      </c>
      <c r="AE6947" s="580">
        <f t="shared" si="577"/>
        <v>2.5</v>
      </c>
      <c r="AF6947" s="580">
        <f t="shared" si="578"/>
        <v>2.5</v>
      </c>
      <c r="AG6947" s="580">
        <f t="shared" si="579"/>
        <v>0</v>
      </c>
      <c r="AH6947" s="580">
        <f t="shared" si="580"/>
        <v>0</v>
      </c>
    </row>
    <row r="6948" spans="28:34">
      <c r="AB6948" s="580">
        <f>HLOOKUP("*"&amp;'Output annual'!$AC$2&amp;'Output annual'!$AD$2&amp;"*Zone People Number Of Occupants [](Hourly)",'Eplus results'!$1:$1048576,ROW(),FALSE)</f>
        <v>0</v>
      </c>
      <c r="AC6948" s="580">
        <f>HLOOKUP("*"&amp;'Output annual'!$AC$2&amp;'Output annual'!$AD$2&amp;"*FangerPMV(Hourly)",'Eplus results'!$1:$1048576,ROW(),FALSE)</f>
        <v>0</v>
      </c>
      <c r="AD6948" s="580">
        <f t="shared" si="576"/>
        <v>5</v>
      </c>
      <c r="AE6948" s="580">
        <f t="shared" si="577"/>
        <v>2.5</v>
      </c>
      <c r="AF6948" s="580">
        <f t="shared" si="578"/>
        <v>2.5</v>
      </c>
      <c r="AG6948" s="580">
        <f t="shared" si="579"/>
        <v>0</v>
      </c>
      <c r="AH6948" s="580">
        <f t="shared" si="580"/>
        <v>0</v>
      </c>
    </row>
    <row r="6949" spans="28:34">
      <c r="AB6949" s="580">
        <f>HLOOKUP("*"&amp;'Output annual'!$AC$2&amp;'Output annual'!$AD$2&amp;"*Zone People Number Of Occupants [](Hourly)",'Eplus results'!$1:$1048576,ROW(),FALSE)</f>
        <v>0</v>
      </c>
      <c r="AC6949" s="580">
        <f>HLOOKUP("*"&amp;'Output annual'!$AC$2&amp;'Output annual'!$AD$2&amp;"*FangerPMV(Hourly)",'Eplus results'!$1:$1048576,ROW(),FALSE)</f>
        <v>0</v>
      </c>
      <c r="AD6949" s="580">
        <f t="shared" si="576"/>
        <v>5</v>
      </c>
      <c r="AE6949" s="580">
        <f t="shared" si="577"/>
        <v>2.5</v>
      </c>
      <c r="AF6949" s="580">
        <f t="shared" si="578"/>
        <v>2.5</v>
      </c>
      <c r="AG6949" s="580">
        <f t="shared" si="579"/>
        <v>0</v>
      </c>
      <c r="AH6949" s="580">
        <f t="shared" si="580"/>
        <v>0</v>
      </c>
    </row>
    <row r="6950" spans="28:34">
      <c r="AB6950" s="580">
        <f>HLOOKUP("*"&amp;'Output annual'!$AC$2&amp;'Output annual'!$AD$2&amp;"*Zone People Number Of Occupants [](Hourly)",'Eplus results'!$1:$1048576,ROW(),FALSE)</f>
        <v>0</v>
      </c>
      <c r="AC6950" s="580">
        <f>HLOOKUP("*"&amp;'Output annual'!$AC$2&amp;'Output annual'!$AD$2&amp;"*FangerPMV(Hourly)",'Eplus results'!$1:$1048576,ROW(),FALSE)</f>
        <v>0</v>
      </c>
      <c r="AD6950" s="580">
        <f t="shared" si="576"/>
        <v>5</v>
      </c>
      <c r="AE6950" s="580">
        <f t="shared" si="577"/>
        <v>2.5</v>
      </c>
      <c r="AF6950" s="580">
        <f t="shared" si="578"/>
        <v>2.5</v>
      </c>
      <c r="AG6950" s="580">
        <f t="shared" si="579"/>
        <v>0</v>
      </c>
      <c r="AH6950" s="580">
        <f t="shared" si="580"/>
        <v>0</v>
      </c>
    </row>
    <row r="6951" spans="28:34">
      <c r="AB6951" s="580">
        <f>HLOOKUP("*"&amp;'Output annual'!$AC$2&amp;'Output annual'!$AD$2&amp;"*Zone People Number Of Occupants [](Hourly)",'Eplus results'!$1:$1048576,ROW(),FALSE)</f>
        <v>0</v>
      </c>
      <c r="AC6951" s="580">
        <f>HLOOKUP("*"&amp;'Output annual'!$AC$2&amp;'Output annual'!$AD$2&amp;"*FangerPMV(Hourly)",'Eplus results'!$1:$1048576,ROW(),FALSE)</f>
        <v>0</v>
      </c>
      <c r="AD6951" s="580">
        <f t="shared" si="576"/>
        <v>5</v>
      </c>
      <c r="AE6951" s="580">
        <f t="shared" si="577"/>
        <v>2.5</v>
      </c>
      <c r="AF6951" s="580">
        <f t="shared" si="578"/>
        <v>2.5</v>
      </c>
      <c r="AG6951" s="580">
        <f t="shared" si="579"/>
        <v>0</v>
      </c>
      <c r="AH6951" s="580">
        <f t="shared" si="580"/>
        <v>0</v>
      </c>
    </row>
    <row r="6952" spans="28:34">
      <c r="AB6952" s="580">
        <f>HLOOKUP("*"&amp;'Output annual'!$AC$2&amp;'Output annual'!$AD$2&amp;"*Zone People Number Of Occupants [](Hourly)",'Eplus results'!$1:$1048576,ROW(),FALSE)</f>
        <v>0</v>
      </c>
      <c r="AC6952" s="580">
        <f>HLOOKUP("*"&amp;'Output annual'!$AC$2&amp;'Output annual'!$AD$2&amp;"*FangerPMV(Hourly)",'Eplus results'!$1:$1048576,ROW(),FALSE)</f>
        <v>0</v>
      </c>
      <c r="AD6952" s="580">
        <f t="shared" si="576"/>
        <v>5</v>
      </c>
      <c r="AE6952" s="580">
        <f t="shared" si="577"/>
        <v>2.5</v>
      </c>
      <c r="AF6952" s="580">
        <f t="shared" si="578"/>
        <v>2.5</v>
      </c>
      <c r="AG6952" s="580">
        <f t="shared" si="579"/>
        <v>0</v>
      </c>
      <c r="AH6952" s="580">
        <f t="shared" si="580"/>
        <v>0</v>
      </c>
    </row>
    <row r="6953" spans="28:34">
      <c r="AB6953" s="580">
        <f>HLOOKUP("*"&amp;'Output annual'!$AC$2&amp;'Output annual'!$AD$2&amp;"*Zone People Number Of Occupants [](Hourly)",'Eplus results'!$1:$1048576,ROW(),FALSE)</f>
        <v>0</v>
      </c>
      <c r="AC6953" s="580">
        <f>HLOOKUP("*"&amp;'Output annual'!$AC$2&amp;'Output annual'!$AD$2&amp;"*FangerPMV(Hourly)",'Eplus results'!$1:$1048576,ROW(),FALSE)</f>
        <v>0</v>
      </c>
      <c r="AD6953" s="580">
        <f t="shared" si="576"/>
        <v>5</v>
      </c>
      <c r="AE6953" s="580">
        <f t="shared" si="577"/>
        <v>2.5</v>
      </c>
      <c r="AF6953" s="580">
        <f t="shared" si="578"/>
        <v>2.5</v>
      </c>
      <c r="AG6953" s="580">
        <f t="shared" si="579"/>
        <v>0</v>
      </c>
      <c r="AH6953" s="580">
        <f t="shared" si="580"/>
        <v>0</v>
      </c>
    </row>
    <row r="6954" spans="28:34">
      <c r="AB6954" s="580">
        <f>HLOOKUP("*"&amp;'Output annual'!$AC$2&amp;'Output annual'!$AD$2&amp;"*Zone People Number Of Occupants [](Hourly)",'Eplus results'!$1:$1048576,ROW(),FALSE)</f>
        <v>0</v>
      </c>
      <c r="AC6954" s="580">
        <f>HLOOKUP("*"&amp;'Output annual'!$AC$2&amp;'Output annual'!$AD$2&amp;"*FangerPMV(Hourly)",'Eplus results'!$1:$1048576,ROW(),FALSE)</f>
        <v>0</v>
      </c>
      <c r="AD6954" s="580">
        <f t="shared" si="576"/>
        <v>5</v>
      </c>
      <c r="AE6954" s="580">
        <f t="shared" si="577"/>
        <v>2.5</v>
      </c>
      <c r="AF6954" s="580">
        <f t="shared" si="578"/>
        <v>2.5</v>
      </c>
      <c r="AG6954" s="580">
        <f t="shared" si="579"/>
        <v>0</v>
      </c>
      <c r="AH6954" s="580">
        <f t="shared" si="580"/>
        <v>0</v>
      </c>
    </row>
    <row r="6955" spans="28:34">
      <c r="AB6955" s="580">
        <f>HLOOKUP("*"&amp;'Output annual'!$AC$2&amp;'Output annual'!$AD$2&amp;"*Zone People Number Of Occupants [](Hourly)",'Eplus results'!$1:$1048576,ROW(),FALSE)</f>
        <v>0</v>
      </c>
      <c r="AC6955" s="580">
        <f>HLOOKUP("*"&amp;'Output annual'!$AC$2&amp;'Output annual'!$AD$2&amp;"*FangerPMV(Hourly)",'Eplus results'!$1:$1048576,ROW(),FALSE)</f>
        <v>0</v>
      </c>
      <c r="AD6955" s="580">
        <f t="shared" si="576"/>
        <v>5</v>
      </c>
      <c r="AE6955" s="580">
        <f t="shared" si="577"/>
        <v>2.5</v>
      </c>
      <c r="AF6955" s="580">
        <f t="shared" si="578"/>
        <v>2.5</v>
      </c>
      <c r="AG6955" s="580">
        <f t="shared" si="579"/>
        <v>0</v>
      </c>
      <c r="AH6955" s="580">
        <f t="shared" si="580"/>
        <v>0</v>
      </c>
    </row>
    <row r="6956" spans="28:34">
      <c r="AB6956" s="580">
        <f>HLOOKUP("*"&amp;'Output annual'!$AC$2&amp;'Output annual'!$AD$2&amp;"*Zone People Number Of Occupants [](Hourly)",'Eplus results'!$1:$1048576,ROW(),FALSE)</f>
        <v>0</v>
      </c>
      <c r="AC6956" s="580">
        <f>HLOOKUP("*"&amp;'Output annual'!$AC$2&amp;'Output annual'!$AD$2&amp;"*FangerPMV(Hourly)",'Eplus results'!$1:$1048576,ROW(),FALSE)</f>
        <v>0</v>
      </c>
      <c r="AD6956" s="580">
        <f t="shared" si="576"/>
        <v>5</v>
      </c>
      <c r="AE6956" s="580">
        <f t="shared" si="577"/>
        <v>2.5</v>
      </c>
      <c r="AF6956" s="580">
        <f t="shared" si="578"/>
        <v>2.5</v>
      </c>
      <c r="AG6956" s="580">
        <f t="shared" si="579"/>
        <v>0</v>
      </c>
      <c r="AH6956" s="580">
        <f t="shared" si="580"/>
        <v>0</v>
      </c>
    </row>
    <row r="6957" spans="28:34">
      <c r="AB6957" s="580">
        <f>HLOOKUP("*"&amp;'Output annual'!$AC$2&amp;'Output annual'!$AD$2&amp;"*Zone People Number Of Occupants [](Hourly)",'Eplus results'!$1:$1048576,ROW(),FALSE)</f>
        <v>0</v>
      </c>
      <c r="AC6957" s="580">
        <f>HLOOKUP("*"&amp;'Output annual'!$AC$2&amp;'Output annual'!$AD$2&amp;"*FangerPMV(Hourly)",'Eplus results'!$1:$1048576,ROW(),FALSE)</f>
        <v>0</v>
      </c>
      <c r="AD6957" s="580">
        <f t="shared" si="576"/>
        <v>5</v>
      </c>
      <c r="AE6957" s="580">
        <f t="shared" si="577"/>
        <v>2.5</v>
      </c>
      <c r="AF6957" s="580">
        <f t="shared" si="578"/>
        <v>2.5</v>
      </c>
      <c r="AG6957" s="580">
        <f t="shared" si="579"/>
        <v>0</v>
      </c>
      <c r="AH6957" s="580">
        <f t="shared" si="580"/>
        <v>0</v>
      </c>
    </row>
    <row r="6958" spans="28:34">
      <c r="AB6958" s="580">
        <f>HLOOKUP("*"&amp;'Output annual'!$AC$2&amp;'Output annual'!$AD$2&amp;"*Zone People Number Of Occupants [](Hourly)",'Eplus results'!$1:$1048576,ROW(),FALSE)</f>
        <v>0</v>
      </c>
      <c r="AC6958" s="580">
        <f>HLOOKUP("*"&amp;'Output annual'!$AC$2&amp;'Output annual'!$AD$2&amp;"*FangerPMV(Hourly)",'Eplus results'!$1:$1048576,ROW(),FALSE)</f>
        <v>0</v>
      </c>
      <c r="AD6958" s="580">
        <f t="shared" si="576"/>
        <v>5</v>
      </c>
      <c r="AE6958" s="580">
        <f t="shared" si="577"/>
        <v>2.5</v>
      </c>
      <c r="AF6958" s="580">
        <f t="shared" si="578"/>
        <v>2.5</v>
      </c>
      <c r="AG6958" s="580">
        <f t="shared" si="579"/>
        <v>0</v>
      </c>
      <c r="AH6958" s="580">
        <f t="shared" si="580"/>
        <v>0</v>
      </c>
    </row>
    <row r="6959" spans="28:34">
      <c r="AB6959" s="580">
        <f>HLOOKUP("*"&amp;'Output annual'!$AC$2&amp;'Output annual'!$AD$2&amp;"*Zone People Number Of Occupants [](Hourly)",'Eplus results'!$1:$1048576,ROW(),FALSE)</f>
        <v>0</v>
      </c>
      <c r="AC6959" s="580">
        <f>HLOOKUP("*"&amp;'Output annual'!$AC$2&amp;'Output annual'!$AD$2&amp;"*FangerPMV(Hourly)",'Eplus results'!$1:$1048576,ROW(),FALSE)</f>
        <v>0</v>
      </c>
      <c r="AD6959" s="580">
        <f t="shared" si="576"/>
        <v>5</v>
      </c>
      <c r="AE6959" s="580">
        <f t="shared" si="577"/>
        <v>2.5</v>
      </c>
      <c r="AF6959" s="580">
        <f t="shared" si="578"/>
        <v>2.5</v>
      </c>
      <c r="AG6959" s="580">
        <f t="shared" si="579"/>
        <v>0</v>
      </c>
      <c r="AH6959" s="580">
        <f t="shared" si="580"/>
        <v>0</v>
      </c>
    </row>
    <row r="6960" spans="28:34">
      <c r="AB6960" s="580">
        <f>HLOOKUP("*"&amp;'Output annual'!$AC$2&amp;'Output annual'!$AD$2&amp;"*Zone People Number Of Occupants [](Hourly)",'Eplus results'!$1:$1048576,ROW(),FALSE)</f>
        <v>0</v>
      </c>
      <c r="AC6960" s="580">
        <f>HLOOKUP("*"&amp;'Output annual'!$AC$2&amp;'Output annual'!$AD$2&amp;"*FangerPMV(Hourly)",'Eplus results'!$1:$1048576,ROW(),FALSE)</f>
        <v>0</v>
      </c>
      <c r="AD6960" s="580">
        <f t="shared" si="576"/>
        <v>5</v>
      </c>
      <c r="AE6960" s="580">
        <f t="shared" si="577"/>
        <v>2.5</v>
      </c>
      <c r="AF6960" s="580">
        <f t="shared" si="578"/>
        <v>2.5</v>
      </c>
      <c r="AG6960" s="580">
        <f t="shared" si="579"/>
        <v>0</v>
      </c>
      <c r="AH6960" s="580">
        <f t="shared" si="580"/>
        <v>0</v>
      </c>
    </row>
    <row r="6961" spans="28:34">
      <c r="AB6961" s="580">
        <f>HLOOKUP("*"&amp;'Output annual'!$AC$2&amp;'Output annual'!$AD$2&amp;"*Zone People Number Of Occupants [](Hourly)",'Eplus results'!$1:$1048576,ROW(),FALSE)</f>
        <v>0</v>
      </c>
      <c r="AC6961" s="580">
        <f>HLOOKUP("*"&amp;'Output annual'!$AC$2&amp;'Output annual'!$AD$2&amp;"*FangerPMV(Hourly)",'Eplus results'!$1:$1048576,ROW(),FALSE)</f>
        <v>0</v>
      </c>
      <c r="AD6961" s="580">
        <f t="shared" si="576"/>
        <v>5</v>
      </c>
      <c r="AE6961" s="580">
        <f t="shared" si="577"/>
        <v>2.5</v>
      </c>
      <c r="AF6961" s="580">
        <f t="shared" si="578"/>
        <v>2.5</v>
      </c>
      <c r="AG6961" s="580">
        <f t="shared" si="579"/>
        <v>0</v>
      </c>
      <c r="AH6961" s="580">
        <f t="shared" si="580"/>
        <v>0</v>
      </c>
    </row>
    <row r="6962" spans="28:34">
      <c r="AB6962" s="580">
        <f>HLOOKUP("*"&amp;'Output annual'!$AC$2&amp;'Output annual'!$AD$2&amp;"*Zone People Number Of Occupants [](Hourly)",'Eplus results'!$1:$1048576,ROW(),FALSE)</f>
        <v>0</v>
      </c>
      <c r="AC6962" s="580">
        <f>HLOOKUP("*"&amp;'Output annual'!$AC$2&amp;'Output annual'!$AD$2&amp;"*FangerPMV(Hourly)",'Eplus results'!$1:$1048576,ROW(),FALSE)</f>
        <v>0</v>
      </c>
      <c r="AD6962" s="580">
        <f t="shared" si="576"/>
        <v>5</v>
      </c>
      <c r="AE6962" s="580">
        <f t="shared" si="577"/>
        <v>2.5</v>
      </c>
      <c r="AF6962" s="580">
        <f t="shared" si="578"/>
        <v>2.5</v>
      </c>
      <c r="AG6962" s="580">
        <f t="shared" si="579"/>
        <v>0</v>
      </c>
      <c r="AH6962" s="580">
        <f t="shared" si="580"/>
        <v>0</v>
      </c>
    </row>
    <row r="6963" spans="28:34">
      <c r="AB6963" s="580">
        <f>HLOOKUP("*"&amp;'Output annual'!$AC$2&amp;'Output annual'!$AD$2&amp;"*Zone People Number Of Occupants [](Hourly)",'Eplus results'!$1:$1048576,ROW(),FALSE)</f>
        <v>0</v>
      </c>
      <c r="AC6963" s="580">
        <f>HLOOKUP("*"&amp;'Output annual'!$AC$2&amp;'Output annual'!$AD$2&amp;"*FangerPMV(Hourly)",'Eplus results'!$1:$1048576,ROW(),FALSE)</f>
        <v>0</v>
      </c>
      <c r="AD6963" s="580">
        <f t="shared" si="576"/>
        <v>5</v>
      </c>
      <c r="AE6963" s="580">
        <f t="shared" si="577"/>
        <v>2.5</v>
      </c>
      <c r="AF6963" s="580">
        <f t="shared" si="578"/>
        <v>2.5</v>
      </c>
      <c r="AG6963" s="580">
        <f t="shared" si="579"/>
        <v>0</v>
      </c>
      <c r="AH6963" s="580">
        <f t="shared" si="580"/>
        <v>0</v>
      </c>
    </row>
    <row r="6964" spans="28:34">
      <c r="AB6964" s="580">
        <f>HLOOKUP("*"&amp;'Output annual'!$AC$2&amp;'Output annual'!$AD$2&amp;"*Zone People Number Of Occupants [](Hourly)",'Eplus results'!$1:$1048576,ROW(),FALSE)</f>
        <v>0</v>
      </c>
      <c r="AC6964" s="580">
        <f>HLOOKUP("*"&amp;'Output annual'!$AC$2&amp;'Output annual'!$AD$2&amp;"*FangerPMV(Hourly)",'Eplus results'!$1:$1048576,ROW(),FALSE)</f>
        <v>0</v>
      </c>
      <c r="AD6964" s="580">
        <f t="shared" si="576"/>
        <v>5</v>
      </c>
      <c r="AE6964" s="580">
        <f t="shared" si="577"/>
        <v>2.5</v>
      </c>
      <c r="AF6964" s="580">
        <f t="shared" si="578"/>
        <v>2.5</v>
      </c>
      <c r="AG6964" s="580">
        <f t="shared" si="579"/>
        <v>0</v>
      </c>
      <c r="AH6964" s="580">
        <f t="shared" si="580"/>
        <v>0</v>
      </c>
    </row>
    <row r="6965" spans="28:34">
      <c r="AB6965" s="580">
        <f>HLOOKUP("*"&amp;'Output annual'!$AC$2&amp;'Output annual'!$AD$2&amp;"*Zone People Number Of Occupants [](Hourly)",'Eplus results'!$1:$1048576,ROW(),FALSE)</f>
        <v>0</v>
      </c>
      <c r="AC6965" s="580">
        <f>HLOOKUP("*"&amp;'Output annual'!$AC$2&amp;'Output annual'!$AD$2&amp;"*FangerPMV(Hourly)",'Eplus results'!$1:$1048576,ROW(),FALSE)</f>
        <v>0</v>
      </c>
      <c r="AD6965" s="580">
        <f t="shared" si="576"/>
        <v>5</v>
      </c>
      <c r="AE6965" s="580">
        <f t="shared" si="577"/>
        <v>2.5</v>
      </c>
      <c r="AF6965" s="580">
        <f t="shared" si="578"/>
        <v>2.5</v>
      </c>
      <c r="AG6965" s="580">
        <f t="shared" si="579"/>
        <v>0</v>
      </c>
      <c r="AH6965" s="580">
        <f t="shared" si="580"/>
        <v>0</v>
      </c>
    </row>
    <row r="6966" spans="28:34">
      <c r="AB6966" s="580">
        <f>HLOOKUP("*"&amp;'Output annual'!$AC$2&amp;'Output annual'!$AD$2&amp;"*Zone People Number Of Occupants [](Hourly)",'Eplus results'!$1:$1048576,ROW(),FALSE)</f>
        <v>0</v>
      </c>
      <c r="AC6966" s="580">
        <f>HLOOKUP("*"&amp;'Output annual'!$AC$2&amp;'Output annual'!$AD$2&amp;"*FangerPMV(Hourly)",'Eplus results'!$1:$1048576,ROW(),FALSE)</f>
        <v>0</v>
      </c>
      <c r="AD6966" s="580">
        <f t="shared" si="576"/>
        <v>5</v>
      </c>
      <c r="AE6966" s="580">
        <f t="shared" si="577"/>
        <v>2.5</v>
      </c>
      <c r="AF6966" s="580">
        <f t="shared" si="578"/>
        <v>2.5</v>
      </c>
      <c r="AG6966" s="580">
        <f t="shared" si="579"/>
        <v>0</v>
      </c>
      <c r="AH6966" s="580">
        <f t="shared" si="580"/>
        <v>0</v>
      </c>
    </row>
    <row r="6967" spans="28:34">
      <c r="AB6967" s="580">
        <f>HLOOKUP("*"&amp;'Output annual'!$AC$2&amp;'Output annual'!$AD$2&amp;"*Zone People Number Of Occupants [](Hourly)",'Eplus results'!$1:$1048576,ROW(),FALSE)</f>
        <v>0</v>
      </c>
      <c r="AC6967" s="580">
        <f>HLOOKUP("*"&amp;'Output annual'!$AC$2&amp;'Output annual'!$AD$2&amp;"*FangerPMV(Hourly)",'Eplus results'!$1:$1048576,ROW(),FALSE)</f>
        <v>0</v>
      </c>
      <c r="AD6967" s="580">
        <f t="shared" si="576"/>
        <v>5</v>
      </c>
      <c r="AE6967" s="580">
        <f t="shared" si="577"/>
        <v>2.5</v>
      </c>
      <c r="AF6967" s="580">
        <f t="shared" si="578"/>
        <v>2.5</v>
      </c>
      <c r="AG6967" s="580">
        <f t="shared" si="579"/>
        <v>0</v>
      </c>
      <c r="AH6967" s="580">
        <f t="shared" si="580"/>
        <v>0</v>
      </c>
    </row>
    <row r="6968" spans="28:34">
      <c r="AB6968" s="580">
        <f>HLOOKUP("*"&amp;'Output annual'!$AC$2&amp;'Output annual'!$AD$2&amp;"*Zone People Number Of Occupants [](Hourly)",'Eplus results'!$1:$1048576,ROW(),FALSE)</f>
        <v>0</v>
      </c>
      <c r="AC6968" s="580">
        <f>HLOOKUP("*"&amp;'Output annual'!$AC$2&amp;'Output annual'!$AD$2&amp;"*FangerPMV(Hourly)",'Eplus results'!$1:$1048576,ROW(),FALSE)</f>
        <v>0</v>
      </c>
      <c r="AD6968" s="580">
        <f t="shared" si="576"/>
        <v>5</v>
      </c>
      <c r="AE6968" s="580">
        <f t="shared" si="577"/>
        <v>2.5</v>
      </c>
      <c r="AF6968" s="580">
        <f t="shared" si="578"/>
        <v>2.5</v>
      </c>
      <c r="AG6968" s="580">
        <f t="shared" si="579"/>
        <v>0</v>
      </c>
      <c r="AH6968" s="580">
        <f t="shared" si="580"/>
        <v>0</v>
      </c>
    </row>
    <row r="6969" spans="28:34">
      <c r="AB6969" s="580">
        <f>HLOOKUP("*"&amp;'Output annual'!$AC$2&amp;'Output annual'!$AD$2&amp;"*Zone People Number Of Occupants [](Hourly)",'Eplus results'!$1:$1048576,ROW(),FALSE)</f>
        <v>0</v>
      </c>
      <c r="AC6969" s="580">
        <f>HLOOKUP("*"&amp;'Output annual'!$AC$2&amp;'Output annual'!$AD$2&amp;"*FangerPMV(Hourly)",'Eplus results'!$1:$1048576,ROW(),FALSE)</f>
        <v>0</v>
      </c>
      <c r="AD6969" s="580">
        <f t="shared" si="576"/>
        <v>5</v>
      </c>
      <c r="AE6969" s="580">
        <f t="shared" si="577"/>
        <v>2.5</v>
      </c>
      <c r="AF6969" s="580">
        <f t="shared" si="578"/>
        <v>2.5</v>
      </c>
      <c r="AG6969" s="580">
        <f t="shared" si="579"/>
        <v>0</v>
      </c>
      <c r="AH6969" s="580">
        <f t="shared" si="580"/>
        <v>0</v>
      </c>
    </row>
    <row r="6970" spans="28:34">
      <c r="AB6970" s="580">
        <f>HLOOKUP("*"&amp;'Output annual'!$AC$2&amp;'Output annual'!$AD$2&amp;"*Zone People Number Of Occupants [](Hourly)",'Eplus results'!$1:$1048576,ROW(),FALSE)</f>
        <v>0</v>
      </c>
      <c r="AC6970" s="580">
        <f>HLOOKUP("*"&amp;'Output annual'!$AC$2&amp;'Output annual'!$AD$2&amp;"*FangerPMV(Hourly)",'Eplus results'!$1:$1048576,ROW(),FALSE)</f>
        <v>0</v>
      </c>
      <c r="AD6970" s="580">
        <f t="shared" si="576"/>
        <v>5</v>
      </c>
      <c r="AE6970" s="580">
        <f t="shared" si="577"/>
        <v>2.5</v>
      </c>
      <c r="AF6970" s="580">
        <f t="shared" si="578"/>
        <v>2.5</v>
      </c>
      <c r="AG6970" s="580">
        <f t="shared" si="579"/>
        <v>0</v>
      </c>
      <c r="AH6970" s="580">
        <f t="shared" si="580"/>
        <v>0</v>
      </c>
    </row>
    <row r="6971" spans="28:34">
      <c r="AB6971" s="580">
        <f>HLOOKUP("*"&amp;'Output annual'!$AC$2&amp;'Output annual'!$AD$2&amp;"*Zone People Number Of Occupants [](Hourly)",'Eplus results'!$1:$1048576,ROW(),FALSE)</f>
        <v>0</v>
      </c>
      <c r="AC6971" s="580">
        <f>HLOOKUP("*"&amp;'Output annual'!$AC$2&amp;'Output annual'!$AD$2&amp;"*FangerPMV(Hourly)",'Eplus results'!$1:$1048576,ROW(),FALSE)</f>
        <v>0</v>
      </c>
      <c r="AD6971" s="580">
        <f t="shared" si="576"/>
        <v>5</v>
      </c>
      <c r="AE6971" s="580">
        <f t="shared" si="577"/>
        <v>2.5</v>
      </c>
      <c r="AF6971" s="580">
        <f t="shared" si="578"/>
        <v>2.5</v>
      </c>
      <c r="AG6971" s="580">
        <f t="shared" si="579"/>
        <v>0</v>
      </c>
      <c r="AH6971" s="580">
        <f t="shared" si="580"/>
        <v>0</v>
      </c>
    </row>
    <row r="6972" spans="28:34">
      <c r="AB6972" s="580">
        <f>HLOOKUP("*"&amp;'Output annual'!$AC$2&amp;'Output annual'!$AD$2&amp;"*Zone People Number Of Occupants [](Hourly)",'Eplus results'!$1:$1048576,ROW(),FALSE)</f>
        <v>0</v>
      </c>
      <c r="AC6972" s="580">
        <f>HLOOKUP("*"&amp;'Output annual'!$AC$2&amp;'Output annual'!$AD$2&amp;"*FangerPMV(Hourly)",'Eplus results'!$1:$1048576,ROW(),FALSE)</f>
        <v>0</v>
      </c>
      <c r="AD6972" s="580">
        <f t="shared" si="576"/>
        <v>5</v>
      </c>
      <c r="AE6972" s="580">
        <f t="shared" si="577"/>
        <v>2.5</v>
      </c>
      <c r="AF6972" s="580">
        <f t="shared" si="578"/>
        <v>2.5</v>
      </c>
      <c r="AG6972" s="580">
        <f t="shared" si="579"/>
        <v>0</v>
      </c>
      <c r="AH6972" s="580">
        <f t="shared" si="580"/>
        <v>0</v>
      </c>
    </row>
    <row r="6973" spans="28:34">
      <c r="AB6973" s="580">
        <f>HLOOKUP("*"&amp;'Output annual'!$AC$2&amp;'Output annual'!$AD$2&amp;"*Zone People Number Of Occupants [](Hourly)",'Eplus results'!$1:$1048576,ROW(),FALSE)</f>
        <v>0</v>
      </c>
      <c r="AC6973" s="580">
        <f>HLOOKUP("*"&amp;'Output annual'!$AC$2&amp;'Output annual'!$AD$2&amp;"*FangerPMV(Hourly)",'Eplus results'!$1:$1048576,ROW(),FALSE)</f>
        <v>0</v>
      </c>
      <c r="AD6973" s="580">
        <f t="shared" si="576"/>
        <v>5</v>
      </c>
      <c r="AE6973" s="580">
        <f t="shared" si="577"/>
        <v>2.5</v>
      </c>
      <c r="AF6973" s="580">
        <f t="shared" si="578"/>
        <v>2.5</v>
      </c>
      <c r="AG6973" s="580">
        <f t="shared" si="579"/>
        <v>0</v>
      </c>
      <c r="AH6973" s="580">
        <f t="shared" si="580"/>
        <v>0</v>
      </c>
    </row>
    <row r="6974" spans="28:34">
      <c r="AB6974" s="580">
        <f>HLOOKUP("*"&amp;'Output annual'!$AC$2&amp;'Output annual'!$AD$2&amp;"*Zone People Number Of Occupants [](Hourly)",'Eplus results'!$1:$1048576,ROW(),FALSE)</f>
        <v>0</v>
      </c>
      <c r="AC6974" s="580">
        <f>HLOOKUP("*"&amp;'Output annual'!$AC$2&amp;'Output annual'!$AD$2&amp;"*FangerPMV(Hourly)",'Eplus results'!$1:$1048576,ROW(),FALSE)</f>
        <v>0</v>
      </c>
      <c r="AD6974" s="580">
        <f t="shared" si="576"/>
        <v>5</v>
      </c>
      <c r="AE6974" s="580">
        <f t="shared" si="577"/>
        <v>2.5</v>
      </c>
      <c r="AF6974" s="580">
        <f t="shared" si="578"/>
        <v>2.5</v>
      </c>
      <c r="AG6974" s="580">
        <f t="shared" si="579"/>
        <v>0</v>
      </c>
      <c r="AH6974" s="580">
        <f t="shared" si="580"/>
        <v>0</v>
      </c>
    </row>
    <row r="6975" spans="28:34">
      <c r="AB6975" s="580">
        <f>HLOOKUP("*"&amp;'Output annual'!$AC$2&amp;'Output annual'!$AD$2&amp;"*Zone People Number Of Occupants [](Hourly)",'Eplus results'!$1:$1048576,ROW(),FALSE)</f>
        <v>0</v>
      </c>
      <c r="AC6975" s="580">
        <f>HLOOKUP("*"&amp;'Output annual'!$AC$2&amp;'Output annual'!$AD$2&amp;"*FangerPMV(Hourly)",'Eplus results'!$1:$1048576,ROW(),FALSE)</f>
        <v>0</v>
      </c>
      <c r="AD6975" s="580">
        <f t="shared" si="576"/>
        <v>5</v>
      </c>
      <c r="AE6975" s="580">
        <f t="shared" si="577"/>
        <v>2.5</v>
      </c>
      <c r="AF6975" s="580">
        <f t="shared" si="578"/>
        <v>2.5</v>
      </c>
      <c r="AG6975" s="580">
        <f t="shared" si="579"/>
        <v>0</v>
      </c>
      <c r="AH6975" s="580">
        <f t="shared" si="580"/>
        <v>0</v>
      </c>
    </row>
    <row r="6976" spans="28:34">
      <c r="AB6976" s="580">
        <f>HLOOKUP("*"&amp;'Output annual'!$AC$2&amp;'Output annual'!$AD$2&amp;"*Zone People Number Of Occupants [](Hourly)",'Eplus results'!$1:$1048576,ROW(),FALSE)</f>
        <v>0</v>
      </c>
      <c r="AC6976" s="580">
        <f>HLOOKUP("*"&amp;'Output annual'!$AC$2&amp;'Output annual'!$AD$2&amp;"*FangerPMV(Hourly)",'Eplus results'!$1:$1048576,ROW(),FALSE)</f>
        <v>0</v>
      </c>
      <c r="AD6976" s="580">
        <f t="shared" si="576"/>
        <v>5</v>
      </c>
      <c r="AE6976" s="580">
        <f t="shared" si="577"/>
        <v>2.5</v>
      </c>
      <c r="AF6976" s="580">
        <f t="shared" si="578"/>
        <v>2.5</v>
      </c>
      <c r="AG6976" s="580">
        <f t="shared" si="579"/>
        <v>0</v>
      </c>
      <c r="AH6976" s="580">
        <f t="shared" si="580"/>
        <v>0</v>
      </c>
    </row>
    <row r="6977" spans="28:34">
      <c r="AB6977" s="580">
        <f>HLOOKUP("*"&amp;'Output annual'!$AC$2&amp;'Output annual'!$AD$2&amp;"*Zone People Number Of Occupants [](Hourly)",'Eplus results'!$1:$1048576,ROW(),FALSE)</f>
        <v>0</v>
      </c>
      <c r="AC6977" s="580">
        <f>HLOOKUP("*"&amp;'Output annual'!$AC$2&amp;'Output annual'!$AD$2&amp;"*FangerPMV(Hourly)",'Eplus results'!$1:$1048576,ROW(),FALSE)</f>
        <v>0</v>
      </c>
      <c r="AD6977" s="580">
        <f t="shared" si="576"/>
        <v>5</v>
      </c>
      <c r="AE6977" s="580">
        <f t="shared" si="577"/>
        <v>2.5</v>
      </c>
      <c r="AF6977" s="580">
        <f t="shared" si="578"/>
        <v>2.5</v>
      </c>
      <c r="AG6977" s="580">
        <f t="shared" si="579"/>
        <v>0</v>
      </c>
      <c r="AH6977" s="580">
        <f t="shared" si="580"/>
        <v>0</v>
      </c>
    </row>
    <row r="6978" spans="28:34">
      <c r="AB6978" s="580">
        <f>HLOOKUP("*"&amp;'Output annual'!$AC$2&amp;'Output annual'!$AD$2&amp;"*Zone People Number Of Occupants [](Hourly)",'Eplus results'!$1:$1048576,ROW(),FALSE)</f>
        <v>0</v>
      </c>
      <c r="AC6978" s="580">
        <f>HLOOKUP("*"&amp;'Output annual'!$AC$2&amp;'Output annual'!$AD$2&amp;"*FangerPMV(Hourly)",'Eplus results'!$1:$1048576,ROW(),FALSE)</f>
        <v>0</v>
      </c>
      <c r="AD6978" s="580">
        <f t="shared" si="576"/>
        <v>5</v>
      </c>
      <c r="AE6978" s="580">
        <f t="shared" si="577"/>
        <v>2.5</v>
      </c>
      <c r="AF6978" s="580">
        <f t="shared" si="578"/>
        <v>2.5</v>
      </c>
      <c r="AG6978" s="580">
        <f t="shared" si="579"/>
        <v>0</v>
      </c>
      <c r="AH6978" s="580">
        <f t="shared" si="580"/>
        <v>0</v>
      </c>
    </row>
    <row r="6979" spans="28:34">
      <c r="AB6979" s="580">
        <f>HLOOKUP("*"&amp;'Output annual'!$AC$2&amp;'Output annual'!$AD$2&amp;"*Zone People Number Of Occupants [](Hourly)",'Eplus results'!$1:$1048576,ROW(),FALSE)</f>
        <v>0</v>
      </c>
      <c r="AC6979" s="580">
        <f>HLOOKUP("*"&amp;'Output annual'!$AC$2&amp;'Output annual'!$AD$2&amp;"*FangerPMV(Hourly)",'Eplus results'!$1:$1048576,ROW(),FALSE)</f>
        <v>0</v>
      </c>
      <c r="AD6979" s="580">
        <f t="shared" ref="AD6979:AD7042" si="581">100-95*EXP(-0.03353*AC6979^4-0.2179*AC6979^2)</f>
        <v>5</v>
      </c>
      <c r="AE6979" s="580">
        <f t="shared" ref="AE6979:AE7042" si="582">AD6979*(1/(1+EXP(-6.3*$AC6979)))</f>
        <v>2.5</v>
      </c>
      <c r="AF6979" s="580">
        <f t="shared" ref="AF6979:AF7042" si="583">(AD6979-AE6979)</f>
        <v>2.5</v>
      </c>
      <c r="AG6979" s="580">
        <f t="shared" ref="AG6979:AG7042" si="584">AE6979*AB6979</f>
        <v>0</v>
      </c>
      <c r="AH6979" s="580">
        <f t="shared" ref="AH6979:AH7042" si="585">AF6979*AB6979</f>
        <v>0</v>
      </c>
    </row>
    <row r="6980" spans="28:34">
      <c r="AB6980" s="580">
        <f>HLOOKUP("*"&amp;'Output annual'!$AC$2&amp;'Output annual'!$AD$2&amp;"*Zone People Number Of Occupants [](Hourly)",'Eplus results'!$1:$1048576,ROW(),FALSE)</f>
        <v>0</v>
      </c>
      <c r="AC6980" s="580">
        <f>HLOOKUP("*"&amp;'Output annual'!$AC$2&amp;'Output annual'!$AD$2&amp;"*FangerPMV(Hourly)",'Eplus results'!$1:$1048576,ROW(),FALSE)</f>
        <v>0</v>
      </c>
      <c r="AD6980" s="580">
        <f t="shared" si="581"/>
        <v>5</v>
      </c>
      <c r="AE6980" s="580">
        <f t="shared" si="582"/>
        <v>2.5</v>
      </c>
      <c r="AF6980" s="580">
        <f t="shared" si="583"/>
        <v>2.5</v>
      </c>
      <c r="AG6980" s="580">
        <f t="shared" si="584"/>
        <v>0</v>
      </c>
      <c r="AH6980" s="580">
        <f t="shared" si="585"/>
        <v>0</v>
      </c>
    </row>
    <row r="6981" spans="28:34">
      <c r="AB6981" s="580">
        <f>HLOOKUP("*"&amp;'Output annual'!$AC$2&amp;'Output annual'!$AD$2&amp;"*Zone People Number Of Occupants [](Hourly)",'Eplus results'!$1:$1048576,ROW(),FALSE)</f>
        <v>0</v>
      </c>
      <c r="AC6981" s="580">
        <f>HLOOKUP("*"&amp;'Output annual'!$AC$2&amp;'Output annual'!$AD$2&amp;"*FangerPMV(Hourly)",'Eplus results'!$1:$1048576,ROW(),FALSE)</f>
        <v>0</v>
      </c>
      <c r="AD6981" s="580">
        <f t="shared" si="581"/>
        <v>5</v>
      </c>
      <c r="AE6981" s="580">
        <f t="shared" si="582"/>
        <v>2.5</v>
      </c>
      <c r="AF6981" s="580">
        <f t="shared" si="583"/>
        <v>2.5</v>
      </c>
      <c r="AG6981" s="580">
        <f t="shared" si="584"/>
        <v>0</v>
      </c>
      <c r="AH6981" s="580">
        <f t="shared" si="585"/>
        <v>0</v>
      </c>
    </row>
    <row r="6982" spans="28:34">
      <c r="AB6982" s="580">
        <f>HLOOKUP("*"&amp;'Output annual'!$AC$2&amp;'Output annual'!$AD$2&amp;"*Zone People Number Of Occupants [](Hourly)",'Eplus results'!$1:$1048576,ROW(),FALSE)</f>
        <v>0</v>
      </c>
      <c r="AC6982" s="580">
        <f>HLOOKUP("*"&amp;'Output annual'!$AC$2&amp;'Output annual'!$AD$2&amp;"*FangerPMV(Hourly)",'Eplus results'!$1:$1048576,ROW(),FALSE)</f>
        <v>0</v>
      </c>
      <c r="AD6982" s="580">
        <f t="shared" si="581"/>
        <v>5</v>
      </c>
      <c r="AE6982" s="580">
        <f t="shared" si="582"/>
        <v>2.5</v>
      </c>
      <c r="AF6982" s="580">
        <f t="shared" si="583"/>
        <v>2.5</v>
      </c>
      <c r="AG6982" s="580">
        <f t="shared" si="584"/>
        <v>0</v>
      </c>
      <c r="AH6982" s="580">
        <f t="shared" si="585"/>
        <v>0</v>
      </c>
    </row>
    <row r="6983" spans="28:34">
      <c r="AB6983" s="580">
        <f>HLOOKUP("*"&amp;'Output annual'!$AC$2&amp;'Output annual'!$AD$2&amp;"*Zone People Number Of Occupants [](Hourly)",'Eplus results'!$1:$1048576,ROW(),FALSE)</f>
        <v>0</v>
      </c>
      <c r="AC6983" s="580">
        <f>HLOOKUP("*"&amp;'Output annual'!$AC$2&amp;'Output annual'!$AD$2&amp;"*FangerPMV(Hourly)",'Eplus results'!$1:$1048576,ROW(),FALSE)</f>
        <v>0</v>
      </c>
      <c r="AD6983" s="580">
        <f t="shared" si="581"/>
        <v>5</v>
      </c>
      <c r="AE6983" s="580">
        <f t="shared" si="582"/>
        <v>2.5</v>
      </c>
      <c r="AF6983" s="580">
        <f t="shared" si="583"/>
        <v>2.5</v>
      </c>
      <c r="AG6983" s="580">
        <f t="shared" si="584"/>
        <v>0</v>
      </c>
      <c r="AH6983" s="580">
        <f t="shared" si="585"/>
        <v>0</v>
      </c>
    </row>
    <row r="6984" spans="28:34">
      <c r="AB6984" s="580">
        <f>HLOOKUP("*"&amp;'Output annual'!$AC$2&amp;'Output annual'!$AD$2&amp;"*Zone People Number Of Occupants [](Hourly)",'Eplus results'!$1:$1048576,ROW(),FALSE)</f>
        <v>0</v>
      </c>
      <c r="AC6984" s="580">
        <f>HLOOKUP("*"&amp;'Output annual'!$AC$2&amp;'Output annual'!$AD$2&amp;"*FangerPMV(Hourly)",'Eplus results'!$1:$1048576,ROW(),FALSE)</f>
        <v>0</v>
      </c>
      <c r="AD6984" s="580">
        <f t="shared" si="581"/>
        <v>5</v>
      </c>
      <c r="AE6984" s="580">
        <f t="shared" si="582"/>
        <v>2.5</v>
      </c>
      <c r="AF6984" s="580">
        <f t="shared" si="583"/>
        <v>2.5</v>
      </c>
      <c r="AG6984" s="580">
        <f t="shared" si="584"/>
        <v>0</v>
      </c>
      <c r="AH6984" s="580">
        <f t="shared" si="585"/>
        <v>0</v>
      </c>
    </row>
    <row r="6985" spans="28:34">
      <c r="AB6985" s="580">
        <f>HLOOKUP("*"&amp;'Output annual'!$AC$2&amp;'Output annual'!$AD$2&amp;"*Zone People Number Of Occupants [](Hourly)",'Eplus results'!$1:$1048576,ROW(),FALSE)</f>
        <v>0</v>
      </c>
      <c r="AC6985" s="580">
        <f>HLOOKUP("*"&amp;'Output annual'!$AC$2&amp;'Output annual'!$AD$2&amp;"*FangerPMV(Hourly)",'Eplus results'!$1:$1048576,ROW(),FALSE)</f>
        <v>0</v>
      </c>
      <c r="AD6985" s="580">
        <f t="shared" si="581"/>
        <v>5</v>
      </c>
      <c r="AE6985" s="580">
        <f t="shared" si="582"/>
        <v>2.5</v>
      </c>
      <c r="AF6985" s="580">
        <f t="shared" si="583"/>
        <v>2.5</v>
      </c>
      <c r="AG6985" s="580">
        <f t="shared" si="584"/>
        <v>0</v>
      </c>
      <c r="AH6985" s="580">
        <f t="shared" si="585"/>
        <v>0</v>
      </c>
    </row>
    <row r="6986" spans="28:34">
      <c r="AB6986" s="580">
        <f>HLOOKUP("*"&amp;'Output annual'!$AC$2&amp;'Output annual'!$AD$2&amp;"*Zone People Number Of Occupants [](Hourly)",'Eplus results'!$1:$1048576,ROW(),FALSE)</f>
        <v>0</v>
      </c>
      <c r="AC6986" s="580">
        <f>HLOOKUP("*"&amp;'Output annual'!$AC$2&amp;'Output annual'!$AD$2&amp;"*FangerPMV(Hourly)",'Eplus results'!$1:$1048576,ROW(),FALSE)</f>
        <v>0</v>
      </c>
      <c r="AD6986" s="580">
        <f t="shared" si="581"/>
        <v>5</v>
      </c>
      <c r="AE6986" s="580">
        <f t="shared" si="582"/>
        <v>2.5</v>
      </c>
      <c r="AF6986" s="580">
        <f t="shared" si="583"/>
        <v>2.5</v>
      </c>
      <c r="AG6986" s="580">
        <f t="shared" si="584"/>
        <v>0</v>
      </c>
      <c r="AH6986" s="580">
        <f t="shared" si="585"/>
        <v>0</v>
      </c>
    </row>
    <row r="6987" spans="28:34">
      <c r="AB6987" s="580">
        <f>HLOOKUP("*"&amp;'Output annual'!$AC$2&amp;'Output annual'!$AD$2&amp;"*Zone People Number Of Occupants [](Hourly)",'Eplus results'!$1:$1048576,ROW(),FALSE)</f>
        <v>0</v>
      </c>
      <c r="AC6987" s="580">
        <f>HLOOKUP("*"&amp;'Output annual'!$AC$2&amp;'Output annual'!$AD$2&amp;"*FangerPMV(Hourly)",'Eplus results'!$1:$1048576,ROW(),FALSE)</f>
        <v>0</v>
      </c>
      <c r="AD6987" s="580">
        <f t="shared" si="581"/>
        <v>5</v>
      </c>
      <c r="AE6987" s="580">
        <f t="shared" si="582"/>
        <v>2.5</v>
      </c>
      <c r="AF6987" s="580">
        <f t="shared" si="583"/>
        <v>2.5</v>
      </c>
      <c r="AG6987" s="580">
        <f t="shared" si="584"/>
        <v>0</v>
      </c>
      <c r="AH6987" s="580">
        <f t="shared" si="585"/>
        <v>0</v>
      </c>
    </row>
    <row r="6988" spans="28:34">
      <c r="AB6988" s="580">
        <f>HLOOKUP("*"&amp;'Output annual'!$AC$2&amp;'Output annual'!$AD$2&amp;"*Zone People Number Of Occupants [](Hourly)",'Eplus results'!$1:$1048576,ROW(),FALSE)</f>
        <v>0</v>
      </c>
      <c r="AC6988" s="580">
        <f>HLOOKUP("*"&amp;'Output annual'!$AC$2&amp;'Output annual'!$AD$2&amp;"*FangerPMV(Hourly)",'Eplus results'!$1:$1048576,ROW(),FALSE)</f>
        <v>0</v>
      </c>
      <c r="AD6988" s="580">
        <f t="shared" si="581"/>
        <v>5</v>
      </c>
      <c r="AE6988" s="580">
        <f t="shared" si="582"/>
        <v>2.5</v>
      </c>
      <c r="AF6988" s="580">
        <f t="shared" si="583"/>
        <v>2.5</v>
      </c>
      <c r="AG6988" s="580">
        <f t="shared" si="584"/>
        <v>0</v>
      </c>
      <c r="AH6988" s="580">
        <f t="shared" si="585"/>
        <v>0</v>
      </c>
    </row>
    <row r="6989" spans="28:34">
      <c r="AB6989" s="580">
        <f>HLOOKUP("*"&amp;'Output annual'!$AC$2&amp;'Output annual'!$AD$2&amp;"*Zone People Number Of Occupants [](Hourly)",'Eplus results'!$1:$1048576,ROW(),FALSE)</f>
        <v>0</v>
      </c>
      <c r="AC6989" s="580">
        <f>HLOOKUP("*"&amp;'Output annual'!$AC$2&amp;'Output annual'!$AD$2&amp;"*FangerPMV(Hourly)",'Eplus results'!$1:$1048576,ROW(),FALSE)</f>
        <v>0</v>
      </c>
      <c r="AD6989" s="580">
        <f t="shared" si="581"/>
        <v>5</v>
      </c>
      <c r="AE6989" s="580">
        <f t="shared" si="582"/>
        <v>2.5</v>
      </c>
      <c r="AF6989" s="580">
        <f t="shared" si="583"/>
        <v>2.5</v>
      </c>
      <c r="AG6989" s="580">
        <f t="shared" si="584"/>
        <v>0</v>
      </c>
      <c r="AH6989" s="580">
        <f t="shared" si="585"/>
        <v>0</v>
      </c>
    </row>
    <row r="6990" spans="28:34">
      <c r="AB6990" s="580">
        <f>HLOOKUP("*"&amp;'Output annual'!$AC$2&amp;'Output annual'!$AD$2&amp;"*Zone People Number Of Occupants [](Hourly)",'Eplus results'!$1:$1048576,ROW(),FALSE)</f>
        <v>0</v>
      </c>
      <c r="AC6990" s="580">
        <f>HLOOKUP("*"&amp;'Output annual'!$AC$2&amp;'Output annual'!$AD$2&amp;"*FangerPMV(Hourly)",'Eplus results'!$1:$1048576,ROW(),FALSE)</f>
        <v>0</v>
      </c>
      <c r="AD6990" s="580">
        <f t="shared" si="581"/>
        <v>5</v>
      </c>
      <c r="AE6990" s="580">
        <f t="shared" si="582"/>
        <v>2.5</v>
      </c>
      <c r="AF6990" s="580">
        <f t="shared" si="583"/>
        <v>2.5</v>
      </c>
      <c r="AG6990" s="580">
        <f t="shared" si="584"/>
        <v>0</v>
      </c>
      <c r="AH6990" s="580">
        <f t="shared" si="585"/>
        <v>0</v>
      </c>
    </row>
    <row r="6991" spans="28:34">
      <c r="AB6991" s="580">
        <f>HLOOKUP("*"&amp;'Output annual'!$AC$2&amp;'Output annual'!$AD$2&amp;"*Zone People Number Of Occupants [](Hourly)",'Eplus results'!$1:$1048576,ROW(),FALSE)</f>
        <v>0</v>
      </c>
      <c r="AC6991" s="580">
        <f>HLOOKUP("*"&amp;'Output annual'!$AC$2&amp;'Output annual'!$AD$2&amp;"*FangerPMV(Hourly)",'Eplus results'!$1:$1048576,ROW(),FALSE)</f>
        <v>0</v>
      </c>
      <c r="AD6991" s="580">
        <f t="shared" si="581"/>
        <v>5</v>
      </c>
      <c r="AE6991" s="580">
        <f t="shared" si="582"/>
        <v>2.5</v>
      </c>
      <c r="AF6991" s="580">
        <f t="shared" si="583"/>
        <v>2.5</v>
      </c>
      <c r="AG6991" s="580">
        <f t="shared" si="584"/>
        <v>0</v>
      </c>
      <c r="AH6991" s="580">
        <f t="shared" si="585"/>
        <v>0</v>
      </c>
    </row>
    <row r="6992" spans="28:34">
      <c r="AB6992" s="580">
        <f>HLOOKUP("*"&amp;'Output annual'!$AC$2&amp;'Output annual'!$AD$2&amp;"*Zone People Number Of Occupants [](Hourly)",'Eplus results'!$1:$1048576,ROW(),FALSE)</f>
        <v>0</v>
      </c>
      <c r="AC6992" s="580">
        <f>HLOOKUP("*"&amp;'Output annual'!$AC$2&amp;'Output annual'!$AD$2&amp;"*FangerPMV(Hourly)",'Eplus results'!$1:$1048576,ROW(),FALSE)</f>
        <v>0</v>
      </c>
      <c r="AD6992" s="580">
        <f t="shared" si="581"/>
        <v>5</v>
      </c>
      <c r="AE6992" s="580">
        <f t="shared" si="582"/>
        <v>2.5</v>
      </c>
      <c r="AF6992" s="580">
        <f t="shared" si="583"/>
        <v>2.5</v>
      </c>
      <c r="AG6992" s="580">
        <f t="shared" si="584"/>
        <v>0</v>
      </c>
      <c r="AH6992" s="580">
        <f t="shared" si="585"/>
        <v>0</v>
      </c>
    </row>
    <row r="6993" spans="28:34">
      <c r="AB6993" s="580">
        <f>HLOOKUP("*"&amp;'Output annual'!$AC$2&amp;'Output annual'!$AD$2&amp;"*Zone People Number Of Occupants [](Hourly)",'Eplus results'!$1:$1048576,ROW(),FALSE)</f>
        <v>0</v>
      </c>
      <c r="AC6993" s="580">
        <f>HLOOKUP("*"&amp;'Output annual'!$AC$2&amp;'Output annual'!$AD$2&amp;"*FangerPMV(Hourly)",'Eplus results'!$1:$1048576,ROW(),FALSE)</f>
        <v>0</v>
      </c>
      <c r="AD6993" s="580">
        <f t="shared" si="581"/>
        <v>5</v>
      </c>
      <c r="AE6993" s="580">
        <f t="shared" si="582"/>
        <v>2.5</v>
      </c>
      <c r="AF6993" s="580">
        <f t="shared" si="583"/>
        <v>2.5</v>
      </c>
      <c r="AG6993" s="580">
        <f t="shared" si="584"/>
        <v>0</v>
      </c>
      <c r="AH6993" s="580">
        <f t="shared" si="585"/>
        <v>0</v>
      </c>
    </row>
    <row r="6994" spans="28:34">
      <c r="AB6994" s="580">
        <f>HLOOKUP("*"&amp;'Output annual'!$AC$2&amp;'Output annual'!$AD$2&amp;"*Zone People Number Of Occupants [](Hourly)",'Eplus results'!$1:$1048576,ROW(),FALSE)</f>
        <v>0</v>
      </c>
      <c r="AC6994" s="580">
        <f>HLOOKUP("*"&amp;'Output annual'!$AC$2&amp;'Output annual'!$AD$2&amp;"*FangerPMV(Hourly)",'Eplus results'!$1:$1048576,ROW(),FALSE)</f>
        <v>0</v>
      </c>
      <c r="AD6994" s="580">
        <f t="shared" si="581"/>
        <v>5</v>
      </c>
      <c r="AE6994" s="580">
        <f t="shared" si="582"/>
        <v>2.5</v>
      </c>
      <c r="AF6994" s="580">
        <f t="shared" si="583"/>
        <v>2.5</v>
      </c>
      <c r="AG6994" s="580">
        <f t="shared" si="584"/>
        <v>0</v>
      </c>
      <c r="AH6994" s="580">
        <f t="shared" si="585"/>
        <v>0</v>
      </c>
    </row>
    <row r="6995" spans="28:34">
      <c r="AB6995" s="580">
        <f>HLOOKUP("*"&amp;'Output annual'!$AC$2&amp;'Output annual'!$AD$2&amp;"*Zone People Number Of Occupants [](Hourly)",'Eplus results'!$1:$1048576,ROW(),FALSE)</f>
        <v>0</v>
      </c>
      <c r="AC6995" s="580">
        <f>HLOOKUP("*"&amp;'Output annual'!$AC$2&amp;'Output annual'!$AD$2&amp;"*FangerPMV(Hourly)",'Eplus results'!$1:$1048576,ROW(),FALSE)</f>
        <v>0</v>
      </c>
      <c r="AD6995" s="580">
        <f t="shared" si="581"/>
        <v>5</v>
      </c>
      <c r="AE6995" s="580">
        <f t="shared" si="582"/>
        <v>2.5</v>
      </c>
      <c r="AF6995" s="580">
        <f t="shared" si="583"/>
        <v>2.5</v>
      </c>
      <c r="AG6995" s="580">
        <f t="shared" si="584"/>
        <v>0</v>
      </c>
      <c r="AH6995" s="580">
        <f t="shared" si="585"/>
        <v>0</v>
      </c>
    </row>
    <row r="6996" spans="28:34">
      <c r="AB6996" s="580">
        <f>HLOOKUP("*"&amp;'Output annual'!$AC$2&amp;'Output annual'!$AD$2&amp;"*Zone People Number Of Occupants [](Hourly)",'Eplus results'!$1:$1048576,ROW(),FALSE)</f>
        <v>0</v>
      </c>
      <c r="AC6996" s="580">
        <f>HLOOKUP("*"&amp;'Output annual'!$AC$2&amp;'Output annual'!$AD$2&amp;"*FangerPMV(Hourly)",'Eplus results'!$1:$1048576,ROW(),FALSE)</f>
        <v>0</v>
      </c>
      <c r="AD6996" s="580">
        <f t="shared" si="581"/>
        <v>5</v>
      </c>
      <c r="AE6996" s="580">
        <f t="shared" si="582"/>
        <v>2.5</v>
      </c>
      <c r="AF6996" s="580">
        <f t="shared" si="583"/>
        <v>2.5</v>
      </c>
      <c r="AG6996" s="580">
        <f t="shared" si="584"/>
        <v>0</v>
      </c>
      <c r="AH6996" s="580">
        <f t="shared" si="585"/>
        <v>0</v>
      </c>
    </row>
    <row r="6997" spans="28:34">
      <c r="AB6997" s="580">
        <f>HLOOKUP("*"&amp;'Output annual'!$AC$2&amp;'Output annual'!$AD$2&amp;"*Zone People Number Of Occupants [](Hourly)",'Eplus results'!$1:$1048576,ROW(),FALSE)</f>
        <v>0</v>
      </c>
      <c r="AC6997" s="580">
        <f>HLOOKUP("*"&amp;'Output annual'!$AC$2&amp;'Output annual'!$AD$2&amp;"*FangerPMV(Hourly)",'Eplus results'!$1:$1048576,ROW(),FALSE)</f>
        <v>0</v>
      </c>
      <c r="AD6997" s="580">
        <f t="shared" si="581"/>
        <v>5</v>
      </c>
      <c r="AE6997" s="580">
        <f t="shared" si="582"/>
        <v>2.5</v>
      </c>
      <c r="AF6997" s="580">
        <f t="shared" si="583"/>
        <v>2.5</v>
      </c>
      <c r="AG6997" s="580">
        <f t="shared" si="584"/>
        <v>0</v>
      </c>
      <c r="AH6997" s="580">
        <f t="shared" si="585"/>
        <v>0</v>
      </c>
    </row>
    <row r="6998" spans="28:34">
      <c r="AB6998" s="580">
        <f>HLOOKUP("*"&amp;'Output annual'!$AC$2&amp;'Output annual'!$AD$2&amp;"*Zone People Number Of Occupants [](Hourly)",'Eplus results'!$1:$1048576,ROW(),FALSE)</f>
        <v>0</v>
      </c>
      <c r="AC6998" s="580">
        <f>HLOOKUP("*"&amp;'Output annual'!$AC$2&amp;'Output annual'!$AD$2&amp;"*FangerPMV(Hourly)",'Eplus results'!$1:$1048576,ROW(),FALSE)</f>
        <v>0</v>
      </c>
      <c r="AD6998" s="580">
        <f t="shared" si="581"/>
        <v>5</v>
      </c>
      <c r="AE6998" s="580">
        <f t="shared" si="582"/>
        <v>2.5</v>
      </c>
      <c r="AF6998" s="580">
        <f t="shared" si="583"/>
        <v>2.5</v>
      </c>
      <c r="AG6998" s="580">
        <f t="shared" si="584"/>
        <v>0</v>
      </c>
      <c r="AH6998" s="580">
        <f t="shared" si="585"/>
        <v>0</v>
      </c>
    </row>
    <row r="6999" spans="28:34">
      <c r="AB6999" s="580">
        <f>HLOOKUP("*"&amp;'Output annual'!$AC$2&amp;'Output annual'!$AD$2&amp;"*Zone People Number Of Occupants [](Hourly)",'Eplus results'!$1:$1048576,ROW(),FALSE)</f>
        <v>0</v>
      </c>
      <c r="AC6999" s="580">
        <f>HLOOKUP("*"&amp;'Output annual'!$AC$2&amp;'Output annual'!$AD$2&amp;"*FangerPMV(Hourly)",'Eplus results'!$1:$1048576,ROW(),FALSE)</f>
        <v>0</v>
      </c>
      <c r="AD6999" s="580">
        <f t="shared" si="581"/>
        <v>5</v>
      </c>
      <c r="AE6999" s="580">
        <f t="shared" si="582"/>
        <v>2.5</v>
      </c>
      <c r="AF6999" s="580">
        <f t="shared" si="583"/>
        <v>2.5</v>
      </c>
      <c r="AG6999" s="580">
        <f t="shared" si="584"/>
        <v>0</v>
      </c>
      <c r="AH6999" s="580">
        <f t="shared" si="585"/>
        <v>0</v>
      </c>
    </row>
    <row r="7000" spans="28:34">
      <c r="AB7000" s="580">
        <f>HLOOKUP("*"&amp;'Output annual'!$AC$2&amp;'Output annual'!$AD$2&amp;"*Zone People Number Of Occupants [](Hourly)",'Eplus results'!$1:$1048576,ROW(),FALSE)</f>
        <v>0</v>
      </c>
      <c r="AC7000" s="580">
        <f>HLOOKUP("*"&amp;'Output annual'!$AC$2&amp;'Output annual'!$AD$2&amp;"*FangerPMV(Hourly)",'Eplus results'!$1:$1048576,ROW(),FALSE)</f>
        <v>0</v>
      </c>
      <c r="AD7000" s="580">
        <f t="shared" si="581"/>
        <v>5</v>
      </c>
      <c r="AE7000" s="580">
        <f t="shared" si="582"/>
        <v>2.5</v>
      </c>
      <c r="AF7000" s="580">
        <f t="shared" si="583"/>
        <v>2.5</v>
      </c>
      <c r="AG7000" s="580">
        <f t="shared" si="584"/>
        <v>0</v>
      </c>
      <c r="AH7000" s="580">
        <f t="shared" si="585"/>
        <v>0</v>
      </c>
    </row>
    <row r="7001" spans="28:34">
      <c r="AB7001" s="580">
        <f>HLOOKUP("*"&amp;'Output annual'!$AC$2&amp;'Output annual'!$AD$2&amp;"*Zone People Number Of Occupants [](Hourly)",'Eplus results'!$1:$1048576,ROW(),FALSE)</f>
        <v>0</v>
      </c>
      <c r="AC7001" s="580">
        <f>HLOOKUP("*"&amp;'Output annual'!$AC$2&amp;'Output annual'!$AD$2&amp;"*FangerPMV(Hourly)",'Eplus results'!$1:$1048576,ROW(),FALSE)</f>
        <v>0</v>
      </c>
      <c r="AD7001" s="580">
        <f t="shared" si="581"/>
        <v>5</v>
      </c>
      <c r="AE7001" s="580">
        <f t="shared" si="582"/>
        <v>2.5</v>
      </c>
      <c r="AF7001" s="580">
        <f t="shared" si="583"/>
        <v>2.5</v>
      </c>
      <c r="AG7001" s="580">
        <f t="shared" si="584"/>
        <v>0</v>
      </c>
      <c r="AH7001" s="580">
        <f t="shared" si="585"/>
        <v>0</v>
      </c>
    </row>
    <row r="7002" spans="28:34">
      <c r="AB7002" s="580">
        <f>HLOOKUP("*"&amp;'Output annual'!$AC$2&amp;'Output annual'!$AD$2&amp;"*Zone People Number Of Occupants [](Hourly)",'Eplus results'!$1:$1048576,ROW(),FALSE)</f>
        <v>0</v>
      </c>
      <c r="AC7002" s="580">
        <f>HLOOKUP("*"&amp;'Output annual'!$AC$2&amp;'Output annual'!$AD$2&amp;"*FangerPMV(Hourly)",'Eplus results'!$1:$1048576,ROW(),FALSE)</f>
        <v>0</v>
      </c>
      <c r="AD7002" s="580">
        <f t="shared" si="581"/>
        <v>5</v>
      </c>
      <c r="AE7002" s="580">
        <f t="shared" si="582"/>
        <v>2.5</v>
      </c>
      <c r="AF7002" s="580">
        <f t="shared" si="583"/>
        <v>2.5</v>
      </c>
      <c r="AG7002" s="580">
        <f t="shared" si="584"/>
        <v>0</v>
      </c>
      <c r="AH7002" s="580">
        <f t="shared" si="585"/>
        <v>0</v>
      </c>
    </row>
    <row r="7003" spans="28:34">
      <c r="AB7003" s="580">
        <f>HLOOKUP("*"&amp;'Output annual'!$AC$2&amp;'Output annual'!$AD$2&amp;"*Zone People Number Of Occupants [](Hourly)",'Eplus results'!$1:$1048576,ROW(),FALSE)</f>
        <v>0</v>
      </c>
      <c r="AC7003" s="580">
        <f>HLOOKUP("*"&amp;'Output annual'!$AC$2&amp;'Output annual'!$AD$2&amp;"*FangerPMV(Hourly)",'Eplus results'!$1:$1048576,ROW(),FALSE)</f>
        <v>0</v>
      </c>
      <c r="AD7003" s="580">
        <f t="shared" si="581"/>
        <v>5</v>
      </c>
      <c r="AE7003" s="580">
        <f t="shared" si="582"/>
        <v>2.5</v>
      </c>
      <c r="AF7003" s="580">
        <f t="shared" si="583"/>
        <v>2.5</v>
      </c>
      <c r="AG7003" s="580">
        <f t="shared" si="584"/>
        <v>0</v>
      </c>
      <c r="AH7003" s="580">
        <f t="shared" si="585"/>
        <v>0</v>
      </c>
    </row>
    <row r="7004" spans="28:34">
      <c r="AB7004" s="580">
        <f>HLOOKUP("*"&amp;'Output annual'!$AC$2&amp;'Output annual'!$AD$2&amp;"*Zone People Number Of Occupants [](Hourly)",'Eplus results'!$1:$1048576,ROW(),FALSE)</f>
        <v>0</v>
      </c>
      <c r="AC7004" s="580">
        <f>HLOOKUP("*"&amp;'Output annual'!$AC$2&amp;'Output annual'!$AD$2&amp;"*FangerPMV(Hourly)",'Eplus results'!$1:$1048576,ROW(),FALSE)</f>
        <v>0</v>
      </c>
      <c r="AD7004" s="580">
        <f t="shared" si="581"/>
        <v>5</v>
      </c>
      <c r="AE7004" s="580">
        <f t="shared" si="582"/>
        <v>2.5</v>
      </c>
      <c r="AF7004" s="580">
        <f t="shared" si="583"/>
        <v>2.5</v>
      </c>
      <c r="AG7004" s="580">
        <f t="shared" si="584"/>
        <v>0</v>
      </c>
      <c r="AH7004" s="580">
        <f t="shared" si="585"/>
        <v>0</v>
      </c>
    </row>
    <row r="7005" spans="28:34">
      <c r="AB7005" s="580">
        <f>HLOOKUP("*"&amp;'Output annual'!$AC$2&amp;'Output annual'!$AD$2&amp;"*Zone People Number Of Occupants [](Hourly)",'Eplus results'!$1:$1048576,ROW(),FALSE)</f>
        <v>0</v>
      </c>
      <c r="AC7005" s="580">
        <f>HLOOKUP("*"&amp;'Output annual'!$AC$2&amp;'Output annual'!$AD$2&amp;"*FangerPMV(Hourly)",'Eplus results'!$1:$1048576,ROW(),FALSE)</f>
        <v>0</v>
      </c>
      <c r="AD7005" s="580">
        <f t="shared" si="581"/>
        <v>5</v>
      </c>
      <c r="AE7005" s="580">
        <f t="shared" si="582"/>
        <v>2.5</v>
      </c>
      <c r="AF7005" s="580">
        <f t="shared" si="583"/>
        <v>2.5</v>
      </c>
      <c r="AG7005" s="580">
        <f t="shared" si="584"/>
        <v>0</v>
      </c>
      <c r="AH7005" s="580">
        <f t="shared" si="585"/>
        <v>0</v>
      </c>
    </row>
    <row r="7006" spans="28:34">
      <c r="AB7006" s="580">
        <f>HLOOKUP("*"&amp;'Output annual'!$AC$2&amp;'Output annual'!$AD$2&amp;"*Zone People Number Of Occupants [](Hourly)",'Eplus results'!$1:$1048576,ROW(),FALSE)</f>
        <v>0</v>
      </c>
      <c r="AC7006" s="580">
        <f>HLOOKUP("*"&amp;'Output annual'!$AC$2&amp;'Output annual'!$AD$2&amp;"*FangerPMV(Hourly)",'Eplus results'!$1:$1048576,ROW(),FALSE)</f>
        <v>0</v>
      </c>
      <c r="AD7006" s="580">
        <f t="shared" si="581"/>
        <v>5</v>
      </c>
      <c r="AE7006" s="580">
        <f t="shared" si="582"/>
        <v>2.5</v>
      </c>
      <c r="AF7006" s="580">
        <f t="shared" si="583"/>
        <v>2.5</v>
      </c>
      <c r="AG7006" s="580">
        <f t="shared" si="584"/>
        <v>0</v>
      </c>
      <c r="AH7006" s="580">
        <f t="shared" si="585"/>
        <v>0</v>
      </c>
    </row>
    <row r="7007" spans="28:34">
      <c r="AB7007" s="580">
        <f>HLOOKUP("*"&amp;'Output annual'!$AC$2&amp;'Output annual'!$AD$2&amp;"*Zone People Number Of Occupants [](Hourly)",'Eplus results'!$1:$1048576,ROW(),FALSE)</f>
        <v>0</v>
      </c>
      <c r="AC7007" s="580">
        <f>HLOOKUP("*"&amp;'Output annual'!$AC$2&amp;'Output annual'!$AD$2&amp;"*FangerPMV(Hourly)",'Eplus results'!$1:$1048576,ROW(),FALSE)</f>
        <v>0</v>
      </c>
      <c r="AD7007" s="580">
        <f t="shared" si="581"/>
        <v>5</v>
      </c>
      <c r="AE7007" s="580">
        <f t="shared" si="582"/>
        <v>2.5</v>
      </c>
      <c r="AF7007" s="580">
        <f t="shared" si="583"/>
        <v>2.5</v>
      </c>
      <c r="AG7007" s="580">
        <f t="shared" si="584"/>
        <v>0</v>
      </c>
      <c r="AH7007" s="580">
        <f t="shared" si="585"/>
        <v>0</v>
      </c>
    </row>
    <row r="7008" spans="28:34">
      <c r="AB7008" s="580">
        <f>HLOOKUP("*"&amp;'Output annual'!$AC$2&amp;'Output annual'!$AD$2&amp;"*Zone People Number Of Occupants [](Hourly)",'Eplus results'!$1:$1048576,ROW(),FALSE)</f>
        <v>0</v>
      </c>
      <c r="AC7008" s="580">
        <f>HLOOKUP("*"&amp;'Output annual'!$AC$2&amp;'Output annual'!$AD$2&amp;"*FangerPMV(Hourly)",'Eplus results'!$1:$1048576,ROW(),FALSE)</f>
        <v>0</v>
      </c>
      <c r="AD7008" s="580">
        <f t="shared" si="581"/>
        <v>5</v>
      </c>
      <c r="AE7008" s="580">
        <f t="shared" si="582"/>
        <v>2.5</v>
      </c>
      <c r="AF7008" s="580">
        <f t="shared" si="583"/>
        <v>2.5</v>
      </c>
      <c r="AG7008" s="580">
        <f t="shared" si="584"/>
        <v>0</v>
      </c>
      <c r="AH7008" s="580">
        <f t="shared" si="585"/>
        <v>0</v>
      </c>
    </row>
    <row r="7009" spans="28:34">
      <c r="AB7009" s="580">
        <f>HLOOKUP("*"&amp;'Output annual'!$AC$2&amp;'Output annual'!$AD$2&amp;"*Zone People Number Of Occupants [](Hourly)",'Eplus results'!$1:$1048576,ROW(),FALSE)</f>
        <v>0</v>
      </c>
      <c r="AC7009" s="580">
        <f>HLOOKUP("*"&amp;'Output annual'!$AC$2&amp;'Output annual'!$AD$2&amp;"*FangerPMV(Hourly)",'Eplus results'!$1:$1048576,ROW(),FALSE)</f>
        <v>0</v>
      </c>
      <c r="AD7009" s="580">
        <f t="shared" si="581"/>
        <v>5</v>
      </c>
      <c r="AE7009" s="580">
        <f t="shared" si="582"/>
        <v>2.5</v>
      </c>
      <c r="AF7009" s="580">
        <f t="shared" si="583"/>
        <v>2.5</v>
      </c>
      <c r="AG7009" s="580">
        <f t="shared" si="584"/>
        <v>0</v>
      </c>
      <c r="AH7009" s="580">
        <f t="shared" si="585"/>
        <v>0</v>
      </c>
    </row>
    <row r="7010" spans="28:34">
      <c r="AB7010" s="580">
        <f>HLOOKUP("*"&amp;'Output annual'!$AC$2&amp;'Output annual'!$AD$2&amp;"*Zone People Number Of Occupants [](Hourly)",'Eplus results'!$1:$1048576,ROW(),FALSE)</f>
        <v>0</v>
      </c>
      <c r="AC7010" s="580">
        <f>HLOOKUP("*"&amp;'Output annual'!$AC$2&amp;'Output annual'!$AD$2&amp;"*FangerPMV(Hourly)",'Eplus results'!$1:$1048576,ROW(),FALSE)</f>
        <v>0</v>
      </c>
      <c r="AD7010" s="580">
        <f t="shared" si="581"/>
        <v>5</v>
      </c>
      <c r="AE7010" s="580">
        <f t="shared" si="582"/>
        <v>2.5</v>
      </c>
      <c r="AF7010" s="580">
        <f t="shared" si="583"/>
        <v>2.5</v>
      </c>
      <c r="AG7010" s="580">
        <f t="shared" si="584"/>
        <v>0</v>
      </c>
      <c r="AH7010" s="580">
        <f t="shared" si="585"/>
        <v>0</v>
      </c>
    </row>
    <row r="7011" spans="28:34">
      <c r="AB7011" s="580">
        <f>HLOOKUP("*"&amp;'Output annual'!$AC$2&amp;'Output annual'!$AD$2&amp;"*Zone People Number Of Occupants [](Hourly)",'Eplus results'!$1:$1048576,ROW(),FALSE)</f>
        <v>0</v>
      </c>
      <c r="AC7011" s="580">
        <f>HLOOKUP("*"&amp;'Output annual'!$AC$2&amp;'Output annual'!$AD$2&amp;"*FangerPMV(Hourly)",'Eplus results'!$1:$1048576,ROW(),FALSE)</f>
        <v>0</v>
      </c>
      <c r="AD7011" s="580">
        <f t="shared" si="581"/>
        <v>5</v>
      </c>
      <c r="AE7011" s="580">
        <f t="shared" si="582"/>
        <v>2.5</v>
      </c>
      <c r="AF7011" s="580">
        <f t="shared" si="583"/>
        <v>2.5</v>
      </c>
      <c r="AG7011" s="580">
        <f t="shared" si="584"/>
        <v>0</v>
      </c>
      <c r="AH7011" s="580">
        <f t="shared" si="585"/>
        <v>0</v>
      </c>
    </row>
    <row r="7012" spans="28:34">
      <c r="AB7012" s="580">
        <f>HLOOKUP("*"&amp;'Output annual'!$AC$2&amp;'Output annual'!$AD$2&amp;"*Zone People Number Of Occupants [](Hourly)",'Eplus results'!$1:$1048576,ROW(),FALSE)</f>
        <v>0</v>
      </c>
      <c r="AC7012" s="580">
        <f>HLOOKUP("*"&amp;'Output annual'!$AC$2&amp;'Output annual'!$AD$2&amp;"*FangerPMV(Hourly)",'Eplus results'!$1:$1048576,ROW(),FALSE)</f>
        <v>0</v>
      </c>
      <c r="AD7012" s="580">
        <f t="shared" si="581"/>
        <v>5</v>
      </c>
      <c r="AE7012" s="580">
        <f t="shared" si="582"/>
        <v>2.5</v>
      </c>
      <c r="AF7012" s="580">
        <f t="shared" si="583"/>
        <v>2.5</v>
      </c>
      <c r="AG7012" s="580">
        <f t="shared" si="584"/>
        <v>0</v>
      </c>
      <c r="AH7012" s="580">
        <f t="shared" si="585"/>
        <v>0</v>
      </c>
    </row>
    <row r="7013" spans="28:34">
      <c r="AB7013" s="580">
        <f>HLOOKUP("*"&amp;'Output annual'!$AC$2&amp;'Output annual'!$AD$2&amp;"*Zone People Number Of Occupants [](Hourly)",'Eplus results'!$1:$1048576,ROW(),FALSE)</f>
        <v>0</v>
      </c>
      <c r="AC7013" s="580">
        <f>HLOOKUP("*"&amp;'Output annual'!$AC$2&amp;'Output annual'!$AD$2&amp;"*FangerPMV(Hourly)",'Eplus results'!$1:$1048576,ROW(),FALSE)</f>
        <v>0</v>
      </c>
      <c r="AD7013" s="580">
        <f t="shared" si="581"/>
        <v>5</v>
      </c>
      <c r="AE7013" s="580">
        <f t="shared" si="582"/>
        <v>2.5</v>
      </c>
      <c r="AF7013" s="580">
        <f t="shared" si="583"/>
        <v>2.5</v>
      </c>
      <c r="AG7013" s="580">
        <f t="shared" si="584"/>
        <v>0</v>
      </c>
      <c r="AH7013" s="580">
        <f t="shared" si="585"/>
        <v>0</v>
      </c>
    </row>
    <row r="7014" spans="28:34">
      <c r="AB7014" s="580">
        <f>HLOOKUP("*"&amp;'Output annual'!$AC$2&amp;'Output annual'!$AD$2&amp;"*Zone People Number Of Occupants [](Hourly)",'Eplus results'!$1:$1048576,ROW(),FALSE)</f>
        <v>0</v>
      </c>
      <c r="AC7014" s="580">
        <f>HLOOKUP("*"&amp;'Output annual'!$AC$2&amp;'Output annual'!$AD$2&amp;"*FangerPMV(Hourly)",'Eplus results'!$1:$1048576,ROW(),FALSE)</f>
        <v>0</v>
      </c>
      <c r="AD7014" s="580">
        <f t="shared" si="581"/>
        <v>5</v>
      </c>
      <c r="AE7014" s="580">
        <f t="shared" si="582"/>
        <v>2.5</v>
      </c>
      <c r="AF7014" s="580">
        <f t="shared" si="583"/>
        <v>2.5</v>
      </c>
      <c r="AG7014" s="580">
        <f t="shared" si="584"/>
        <v>0</v>
      </c>
      <c r="AH7014" s="580">
        <f t="shared" si="585"/>
        <v>0</v>
      </c>
    </row>
    <row r="7015" spans="28:34">
      <c r="AB7015" s="580">
        <f>HLOOKUP("*"&amp;'Output annual'!$AC$2&amp;'Output annual'!$AD$2&amp;"*Zone People Number Of Occupants [](Hourly)",'Eplus results'!$1:$1048576,ROW(),FALSE)</f>
        <v>0</v>
      </c>
      <c r="AC7015" s="580">
        <f>HLOOKUP("*"&amp;'Output annual'!$AC$2&amp;'Output annual'!$AD$2&amp;"*FangerPMV(Hourly)",'Eplus results'!$1:$1048576,ROW(),FALSE)</f>
        <v>0</v>
      </c>
      <c r="AD7015" s="580">
        <f t="shared" si="581"/>
        <v>5</v>
      </c>
      <c r="AE7015" s="580">
        <f t="shared" si="582"/>
        <v>2.5</v>
      </c>
      <c r="AF7015" s="580">
        <f t="shared" si="583"/>
        <v>2.5</v>
      </c>
      <c r="AG7015" s="580">
        <f t="shared" si="584"/>
        <v>0</v>
      </c>
      <c r="AH7015" s="580">
        <f t="shared" si="585"/>
        <v>0</v>
      </c>
    </row>
    <row r="7016" spans="28:34">
      <c r="AB7016" s="580">
        <f>HLOOKUP("*"&amp;'Output annual'!$AC$2&amp;'Output annual'!$AD$2&amp;"*Zone People Number Of Occupants [](Hourly)",'Eplus results'!$1:$1048576,ROW(),FALSE)</f>
        <v>0</v>
      </c>
      <c r="AC7016" s="580">
        <f>HLOOKUP("*"&amp;'Output annual'!$AC$2&amp;'Output annual'!$AD$2&amp;"*FangerPMV(Hourly)",'Eplus results'!$1:$1048576,ROW(),FALSE)</f>
        <v>0</v>
      </c>
      <c r="AD7016" s="580">
        <f t="shared" si="581"/>
        <v>5</v>
      </c>
      <c r="AE7016" s="580">
        <f t="shared" si="582"/>
        <v>2.5</v>
      </c>
      <c r="AF7016" s="580">
        <f t="shared" si="583"/>
        <v>2.5</v>
      </c>
      <c r="AG7016" s="580">
        <f t="shared" si="584"/>
        <v>0</v>
      </c>
      <c r="AH7016" s="580">
        <f t="shared" si="585"/>
        <v>0</v>
      </c>
    </row>
    <row r="7017" spans="28:34">
      <c r="AB7017" s="580">
        <f>HLOOKUP("*"&amp;'Output annual'!$AC$2&amp;'Output annual'!$AD$2&amp;"*Zone People Number Of Occupants [](Hourly)",'Eplus results'!$1:$1048576,ROW(),FALSE)</f>
        <v>0</v>
      </c>
      <c r="AC7017" s="580">
        <f>HLOOKUP("*"&amp;'Output annual'!$AC$2&amp;'Output annual'!$AD$2&amp;"*FangerPMV(Hourly)",'Eplus results'!$1:$1048576,ROW(),FALSE)</f>
        <v>0</v>
      </c>
      <c r="AD7017" s="580">
        <f t="shared" si="581"/>
        <v>5</v>
      </c>
      <c r="AE7017" s="580">
        <f t="shared" si="582"/>
        <v>2.5</v>
      </c>
      <c r="AF7017" s="580">
        <f t="shared" si="583"/>
        <v>2.5</v>
      </c>
      <c r="AG7017" s="580">
        <f t="shared" si="584"/>
        <v>0</v>
      </c>
      <c r="AH7017" s="580">
        <f t="shared" si="585"/>
        <v>0</v>
      </c>
    </row>
    <row r="7018" spans="28:34">
      <c r="AB7018" s="580">
        <f>HLOOKUP("*"&amp;'Output annual'!$AC$2&amp;'Output annual'!$AD$2&amp;"*Zone People Number Of Occupants [](Hourly)",'Eplus results'!$1:$1048576,ROW(),FALSE)</f>
        <v>0</v>
      </c>
      <c r="AC7018" s="580">
        <f>HLOOKUP("*"&amp;'Output annual'!$AC$2&amp;'Output annual'!$AD$2&amp;"*FangerPMV(Hourly)",'Eplus results'!$1:$1048576,ROW(),FALSE)</f>
        <v>0</v>
      </c>
      <c r="AD7018" s="580">
        <f t="shared" si="581"/>
        <v>5</v>
      </c>
      <c r="AE7018" s="580">
        <f t="shared" si="582"/>
        <v>2.5</v>
      </c>
      <c r="AF7018" s="580">
        <f t="shared" si="583"/>
        <v>2.5</v>
      </c>
      <c r="AG7018" s="580">
        <f t="shared" si="584"/>
        <v>0</v>
      </c>
      <c r="AH7018" s="580">
        <f t="shared" si="585"/>
        <v>0</v>
      </c>
    </row>
    <row r="7019" spans="28:34">
      <c r="AB7019" s="580">
        <f>HLOOKUP("*"&amp;'Output annual'!$AC$2&amp;'Output annual'!$AD$2&amp;"*Zone People Number Of Occupants [](Hourly)",'Eplus results'!$1:$1048576,ROW(),FALSE)</f>
        <v>0</v>
      </c>
      <c r="AC7019" s="580">
        <f>HLOOKUP("*"&amp;'Output annual'!$AC$2&amp;'Output annual'!$AD$2&amp;"*FangerPMV(Hourly)",'Eplus results'!$1:$1048576,ROW(),FALSE)</f>
        <v>0</v>
      </c>
      <c r="AD7019" s="580">
        <f t="shared" si="581"/>
        <v>5</v>
      </c>
      <c r="AE7019" s="580">
        <f t="shared" si="582"/>
        <v>2.5</v>
      </c>
      <c r="AF7019" s="580">
        <f t="shared" si="583"/>
        <v>2.5</v>
      </c>
      <c r="AG7019" s="580">
        <f t="shared" si="584"/>
        <v>0</v>
      </c>
      <c r="AH7019" s="580">
        <f t="shared" si="585"/>
        <v>0</v>
      </c>
    </row>
    <row r="7020" spans="28:34">
      <c r="AB7020" s="580">
        <f>HLOOKUP("*"&amp;'Output annual'!$AC$2&amp;'Output annual'!$AD$2&amp;"*Zone People Number Of Occupants [](Hourly)",'Eplus results'!$1:$1048576,ROW(),FALSE)</f>
        <v>0</v>
      </c>
      <c r="AC7020" s="580">
        <f>HLOOKUP("*"&amp;'Output annual'!$AC$2&amp;'Output annual'!$AD$2&amp;"*FangerPMV(Hourly)",'Eplus results'!$1:$1048576,ROW(),FALSE)</f>
        <v>0</v>
      </c>
      <c r="AD7020" s="580">
        <f t="shared" si="581"/>
        <v>5</v>
      </c>
      <c r="AE7020" s="580">
        <f t="shared" si="582"/>
        <v>2.5</v>
      </c>
      <c r="AF7020" s="580">
        <f t="shared" si="583"/>
        <v>2.5</v>
      </c>
      <c r="AG7020" s="580">
        <f t="shared" si="584"/>
        <v>0</v>
      </c>
      <c r="AH7020" s="580">
        <f t="shared" si="585"/>
        <v>0</v>
      </c>
    </row>
    <row r="7021" spans="28:34">
      <c r="AB7021" s="580">
        <f>HLOOKUP("*"&amp;'Output annual'!$AC$2&amp;'Output annual'!$AD$2&amp;"*Zone People Number Of Occupants [](Hourly)",'Eplus results'!$1:$1048576,ROW(),FALSE)</f>
        <v>0</v>
      </c>
      <c r="AC7021" s="580">
        <f>HLOOKUP("*"&amp;'Output annual'!$AC$2&amp;'Output annual'!$AD$2&amp;"*FangerPMV(Hourly)",'Eplus results'!$1:$1048576,ROW(),FALSE)</f>
        <v>0</v>
      </c>
      <c r="AD7021" s="580">
        <f t="shared" si="581"/>
        <v>5</v>
      </c>
      <c r="AE7021" s="580">
        <f t="shared" si="582"/>
        <v>2.5</v>
      </c>
      <c r="AF7021" s="580">
        <f t="shared" si="583"/>
        <v>2.5</v>
      </c>
      <c r="AG7021" s="580">
        <f t="shared" si="584"/>
        <v>0</v>
      </c>
      <c r="AH7021" s="580">
        <f t="shared" si="585"/>
        <v>0</v>
      </c>
    </row>
    <row r="7022" spans="28:34">
      <c r="AB7022" s="580">
        <f>HLOOKUP("*"&amp;'Output annual'!$AC$2&amp;'Output annual'!$AD$2&amp;"*Zone People Number Of Occupants [](Hourly)",'Eplus results'!$1:$1048576,ROW(),FALSE)</f>
        <v>0</v>
      </c>
      <c r="AC7022" s="580">
        <f>HLOOKUP("*"&amp;'Output annual'!$AC$2&amp;'Output annual'!$AD$2&amp;"*FangerPMV(Hourly)",'Eplus results'!$1:$1048576,ROW(),FALSE)</f>
        <v>0</v>
      </c>
      <c r="AD7022" s="580">
        <f t="shared" si="581"/>
        <v>5</v>
      </c>
      <c r="AE7022" s="580">
        <f t="shared" si="582"/>
        <v>2.5</v>
      </c>
      <c r="AF7022" s="580">
        <f t="shared" si="583"/>
        <v>2.5</v>
      </c>
      <c r="AG7022" s="580">
        <f t="shared" si="584"/>
        <v>0</v>
      </c>
      <c r="AH7022" s="580">
        <f t="shared" si="585"/>
        <v>0</v>
      </c>
    </row>
    <row r="7023" spans="28:34">
      <c r="AB7023" s="580">
        <f>HLOOKUP("*"&amp;'Output annual'!$AC$2&amp;'Output annual'!$AD$2&amp;"*Zone People Number Of Occupants [](Hourly)",'Eplus results'!$1:$1048576,ROW(),FALSE)</f>
        <v>0</v>
      </c>
      <c r="AC7023" s="580">
        <f>HLOOKUP("*"&amp;'Output annual'!$AC$2&amp;'Output annual'!$AD$2&amp;"*FangerPMV(Hourly)",'Eplus results'!$1:$1048576,ROW(),FALSE)</f>
        <v>0</v>
      </c>
      <c r="AD7023" s="580">
        <f t="shared" si="581"/>
        <v>5</v>
      </c>
      <c r="AE7023" s="580">
        <f t="shared" si="582"/>
        <v>2.5</v>
      </c>
      <c r="AF7023" s="580">
        <f t="shared" si="583"/>
        <v>2.5</v>
      </c>
      <c r="AG7023" s="580">
        <f t="shared" si="584"/>
        <v>0</v>
      </c>
      <c r="AH7023" s="580">
        <f t="shared" si="585"/>
        <v>0</v>
      </c>
    </row>
    <row r="7024" spans="28:34">
      <c r="AB7024" s="580">
        <f>HLOOKUP("*"&amp;'Output annual'!$AC$2&amp;'Output annual'!$AD$2&amp;"*Zone People Number Of Occupants [](Hourly)",'Eplus results'!$1:$1048576,ROW(),FALSE)</f>
        <v>0</v>
      </c>
      <c r="AC7024" s="580">
        <f>HLOOKUP("*"&amp;'Output annual'!$AC$2&amp;'Output annual'!$AD$2&amp;"*FangerPMV(Hourly)",'Eplus results'!$1:$1048576,ROW(),FALSE)</f>
        <v>0</v>
      </c>
      <c r="AD7024" s="580">
        <f t="shared" si="581"/>
        <v>5</v>
      </c>
      <c r="AE7024" s="580">
        <f t="shared" si="582"/>
        <v>2.5</v>
      </c>
      <c r="AF7024" s="580">
        <f t="shared" si="583"/>
        <v>2.5</v>
      </c>
      <c r="AG7024" s="580">
        <f t="shared" si="584"/>
        <v>0</v>
      </c>
      <c r="AH7024" s="580">
        <f t="shared" si="585"/>
        <v>0</v>
      </c>
    </row>
    <row r="7025" spans="28:34">
      <c r="AB7025" s="580">
        <f>HLOOKUP("*"&amp;'Output annual'!$AC$2&amp;'Output annual'!$AD$2&amp;"*Zone People Number Of Occupants [](Hourly)",'Eplus results'!$1:$1048576,ROW(),FALSE)</f>
        <v>0</v>
      </c>
      <c r="AC7025" s="580">
        <f>HLOOKUP("*"&amp;'Output annual'!$AC$2&amp;'Output annual'!$AD$2&amp;"*FangerPMV(Hourly)",'Eplus results'!$1:$1048576,ROW(),FALSE)</f>
        <v>0</v>
      </c>
      <c r="AD7025" s="580">
        <f t="shared" si="581"/>
        <v>5</v>
      </c>
      <c r="AE7025" s="580">
        <f t="shared" si="582"/>
        <v>2.5</v>
      </c>
      <c r="AF7025" s="580">
        <f t="shared" si="583"/>
        <v>2.5</v>
      </c>
      <c r="AG7025" s="580">
        <f t="shared" si="584"/>
        <v>0</v>
      </c>
      <c r="AH7025" s="580">
        <f t="shared" si="585"/>
        <v>0</v>
      </c>
    </row>
    <row r="7026" spans="28:34">
      <c r="AB7026" s="580">
        <f>HLOOKUP("*"&amp;'Output annual'!$AC$2&amp;'Output annual'!$AD$2&amp;"*Zone People Number Of Occupants [](Hourly)",'Eplus results'!$1:$1048576,ROW(),FALSE)</f>
        <v>0</v>
      </c>
      <c r="AC7026" s="580">
        <f>HLOOKUP("*"&amp;'Output annual'!$AC$2&amp;'Output annual'!$AD$2&amp;"*FangerPMV(Hourly)",'Eplus results'!$1:$1048576,ROW(),FALSE)</f>
        <v>0</v>
      </c>
      <c r="AD7026" s="580">
        <f t="shared" si="581"/>
        <v>5</v>
      </c>
      <c r="AE7026" s="580">
        <f t="shared" si="582"/>
        <v>2.5</v>
      </c>
      <c r="AF7026" s="580">
        <f t="shared" si="583"/>
        <v>2.5</v>
      </c>
      <c r="AG7026" s="580">
        <f t="shared" si="584"/>
        <v>0</v>
      </c>
      <c r="AH7026" s="580">
        <f t="shared" si="585"/>
        <v>0</v>
      </c>
    </row>
    <row r="7027" spans="28:34">
      <c r="AB7027" s="580">
        <f>HLOOKUP("*"&amp;'Output annual'!$AC$2&amp;'Output annual'!$AD$2&amp;"*Zone People Number Of Occupants [](Hourly)",'Eplus results'!$1:$1048576,ROW(),FALSE)</f>
        <v>0</v>
      </c>
      <c r="AC7027" s="580">
        <f>HLOOKUP("*"&amp;'Output annual'!$AC$2&amp;'Output annual'!$AD$2&amp;"*FangerPMV(Hourly)",'Eplus results'!$1:$1048576,ROW(),FALSE)</f>
        <v>0</v>
      </c>
      <c r="AD7027" s="580">
        <f t="shared" si="581"/>
        <v>5</v>
      </c>
      <c r="AE7027" s="580">
        <f t="shared" si="582"/>
        <v>2.5</v>
      </c>
      <c r="AF7027" s="580">
        <f t="shared" si="583"/>
        <v>2.5</v>
      </c>
      <c r="AG7027" s="580">
        <f t="shared" si="584"/>
        <v>0</v>
      </c>
      <c r="AH7027" s="580">
        <f t="shared" si="585"/>
        <v>0</v>
      </c>
    </row>
    <row r="7028" spans="28:34">
      <c r="AB7028" s="580">
        <f>HLOOKUP("*"&amp;'Output annual'!$AC$2&amp;'Output annual'!$AD$2&amp;"*Zone People Number Of Occupants [](Hourly)",'Eplus results'!$1:$1048576,ROW(),FALSE)</f>
        <v>0</v>
      </c>
      <c r="AC7028" s="580">
        <f>HLOOKUP("*"&amp;'Output annual'!$AC$2&amp;'Output annual'!$AD$2&amp;"*FangerPMV(Hourly)",'Eplus results'!$1:$1048576,ROW(),FALSE)</f>
        <v>0</v>
      </c>
      <c r="AD7028" s="580">
        <f t="shared" si="581"/>
        <v>5</v>
      </c>
      <c r="AE7028" s="580">
        <f t="shared" si="582"/>
        <v>2.5</v>
      </c>
      <c r="AF7028" s="580">
        <f t="shared" si="583"/>
        <v>2.5</v>
      </c>
      <c r="AG7028" s="580">
        <f t="shared" si="584"/>
        <v>0</v>
      </c>
      <c r="AH7028" s="580">
        <f t="shared" si="585"/>
        <v>0</v>
      </c>
    </row>
    <row r="7029" spans="28:34">
      <c r="AB7029" s="580">
        <f>HLOOKUP("*"&amp;'Output annual'!$AC$2&amp;'Output annual'!$AD$2&amp;"*Zone People Number Of Occupants [](Hourly)",'Eplus results'!$1:$1048576,ROW(),FALSE)</f>
        <v>0</v>
      </c>
      <c r="AC7029" s="580">
        <f>HLOOKUP("*"&amp;'Output annual'!$AC$2&amp;'Output annual'!$AD$2&amp;"*FangerPMV(Hourly)",'Eplus results'!$1:$1048576,ROW(),FALSE)</f>
        <v>0</v>
      </c>
      <c r="AD7029" s="580">
        <f t="shared" si="581"/>
        <v>5</v>
      </c>
      <c r="AE7029" s="580">
        <f t="shared" si="582"/>
        <v>2.5</v>
      </c>
      <c r="AF7029" s="580">
        <f t="shared" si="583"/>
        <v>2.5</v>
      </c>
      <c r="AG7029" s="580">
        <f t="shared" si="584"/>
        <v>0</v>
      </c>
      <c r="AH7029" s="580">
        <f t="shared" si="585"/>
        <v>0</v>
      </c>
    </row>
    <row r="7030" spans="28:34">
      <c r="AB7030" s="580">
        <f>HLOOKUP("*"&amp;'Output annual'!$AC$2&amp;'Output annual'!$AD$2&amp;"*Zone People Number Of Occupants [](Hourly)",'Eplus results'!$1:$1048576,ROW(),FALSE)</f>
        <v>0</v>
      </c>
      <c r="AC7030" s="580">
        <f>HLOOKUP("*"&amp;'Output annual'!$AC$2&amp;'Output annual'!$AD$2&amp;"*FangerPMV(Hourly)",'Eplus results'!$1:$1048576,ROW(),FALSE)</f>
        <v>0</v>
      </c>
      <c r="AD7030" s="580">
        <f t="shared" si="581"/>
        <v>5</v>
      </c>
      <c r="AE7030" s="580">
        <f t="shared" si="582"/>
        <v>2.5</v>
      </c>
      <c r="AF7030" s="580">
        <f t="shared" si="583"/>
        <v>2.5</v>
      </c>
      <c r="AG7030" s="580">
        <f t="shared" si="584"/>
        <v>0</v>
      </c>
      <c r="AH7030" s="580">
        <f t="shared" si="585"/>
        <v>0</v>
      </c>
    </row>
    <row r="7031" spans="28:34">
      <c r="AB7031" s="580">
        <f>HLOOKUP("*"&amp;'Output annual'!$AC$2&amp;'Output annual'!$AD$2&amp;"*Zone People Number Of Occupants [](Hourly)",'Eplus results'!$1:$1048576,ROW(),FALSE)</f>
        <v>0</v>
      </c>
      <c r="AC7031" s="580">
        <f>HLOOKUP("*"&amp;'Output annual'!$AC$2&amp;'Output annual'!$AD$2&amp;"*FangerPMV(Hourly)",'Eplus results'!$1:$1048576,ROW(),FALSE)</f>
        <v>0</v>
      </c>
      <c r="AD7031" s="580">
        <f t="shared" si="581"/>
        <v>5</v>
      </c>
      <c r="AE7031" s="580">
        <f t="shared" si="582"/>
        <v>2.5</v>
      </c>
      <c r="AF7031" s="580">
        <f t="shared" si="583"/>
        <v>2.5</v>
      </c>
      <c r="AG7031" s="580">
        <f t="shared" si="584"/>
        <v>0</v>
      </c>
      <c r="AH7031" s="580">
        <f t="shared" si="585"/>
        <v>0</v>
      </c>
    </row>
    <row r="7032" spans="28:34">
      <c r="AB7032" s="580">
        <f>HLOOKUP("*"&amp;'Output annual'!$AC$2&amp;'Output annual'!$AD$2&amp;"*Zone People Number Of Occupants [](Hourly)",'Eplus results'!$1:$1048576,ROW(),FALSE)</f>
        <v>0</v>
      </c>
      <c r="AC7032" s="580">
        <f>HLOOKUP("*"&amp;'Output annual'!$AC$2&amp;'Output annual'!$AD$2&amp;"*FangerPMV(Hourly)",'Eplus results'!$1:$1048576,ROW(),FALSE)</f>
        <v>0</v>
      </c>
      <c r="AD7032" s="580">
        <f t="shared" si="581"/>
        <v>5</v>
      </c>
      <c r="AE7032" s="580">
        <f t="shared" si="582"/>
        <v>2.5</v>
      </c>
      <c r="AF7032" s="580">
        <f t="shared" si="583"/>
        <v>2.5</v>
      </c>
      <c r="AG7032" s="580">
        <f t="shared" si="584"/>
        <v>0</v>
      </c>
      <c r="AH7032" s="580">
        <f t="shared" si="585"/>
        <v>0</v>
      </c>
    </row>
    <row r="7033" spans="28:34">
      <c r="AB7033" s="580">
        <f>HLOOKUP("*"&amp;'Output annual'!$AC$2&amp;'Output annual'!$AD$2&amp;"*Zone People Number Of Occupants [](Hourly)",'Eplus results'!$1:$1048576,ROW(),FALSE)</f>
        <v>0</v>
      </c>
      <c r="AC7033" s="580">
        <f>HLOOKUP("*"&amp;'Output annual'!$AC$2&amp;'Output annual'!$AD$2&amp;"*FangerPMV(Hourly)",'Eplus results'!$1:$1048576,ROW(),FALSE)</f>
        <v>0</v>
      </c>
      <c r="AD7033" s="580">
        <f t="shared" si="581"/>
        <v>5</v>
      </c>
      <c r="AE7033" s="580">
        <f t="shared" si="582"/>
        <v>2.5</v>
      </c>
      <c r="AF7033" s="580">
        <f t="shared" si="583"/>
        <v>2.5</v>
      </c>
      <c r="AG7033" s="580">
        <f t="shared" si="584"/>
        <v>0</v>
      </c>
      <c r="AH7033" s="580">
        <f t="shared" si="585"/>
        <v>0</v>
      </c>
    </row>
    <row r="7034" spans="28:34">
      <c r="AB7034" s="580">
        <f>HLOOKUP("*"&amp;'Output annual'!$AC$2&amp;'Output annual'!$AD$2&amp;"*Zone People Number Of Occupants [](Hourly)",'Eplus results'!$1:$1048576,ROW(),FALSE)</f>
        <v>0</v>
      </c>
      <c r="AC7034" s="580">
        <f>HLOOKUP("*"&amp;'Output annual'!$AC$2&amp;'Output annual'!$AD$2&amp;"*FangerPMV(Hourly)",'Eplus results'!$1:$1048576,ROW(),FALSE)</f>
        <v>0</v>
      </c>
      <c r="AD7034" s="580">
        <f t="shared" si="581"/>
        <v>5</v>
      </c>
      <c r="AE7034" s="580">
        <f t="shared" si="582"/>
        <v>2.5</v>
      </c>
      <c r="AF7034" s="580">
        <f t="shared" si="583"/>
        <v>2.5</v>
      </c>
      <c r="AG7034" s="580">
        <f t="shared" si="584"/>
        <v>0</v>
      </c>
      <c r="AH7034" s="580">
        <f t="shared" si="585"/>
        <v>0</v>
      </c>
    </row>
    <row r="7035" spans="28:34">
      <c r="AB7035" s="580">
        <f>HLOOKUP("*"&amp;'Output annual'!$AC$2&amp;'Output annual'!$AD$2&amp;"*Zone People Number Of Occupants [](Hourly)",'Eplus results'!$1:$1048576,ROW(),FALSE)</f>
        <v>0</v>
      </c>
      <c r="AC7035" s="580">
        <f>HLOOKUP("*"&amp;'Output annual'!$AC$2&amp;'Output annual'!$AD$2&amp;"*FangerPMV(Hourly)",'Eplus results'!$1:$1048576,ROW(),FALSE)</f>
        <v>0</v>
      </c>
      <c r="AD7035" s="580">
        <f t="shared" si="581"/>
        <v>5</v>
      </c>
      <c r="AE7035" s="580">
        <f t="shared" si="582"/>
        <v>2.5</v>
      </c>
      <c r="AF7035" s="580">
        <f t="shared" si="583"/>
        <v>2.5</v>
      </c>
      <c r="AG7035" s="580">
        <f t="shared" si="584"/>
        <v>0</v>
      </c>
      <c r="AH7035" s="580">
        <f t="shared" si="585"/>
        <v>0</v>
      </c>
    </row>
    <row r="7036" spans="28:34">
      <c r="AB7036" s="580">
        <f>HLOOKUP("*"&amp;'Output annual'!$AC$2&amp;'Output annual'!$AD$2&amp;"*Zone People Number Of Occupants [](Hourly)",'Eplus results'!$1:$1048576,ROW(),FALSE)</f>
        <v>0</v>
      </c>
      <c r="AC7036" s="580">
        <f>HLOOKUP("*"&amp;'Output annual'!$AC$2&amp;'Output annual'!$AD$2&amp;"*FangerPMV(Hourly)",'Eplus results'!$1:$1048576,ROW(),FALSE)</f>
        <v>0</v>
      </c>
      <c r="AD7036" s="580">
        <f t="shared" si="581"/>
        <v>5</v>
      </c>
      <c r="AE7036" s="580">
        <f t="shared" si="582"/>
        <v>2.5</v>
      </c>
      <c r="AF7036" s="580">
        <f t="shared" si="583"/>
        <v>2.5</v>
      </c>
      <c r="AG7036" s="580">
        <f t="shared" si="584"/>
        <v>0</v>
      </c>
      <c r="AH7036" s="580">
        <f t="shared" si="585"/>
        <v>0</v>
      </c>
    </row>
    <row r="7037" spans="28:34">
      <c r="AB7037" s="580">
        <f>HLOOKUP("*"&amp;'Output annual'!$AC$2&amp;'Output annual'!$AD$2&amp;"*Zone People Number Of Occupants [](Hourly)",'Eplus results'!$1:$1048576,ROW(),FALSE)</f>
        <v>0</v>
      </c>
      <c r="AC7037" s="580">
        <f>HLOOKUP("*"&amp;'Output annual'!$AC$2&amp;'Output annual'!$AD$2&amp;"*FangerPMV(Hourly)",'Eplus results'!$1:$1048576,ROW(),FALSE)</f>
        <v>0</v>
      </c>
      <c r="AD7037" s="580">
        <f t="shared" si="581"/>
        <v>5</v>
      </c>
      <c r="AE7037" s="580">
        <f t="shared" si="582"/>
        <v>2.5</v>
      </c>
      <c r="AF7037" s="580">
        <f t="shared" si="583"/>
        <v>2.5</v>
      </c>
      <c r="AG7037" s="580">
        <f t="shared" si="584"/>
        <v>0</v>
      </c>
      <c r="AH7037" s="580">
        <f t="shared" si="585"/>
        <v>0</v>
      </c>
    </row>
    <row r="7038" spans="28:34">
      <c r="AB7038" s="580">
        <f>HLOOKUP("*"&amp;'Output annual'!$AC$2&amp;'Output annual'!$AD$2&amp;"*Zone People Number Of Occupants [](Hourly)",'Eplus results'!$1:$1048576,ROW(),FALSE)</f>
        <v>0</v>
      </c>
      <c r="AC7038" s="580">
        <f>HLOOKUP("*"&amp;'Output annual'!$AC$2&amp;'Output annual'!$AD$2&amp;"*FangerPMV(Hourly)",'Eplus results'!$1:$1048576,ROW(),FALSE)</f>
        <v>0</v>
      </c>
      <c r="AD7038" s="580">
        <f t="shared" si="581"/>
        <v>5</v>
      </c>
      <c r="AE7038" s="580">
        <f t="shared" si="582"/>
        <v>2.5</v>
      </c>
      <c r="AF7038" s="580">
        <f t="shared" si="583"/>
        <v>2.5</v>
      </c>
      <c r="AG7038" s="580">
        <f t="shared" si="584"/>
        <v>0</v>
      </c>
      <c r="AH7038" s="580">
        <f t="shared" si="585"/>
        <v>0</v>
      </c>
    </row>
    <row r="7039" spans="28:34">
      <c r="AB7039" s="580">
        <f>HLOOKUP("*"&amp;'Output annual'!$AC$2&amp;'Output annual'!$AD$2&amp;"*Zone People Number Of Occupants [](Hourly)",'Eplus results'!$1:$1048576,ROW(),FALSE)</f>
        <v>0</v>
      </c>
      <c r="AC7039" s="580">
        <f>HLOOKUP("*"&amp;'Output annual'!$AC$2&amp;'Output annual'!$AD$2&amp;"*FangerPMV(Hourly)",'Eplus results'!$1:$1048576,ROW(),FALSE)</f>
        <v>0</v>
      </c>
      <c r="AD7039" s="580">
        <f t="shared" si="581"/>
        <v>5</v>
      </c>
      <c r="AE7039" s="580">
        <f t="shared" si="582"/>
        <v>2.5</v>
      </c>
      <c r="AF7039" s="580">
        <f t="shared" si="583"/>
        <v>2.5</v>
      </c>
      <c r="AG7039" s="580">
        <f t="shared" si="584"/>
        <v>0</v>
      </c>
      <c r="AH7039" s="580">
        <f t="shared" si="585"/>
        <v>0</v>
      </c>
    </row>
    <row r="7040" spans="28:34">
      <c r="AB7040" s="580">
        <f>HLOOKUP("*"&amp;'Output annual'!$AC$2&amp;'Output annual'!$AD$2&amp;"*Zone People Number Of Occupants [](Hourly)",'Eplus results'!$1:$1048576,ROW(),FALSE)</f>
        <v>0</v>
      </c>
      <c r="AC7040" s="580">
        <f>HLOOKUP("*"&amp;'Output annual'!$AC$2&amp;'Output annual'!$AD$2&amp;"*FangerPMV(Hourly)",'Eplus results'!$1:$1048576,ROW(),FALSE)</f>
        <v>0</v>
      </c>
      <c r="AD7040" s="580">
        <f t="shared" si="581"/>
        <v>5</v>
      </c>
      <c r="AE7040" s="580">
        <f t="shared" si="582"/>
        <v>2.5</v>
      </c>
      <c r="AF7040" s="580">
        <f t="shared" si="583"/>
        <v>2.5</v>
      </c>
      <c r="AG7040" s="580">
        <f t="shared" si="584"/>
        <v>0</v>
      </c>
      <c r="AH7040" s="580">
        <f t="shared" si="585"/>
        <v>0</v>
      </c>
    </row>
    <row r="7041" spans="28:34">
      <c r="AB7041" s="580">
        <f>HLOOKUP("*"&amp;'Output annual'!$AC$2&amp;'Output annual'!$AD$2&amp;"*Zone People Number Of Occupants [](Hourly)",'Eplus results'!$1:$1048576,ROW(),FALSE)</f>
        <v>0</v>
      </c>
      <c r="AC7041" s="580">
        <f>HLOOKUP("*"&amp;'Output annual'!$AC$2&amp;'Output annual'!$AD$2&amp;"*FangerPMV(Hourly)",'Eplus results'!$1:$1048576,ROW(),FALSE)</f>
        <v>0</v>
      </c>
      <c r="AD7041" s="580">
        <f t="shared" si="581"/>
        <v>5</v>
      </c>
      <c r="AE7041" s="580">
        <f t="shared" si="582"/>
        <v>2.5</v>
      </c>
      <c r="AF7041" s="580">
        <f t="shared" si="583"/>
        <v>2.5</v>
      </c>
      <c r="AG7041" s="580">
        <f t="shared" si="584"/>
        <v>0</v>
      </c>
      <c r="AH7041" s="580">
        <f t="shared" si="585"/>
        <v>0</v>
      </c>
    </row>
    <row r="7042" spans="28:34">
      <c r="AB7042" s="580">
        <f>HLOOKUP("*"&amp;'Output annual'!$AC$2&amp;'Output annual'!$AD$2&amp;"*Zone People Number Of Occupants [](Hourly)",'Eplus results'!$1:$1048576,ROW(),FALSE)</f>
        <v>0</v>
      </c>
      <c r="AC7042" s="580">
        <f>HLOOKUP("*"&amp;'Output annual'!$AC$2&amp;'Output annual'!$AD$2&amp;"*FangerPMV(Hourly)",'Eplus results'!$1:$1048576,ROW(),FALSE)</f>
        <v>0</v>
      </c>
      <c r="AD7042" s="580">
        <f t="shared" si="581"/>
        <v>5</v>
      </c>
      <c r="AE7042" s="580">
        <f t="shared" si="582"/>
        <v>2.5</v>
      </c>
      <c r="AF7042" s="580">
        <f t="shared" si="583"/>
        <v>2.5</v>
      </c>
      <c r="AG7042" s="580">
        <f t="shared" si="584"/>
        <v>0</v>
      </c>
      <c r="AH7042" s="580">
        <f t="shared" si="585"/>
        <v>0</v>
      </c>
    </row>
    <row r="7043" spans="28:34">
      <c r="AB7043" s="580">
        <f>HLOOKUP("*"&amp;'Output annual'!$AC$2&amp;'Output annual'!$AD$2&amp;"*Zone People Number Of Occupants [](Hourly)",'Eplus results'!$1:$1048576,ROW(),FALSE)</f>
        <v>0</v>
      </c>
      <c r="AC7043" s="580">
        <f>HLOOKUP("*"&amp;'Output annual'!$AC$2&amp;'Output annual'!$AD$2&amp;"*FangerPMV(Hourly)",'Eplus results'!$1:$1048576,ROW(),FALSE)</f>
        <v>0</v>
      </c>
      <c r="AD7043" s="580">
        <f t="shared" ref="AD7043:AD7106" si="586">100-95*EXP(-0.03353*AC7043^4-0.2179*AC7043^2)</f>
        <v>5</v>
      </c>
      <c r="AE7043" s="580">
        <f t="shared" ref="AE7043:AE7106" si="587">AD7043*(1/(1+EXP(-6.3*$AC7043)))</f>
        <v>2.5</v>
      </c>
      <c r="AF7043" s="580">
        <f t="shared" ref="AF7043:AF7106" si="588">(AD7043-AE7043)</f>
        <v>2.5</v>
      </c>
      <c r="AG7043" s="580">
        <f t="shared" ref="AG7043:AG7106" si="589">AE7043*AB7043</f>
        <v>0</v>
      </c>
      <c r="AH7043" s="580">
        <f t="shared" ref="AH7043:AH7106" si="590">AF7043*AB7043</f>
        <v>0</v>
      </c>
    </row>
    <row r="7044" spans="28:34">
      <c r="AB7044" s="580">
        <f>HLOOKUP("*"&amp;'Output annual'!$AC$2&amp;'Output annual'!$AD$2&amp;"*Zone People Number Of Occupants [](Hourly)",'Eplus results'!$1:$1048576,ROW(),FALSE)</f>
        <v>0</v>
      </c>
      <c r="AC7044" s="580">
        <f>HLOOKUP("*"&amp;'Output annual'!$AC$2&amp;'Output annual'!$AD$2&amp;"*FangerPMV(Hourly)",'Eplus results'!$1:$1048576,ROW(),FALSE)</f>
        <v>0</v>
      </c>
      <c r="AD7044" s="580">
        <f t="shared" si="586"/>
        <v>5</v>
      </c>
      <c r="AE7044" s="580">
        <f t="shared" si="587"/>
        <v>2.5</v>
      </c>
      <c r="AF7044" s="580">
        <f t="shared" si="588"/>
        <v>2.5</v>
      </c>
      <c r="AG7044" s="580">
        <f t="shared" si="589"/>
        <v>0</v>
      </c>
      <c r="AH7044" s="580">
        <f t="shared" si="590"/>
        <v>0</v>
      </c>
    </row>
    <row r="7045" spans="28:34">
      <c r="AB7045" s="580">
        <f>HLOOKUP("*"&amp;'Output annual'!$AC$2&amp;'Output annual'!$AD$2&amp;"*Zone People Number Of Occupants [](Hourly)",'Eplus results'!$1:$1048576,ROW(),FALSE)</f>
        <v>0</v>
      </c>
      <c r="AC7045" s="580">
        <f>HLOOKUP("*"&amp;'Output annual'!$AC$2&amp;'Output annual'!$AD$2&amp;"*FangerPMV(Hourly)",'Eplus results'!$1:$1048576,ROW(),FALSE)</f>
        <v>0</v>
      </c>
      <c r="AD7045" s="580">
        <f t="shared" si="586"/>
        <v>5</v>
      </c>
      <c r="AE7045" s="580">
        <f t="shared" si="587"/>
        <v>2.5</v>
      </c>
      <c r="AF7045" s="580">
        <f t="shared" si="588"/>
        <v>2.5</v>
      </c>
      <c r="AG7045" s="580">
        <f t="shared" si="589"/>
        <v>0</v>
      </c>
      <c r="AH7045" s="580">
        <f t="shared" si="590"/>
        <v>0</v>
      </c>
    </row>
    <row r="7046" spans="28:34">
      <c r="AB7046" s="580">
        <f>HLOOKUP("*"&amp;'Output annual'!$AC$2&amp;'Output annual'!$AD$2&amp;"*Zone People Number Of Occupants [](Hourly)",'Eplus results'!$1:$1048576,ROW(),FALSE)</f>
        <v>0</v>
      </c>
      <c r="AC7046" s="580">
        <f>HLOOKUP("*"&amp;'Output annual'!$AC$2&amp;'Output annual'!$AD$2&amp;"*FangerPMV(Hourly)",'Eplus results'!$1:$1048576,ROW(),FALSE)</f>
        <v>0</v>
      </c>
      <c r="AD7046" s="580">
        <f t="shared" si="586"/>
        <v>5</v>
      </c>
      <c r="AE7046" s="580">
        <f t="shared" si="587"/>
        <v>2.5</v>
      </c>
      <c r="AF7046" s="580">
        <f t="shared" si="588"/>
        <v>2.5</v>
      </c>
      <c r="AG7046" s="580">
        <f t="shared" si="589"/>
        <v>0</v>
      </c>
      <c r="AH7046" s="580">
        <f t="shared" si="590"/>
        <v>0</v>
      </c>
    </row>
    <row r="7047" spans="28:34">
      <c r="AB7047" s="580">
        <f>HLOOKUP("*"&amp;'Output annual'!$AC$2&amp;'Output annual'!$AD$2&amp;"*Zone People Number Of Occupants [](Hourly)",'Eplus results'!$1:$1048576,ROW(),FALSE)</f>
        <v>0</v>
      </c>
      <c r="AC7047" s="580">
        <f>HLOOKUP("*"&amp;'Output annual'!$AC$2&amp;'Output annual'!$AD$2&amp;"*FangerPMV(Hourly)",'Eplus results'!$1:$1048576,ROW(),FALSE)</f>
        <v>0</v>
      </c>
      <c r="AD7047" s="580">
        <f t="shared" si="586"/>
        <v>5</v>
      </c>
      <c r="AE7047" s="580">
        <f t="shared" si="587"/>
        <v>2.5</v>
      </c>
      <c r="AF7047" s="580">
        <f t="shared" si="588"/>
        <v>2.5</v>
      </c>
      <c r="AG7047" s="580">
        <f t="shared" si="589"/>
        <v>0</v>
      </c>
      <c r="AH7047" s="580">
        <f t="shared" si="590"/>
        <v>0</v>
      </c>
    </row>
    <row r="7048" spans="28:34">
      <c r="AB7048" s="580">
        <f>HLOOKUP("*"&amp;'Output annual'!$AC$2&amp;'Output annual'!$AD$2&amp;"*Zone People Number Of Occupants [](Hourly)",'Eplus results'!$1:$1048576,ROW(),FALSE)</f>
        <v>0</v>
      </c>
      <c r="AC7048" s="580">
        <f>HLOOKUP("*"&amp;'Output annual'!$AC$2&amp;'Output annual'!$AD$2&amp;"*FangerPMV(Hourly)",'Eplus results'!$1:$1048576,ROW(),FALSE)</f>
        <v>0</v>
      </c>
      <c r="AD7048" s="580">
        <f t="shared" si="586"/>
        <v>5</v>
      </c>
      <c r="AE7048" s="580">
        <f t="shared" si="587"/>
        <v>2.5</v>
      </c>
      <c r="AF7048" s="580">
        <f t="shared" si="588"/>
        <v>2.5</v>
      </c>
      <c r="AG7048" s="580">
        <f t="shared" si="589"/>
        <v>0</v>
      </c>
      <c r="AH7048" s="580">
        <f t="shared" si="590"/>
        <v>0</v>
      </c>
    </row>
    <row r="7049" spans="28:34">
      <c r="AB7049" s="580">
        <f>HLOOKUP("*"&amp;'Output annual'!$AC$2&amp;'Output annual'!$AD$2&amp;"*Zone People Number Of Occupants [](Hourly)",'Eplus results'!$1:$1048576,ROW(),FALSE)</f>
        <v>0</v>
      </c>
      <c r="AC7049" s="580">
        <f>HLOOKUP("*"&amp;'Output annual'!$AC$2&amp;'Output annual'!$AD$2&amp;"*FangerPMV(Hourly)",'Eplus results'!$1:$1048576,ROW(),FALSE)</f>
        <v>0</v>
      </c>
      <c r="AD7049" s="580">
        <f t="shared" si="586"/>
        <v>5</v>
      </c>
      <c r="AE7049" s="580">
        <f t="shared" si="587"/>
        <v>2.5</v>
      </c>
      <c r="AF7049" s="580">
        <f t="shared" si="588"/>
        <v>2.5</v>
      </c>
      <c r="AG7049" s="580">
        <f t="shared" si="589"/>
        <v>0</v>
      </c>
      <c r="AH7049" s="580">
        <f t="shared" si="590"/>
        <v>0</v>
      </c>
    </row>
    <row r="7050" spans="28:34">
      <c r="AB7050" s="580">
        <f>HLOOKUP("*"&amp;'Output annual'!$AC$2&amp;'Output annual'!$AD$2&amp;"*Zone People Number Of Occupants [](Hourly)",'Eplus results'!$1:$1048576,ROW(),FALSE)</f>
        <v>0</v>
      </c>
      <c r="AC7050" s="580">
        <f>HLOOKUP("*"&amp;'Output annual'!$AC$2&amp;'Output annual'!$AD$2&amp;"*FangerPMV(Hourly)",'Eplus results'!$1:$1048576,ROW(),FALSE)</f>
        <v>0</v>
      </c>
      <c r="AD7050" s="580">
        <f t="shared" si="586"/>
        <v>5</v>
      </c>
      <c r="AE7050" s="580">
        <f t="shared" si="587"/>
        <v>2.5</v>
      </c>
      <c r="AF7050" s="580">
        <f t="shared" si="588"/>
        <v>2.5</v>
      </c>
      <c r="AG7050" s="580">
        <f t="shared" si="589"/>
        <v>0</v>
      </c>
      <c r="AH7050" s="580">
        <f t="shared" si="590"/>
        <v>0</v>
      </c>
    </row>
    <row r="7051" spans="28:34">
      <c r="AB7051" s="580">
        <f>HLOOKUP("*"&amp;'Output annual'!$AC$2&amp;'Output annual'!$AD$2&amp;"*Zone People Number Of Occupants [](Hourly)",'Eplus results'!$1:$1048576,ROW(),FALSE)</f>
        <v>0</v>
      </c>
      <c r="AC7051" s="580">
        <f>HLOOKUP("*"&amp;'Output annual'!$AC$2&amp;'Output annual'!$AD$2&amp;"*FangerPMV(Hourly)",'Eplus results'!$1:$1048576,ROW(),FALSE)</f>
        <v>0</v>
      </c>
      <c r="AD7051" s="580">
        <f t="shared" si="586"/>
        <v>5</v>
      </c>
      <c r="AE7051" s="580">
        <f t="shared" si="587"/>
        <v>2.5</v>
      </c>
      <c r="AF7051" s="580">
        <f t="shared" si="588"/>
        <v>2.5</v>
      </c>
      <c r="AG7051" s="580">
        <f t="shared" si="589"/>
        <v>0</v>
      </c>
      <c r="AH7051" s="580">
        <f t="shared" si="590"/>
        <v>0</v>
      </c>
    </row>
    <row r="7052" spans="28:34">
      <c r="AB7052" s="580">
        <f>HLOOKUP("*"&amp;'Output annual'!$AC$2&amp;'Output annual'!$AD$2&amp;"*Zone People Number Of Occupants [](Hourly)",'Eplus results'!$1:$1048576,ROW(),FALSE)</f>
        <v>0</v>
      </c>
      <c r="AC7052" s="580">
        <f>HLOOKUP("*"&amp;'Output annual'!$AC$2&amp;'Output annual'!$AD$2&amp;"*FangerPMV(Hourly)",'Eplus results'!$1:$1048576,ROW(),FALSE)</f>
        <v>0</v>
      </c>
      <c r="AD7052" s="580">
        <f t="shared" si="586"/>
        <v>5</v>
      </c>
      <c r="AE7052" s="580">
        <f t="shared" si="587"/>
        <v>2.5</v>
      </c>
      <c r="AF7052" s="580">
        <f t="shared" si="588"/>
        <v>2.5</v>
      </c>
      <c r="AG7052" s="580">
        <f t="shared" si="589"/>
        <v>0</v>
      </c>
      <c r="AH7052" s="580">
        <f t="shared" si="590"/>
        <v>0</v>
      </c>
    </row>
    <row r="7053" spans="28:34">
      <c r="AB7053" s="580">
        <f>HLOOKUP("*"&amp;'Output annual'!$AC$2&amp;'Output annual'!$AD$2&amp;"*Zone People Number Of Occupants [](Hourly)",'Eplus results'!$1:$1048576,ROW(),FALSE)</f>
        <v>0</v>
      </c>
      <c r="AC7053" s="580">
        <f>HLOOKUP("*"&amp;'Output annual'!$AC$2&amp;'Output annual'!$AD$2&amp;"*FangerPMV(Hourly)",'Eplus results'!$1:$1048576,ROW(),FALSE)</f>
        <v>0</v>
      </c>
      <c r="AD7053" s="580">
        <f t="shared" si="586"/>
        <v>5</v>
      </c>
      <c r="AE7053" s="580">
        <f t="shared" si="587"/>
        <v>2.5</v>
      </c>
      <c r="AF7053" s="580">
        <f t="shared" si="588"/>
        <v>2.5</v>
      </c>
      <c r="AG7053" s="580">
        <f t="shared" si="589"/>
        <v>0</v>
      </c>
      <c r="AH7053" s="580">
        <f t="shared" si="590"/>
        <v>0</v>
      </c>
    </row>
    <row r="7054" spans="28:34">
      <c r="AB7054" s="580">
        <f>HLOOKUP("*"&amp;'Output annual'!$AC$2&amp;'Output annual'!$AD$2&amp;"*Zone People Number Of Occupants [](Hourly)",'Eplus results'!$1:$1048576,ROW(),FALSE)</f>
        <v>0</v>
      </c>
      <c r="AC7054" s="580">
        <f>HLOOKUP("*"&amp;'Output annual'!$AC$2&amp;'Output annual'!$AD$2&amp;"*FangerPMV(Hourly)",'Eplus results'!$1:$1048576,ROW(),FALSE)</f>
        <v>0</v>
      </c>
      <c r="AD7054" s="580">
        <f t="shared" si="586"/>
        <v>5</v>
      </c>
      <c r="AE7054" s="580">
        <f t="shared" si="587"/>
        <v>2.5</v>
      </c>
      <c r="AF7054" s="580">
        <f t="shared" si="588"/>
        <v>2.5</v>
      </c>
      <c r="AG7054" s="580">
        <f t="shared" si="589"/>
        <v>0</v>
      </c>
      <c r="AH7054" s="580">
        <f t="shared" si="590"/>
        <v>0</v>
      </c>
    </row>
    <row r="7055" spans="28:34">
      <c r="AB7055" s="580">
        <f>HLOOKUP("*"&amp;'Output annual'!$AC$2&amp;'Output annual'!$AD$2&amp;"*Zone People Number Of Occupants [](Hourly)",'Eplus results'!$1:$1048576,ROW(),FALSE)</f>
        <v>0</v>
      </c>
      <c r="AC7055" s="580">
        <f>HLOOKUP("*"&amp;'Output annual'!$AC$2&amp;'Output annual'!$AD$2&amp;"*FangerPMV(Hourly)",'Eplus results'!$1:$1048576,ROW(),FALSE)</f>
        <v>0</v>
      </c>
      <c r="AD7055" s="580">
        <f t="shared" si="586"/>
        <v>5</v>
      </c>
      <c r="AE7055" s="580">
        <f t="shared" si="587"/>
        <v>2.5</v>
      </c>
      <c r="AF7055" s="580">
        <f t="shared" si="588"/>
        <v>2.5</v>
      </c>
      <c r="AG7055" s="580">
        <f t="shared" si="589"/>
        <v>0</v>
      </c>
      <c r="AH7055" s="580">
        <f t="shared" si="590"/>
        <v>0</v>
      </c>
    </row>
    <row r="7056" spans="28:34">
      <c r="AB7056" s="580">
        <f>HLOOKUP("*"&amp;'Output annual'!$AC$2&amp;'Output annual'!$AD$2&amp;"*Zone People Number Of Occupants [](Hourly)",'Eplus results'!$1:$1048576,ROW(),FALSE)</f>
        <v>0</v>
      </c>
      <c r="AC7056" s="580">
        <f>HLOOKUP("*"&amp;'Output annual'!$AC$2&amp;'Output annual'!$AD$2&amp;"*FangerPMV(Hourly)",'Eplus results'!$1:$1048576,ROW(),FALSE)</f>
        <v>0</v>
      </c>
      <c r="AD7056" s="580">
        <f t="shared" si="586"/>
        <v>5</v>
      </c>
      <c r="AE7056" s="580">
        <f t="shared" si="587"/>
        <v>2.5</v>
      </c>
      <c r="AF7056" s="580">
        <f t="shared" si="588"/>
        <v>2.5</v>
      </c>
      <c r="AG7056" s="580">
        <f t="shared" si="589"/>
        <v>0</v>
      </c>
      <c r="AH7056" s="580">
        <f t="shared" si="590"/>
        <v>0</v>
      </c>
    </row>
    <row r="7057" spans="28:34">
      <c r="AB7057" s="580">
        <f>HLOOKUP("*"&amp;'Output annual'!$AC$2&amp;'Output annual'!$AD$2&amp;"*Zone People Number Of Occupants [](Hourly)",'Eplus results'!$1:$1048576,ROW(),FALSE)</f>
        <v>0</v>
      </c>
      <c r="AC7057" s="580">
        <f>HLOOKUP("*"&amp;'Output annual'!$AC$2&amp;'Output annual'!$AD$2&amp;"*FangerPMV(Hourly)",'Eplus results'!$1:$1048576,ROW(),FALSE)</f>
        <v>0</v>
      </c>
      <c r="AD7057" s="580">
        <f t="shared" si="586"/>
        <v>5</v>
      </c>
      <c r="AE7057" s="580">
        <f t="shared" si="587"/>
        <v>2.5</v>
      </c>
      <c r="AF7057" s="580">
        <f t="shared" si="588"/>
        <v>2.5</v>
      </c>
      <c r="AG7057" s="580">
        <f t="shared" si="589"/>
        <v>0</v>
      </c>
      <c r="AH7057" s="580">
        <f t="shared" si="590"/>
        <v>0</v>
      </c>
    </row>
    <row r="7058" spans="28:34">
      <c r="AB7058" s="580">
        <f>HLOOKUP("*"&amp;'Output annual'!$AC$2&amp;'Output annual'!$AD$2&amp;"*Zone People Number Of Occupants [](Hourly)",'Eplus results'!$1:$1048576,ROW(),FALSE)</f>
        <v>0</v>
      </c>
      <c r="AC7058" s="580">
        <f>HLOOKUP("*"&amp;'Output annual'!$AC$2&amp;'Output annual'!$AD$2&amp;"*FangerPMV(Hourly)",'Eplus results'!$1:$1048576,ROW(),FALSE)</f>
        <v>0</v>
      </c>
      <c r="AD7058" s="580">
        <f t="shared" si="586"/>
        <v>5</v>
      </c>
      <c r="AE7058" s="580">
        <f t="shared" si="587"/>
        <v>2.5</v>
      </c>
      <c r="AF7058" s="580">
        <f t="shared" si="588"/>
        <v>2.5</v>
      </c>
      <c r="AG7058" s="580">
        <f t="shared" si="589"/>
        <v>0</v>
      </c>
      <c r="AH7058" s="580">
        <f t="shared" si="590"/>
        <v>0</v>
      </c>
    </row>
    <row r="7059" spans="28:34">
      <c r="AB7059" s="580">
        <f>HLOOKUP("*"&amp;'Output annual'!$AC$2&amp;'Output annual'!$AD$2&amp;"*Zone People Number Of Occupants [](Hourly)",'Eplus results'!$1:$1048576,ROW(),FALSE)</f>
        <v>0</v>
      </c>
      <c r="AC7059" s="580">
        <f>HLOOKUP("*"&amp;'Output annual'!$AC$2&amp;'Output annual'!$AD$2&amp;"*FangerPMV(Hourly)",'Eplus results'!$1:$1048576,ROW(),FALSE)</f>
        <v>0</v>
      </c>
      <c r="AD7059" s="580">
        <f t="shared" si="586"/>
        <v>5</v>
      </c>
      <c r="AE7059" s="580">
        <f t="shared" si="587"/>
        <v>2.5</v>
      </c>
      <c r="AF7059" s="580">
        <f t="shared" si="588"/>
        <v>2.5</v>
      </c>
      <c r="AG7059" s="580">
        <f t="shared" si="589"/>
        <v>0</v>
      </c>
      <c r="AH7059" s="580">
        <f t="shared" si="590"/>
        <v>0</v>
      </c>
    </row>
    <row r="7060" spans="28:34">
      <c r="AB7060" s="580">
        <f>HLOOKUP("*"&amp;'Output annual'!$AC$2&amp;'Output annual'!$AD$2&amp;"*Zone People Number Of Occupants [](Hourly)",'Eplus results'!$1:$1048576,ROW(),FALSE)</f>
        <v>0</v>
      </c>
      <c r="AC7060" s="580">
        <f>HLOOKUP("*"&amp;'Output annual'!$AC$2&amp;'Output annual'!$AD$2&amp;"*FangerPMV(Hourly)",'Eplus results'!$1:$1048576,ROW(),FALSE)</f>
        <v>0</v>
      </c>
      <c r="AD7060" s="580">
        <f t="shared" si="586"/>
        <v>5</v>
      </c>
      <c r="AE7060" s="580">
        <f t="shared" si="587"/>
        <v>2.5</v>
      </c>
      <c r="AF7060" s="580">
        <f t="shared" si="588"/>
        <v>2.5</v>
      </c>
      <c r="AG7060" s="580">
        <f t="shared" si="589"/>
        <v>0</v>
      </c>
      <c r="AH7060" s="580">
        <f t="shared" si="590"/>
        <v>0</v>
      </c>
    </row>
    <row r="7061" spans="28:34">
      <c r="AB7061" s="580">
        <f>HLOOKUP("*"&amp;'Output annual'!$AC$2&amp;'Output annual'!$AD$2&amp;"*Zone People Number Of Occupants [](Hourly)",'Eplus results'!$1:$1048576,ROW(),FALSE)</f>
        <v>0</v>
      </c>
      <c r="AC7061" s="580">
        <f>HLOOKUP("*"&amp;'Output annual'!$AC$2&amp;'Output annual'!$AD$2&amp;"*FangerPMV(Hourly)",'Eplus results'!$1:$1048576,ROW(),FALSE)</f>
        <v>0</v>
      </c>
      <c r="AD7061" s="580">
        <f t="shared" si="586"/>
        <v>5</v>
      </c>
      <c r="AE7061" s="580">
        <f t="shared" si="587"/>
        <v>2.5</v>
      </c>
      <c r="AF7061" s="580">
        <f t="shared" si="588"/>
        <v>2.5</v>
      </c>
      <c r="AG7061" s="580">
        <f t="shared" si="589"/>
        <v>0</v>
      </c>
      <c r="AH7061" s="580">
        <f t="shared" si="590"/>
        <v>0</v>
      </c>
    </row>
    <row r="7062" spans="28:34">
      <c r="AB7062" s="580">
        <f>HLOOKUP("*"&amp;'Output annual'!$AC$2&amp;'Output annual'!$AD$2&amp;"*Zone People Number Of Occupants [](Hourly)",'Eplus results'!$1:$1048576,ROW(),FALSE)</f>
        <v>0</v>
      </c>
      <c r="AC7062" s="580">
        <f>HLOOKUP("*"&amp;'Output annual'!$AC$2&amp;'Output annual'!$AD$2&amp;"*FangerPMV(Hourly)",'Eplus results'!$1:$1048576,ROW(),FALSE)</f>
        <v>0</v>
      </c>
      <c r="AD7062" s="580">
        <f t="shared" si="586"/>
        <v>5</v>
      </c>
      <c r="AE7062" s="580">
        <f t="shared" si="587"/>
        <v>2.5</v>
      </c>
      <c r="AF7062" s="580">
        <f t="shared" si="588"/>
        <v>2.5</v>
      </c>
      <c r="AG7062" s="580">
        <f t="shared" si="589"/>
        <v>0</v>
      </c>
      <c r="AH7062" s="580">
        <f t="shared" si="590"/>
        <v>0</v>
      </c>
    </row>
    <row r="7063" spans="28:34">
      <c r="AB7063" s="580">
        <f>HLOOKUP("*"&amp;'Output annual'!$AC$2&amp;'Output annual'!$AD$2&amp;"*Zone People Number Of Occupants [](Hourly)",'Eplus results'!$1:$1048576,ROW(),FALSE)</f>
        <v>0</v>
      </c>
      <c r="AC7063" s="580">
        <f>HLOOKUP("*"&amp;'Output annual'!$AC$2&amp;'Output annual'!$AD$2&amp;"*FangerPMV(Hourly)",'Eplus results'!$1:$1048576,ROW(),FALSE)</f>
        <v>0</v>
      </c>
      <c r="AD7063" s="580">
        <f t="shared" si="586"/>
        <v>5</v>
      </c>
      <c r="AE7063" s="580">
        <f t="shared" si="587"/>
        <v>2.5</v>
      </c>
      <c r="AF7063" s="580">
        <f t="shared" si="588"/>
        <v>2.5</v>
      </c>
      <c r="AG7063" s="580">
        <f t="shared" si="589"/>
        <v>0</v>
      </c>
      <c r="AH7063" s="580">
        <f t="shared" si="590"/>
        <v>0</v>
      </c>
    </row>
    <row r="7064" spans="28:34">
      <c r="AB7064" s="580">
        <f>HLOOKUP("*"&amp;'Output annual'!$AC$2&amp;'Output annual'!$AD$2&amp;"*Zone People Number Of Occupants [](Hourly)",'Eplus results'!$1:$1048576,ROW(),FALSE)</f>
        <v>0</v>
      </c>
      <c r="AC7064" s="580">
        <f>HLOOKUP("*"&amp;'Output annual'!$AC$2&amp;'Output annual'!$AD$2&amp;"*FangerPMV(Hourly)",'Eplus results'!$1:$1048576,ROW(),FALSE)</f>
        <v>0</v>
      </c>
      <c r="AD7064" s="580">
        <f t="shared" si="586"/>
        <v>5</v>
      </c>
      <c r="AE7064" s="580">
        <f t="shared" si="587"/>
        <v>2.5</v>
      </c>
      <c r="AF7064" s="580">
        <f t="shared" si="588"/>
        <v>2.5</v>
      </c>
      <c r="AG7064" s="580">
        <f t="shared" si="589"/>
        <v>0</v>
      </c>
      <c r="AH7064" s="580">
        <f t="shared" si="590"/>
        <v>0</v>
      </c>
    </row>
    <row r="7065" spans="28:34">
      <c r="AB7065" s="580">
        <f>HLOOKUP("*"&amp;'Output annual'!$AC$2&amp;'Output annual'!$AD$2&amp;"*Zone People Number Of Occupants [](Hourly)",'Eplus results'!$1:$1048576,ROW(),FALSE)</f>
        <v>0</v>
      </c>
      <c r="AC7065" s="580">
        <f>HLOOKUP("*"&amp;'Output annual'!$AC$2&amp;'Output annual'!$AD$2&amp;"*FangerPMV(Hourly)",'Eplus results'!$1:$1048576,ROW(),FALSE)</f>
        <v>0</v>
      </c>
      <c r="AD7065" s="580">
        <f t="shared" si="586"/>
        <v>5</v>
      </c>
      <c r="AE7065" s="580">
        <f t="shared" si="587"/>
        <v>2.5</v>
      </c>
      <c r="AF7065" s="580">
        <f t="shared" si="588"/>
        <v>2.5</v>
      </c>
      <c r="AG7065" s="580">
        <f t="shared" si="589"/>
        <v>0</v>
      </c>
      <c r="AH7065" s="580">
        <f t="shared" si="590"/>
        <v>0</v>
      </c>
    </row>
    <row r="7066" spans="28:34">
      <c r="AB7066" s="580">
        <f>HLOOKUP("*"&amp;'Output annual'!$AC$2&amp;'Output annual'!$AD$2&amp;"*Zone People Number Of Occupants [](Hourly)",'Eplus results'!$1:$1048576,ROW(),FALSE)</f>
        <v>0</v>
      </c>
      <c r="AC7066" s="580">
        <f>HLOOKUP("*"&amp;'Output annual'!$AC$2&amp;'Output annual'!$AD$2&amp;"*FangerPMV(Hourly)",'Eplus results'!$1:$1048576,ROW(),FALSE)</f>
        <v>0</v>
      </c>
      <c r="AD7066" s="580">
        <f t="shared" si="586"/>
        <v>5</v>
      </c>
      <c r="AE7066" s="580">
        <f t="shared" si="587"/>
        <v>2.5</v>
      </c>
      <c r="AF7066" s="580">
        <f t="shared" si="588"/>
        <v>2.5</v>
      </c>
      <c r="AG7066" s="580">
        <f t="shared" si="589"/>
        <v>0</v>
      </c>
      <c r="AH7066" s="580">
        <f t="shared" si="590"/>
        <v>0</v>
      </c>
    </row>
    <row r="7067" spans="28:34">
      <c r="AB7067" s="580">
        <f>HLOOKUP("*"&amp;'Output annual'!$AC$2&amp;'Output annual'!$AD$2&amp;"*Zone People Number Of Occupants [](Hourly)",'Eplus results'!$1:$1048576,ROW(),FALSE)</f>
        <v>0</v>
      </c>
      <c r="AC7067" s="580">
        <f>HLOOKUP("*"&amp;'Output annual'!$AC$2&amp;'Output annual'!$AD$2&amp;"*FangerPMV(Hourly)",'Eplus results'!$1:$1048576,ROW(),FALSE)</f>
        <v>0</v>
      </c>
      <c r="AD7067" s="580">
        <f t="shared" si="586"/>
        <v>5</v>
      </c>
      <c r="AE7067" s="580">
        <f t="shared" si="587"/>
        <v>2.5</v>
      </c>
      <c r="AF7067" s="580">
        <f t="shared" si="588"/>
        <v>2.5</v>
      </c>
      <c r="AG7067" s="580">
        <f t="shared" si="589"/>
        <v>0</v>
      </c>
      <c r="AH7067" s="580">
        <f t="shared" si="590"/>
        <v>0</v>
      </c>
    </row>
    <row r="7068" spans="28:34">
      <c r="AB7068" s="580">
        <f>HLOOKUP("*"&amp;'Output annual'!$AC$2&amp;'Output annual'!$AD$2&amp;"*Zone People Number Of Occupants [](Hourly)",'Eplus results'!$1:$1048576,ROW(),FALSE)</f>
        <v>0</v>
      </c>
      <c r="AC7068" s="580">
        <f>HLOOKUP("*"&amp;'Output annual'!$AC$2&amp;'Output annual'!$AD$2&amp;"*FangerPMV(Hourly)",'Eplus results'!$1:$1048576,ROW(),FALSE)</f>
        <v>0</v>
      </c>
      <c r="AD7068" s="580">
        <f t="shared" si="586"/>
        <v>5</v>
      </c>
      <c r="AE7068" s="580">
        <f t="shared" si="587"/>
        <v>2.5</v>
      </c>
      <c r="AF7068" s="580">
        <f t="shared" si="588"/>
        <v>2.5</v>
      </c>
      <c r="AG7068" s="580">
        <f t="shared" si="589"/>
        <v>0</v>
      </c>
      <c r="AH7068" s="580">
        <f t="shared" si="590"/>
        <v>0</v>
      </c>
    </row>
    <row r="7069" spans="28:34">
      <c r="AB7069" s="580">
        <f>HLOOKUP("*"&amp;'Output annual'!$AC$2&amp;'Output annual'!$AD$2&amp;"*Zone People Number Of Occupants [](Hourly)",'Eplus results'!$1:$1048576,ROW(),FALSE)</f>
        <v>0</v>
      </c>
      <c r="AC7069" s="580">
        <f>HLOOKUP("*"&amp;'Output annual'!$AC$2&amp;'Output annual'!$AD$2&amp;"*FangerPMV(Hourly)",'Eplus results'!$1:$1048576,ROW(),FALSE)</f>
        <v>0</v>
      </c>
      <c r="AD7069" s="580">
        <f t="shared" si="586"/>
        <v>5</v>
      </c>
      <c r="AE7069" s="580">
        <f t="shared" si="587"/>
        <v>2.5</v>
      </c>
      <c r="AF7069" s="580">
        <f t="shared" si="588"/>
        <v>2.5</v>
      </c>
      <c r="AG7069" s="580">
        <f t="shared" si="589"/>
        <v>0</v>
      </c>
      <c r="AH7069" s="580">
        <f t="shared" si="590"/>
        <v>0</v>
      </c>
    </row>
    <row r="7070" spans="28:34">
      <c r="AB7070" s="580">
        <f>HLOOKUP("*"&amp;'Output annual'!$AC$2&amp;'Output annual'!$AD$2&amp;"*Zone People Number Of Occupants [](Hourly)",'Eplus results'!$1:$1048576,ROW(),FALSE)</f>
        <v>0</v>
      </c>
      <c r="AC7070" s="580">
        <f>HLOOKUP("*"&amp;'Output annual'!$AC$2&amp;'Output annual'!$AD$2&amp;"*FangerPMV(Hourly)",'Eplus results'!$1:$1048576,ROW(),FALSE)</f>
        <v>0</v>
      </c>
      <c r="AD7070" s="580">
        <f t="shared" si="586"/>
        <v>5</v>
      </c>
      <c r="AE7070" s="580">
        <f t="shared" si="587"/>
        <v>2.5</v>
      </c>
      <c r="AF7070" s="580">
        <f t="shared" si="588"/>
        <v>2.5</v>
      </c>
      <c r="AG7070" s="580">
        <f t="shared" si="589"/>
        <v>0</v>
      </c>
      <c r="AH7070" s="580">
        <f t="shared" si="590"/>
        <v>0</v>
      </c>
    </row>
    <row r="7071" spans="28:34">
      <c r="AB7071" s="580">
        <f>HLOOKUP("*"&amp;'Output annual'!$AC$2&amp;'Output annual'!$AD$2&amp;"*Zone People Number Of Occupants [](Hourly)",'Eplus results'!$1:$1048576,ROW(),FALSE)</f>
        <v>0</v>
      </c>
      <c r="AC7071" s="580">
        <f>HLOOKUP("*"&amp;'Output annual'!$AC$2&amp;'Output annual'!$AD$2&amp;"*FangerPMV(Hourly)",'Eplus results'!$1:$1048576,ROW(),FALSE)</f>
        <v>0</v>
      </c>
      <c r="AD7071" s="580">
        <f t="shared" si="586"/>
        <v>5</v>
      </c>
      <c r="AE7071" s="580">
        <f t="shared" si="587"/>
        <v>2.5</v>
      </c>
      <c r="AF7071" s="580">
        <f t="shared" si="588"/>
        <v>2.5</v>
      </c>
      <c r="AG7071" s="580">
        <f t="shared" si="589"/>
        <v>0</v>
      </c>
      <c r="AH7071" s="580">
        <f t="shared" si="590"/>
        <v>0</v>
      </c>
    </row>
    <row r="7072" spans="28:34">
      <c r="AB7072" s="580">
        <f>HLOOKUP("*"&amp;'Output annual'!$AC$2&amp;'Output annual'!$AD$2&amp;"*Zone People Number Of Occupants [](Hourly)",'Eplus results'!$1:$1048576,ROW(),FALSE)</f>
        <v>0</v>
      </c>
      <c r="AC7072" s="580">
        <f>HLOOKUP("*"&amp;'Output annual'!$AC$2&amp;'Output annual'!$AD$2&amp;"*FangerPMV(Hourly)",'Eplus results'!$1:$1048576,ROW(),FALSE)</f>
        <v>0</v>
      </c>
      <c r="AD7072" s="580">
        <f t="shared" si="586"/>
        <v>5</v>
      </c>
      <c r="AE7072" s="580">
        <f t="shared" si="587"/>
        <v>2.5</v>
      </c>
      <c r="AF7072" s="580">
        <f t="shared" si="588"/>
        <v>2.5</v>
      </c>
      <c r="AG7072" s="580">
        <f t="shared" si="589"/>
        <v>0</v>
      </c>
      <c r="AH7072" s="580">
        <f t="shared" si="590"/>
        <v>0</v>
      </c>
    </row>
    <row r="7073" spans="28:34">
      <c r="AB7073" s="580">
        <f>HLOOKUP("*"&amp;'Output annual'!$AC$2&amp;'Output annual'!$AD$2&amp;"*Zone People Number Of Occupants [](Hourly)",'Eplus results'!$1:$1048576,ROW(),FALSE)</f>
        <v>0</v>
      </c>
      <c r="AC7073" s="580">
        <f>HLOOKUP("*"&amp;'Output annual'!$AC$2&amp;'Output annual'!$AD$2&amp;"*FangerPMV(Hourly)",'Eplus results'!$1:$1048576,ROW(),FALSE)</f>
        <v>0</v>
      </c>
      <c r="AD7073" s="580">
        <f t="shared" si="586"/>
        <v>5</v>
      </c>
      <c r="AE7073" s="580">
        <f t="shared" si="587"/>
        <v>2.5</v>
      </c>
      <c r="AF7073" s="580">
        <f t="shared" si="588"/>
        <v>2.5</v>
      </c>
      <c r="AG7073" s="580">
        <f t="shared" si="589"/>
        <v>0</v>
      </c>
      <c r="AH7073" s="580">
        <f t="shared" si="590"/>
        <v>0</v>
      </c>
    </row>
    <row r="7074" spans="28:34">
      <c r="AB7074" s="580">
        <f>HLOOKUP("*"&amp;'Output annual'!$AC$2&amp;'Output annual'!$AD$2&amp;"*Zone People Number Of Occupants [](Hourly)",'Eplus results'!$1:$1048576,ROW(),FALSE)</f>
        <v>0</v>
      </c>
      <c r="AC7074" s="580">
        <f>HLOOKUP("*"&amp;'Output annual'!$AC$2&amp;'Output annual'!$AD$2&amp;"*FangerPMV(Hourly)",'Eplus results'!$1:$1048576,ROW(),FALSE)</f>
        <v>0</v>
      </c>
      <c r="AD7074" s="580">
        <f t="shared" si="586"/>
        <v>5</v>
      </c>
      <c r="AE7074" s="580">
        <f t="shared" si="587"/>
        <v>2.5</v>
      </c>
      <c r="AF7074" s="580">
        <f t="shared" si="588"/>
        <v>2.5</v>
      </c>
      <c r="AG7074" s="580">
        <f t="shared" si="589"/>
        <v>0</v>
      </c>
      <c r="AH7074" s="580">
        <f t="shared" si="590"/>
        <v>0</v>
      </c>
    </row>
    <row r="7075" spans="28:34">
      <c r="AB7075" s="580">
        <f>HLOOKUP("*"&amp;'Output annual'!$AC$2&amp;'Output annual'!$AD$2&amp;"*Zone People Number Of Occupants [](Hourly)",'Eplus results'!$1:$1048576,ROW(),FALSE)</f>
        <v>0</v>
      </c>
      <c r="AC7075" s="580">
        <f>HLOOKUP("*"&amp;'Output annual'!$AC$2&amp;'Output annual'!$AD$2&amp;"*FangerPMV(Hourly)",'Eplus results'!$1:$1048576,ROW(),FALSE)</f>
        <v>0</v>
      </c>
      <c r="AD7075" s="580">
        <f t="shared" si="586"/>
        <v>5</v>
      </c>
      <c r="AE7075" s="580">
        <f t="shared" si="587"/>
        <v>2.5</v>
      </c>
      <c r="AF7075" s="580">
        <f t="shared" si="588"/>
        <v>2.5</v>
      </c>
      <c r="AG7075" s="580">
        <f t="shared" si="589"/>
        <v>0</v>
      </c>
      <c r="AH7075" s="580">
        <f t="shared" si="590"/>
        <v>0</v>
      </c>
    </row>
    <row r="7076" spans="28:34">
      <c r="AB7076" s="580">
        <f>HLOOKUP("*"&amp;'Output annual'!$AC$2&amp;'Output annual'!$AD$2&amp;"*Zone People Number Of Occupants [](Hourly)",'Eplus results'!$1:$1048576,ROW(),FALSE)</f>
        <v>0</v>
      </c>
      <c r="AC7076" s="580">
        <f>HLOOKUP("*"&amp;'Output annual'!$AC$2&amp;'Output annual'!$AD$2&amp;"*FangerPMV(Hourly)",'Eplus results'!$1:$1048576,ROW(),FALSE)</f>
        <v>0</v>
      </c>
      <c r="AD7076" s="580">
        <f t="shared" si="586"/>
        <v>5</v>
      </c>
      <c r="AE7076" s="580">
        <f t="shared" si="587"/>
        <v>2.5</v>
      </c>
      <c r="AF7076" s="580">
        <f t="shared" si="588"/>
        <v>2.5</v>
      </c>
      <c r="AG7076" s="580">
        <f t="shared" si="589"/>
        <v>0</v>
      </c>
      <c r="AH7076" s="580">
        <f t="shared" si="590"/>
        <v>0</v>
      </c>
    </row>
    <row r="7077" spans="28:34">
      <c r="AB7077" s="580">
        <f>HLOOKUP("*"&amp;'Output annual'!$AC$2&amp;'Output annual'!$AD$2&amp;"*Zone People Number Of Occupants [](Hourly)",'Eplus results'!$1:$1048576,ROW(),FALSE)</f>
        <v>0</v>
      </c>
      <c r="AC7077" s="580">
        <f>HLOOKUP("*"&amp;'Output annual'!$AC$2&amp;'Output annual'!$AD$2&amp;"*FangerPMV(Hourly)",'Eplus results'!$1:$1048576,ROW(),FALSE)</f>
        <v>0</v>
      </c>
      <c r="AD7077" s="580">
        <f t="shared" si="586"/>
        <v>5</v>
      </c>
      <c r="AE7077" s="580">
        <f t="shared" si="587"/>
        <v>2.5</v>
      </c>
      <c r="AF7077" s="580">
        <f t="shared" si="588"/>
        <v>2.5</v>
      </c>
      <c r="AG7077" s="580">
        <f t="shared" si="589"/>
        <v>0</v>
      </c>
      <c r="AH7077" s="580">
        <f t="shared" si="590"/>
        <v>0</v>
      </c>
    </row>
    <row r="7078" spans="28:34">
      <c r="AB7078" s="580">
        <f>HLOOKUP("*"&amp;'Output annual'!$AC$2&amp;'Output annual'!$AD$2&amp;"*Zone People Number Of Occupants [](Hourly)",'Eplus results'!$1:$1048576,ROW(),FALSE)</f>
        <v>0</v>
      </c>
      <c r="AC7078" s="580">
        <f>HLOOKUP("*"&amp;'Output annual'!$AC$2&amp;'Output annual'!$AD$2&amp;"*FangerPMV(Hourly)",'Eplus results'!$1:$1048576,ROW(),FALSE)</f>
        <v>0</v>
      </c>
      <c r="AD7078" s="580">
        <f t="shared" si="586"/>
        <v>5</v>
      </c>
      <c r="AE7078" s="580">
        <f t="shared" si="587"/>
        <v>2.5</v>
      </c>
      <c r="AF7078" s="580">
        <f t="shared" si="588"/>
        <v>2.5</v>
      </c>
      <c r="AG7078" s="580">
        <f t="shared" si="589"/>
        <v>0</v>
      </c>
      <c r="AH7078" s="580">
        <f t="shared" si="590"/>
        <v>0</v>
      </c>
    </row>
    <row r="7079" spans="28:34">
      <c r="AB7079" s="580">
        <f>HLOOKUP("*"&amp;'Output annual'!$AC$2&amp;'Output annual'!$AD$2&amp;"*Zone People Number Of Occupants [](Hourly)",'Eplus results'!$1:$1048576,ROW(),FALSE)</f>
        <v>0</v>
      </c>
      <c r="AC7079" s="580">
        <f>HLOOKUP("*"&amp;'Output annual'!$AC$2&amp;'Output annual'!$AD$2&amp;"*FangerPMV(Hourly)",'Eplus results'!$1:$1048576,ROW(),FALSE)</f>
        <v>0</v>
      </c>
      <c r="AD7079" s="580">
        <f t="shared" si="586"/>
        <v>5</v>
      </c>
      <c r="AE7079" s="580">
        <f t="shared" si="587"/>
        <v>2.5</v>
      </c>
      <c r="AF7079" s="580">
        <f t="shared" si="588"/>
        <v>2.5</v>
      </c>
      <c r="AG7079" s="580">
        <f t="shared" si="589"/>
        <v>0</v>
      </c>
      <c r="AH7079" s="580">
        <f t="shared" si="590"/>
        <v>0</v>
      </c>
    </row>
    <row r="7080" spans="28:34">
      <c r="AB7080" s="580">
        <f>HLOOKUP("*"&amp;'Output annual'!$AC$2&amp;'Output annual'!$AD$2&amp;"*Zone People Number Of Occupants [](Hourly)",'Eplus results'!$1:$1048576,ROW(),FALSE)</f>
        <v>0</v>
      </c>
      <c r="AC7080" s="580">
        <f>HLOOKUP("*"&amp;'Output annual'!$AC$2&amp;'Output annual'!$AD$2&amp;"*FangerPMV(Hourly)",'Eplus results'!$1:$1048576,ROW(),FALSE)</f>
        <v>0</v>
      </c>
      <c r="AD7080" s="580">
        <f t="shared" si="586"/>
        <v>5</v>
      </c>
      <c r="AE7080" s="580">
        <f t="shared" si="587"/>
        <v>2.5</v>
      </c>
      <c r="AF7080" s="580">
        <f t="shared" si="588"/>
        <v>2.5</v>
      </c>
      <c r="AG7080" s="580">
        <f t="shared" si="589"/>
        <v>0</v>
      </c>
      <c r="AH7080" s="580">
        <f t="shared" si="590"/>
        <v>0</v>
      </c>
    </row>
    <row r="7081" spans="28:34">
      <c r="AB7081" s="580">
        <f>HLOOKUP("*"&amp;'Output annual'!$AC$2&amp;'Output annual'!$AD$2&amp;"*Zone People Number Of Occupants [](Hourly)",'Eplus results'!$1:$1048576,ROW(),FALSE)</f>
        <v>0</v>
      </c>
      <c r="AC7081" s="580">
        <f>HLOOKUP("*"&amp;'Output annual'!$AC$2&amp;'Output annual'!$AD$2&amp;"*FangerPMV(Hourly)",'Eplus results'!$1:$1048576,ROW(),FALSE)</f>
        <v>0</v>
      </c>
      <c r="AD7081" s="580">
        <f t="shared" si="586"/>
        <v>5</v>
      </c>
      <c r="AE7081" s="580">
        <f t="shared" si="587"/>
        <v>2.5</v>
      </c>
      <c r="AF7081" s="580">
        <f t="shared" si="588"/>
        <v>2.5</v>
      </c>
      <c r="AG7081" s="580">
        <f t="shared" si="589"/>
        <v>0</v>
      </c>
      <c r="AH7081" s="580">
        <f t="shared" si="590"/>
        <v>0</v>
      </c>
    </row>
    <row r="7082" spans="28:34">
      <c r="AB7082" s="580">
        <f>HLOOKUP("*"&amp;'Output annual'!$AC$2&amp;'Output annual'!$AD$2&amp;"*Zone People Number Of Occupants [](Hourly)",'Eplus results'!$1:$1048576,ROW(),FALSE)</f>
        <v>0</v>
      </c>
      <c r="AC7082" s="580">
        <f>HLOOKUP("*"&amp;'Output annual'!$AC$2&amp;'Output annual'!$AD$2&amp;"*FangerPMV(Hourly)",'Eplus results'!$1:$1048576,ROW(),FALSE)</f>
        <v>0</v>
      </c>
      <c r="AD7082" s="580">
        <f t="shared" si="586"/>
        <v>5</v>
      </c>
      <c r="AE7082" s="580">
        <f t="shared" si="587"/>
        <v>2.5</v>
      </c>
      <c r="AF7082" s="580">
        <f t="shared" si="588"/>
        <v>2.5</v>
      </c>
      <c r="AG7082" s="580">
        <f t="shared" si="589"/>
        <v>0</v>
      </c>
      <c r="AH7082" s="580">
        <f t="shared" si="590"/>
        <v>0</v>
      </c>
    </row>
    <row r="7083" spans="28:34">
      <c r="AB7083" s="580">
        <f>HLOOKUP("*"&amp;'Output annual'!$AC$2&amp;'Output annual'!$AD$2&amp;"*Zone People Number Of Occupants [](Hourly)",'Eplus results'!$1:$1048576,ROW(),FALSE)</f>
        <v>0</v>
      </c>
      <c r="AC7083" s="580">
        <f>HLOOKUP("*"&amp;'Output annual'!$AC$2&amp;'Output annual'!$AD$2&amp;"*FangerPMV(Hourly)",'Eplus results'!$1:$1048576,ROW(),FALSE)</f>
        <v>0</v>
      </c>
      <c r="AD7083" s="580">
        <f t="shared" si="586"/>
        <v>5</v>
      </c>
      <c r="AE7083" s="580">
        <f t="shared" si="587"/>
        <v>2.5</v>
      </c>
      <c r="AF7083" s="580">
        <f t="shared" si="588"/>
        <v>2.5</v>
      </c>
      <c r="AG7083" s="580">
        <f t="shared" si="589"/>
        <v>0</v>
      </c>
      <c r="AH7083" s="580">
        <f t="shared" si="590"/>
        <v>0</v>
      </c>
    </row>
    <row r="7084" spans="28:34">
      <c r="AB7084" s="580">
        <f>HLOOKUP("*"&amp;'Output annual'!$AC$2&amp;'Output annual'!$AD$2&amp;"*Zone People Number Of Occupants [](Hourly)",'Eplus results'!$1:$1048576,ROW(),FALSE)</f>
        <v>0</v>
      </c>
      <c r="AC7084" s="580">
        <f>HLOOKUP("*"&amp;'Output annual'!$AC$2&amp;'Output annual'!$AD$2&amp;"*FangerPMV(Hourly)",'Eplus results'!$1:$1048576,ROW(),FALSE)</f>
        <v>0</v>
      </c>
      <c r="AD7084" s="580">
        <f t="shared" si="586"/>
        <v>5</v>
      </c>
      <c r="AE7084" s="580">
        <f t="shared" si="587"/>
        <v>2.5</v>
      </c>
      <c r="AF7084" s="580">
        <f t="shared" si="588"/>
        <v>2.5</v>
      </c>
      <c r="AG7084" s="580">
        <f t="shared" si="589"/>
        <v>0</v>
      </c>
      <c r="AH7084" s="580">
        <f t="shared" si="590"/>
        <v>0</v>
      </c>
    </row>
    <row r="7085" spans="28:34">
      <c r="AB7085" s="580">
        <f>HLOOKUP("*"&amp;'Output annual'!$AC$2&amp;'Output annual'!$AD$2&amp;"*Zone People Number Of Occupants [](Hourly)",'Eplus results'!$1:$1048576,ROW(),FALSE)</f>
        <v>0</v>
      </c>
      <c r="AC7085" s="580">
        <f>HLOOKUP("*"&amp;'Output annual'!$AC$2&amp;'Output annual'!$AD$2&amp;"*FangerPMV(Hourly)",'Eplus results'!$1:$1048576,ROW(),FALSE)</f>
        <v>0</v>
      </c>
      <c r="AD7085" s="580">
        <f t="shared" si="586"/>
        <v>5</v>
      </c>
      <c r="AE7085" s="580">
        <f t="shared" si="587"/>
        <v>2.5</v>
      </c>
      <c r="AF7085" s="580">
        <f t="shared" si="588"/>
        <v>2.5</v>
      </c>
      <c r="AG7085" s="580">
        <f t="shared" si="589"/>
        <v>0</v>
      </c>
      <c r="AH7085" s="580">
        <f t="shared" si="590"/>
        <v>0</v>
      </c>
    </row>
    <row r="7086" spans="28:34">
      <c r="AB7086" s="580">
        <f>HLOOKUP("*"&amp;'Output annual'!$AC$2&amp;'Output annual'!$AD$2&amp;"*Zone People Number Of Occupants [](Hourly)",'Eplus results'!$1:$1048576,ROW(),FALSE)</f>
        <v>0</v>
      </c>
      <c r="AC7086" s="580">
        <f>HLOOKUP("*"&amp;'Output annual'!$AC$2&amp;'Output annual'!$AD$2&amp;"*FangerPMV(Hourly)",'Eplus results'!$1:$1048576,ROW(),FALSE)</f>
        <v>0</v>
      </c>
      <c r="AD7086" s="580">
        <f t="shared" si="586"/>
        <v>5</v>
      </c>
      <c r="AE7086" s="580">
        <f t="shared" si="587"/>
        <v>2.5</v>
      </c>
      <c r="AF7086" s="580">
        <f t="shared" si="588"/>
        <v>2.5</v>
      </c>
      <c r="AG7086" s="580">
        <f t="shared" si="589"/>
        <v>0</v>
      </c>
      <c r="AH7086" s="580">
        <f t="shared" si="590"/>
        <v>0</v>
      </c>
    </row>
    <row r="7087" spans="28:34">
      <c r="AB7087" s="580">
        <f>HLOOKUP("*"&amp;'Output annual'!$AC$2&amp;'Output annual'!$AD$2&amp;"*Zone People Number Of Occupants [](Hourly)",'Eplus results'!$1:$1048576,ROW(),FALSE)</f>
        <v>0</v>
      </c>
      <c r="AC7087" s="580">
        <f>HLOOKUP("*"&amp;'Output annual'!$AC$2&amp;'Output annual'!$AD$2&amp;"*FangerPMV(Hourly)",'Eplus results'!$1:$1048576,ROW(),FALSE)</f>
        <v>0</v>
      </c>
      <c r="AD7087" s="580">
        <f t="shared" si="586"/>
        <v>5</v>
      </c>
      <c r="AE7087" s="580">
        <f t="shared" si="587"/>
        <v>2.5</v>
      </c>
      <c r="AF7087" s="580">
        <f t="shared" si="588"/>
        <v>2.5</v>
      </c>
      <c r="AG7087" s="580">
        <f t="shared" si="589"/>
        <v>0</v>
      </c>
      <c r="AH7087" s="580">
        <f t="shared" si="590"/>
        <v>0</v>
      </c>
    </row>
    <row r="7088" spans="28:34">
      <c r="AB7088" s="580">
        <f>HLOOKUP("*"&amp;'Output annual'!$AC$2&amp;'Output annual'!$AD$2&amp;"*Zone People Number Of Occupants [](Hourly)",'Eplus results'!$1:$1048576,ROW(),FALSE)</f>
        <v>0</v>
      </c>
      <c r="AC7088" s="580">
        <f>HLOOKUP("*"&amp;'Output annual'!$AC$2&amp;'Output annual'!$AD$2&amp;"*FangerPMV(Hourly)",'Eplus results'!$1:$1048576,ROW(),FALSE)</f>
        <v>0</v>
      </c>
      <c r="AD7088" s="580">
        <f t="shared" si="586"/>
        <v>5</v>
      </c>
      <c r="AE7088" s="580">
        <f t="shared" si="587"/>
        <v>2.5</v>
      </c>
      <c r="AF7088" s="580">
        <f t="shared" si="588"/>
        <v>2.5</v>
      </c>
      <c r="AG7088" s="580">
        <f t="shared" si="589"/>
        <v>0</v>
      </c>
      <c r="AH7088" s="580">
        <f t="shared" si="590"/>
        <v>0</v>
      </c>
    </row>
    <row r="7089" spans="28:34">
      <c r="AB7089" s="580">
        <f>HLOOKUP("*"&amp;'Output annual'!$AC$2&amp;'Output annual'!$AD$2&amp;"*Zone People Number Of Occupants [](Hourly)",'Eplus results'!$1:$1048576,ROW(),FALSE)</f>
        <v>0</v>
      </c>
      <c r="AC7089" s="580">
        <f>HLOOKUP("*"&amp;'Output annual'!$AC$2&amp;'Output annual'!$AD$2&amp;"*FangerPMV(Hourly)",'Eplus results'!$1:$1048576,ROW(),FALSE)</f>
        <v>0</v>
      </c>
      <c r="AD7089" s="580">
        <f t="shared" si="586"/>
        <v>5</v>
      </c>
      <c r="AE7089" s="580">
        <f t="shared" si="587"/>
        <v>2.5</v>
      </c>
      <c r="AF7089" s="580">
        <f t="shared" si="588"/>
        <v>2.5</v>
      </c>
      <c r="AG7089" s="580">
        <f t="shared" si="589"/>
        <v>0</v>
      </c>
      <c r="AH7089" s="580">
        <f t="shared" si="590"/>
        <v>0</v>
      </c>
    </row>
    <row r="7090" spans="28:34">
      <c r="AB7090" s="580">
        <f>HLOOKUP("*"&amp;'Output annual'!$AC$2&amp;'Output annual'!$AD$2&amp;"*Zone People Number Of Occupants [](Hourly)",'Eplus results'!$1:$1048576,ROW(),FALSE)</f>
        <v>0</v>
      </c>
      <c r="AC7090" s="580">
        <f>HLOOKUP("*"&amp;'Output annual'!$AC$2&amp;'Output annual'!$AD$2&amp;"*FangerPMV(Hourly)",'Eplus results'!$1:$1048576,ROW(),FALSE)</f>
        <v>0</v>
      </c>
      <c r="AD7090" s="580">
        <f t="shared" si="586"/>
        <v>5</v>
      </c>
      <c r="AE7090" s="580">
        <f t="shared" si="587"/>
        <v>2.5</v>
      </c>
      <c r="AF7090" s="580">
        <f t="shared" si="588"/>
        <v>2.5</v>
      </c>
      <c r="AG7090" s="580">
        <f t="shared" si="589"/>
        <v>0</v>
      </c>
      <c r="AH7090" s="580">
        <f t="shared" si="590"/>
        <v>0</v>
      </c>
    </row>
    <row r="7091" spans="28:34">
      <c r="AB7091" s="580">
        <f>HLOOKUP("*"&amp;'Output annual'!$AC$2&amp;'Output annual'!$AD$2&amp;"*Zone People Number Of Occupants [](Hourly)",'Eplus results'!$1:$1048576,ROW(),FALSE)</f>
        <v>0</v>
      </c>
      <c r="AC7091" s="580">
        <f>HLOOKUP("*"&amp;'Output annual'!$AC$2&amp;'Output annual'!$AD$2&amp;"*FangerPMV(Hourly)",'Eplus results'!$1:$1048576,ROW(),FALSE)</f>
        <v>0</v>
      </c>
      <c r="AD7091" s="580">
        <f t="shared" si="586"/>
        <v>5</v>
      </c>
      <c r="AE7091" s="580">
        <f t="shared" si="587"/>
        <v>2.5</v>
      </c>
      <c r="AF7091" s="580">
        <f t="shared" si="588"/>
        <v>2.5</v>
      </c>
      <c r="AG7091" s="580">
        <f t="shared" si="589"/>
        <v>0</v>
      </c>
      <c r="AH7091" s="580">
        <f t="shared" si="590"/>
        <v>0</v>
      </c>
    </row>
    <row r="7092" spans="28:34">
      <c r="AB7092" s="580">
        <f>HLOOKUP("*"&amp;'Output annual'!$AC$2&amp;'Output annual'!$AD$2&amp;"*Zone People Number Of Occupants [](Hourly)",'Eplus results'!$1:$1048576,ROW(),FALSE)</f>
        <v>0</v>
      </c>
      <c r="AC7092" s="580">
        <f>HLOOKUP("*"&amp;'Output annual'!$AC$2&amp;'Output annual'!$AD$2&amp;"*FangerPMV(Hourly)",'Eplus results'!$1:$1048576,ROW(),FALSE)</f>
        <v>0</v>
      </c>
      <c r="AD7092" s="580">
        <f t="shared" si="586"/>
        <v>5</v>
      </c>
      <c r="AE7092" s="580">
        <f t="shared" si="587"/>
        <v>2.5</v>
      </c>
      <c r="AF7092" s="580">
        <f t="shared" si="588"/>
        <v>2.5</v>
      </c>
      <c r="AG7092" s="580">
        <f t="shared" si="589"/>
        <v>0</v>
      </c>
      <c r="AH7092" s="580">
        <f t="shared" si="590"/>
        <v>0</v>
      </c>
    </row>
    <row r="7093" spans="28:34">
      <c r="AB7093" s="580">
        <f>HLOOKUP("*"&amp;'Output annual'!$AC$2&amp;'Output annual'!$AD$2&amp;"*Zone People Number Of Occupants [](Hourly)",'Eplus results'!$1:$1048576,ROW(),FALSE)</f>
        <v>0</v>
      </c>
      <c r="AC7093" s="580">
        <f>HLOOKUP("*"&amp;'Output annual'!$AC$2&amp;'Output annual'!$AD$2&amp;"*FangerPMV(Hourly)",'Eplus results'!$1:$1048576,ROW(),FALSE)</f>
        <v>0</v>
      </c>
      <c r="AD7093" s="580">
        <f t="shared" si="586"/>
        <v>5</v>
      </c>
      <c r="AE7093" s="580">
        <f t="shared" si="587"/>
        <v>2.5</v>
      </c>
      <c r="AF7093" s="580">
        <f t="shared" si="588"/>
        <v>2.5</v>
      </c>
      <c r="AG7093" s="580">
        <f t="shared" si="589"/>
        <v>0</v>
      </c>
      <c r="AH7093" s="580">
        <f t="shared" si="590"/>
        <v>0</v>
      </c>
    </row>
    <row r="7094" spans="28:34">
      <c r="AB7094" s="580">
        <f>HLOOKUP("*"&amp;'Output annual'!$AC$2&amp;'Output annual'!$AD$2&amp;"*Zone People Number Of Occupants [](Hourly)",'Eplus results'!$1:$1048576,ROW(),FALSE)</f>
        <v>0</v>
      </c>
      <c r="AC7094" s="580">
        <f>HLOOKUP("*"&amp;'Output annual'!$AC$2&amp;'Output annual'!$AD$2&amp;"*FangerPMV(Hourly)",'Eplus results'!$1:$1048576,ROW(),FALSE)</f>
        <v>0</v>
      </c>
      <c r="AD7094" s="580">
        <f t="shared" si="586"/>
        <v>5</v>
      </c>
      <c r="AE7094" s="580">
        <f t="shared" si="587"/>
        <v>2.5</v>
      </c>
      <c r="AF7094" s="580">
        <f t="shared" si="588"/>
        <v>2.5</v>
      </c>
      <c r="AG7094" s="580">
        <f t="shared" si="589"/>
        <v>0</v>
      </c>
      <c r="AH7094" s="580">
        <f t="shared" si="590"/>
        <v>0</v>
      </c>
    </row>
    <row r="7095" spans="28:34">
      <c r="AB7095" s="580">
        <f>HLOOKUP("*"&amp;'Output annual'!$AC$2&amp;'Output annual'!$AD$2&amp;"*Zone People Number Of Occupants [](Hourly)",'Eplus results'!$1:$1048576,ROW(),FALSE)</f>
        <v>0</v>
      </c>
      <c r="AC7095" s="580">
        <f>HLOOKUP("*"&amp;'Output annual'!$AC$2&amp;'Output annual'!$AD$2&amp;"*FangerPMV(Hourly)",'Eplus results'!$1:$1048576,ROW(),FALSE)</f>
        <v>0</v>
      </c>
      <c r="AD7095" s="580">
        <f t="shared" si="586"/>
        <v>5</v>
      </c>
      <c r="AE7095" s="580">
        <f t="shared" si="587"/>
        <v>2.5</v>
      </c>
      <c r="AF7095" s="580">
        <f t="shared" si="588"/>
        <v>2.5</v>
      </c>
      <c r="AG7095" s="580">
        <f t="shared" si="589"/>
        <v>0</v>
      </c>
      <c r="AH7095" s="580">
        <f t="shared" si="590"/>
        <v>0</v>
      </c>
    </row>
    <row r="7096" spans="28:34">
      <c r="AB7096" s="580">
        <f>HLOOKUP("*"&amp;'Output annual'!$AC$2&amp;'Output annual'!$AD$2&amp;"*Zone People Number Of Occupants [](Hourly)",'Eplus results'!$1:$1048576,ROW(),FALSE)</f>
        <v>0</v>
      </c>
      <c r="AC7096" s="580">
        <f>HLOOKUP("*"&amp;'Output annual'!$AC$2&amp;'Output annual'!$AD$2&amp;"*FangerPMV(Hourly)",'Eplus results'!$1:$1048576,ROW(),FALSE)</f>
        <v>0</v>
      </c>
      <c r="AD7096" s="580">
        <f t="shared" si="586"/>
        <v>5</v>
      </c>
      <c r="AE7096" s="580">
        <f t="shared" si="587"/>
        <v>2.5</v>
      </c>
      <c r="AF7096" s="580">
        <f t="shared" si="588"/>
        <v>2.5</v>
      </c>
      <c r="AG7096" s="580">
        <f t="shared" si="589"/>
        <v>0</v>
      </c>
      <c r="AH7096" s="580">
        <f t="shared" si="590"/>
        <v>0</v>
      </c>
    </row>
    <row r="7097" spans="28:34">
      <c r="AB7097" s="580">
        <f>HLOOKUP("*"&amp;'Output annual'!$AC$2&amp;'Output annual'!$AD$2&amp;"*Zone People Number Of Occupants [](Hourly)",'Eplus results'!$1:$1048576,ROW(),FALSE)</f>
        <v>0</v>
      </c>
      <c r="AC7097" s="580">
        <f>HLOOKUP("*"&amp;'Output annual'!$AC$2&amp;'Output annual'!$AD$2&amp;"*FangerPMV(Hourly)",'Eplus results'!$1:$1048576,ROW(),FALSE)</f>
        <v>0</v>
      </c>
      <c r="AD7097" s="580">
        <f t="shared" si="586"/>
        <v>5</v>
      </c>
      <c r="AE7097" s="580">
        <f t="shared" si="587"/>
        <v>2.5</v>
      </c>
      <c r="AF7097" s="580">
        <f t="shared" si="588"/>
        <v>2.5</v>
      </c>
      <c r="AG7097" s="580">
        <f t="shared" si="589"/>
        <v>0</v>
      </c>
      <c r="AH7097" s="580">
        <f t="shared" si="590"/>
        <v>0</v>
      </c>
    </row>
    <row r="7098" spans="28:34">
      <c r="AB7098" s="580">
        <f>HLOOKUP("*"&amp;'Output annual'!$AC$2&amp;'Output annual'!$AD$2&amp;"*Zone People Number Of Occupants [](Hourly)",'Eplus results'!$1:$1048576,ROW(),FALSE)</f>
        <v>0</v>
      </c>
      <c r="AC7098" s="580">
        <f>HLOOKUP("*"&amp;'Output annual'!$AC$2&amp;'Output annual'!$AD$2&amp;"*FangerPMV(Hourly)",'Eplus results'!$1:$1048576,ROW(),FALSE)</f>
        <v>0</v>
      </c>
      <c r="AD7098" s="580">
        <f t="shared" si="586"/>
        <v>5</v>
      </c>
      <c r="AE7098" s="580">
        <f t="shared" si="587"/>
        <v>2.5</v>
      </c>
      <c r="AF7098" s="580">
        <f t="shared" si="588"/>
        <v>2.5</v>
      </c>
      <c r="AG7098" s="580">
        <f t="shared" si="589"/>
        <v>0</v>
      </c>
      <c r="AH7098" s="580">
        <f t="shared" si="590"/>
        <v>0</v>
      </c>
    </row>
    <row r="7099" spans="28:34">
      <c r="AB7099" s="580">
        <f>HLOOKUP("*"&amp;'Output annual'!$AC$2&amp;'Output annual'!$AD$2&amp;"*Zone People Number Of Occupants [](Hourly)",'Eplus results'!$1:$1048576,ROW(),FALSE)</f>
        <v>0</v>
      </c>
      <c r="AC7099" s="580">
        <f>HLOOKUP("*"&amp;'Output annual'!$AC$2&amp;'Output annual'!$AD$2&amp;"*FangerPMV(Hourly)",'Eplus results'!$1:$1048576,ROW(),FALSE)</f>
        <v>0</v>
      </c>
      <c r="AD7099" s="580">
        <f t="shared" si="586"/>
        <v>5</v>
      </c>
      <c r="AE7099" s="580">
        <f t="shared" si="587"/>
        <v>2.5</v>
      </c>
      <c r="AF7099" s="580">
        <f t="shared" si="588"/>
        <v>2.5</v>
      </c>
      <c r="AG7099" s="580">
        <f t="shared" si="589"/>
        <v>0</v>
      </c>
      <c r="AH7099" s="580">
        <f t="shared" si="590"/>
        <v>0</v>
      </c>
    </row>
    <row r="7100" spans="28:34">
      <c r="AB7100" s="580">
        <f>HLOOKUP("*"&amp;'Output annual'!$AC$2&amp;'Output annual'!$AD$2&amp;"*Zone People Number Of Occupants [](Hourly)",'Eplus results'!$1:$1048576,ROW(),FALSE)</f>
        <v>0</v>
      </c>
      <c r="AC7100" s="580">
        <f>HLOOKUP("*"&amp;'Output annual'!$AC$2&amp;'Output annual'!$AD$2&amp;"*FangerPMV(Hourly)",'Eplus results'!$1:$1048576,ROW(),FALSE)</f>
        <v>0</v>
      </c>
      <c r="AD7100" s="580">
        <f t="shared" si="586"/>
        <v>5</v>
      </c>
      <c r="AE7100" s="580">
        <f t="shared" si="587"/>
        <v>2.5</v>
      </c>
      <c r="AF7100" s="580">
        <f t="shared" si="588"/>
        <v>2.5</v>
      </c>
      <c r="AG7100" s="580">
        <f t="shared" si="589"/>
        <v>0</v>
      </c>
      <c r="AH7100" s="580">
        <f t="shared" si="590"/>
        <v>0</v>
      </c>
    </row>
    <row r="7101" spans="28:34">
      <c r="AB7101" s="580">
        <f>HLOOKUP("*"&amp;'Output annual'!$AC$2&amp;'Output annual'!$AD$2&amp;"*Zone People Number Of Occupants [](Hourly)",'Eplus results'!$1:$1048576,ROW(),FALSE)</f>
        <v>0</v>
      </c>
      <c r="AC7101" s="580">
        <f>HLOOKUP("*"&amp;'Output annual'!$AC$2&amp;'Output annual'!$AD$2&amp;"*FangerPMV(Hourly)",'Eplus results'!$1:$1048576,ROW(),FALSE)</f>
        <v>0</v>
      </c>
      <c r="AD7101" s="580">
        <f t="shared" si="586"/>
        <v>5</v>
      </c>
      <c r="AE7101" s="580">
        <f t="shared" si="587"/>
        <v>2.5</v>
      </c>
      <c r="AF7101" s="580">
        <f t="shared" si="588"/>
        <v>2.5</v>
      </c>
      <c r="AG7101" s="580">
        <f t="shared" si="589"/>
        <v>0</v>
      </c>
      <c r="AH7101" s="580">
        <f t="shared" si="590"/>
        <v>0</v>
      </c>
    </row>
    <row r="7102" spans="28:34">
      <c r="AB7102" s="580">
        <f>HLOOKUP("*"&amp;'Output annual'!$AC$2&amp;'Output annual'!$AD$2&amp;"*Zone People Number Of Occupants [](Hourly)",'Eplus results'!$1:$1048576,ROW(),FALSE)</f>
        <v>0</v>
      </c>
      <c r="AC7102" s="580">
        <f>HLOOKUP("*"&amp;'Output annual'!$AC$2&amp;'Output annual'!$AD$2&amp;"*FangerPMV(Hourly)",'Eplus results'!$1:$1048576,ROW(),FALSE)</f>
        <v>0</v>
      </c>
      <c r="AD7102" s="580">
        <f t="shared" si="586"/>
        <v>5</v>
      </c>
      <c r="AE7102" s="580">
        <f t="shared" si="587"/>
        <v>2.5</v>
      </c>
      <c r="AF7102" s="580">
        <f t="shared" si="588"/>
        <v>2.5</v>
      </c>
      <c r="AG7102" s="580">
        <f t="shared" si="589"/>
        <v>0</v>
      </c>
      <c r="AH7102" s="580">
        <f t="shared" si="590"/>
        <v>0</v>
      </c>
    </row>
    <row r="7103" spans="28:34">
      <c r="AB7103" s="580">
        <f>HLOOKUP("*"&amp;'Output annual'!$AC$2&amp;'Output annual'!$AD$2&amp;"*Zone People Number Of Occupants [](Hourly)",'Eplus results'!$1:$1048576,ROW(),FALSE)</f>
        <v>0</v>
      </c>
      <c r="AC7103" s="580">
        <f>HLOOKUP("*"&amp;'Output annual'!$AC$2&amp;'Output annual'!$AD$2&amp;"*FangerPMV(Hourly)",'Eplus results'!$1:$1048576,ROW(),FALSE)</f>
        <v>0</v>
      </c>
      <c r="AD7103" s="580">
        <f t="shared" si="586"/>
        <v>5</v>
      </c>
      <c r="AE7103" s="580">
        <f t="shared" si="587"/>
        <v>2.5</v>
      </c>
      <c r="AF7103" s="580">
        <f t="shared" si="588"/>
        <v>2.5</v>
      </c>
      <c r="AG7103" s="580">
        <f t="shared" si="589"/>
        <v>0</v>
      </c>
      <c r="AH7103" s="580">
        <f t="shared" si="590"/>
        <v>0</v>
      </c>
    </row>
    <row r="7104" spans="28:34">
      <c r="AB7104" s="580">
        <f>HLOOKUP("*"&amp;'Output annual'!$AC$2&amp;'Output annual'!$AD$2&amp;"*Zone People Number Of Occupants [](Hourly)",'Eplus results'!$1:$1048576,ROW(),FALSE)</f>
        <v>0</v>
      </c>
      <c r="AC7104" s="580">
        <f>HLOOKUP("*"&amp;'Output annual'!$AC$2&amp;'Output annual'!$AD$2&amp;"*FangerPMV(Hourly)",'Eplus results'!$1:$1048576,ROW(),FALSE)</f>
        <v>0</v>
      </c>
      <c r="AD7104" s="580">
        <f t="shared" si="586"/>
        <v>5</v>
      </c>
      <c r="AE7104" s="580">
        <f t="shared" si="587"/>
        <v>2.5</v>
      </c>
      <c r="AF7104" s="580">
        <f t="shared" si="588"/>
        <v>2.5</v>
      </c>
      <c r="AG7104" s="580">
        <f t="shared" si="589"/>
        <v>0</v>
      </c>
      <c r="AH7104" s="580">
        <f t="shared" si="590"/>
        <v>0</v>
      </c>
    </row>
    <row r="7105" spans="28:34">
      <c r="AB7105" s="580">
        <f>HLOOKUP("*"&amp;'Output annual'!$AC$2&amp;'Output annual'!$AD$2&amp;"*Zone People Number Of Occupants [](Hourly)",'Eplus results'!$1:$1048576,ROW(),FALSE)</f>
        <v>0</v>
      </c>
      <c r="AC7105" s="580">
        <f>HLOOKUP("*"&amp;'Output annual'!$AC$2&amp;'Output annual'!$AD$2&amp;"*FangerPMV(Hourly)",'Eplus results'!$1:$1048576,ROW(),FALSE)</f>
        <v>0</v>
      </c>
      <c r="AD7105" s="580">
        <f t="shared" si="586"/>
        <v>5</v>
      </c>
      <c r="AE7105" s="580">
        <f t="shared" si="587"/>
        <v>2.5</v>
      </c>
      <c r="AF7105" s="580">
        <f t="shared" si="588"/>
        <v>2.5</v>
      </c>
      <c r="AG7105" s="580">
        <f t="shared" si="589"/>
        <v>0</v>
      </c>
      <c r="AH7105" s="580">
        <f t="shared" si="590"/>
        <v>0</v>
      </c>
    </row>
    <row r="7106" spans="28:34">
      <c r="AB7106" s="580">
        <f>HLOOKUP("*"&amp;'Output annual'!$AC$2&amp;'Output annual'!$AD$2&amp;"*Zone People Number Of Occupants [](Hourly)",'Eplus results'!$1:$1048576,ROW(),FALSE)</f>
        <v>0</v>
      </c>
      <c r="AC7106" s="580">
        <f>HLOOKUP("*"&amp;'Output annual'!$AC$2&amp;'Output annual'!$AD$2&amp;"*FangerPMV(Hourly)",'Eplus results'!$1:$1048576,ROW(),FALSE)</f>
        <v>0</v>
      </c>
      <c r="AD7106" s="580">
        <f t="shared" si="586"/>
        <v>5</v>
      </c>
      <c r="AE7106" s="580">
        <f t="shared" si="587"/>
        <v>2.5</v>
      </c>
      <c r="AF7106" s="580">
        <f t="shared" si="588"/>
        <v>2.5</v>
      </c>
      <c r="AG7106" s="580">
        <f t="shared" si="589"/>
        <v>0</v>
      </c>
      <c r="AH7106" s="580">
        <f t="shared" si="590"/>
        <v>0</v>
      </c>
    </row>
    <row r="7107" spans="28:34">
      <c r="AB7107" s="580">
        <f>HLOOKUP("*"&amp;'Output annual'!$AC$2&amp;'Output annual'!$AD$2&amp;"*Zone People Number Of Occupants [](Hourly)",'Eplus results'!$1:$1048576,ROW(),FALSE)</f>
        <v>0</v>
      </c>
      <c r="AC7107" s="580">
        <f>HLOOKUP("*"&amp;'Output annual'!$AC$2&amp;'Output annual'!$AD$2&amp;"*FangerPMV(Hourly)",'Eplus results'!$1:$1048576,ROW(),FALSE)</f>
        <v>0</v>
      </c>
      <c r="AD7107" s="580">
        <f t="shared" ref="AD7107:AD7170" si="591">100-95*EXP(-0.03353*AC7107^4-0.2179*AC7107^2)</f>
        <v>5</v>
      </c>
      <c r="AE7107" s="580">
        <f t="shared" ref="AE7107:AE7170" si="592">AD7107*(1/(1+EXP(-6.3*$AC7107)))</f>
        <v>2.5</v>
      </c>
      <c r="AF7107" s="580">
        <f t="shared" ref="AF7107:AF7170" si="593">(AD7107-AE7107)</f>
        <v>2.5</v>
      </c>
      <c r="AG7107" s="580">
        <f t="shared" ref="AG7107:AG7170" si="594">AE7107*AB7107</f>
        <v>0</v>
      </c>
      <c r="AH7107" s="580">
        <f t="shared" ref="AH7107:AH7170" si="595">AF7107*AB7107</f>
        <v>0</v>
      </c>
    </row>
    <row r="7108" spans="28:34">
      <c r="AB7108" s="580">
        <f>HLOOKUP("*"&amp;'Output annual'!$AC$2&amp;'Output annual'!$AD$2&amp;"*Zone People Number Of Occupants [](Hourly)",'Eplus results'!$1:$1048576,ROW(),FALSE)</f>
        <v>0</v>
      </c>
      <c r="AC7108" s="580">
        <f>HLOOKUP("*"&amp;'Output annual'!$AC$2&amp;'Output annual'!$AD$2&amp;"*FangerPMV(Hourly)",'Eplus results'!$1:$1048576,ROW(),FALSE)</f>
        <v>0</v>
      </c>
      <c r="AD7108" s="580">
        <f t="shared" si="591"/>
        <v>5</v>
      </c>
      <c r="AE7108" s="580">
        <f t="shared" si="592"/>
        <v>2.5</v>
      </c>
      <c r="AF7108" s="580">
        <f t="shared" si="593"/>
        <v>2.5</v>
      </c>
      <c r="AG7108" s="580">
        <f t="shared" si="594"/>
        <v>0</v>
      </c>
      <c r="AH7108" s="580">
        <f t="shared" si="595"/>
        <v>0</v>
      </c>
    </row>
    <row r="7109" spans="28:34">
      <c r="AB7109" s="580">
        <f>HLOOKUP("*"&amp;'Output annual'!$AC$2&amp;'Output annual'!$AD$2&amp;"*Zone People Number Of Occupants [](Hourly)",'Eplus results'!$1:$1048576,ROW(),FALSE)</f>
        <v>0</v>
      </c>
      <c r="AC7109" s="580">
        <f>HLOOKUP("*"&amp;'Output annual'!$AC$2&amp;'Output annual'!$AD$2&amp;"*FangerPMV(Hourly)",'Eplus results'!$1:$1048576,ROW(),FALSE)</f>
        <v>0</v>
      </c>
      <c r="AD7109" s="580">
        <f t="shared" si="591"/>
        <v>5</v>
      </c>
      <c r="AE7109" s="580">
        <f t="shared" si="592"/>
        <v>2.5</v>
      </c>
      <c r="AF7109" s="580">
        <f t="shared" si="593"/>
        <v>2.5</v>
      </c>
      <c r="AG7109" s="580">
        <f t="shared" si="594"/>
        <v>0</v>
      </c>
      <c r="AH7109" s="580">
        <f t="shared" si="595"/>
        <v>0</v>
      </c>
    </row>
    <row r="7110" spans="28:34">
      <c r="AB7110" s="580">
        <f>HLOOKUP("*"&amp;'Output annual'!$AC$2&amp;'Output annual'!$AD$2&amp;"*Zone People Number Of Occupants [](Hourly)",'Eplus results'!$1:$1048576,ROW(),FALSE)</f>
        <v>0</v>
      </c>
      <c r="AC7110" s="580">
        <f>HLOOKUP("*"&amp;'Output annual'!$AC$2&amp;'Output annual'!$AD$2&amp;"*FangerPMV(Hourly)",'Eplus results'!$1:$1048576,ROW(),FALSE)</f>
        <v>0</v>
      </c>
      <c r="AD7110" s="580">
        <f t="shared" si="591"/>
        <v>5</v>
      </c>
      <c r="AE7110" s="580">
        <f t="shared" si="592"/>
        <v>2.5</v>
      </c>
      <c r="AF7110" s="580">
        <f t="shared" si="593"/>
        <v>2.5</v>
      </c>
      <c r="AG7110" s="580">
        <f t="shared" si="594"/>
        <v>0</v>
      </c>
      <c r="AH7110" s="580">
        <f t="shared" si="595"/>
        <v>0</v>
      </c>
    </row>
    <row r="7111" spans="28:34">
      <c r="AB7111" s="580">
        <f>HLOOKUP("*"&amp;'Output annual'!$AC$2&amp;'Output annual'!$AD$2&amp;"*Zone People Number Of Occupants [](Hourly)",'Eplus results'!$1:$1048576,ROW(),FALSE)</f>
        <v>0</v>
      </c>
      <c r="AC7111" s="580">
        <f>HLOOKUP("*"&amp;'Output annual'!$AC$2&amp;'Output annual'!$AD$2&amp;"*FangerPMV(Hourly)",'Eplus results'!$1:$1048576,ROW(),FALSE)</f>
        <v>0</v>
      </c>
      <c r="AD7111" s="580">
        <f t="shared" si="591"/>
        <v>5</v>
      </c>
      <c r="AE7111" s="580">
        <f t="shared" si="592"/>
        <v>2.5</v>
      </c>
      <c r="AF7111" s="580">
        <f t="shared" si="593"/>
        <v>2.5</v>
      </c>
      <c r="AG7111" s="580">
        <f t="shared" si="594"/>
        <v>0</v>
      </c>
      <c r="AH7111" s="580">
        <f t="shared" si="595"/>
        <v>0</v>
      </c>
    </row>
    <row r="7112" spans="28:34">
      <c r="AB7112" s="580">
        <f>HLOOKUP("*"&amp;'Output annual'!$AC$2&amp;'Output annual'!$AD$2&amp;"*Zone People Number Of Occupants [](Hourly)",'Eplus results'!$1:$1048576,ROW(),FALSE)</f>
        <v>0</v>
      </c>
      <c r="AC7112" s="580">
        <f>HLOOKUP("*"&amp;'Output annual'!$AC$2&amp;'Output annual'!$AD$2&amp;"*FangerPMV(Hourly)",'Eplus results'!$1:$1048576,ROW(),FALSE)</f>
        <v>0</v>
      </c>
      <c r="AD7112" s="580">
        <f t="shared" si="591"/>
        <v>5</v>
      </c>
      <c r="AE7112" s="580">
        <f t="shared" si="592"/>
        <v>2.5</v>
      </c>
      <c r="AF7112" s="580">
        <f t="shared" si="593"/>
        <v>2.5</v>
      </c>
      <c r="AG7112" s="580">
        <f t="shared" si="594"/>
        <v>0</v>
      </c>
      <c r="AH7112" s="580">
        <f t="shared" si="595"/>
        <v>0</v>
      </c>
    </row>
    <row r="7113" spans="28:34">
      <c r="AB7113" s="580">
        <f>HLOOKUP("*"&amp;'Output annual'!$AC$2&amp;'Output annual'!$AD$2&amp;"*Zone People Number Of Occupants [](Hourly)",'Eplus results'!$1:$1048576,ROW(),FALSE)</f>
        <v>0</v>
      </c>
      <c r="AC7113" s="580">
        <f>HLOOKUP("*"&amp;'Output annual'!$AC$2&amp;'Output annual'!$AD$2&amp;"*FangerPMV(Hourly)",'Eplus results'!$1:$1048576,ROW(),FALSE)</f>
        <v>0</v>
      </c>
      <c r="AD7113" s="580">
        <f t="shared" si="591"/>
        <v>5</v>
      </c>
      <c r="AE7113" s="580">
        <f t="shared" si="592"/>
        <v>2.5</v>
      </c>
      <c r="AF7113" s="580">
        <f t="shared" si="593"/>
        <v>2.5</v>
      </c>
      <c r="AG7113" s="580">
        <f t="shared" si="594"/>
        <v>0</v>
      </c>
      <c r="AH7113" s="580">
        <f t="shared" si="595"/>
        <v>0</v>
      </c>
    </row>
    <row r="7114" spans="28:34">
      <c r="AB7114" s="580">
        <f>HLOOKUP("*"&amp;'Output annual'!$AC$2&amp;'Output annual'!$AD$2&amp;"*Zone People Number Of Occupants [](Hourly)",'Eplus results'!$1:$1048576,ROW(),FALSE)</f>
        <v>0</v>
      </c>
      <c r="AC7114" s="580">
        <f>HLOOKUP("*"&amp;'Output annual'!$AC$2&amp;'Output annual'!$AD$2&amp;"*FangerPMV(Hourly)",'Eplus results'!$1:$1048576,ROW(),FALSE)</f>
        <v>0</v>
      </c>
      <c r="AD7114" s="580">
        <f t="shared" si="591"/>
        <v>5</v>
      </c>
      <c r="AE7114" s="580">
        <f t="shared" si="592"/>
        <v>2.5</v>
      </c>
      <c r="AF7114" s="580">
        <f t="shared" si="593"/>
        <v>2.5</v>
      </c>
      <c r="AG7114" s="580">
        <f t="shared" si="594"/>
        <v>0</v>
      </c>
      <c r="AH7114" s="580">
        <f t="shared" si="595"/>
        <v>0</v>
      </c>
    </row>
    <row r="7115" spans="28:34">
      <c r="AB7115" s="580">
        <f>HLOOKUP("*"&amp;'Output annual'!$AC$2&amp;'Output annual'!$AD$2&amp;"*Zone People Number Of Occupants [](Hourly)",'Eplus results'!$1:$1048576,ROW(),FALSE)</f>
        <v>0</v>
      </c>
      <c r="AC7115" s="580">
        <f>HLOOKUP("*"&amp;'Output annual'!$AC$2&amp;'Output annual'!$AD$2&amp;"*FangerPMV(Hourly)",'Eplus results'!$1:$1048576,ROW(),FALSE)</f>
        <v>0</v>
      </c>
      <c r="AD7115" s="580">
        <f t="shared" si="591"/>
        <v>5</v>
      </c>
      <c r="AE7115" s="580">
        <f t="shared" si="592"/>
        <v>2.5</v>
      </c>
      <c r="AF7115" s="580">
        <f t="shared" si="593"/>
        <v>2.5</v>
      </c>
      <c r="AG7115" s="580">
        <f t="shared" si="594"/>
        <v>0</v>
      </c>
      <c r="AH7115" s="580">
        <f t="shared" si="595"/>
        <v>0</v>
      </c>
    </row>
    <row r="7116" spans="28:34">
      <c r="AB7116" s="580">
        <f>HLOOKUP("*"&amp;'Output annual'!$AC$2&amp;'Output annual'!$AD$2&amp;"*Zone People Number Of Occupants [](Hourly)",'Eplus results'!$1:$1048576,ROW(),FALSE)</f>
        <v>0</v>
      </c>
      <c r="AC7116" s="580">
        <f>HLOOKUP("*"&amp;'Output annual'!$AC$2&amp;'Output annual'!$AD$2&amp;"*FangerPMV(Hourly)",'Eplus results'!$1:$1048576,ROW(),FALSE)</f>
        <v>0</v>
      </c>
      <c r="AD7116" s="580">
        <f t="shared" si="591"/>
        <v>5</v>
      </c>
      <c r="AE7116" s="580">
        <f t="shared" si="592"/>
        <v>2.5</v>
      </c>
      <c r="AF7116" s="580">
        <f t="shared" si="593"/>
        <v>2.5</v>
      </c>
      <c r="AG7116" s="580">
        <f t="shared" si="594"/>
        <v>0</v>
      </c>
      <c r="AH7116" s="580">
        <f t="shared" si="595"/>
        <v>0</v>
      </c>
    </row>
    <row r="7117" spans="28:34">
      <c r="AB7117" s="580">
        <f>HLOOKUP("*"&amp;'Output annual'!$AC$2&amp;'Output annual'!$AD$2&amp;"*Zone People Number Of Occupants [](Hourly)",'Eplus results'!$1:$1048576,ROW(),FALSE)</f>
        <v>0</v>
      </c>
      <c r="AC7117" s="580">
        <f>HLOOKUP("*"&amp;'Output annual'!$AC$2&amp;'Output annual'!$AD$2&amp;"*FangerPMV(Hourly)",'Eplus results'!$1:$1048576,ROW(),FALSE)</f>
        <v>0</v>
      </c>
      <c r="AD7117" s="580">
        <f t="shared" si="591"/>
        <v>5</v>
      </c>
      <c r="AE7117" s="580">
        <f t="shared" si="592"/>
        <v>2.5</v>
      </c>
      <c r="AF7117" s="580">
        <f t="shared" si="593"/>
        <v>2.5</v>
      </c>
      <c r="AG7117" s="580">
        <f t="shared" si="594"/>
        <v>0</v>
      </c>
      <c r="AH7117" s="580">
        <f t="shared" si="595"/>
        <v>0</v>
      </c>
    </row>
    <row r="7118" spans="28:34">
      <c r="AB7118" s="580">
        <f>HLOOKUP("*"&amp;'Output annual'!$AC$2&amp;'Output annual'!$AD$2&amp;"*Zone People Number Of Occupants [](Hourly)",'Eplus results'!$1:$1048576,ROW(),FALSE)</f>
        <v>0</v>
      </c>
      <c r="AC7118" s="580">
        <f>HLOOKUP("*"&amp;'Output annual'!$AC$2&amp;'Output annual'!$AD$2&amp;"*FangerPMV(Hourly)",'Eplus results'!$1:$1048576,ROW(),FALSE)</f>
        <v>0</v>
      </c>
      <c r="AD7118" s="580">
        <f t="shared" si="591"/>
        <v>5</v>
      </c>
      <c r="AE7118" s="580">
        <f t="shared" si="592"/>
        <v>2.5</v>
      </c>
      <c r="AF7118" s="580">
        <f t="shared" si="593"/>
        <v>2.5</v>
      </c>
      <c r="AG7118" s="580">
        <f t="shared" si="594"/>
        <v>0</v>
      </c>
      <c r="AH7118" s="580">
        <f t="shared" si="595"/>
        <v>0</v>
      </c>
    </row>
    <row r="7119" spans="28:34">
      <c r="AB7119" s="580">
        <f>HLOOKUP("*"&amp;'Output annual'!$AC$2&amp;'Output annual'!$AD$2&amp;"*Zone People Number Of Occupants [](Hourly)",'Eplus results'!$1:$1048576,ROW(),FALSE)</f>
        <v>0</v>
      </c>
      <c r="AC7119" s="580">
        <f>HLOOKUP("*"&amp;'Output annual'!$AC$2&amp;'Output annual'!$AD$2&amp;"*FangerPMV(Hourly)",'Eplus results'!$1:$1048576,ROW(),FALSE)</f>
        <v>0</v>
      </c>
      <c r="AD7119" s="580">
        <f t="shared" si="591"/>
        <v>5</v>
      </c>
      <c r="AE7119" s="580">
        <f t="shared" si="592"/>
        <v>2.5</v>
      </c>
      <c r="AF7119" s="580">
        <f t="shared" si="593"/>
        <v>2.5</v>
      </c>
      <c r="AG7119" s="580">
        <f t="shared" si="594"/>
        <v>0</v>
      </c>
      <c r="AH7119" s="580">
        <f t="shared" si="595"/>
        <v>0</v>
      </c>
    </row>
    <row r="7120" spans="28:34">
      <c r="AB7120" s="580">
        <f>HLOOKUP("*"&amp;'Output annual'!$AC$2&amp;'Output annual'!$AD$2&amp;"*Zone People Number Of Occupants [](Hourly)",'Eplus results'!$1:$1048576,ROW(),FALSE)</f>
        <v>0</v>
      </c>
      <c r="AC7120" s="580">
        <f>HLOOKUP("*"&amp;'Output annual'!$AC$2&amp;'Output annual'!$AD$2&amp;"*FangerPMV(Hourly)",'Eplus results'!$1:$1048576,ROW(),FALSE)</f>
        <v>0</v>
      </c>
      <c r="AD7120" s="580">
        <f t="shared" si="591"/>
        <v>5</v>
      </c>
      <c r="AE7120" s="580">
        <f t="shared" si="592"/>
        <v>2.5</v>
      </c>
      <c r="AF7120" s="580">
        <f t="shared" si="593"/>
        <v>2.5</v>
      </c>
      <c r="AG7120" s="580">
        <f t="shared" si="594"/>
        <v>0</v>
      </c>
      <c r="AH7120" s="580">
        <f t="shared" si="595"/>
        <v>0</v>
      </c>
    </row>
    <row r="7121" spans="28:34">
      <c r="AB7121" s="580">
        <f>HLOOKUP("*"&amp;'Output annual'!$AC$2&amp;'Output annual'!$AD$2&amp;"*Zone People Number Of Occupants [](Hourly)",'Eplus results'!$1:$1048576,ROW(),FALSE)</f>
        <v>0</v>
      </c>
      <c r="AC7121" s="580">
        <f>HLOOKUP("*"&amp;'Output annual'!$AC$2&amp;'Output annual'!$AD$2&amp;"*FangerPMV(Hourly)",'Eplus results'!$1:$1048576,ROW(),FALSE)</f>
        <v>0</v>
      </c>
      <c r="AD7121" s="580">
        <f t="shared" si="591"/>
        <v>5</v>
      </c>
      <c r="AE7121" s="580">
        <f t="shared" si="592"/>
        <v>2.5</v>
      </c>
      <c r="AF7121" s="580">
        <f t="shared" si="593"/>
        <v>2.5</v>
      </c>
      <c r="AG7121" s="580">
        <f t="shared" si="594"/>
        <v>0</v>
      </c>
      <c r="AH7121" s="580">
        <f t="shared" si="595"/>
        <v>0</v>
      </c>
    </row>
    <row r="7122" spans="28:34">
      <c r="AB7122" s="580">
        <f>HLOOKUP("*"&amp;'Output annual'!$AC$2&amp;'Output annual'!$AD$2&amp;"*Zone People Number Of Occupants [](Hourly)",'Eplus results'!$1:$1048576,ROW(),FALSE)</f>
        <v>0</v>
      </c>
      <c r="AC7122" s="580">
        <f>HLOOKUP("*"&amp;'Output annual'!$AC$2&amp;'Output annual'!$AD$2&amp;"*FangerPMV(Hourly)",'Eplus results'!$1:$1048576,ROW(),FALSE)</f>
        <v>0</v>
      </c>
      <c r="AD7122" s="580">
        <f t="shared" si="591"/>
        <v>5</v>
      </c>
      <c r="AE7122" s="580">
        <f t="shared" si="592"/>
        <v>2.5</v>
      </c>
      <c r="AF7122" s="580">
        <f t="shared" si="593"/>
        <v>2.5</v>
      </c>
      <c r="AG7122" s="580">
        <f t="shared" si="594"/>
        <v>0</v>
      </c>
      <c r="AH7122" s="580">
        <f t="shared" si="595"/>
        <v>0</v>
      </c>
    </row>
    <row r="7123" spans="28:34">
      <c r="AB7123" s="580">
        <f>HLOOKUP("*"&amp;'Output annual'!$AC$2&amp;'Output annual'!$AD$2&amp;"*Zone People Number Of Occupants [](Hourly)",'Eplus results'!$1:$1048576,ROW(),FALSE)</f>
        <v>0</v>
      </c>
      <c r="AC7123" s="580">
        <f>HLOOKUP("*"&amp;'Output annual'!$AC$2&amp;'Output annual'!$AD$2&amp;"*FangerPMV(Hourly)",'Eplus results'!$1:$1048576,ROW(),FALSE)</f>
        <v>0</v>
      </c>
      <c r="AD7123" s="580">
        <f t="shared" si="591"/>
        <v>5</v>
      </c>
      <c r="AE7123" s="580">
        <f t="shared" si="592"/>
        <v>2.5</v>
      </c>
      <c r="AF7123" s="580">
        <f t="shared" si="593"/>
        <v>2.5</v>
      </c>
      <c r="AG7123" s="580">
        <f t="shared" si="594"/>
        <v>0</v>
      </c>
      <c r="AH7123" s="580">
        <f t="shared" si="595"/>
        <v>0</v>
      </c>
    </row>
    <row r="7124" spans="28:34">
      <c r="AB7124" s="580">
        <f>HLOOKUP("*"&amp;'Output annual'!$AC$2&amp;'Output annual'!$AD$2&amp;"*Zone People Number Of Occupants [](Hourly)",'Eplus results'!$1:$1048576,ROW(),FALSE)</f>
        <v>0</v>
      </c>
      <c r="AC7124" s="580">
        <f>HLOOKUP("*"&amp;'Output annual'!$AC$2&amp;'Output annual'!$AD$2&amp;"*FangerPMV(Hourly)",'Eplus results'!$1:$1048576,ROW(),FALSE)</f>
        <v>0</v>
      </c>
      <c r="AD7124" s="580">
        <f t="shared" si="591"/>
        <v>5</v>
      </c>
      <c r="AE7124" s="580">
        <f t="shared" si="592"/>
        <v>2.5</v>
      </c>
      <c r="AF7124" s="580">
        <f t="shared" si="593"/>
        <v>2.5</v>
      </c>
      <c r="AG7124" s="580">
        <f t="shared" si="594"/>
        <v>0</v>
      </c>
      <c r="AH7124" s="580">
        <f t="shared" si="595"/>
        <v>0</v>
      </c>
    </row>
    <row r="7125" spans="28:34">
      <c r="AB7125" s="580">
        <f>HLOOKUP("*"&amp;'Output annual'!$AC$2&amp;'Output annual'!$AD$2&amp;"*Zone People Number Of Occupants [](Hourly)",'Eplus results'!$1:$1048576,ROW(),FALSE)</f>
        <v>0</v>
      </c>
      <c r="AC7125" s="580">
        <f>HLOOKUP("*"&amp;'Output annual'!$AC$2&amp;'Output annual'!$AD$2&amp;"*FangerPMV(Hourly)",'Eplus results'!$1:$1048576,ROW(),FALSE)</f>
        <v>0</v>
      </c>
      <c r="AD7125" s="580">
        <f t="shared" si="591"/>
        <v>5</v>
      </c>
      <c r="AE7125" s="580">
        <f t="shared" si="592"/>
        <v>2.5</v>
      </c>
      <c r="AF7125" s="580">
        <f t="shared" si="593"/>
        <v>2.5</v>
      </c>
      <c r="AG7125" s="580">
        <f t="shared" si="594"/>
        <v>0</v>
      </c>
      <c r="AH7125" s="580">
        <f t="shared" si="595"/>
        <v>0</v>
      </c>
    </row>
    <row r="7126" spans="28:34">
      <c r="AB7126" s="580">
        <f>HLOOKUP("*"&amp;'Output annual'!$AC$2&amp;'Output annual'!$AD$2&amp;"*Zone People Number Of Occupants [](Hourly)",'Eplus results'!$1:$1048576,ROW(),FALSE)</f>
        <v>0</v>
      </c>
      <c r="AC7126" s="580">
        <f>HLOOKUP("*"&amp;'Output annual'!$AC$2&amp;'Output annual'!$AD$2&amp;"*FangerPMV(Hourly)",'Eplus results'!$1:$1048576,ROW(),FALSE)</f>
        <v>0</v>
      </c>
      <c r="AD7126" s="580">
        <f t="shared" si="591"/>
        <v>5</v>
      </c>
      <c r="AE7126" s="580">
        <f t="shared" si="592"/>
        <v>2.5</v>
      </c>
      <c r="AF7126" s="580">
        <f t="shared" si="593"/>
        <v>2.5</v>
      </c>
      <c r="AG7126" s="580">
        <f t="shared" si="594"/>
        <v>0</v>
      </c>
      <c r="AH7126" s="580">
        <f t="shared" si="595"/>
        <v>0</v>
      </c>
    </row>
    <row r="7127" spans="28:34">
      <c r="AB7127" s="580">
        <f>HLOOKUP("*"&amp;'Output annual'!$AC$2&amp;'Output annual'!$AD$2&amp;"*Zone People Number Of Occupants [](Hourly)",'Eplus results'!$1:$1048576,ROW(),FALSE)</f>
        <v>0</v>
      </c>
      <c r="AC7127" s="580">
        <f>HLOOKUP("*"&amp;'Output annual'!$AC$2&amp;'Output annual'!$AD$2&amp;"*FangerPMV(Hourly)",'Eplus results'!$1:$1048576,ROW(),FALSE)</f>
        <v>0</v>
      </c>
      <c r="AD7127" s="580">
        <f t="shared" si="591"/>
        <v>5</v>
      </c>
      <c r="AE7127" s="580">
        <f t="shared" si="592"/>
        <v>2.5</v>
      </c>
      <c r="AF7127" s="580">
        <f t="shared" si="593"/>
        <v>2.5</v>
      </c>
      <c r="AG7127" s="580">
        <f t="shared" si="594"/>
        <v>0</v>
      </c>
      <c r="AH7127" s="580">
        <f t="shared" si="595"/>
        <v>0</v>
      </c>
    </row>
    <row r="7128" spans="28:34">
      <c r="AB7128" s="580">
        <f>HLOOKUP("*"&amp;'Output annual'!$AC$2&amp;'Output annual'!$AD$2&amp;"*Zone People Number Of Occupants [](Hourly)",'Eplus results'!$1:$1048576,ROW(),FALSE)</f>
        <v>0</v>
      </c>
      <c r="AC7128" s="580">
        <f>HLOOKUP("*"&amp;'Output annual'!$AC$2&amp;'Output annual'!$AD$2&amp;"*FangerPMV(Hourly)",'Eplus results'!$1:$1048576,ROW(),FALSE)</f>
        <v>0</v>
      </c>
      <c r="AD7128" s="580">
        <f t="shared" si="591"/>
        <v>5</v>
      </c>
      <c r="AE7128" s="580">
        <f t="shared" si="592"/>
        <v>2.5</v>
      </c>
      <c r="AF7128" s="580">
        <f t="shared" si="593"/>
        <v>2.5</v>
      </c>
      <c r="AG7128" s="580">
        <f t="shared" si="594"/>
        <v>0</v>
      </c>
      <c r="AH7128" s="580">
        <f t="shared" si="595"/>
        <v>0</v>
      </c>
    </row>
    <row r="7129" spans="28:34">
      <c r="AB7129" s="580">
        <f>HLOOKUP("*"&amp;'Output annual'!$AC$2&amp;'Output annual'!$AD$2&amp;"*Zone People Number Of Occupants [](Hourly)",'Eplus results'!$1:$1048576,ROW(),FALSE)</f>
        <v>0</v>
      </c>
      <c r="AC7129" s="580">
        <f>HLOOKUP("*"&amp;'Output annual'!$AC$2&amp;'Output annual'!$AD$2&amp;"*FangerPMV(Hourly)",'Eplus results'!$1:$1048576,ROW(),FALSE)</f>
        <v>0</v>
      </c>
      <c r="AD7129" s="580">
        <f t="shared" si="591"/>
        <v>5</v>
      </c>
      <c r="AE7129" s="580">
        <f t="shared" si="592"/>
        <v>2.5</v>
      </c>
      <c r="AF7129" s="580">
        <f t="shared" si="593"/>
        <v>2.5</v>
      </c>
      <c r="AG7129" s="580">
        <f t="shared" si="594"/>
        <v>0</v>
      </c>
      <c r="AH7129" s="580">
        <f t="shared" si="595"/>
        <v>0</v>
      </c>
    </row>
    <row r="7130" spans="28:34">
      <c r="AB7130" s="580">
        <f>HLOOKUP("*"&amp;'Output annual'!$AC$2&amp;'Output annual'!$AD$2&amp;"*Zone People Number Of Occupants [](Hourly)",'Eplus results'!$1:$1048576,ROW(),FALSE)</f>
        <v>0</v>
      </c>
      <c r="AC7130" s="580">
        <f>HLOOKUP("*"&amp;'Output annual'!$AC$2&amp;'Output annual'!$AD$2&amp;"*FangerPMV(Hourly)",'Eplus results'!$1:$1048576,ROW(),FALSE)</f>
        <v>0</v>
      </c>
      <c r="AD7130" s="580">
        <f t="shared" si="591"/>
        <v>5</v>
      </c>
      <c r="AE7130" s="580">
        <f t="shared" si="592"/>
        <v>2.5</v>
      </c>
      <c r="AF7130" s="580">
        <f t="shared" si="593"/>
        <v>2.5</v>
      </c>
      <c r="AG7130" s="580">
        <f t="shared" si="594"/>
        <v>0</v>
      </c>
      <c r="AH7130" s="580">
        <f t="shared" si="595"/>
        <v>0</v>
      </c>
    </row>
    <row r="7131" spans="28:34">
      <c r="AB7131" s="580">
        <f>HLOOKUP("*"&amp;'Output annual'!$AC$2&amp;'Output annual'!$AD$2&amp;"*Zone People Number Of Occupants [](Hourly)",'Eplus results'!$1:$1048576,ROW(),FALSE)</f>
        <v>0</v>
      </c>
      <c r="AC7131" s="580">
        <f>HLOOKUP("*"&amp;'Output annual'!$AC$2&amp;'Output annual'!$AD$2&amp;"*FangerPMV(Hourly)",'Eplus results'!$1:$1048576,ROW(),FALSE)</f>
        <v>0</v>
      </c>
      <c r="AD7131" s="580">
        <f t="shared" si="591"/>
        <v>5</v>
      </c>
      <c r="AE7131" s="580">
        <f t="shared" si="592"/>
        <v>2.5</v>
      </c>
      <c r="AF7131" s="580">
        <f t="shared" si="593"/>
        <v>2.5</v>
      </c>
      <c r="AG7131" s="580">
        <f t="shared" si="594"/>
        <v>0</v>
      </c>
      <c r="AH7131" s="580">
        <f t="shared" si="595"/>
        <v>0</v>
      </c>
    </row>
    <row r="7132" spans="28:34">
      <c r="AB7132" s="580">
        <f>HLOOKUP("*"&amp;'Output annual'!$AC$2&amp;'Output annual'!$AD$2&amp;"*Zone People Number Of Occupants [](Hourly)",'Eplus results'!$1:$1048576,ROW(),FALSE)</f>
        <v>0</v>
      </c>
      <c r="AC7132" s="580">
        <f>HLOOKUP("*"&amp;'Output annual'!$AC$2&amp;'Output annual'!$AD$2&amp;"*FangerPMV(Hourly)",'Eplus results'!$1:$1048576,ROW(),FALSE)</f>
        <v>0</v>
      </c>
      <c r="AD7132" s="580">
        <f t="shared" si="591"/>
        <v>5</v>
      </c>
      <c r="AE7132" s="580">
        <f t="shared" si="592"/>
        <v>2.5</v>
      </c>
      <c r="AF7132" s="580">
        <f t="shared" si="593"/>
        <v>2.5</v>
      </c>
      <c r="AG7132" s="580">
        <f t="shared" si="594"/>
        <v>0</v>
      </c>
      <c r="AH7132" s="580">
        <f t="shared" si="595"/>
        <v>0</v>
      </c>
    </row>
    <row r="7133" spans="28:34">
      <c r="AB7133" s="580">
        <f>HLOOKUP("*"&amp;'Output annual'!$AC$2&amp;'Output annual'!$AD$2&amp;"*Zone People Number Of Occupants [](Hourly)",'Eplus results'!$1:$1048576,ROW(),FALSE)</f>
        <v>0</v>
      </c>
      <c r="AC7133" s="580">
        <f>HLOOKUP("*"&amp;'Output annual'!$AC$2&amp;'Output annual'!$AD$2&amp;"*FangerPMV(Hourly)",'Eplus results'!$1:$1048576,ROW(),FALSE)</f>
        <v>0</v>
      </c>
      <c r="AD7133" s="580">
        <f t="shared" si="591"/>
        <v>5</v>
      </c>
      <c r="AE7133" s="580">
        <f t="shared" si="592"/>
        <v>2.5</v>
      </c>
      <c r="AF7133" s="580">
        <f t="shared" si="593"/>
        <v>2.5</v>
      </c>
      <c r="AG7133" s="580">
        <f t="shared" si="594"/>
        <v>0</v>
      </c>
      <c r="AH7133" s="580">
        <f t="shared" si="595"/>
        <v>0</v>
      </c>
    </row>
    <row r="7134" spans="28:34">
      <c r="AB7134" s="580">
        <f>HLOOKUP("*"&amp;'Output annual'!$AC$2&amp;'Output annual'!$AD$2&amp;"*Zone People Number Of Occupants [](Hourly)",'Eplus results'!$1:$1048576,ROW(),FALSE)</f>
        <v>0</v>
      </c>
      <c r="AC7134" s="580">
        <f>HLOOKUP("*"&amp;'Output annual'!$AC$2&amp;'Output annual'!$AD$2&amp;"*FangerPMV(Hourly)",'Eplus results'!$1:$1048576,ROW(),FALSE)</f>
        <v>0</v>
      </c>
      <c r="AD7134" s="580">
        <f t="shared" si="591"/>
        <v>5</v>
      </c>
      <c r="AE7134" s="580">
        <f t="shared" si="592"/>
        <v>2.5</v>
      </c>
      <c r="AF7134" s="580">
        <f t="shared" si="593"/>
        <v>2.5</v>
      </c>
      <c r="AG7134" s="580">
        <f t="shared" si="594"/>
        <v>0</v>
      </c>
      <c r="AH7134" s="580">
        <f t="shared" si="595"/>
        <v>0</v>
      </c>
    </row>
    <row r="7135" spans="28:34">
      <c r="AB7135" s="580">
        <f>HLOOKUP("*"&amp;'Output annual'!$AC$2&amp;'Output annual'!$AD$2&amp;"*Zone People Number Of Occupants [](Hourly)",'Eplus results'!$1:$1048576,ROW(),FALSE)</f>
        <v>0</v>
      </c>
      <c r="AC7135" s="580">
        <f>HLOOKUP("*"&amp;'Output annual'!$AC$2&amp;'Output annual'!$AD$2&amp;"*FangerPMV(Hourly)",'Eplus results'!$1:$1048576,ROW(),FALSE)</f>
        <v>0</v>
      </c>
      <c r="AD7135" s="580">
        <f t="shared" si="591"/>
        <v>5</v>
      </c>
      <c r="AE7135" s="580">
        <f t="shared" si="592"/>
        <v>2.5</v>
      </c>
      <c r="AF7135" s="580">
        <f t="shared" si="593"/>
        <v>2.5</v>
      </c>
      <c r="AG7135" s="580">
        <f t="shared" si="594"/>
        <v>0</v>
      </c>
      <c r="AH7135" s="580">
        <f t="shared" si="595"/>
        <v>0</v>
      </c>
    </row>
    <row r="7136" spans="28:34">
      <c r="AB7136" s="580">
        <f>HLOOKUP("*"&amp;'Output annual'!$AC$2&amp;'Output annual'!$AD$2&amp;"*Zone People Number Of Occupants [](Hourly)",'Eplus results'!$1:$1048576,ROW(),FALSE)</f>
        <v>0</v>
      </c>
      <c r="AC7136" s="580">
        <f>HLOOKUP("*"&amp;'Output annual'!$AC$2&amp;'Output annual'!$AD$2&amp;"*FangerPMV(Hourly)",'Eplus results'!$1:$1048576,ROW(),FALSE)</f>
        <v>0</v>
      </c>
      <c r="AD7136" s="580">
        <f t="shared" si="591"/>
        <v>5</v>
      </c>
      <c r="AE7136" s="580">
        <f t="shared" si="592"/>
        <v>2.5</v>
      </c>
      <c r="AF7136" s="580">
        <f t="shared" si="593"/>
        <v>2.5</v>
      </c>
      <c r="AG7136" s="580">
        <f t="shared" si="594"/>
        <v>0</v>
      </c>
      <c r="AH7136" s="580">
        <f t="shared" si="595"/>
        <v>0</v>
      </c>
    </row>
    <row r="7137" spans="28:34">
      <c r="AB7137" s="580">
        <f>HLOOKUP("*"&amp;'Output annual'!$AC$2&amp;'Output annual'!$AD$2&amp;"*Zone People Number Of Occupants [](Hourly)",'Eplus results'!$1:$1048576,ROW(),FALSE)</f>
        <v>0</v>
      </c>
      <c r="AC7137" s="580">
        <f>HLOOKUP("*"&amp;'Output annual'!$AC$2&amp;'Output annual'!$AD$2&amp;"*FangerPMV(Hourly)",'Eplus results'!$1:$1048576,ROW(),FALSE)</f>
        <v>0</v>
      </c>
      <c r="AD7137" s="580">
        <f t="shared" si="591"/>
        <v>5</v>
      </c>
      <c r="AE7137" s="580">
        <f t="shared" si="592"/>
        <v>2.5</v>
      </c>
      <c r="AF7137" s="580">
        <f t="shared" si="593"/>
        <v>2.5</v>
      </c>
      <c r="AG7137" s="580">
        <f t="shared" si="594"/>
        <v>0</v>
      </c>
      <c r="AH7137" s="580">
        <f t="shared" si="595"/>
        <v>0</v>
      </c>
    </row>
    <row r="7138" spans="28:34">
      <c r="AB7138" s="580">
        <f>HLOOKUP("*"&amp;'Output annual'!$AC$2&amp;'Output annual'!$AD$2&amp;"*Zone People Number Of Occupants [](Hourly)",'Eplus results'!$1:$1048576,ROW(),FALSE)</f>
        <v>0</v>
      </c>
      <c r="AC7138" s="580">
        <f>HLOOKUP("*"&amp;'Output annual'!$AC$2&amp;'Output annual'!$AD$2&amp;"*FangerPMV(Hourly)",'Eplus results'!$1:$1048576,ROW(),FALSE)</f>
        <v>0</v>
      </c>
      <c r="AD7138" s="580">
        <f t="shared" si="591"/>
        <v>5</v>
      </c>
      <c r="AE7138" s="580">
        <f t="shared" si="592"/>
        <v>2.5</v>
      </c>
      <c r="AF7138" s="580">
        <f t="shared" si="593"/>
        <v>2.5</v>
      </c>
      <c r="AG7138" s="580">
        <f t="shared" si="594"/>
        <v>0</v>
      </c>
      <c r="AH7138" s="580">
        <f t="shared" si="595"/>
        <v>0</v>
      </c>
    </row>
    <row r="7139" spans="28:34">
      <c r="AB7139" s="580">
        <f>HLOOKUP("*"&amp;'Output annual'!$AC$2&amp;'Output annual'!$AD$2&amp;"*Zone People Number Of Occupants [](Hourly)",'Eplus results'!$1:$1048576,ROW(),FALSE)</f>
        <v>0</v>
      </c>
      <c r="AC7139" s="580">
        <f>HLOOKUP("*"&amp;'Output annual'!$AC$2&amp;'Output annual'!$AD$2&amp;"*FangerPMV(Hourly)",'Eplus results'!$1:$1048576,ROW(),FALSE)</f>
        <v>0</v>
      </c>
      <c r="AD7139" s="580">
        <f t="shared" si="591"/>
        <v>5</v>
      </c>
      <c r="AE7139" s="580">
        <f t="shared" si="592"/>
        <v>2.5</v>
      </c>
      <c r="AF7139" s="580">
        <f t="shared" si="593"/>
        <v>2.5</v>
      </c>
      <c r="AG7139" s="580">
        <f t="shared" si="594"/>
        <v>0</v>
      </c>
      <c r="AH7139" s="580">
        <f t="shared" si="595"/>
        <v>0</v>
      </c>
    </row>
    <row r="7140" spans="28:34">
      <c r="AB7140" s="580">
        <f>HLOOKUP("*"&amp;'Output annual'!$AC$2&amp;'Output annual'!$AD$2&amp;"*Zone People Number Of Occupants [](Hourly)",'Eplus results'!$1:$1048576,ROW(),FALSE)</f>
        <v>0</v>
      </c>
      <c r="AC7140" s="580">
        <f>HLOOKUP("*"&amp;'Output annual'!$AC$2&amp;'Output annual'!$AD$2&amp;"*FangerPMV(Hourly)",'Eplus results'!$1:$1048576,ROW(),FALSE)</f>
        <v>0</v>
      </c>
      <c r="AD7140" s="580">
        <f t="shared" si="591"/>
        <v>5</v>
      </c>
      <c r="AE7140" s="580">
        <f t="shared" si="592"/>
        <v>2.5</v>
      </c>
      <c r="AF7140" s="580">
        <f t="shared" si="593"/>
        <v>2.5</v>
      </c>
      <c r="AG7140" s="580">
        <f t="shared" si="594"/>
        <v>0</v>
      </c>
      <c r="AH7140" s="580">
        <f t="shared" si="595"/>
        <v>0</v>
      </c>
    </row>
    <row r="7141" spans="28:34">
      <c r="AB7141" s="580">
        <f>HLOOKUP("*"&amp;'Output annual'!$AC$2&amp;'Output annual'!$AD$2&amp;"*Zone People Number Of Occupants [](Hourly)",'Eplus results'!$1:$1048576,ROW(),FALSE)</f>
        <v>0</v>
      </c>
      <c r="AC7141" s="580">
        <f>HLOOKUP("*"&amp;'Output annual'!$AC$2&amp;'Output annual'!$AD$2&amp;"*FangerPMV(Hourly)",'Eplus results'!$1:$1048576,ROW(),FALSE)</f>
        <v>0</v>
      </c>
      <c r="AD7141" s="580">
        <f t="shared" si="591"/>
        <v>5</v>
      </c>
      <c r="AE7141" s="580">
        <f t="shared" si="592"/>
        <v>2.5</v>
      </c>
      <c r="AF7141" s="580">
        <f t="shared" si="593"/>
        <v>2.5</v>
      </c>
      <c r="AG7141" s="580">
        <f t="shared" si="594"/>
        <v>0</v>
      </c>
      <c r="AH7141" s="580">
        <f t="shared" si="595"/>
        <v>0</v>
      </c>
    </row>
    <row r="7142" spans="28:34">
      <c r="AB7142" s="580">
        <f>HLOOKUP("*"&amp;'Output annual'!$AC$2&amp;'Output annual'!$AD$2&amp;"*Zone People Number Of Occupants [](Hourly)",'Eplus results'!$1:$1048576,ROW(),FALSE)</f>
        <v>0</v>
      </c>
      <c r="AC7142" s="580">
        <f>HLOOKUP("*"&amp;'Output annual'!$AC$2&amp;'Output annual'!$AD$2&amp;"*FangerPMV(Hourly)",'Eplus results'!$1:$1048576,ROW(),FALSE)</f>
        <v>0</v>
      </c>
      <c r="AD7142" s="580">
        <f t="shared" si="591"/>
        <v>5</v>
      </c>
      <c r="AE7142" s="580">
        <f t="shared" si="592"/>
        <v>2.5</v>
      </c>
      <c r="AF7142" s="580">
        <f t="shared" si="593"/>
        <v>2.5</v>
      </c>
      <c r="AG7142" s="580">
        <f t="shared" si="594"/>
        <v>0</v>
      </c>
      <c r="AH7142" s="580">
        <f t="shared" si="595"/>
        <v>0</v>
      </c>
    </row>
    <row r="7143" spans="28:34">
      <c r="AB7143" s="580">
        <f>HLOOKUP("*"&amp;'Output annual'!$AC$2&amp;'Output annual'!$AD$2&amp;"*Zone People Number Of Occupants [](Hourly)",'Eplus results'!$1:$1048576,ROW(),FALSE)</f>
        <v>0</v>
      </c>
      <c r="AC7143" s="580">
        <f>HLOOKUP("*"&amp;'Output annual'!$AC$2&amp;'Output annual'!$AD$2&amp;"*FangerPMV(Hourly)",'Eplus results'!$1:$1048576,ROW(),FALSE)</f>
        <v>0</v>
      </c>
      <c r="AD7143" s="580">
        <f t="shared" si="591"/>
        <v>5</v>
      </c>
      <c r="AE7143" s="580">
        <f t="shared" si="592"/>
        <v>2.5</v>
      </c>
      <c r="AF7143" s="580">
        <f t="shared" si="593"/>
        <v>2.5</v>
      </c>
      <c r="AG7143" s="580">
        <f t="shared" si="594"/>
        <v>0</v>
      </c>
      <c r="AH7143" s="580">
        <f t="shared" si="595"/>
        <v>0</v>
      </c>
    </row>
    <row r="7144" spans="28:34">
      <c r="AB7144" s="580">
        <f>HLOOKUP("*"&amp;'Output annual'!$AC$2&amp;'Output annual'!$AD$2&amp;"*Zone People Number Of Occupants [](Hourly)",'Eplus results'!$1:$1048576,ROW(),FALSE)</f>
        <v>0</v>
      </c>
      <c r="AC7144" s="580">
        <f>HLOOKUP("*"&amp;'Output annual'!$AC$2&amp;'Output annual'!$AD$2&amp;"*FangerPMV(Hourly)",'Eplus results'!$1:$1048576,ROW(),FALSE)</f>
        <v>0</v>
      </c>
      <c r="AD7144" s="580">
        <f t="shared" si="591"/>
        <v>5</v>
      </c>
      <c r="AE7144" s="580">
        <f t="shared" si="592"/>
        <v>2.5</v>
      </c>
      <c r="AF7144" s="580">
        <f t="shared" si="593"/>
        <v>2.5</v>
      </c>
      <c r="AG7144" s="580">
        <f t="shared" si="594"/>
        <v>0</v>
      </c>
      <c r="AH7144" s="580">
        <f t="shared" si="595"/>
        <v>0</v>
      </c>
    </row>
    <row r="7145" spans="28:34">
      <c r="AB7145" s="580">
        <f>HLOOKUP("*"&amp;'Output annual'!$AC$2&amp;'Output annual'!$AD$2&amp;"*Zone People Number Of Occupants [](Hourly)",'Eplus results'!$1:$1048576,ROW(),FALSE)</f>
        <v>0</v>
      </c>
      <c r="AC7145" s="580">
        <f>HLOOKUP("*"&amp;'Output annual'!$AC$2&amp;'Output annual'!$AD$2&amp;"*FangerPMV(Hourly)",'Eplus results'!$1:$1048576,ROW(),FALSE)</f>
        <v>0</v>
      </c>
      <c r="AD7145" s="580">
        <f t="shared" si="591"/>
        <v>5</v>
      </c>
      <c r="AE7145" s="580">
        <f t="shared" si="592"/>
        <v>2.5</v>
      </c>
      <c r="AF7145" s="580">
        <f t="shared" si="593"/>
        <v>2.5</v>
      </c>
      <c r="AG7145" s="580">
        <f t="shared" si="594"/>
        <v>0</v>
      </c>
      <c r="AH7145" s="580">
        <f t="shared" si="595"/>
        <v>0</v>
      </c>
    </row>
    <row r="7146" spans="28:34">
      <c r="AB7146" s="580">
        <f>HLOOKUP("*"&amp;'Output annual'!$AC$2&amp;'Output annual'!$AD$2&amp;"*Zone People Number Of Occupants [](Hourly)",'Eplus results'!$1:$1048576,ROW(),FALSE)</f>
        <v>0</v>
      </c>
      <c r="AC7146" s="580">
        <f>HLOOKUP("*"&amp;'Output annual'!$AC$2&amp;'Output annual'!$AD$2&amp;"*FangerPMV(Hourly)",'Eplus results'!$1:$1048576,ROW(),FALSE)</f>
        <v>0</v>
      </c>
      <c r="AD7146" s="580">
        <f t="shared" si="591"/>
        <v>5</v>
      </c>
      <c r="AE7146" s="580">
        <f t="shared" si="592"/>
        <v>2.5</v>
      </c>
      <c r="AF7146" s="580">
        <f t="shared" si="593"/>
        <v>2.5</v>
      </c>
      <c r="AG7146" s="580">
        <f t="shared" si="594"/>
        <v>0</v>
      </c>
      <c r="AH7146" s="580">
        <f t="shared" si="595"/>
        <v>0</v>
      </c>
    </row>
    <row r="7147" spans="28:34">
      <c r="AB7147" s="580">
        <f>HLOOKUP("*"&amp;'Output annual'!$AC$2&amp;'Output annual'!$AD$2&amp;"*Zone People Number Of Occupants [](Hourly)",'Eplus results'!$1:$1048576,ROW(),FALSE)</f>
        <v>0</v>
      </c>
      <c r="AC7147" s="580">
        <f>HLOOKUP("*"&amp;'Output annual'!$AC$2&amp;'Output annual'!$AD$2&amp;"*FangerPMV(Hourly)",'Eplus results'!$1:$1048576,ROW(),FALSE)</f>
        <v>0</v>
      </c>
      <c r="AD7147" s="580">
        <f t="shared" si="591"/>
        <v>5</v>
      </c>
      <c r="AE7147" s="580">
        <f t="shared" si="592"/>
        <v>2.5</v>
      </c>
      <c r="AF7147" s="580">
        <f t="shared" si="593"/>
        <v>2.5</v>
      </c>
      <c r="AG7147" s="580">
        <f t="shared" si="594"/>
        <v>0</v>
      </c>
      <c r="AH7147" s="580">
        <f t="shared" si="595"/>
        <v>0</v>
      </c>
    </row>
    <row r="7148" spans="28:34">
      <c r="AB7148" s="580">
        <f>HLOOKUP("*"&amp;'Output annual'!$AC$2&amp;'Output annual'!$AD$2&amp;"*Zone People Number Of Occupants [](Hourly)",'Eplus results'!$1:$1048576,ROW(),FALSE)</f>
        <v>0</v>
      </c>
      <c r="AC7148" s="580">
        <f>HLOOKUP("*"&amp;'Output annual'!$AC$2&amp;'Output annual'!$AD$2&amp;"*FangerPMV(Hourly)",'Eplus results'!$1:$1048576,ROW(),FALSE)</f>
        <v>0</v>
      </c>
      <c r="AD7148" s="580">
        <f t="shared" si="591"/>
        <v>5</v>
      </c>
      <c r="AE7148" s="580">
        <f t="shared" si="592"/>
        <v>2.5</v>
      </c>
      <c r="AF7148" s="580">
        <f t="shared" si="593"/>
        <v>2.5</v>
      </c>
      <c r="AG7148" s="580">
        <f t="shared" si="594"/>
        <v>0</v>
      </c>
      <c r="AH7148" s="580">
        <f t="shared" si="595"/>
        <v>0</v>
      </c>
    </row>
    <row r="7149" spans="28:34">
      <c r="AB7149" s="580">
        <f>HLOOKUP("*"&amp;'Output annual'!$AC$2&amp;'Output annual'!$AD$2&amp;"*Zone People Number Of Occupants [](Hourly)",'Eplus results'!$1:$1048576,ROW(),FALSE)</f>
        <v>0</v>
      </c>
      <c r="AC7149" s="580">
        <f>HLOOKUP("*"&amp;'Output annual'!$AC$2&amp;'Output annual'!$AD$2&amp;"*FangerPMV(Hourly)",'Eplus results'!$1:$1048576,ROW(),FALSE)</f>
        <v>0</v>
      </c>
      <c r="AD7149" s="580">
        <f t="shared" si="591"/>
        <v>5</v>
      </c>
      <c r="AE7149" s="580">
        <f t="shared" si="592"/>
        <v>2.5</v>
      </c>
      <c r="AF7149" s="580">
        <f t="shared" si="593"/>
        <v>2.5</v>
      </c>
      <c r="AG7149" s="580">
        <f t="shared" si="594"/>
        <v>0</v>
      </c>
      <c r="AH7149" s="580">
        <f t="shared" si="595"/>
        <v>0</v>
      </c>
    </row>
    <row r="7150" spans="28:34">
      <c r="AB7150" s="580">
        <f>HLOOKUP("*"&amp;'Output annual'!$AC$2&amp;'Output annual'!$AD$2&amp;"*Zone People Number Of Occupants [](Hourly)",'Eplus results'!$1:$1048576,ROW(),FALSE)</f>
        <v>0</v>
      </c>
      <c r="AC7150" s="580">
        <f>HLOOKUP("*"&amp;'Output annual'!$AC$2&amp;'Output annual'!$AD$2&amp;"*FangerPMV(Hourly)",'Eplus results'!$1:$1048576,ROW(),FALSE)</f>
        <v>0</v>
      </c>
      <c r="AD7150" s="580">
        <f t="shared" si="591"/>
        <v>5</v>
      </c>
      <c r="AE7150" s="580">
        <f t="shared" si="592"/>
        <v>2.5</v>
      </c>
      <c r="AF7150" s="580">
        <f t="shared" si="593"/>
        <v>2.5</v>
      </c>
      <c r="AG7150" s="580">
        <f t="shared" si="594"/>
        <v>0</v>
      </c>
      <c r="AH7150" s="580">
        <f t="shared" si="595"/>
        <v>0</v>
      </c>
    </row>
    <row r="7151" spans="28:34">
      <c r="AB7151" s="580">
        <f>HLOOKUP("*"&amp;'Output annual'!$AC$2&amp;'Output annual'!$AD$2&amp;"*Zone People Number Of Occupants [](Hourly)",'Eplus results'!$1:$1048576,ROW(),FALSE)</f>
        <v>0</v>
      </c>
      <c r="AC7151" s="580">
        <f>HLOOKUP("*"&amp;'Output annual'!$AC$2&amp;'Output annual'!$AD$2&amp;"*FangerPMV(Hourly)",'Eplus results'!$1:$1048576,ROW(),FALSE)</f>
        <v>0</v>
      </c>
      <c r="AD7151" s="580">
        <f t="shared" si="591"/>
        <v>5</v>
      </c>
      <c r="AE7151" s="580">
        <f t="shared" si="592"/>
        <v>2.5</v>
      </c>
      <c r="AF7151" s="580">
        <f t="shared" si="593"/>
        <v>2.5</v>
      </c>
      <c r="AG7151" s="580">
        <f t="shared" si="594"/>
        <v>0</v>
      </c>
      <c r="AH7151" s="580">
        <f t="shared" si="595"/>
        <v>0</v>
      </c>
    </row>
    <row r="7152" spans="28:34">
      <c r="AB7152" s="580">
        <f>HLOOKUP("*"&amp;'Output annual'!$AC$2&amp;'Output annual'!$AD$2&amp;"*Zone People Number Of Occupants [](Hourly)",'Eplus results'!$1:$1048576,ROW(),FALSE)</f>
        <v>0</v>
      </c>
      <c r="AC7152" s="580">
        <f>HLOOKUP("*"&amp;'Output annual'!$AC$2&amp;'Output annual'!$AD$2&amp;"*FangerPMV(Hourly)",'Eplus results'!$1:$1048576,ROW(),FALSE)</f>
        <v>0</v>
      </c>
      <c r="AD7152" s="580">
        <f t="shared" si="591"/>
        <v>5</v>
      </c>
      <c r="AE7152" s="580">
        <f t="shared" si="592"/>
        <v>2.5</v>
      </c>
      <c r="AF7152" s="580">
        <f t="shared" si="593"/>
        <v>2.5</v>
      </c>
      <c r="AG7152" s="580">
        <f t="shared" si="594"/>
        <v>0</v>
      </c>
      <c r="AH7152" s="580">
        <f t="shared" si="595"/>
        <v>0</v>
      </c>
    </row>
    <row r="7153" spans="28:34">
      <c r="AB7153" s="580">
        <f>HLOOKUP("*"&amp;'Output annual'!$AC$2&amp;'Output annual'!$AD$2&amp;"*Zone People Number Of Occupants [](Hourly)",'Eplus results'!$1:$1048576,ROW(),FALSE)</f>
        <v>0</v>
      </c>
      <c r="AC7153" s="580">
        <f>HLOOKUP("*"&amp;'Output annual'!$AC$2&amp;'Output annual'!$AD$2&amp;"*FangerPMV(Hourly)",'Eplus results'!$1:$1048576,ROW(),FALSE)</f>
        <v>0</v>
      </c>
      <c r="AD7153" s="580">
        <f t="shared" si="591"/>
        <v>5</v>
      </c>
      <c r="AE7153" s="580">
        <f t="shared" si="592"/>
        <v>2.5</v>
      </c>
      <c r="AF7153" s="580">
        <f t="shared" si="593"/>
        <v>2.5</v>
      </c>
      <c r="AG7153" s="580">
        <f t="shared" si="594"/>
        <v>0</v>
      </c>
      <c r="AH7153" s="580">
        <f t="shared" si="595"/>
        <v>0</v>
      </c>
    </row>
    <row r="7154" spans="28:34">
      <c r="AB7154" s="580">
        <f>HLOOKUP("*"&amp;'Output annual'!$AC$2&amp;'Output annual'!$AD$2&amp;"*Zone People Number Of Occupants [](Hourly)",'Eplus results'!$1:$1048576,ROW(),FALSE)</f>
        <v>0</v>
      </c>
      <c r="AC7154" s="580">
        <f>HLOOKUP("*"&amp;'Output annual'!$AC$2&amp;'Output annual'!$AD$2&amp;"*FangerPMV(Hourly)",'Eplus results'!$1:$1048576,ROW(),FALSE)</f>
        <v>0</v>
      </c>
      <c r="AD7154" s="580">
        <f t="shared" si="591"/>
        <v>5</v>
      </c>
      <c r="AE7154" s="580">
        <f t="shared" si="592"/>
        <v>2.5</v>
      </c>
      <c r="AF7154" s="580">
        <f t="shared" si="593"/>
        <v>2.5</v>
      </c>
      <c r="AG7154" s="580">
        <f t="shared" si="594"/>
        <v>0</v>
      </c>
      <c r="AH7154" s="580">
        <f t="shared" si="595"/>
        <v>0</v>
      </c>
    </row>
    <row r="7155" spans="28:34">
      <c r="AB7155" s="580">
        <f>HLOOKUP("*"&amp;'Output annual'!$AC$2&amp;'Output annual'!$AD$2&amp;"*Zone People Number Of Occupants [](Hourly)",'Eplus results'!$1:$1048576,ROW(),FALSE)</f>
        <v>0</v>
      </c>
      <c r="AC7155" s="580">
        <f>HLOOKUP("*"&amp;'Output annual'!$AC$2&amp;'Output annual'!$AD$2&amp;"*FangerPMV(Hourly)",'Eplus results'!$1:$1048576,ROW(),FALSE)</f>
        <v>0</v>
      </c>
      <c r="AD7155" s="580">
        <f t="shared" si="591"/>
        <v>5</v>
      </c>
      <c r="AE7155" s="580">
        <f t="shared" si="592"/>
        <v>2.5</v>
      </c>
      <c r="AF7155" s="580">
        <f t="shared" si="593"/>
        <v>2.5</v>
      </c>
      <c r="AG7155" s="580">
        <f t="shared" si="594"/>
        <v>0</v>
      </c>
      <c r="AH7155" s="580">
        <f t="shared" si="595"/>
        <v>0</v>
      </c>
    </row>
    <row r="7156" spans="28:34">
      <c r="AB7156" s="580">
        <f>HLOOKUP("*"&amp;'Output annual'!$AC$2&amp;'Output annual'!$AD$2&amp;"*Zone People Number Of Occupants [](Hourly)",'Eplus results'!$1:$1048576,ROW(),FALSE)</f>
        <v>0</v>
      </c>
      <c r="AC7156" s="580">
        <f>HLOOKUP("*"&amp;'Output annual'!$AC$2&amp;'Output annual'!$AD$2&amp;"*FangerPMV(Hourly)",'Eplus results'!$1:$1048576,ROW(),FALSE)</f>
        <v>0</v>
      </c>
      <c r="AD7156" s="580">
        <f t="shared" si="591"/>
        <v>5</v>
      </c>
      <c r="AE7156" s="580">
        <f t="shared" si="592"/>
        <v>2.5</v>
      </c>
      <c r="AF7156" s="580">
        <f t="shared" si="593"/>
        <v>2.5</v>
      </c>
      <c r="AG7156" s="580">
        <f t="shared" si="594"/>
        <v>0</v>
      </c>
      <c r="AH7156" s="580">
        <f t="shared" si="595"/>
        <v>0</v>
      </c>
    </row>
    <row r="7157" spans="28:34">
      <c r="AB7157" s="580">
        <f>HLOOKUP("*"&amp;'Output annual'!$AC$2&amp;'Output annual'!$AD$2&amp;"*Zone People Number Of Occupants [](Hourly)",'Eplus results'!$1:$1048576,ROW(),FALSE)</f>
        <v>0</v>
      </c>
      <c r="AC7157" s="580">
        <f>HLOOKUP("*"&amp;'Output annual'!$AC$2&amp;'Output annual'!$AD$2&amp;"*FangerPMV(Hourly)",'Eplus results'!$1:$1048576,ROW(),FALSE)</f>
        <v>0</v>
      </c>
      <c r="AD7157" s="580">
        <f t="shared" si="591"/>
        <v>5</v>
      </c>
      <c r="AE7157" s="580">
        <f t="shared" si="592"/>
        <v>2.5</v>
      </c>
      <c r="AF7157" s="580">
        <f t="shared" si="593"/>
        <v>2.5</v>
      </c>
      <c r="AG7157" s="580">
        <f t="shared" si="594"/>
        <v>0</v>
      </c>
      <c r="AH7157" s="580">
        <f t="shared" si="595"/>
        <v>0</v>
      </c>
    </row>
    <row r="7158" spans="28:34">
      <c r="AB7158" s="580">
        <f>HLOOKUP("*"&amp;'Output annual'!$AC$2&amp;'Output annual'!$AD$2&amp;"*Zone People Number Of Occupants [](Hourly)",'Eplus results'!$1:$1048576,ROW(),FALSE)</f>
        <v>0</v>
      </c>
      <c r="AC7158" s="580">
        <f>HLOOKUP("*"&amp;'Output annual'!$AC$2&amp;'Output annual'!$AD$2&amp;"*FangerPMV(Hourly)",'Eplus results'!$1:$1048576,ROW(),FALSE)</f>
        <v>0</v>
      </c>
      <c r="AD7158" s="580">
        <f t="shared" si="591"/>
        <v>5</v>
      </c>
      <c r="AE7158" s="580">
        <f t="shared" si="592"/>
        <v>2.5</v>
      </c>
      <c r="AF7158" s="580">
        <f t="shared" si="593"/>
        <v>2.5</v>
      </c>
      <c r="AG7158" s="580">
        <f t="shared" si="594"/>
        <v>0</v>
      </c>
      <c r="AH7158" s="580">
        <f t="shared" si="595"/>
        <v>0</v>
      </c>
    </row>
    <row r="7159" spans="28:34">
      <c r="AB7159" s="580">
        <f>HLOOKUP("*"&amp;'Output annual'!$AC$2&amp;'Output annual'!$AD$2&amp;"*Zone People Number Of Occupants [](Hourly)",'Eplus results'!$1:$1048576,ROW(),FALSE)</f>
        <v>0</v>
      </c>
      <c r="AC7159" s="580">
        <f>HLOOKUP("*"&amp;'Output annual'!$AC$2&amp;'Output annual'!$AD$2&amp;"*FangerPMV(Hourly)",'Eplus results'!$1:$1048576,ROW(),FALSE)</f>
        <v>0</v>
      </c>
      <c r="AD7159" s="580">
        <f t="shared" si="591"/>
        <v>5</v>
      </c>
      <c r="AE7159" s="580">
        <f t="shared" si="592"/>
        <v>2.5</v>
      </c>
      <c r="AF7159" s="580">
        <f t="shared" si="593"/>
        <v>2.5</v>
      </c>
      <c r="AG7159" s="580">
        <f t="shared" si="594"/>
        <v>0</v>
      </c>
      <c r="AH7159" s="580">
        <f t="shared" si="595"/>
        <v>0</v>
      </c>
    </row>
    <row r="7160" spans="28:34">
      <c r="AB7160" s="580">
        <f>HLOOKUP("*"&amp;'Output annual'!$AC$2&amp;'Output annual'!$AD$2&amp;"*Zone People Number Of Occupants [](Hourly)",'Eplus results'!$1:$1048576,ROW(),FALSE)</f>
        <v>0</v>
      </c>
      <c r="AC7160" s="580">
        <f>HLOOKUP("*"&amp;'Output annual'!$AC$2&amp;'Output annual'!$AD$2&amp;"*FangerPMV(Hourly)",'Eplus results'!$1:$1048576,ROW(),FALSE)</f>
        <v>0</v>
      </c>
      <c r="AD7160" s="580">
        <f t="shared" si="591"/>
        <v>5</v>
      </c>
      <c r="AE7160" s="580">
        <f t="shared" si="592"/>
        <v>2.5</v>
      </c>
      <c r="AF7160" s="580">
        <f t="shared" si="593"/>
        <v>2.5</v>
      </c>
      <c r="AG7160" s="580">
        <f t="shared" si="594"/>
        <v>0</v>
      </c>
      <c r="AH7160" s="580">
        <f t="shared" si="595"/>
        <v>0</v>
      </c>
    </row>
    <row r="7161" spans="28:34">
      <c r="AB7161" s="580">
        <f>HLOOKUP("*"&amp;'Output annual'!$AC$2&amp;'Output annual'!$AD$2&amp;"*Zone People Number Of Occupants [](Hourly)",'Eplus results'!$1:$1048576,ROW(),FALSE)</f>
        <v>0</v>
      </c>
      <c r="AC7161" s="580">
        <f>HLOOKUP("*"&amp;'Output annual'!$AC$2&amp;'Output annual'!$AD$2&amp;"*FangerPMV(Hourly)",'Eplus results'!$1:$1048576,ROW(),FALSE)</f>
        <v>0</v>
      </c>
      <c r="AD7161" s="580">
        <f t="shared" si="591"/>
        <v>5</v>
      </c>
      <c r="AE7161" s="580">
        <f t="shared" si="592"/>
        <v>2.5</v>
      </c>
      <c r="AF7161" s="580">
        <f t="shared" si="593"/>
        <v>2.5</v>
      </c>
      <c r="AG7161" s="580">
        <f t="shared" si="594"/>
        <v>0</v>
      </c>
      <c r="AH7161" s="580">
        <f t="shared" si="595"/>
        <v>0</v>
      </c>
    </row>
    <row r="7162" spans="28:34">
      <c r="AB7162" s="580">
        <f>HLOOKUP("*"&amp;'Output annual'!$AC$2&amp;'Output annual'!$AD$2&amp;"*Zone People Number Of Occupants [](Hourly)",'Eplus results'!$1:$1048576,ROW(),FALSE)</f>
        <v>0</v>
      </c>
      <c r="AC7162" s="580">
        <f>HLOOKUP("*"&amp;'Output annual'!$AC$2&amp;'Output annual'!$AD$2&amp;"*FangerPMV(Hourly)",'Eplus results'!$1:$1048576,ROW(),FALSE)</f>
        <v>0</v>
      </c>
      <c r="AD7162" s="580">
        <f t="shared" si="591"/>
        <v>5</v>
      </c>
      <c r="AE7162" s="580">
        <f t="shared" si="592"/>
        <v>2.5</v>
      </c>
      <c r="AF7162" s="580">
        <f t="shared" si="593"/>
        <v>2.5</v>
      </c>
      <c r="AG7162" s="580">
        <f t="shared" si="594"/>
        <v>0</v>
      </c>
      <c r="AH7162" s="580">
        <f t="shared" si="595"/>
        <v>0</v>
      </c>
    </row>
    <row r="7163" spans="28:34">
      <c r="AB7163" s="580">
        <f>HLOOKUP("*"&amp;'Output annual'!$AC$2&amp;'Output annual'!$AD$2&amp;"*Zone People Number Of Occupants [](Hourly)",'Eplus results'!$1:$1048576,ROW(),FALSE)</f>
        <v>0</v>
      </c>
      <c r="AC7163" s="580">
        <f>HLOOKUP("*"&amp;'Output annual'!$AC$2&amp;'Output annual'!$AD$2&amp;"*FangerPMV(Hourly)",'Eplus results'!$1:$1048576,ROW(),FALSE)</f>
        <v>0</v>
      </c>
      <c r="AD7163" s="580">
        <f t="shared" si="591"/>
        <v>5</v>
      </c>
      <c r="AE7163" s="580">
        <f t="shared" si="592"/>
        <v>2.5</v>
      </c>
      <c r="AF7163" s="580">
        <f t="shared" si="593"/>
        <v>2.5</v>
      </c>
      <c r="AG7163" s="580">
        <f t="shared" si="594"/>
        <v>0</v>
      </c>
      <c r="AH7163" s="580">
        <f t="shared" si="595"/>
        <v>0</v>
      </c>
    </row>
    <row r="7164" spans="28:34">
      <c r="AB7164" s="580">
        <f>HLOOKUP("*"&amp;'Output annual'!$AC$2&amp;'Output annual'!$AD$2&amp;"*Zone People Number Of Occupants [](Hourly)",'Eplus results'!$1:$1048576,ROW(),FALSE)</f>
        <v>0</v>
      </c>
      <c r="AC7164" s="580">
        <f>HLOOKUP("*"&amp;'Output annual'!$AC$2&amp;'Output annual'!$AD$2&amp;"*FangerPMV(Hourly)",'Eplus results'!$1:$1048576,ROW(),FALSE)</f>
        <v>0</v>
      </c>
      <c r="AD7164" s="580">
        <f t="shared" si="591"/>
        <v>5</v>
      </c>
      <c r="AE7164" s="580">
        <f t="shared" si="592"/>
        <v>2.5</v>
      </c>
      <c r="AF7164" s="580">
        <f t="shared" si="593"/>
        <v>2.5</v>
      </c>
      <c r="AG7164" s="580">
        <f t="shared" si="594"/>
        <v>0</v>
      </c>
      <c r="AH7164" s="580">
        <f t="shared" si="595"/>
        <v>0</v>
      </c>
    </row>
    <row r="7165" spans="28:34">
      <c r="AB7165" s="580">
        <f>HLOOKUP("*"&amp;'Output annual'!$AC$2&amp;'Output annual'!$AD$2&amp;"*Zone People Number Of Occupants [](Hourly)",'Eplus results'!$1:$1048576,ROW(),FALSE)</f>
        <v>0</v>
      </c>
      <c r="AC7165" s="580">
        <f>HLOOKUP("*"&amp;'Output annual'!$AC$2&amp;'Output annual'!$AD$2&amp;"*FangerPMV(Hourly)",'Eplus results'!$1:$1048576,ROW(),FALSE)</f>
        <v>0</v>
      </c>
      <c r="AD7165" s="580">
        <f t="shared" si="591"/>
        <v>5</v>
      </c>
      <c r="AE7165" s="580">
        <f t="shared" si="592"/>
        <v>2.5</v>
      </c>
      <c r="AF7165" s="580">
        <f t="shared" si="593"/>
        <v>2.5</v>
      </c>
      <c r="AG7165" s="580">
        <f t="shared" si="594"/>
        <v>0</v>
      </c>
      <c r="AH7165" s="580">
        <f t="shared" si="595"/>
        <v>0</v>
      </c>
    </row>
    <row r="7166" spans="28:34">
      <c r="AB7166" s="580">
        <f>HLOOKUP("*"&amp;'Output annual'!$AC$2&amp;'Output annual'!$AD$2&amp;"*Zone People Number Of Occupants [](Hourly)",'Eplus results'!$1:$1048576,ROW(),FALSE)</f>
        <v>0</v>
      </c>
      <c r="AC7166" s="580">
        <f>HLOOKUP("*"&amp;'Output annual'!$AC$2&amp;'Output annual'!$AD$2&amp;"*FangerPMV(Hourly)",'Eplus results'!$1:$1048576,ROW(),FALSE)</f>
        <v>0</v>
      </c>
      <c r="AD7166" s="580">
        <f t="shared" si="591"/>
        <v>5</v>
      </c>
      <c r="AE7166" s="580">
        <f t="shared" si="592"/>
        <v>2.5</v>
      </c>
      <c r="AF7166" s="580">
        <f t="shared" si="593"/>
        <v>2.5</v>
      </c>
      <c r="AG7166" s="580">
        <f t="shared" si="594"/>
        <v>0</v>
      </c>
      <c r="AH7166" s="580">
        <f t="shared" si="595"/>
        <v>0</v>
      </c>
    </row>
    <row r="7167" spans="28:34">
      <c r="AB7167" s="580">
        <f>HLOOKUP("*"&amp;'Output annual'!$AC$2&amp;'Output annual'!$AD$2&amp;"*Zone People Number Of Occupants [](Hourly)",'Eplus results'!$1:$1048576,ROW(),FALSE)</f>
        <v>0</v>
      </c>
      <c r="AC7167" s="580">
        <f>HLOOKUP("*"&amp;'Output annual'!$AC$2&amp;'Output annual'!$AD$2&amp;"*FangerPMV(Hourly)",'Eplus results'!$1:$1048576,ROW(),FALSE)</f>
        <v>0</v>
      </c>
      <c r="AD7167" s="580">
        <f t="shared" si="591"/>
        <v>5</v>
      </c>
      <c r="AE7167" s="580">
        <f t="shared" si="592"/>
        <v>2.5</v>
      </c>
      <c r="AF7167" s="580">
        <f t="shared" si="593"/>
        <v>2.5</v>
      </c>
      <c r="AG7167" s="580">
        <f t="shared" si="594"/>
        <v>0</v>
      </c>
      <c r="AH7167" s="580">
        <f t="shared" si="595"/>
        <v>0</v>
      </c>
    </row>
    <row r="7168" spans="28:34">
      <c r="AB7168" s="580">
        <f>HLOOKUP("*"&amp;'Output annual'!$AC$2&amp;'Output annual'!$AD$2&amp;"*Zone People Number Of Occupants [](Hourly)",'Eplus results'!$1:$1048576,ROW(),FALSE)</f>
        <v>0</v>
      </c>
      <c r="AC7168" s="580">
        <f>HLOOKUP("*"&amp;'Output annual'!$AC$2&amp;'Output annual'!$AD$2&amp;"*FangerPMV(Hourly)",'Eplus results'!$1:$1048576,ROW(),FALSE)</f>
        <v>0</v>
      </c>
      <c r="AD7168" s="580">
        <f t="shared" si="591"/>
        <v>5</v>
      </c>
      <c r="AE7168" s="580">
        <f t="shared" si="592"/>
        <v>2.5</v>
      </c>
      <c r="AF7168" s="580">
        <f t="shared" si="593"/>
        <v>2.5</v>
      </c>
      <c r="AG7168" s="580">
        <f t="shared" si="594"/>
        <v>0</v>
      </c>
      <c r="AH7168" s="580">
        <f t="shared" si="595"/>
        <v>0</v>
      </c>
    </row>
    <row r="7169" spans="28:34">
      <c r="AB7169" s="580">
        <f>HLOOKUP("*"&amp;'Output annual'!$AC$2&amp;'Output annual'!$AD$2&amp;"*Zone People Number Of Occupants [](Hourly)",'Eplus results'!$1:$1048576,ROW(),FALSE)</f>
        <v>0</v>
      </c>
      <c r="AC7169" s="580">
        <f>HLOOKUP("*"&amp;'Output annual'!$AC$2&amp;'Output annual'!$AD$2&amp;"*FangerPMV(Hourly)",'Eplus results'!$1:$1048576,ROW(),FALSE)</f>
        <v>0</v>
      </c>
      <c r="AD7169" s="580">
        <f t="shared" si="591"/>
        <v>5</v>
      </c>
      <c r="AE7169" s="580">
        <f t="shared" si="592"/>
        <v>2.5</v>
      </c>
      <c r="AF7169" s="580">
        <f t="shared" si="593"/>
        <v>2.5</v>
      </c>
      <c r="AG7169" s="580">
        <f t="shared" si="594"/>
        <v>0</v>
      </c>
      <c r="AH7169" s="580">
        <f t="shared" si="595"/>
        <v>0</v>
      </c>
    </row>
    <row r="7170" spans="28:34">
      <c r="AB7170" s="580">
        <f>HLOOKUP("*"&amp;'Output annual'!$AC$2&amp;'Output annual'!$AD$2&amp;"*Zone People Number Of Occupants [](Hourly)",'Eplus results'!$1:$1048576,ROW(),FALSE)</f>
        <v>0</v>
      </c>
      <c r="AC7170" s="580">
        <f>HLOOKUP("*"&amp;'Output annual'!$AC$2&amp;'Output annual'!$AD$2&amp;"*FangerPMV(Hourly)",'Eplus results'!$1:$1048576,ROW(),FALSE)</f>
        <v>0</v>
      </c>
      <c r="AD7170" s="580">
        <f t="shared" si="591"/>
        <v>5</v>
      </c>
      <c r="AE7170" s="580">
        <f t="shared" si="592"/>
        <v>2.5</v>
      </c>
      <c r="AF7170" s="580">
        <f t="shared" si="593"/>
        <v>2.5</v>
      </c>
      <c r="AG7170" s="580">
        <f t="shared" si="594"/>
        <v>0</v>
      </c>
      <c r="AH7170" s="580">
        <f t="shared" si="595"/>
        <v>0</v>
      </c>
    </row>
    <row r="7171" spans="28:34">
      <c r="AB7171" s="580">
        <f>HLOOKUP("*"&amp;'Output annual'!$AC$2&amp;'Output annual'!$AD$2&amp;"*Zone People Number Of Occupants [](Hourly)",'Eplus results'!$1:$1048576,ROW(),FALSE)</f>
        <v>0</v>
      </c>
      <c r="AC7171" s="580">
        <f>HLOOKUP("*"&amp;'Output annual'!$AC$2&amp;'Output annual'!$AD$2&amp;"*FangerPMV(Hourly)",'Eplus results'!$1:$1048576,ROW(),FALSE)</f>
        <v>0</v>
      </c>
      <c r="AD7171" s="580">
        <f t="shared" ref="AD7171:AD7234" si="596">100-95*EXP(-0.03353*AC7171^4-0.2179*AC7171^2)</f>
        <v>5</v>
      </c>
      <c r="AE7171" s="580">
        <f t="shared" ref="AE7171:AE7234" si="597">AD7171*(1/(1+EXP(-6.3*$AC7171)))</f>
        <v>2.5</v>
      </c>
      <c r="AF7171" s="580">
        <f t="shared" ref="AF7171:AF7234" si="598">(AD7171-AE7171)</f>
        <v>2.5</v>
      </c>
      <c r="AG7171" s="580">
        <f t="shared" ref="AG7171:AG7234" si="599">AE7171*AB7171</f>
        <v>0</v>
      </c>
      <c r="AH7171" s="580">
        <f t="shared" ref="AH7171:AH7234" si="600">AF7171*AB7171</f>
        <v>0</v>
      </c>
    </row>
    <row r="7172" spans="28:34">
      <c r="AB7172" s="580">
        <f>HLOOKUP("*"&amp;'Output annual'!$AC$2&amp;'Output annual'!$AD$2&amp;"*Zone People Number Of Occupants [](Hourly)",'Eplus results'!$1:$1048576,ROW(),FALSE)</f>
        <v>0</v>
      </c>
      <c r="AC7172" s="580">
        <f>HLOOKUP("*"&amp;'Output annual'!$AC$2&amp;'Output annual'!$AD$2&amp;"*FangerPMV(Hourly)",'Eplus results'!$1:$1048576,ROW(),FALSE)</f>
        <v>0</v>
      </c>
      <c r="AD7172" s="580">
        <f t="shared" si="596"/>
        <v>5</v>
      </c>
      <c r="AE7172" s="580">
        <f t="shared" si="597"/>
        <v>2.5</v>
      </c>
      <c r="AF7172" s="580">
        <f t="shared" si="598"/>
        <v>2.5</v>
      </c>
      <c r="AG7172" s="580">
        <f t="shared" si="599"/>
        <v>0</v>
      </c>
      <c r="AH7172" s="580">
        <f t="shared" si="600"/>
        <v>0</v>
      </c>
    </row>
    <row r="7173" spans="28:34">
      <c r="AB7173" s="580">
        <f>HLOOKUP("*"&amp;'Output annual'!$AC$2&amp;'Output annual'!$AD$2&amp;"*Zone People Number Of Occupants [](Hourly)",'Eplus results'!$1:$1048576,ROW(),FALSE)</f>
        <v>0</v>
      </c>
      <c r="AC7173" s="580">
        <f>HLOOKUP("*"&amp;'Output annual'!$AC$2&amp;'Output annual'!$AD$2&amp;"*FangerPMV(Hourly)",'Eplus results'!$1:$1048576,ROW(),FALSE)</f>
        <v>0</v>
      </c>
      <c r="AD7173" s="580">
        <f t="shared" si="596"/>
        <v>5</v>
      </c>
      <c r="AE7173" s="580">
        <f t="shared" si="597"/>
        <v>2.5</v>
      </c>
      <c r="AF7173" s="580">
        <f t="shared" si="598"/>
        <v>2.5</v>
      </c>
      <c r="AG7173" s="580">
        <f t="shared" si="599"/>
        <v>0</v>
      </c>
      <c r="AH7173" s="580">
        <f t="shared" si="600"/>
        <v>0</v>
      </c>
    </row>
    <row r="7174" spans="28:34">
      <c r="AB7174" s="580">
        <f>HLOOKUP("*"&amp;'Output annual'!$AC$2&amp;'Output annual'!$AD$2&amp;"*Zone People Number Of Occupants [](Hourly)",'Eplus results'!$1:$1048576,ROW(),FALSE)</f>
        <v>0</v>
      </c>
      <c r="AC7174" s="580">
        <f>HLOOKUP("*"&amp;'Output annual'!$AC$2&amp;'Output annual'!$AD$2&amp;"*FangerPMV(Hourly)",'Eplus results'!$1:$1048576,ROW(),FALSE)</f>
        <v>0</v>
      </c>
      <c r="AD7174" s="580">
        <f t="shared" si="596"/>
        <v>5</v>
      </c>
      <c r="AE7174" s="580">
        <f t="shared" si="597"/>
        <v>2.5</v>
      </c>
      <c r="AF7174" s="580">
        <f t="shared" si="598"/>
        <v>2.5</v>
      </c>
      <c r="AG7174" s="580">
        <f t="shared" si="599"/>
        <v>0</v>
      </c>
      <c r="AH7174" s="580">
        <f t="shared" si="600"/>
        <v>0</v>
      </c>
    </row>
    <row r="7175" spans="28:34">
      <c r="AB7175" s="580">
        <f>HLOOKUP("*"&amp;'Output annual'!$AC$2&amp;'Output annual'!$AD$2&amp;"*Zone People Number Of Occupants [](Hourly)",'Eplus results'!$1:$1048576,ROW(),FALSE)</f>
        <v>0</v>
      </c>
      <c r="AC7175" s="580">
        <f>HLOOKUP("*"&amp;'Output annual'!$AC$2&amp;'Output annual'!$AD$2&amp;"*FangerPMV(Hourly)",'Eplus results'!$1:$1048576,ROW(),FALSE)</f>
        <v>0</v>
      </c>
      <c r="AD7175" s="580">
        <f t="shared" si="596"/>
        <v>5</v>
      </c>
      <c r="AE7175" s="580">
        <f t="shared" si="597"/>
        <v>2.5</v>
      </c>
      <c r="AF7175" s="580">
        <f t="shared" si="598"/>
        <v>2.5</v>
      </c>
      <c r="AG7175" s="580">
        <f t="shared" si="599"/>
        <v>0</v>
      </c>
      <c r="AH7175" s="580">
        <f t="shared" si="600"/>
        <v>0</v>
      </c>
    </row>
    <row r="7176" spans="28:34">
      <c r="AB7176" s="580">
        <f>HLOOKUP("*"&amp;'Output annual'!$AC$2&amp;'Output annual'!$AD$2&amp;"*Zone People Number Of Occupants [](Hourly)",'Eplus results'!$1:$1048576,ROW(),FALSE)</f>
        <v>0</v>
      </c>
      <c r="AC7176" s="580">
        <f>HLOOKUP("*"&amp;'Output annual'!$AC$2&amp;'Output annual'!$AD$2&amp;"*FangerPMV(Hourly)",'Eplus results'!$1:$1048576,ROW(),FALSE)</f>
        <v>0</v>
      </c>
      <c r="AD7176" s="580">
        <f t="shared" si="596"/>
        <v>5</v>
      </c>
      <c r="AE7176" s="580">
        <f t="shared" si="597"/>
        <v>2.5</v>
      </c>
      <c r="AF7176" s="580">
        <f t="shared" si="598"/>
        <v>2.5</v>
      </c>
      <c r="AG7176" s="580">
        <f t="shared" si="599"/>
        <v>0</v>
      </c>
      <c r="AH7176" s="580">
        <f t="shared" si="600"/>
        <v>0</v>
      </c>
    </row>
    <row r="7177" spans="28:34">
      <c r="AB7177" s="580">
        <f>HLOOKUP("*"&amp;'Output annual'!$AC$2&amp;'Output annual'!$AD$2&amp;"*Zone People Number Of Occupants [](Hourly)",'Eplus results'!$1:$1048576,ROW(),FALSE)</f>
        <v>0</v>
      </c>
      <c r="AC7177" s="580">
        <f>HLOOKUP("*"&amp;'Output annual'!$AC$2&amp;'Output annual'!$AD$2&amp;"*FangerPMV(Hourly)",'Eplus results'!$1:$1048576,ROW(),FALSE)</f>
        <v>0</v>
      </c>
      <c r="AD7177" s="580">
        <f t="shared" si="596"/>
        <v>5</v>
      </c>
      <c r="AE7177" s="580">
        <f t="shared" si="597"/>
        <v>2.5</v>
      </c>
      <c r="AF7177" s="580">
        <f t="shared" si="598"/>
        <v>2.5</v>
      </c>
      <c r="AG7177" s="580">
        <f t="shared" si="599"/>
        <v>0</v>
      </c>
      <c r="AH7177" s="580">
        <f t="shared" si="600"/>
        <v>0</v>
      </c>
    </row>
    <row r="7178" spans="28:34">
      <c r="AB7178" s="580">
        <f>HLOOKUP("*"&amp;'Output annual'!$AC$2&amp;'Output annual'!$AD$2&amp;"*Zone People Number Of Occupants [](Hourly)",'Eplus results'!$1:$1048576,ROW(),FALSE)</f>
        <v>0</v>
      </c>
      <c r="AC7178" s="580">
        <f>HLOOKUP("*"&amp;'Output annual'!$AC$2&amp;'Output annual'!$AD$2&amp;"*FangerPMV(Hourly)",'Eplus results'!$1:$1048576,ROW(),FALSE)</f>
        <v>0</v>
      </c>
      <c r="AD7178" s="580">
        <f t="shared" si="596"/>
        <v>5</v>
      </c>
      <c r="AE7178" s="580">
        <f t="shared" si="597"/>
        <v>2.5</v>
      </c>
      <c r="AF7178" s="580">
        <f t="shared" si="598"/>
        <v>2.5</v>
      </c>
      <c r="AG7178" s="580">
        <f t="shared" si="599"/>
        <v>0</v>
      </c>
      <c r="AH7178" s="580">
        <f t="shared" si="600"/>
        <v>0</v>
      </c>
    </row>
    <row r="7179" spans="28:34">
      <c r="AB7179" s="580">
        <f>HLOOKUP("*"&amp;'Output annual'!$AC$2&amp;'Output annual'!$AD$2&amp;"*Zone People Number Of Occupants [](Hourly)",'Eplus results'!$1:$1048576,ROW(),FALSE)</f>
        <v>0</v>
      </c>
      <c r="AC7179" s="580">
        <f>HLOOKUP("*"&amp;'Output annual'!$AC$2&amp;'Output annual'!$AD$2&amp;"*FangerPMV(Hourly)",'Eplus results'!$1:$1048576,ROW(),FALSE)</f>
        <v>0</v>
      </c>
      <c r="AD7179" s="580">
        <f t="shared" si="596"/>
        <v>5</v>
      </c>
      <c r="AE7179" s="580">
        <f t="shared" si="597"/>
        <v>2.5</v>
      </c>
      <c r="AF7179" s="580">
        <f t="shared" si="598"/>
        <v>2.5</v>
      </c>
      <c r="AG7179" s="580">
        <f t="shared" si="599"/>
        <v>0</v>
      </c>
      <c r="AH7179" s="580">
        <f t="shared" si="600"/>
        <v>0</v>
      </c>
    </row>
    <row r="7180" spans="28:34">
      <c r="AB7180" s="580">
        <f>HLOOKUP("*"&amp;'Output annual'!$AC$2&amp;'Output annual'!$AD$2&amp;"*Zone People Number Of Occupants [](Hourly)",'Eplus results'!$1:$1048576,ROW(),FALSE)</f>
        <v>0</v>
      </c>
      <c r="AC7180" s="580">
        <f>HLOOKUP("*"&amp;'Output annual'!$AC$2&amp;'Output annual'!$AD$2&amp;"*FangerPMV(Hourly)",'Eplus results'!$1:$1048576,ROW(),FALSE)</f>
        <v>0</v>
      </c>
      <c r="AD7180" s="580">
        <f t="shared" si="596"/>
        <v>5</v>
      </c>
      <c r="AE7180" s="580">
        <f t="shared" si="597"/>
        <v>2.5</v>
      </c>
      <c r="AF7180" s="580">
        <f t="shared" si="598"/>
        <v>2.5</v>
      </c>
      <c r="AG7180" s="580">
        <f t="shared" si="599"/>
        <v>0</v>
      </c>
      <c r="AH7180" s="580">
        <f t="shared" si="600"/>
        <v>0</v>
      </c>
    </row>
    <row r="7181" spans="28:34">
      <c r="AB7181" s="580">
        <f>HLOOKUP("*"&amp;'Output annual'!$AC$2&amp;'Output annual'!$AD$2&amp;"*Zone People Number Of Occupants [](Hourly)",'Eplus results'!$1:$1048576,ROW(),FALSE)</f>
        <v>0</v>
      </c>
      <c r="AC7181" s="580">
        <f>HLOOKUP("*"&amp;'Output annual'!$AC$2&amp;'Output annual'!$AD$2&amp;"*FangerPMV(Hourly)",'Eplus results'!$1:$1048576,ROW(),FALSE)</f>
        <v>0</v>
      </c>
      <c r="AD7181" s="580">
        <f t="shared" si="596"/>
        <v>5</v>
      </c>
      <c r="AE7181" s="580">
        <f t="shared" si="597"/>
        <v>2.5</v>
      </c>
      <c r="AF7181" s="580">
        <f t="shared" si="598"/>
        <v>2.5</v>
      </c>
      <c r="AG7181" s="580">
        <f t="shared" si="599"/>
        <v>0</v>
      </c>
      <c r="AH7181" s="580">
        <f t="shared" si="600"/>
        <v>0</v>
      </c>
    </row>
    <row r="7182" spans="28:34">
      <c r="AB7182" s="580">
        <f>HLOOKUP("*"&amp;'Output annual'!$AC$2&amp;'Output annual'!$AD$2&amp;"*Zone People Number Of Occupants [](Hourly)",'Eplus results'!$1:$1048576,ROW(),FALSE)</f>
        <v>0</v>
      </c>
      <c r="AC7182" s="580">
        <f>HLOOKUP("*"&amp;'Output annual'!$AC$2&amp;'Output annual'!$AD$2&amp;"*FangerPMV(Hourly)",'Eplus results'!$1:$1048576,ROW(),FALSE)</f>
        <v>0</v>
      </c>
      <c r="AD7182" s="580">
        <f t="shared" si="596"/>
        <v>5</v>
      </c>
      <c r="AE7182" s="580">
        <f t="shared" si="597"/>
        <v>2.5</v>
      </c>
      <c r="AF7182" s="580">
        <f t="shared" si="598"/>
        <v>2.5</v>
      </c>
      <c r="AG7182" s="580">
        <f t="shared" si="599"/>
        <v>0</v>
      </c>
      <c r="AH7182" s="580">
        <f t="shared" si="600"/>
        <v>0</v>
      </c>
    </row>
    <row r="7183" spans="28:34">
      <c r="AB7183" s="580">
        <f>HLOOKUP("*"&amp;'Output annual'!$AC$2&amp;'Output annual'!$AD$2&amp;"*Zone People Number Of Occupants [](Hourly)",'Eplus results'!$1:$1048576,ROW(),FALSE)</f>
        <v>0</v>
      </c>
      <c r="AC7183" s="580">
        <f>HLOOKUP("*"&amp;'Output annual'!$AC$2&amp;'Output annual'!$AD$2&amp;"*FangerPMV(Hourly)",'Eplus results'!$1:$1048576,ROW(),FALSE)</f>
        <v>0</v>
      </c>
      <c r="AD7183" s="580">
        <f t="shared" si="596"/>
        <v>5</v>
      </c>
      <c r="AE7183" s="580">
        <f t="shared" si="597"/>
        <v>2.5</v>
      </c>
      <c r="AF7183" s="580">
        <f t="shared" si="598"/>
        <v>2.5</v>
      </c>
      <c r="AG7183" s="580">
        <f t="shared" si="599"/>
        <v>0</v>
      </c>
      <c r="AH7183" s="580">
        <f t="shared" si="600"/>
        <v>0</v>
      </c>
    </row>
    <row r="7184" spans="28:34">
      <c r="AB7184" s="580">
        <f>HLOOKUP("*"&amp;'Output annual'!$AC$2&amp;'Output annual'!$AD$2&amp;"*Zone People Number Of Occupants [](Hourly)",'Eplus results'!$1:$1048576,ROW(),FALSE)</f>
        <v>0</v>
      </c>
      <c r="AC7184" s="580">
        <f>HLOOKUP("*"&amp;'Output annual'!$AC$2&amp;'Output annual'!$AD$2&amp;"*FangerPMV(Hourly)",'Eplus results'!$1:$1048576,ROW(),FALSE)</f>
        <v>0</v>
      </c>
      <c r="AD7184" s="580">
        <f t="shared" si="596"/>
        <v>5</v>
      </c>
      <c r="AE7184" s="580">
        <f t="shared" si="597"/>
        <v>2.5</v>
      </c>
      <c r="AF7184" s="580">
        <f t="shared" si="598"/>
        <v>2.5</v>
      </c>
      <c r="AG7184" s="580">
        <f t="shared" si="599"/>
        <v>0</v>
      </c>
      <c r="AH7184" s="580">
        <f t="shared" si="600"/>
        <v>0</v>
      </c>
    </row>
    <row r="7185" spans="28:34">
      <c r="AB7185" s="580">
        <f>HLOOKUP("*"&amp;'Output annual'!$AC$2&amp;'Output annual'!$AD$2&amp;"*Zone People Number Of Occupants [](Hourly)",'Eplus results'!$1:$1048576,ROW(),FALSE)</f>
        <v>0</v>
      </c>
      <c r="AC7185" s="580">
        <f>HLOOKUP("*"&amp;'Output annual'!$AC$2&amp;'Output annual'!$AD$2&amp;"*FangerPMV(Hourly)",'Eplus results'!$1:$1048576,ROW(),FALSE)</f>
        <v>0</v>
      </c>
      <c r="AD7185" s="580">
        <f t="shared" si="596"/>
        <v>5</v>
      </c>
      <c r="AE7185" s="580">
        <f t="shared" si="597"/>
        <v>2.5</v>
      </c>
      <c r="AF7185" s="580">
        <f t="shared" si="598"/>
        <v>2.5</v>
      </c>
      <c r="AG7185" s="580">
        <f t="shared" si="599"/>
        <v>0</v>
      </c>
      <c r="AH7185" s="580">
        <f t="shared" si="600"/>
        <v>0</v>
      </c>
    </row>
    <row r="7186" spans="28:34">
      <c r="AB7186" s="580">
        <f>HLOOKUP("*"&amp;'Output annual'!$AC$2&amp;'Output annual'!$AD$2&amp;"*Zone People Number Of Occupants [](Hourly)",'Eplus results'!$1:$1048576,ROW(),FALSE)</f>
        <v>0</v>
      </c>
      <c r="AC7186" s="580">
        <f>HLOOKUP("*"&amp;'Output annual'!$AC$2&amp;'Output annual'!$AD$2&amp;"*FangerPMV(Hourly)",'Eplus results'!$1:$1048576,ROW(),FALSE)</f>
        <v>0</v>
      </c>
      <c r="AD7186" s="580">
        <f t="shared" si="596"/>
        <v>5</v>
      </c>
      <c r="AE7186" s="580">
        <f t="shared" si="597"/>
        <v>2.5</v>
      </c>
      <c r="AF7186" s="580">
        <f t="shared" si="598"/>
        <v>2.5</v>
      </c>
      <c r="AG7186" s="580">
        <f t="shared" si="599"/>
        <v>0</v>
      </c>
      <c r="AH7186" s="580">
        <f t="shared" si="600"/>
        <v>0</v>
      </c>
    </row>
    <row r="7187" spans="28:34">
      <c r="AB7187" s="580">
        <f>HLOOKUP("*"&amp;'Output annual'!$AC$2&amp;'Output annual'!$AD$2&amp;"*Zone People Number Of Occupants [](Hourly)",'Eplus results'!$1:$1048576,ROW(),FALSE)</f>
        <v>0</v>
      </c>
      <c r="AC7187" s="580">
        <f>HLOOKUP("*"&amp;'Output annual'!$AC$2&amp;'Output annual'!$AD$2&amp;"*FangerPMV(Hourly)",'Eplus results'!$1:$1048576,ROW(),FALSE)</f>
        <v>0</v>
      </c>
      <c r="AD7187" s="580">
        <f t="shared" si="596"/>
        <v>5</v>
      </c>
      <c r="AE7187" s="580">
        <f t="shared" si="597"/>
        <v>2.5</v>
      </c>
      <c r="AF7187" s="580">
        <f t="shared" si="598"/>
        <v>2.5</v>
      </c>
      <c r="AG7187" s="580">
        <f t="shared" si="599"/>
        <v>0</v>
      </c>
      <c r="AH7187" s="580">
        <f t="shared" si="600"/>
        <v>0</v>
      </c>
    </row>
    <row r="7188" spans="28:34">
      <c r="AB7188" s="580">
        <f>HLOOKUP("*"&amp;'Output annual'!$AC$2&amp;'Output annual'!$AD$2&amp;"*Zone People Number Of Occupants [](Hourly)",'Eplus results'!$1:$1048576,ROW(),FALSE)</f>
        <v>0</v>
      </c>
      <c r="AC7188" s="580">
        <f>HLOOKUP("*"&amp;'Output annual'!$AC$2&amp;'Output annual'!$AD$2&amp;"*FangerPMV(Hourly)",'Eplus results'!$1:$1048576,ROW(),FALSE)</f>
        <v>0</v>
      </c>
      <c r="AD7188" s="580">
        <f t="shared" si="596"/>
        <v>5</v>
      </c>
      <c r="AE7188" s="580">
        <f t="shared" si="597"/>
        <v>2.5</v>
      </c>
      <c r="AF7188" s="580">
        <f t="shared" si="598"/>
        <v>2.5</v>
      </c>
      <c r="AG7188" s="580">
        <f t="shared" si="599"/>
        <v>0</v>
      </c>
      <c r="AH7188" s="580">
        <f t="shared" si="600"/>
        <v>0</v>
      </c>
    </row>
    <row r="7189" spans="28:34">
      <c r="AB7189" s="580">
        <f>HLOOKUP("*"&amp;'Output annual'!$AC$2&amp;'Output annual'!$AD$2&amp;"*Zone People Number Of Occupants [](Hourly)",'Eplus results'!$1:$1048576,ROW(),FALSE)</f>
        <v>0</v>
      </c>
      <c r="AC7189" s="580">
        <f>HLOOKUP("*"&amp;'Output annual'!$AC$2&amp;'Output annual'!$AD$2&amp;"*FangerPMV(Hourly)",'Eplus results'!$1:$1048576,ROW(),FALSE)</f>
        <v>0</v>
      </c>
      <c r="AD7189" s="580">
        <f t="shared" si="596"/>
        <v>5</v>
      </c>
      <c r="AE7189" s="580">
        <f t="shared" si="597"/>
        <v>2.5</v>
      </c>
      <c r="AF7189" s="580">
        <f t="shared" si="598"/>
        <v>2.5</v>
      </c>
      <c r="AG7189" s="580">
        <f t="shared" si="599"/>
        <v>0</v>
      </c>
      <c r="AH7189" s="580">
        <f t="shared" si="600"/>
        <v>0</v>
      </c>
    </row>
    <row r="7190" spans="28:34">
      <c r="AB7190" s="580">
        <f>HLOOKUP("*"&amp;'Output annual'!$AC$2&amp;'Output annual'!$AD$2&amp;"*Zone People Number Of Occupants [](Hourly)",'Eplus results'!$1:$1048576,ROW(),FALSE)</f>
        <v>0</v>
      </c>
      <c r="AC7190" s="580">
        <f>HLOOKUP("*"&amp;'Output annual'!$AC$2&amp;'Output annual'!$AD$2&amp;"*FangerPMV(Hourly)",'Eplus results'!$1:$1048576,ROW(),FALSE)</f>
        <v>0</v>
      </c>
      <c r="AD7190" s="580">
        <f t="shared" si="596"/>
        <v>5</v>
      </c>
      <c r="AE7190" s="580">
        <f t="shared" si="597"/>
        <v>2.5</v>
      </c>
      <c r="AF7190" s="580">
        <f t="shared" si="598"/>
        <v>2.5</v>
      </c>
      <c r="AG7190" s="580">
        <f t="shared" si="599"/>
        <v>0</v>
      </c>
      <c r="AH7190" s="580">
        <f t="shared" si="600"/>
        <v>0</v>
      </c>
    </row>
    <row r="7191" spans="28:34">
      <c r="AB7191" s="580">
        <f>HLOOKUP("*"&amp;'Output annual'!$AC$2&amp;'Output annual'!$AD$2&amp;"*Zone People Number Of Occupants [](Hourly)",'Eplus results'!$1:$1048576,ROW(),FALSE)</f>
        <v>0</v>
      </c>
      <c r="AC7191" s="580">
        <f>HLOOKUP("*"&amp;'Output annual'!$AC$2&amp;'Output annual'!$AD$2&amp;"*FangerPMV(Hourly)",'Eplus results'!$1:$1048576,ROW(),FALSE)</f>
        <v>0</v>
      </c>
      <c r="AD7191" s="580">
        <f t="shared" si="596"/>
        <v>5</v>
      </c>
      <c r="AE7191" s="580">
        <f t="shared" si="597"/>
        <v>2.5</v>
      </c>
      <c r="AF7191" s="580">
        <f t="shared" si="598"/>
        <v>2.5</v>
      </c>
      <c r="AG7191" s="580">
        <f t="shared" si="599"/>
        <v>0</v>
      </c>
      <c r="AH7191" s="580">
        <f t="shared" si="600"/>
        <v>0</v>
      </c>
    </row>
    <row r="7192" spans="28:34">
      <c r="AB7192" s="580">
        <f>HLOOKUP("*"&amp;'Output annual'!$AC$2&amp;'Output annual'!$AD$2&amp;"*Zone People Number Of Occupants [](Hourly)",'Eplus results'!$1:$1048576,ROW(),FALSE)</f>
        <v>0</v>
      </c>
      <c r="AC7192" s="580">
        <f>HLOOKUP("*"&amp;'Output annual'!$AC$2&amp;'Output annual'!$AD$2&amp;"*FangerPMV(Hourly)",'Eplus results'!$1:$1048576,ROW(),FALSE)</f>
        <v>0</v>
      </c>
      <c r="AD7192" s="580">
        <f t="shared" si="596"/>
        <v>5</v>
      </c>
      <c r="AE7192" s="580">
        <f t="shared" si="597"/>
        <v>2.5</v>
      </c>
      <c r="AF7192" s="580">
        <f t="shared" si="598"/>
        <v>2.5</v>
      </c>
      <c r="AG7192" s="580">
        <f t="shared" si="599"/>
        <v>0</v>
      </c>
      <c r="AH7192" s="580">
        <f t="shared" si="600"/>
        <v>0</v>
      </c>
    </row>
    <row r="7193" spans="28:34">
      <c r="AB7193" s="580">
        <f>HLOOKUP("*"&amp;'Output annual'!$AC$2&amp;'Output annual'!$AD$2&amp;"*Zone People Number Of Occupants [](Hourly)",'Eplus results'!$1:$1048576,ROW(),FALSE)</f>
        <v>0</v>
      </c>
      <c r="AC7193" s="580">
        <f>HLOOKUP("*"&amp;'Output annual'!$AC$2&amp;'Output annual'!$AD$2&amp;"*FangerPMV(Hourly)",'Eplus results'!$1:$1048576,ROW(),FALSE)</f>
        <v>0</v>
      </c>
      <c r="AD7193" s="580">
        <f t="shared" si="596"/>
        <v>5</v>
      </c>
      <c r="AE7193" s="580">
        <f t="shared" si="597"/>
        <v>2.5</v>
      </c>
      <c r="AF7193" s="580">
        <f t="shared" si="598"/>
        <v>2.5</v>
      </c>
      <c r="AG7193" s="580">
        <f t="shared" si="599"/>
        <v>0</v>
      </c>
      <c r="AH7193" s="580">
        <f t="shared" si="600"/>
        <v>0</v>
      </c>
    </row>
    <row r="7194" spans="28:34">
      <c r="AB7194" s="580">
        <f>HLOOKUP("*"&amp;'Output annual'!$AC$2&amp;'Output annual'!$AD$2&amp;"*Zone People Number Of Occupants [](Hourly)",'Eplus results'!$1:$1048576,ROW(),FALSE)</f>
        <v>0</v>
      </c>
      <c r="AC7194" s="580">
        <f>HLOOKUP("*"&amp;'Output annual'!$AC$2&amp;'Output annual'!$AD$2&amp;"*FangerPMV(Hourly)",'Eplus results'!$1:$1048576,ROW(),FALSE)</f>
        <v>0</v>
      </c>
      <c r="AD7194" s="580">
        <f t="shared" si="596"/>
        <v>5</v>
      </c>
      <c r="AE7194" s="580">
        <f t="shared" si="597"/>
        <v>2.5</v>
      </c>
      <c r="AF7194" s="580">
        <f t="shared" si="598"/>
        <v>2.5</v>
      </c>
      <c r="AG7194" s="580">
        <f t="shared" si="599"/>
        <v>0</v>
      </c>
      <c r="AH7194" s="580">
        <f t="shared" si="600"/>
        <v>0</v>
      </c>
    </row>
    <row r="7195" spans="28:34">
      <c r="AB7195" s="580">
        <f>HLOOKUP("*"&amp;'Output annual'!$AC$2&amp;'Output annual'!$AD$2&amp;"*Zone People Number Of Occupants [](Hourly)",'Eplus results'!$1:$1048576,ROW(),FALSE)</f>
        <v>0</v>
      </c>
      <c r="AC7195" s="580">
        <f>HLOOKUP("*"&amp;'Output annual'!$AC$2&amp;'Output annual'!$AD$2&amp;"*FangerPMV(Hourly)",'Eplus results'!$1:$1048576,ROW(),FALSE)</f>
        <v>0</v>
      </c>
      <c r="AD7195" s="580">
        <f t="shared" si="596"/>
        <v>5</v>
      </c>
      <c r="AE7195" s="580">
        <f t="shared" si="597"/>
        <v>2.5</v>
      </c>
      <c r="AF7195" s="580">
        <f t="shared" si="598"/>
        <v>2.5</v>
      </c>
      <c r="AG7195" s="580">
        <f t="shared" si="599"/>
        <v>0</v>
      </c>
      <c r="AH7195" s="580">
        <f t="shared" si="600"/>
        <v>0</v>
      </c>
    </row>
    <row r="7196" spans="28:34">
      <c r="AB7196" s="580">
        <f>HLOOKUP("*"&amp;'Output annual'!$AC$2&amp;'Output annual'!$AD$2&amp;"*Zone People Number Of Occupants [](Hourly)",'Eplus results'!$1:$1048576,ROW(),FALSE)</f>
        <v>0</v>
      </c>
      <c r="AC7196" s="580">
        <f>HLOOKUP("*"&amp;'Output annual'!$AC$2&amp;'Output annual'!$AD$2&amp;"*FangerPMV(Hourly)",'Eplus results'!$1:$1048576,ROW(),FALSE)</f>
        <v>0</v>
      </c>
      <c r="AD7196" s="580">
        <f t="shared" si="596"/>
        <v>5</v>
      </c>
      <c r="AE7196" s="580">
        <f t="shared" si="597"/>
        <v>2.5</v>
      </c>
      <c r="AF7196" s="580">
        <f t="shared" si="598"/>
        <v>2.5</v>
      </c>
      <c r="AG7196" s="580">
        <f t="shared" si="599"/>
        <v>0</v>
      </c>
      <c r="AH7196" s="580">
        <f t="shared" si="600"/>
        <v>0</v>
      </c>
    </row>
    <row r="7197" spans="28:34">
      <c r="AB7197" s="580">
        <f>HLOOKUP("*"&amp;'Output annual'!$AC$2&amp;'Output annual'!$AD$2&amp;"*Zone People Number Of Occupants [](Hourly)",'Eplus results'!$1:$1048576,ROW(),FALSE)</f>
        <v>0</v>
      </c>
      <c r="AC7197" s="580">
        <f>HLOOKUP("*"&amp;'Output annual'!$AC$2&amp;'Output annual'!$AD$2&amp;"*FangerPMV(Hourly)",'Eplus results'!$1:$1048576,ROW(),FALSE)</f>
        <v>0</v>
      </c>
      <c r="AD7197" s="580">
        <f t="shared" si="596"/>
        <v>5</v>
      </c>
      <c r="AE7197" s="580">
        <f t="shared" si="597"/>
        <v>2.5</v>
      </c>
      <c r="AF7197" s="580">
        <f t="shared" si="598"/>
        <v>2.5</v>
      </c>
      <c r="AG7197" s="580">
        <f t="shared" si="599"/>
        <v>0</v>
      </c>
      <c r="AH7197" s="580">
        <f t="shared" si="600"/>
        <v>0</v>
      </c>
    </row>
    <row r="7198" spans="28:34">
      <c r="AB7198" s="580">
        <f>HLOOKUP("*"&amp;'Output annual'!$AC$2&amp;'Output annual'!$AD$2&amp;"*Zone People Number Of Occupants [](Hourly)",'Eplus results'!$1:$1048576,ROW(),FALSE)</f>
        <v>0</v>
      </c>
      <c r="AC7198" s="580">
        <f>HLOOKUP("*"&amp;'Output annual'!$AC$2&amp;'Output annual'!$AD$2&amp;"*FangerPMV(Hourly)",'Eplus results'!$1:$1048576,ROW(),FALSE)</f>
        <v>0</v>
      </c>
      <c r="AD7198" s="580">
        <f t="shared" si="596"/>
        <v>5</v>
      </c>
      <c r="AE7198" s="580">
        <f t="shared" si="597"/>
        <v>2.5</v>
      </c>
      <c r="AF7198" s="580">
        <f t="shared" si="598"/>
        <v>2.5</v>
      </c>
      <c r="AG7198" s="580">
        <f t="shared" si="599"/>
        <v>0</v>
      </c>
      <c r="AH7198" s="580">
        <f t="shared" si="600"/>
        <v>0</v>
      </c>
    </row>
    <row r="7199" spans="28:34">
      <c r="AB7199" s="580">
        <f>HLOOKUP("*"&amp;'Output annual'!$AC$2&amp;'Output annual'!$AD$2&amp;"*Zone People Number Of Occupants [](Hourly)",'Eplus results'!$1:$1048576,ROW(),FALSE)</f>
        <v>0</v>
      </c>
      <c r="AC7199" s="580">
        <f>HLOOKUP("*"&amp;'Output annual'!$AC$2&amp;'Output annual'!$AD$2&amp;"*FangerPMV(Hourly)",'Eplus results'!$1:$1048576,ROW(),FALSE)</f>
        <v>0</v>
      </c>
      <c r="AD7199" s="580">
        <f t="shared" si="596"/>
        <v>5</v>
      </c>
      <c r="AE7199" s="580">
        <f t="shared" si="597"/>
        <v>2.5</v>
      </c>
      <c r="AF7199" s="580">
        <f t="shared" si="598"/>
        <v>2.5</v>
      </c>
      <c r="AG7199" s="580">
        <f t="shared" si="599"/>
        <v>0</v>
      </c>
      <c r="AH7199" s="580">
        <f t="shared" si="600"/>
        <v>0</v>
      </c>
    </row>
    <row r="7200" spans="28:34">
      <c r="AB7200" s="580">
        <f>HLOOKUP("*"&amp;'Output annual'!$AC$2&amp;'Output annual'!$AD$2&amp;"*Zone People Number Of Occupants [](Hourly)",'Eplus results'!$1:$1048576,ROW(),FALSE)</f>
        <v>0</v>
      </c>
      <c r="AC7200" s="580">
        <f>HLOOKUP("*"&amp;'Output annual'!$AC$2&amp;'Output annual'!$AD$2&amp;"*FangerPMV(Hourly)",'Eplus results'!$1:$1048576,ROW(),FALSE)</f>
        <v>0</v>
      </c>
      <c r="AD7200" s="580">
        <f t="shared" si="596"/>
        <v>5</v>
      </c>
      <c r="AE7200" s="580">
        <f t="shared" si="597"/>
        <v>2.5</v>
      </c>
      <c r="AF7200" s="580">
        <f t="shared" si="598"/>
        <v>2.5</v>
      </c>
      <c r="AG7200" s="580">
        <f t="shared" si="599"/>
        <v>0</v>
      </c>
      <c r="AH7200" s="580">
        <f t="shared" si="600"/>
        <v>0</v>
      </c>
    </row>
    <row r="7201" spans="28:34">
      <c r="AB7201" s="580">
        <f>HLOOKUP("*"&amp;'Output annual'!$AC$2&amp;'Output annual'!$AD$2&amp;"*Zone People Number Of Occupants [](Hourly)",'Eplus results'!$1:$1048576,ROW(),FALSE)</f>
        <v>0</v>
      </c>
      <c r="AC7201" s="580">
        <f>HLOOKUP("*"&amp;'Output annual'!$AC$2&amp;'Output annual'!$AD$2&amp;"*FangerPMV(Hourly)",'Eplus results'!$1:$1048576,ROW(),FALSE)</f>
        <v>0</v>
      </c>
      <c r="AD7201" s="580">
        <f t="shared" si="596"/>
        <v>5</v>
      </c>
      <c r="AE7201" s="580">
        <f t="shared" si="597"/>
        <v>2.5</v>
      </c>
      <c r="AF7201" s="580">
        <f t="shared" si="598"/>
        <v>2.5</v>
      </c>
      <c r="AG7201" s="580">
        <f t="shared" si="599"/>
        <v>0</v>
      </c>
      <c r="AH7201" s="580">
        <f t="shared" si="600"/>
        <v>0</v>
      </c>
    </row>
    <row r="7202" spans="28:34">
      <c r="AB7202" s="580">
        <f>HLOOKUP("*"&amp;'Output annual'!$AC$2&amp;'Output annual'!$AD$2&amp;"*Zone People Number Of Occupants [](Hourly)",'Eplus results'!$1:$1048576,ROW(),FALSE)</f>
        <v>0</v>
      </c>
      <c r="AC7202" s="580">
        <f>HLOOKUP("*"&amp;'Output annual'!$AC$2&amp;'Output annual'!$AD$2&amp;"*FangerPMV(Hourly)",'Eplus results'!$1:$1048576,ROW(),FALSE)</f>
        <v>0</v>
      </c>
      <c r="AD7202" s="580">
        <f t="shared" si="596"/>
        <v>5</v>
      </c>
      <c r="AE7202" s="580">
        <f t="shared" si="597"/>
        <v>2.5</v>
      </c>
      <c r="AF7202" s="580">
        <f t="shared" si="598"/>
        <v>2.5</v>
      </c>
      <c r="AG7202" s="580">
        <f t="shared" si="599"/>
        <v>0</v>
      </c>
      <c r="AH7202" s="580">
        <f t="shared" si="600"/>
        <v>0</v>
      </c>
    </row>
    <row r="7203" spans="28:34">
      <c r="AB7203" s="580">
        <f>HLOOKUP("*"&amp;'Output annual'!$AC$2&amp;'Output annual'!$AD$2&amp;"*Zone People Number Of Occupants [](Hourly)",'Eplus results'!$1:$1048576,ROW(),FALSE)</f>
        <v>0</v>
      </c>
      <c r="AC7203" s="580">
        <f>HLOOKUP("*"&amp;'Output annual'!$AC$2&amp;'Output annual'!$AD$2&amp;"*FangerPMV(Hourly)",'Eplus results'!$1:$1048576,ROW(),FALSE)</f>
        <v>0</v>
      </c>
      <c r="AD7203" s="580">
        <f t="shared" si="596"/>
        <v>5</v>
      </c>
      <c r="AE7203" s="580">
        <f t="shared" si="597"/>
        <v>2.5</v>
      </c>
      <c r="AF7203" s="580">
        <f t="shared" si="598"/>
        <v>2.5</v>
      </c>
      <c r="AG7203" s="580">
        <f t="shared" si="599"/>
        <v>0</v>
      </c>
      <c r="AH7203" s="580">
        <f t="shared" si="600"/>
        <v>0</v>
      </c>
    </row>
    <row r="7204" spans="28:34">
      <c r="AB7204" s="580">
        <f>HLOOKUP("*"&amp;'Output annual'!$AC$2&amp;'Output annual'!$AD$2&amp;"*Zone People Number Of Occupants [](Hourly)",'Eplus results'!$1:$1048576,ROW(),FALSE)</f>
        <v>0</v>
      </c>
      <c r="AC7204" s="580">
        <f>HLOOKUP("*"&amp;'Output annual'!$AC$2&amp;'Output annual'!$AD$2&amp;"*FangerPMV(Hourly)",'Eplus results'!$1:$1048576,ROW(),FALSE)</f>
        <v>0</v>
      </c>
      <c r="AD7204" s="580">
        <f t="shared" si="596"/>
        <v>5</v>
      </c>
      <c r="AE7204" s="580">
        <f t="shared" si="597"/>
        <v>2.5</v>
      </c>
      <c r="AF7204" s="580">
        <f t="shared" si="598"/>
        <v>2.5</v>
      </c>
      <c r="AG7204" s="580">
        <f t="shared" si="599"/>
        <v>0</v>
      </c>
      <c r="AH7204" s="580">
        <f t="shared" si="600"/>
        <v>0</v>
      </c>
    </row>
    <row r="7205" spans="28:34">
      <c r="AB7205" s="580">
        <f>HLOOKUP("*"&amp;'Output annual'!$AC$2&amp;'Output annual'!$AD$2&amp;"*Zone People Number Of Occupants [](Hourly)",'Eplus results'!$1:$1048576,ROW(),FALSE)</f>
        <v>0</v>
      </c>
      <c r="AC7205" s="580">
        <f>HLOOKUP("*"&amp;'Output annual'!$AC$2&amp;'Output annual'!$AD$2&amp;"*FangerPMV(Hourly)",'Eplus results'!$1:$1048576,ROW(),FALSE)</f>
        <v>0</v>
      </c>
      <c r="AD7205" s="580">
        <f t="shared" si="596"/>
        <v>5</v>
      </c>
      <c r="AE7205" s="580">
        <f t="shared" si="597"/>
        <v>2.5</v>
      </c>
      <c r="AF7205" s="580">
        <f t="shared" si="598"/>
        <v>2.5</v>
      </c>
      <c r="AG7205" s="580">
        <f t="shared" si="599"/>
        <v>0</v>
      </c>
      <c r="AH7205" s="580">
        <f t="shared" si="600"/>
        <v>0</v>
      </c>
    </row>
    <row r="7206" spans="28:34">
      <c r="AB7206" s="580">
        <f>HLOOKUP("*"&amp;'Output annual'!$AC$2&amp;'Output annual'!$AD$2&amp;"*Zone People Number Of Occupants [](Hourly)",'Eplus results'!$1:$1048576,ROW(),FALSE)</f>
        <v>0</v>
      </c>
      <c r="AC7206" s="580">
        <f>HLOOKUP("*"&amp;'Output annual'!$AC$2&amp;'Output annual'!$AD$2&amp;"*FangerPMV(Hourly)",'Eplus results'!$1:$1048576,ROW(),FALSE)</f>
        <v>0</v>
      </c>
      <c r="AD7206" s="580">
        <f t="shared" si="596"/>
        <v>5</v>
      </c>
      <c r="AE7206" s="580">
        <f t="shared" si="597"/>
        <v>2.5</v>
      </c>
      <c r="AF7206" s="580">
        <f t="shared" si="598"/>
        <v>2.5</v>
      </c>
      <c r="AG7206" s="580">
        <f t="shared" si="599"/>
        <v>0</v>
      </c>
      <c r="AH7206" s="580">
        <f t="shared" si="600"/>
        <v>0</v>
      </c>
    </row>
    <row r="7207" spans="28:34">
      <c r="AB7207" s="580">
        <f>HLOOKUP("*"&amp;'Output annual'!$AC$2&amp;'Output annual'!$AD$2&amp;"*Zone People Number Of Occupants [](Hourly)",'Eplus results'!$1:$1048576,ROW(),FALSE)</f>
        <v>0</v>
      </c>
      <c r="AC7207" s="580">
        <f>HLOOKUP("*"&amp;'Output annual'!$AC$2&amp;'Output annual'!$AD$2&amp;"*FangerPMV(Hourly)",'Eplus results'!$1:$1048576,ROW(),FALSE)</f>
        <v>0</v>
      </c>
      <c r="AD7207" s="580">
        <f t="shared" si="596"/>
        <v>5</v>
      </c>
      <c r="AE7207" s="580">
        <f t="shared" si="597"/>
        <v>2.5</v>
      </c>
      <c r="AF7207" s="580">
        <f t="shared" si="598"/>
        <v>2.5</v>
      </c>
      <c r="AG7207" s="580">
        <f t="shared" si="599"/>
        <v>0</v>
      </c>
      <c r="AH7207" s="580">
        <f t="shared" si="600"/>
        <v>0</v>
      </c>
    </row>
    <row r="7208" spans="28:34">
      <c r="AB7208" s="580">
        <f>HLOOKUP("*"&amp;'Output annual'!$AC$2&amp;'Output annual'!$AD$2&amp;"*Zone People Number Of Occupants [](Hourly)",'Eplus results'!$1:$1048576,ROW(),FALSE)</f>
        <v>0</v>
      </c>
      <c r="AC7208" s="580">
        <f>HLOOKUP("*"&amp;'Output annual'!$AC$2&amp;'Output annual'!$AD$2&amp;"*FangerPMV(Hourly)",'Eplus results'!$1:$1048576,ROW(),FALSE)</f>
        <v>0</v>
      </c>
      <c r="AD7208" s="580">
        <f t="shared" si="596"/>
        <v>5</v>
      </c>
      <c r="AE7208" s="580">
        <f t="shared" si="597"/>
        <v>2.5</v>
      </c>
      <c r="AF7208" s="580">
        <f t="shared" si="598"/>
        <v>2.5</v>
      </c>
      <c r="AG7208" s="580">
        <f t="shared" si="599"/>
        <v>0</v>
      </c>
      <c r="AH7208" s="580">
        <f t="shared" si="600"/>
        <v>0</v>
      </c>
    </row>
    <row r="7209" spans="28:34">
      <c r="AB7209" s="580">
        <f>HLOOKUP("*"&amp;'Output annual'!$AC$2&amp;'Output annual'!$AD$2&amp;"*Zone People Number Of Occupants [](Hourly)",'Eplus results'!$1:$1048576,ROW(),FALSE)</f>
        <v>0</v>
      </c>
      <c r="AC7209" s="580">
        <f>HLOOKUP("*"&amp;'Output annual'!$AC$2&amp;'Output annual'!$AD$2&amp;"*FangerPMV(Hourly)",'Eplus results'!$1:$1048576,ROW(),FALSE)</f>
        <v>0</v>
      </c>
      <c r="AD7209" s="580">
        <f t="shared" si="596"/>
        <v>5</v>
      </c>
      <c r="AE7209" s="580">
        <f t="shared" si="597"/>
        <v>2.5</v>
      </c>
      <c r="AF7209" s="580">
        <f t="shared" si="598"/>
        <v>2.5</v>
      </c>
      <c r="AG7209" s="580">
        <f t="shared" si="599"/>
        <v>0</v>
      </c>
      <c r="AH7209" s="580">
        <f t="shared" si="600"/>
        <v>0</v>
      </c>
    </row>
    <row r="7210" spans="28:34">
      <c r="AB7210" s="580">
        <f>HLOOKUP("*"&amp;'Output annual'!$AC$2&amp;'Output annual'!$AD$2&amp;"*Zone People Number Of Occupants [](Hourly)",'Eplus results'!$1:$1048576,ROW(),FALSE)</f>
        <v>0</v>
      </c>
      <c r="AC7210" s="580">
        <f>HLOOKUP("*"&amp;'Output annual'!$AC$2&amp;'Output annual'!$AD$2&amp;"*FangerPMV(Hourly)",'Eplus results'!$1:$1048576,ROW(),FALSE)</f>
        <v>0</v>
      </c>
      <c r="AD7210" s="580">
        <f t="shared" si="596"/>
        <v>5</v>
      </c>
      <c r="AE7210" s="580">
        <f t="shared" si="597"/>
        <v>2.5</v>
      </c>
      <c r="AF7210" s="580">
        <f t="shared" si="598"/>
        <v>2.5</v>
      </c>
      <c r="AG7210" s="580">
        <f t="shared" si="599"/>
        <v>0</v>
      </c>
      <c r="AH7210" s="580">
        <f t="shared" si="600"/>
        <v>0</v>
      </c>
    </row>
    <row r="7211" spans="28:34">
      <c r="AB7211" s="580">
        <f>HLOOKUP("*"&amp;'Output annual'!$AC$2&amp;'Output annual'!$AD$2&amp;"*Zone People Number Of Occupants [](Hourly)",'Eplus results'!$1:$1048576,ROW(),FALSE)</f>
        <v>0</v>
      </c>
      <c r="AC7211" s="580">
        <f>HLOOKUP("*"&amp;'Output annual'!$AC$2&amp;'Output annual'!$AD$2&amp;"*FangerPMV(Hourly)",'Eplus results'!$1:$1048576,ROW(),FALSE)</f>
        <v>0</v>
      </c>
      <c r="AD7211" s="580">
        <f t="shared" si="596"/>
        <v>5</v>
      </c>
      <c r="AE7211" s="580">
        <f t="shared" si="597"/>
        <v>2.5</v>
      </c>
      <c r="AF7211" s="580">
        <f t="shared" si="598"/>
        <v>2.5</v>
      </c>
      <c r="AG7211" s="580">
        <f t="shared" si="599"/>
        <v>0</v>
      </c>
      <c r="AH7211" s="580">
        <f t="shared" si="600"/>
        <v>0</v>
      </c>
    </row>
    <row r="7212" spans="28:34">
      <c r="AB7212" s="580">
        <f>HLOOKUP("*"&amp;'Output annual'!$AC$2&amp;'Output annual'!$AD$2&amp;"*Zone People Number Of Occupants [](Hourly)",'Eplus results'!$1:$1048576,ROW(),FALSE)</f>
        <v>0</v>
      </c>
      <c r="AC7212" s="580">
        <f>HLOOKUP("*"&amp;'Output annual'!$AC$2&amp;'Output annual'!$AD$2&amp;"*FangerPMV(Hourly)",'Eplus results'!$1:$1048576,ROW(),FALSE)</f>
        <v>0</v>
      </c>
      <c r="AD7212" s="580">
        <f t="shared" si="596"/>
        <v>5</v>
      </c>
      <c r="AE7212" s="580">
        <f t="shared" si="597"/>
        <v>2.5</v>
      </c>
      <c r="AF7212" s="580">
        <f t="shared" si="598"/>
        <v>2.5</v>
      </c>
      <c r="AG7212" s="580">
        <f t="shared" si="599"/>
        <v>0</v>
      </c>
      <c r="AH7212" s="580">
        <f t="shared" si="600"/>
        <v>0</v>
      </c>
    </row>
    <row r="7213" spans="28:34">
      <c r="AB7213" s="580">
        <f>HLOOKUP("*"&amp;'Output annual'!$AC$2&amp;'Output annual'!$AD$2&amp;"*Zone People Number Of Occupants [](Hourly)",'Eplus results'!$1:$1048576,ROW(),FALSE)</f>
        <v>0</v>
      </c>
      <c r="AC7213" s="580">
        <f>HLOOKUP("*"&amp;'Output annual'!$AC$2&amp;'Output annual'!$AD$2&amp;"*FangerPMV(Hourly)",'Eplus results'!$1:$1048576,ROW(),FALSE)</f>
        <v>0</v>
      </c>
      <c r="AD7213" s="580">
        <f t="shared" si="596"/>
        <v>5</v>
      </c>
      <c r="AE7213" s="580">
        <f t="shared" si="597"/>
        <v>2.5</v>
      </c>
      <c r="AF7213" s="580">
        <f t="shared" si="598"/>
        <v>2.5</v>
      </c>
      <c r="AG7213" s="580">
        <f t="shared" si="599"/>
        <v>0</v>
      </c>
      <c r="AH7213" s="580">
        <f t="shared" si="600"/>
        <v>0</v>
      </c>
    </row>
    <row r="7214" spans="28:34">
      <c r="AB7214" s="580">
        <f>HLOOKUP("*"&amp;'Output annual'!$AC$2&amp;'Output annual'!$AD$2&amp;"*Zone People Number Of Occupants [](Hourly)",'Eplus results'!$1:$1048576,ROW(),FALSE)</f>
        <v>0</v>
      </c>
      <c r="AC7214" s="580">
        <f>HLOOKUP("*"&amp;'Output annual'!$AC$2&amp;'Output annual'!$AD$2&amp;"*FangerPMV(Hourly)",'Eplus results'!$1:$1048576,ROW(),FALSE)</f>
        <v>0</v>
      </c>
      <c r="AD7214" s="580">
        <f t="shared" si="596"/>
        <v>5</v>
      </c>
      <c r="AE7214" s="580">
        <f t="shared" si="597"/>
        <v>2.5</v>
      </c>
      <c r="AF7214" s="580">
        <f t="shared" si="598"/>
        <v>2.5</v>
      </c>
      <c r="AG7214" s="580">
        <f t="shared" si="599"/>
        <v>0</v>
      </c>
      <c r="AH7214" s="580">
        <f t="shared" si="600"/>
        <v>0</v>
      </c>
    </row>
    <row r="7215" spans="28:34">
      <c r="AB7215" s="580">
        <f>HLOOKUP("*"&amp;'Output annual'!$AC$2&amp;'Output annual'!$AD$2&amp;"*Zone People Number Of Occupants [](Hourly)",'Eplus results'!$1:$1048576,ROW(),FALSE)</f>
        <v>0</v>
      </c>
      <c r="AC7215" s="580">
        <f>HLOOKUP("*"&amp;'Output annual'!$AC$2&amp;'Output annual'!$AD$2&amp;"*FangerPMV(Hourly)",'Eplus results'!$1:$1048576,ROW(),FALSE)</f>
        <v>0</v>
      </c>
      <c r="AD7215" s="580">
        <f t="shared" si="596"/>
        <v>5</v>
      </c>
      <c r="AE7215" s="580">
        <f t="shared" si="597"/>
        <v>2.5</v>
      </c>
      <c r="AF7215" s="580">
        <f t="shared" si="598"/>
        <v>2.5</v>
      </c>
      <c r="AG7215" s="580">
        <f t="shared" si="599"/>
        <v>0</v>
      </c>
      <c r="AH7215" s="580">
        <f t="shared" si="600"/>
        <v>0</v>
      </c>
    </row>
    <row r="7216" spans="28:34">
      <c r="AB7216" s="580">
        <f>HLOOKUP("*"&amp;'Output annual'!$AC$2&amp;'Output annual'!$AD$2&amp;"*Zone People Number Of Occupants [](Hourly)",'Eplus results'!$1:$1048576,ROW(),FALSE)</f>
        <v>0</v>
      </c>
      <c r="AC7216" s="580">
        <f>HLOOKUP("*"&amp;'Output annual'!$AC$2&amp;'Output annual'!$AD$2&amp;"*FangerPMV(Hourly)",'Eplus results'!$1:$1048576,ROW(),FALSE)</f>
        <v>0</v>
      </c>
      <c r="AD7216" s="580">
        <f t="shared" si="596"/>
        <v>5</v>
      </c>
      <c r="AE7216" s="580">
        <f t="shared" si="597"/>
        <v>2.5</v>
      </c>
      <c r="AF7216" s="580">
        <f t="shared" si="598"/>
        <v>2.5</v>
      </c>
      <c r="AG7216" s="580">
        <f t="shared" si="599"/>
        <v>0</v>
      </c>
      <c r="AH7216" s="580">
        <f t="shared" si="600"/>
        <v>0</v>
      </c>
    </row>
    <row r="7217" spans="28:34">
      <c r="AB7217" s="580">
        <f>HLOOKUP("*"&amp;'Output annual'!$AC$2&amp;'Output annual'!$AD$2&amp;"*Zone People Number Of Occupants [](Hourly)",'Eplus results'!$1:$1048576,ROW(),FALSE)</f>
        <v>0</v>
      </c>
      <c r="AC7217" s="580">
        <f>HLOOKUP("*"&amp;'Output annual'!$AC$2&amp;'Output annual'!$AD$2&amp;"*FangerPMV(Hourly)",'Eplus results'!$1:$1048576,ROW(),FALSE)</f>
        <v>0</v>
      </c>
      <c r="AD7217" s="580">
        <f t="shared" si="596"/>
        <v>5</v>
      </c>
      <c r="AE7217" s="580">
        <f t="shared" si="597"/>
        <v>2.5</v>
      </c>
      <c r="AF7217" s="580">
        <f t="shared" si="598"/>
        <v>2.5</v>
      </c>
      <c r="AG7217" s="580">
        <f t="shared" si="599"/>
        <v>0</v>
      </c>
      <c r="AH7217" s="580">
        <f t="shared" si="600"/>
        <v>0</v>
      </c>
    </row>
    <row r="7218" spans="28:34">
      <c r="AB7218" s="580">
        <f>HLOOKUP("*"&amp;'Output annual'!$AC$2&amp;'Output annual'!$AD$2&amp;"*Zone People Number Of Occupants [](Hourly)",'Eplus results'!$1:$1048576,ROW(),FALSE)</f>
        <v>0</v>
      </c>
      <c r="AC7218" s="580">
        <f>HLOOKUP("*"&amp;'Output annual'!$AC$2&amp;'Output annual'!$AD$2&amp;"*FangerPMV(Hourly)",'Eplus results'!$1:$1048576,ROW(),FALSE)</f>
        <v>0</v>
      </c>
      <c r="AD7218" s="580">
        <f t="shared" si="596"/>
        <v>5</v>
      </c>
      <c r="AE7218" s="580">
        <f t="shared" si="597"/>
        <v>2.5</v>
      </c>
      <c r="AF7218" s="580">
        <f t="shared" si="598"/>
        <v>2.5</v>
      </c>
      <c r="AG7218" s="580">
        <f t="shared" si="599"/>
        <v>0</v>
      </c>
      <c r="AH7218" s="580">
        <f t="shared" si="600"/>
        <v>0</v>
      </c>
    </row>
    <row r="7219" spans="28:34">
      <c r="AB7219" s="580">
        <f>HLOOKUP("*"&amp;'Output annual'!$AC$2&amp;'Output annual'!$AD$2&amp;"*Zone People Number Of Occupants [](Hourly)",'Eplus results'!$1:$1048576,ROW(),FALSE)</f>
        <v>0</v>
      </c>
      <c r="AC7219" s="580">
        <f>HLOOKUP("*"&amp;'Output annual'!$AC$2&amp;'Output annual'!$AD$2&amp;"*FangerPMV(Hourly)",'Eplus results'!$1:$1048576,ROW(),FALSE)</f>
        <v>0</v>
      </c>
      <c r="AD7219" s="580">
        <f t="shared" si="596"/>
        <v>5</v>
      </c>
      <c r="AE7219" s="580">
        <f t="shared" si="597"/>
        <v>2.5</v>
      </c>
      <c r="AF7219" s="580">
        <f t="shared" si="598"/>
        <v>2.5</v>
      </c>
      <c r="AG7219" s="580">
        <f t="shared" si="599"/>
        <v>0</v>
      </c>
      <c r="AH7219" s="580">
        <f t="shared" si="600"/>
        <v>0</v>
      </c>
    </row>
    <row r="7220" spans="28:34">
      <c r="AB7220" s="580">
        <f>HLOOKUP("*"&amp;'Output annual'!$AC$2&amp;'Output annual'!$AD$2&amp;"*Zone People Number Of Occupants [](Hourly)",'Eplus results'!$1:$1048576,ROW(),FALSE)</f>
        <v>0</v>
      </c>
      <c r="AC7220" s="580">
        <f>HLOOKUP("*"&amp;'Output annual'!$AC$2&amp;'Output annual'!$AD$2&amp;"*FangerPMV(Hourly)",'Eplus results'!$1:$1048576,ROW(),FALSE)</f>
        <v>0</v>
      </c>
      <c r="AD7220" s="580">
        <f t="shared" si="596"/>
        <v>5</v>
      </c>
      <c r="AE7220" s="580">
        <f t="shared" si="597"/>
        <v>2.5</v>
      </c>
      <c r="AF7220" s="580">
        <f t="shared" si="598"/>
        <v>2.5</v>
      </c>
      <c r="AG7220" s="580">
        <f t="shared" si="599"/>
        <v>0</v>
      </c>
      <c r="AH7220" s="580">
        <f t="shared" si="600"/>
        <v>0</v>
      </c>
    </row>
    <row r="7221" spans="28:34">
      <c r="AB7221" s="580">
        <f>HLOOKUP("*"&amp;'Output annual'!$AC$2&amp;'Output annual'!$AD$2&amp;"*Zone People Number Of Occupants [](Hourly)",'Eplus results'!$1:$1048576,ROW(),FALSE)</f>
        <v>0</v>
      </c>
      <c r="AC7221" s="580">
        <f>HLOOKUP("*"&amp;'Output annual'!$AC$2&amp;'Output annual'!$AD$2&amp;"*FangerPMV(Hourly)",'Eplus results'!$1:$1048576,ROW(),FALSE)</f>
        <v>0</v>
      </c>
      <c r="AD7221" s="580">
        <f t="shared" si="596"/>
        <v>5</v>
      </c>
      <c r="AE7221" s="580">
        <f t="shared" si="597"/>
        <v>2.5</v>
      </c>
      <c r="AF7221" s="580">
        <f t="shared" si="598"/>
        <v>2.5</v>
      </c>
      <c r="AG7221" s="580">
        <f t="shared" si="599"/>
        <v>0</v>
      </c>
      <c r="AH7221" s="580">
        <f t="shared" si="600"/>
        <v>0</v>
      </c>
    </row>
    <row r="7222" spans="28:34">
      <c r="AB7222" s="580">
        <f>HLOOKUP("*"&amp;'Output annual'!$AC$2&amp;'Output annual'!$AD$2&amp;"*Zone People Number Of Occupants [](Hourly)",'Eplus results'!$1:$1048576,ROW(),FALSE)</f>
        <v>0</v>
      </c>
      <c r="AC7222" s="580">
        <f>HLOOKUP("*"&amp;'Output annual'!$AC$2&amp;'Output annual'!$AD$2&amp;"*FangerPMV(Hourly)",'Eplus results'!$1:$1048576,ROW(),FALSE)</f>
        <v>0</v>
      </c>
      <c r="AD7222" s="580">
        <f t="shared" si="596"/>
        <v>5</v>
      </c>
      <c r="AE7222" s="580">
        <f t="shared" si="597"/>
        <v>2.5</v>
      </c>
      <c r="AF7222" s="580">
        <f t="shared" si="598"/>
        <v>2.5</v>
      </c>
      <c r="AG7222" s="580">
        <f t="shared" si="599"/>
        <v>0</v>
      </c>
      <c r="AH7222" s="580">
        <f t="shared" si="600"/>
        <v>0</v>
      </c>
    </row>
    <row r="7223" spans="28:34">
      <c r="AB7223" s="580">
        <f>HLOOKUP("*"&amp;'Output annual'!$AC$2&amp;'Output annual'!$AD$2&amp;"*Zone People Number Of Occupants [](Hourly)",'Eplus results'!$1:$1048576,ROW(),FALSE)</f>
        <v>0</v>
      </c>
      <c r="AC7223" s="580">
        <f>HLOOKUP("*"&amp;'Output annual'!$AC$2&amp;'Output annual'!$AD$2&amp;"*FangerPMV(Hourly)",'Eplus results'!$1:$1048576,ROW(),FALSE)</f>
        <v>0</v>
      </c>
      <c r="AD7223" s="580">
        <f t="shared" si="596"/>
        <v>5</v>
      </c>
      <c r="AE7223" s="580">
        <f t="shared" si="597"/>
        <v>2.5</v>
      </c>
      <c r="AF7223" s="580">
        <f t="shared" si="598"/>
        <v>2.5</v>
      </c>
      <c r="AG7223" s="580">
        <f t="shared" si="599"/>
        <v>0</v>
      </c>
      <c r="AH7223" s="580">
        <f t="shared" si="600"/>
        <v>0</v>
      </c>
    </row>
    <row r="7224" spans="28:34">
      <c r="AB7224" s="580">
        <f>HLOOKUP("*"&amp;'Output annual'!$AC$2&amp;'Output annual'!$AD$2&amp;"*Zone People Number Of Occupants [](Hourly)",'Eplus results'!$1:$1048576,ROW(),FALSE)</f>
        <v>0</v>
      </c>
      <c r="AC7224" s="580">
        <f>HLOOKUP("*"&amp;'Output annual'!$AC$2&amp;'Output annual'!$AD$2&amp;"*FangerPMV(Hourly)",'Eplus results'!$1:$1048576,ROW(),FALSE)</f>
        <v>0</v>
      </c>
      <c r="AD7224" s="580">
        <f t="shared" si="596"/>
        <v>5</v>
      </c>
      <c r="AE7224" s="580">
        <f t="shared" si="597"/>
        <v>2.5</v>
      </c>
      <c r="AF7224" s="580">
        <f t="shared" si="598"/>
        <v>2.5</v>
      </c>
      <c r="AG7224" s="580">
        <f t="shared" si="599"/>
        <v>0</v>
      </c>
      <c r="AH7224" s="580">
        <f t="shared" si="600"/>
        <v>0</v>
      </c>
    </row>
    <row r="7225" spans="28:34">
      <c r="AB7225" s="580">
        <f>HLOOKUP("*"&amp;'Output annual'!$AC$2&amp;'Output annual'!$AD$2&amp;"*Zone People Number Of Occupants [](Hourly)",'Eplus results'!$1:$1048576,ROW(),FALSE)</f>
        <v>0</v>
      </c>
      <c r="AC7225" s="580">
        <f>HLOOKUP("*"&amp;'Output annual'!$AC$2&amp;'Output annual'!$AD$2&amp;"*FangerPMV(Hourly)",'Eplus results'!$1:$1048576,ROW(),FALSE)</f>
        <v>0</v>
      </c>
      <c r="AD7225" s="580">
        <f t="shared" si="596"/>
        <v>5</v>
      </c>
      <c r="AE7225" s="580">
        <f t="shared" si="597"/>
        <v>2.5</v>
      </c>
      <c r="AF7225" s="580">
        <f t="shared" si="598"/>
        <v>2.5</v>
      </c>
      <c r="AG7225" s="580">
        <f t="shared" si="599"/>
        <v>0</v>
      </c>
      <c r="AH7225" s="580">
        <f t="shared" si="600"/>
        <v>0</v>
      </c>
    </row>
    <row r="7226" spans="28:34">
      <c r="AB7226" s="580">
        <f>HLOOKUP("*"&amp;'Output annual'!$AC$2&amp;'Output annual'!$AD$2&amp;"*Zone People Number Of Occupants [](Hourly)",'Eplus results'!$1:$1048576,ROW(),FALSE)</f>
        <v>0</v>
      </c>
      <c r="AC7226" s="580">
        <f>HLOOKUP("*"&amp;'Output annual'!$AC$2&amp;'Output annual'!$AD$2&amp;"*FangerPMV(Hourly)",'Eplus results'!$1:$1048576,ROW(),FALSE)</f>
        <v>0</v>
      </c>
      <c r="AD7226" s="580">
        <f t="shared" si="596"/>
        <v>5</v>
      </c>
      <c r="AE7226" s="580">
        <f t="shared" si="597"/>
        <v>2.5</v>
      </c>
      <c r="AF7226" s="580">
        <f t="shared" si="598"/>
        <v>2.5</v>
      </c>
      <c r="AG7226" s="580">
        <f t="shared" si="599"/>
        <v>0</v>
      </c>
      <c r="AH7226" s="580">
        <f t="shared" si="600"/>
        <v>0</v>
      </c>
    </row>
    <row r="7227" spans="28:34">
      <c r="AB7227" s="580">
        <f>HLOOKUP("*"&amp;'Output annual'!$AC$2&amp;'Output annual'!$AD$2&amp;"*Zone People Number Of Occupants [](Hourly)",'Eplus results'!$1:$1048576,ROW(),FALSE)</f>
        <v>0</v>
      </c>
      <c r="AC7227" s="580">
        <f>HLOOKUP("*"&amp;'Output annual'!$AC$2&amp;'Output annual'!$AD$2&amp;"*FangerPMV(Hourly)",'Eplus results'!$1:$1048576,ROW(),FALSE)</f>
        <v>0</v>
      </c>
      <c r="AD7227" s="580">
        <f t="shared" si="596"/>
        <v>5</v>
      </c>
      <c r="AE7227" s="580">
        <f t="shared" si="597"/>
        <v>2.5</v>
      </c>
      <c r="AF7227" s="580">
        <f t="shared" si="598"/>
        <v>2.5</v>
      </c>
      <c r="AG7227" s="580">
        <f t="shared" si="599"/>
        <v>0</v>
      </c>
      <c r="AH7227" s="580">
        <f t="shared" si="600"/>
        <v>0</v>
      </c>
    </row>
    <row r="7228" spans="28:34">
      <c r="AB7228" s="580">
        <f>HLOOKUP("*"&amp;'Output annual'!$AC$2&amp;'Output annual'!$AD$2&amp;"*Zone People Number Of Occupants [](Hourly)",'Eplus results'!$1:$1048576,ROW(),FALSE)</f>
        <v>0</v>
      </c>
      <c r="AC7228" s="580">
        <f>HLOOKUP("*"&amp;'Output annual'!$AC$2&amp;'Output annual'!$AD$2&amp;"*FangerPMV(Hourly)",'Eplus results'!$1:$1048576,ROW(),FALSE)</f>
        <v>0</v>
      </c>
      <c r="AD7228" s="580">
        <f t="shared" si="596"/>
        <v>5</v>
      </c>
      <c r="AE7228" s="580">
        <f t="shared" si="597"/>
        <v>2.5</v>
      </c>
      <c r="AF7228" s="580">
        <f t="shared" si="598"/>
        <v>2.5</v>
      </c>
      <c r="AG7228" s="580">
        <f t="shared" si="599"/>
        <v>0</v>
      </c>
      <c r="AH7228" s="580">
        <f t="shared" si="600"/>
        <v>0</v>
      </c>
    </row>
    <row r="7229" spans="28:34">
      <c r="AB7229" s="580">
        <f>HLOOKUP("*"&amp;'Output annual'!$AC$2&amp;'Output annual'!$AD$2&amp;"*Zone People Number Of Occupants [](Hourly)",'Eplus results'!$1:$1048576,ROW(),FALSE)</f>
        <v>0</v>
      </c>
      <c r="AC7229" s="580">
        <f>HLOOKUP("*"&amp;'Output annual'!$AC$2&amp;'Output annual'!$AD$2&amp;"*FangerPMV(Hourly)",'Eplus results'!$1:$1048576,ROW(),FALSE)</f>
        <v>0</v>
      </c>
      <c r="AD7229" s="580">
        <f t="shared" si="596"/>
        <v>5</v>
      </c>
      <c r="AE7229" s="580">
        <f t="shared" si="597"/>
        <v>2.5</v>
      </c>
      <c r="AF7229" s="580">
        <f t="shared" si="598"/>
        <v>2.5</v>
      </c>
      <c r="AG7229" s="580">
        <f t="shared" si="599"/>
        <v>0</v>
      </c>
      <c r="AH7229" s="580">
        <f t="shared" si="600"/>
        <v>0</v>
      </c>
    </row>
    <row r="7230" spans="28:34">
      <c r="AB7230" s="580">
        <f>HLOOKUP("*"&amp;'Output annual'!$AC$2&amp;'Output annual'!$AD$2&amp;"*Zone People Number Of Occupants [](Hourly)",'Eplus results'!$1:$1048576,ROW(),FALSE)</f>
        <v>0</v>
      </c>
      <c r="AC7230" s="580">
        <f>HLOOKUP("*"&amp;'Output annual'!$AC$2&amp;'Output annual'!$AD$2&amp;"*FangerPMV(Hourly)",'Eplus results'!$1:$1048576,ROW(),FALSE)</f>
        <v>0</v>
      </c>
      <c r="AD7230" s="580">
        <f t="shared" si="596"/>
        <v>5</v>
      </c>
      <c r="AE7230" s="580">
        <f t="shared" si="597"/>
        <v>2.5</v>
      </c>
      <c r="AF7230" s="580">
        <f t="shared" si="598"/>
        <v>2.5</v>
      </c>
      <c r="AG7230" s="580">
        <f t="shared" si="599"/>
        <v>0</v>
      </c>
      <c r="AH7230" s="580">
        <f t="shared" si="600"/>
        <v>0</v>
      </c>
    </row>
    <row r="7231" spans="28:34">
      <c r="AB7231" s="580">
        <f>HLOOKUP("*"&amp;'Output annual'!$AC$2&amp;'Output annual'!$AD$2&amp;"*Zone People Number Of Occupants [](Hourly)",'Eplus results'!$1:$1048576,ROW(),FALSE)</f>
        <v>0</v>
      </c>
      <c r="AC7231" s="580">
        <f>HLOOKUP("*"&amp;'Output annual'!$AC$2&amp;'Output annual'!$AD$2&amp;"*FangerPMV(Hourly)",'Eplus results'!$1:$1048576,ROW(),FALSE)</f>
        <v>0</v>
      </c>
      <c r="AD7231" s="580">
        <f t="shared" si="596"/>
        <v>5</v>
      </c>
      <c r="AE7231" s="580">
        <f t="shared" si="597"/>
        <v>2.5</v>
      </c>
      <c r="AF7231" s="580">
        <f t="shared" si="598"/>
        <v>2.5</v>
      </c>
      <c r="AG7231" s="580">
        <f t="shared" si="599"/>
        <v>0</v>
      </c>
      <c r="AH7231" s="580">
        <f t="shared" si="600"/>
        <v>0</v>
      </c>
    </row>
    <row r="7232" spans="28:34">
      <c r="AB7232" s="580">
        <f>HLOOKUP("*"&amp;'Output annual'!$AC$2&amp;'Output annual'!$AD$2&amp;"*Zone People Number Of Occupants [](Hourly)",'Eplus results'!$1:$1048576,ROW(),FALSE)</f>
        <v>0</v>
      </c>
      <c r="AC7232" s="580">
        <f>HLOOKUP("*"&amp;'Output annual'!$AC$2&amp;'Output annual'!$AD$2&amp;"*FangerPMV(Hourly)",'Eplus results'!$1:$1048576,ROW(),FALSE)</f>
        <v>0</v>
      </c>
      <c r="AD7232" s="580">
        <f t="shared" si="596"/>
        <v>5</v>
      </c>
      <c r="AE7232" s="580">
        <f t="shared" si="597"/>
        <v>2.5</v>
      </c>
      <c r="AF7232" s="580">
        <f t="shared" si="598"/>
        <v>2.5</v>
      </c>
      <c r="AG7232" s="580">
        <f t="shared" si="599"/>
        <v>0</v>
      </c>
      <c r="AH7232" s="580">
        <f t="shared" si="600"/>
        <v>0</v>
      </c>
    </row>
    <row r="7233" spans="28:34">
      <c r="AB7233" s="580">
        <f>HLOOKUP("*"&amp;'Output annual'!$AC$2&amp;'Output annual'!$AD$2&amp;"*Zone People Number Of Occupants [](Hourly)",'Eplus results'!$1:$1048576,ROW(),FALSE)</f>
        <v>0</v>
      </c>
      <c r="AC7233" s="580">
        <f>HLOOKUP("*"&amp;'Output annual'!$AC$2&amp;'Output annual'!$AD$2&amp;"*FangerPMV(Hourly)",'Eplus results'!$1:$1048576,ROW(),FALSE)</f>
        <v>0</v>
      </c>
      <c r="AD7233" s="580">
        <f t="shared" si="596"/>
        <v>5</v>
      </c>
      <c r="AE7233" s="580">
        <f t="shared" si="597"/>
        <v>2.5</v>
      </c>
      <c r="AF7233" s="580">
        <f t="shared" si="598"/>
        <v>2.5</v>
      </c>
      <c r="AG7233" s="580">
        <f t="shared" si="599"/>
        <v>0</v>
      </c>
      <c r="AH7233" s="580">
        <f t="shared" si="600"/>
        <v>0</v>
      </c>
    </row>
    <row r="7234" spans="28:34">
      <c r="AB7234" s="580">
        <f>HLOOKUP("*"&amp;'Output annual'!$AC$2&amp;'Output annual'!$AD$2&amp;"*Zone People Number Of Occupants [](Hourly)",'Eplus results'!$1:$1048576,ROW(),FALSE)</f>
        <v>0</v>
      </c>
      <c r="AC7234" s="580">
        <f>HLOOKUP("*"&amp;'Output annual'!$AC$2&amp;'Output annual'!$AD$2&amp;"*FangerPMV(Hourly)",'Eplus results'!$1:$1048576,ROW(),FALSE)</f>
        <v>0</v>
      </c>
      <c r="AD7234" s="580">
        <f t="shared" si="596"/>
        <v>5</v>
      </c>
      <c r="AE7234" s="580">
        <f t="shared" si="597"/>
        <v>2.5</v>
      </c>
      <c r="AF7234" s="580">
        <f t="shared" si="598"/>
        <v>2.5</v>
      </c>
      <c r="AG7234" s="580">
        <f t="shared" si="599"/>
        <v>0</v>
      </c>
      <c r="AH7234" s="580">
        <f t="shared" si="600"/>
        <v>0</v>
      </c>
    </row>
    <row r="7235" spans="28:34">
      <c r="AB7235" s="580">
        <f>HLOOKUP("*"&amp;'Output annual'!$AC$2&amp;'Output annual'!$AD$2&amp;"*Zone People Number Of Occupants [](Hourly)",'Eplus results'!$1:$1048576,ROW(),FALSE)</f>
        <v>0</v>
      </c>
      <c r="AC7235" s="580">
        <f>HLOOKUP("*"&amp;'Output annual'!$AC$2&amp;'Output annual'!$AD$2&amp;"*FangerPMV(Hourly)",'Eplus results'!$1:$1048576,ROW(),FALSE)</f>
        <v>0</v>
      </c>
      <c r="AD7235" s="580">
        <f t="shared" ref="AD7235:AD7298" si="601">100-95*EXP(-0.03353*AC7235^4-0.2179*AC7235^2)</f>
        <v>5</v>
      </c>
      <c r="AE7235" s="580">
        <f t="shared" ref="AE7235:AE7298" si="602">AD7235*(1/(1+EXP(-6.3*$AC7235)))</f>
        <v>2.5</v>
      </c>
      <c r="AF7235" s="580">
        <f t="shared" ref="AF7235:AF7298" si="603">(AD7235-AE7235)</f>
        <v>2.5</v>
      </c>
      <c r="AG7235" s="580">
        <f t="shared" ref="AG7235:AG7298" si="604">AE7235*AB7235</f>
        <v>0</v>
      </c>
      <c r="AH7235" s="580">
        <f t="shared" ref="AH7235:AH7298" si="605">AF7235*AB7235</f>
        <v>0</v>
      </c>
    </row>
    <row r="7236" spans="28:34">
      <c r="AB7236" s="580">
        <f>HLOOKUP("*"&amp;'Output annual'!$AC$2&amp;'Output annual'!$AD$2&amp;"*Zone People Number Of Occupants [](Hourly)",'Eplus results'!$1:$1048576,ROW(),FALSE)</f>
        <v>0</v>
      </c>
      <c r="AC7236" s="580">
        <f>HLOOKUP("*"&amp;'Output annual'!$AC$2&amp;'Output annual'!$AD$2&amp;"*FangerPMV(Hourly)",'Eplus results'!$1:$1048576,ROW(),FALSE)</f>
        <v>0</v>
      </c>
      <c r="AD7236" s="580">
        <f t="shared" si="601"/>
        <v>5</v>
      </c>
      <c r="AE7236" s="580">
        <f t="shared" si="602"/>
        <v>2.5</v>
      </c>
      <c r="AF7236" s="580">
        <f t="shared" si="603"/>
        <v>2.5</v>
      </c>
      <c r="AG7236" s="580">
        <f t="shared" si="604"/>
        <v>0</v>
      </c>
      <c r="AH7236" s="580">
        <f t="shared" si="605"/>
        <v>0</v>
      </c>
    </row>
    <row r="7237" spans="28:34">
      <c r="AB7237" s="580">
        <f>HLOOKUP("*"&amp;'Output annual'!$AC$2&amp;'Output annual'!$AD$2&amp;"*Zone People Number Of Occupants [](Hourly)",'Eplus results'!$1:$1048576,ROW(),FALSE)</f>
        <v>0</v>
      </c>
      <c r="AC7237" s="580">
        <f>HLOOKUP("*"&amp;'Output annual'!$AC$2&amp;'Output annual'!$AD$2&amp;"*FangerPMV(Hourly)",'Eplus results'!$1:$1048576,ROW(),FALSE)</f>
        <v>0</v>
      </c>
      <c r="AD7237" s="580">
        <f t="shared" si="601"/>
        <v>5</v>
      </c>
      <c r="AE7237" s="580">
        <f t="shared" si="602"/>
        <v>2.5</v>
      </c>
      <c r="AF7237" s="580">
        <f t="shared" si="603"/>
        <v>2.5</v>
      </c>
      <c r="AG7237" s="580">
        <f t="shared" si="604"/>
        <v>0</v>
      </c>
      <c r="AH7237" s="580">
        <f t="shared" si="605"/>
        <v>0</v>
      </c>
    </row>
    <row r="7238" spans="28:34">
      <c r="AB7238" s="580">
        <f>HLOOKUP("*"&amp;'Output annual'!$AC$2&amp;'Output annual'!$AD$2&amp;"*Zone People Number Of Occupants [](Hourly)",'Eplus results'!$1:$1048576,ROW(),FALSE)</f>
        <v>0</v>
      </c>
      <c r="AC7238" s="580">
        <f>HLOOKUP("*"&amp;'Output annual'!$AC$2&amp;'Output annual'!$AD$2&amp;"*FangerPMV(Hourly)",'Eplus results'!$1:$1048576,ROW(),FALSE)</f>
        <v>0</v>
      </c>
      <c r="AD7238" s="580">
        <f t="shared" si="601"/>
        <v>5</v>
      </c>
      <c r="AE7238" s="580">
        <f t="shared" si="602"/>
        <v>2.5</v>
      </c>
      <c r="AF7238" s="580">
        <f t="shared" si="603"/>
        <v>2.5</v>
      </c>
      <c r="AG7238" s="580">
        <f t="shared" si="604"/>
        <v>0</v>
      </c>
      <c r="AH7238" s="580">
        <f t="shared" si="605"/>
        <v>0</v>
      </c>
    </row>
    <row r="7239" spans="28:34">
      <c r="AB7239" s="580">
        <f>HLOOKUP("*"&amp;'Output annual'!$AC$2&amp;'Output annual'!$AD$2&amp;"*Zone People Number Of Occupants [](Hourly)",'Eplus results'!$1:$1048576,ROW(),FALSE)</f>
        <v>0</v>
      </c>
      <c r="AC7239" s="580">
        <f>HLOOKUP("*"&amp;'Output annual'!$AC$2&amp;'Output annual'!$AD$2&amp;"*FangerPMV(Hourly)",'Eplus results'!$1:$1048576,ROW(),FALSE)</f>
        <v>0</v>
      </c>
      <c r="AD7239" s="580">
        <f t="shared" si="601"/>
        <v>5</v>
      </c>
      <c r="AE7239" s="580">
        <f t="shared" si="602"/>
        <v>2.5</v>
      </c>
      <c r="AF7239" s="580">
        <f t="shared" si="603"/>
        <v>2.5</v>
      </c>
      <c r="AG7239" s="580">
        <f t="shared" si="604"/>
        <v>0</v>
      </c>
      <c r="AH7239" s="580">
        <f t="shared" si="605"/>
        <v>0</v>
      </c>
    </row>
    <row r="7240" spans="28:34">
      <c r="AB7240" s="580">
        <f>HLOOKUP("*"&amp;'Output annual'!$AC$2&amp;'Output annual'!$AD$2&amp;"*Zone People Number Of Occupants [](Hourly)",'Eplus results'!$1:$1048576,ROW(),FALSE)</f>
        <v>0</v>
      </c>
      <c r="AC7240" s="580">
        <f>HLOOKUP("*"&amp;'Output annual'!$AC$2&amp;'Output annual'!$AD$2&amp;"*FangerPMV(Hourly)",'Eplus results'!$1:$1048576,ROW(),FALSE)</f>
        <v>0</v>
      </c>
      <c r="AD7240" s="580">
        <f t="shared" si="601"/>
        <v>5</v>
      </c>
      <c r="AE7240" s="580">
        <f t="shared" si="602"/>
        <v>2.5</v>
      </c>
      <c r="AF7240" s="580">
        <f t="shared" si="603"/>
        <v>2.5</v>
      </c>
      <c r="AG7240" s="580">
        <f t="shared" si="604"/>
        <v>0</v>
      </c>
      <c r="AH7240" s="580">
        <f t="shared" si="605"/>
        <v>0</v>
      </c>
    </row>
    <row r="7241" spans="28:34">
      <c r="AB7241" s="580">
        <f>HLOOKUP("*"&amp;'Output annual'!$AC$2&amp;'Output annual'!$AD$2&amp;"*Zone People Number Of Occupants [](Hourly)",'Eplus results'!$1:$1048576,ROW(),FALSE)</f>
        <v>0</v>
      </c>
      <c r="AC7241" s="580">
        <f>HLOOKUP("*"&amp;'Output annual'!$AC$2&amp;'Output annual'!$AD$2&amp;"*FangerPMV(Hourly)",'Eplus results'!$1:$1048576,ROW(),FALSE)</f>
        <v>0</v>
      </c>
      <c r="AD7241" s="580">
        <f t="shared" si="601"/>
        <v>5</v>
      </c>
      <c r="AE7241" s="580">
        <f t="shared" si="602"/>
        <v>2.5</v>
      </c>
      <c r="AF7241" s="580">
        <f t="shared" si="603"/>
        <v>2.5</v>
      </c>
      <c r="AG7241" s="580">
        <f t="shared" si="604"/>
        <v>0</v>
      </c>
      <c r="AH7241" s="580">
        <f t="shared" si="605"/>
        <v>0</v>
      </c>
    </row>
    <row r="7242" spans="28:34">
      <c r="AB7242" s="580">
        <f>HLOOKUP("*"&amp;'Output annual'!$AC$2&amp;'Output annual'!$AD$2&amp;"*Zone People Number Of Occupants [](Hourly)",'Eplus results'!$1:$1048576,ROW(),FALSE)</f>
        <v>0</v>
      </c>
      <c r="AC7242" s="580">
        <f>HLOOKUP("*"&amp;'Output annual'!$AC$2&amp;'Output annual'!$AD$2&amp;"*FangerPMV(Hourly)",'Eplus results'!$1:$1048576,ROW(),FALSE)</f>
        <v>0</v>
      </c>
      <c r="AD7242" s="580">
        <f t="shared" si="601"/>
        <v>5</v>
      </c>
      <c r="AE7242" s="580">
        <f t="shared" si="602"/>
        <v>2.5</v>
      </c>
      <c r="AF7242" s="580">
        <f t="shared" si="603"/>
        <v>2.5</v>
      </c>
      <c r="AG7242" s="580">
        <f t="shared" si="604"/>
        <v>0</v>
      </c>
      <c r="AH7242" s="580">
        <f t="shared" si="605"/>
        <v>0</v>
      </c>
    </row>
    <row r="7243" spans="28:34">
      <c r="AB7243" s="580">
        <f>HLOOKUP("*"&amp;'Output annual'!$AC$2&amp;'Output annual'!$AD$2&amp;"*Zone People Number Of Occupants [](Hourly)",'Eplus results'!$1:$1048576,ROW(),FALSE)</f>
        <v>0</v>
      </c>
      <c r="AC7243" s="580">
        <f>HLOOKUP("*"&amp;'Output annual'!$AC$2&amp;'Output annual'!$AD$2&amp;"*FangerPMV(Hourly)",'Eplus results'!$1:$1048576,ROW(),FALSE)</f>
        <v>0</v>
      </c>
      <c r="AD7243" s="580">
        <f t="shared" si="601"/>
        <v>5</v>
      </c>
      <c r="AE7243" s="580">
        <f t="shared" si="602"/>
        <v>2.5</v>
      </c>
      <c r="AF7243" s="580">
        <f t="shared" si="603"/>
        <v>2.5</v>
      </c>
      <c r="AG7243" s="580">
        <f t="shared" si="604"/>
        <v>0</v>
      </c>
      <c r="AH7243" s="580">
        <f t="shared" si="605"/>
        <v>0</v>
      </c>
    </row>
    <row r="7244" spans="28:34">
      <c r="AB7244" s="580">
        <f>HLOOKUP("*"&amp;'Output annual'!$AC$2&amp;'Output annual'!$AD$2&amp;"*Zone People Number Of Occupants [](Hourly)",'Eplus results'!$1:$1048576,ROW(),FALSE)</f>
        <v>0</v>
      </c>
      <c r="AC7244" s="580">
        <f>HLOOKUP("*"&amp;'Output annual'!$AC$2&amp;'Output annual'!$AD$2&amp;"*FangerPMV(Hourly)",'Eplus results'!$1:$1048576,ROW(),FALSE)</f>
        <v>0</v>
      </c>
      <c r="AD7244" s="580">
        <f t="shared" si="601"/>
        <v>5</v>
      </c>
      <c r="AE7244" s="580">
        <f t="shared" si="602"/>
        <v>2.5</v>
      </c>
      <c r="AF7244" s="580">
        <f t="shared" si="603"/>
        <v>2.5</v>
      </c>
      <c r="AG7244" s="580">
        <f t="shared" si="604"/>
        <v>0</v>
      </c>
      <c r="AH7244" s="580">
        <f t="shared" si="605"/>
        <v>0</v>
      </c>
    </row>
    <row r="7245" spans="28:34">
      <c r="AB7245" s="580">
        <f>HLOOKUP("*"&amp;'Output annual'!$AC$2&amp;'Output annual'!$AD$2&amp;"*Zone People Number Of Occupants [](Hourly)",'Eplus results'!$1:$1048576,ROW(),FALSE)</f>
        <v>0</v>
      </c>
      <c r="AC7245" s="580">
        <f>HLOOKUP("*"&amp;'Output annual'!$AC$2&amp;'Output annual'!$AD$2&amp;"*FangerPMV(Hourly)",'Eplus results'!$1:$1048576,ROW(),FALSE)</f>
        <v>0</v>
      </c>
      <c r="AD7245" s="580">
        <f t="shared" si="601"/>
        <v>5</v>
      </c>
      <c r="AE7245" s="580">
        <f t="shared" si="602"/>
        <v>2.5</v>
      </c>
      <c r="AF7245" s="580">
        <f t="shared" si="603"/>
        <v>2.5</v>
      </c>
      <c r="AG7245" s="580">
        <f t="shared" si="604"/>
        <v>0</v>
      </c>
      <c r="AH7245" s="580">
        <f t="shared" si="605"/>
        <v>0</v>
      </c>
    </row>
    <row r="7246" spans="28:34">
      <c r="AB7246" s="580">
        <f>HLOOKUP("*"&amp;'Output annual'!$AC$2&amp;'Output annual'!$AD$2&amp;"*Zone People Number Of Occupants [](Hourly)",'Eplus results'!$1:$1048576,ROW(),FALSE)</f>
        <v>0</v>
      </c>
      <c r="AC7246" s="580">
        <f>HLOOKUP("*"&amp;'Output annual'!$AC$2&amp;'Output annual'!$AD$2&amp;"*FangerPMV(Hourly)",'Eplus results'!$1:$1048576,ROW(),FALSE)</f>
        <v>0</v>
      </c>
      <c r="AD7246" s="580">
        <f t="shared" si="601"/>
        <v>5</v>
      </c>
      <c r="AE7246" s="580">
        <f t="shared" si="602"/>
        <v>2.5</v>
      </c>
      <c r="AF7246" s="580">
        <f t="shared" si="603"/>
        <v>2.5</v>
      </c>
      <c r="AG7246" s="580">
        <f t="shared" si="604"/>
        <v>0</v>
      </c>
      <c r="AH7246" s="580">
        <f t="shared" si="605"/>
        <v>0</v>
      </c>
    </row>
    <row r="7247" spans="28:34">
      <c r="AB7247" s="580">
        <f>HLOOKUP("*"&amp;'Output annual'!$AC$2&amp;'Output annual'!$AD$2&amp;"*Zone People Number Of Occupants [](Hourly)",'Eplus results'!$1:$1048576,ROW(),FALSE)</f>
        <v>0</v>
      </c>
      <c r="AC7247" s="580">
        <f>HLOOKUP("*"&amp;'Output annual'!$AC$2&amp;'Output annual'!$AD$2&amp;"*FangerPMV(Hourly)",'Eplus results'!$1:$1048576,ROW(),FALSE)</f>
        <v>0</v>
      </c>
      <c r="AD7247" s="580">
        <f t="shared" si="601"/>
        <v>5</v>
      </c>
      <c r="AE7247" s="580">
        <f t="shared" si="602"/>
        <v>2.5</v>
      </c>
      <c r="AF7247" s="580">
        <f t="shared" si="603"/>
        <v>2.5</v>
      </c>
      <c r="AG7247" s="580">
        <f t="shared" si="604"/>
        <v>0</v>
      </c>
      <c r="AH7247" s="580">
        <f t="shared" si="605"/>
        <v>0</v>
      </c>
    </row>
    <row r="7248" spans="28:34">
      <c r="AB7248" s="580">
        <f>HLOOKUP("*"&amp;'Output annual'!$AC$2&amp;'Output annual'!$AD$2&amp;"*Zone People Number Of Occupants [](Hourly)",'Eplus results'!$1:$1048576,ROW(),FALSE)</f>
        <v>0</v>
      </c>
      <c r="AC7248" s="580">
        <f>HLOOKUP("*"&amp;'Output annual'!$AC$2&amp;'Output annual'!$AD$2&amp;"*FangerPMV(Hourly)",'Eplus results'!$1:$1048576,ROW(),FALSE)</f>
        <v>0</v>
      </c>
      <c r="AD7248" s="580">
        <f t="shared" si="601"/>
        <v>5</v>
      </c>
      <c r="AE7248" s="580">
        <f t="shared" si="602"/>
        <v>2.5</v>
      </c>
      <c r="AF7248" s="580">
        <f t="shared" si="603"/>
        <v>2.5</v>
      </c>
      <c r="AG7248" s="580">
        <f t="shared" si="604"/>
        <v>0</v>
      </c>
      <c r="AH7248" s="580">
        <f t="shared" si="605"/>
        <v>0</v>
      </c>
    </row>
    <row r="7249" spans="28:34">
      <c r="AB7249" s="580">
        <f>HLOOKUP("*"&amp;'Output annual'!$AC$2&amp;'Output annual'!$AD$2&amp;"*Zone People Number Of Occupants [](Hourly)",'Eplus results'!$1:$1048576,ROW(),FALSE)</f>
        <v>0</v>
      </c>
      <c r="AC7249" s="580">
        <f>HLOOKUP("*"&amp;'Output annual'!$AC$2&amp;'Output annual'!$AD$2&amp;"*FangerPMV(Hourly)",'Eplus results'!$1:$1048576,ROW(),FALSE)</f>
        <v>0</v>
      </c>
      <c r="AD7249" s="580">
        <f t="shared" si="601"/>
        <v>5</v>
      </c>
      <c r="AE7249" s="580">
        <f t="shared" si="602"/>
        <v>2.5</v>
      </c>
      <c r="AF7249" s="580">
        <f t="shared" si="603"/>
        <v>2.5</v>
      </c>
      <c r="AG7249" s="580">
        <f t="shared" si="604"/>
        <v>0</v>
      </c>
      <c r="AH7249" s="580">
        <f t="shared" si="605"/>
        <v>0</v>
      </c>
    </row>
    <row r="7250" spans="28:34">
      <c r="AB7250" s="580">
        <f>HLOOKUP("*"&amp;'Output annual'!$AC$2&amp;'Output annual'!$AD$2&amp;"*Zone People Number Of Occupants [](Hourly)",'Eplus results'!$1:$1048576,ROW(),FALSE)</f>
        <v>0</v>
      </c>
      <c r="AC7250" s="580">
        <f>HLOOKUP("*"&amp;'Output annual'!$AC$2&amp;'Output annual'!$AD$2&amp;"*FangerPMV(Hourly)",'Eplus results'!$1:$1048576,ROW(),FALSE)</f>
        <v>0</v>
      </c>
      <c r="AD7250" s="580">
        <f t="shared" si="601"/>
        <v>5</v>
      </c>
      <c r="AE7250" s="580">
        <f t="shared" si="602"/>
        <v>2.5</v>
      </c>
      <c r="AF7250" s="580">
        <f t="shared" si="603"/>
        <v>2.5</v>
      </c>
      <c r="AG7250" s="580">
        <f t="shared" si="604"/>
        <v>0</v>
      </c>
      <c r="AH7250" s="580">
        <f t="shared" si="605"/>
        <v>0</v>
      </c>
    </row>
    <row r="7251" spans="28:34">
      <c r="AB7251" s="580">
        <f>HLOOKUP("*"&amp;'Output annual'!$AC$2&amp;'Output annual'!$AD$2&amp;"*Zone People Number Of Occupants [](Hourly)",'Eplus results'!$1:$1048576,ROW(),FALSE)</f>
        <v>0</v>
      </c>
      <c r="AC7251" s="580">
        <f>HLOOKUP("*"&amp;'Output annual'!$AC$2&amp;'Output annual'!$AD$2&amp;"*FangerPMV(Hourly)",'Eplus results'!$1:$1048576,ROW(),FALSE)</f>
        <v>0</v>
      </c>
      <c r="AD7251" s="580">
        <f t="shared" si="601"/>
        <v>5</v>
      </c>
      <c r="AE7251" s="580">
        <f t="shared" si="602"/>
        <v>2.5</v>
      </c>
      <c r="AF7251" s="580">
        <f t="shared" si="603"/>
        <v>2.5</v>
      </c>
      <c r="AG7251" s="580">
        <f t="shared" si="604"/>
        <v>0</v>
      </c>
      <c r="AH7251" s="580">
        <f t="shared" si="605"/>
        <v>0</v>
      </c>
    </row>
    <row r="7252" spans="28:34">
      <c r="AB7252" s="580">
        <f>HLOOKUP("*"&amp;'Output annual'!$AC$2&amp;'Output annual'!$AD$2&amp;"*Zone People Number Of Occupants [](Hourly)",'Eplus results'!$1:$1048576,ROW(),FALSE)</f>
        <v>0</v>
      </c>
      <c r="AC7252" s="580">
        <f>HLOOKUP("*"&amp;'Output annual'!$AC$2&amp;'Output annual'!$AD$2&amp;"*FangerPMV(Hourly)",'Eplus results'!$1:$1048576,ROW(),FALSE)</f>
        <v>0</v>
      </c>
      <c r="AD7252" s="580">
        <f t="shared" si="601"/>
        <v>5</v>
      </c>
      <c r="AE7252" s="580">
        <f t="shared" si="602"/>
        <v>2.5</v>
      </c>
      <c r="AF7252" s="580">
        <f t="shared" si="603"/>
        <v>2.5</v>
      </c>
      <c r="AG7252" s="580">
        <f t="shared" si="604"/>
        <v>0</v>
      </c>
      <c r="AH7252" s="580">
        <f t="shared" si="605"/>
        <v>0</v>
      </c>
    </row>
    <row r="7253" spans="28:34">
      <c r="AB7253" s="580">
        <f>HLOOKUP("*"&amp;'Output annual'!$AC$2&amp;'Output annual'!$AD$2&amp;"*Zone People Number Of Occupants [](Hourly)",'Eplus results'!$1:$1048576,ROW(),FALSE)</f>
        <v>0</v>
      </c>
      <c r="AC7253" s="580">
        <f>HLOOKUP("*"&amp;'Output annual'!$AC$2&amp;'Output annual'!$AD$2&amp;"*FangerPMV(Hourly)",'Eplus results'!$1:$1048576,ROW(),FALSE)</f>
        <v>0</v>
      </c>
      <c r="AD7253" s="580">
        <f t="shared" si="601"/>
        <v>5</v>
      </c>
      <c r="AE7253" s="580">
        <f t="shared" si="602"/>
        <v>2.5</v>
      </c>
      <c r="AF7253" s="580">
        <f t="shared" si="603"/>
        <v>2.5</v>
      </c>
      <c r="AG7253" s="580">
        <f t="shared" si="604"/>
        <v>0</v>
      </c>
      <c r="AH7253" s="580">
        <f t="shared" si="605"/>
        <v>0</v>
      </c>
    </row>
    <row r="7254" spans="28:34">
      <c r="AB7254" s="580">
        <f>HLOOKUP("*"&amp;'Output annual'!$AC$2&amp;'Output annual'!$AD$2&amp;"*Zone People Number Of Occupants [](Hourly)",'Eplus results'!$1:$1048576,ROW(),FALSE)</f>
        <v>0</v>
      </c>
      <c r="AC7254" s="580">
        <f>HLOOKUP("*"&amp;'Output annual'!$AC$2&amp;'Output annual'!$AD$2&amp;"*FangerPMV(Hourly)",'Eplus results'!$1:$1048576,ROW(),FALSE)</f>
        <v>0</v>
      </c>
      <c r="AD7254" s="580">
        <f t="shared" si="601"/>
        <v>5</v>
      </c>
      <c r="AE7254" s="580">
        <f t="shared" si="602"/>
        <v>2.5</v>
      </c>
      <c r="AF7254" s="580">
        <f t="shared" si="603"/>
        <v>2.5</v>
      </c>
      <c r="AG7254" s="580">
        <f t="shared" si="604"/>
        <v>0</v>
      </c>
      <c r="AH7254" s="580">
        <f t="shared" si="605"/>
        <v>0</v>
      </c>
    </row>
    <row r="7255" spans="28:34">
      <c r="AB7255" s="580">
        <f>HLOOKUP("*"&amp;'Output annual'!$AC$2&amp;'Output annual'!$AD$2&amp;"*Zone People Number Of Occupants [](Hourly)",'Eplus results'!$1:$1048576,ROW(),FALSE)</f>
        <v>0</v>
      </c>
      <c r="AC7255" s="580">
        <f>HLOOKUP("*"&amp;'Output annual'!$AC$2&amp;'Output annual'!$AD$2&amp;"*FangerPMV(Hourly)",'Eplus results'!$1:$1048576,ROW(),FALSE)</f>
        <v>0</v>
      </c>
      <c r="AD7255" s="580">
        <f t="shared" si="601"/>
        <v>5</v>
      </c>
      <c r="AE7255" s="580">
        <f t="shared" si="602"/>
        <v>2.5</v>
      </c>
      <c r="AF7255" s="580">
        <f t="shared" si="603"/>
        <v>2.5</v>
      </c>
      <c r="AG7255" s="580">
        <f t="shared" si="604"/>
        <v>0</v>
      </c>
      <c r="AH7255" s="580">
        <f t="shared" si="605"/>
        <v>0</v>
      </c>
    </row>
    <row r="7256" spans="28:34">
      <c r="AB7256" s="580">
        <f>HLOOKUP("*"&amp;'Output annual'!$AC$2&amp;'Output annual'!$AD$2&amp;"*Zone People Number Of Occupants [](Hourly)",'Eplus results'!$1:$1048576,ROW(),FALSE)</f>
        <v>0</v>
      </c>
      <c r="AC7256" s="580">
        <f>HLOOKUP("*"&amp;'Output annual'!$AC$2&amp;'Output annual'!$AD$2&amp;"*FangerPMV(Hourly)",'Eplus results'!$1:$1048576,ROW(),FALSE)</f>
        <v>0</v>
      </c>
      <c r="AD7256" s="580">
        <f t="shared" si="601"/>
        <v>5</v>
      </c>
      <c r="AE7256" s="580">
        <f t="shared" si="602"/>
        <v>2.5</v>
      </c>
      <c r="AF7256" s="580">
        <f t="shared" si="603"/>
        <v>2.5</v>
      </c>
      <c r="AG7256" s="580">
        <f t="shared" si="604"/>
        <v>0</v>
      </c>
      <c r="AH7256" s="580">
        <f t="shared" si="605"/>
        <v>0</v>
      </c>
    </row>
    <row r="7257" spans="28:34">
      <c r="AB7257" s="580">
        <f>HLOOKUP("*"&amp;'Output annual'!$AC$2&amp;'Output annual'!$AD$2&amp;"*Zone People Number Of Occupants [](Hourly)",'Eplus results'!$1:$1048576,ROW(),FALSE)</f>
        <v>0</v>
      </c>
      <c r="AC7257" s="580">
        <f>HLOOKUP("*"&amp;'Output annual'!$AC$2&amp;'Output annual'!$AD$2&amp;"*FangerPMV(Hourly)",'Eplus results'!$1:$1048576,ROW(),FALSE)</f>
        <v>0</v>
      </c>
      <c r="AD7257" s="580">
        <f t="shared" si="601"/>
        <v>5</v>
      </c>
      <c r="AE7257" s="580">
        <f t="shared" si="602"/>
        <v>2.5</v>
      </c>
      <c r="AF7257" s="580">
        <f t="shared" si="603"/>
        <v>2.5</v>
      </c>
      <c r="AG7257" s="580">
        <f t="shared" si="604"/>
        <v>0</v>
      </c>
      <c r="AH7257" s="580">
        <f t="shared" si="605"/>
        <v>0</v>
      </c>
    </row>
    <row r="7258" spans="28:34">
      <c r="AB7258" s="580">
        <f>HLOOKUP("*"&amp;'Output annual'!$AC$2&amp;'Output annual'!$AD$2&amp;"*Zone People Number Of Occupants [](Hourly)",'Eplus results'!$1:$1048576,ROW(),FALSE)</f>
        <v>0</v>
      </c>
      <c r="AC7258" s="580">
        <f>HLOOKUP("*"&amp;'Output annual'!$AC$2&amp;'Output annual'!$AD$2&amp;"*FangerPMV(Hourly)",'Eplus results'!$1:$1048576,ROW(),FALSE)</f>
        <v>0</v>
      </c>
      <c r="AD7258" s="580">
        <f t="shared" si="601"/>
        <v>5</v>
      </c>
      <c r="AE7258" s="580">
        <f t="shared" si="602"/>
        <v>2.5</v>
      </c>
      <c r="AF7258" s="580">
        <f t="shared" si="603"/>
        <v>2.5</v>
      </c>
      <c r="AG7258" s="580">
        <f t="shared" si="604"/>
        <v>0</v>
      </c>
      <c r="AH7258" s="580">
        <f t="shared" si="605"/>
        <v>0</v>
      </c>
    </row>
    <row r="7259" spans="28:34">
      <c r="AB7259" s="580">
        <f>HLOOKUP("*"&amp;'Output annual'!$AC$2&amp;'Output annual'!$AD$2&amp;"*Zone People Number Of Occupants [](Hourly)",'Eplus results'!$1:$1048576,ROW(),FALSE)</f>
        <v>0</v>
      </c>
      <c r="AC7259" s="580">
        <f>HLOOKUP("*"&amp;'Output annual'!$AC$2&amp;'Output annual'!$AD$2&amp;"*FangerPMV(Hourly)",'Eplus results'!$1:$1048576,ROW(),FALSE)</f>
        <v>0</v>
      </c>
      <c r="AD7259" s="580">
        <f t="shared" si="601"/>
        <v>5</v>
      </c>
      <c r="AE7259" s="580">
        <f t="shared" si="602"/>
        <v>2.5</v>
      </c>
      <c r="AF7259" s="580">
        <f t="shared" si="603"/>
        <v>2.5</v>
      </c>
      <c r="AG7259" s="580">
        <f t="shared" si="604"/>
        <v>0</v>
      </c>
      <c r="AH7259" s="580">
        <f t="shared" si="605"/>
        <v>0</v>
      </c>
    </row>
    <row r="7260" spans="28:34">
      <c r="AB7260" s="580">
        <f>HLOOKUP("*"&amp;'Output annual'!$AC$2&amp;'Output annual'!$AD$2&amp;"*Zone People Number Of Occupants [](Hourly)",'Eplus results'!$1:$1048576,ROW(),FALSE)</f>
        <v>0</v>
      </c>
      <c r="AC7260" s="580">
        <f>HLOOKUP("*"&amp;'Output annual'!$AC$2&amp;'Output annual'!$AD$2&amp;"*FangerPMV(Hourly)",'Eplus results'!$1:$1048576,ROW(),FALSE)</f>
        <v>0</v>
      </c>
      <c r="AD7260" s="580">
        <f t="shared" si="601"/>
        <v>5</v>
      </c>
      <c r="AE7260" s="580">
        <f t="shared" si="602"/>
        <v>2.5</v>
      </c>
      <c r="AF7260" s="580">
        <f t="shared" si="603"/>
        <v>2.5</v>
      </c>
      <c r="AG7260" s="580">
        <f t="shared" si="604"/>
        <v>0</v>
      </c>
      <c r="AH7260" s="580">
        <f t="shared" si="605"/>
        <v>0</v>
      </c>
    </row>
    <row r="7261" spans="28:34">
      <c r="AB7261" s="580">
        <f>HLOOKUP("*"&amp;'Output annual'!$AC$2&amp;'Output annual'!$AD$2&amp;"*Zone People Number Of Occupants [](Hourly)",'Eplus results'!$1:$1048576,ROW(),FALSE)</f>
        <v>0</v>
      </c>
      <c r="AC7261" s="580">
        <f>HLOOKUP("*"&amp;'Output annual'!$AC$2&amp;'Output annual'!$AD$2&amp;"*FangerPMV(Hourly)",'Eplus results'!$1:$1048576,ROW(),FALSE)</f>
        <v>0</v>
      </c>
      <c r="AD7261" s="580">
        <f t="shared" si="601"/>
        <v>5</v>
      </c>
      <c r="AE7261" s="580">
        <f t="shared" si="602"/>
        <v>2.5</v>
      </c>
      <c r="AF7261" s="580">
        <f t="shared" si="603"/>
        <v>2.5</v>
      </c>
      <c r="AG7261" s="580">
        <f t="shared" si="604"/>
        <v>0</v>
      </c>
      <c r="AH7261" s="580">
        <f t="shared" si="605"/>
        <v>0</v>
      </c>
    </row>
    <row r="7262" spans="28:34">
      <c r="AB7262" s="580">
        <f>HLOOKUP("*"&amp;'Output annual'!$AC$2&amp;'Output annual'!$AD$2&amp;"*Zone People Number Of Occupants [](Hourly)",'Eplus results'!$1:$1048576,ROW(),FALSE)</f>
        <v>0</v>
      </c>
      <c r="AC7262" s="580">
        <f>HLOOKUP("*"&amp;'Output annual'!$AC$2&amp;'Output annual'!$AD$2&amp;"*FangerPMV(Hourly)",'Eplus results'!$1:$1048576,ROW(),FALSE)</f>
        <v>0</v>
      </c>
      <c r="AD7262" s="580">
        <f t="shared" si="601"/>
        <v>5</v>
      </c>
      <c r="AE7262" s="580">
        <f t="shared" si="602"/>
        <v>2.5</v>
      </c>
      <c r="AF7262" s="580">
        <f t="shared" si="603"/>
        <v>2.5</v>
      </c>
      <c r="AG7262" s="580">
        <f t="shared" si="604"/>
        <v>0</v>
      </c>
      <c r="AH7262" s="580">
        <f t="shared" si="605"/>
        <v>0</v>
      </c>
    </row>
    <row r="7263" spans="28:34">
      <c r="AB7263" s="580">
        <f>HLOOKUP("*"&amp;'Output annual'!$AC$2&amp;'Output annual'!$AD$2&amp;"*Zone People Number Of Occupants [](Hourly)",'Eplus results'!$1:$1048576,ROW(),FALSE)</f>
        <v>0</v>
      </c>
      <c r="AC7263" s="580">
        <f>HLOOKUP("*"&amp;'Output annual'!$AC$2&amp;'Output annual'!$AD$2&amp;"*FangerPMV(Hourly)",'Eplus results'!$1:$1048576,ROW(),FALSE)</f>
        <v>0</v>
      </c>
      <c r="AD7263" s="580">
        <f t="shared" si="601"/>
        <v>5</v>
      </c>
      <c r="AE7263" s="580">
        <f t="shared" si="602"/>
        <v>2.5</v>
      </c>
      <c r="AF7263" s="580">
        <f t="shared" si="603"/>
        <v>2.5</v>
      </c>
      <c r="AG7263" s="580">
        <f t="shared" si="604"/>
        <v>0</v>
      </c>
      <c r="AH7263" s="580">
        <f t="shared" si="605"/>
        <v>0</v>
      </c>
    </row>
    <row r="7264" spans="28:34">
      <c r="AB7264" s="580">
        <f>HLOOKUP("*"&amp;'Output annual'!$AC$2&amp;'Output annual'!$AD$2&amp;"*Zone People Number Of Occupants [](Hourly)",'Eplus results'!$1:$1048576,ROW(),FALSE)</f>
        <v>0</v>
      </c>
      <c r="AC7264" s="580">
        <f>HLOOKUP("*"&amp;'Output annual'!$AC$2&amp;'Output annual'!$AD$2&amp;"*FangerPMV(Hourly)",'Eplus results'!$1:$1048576,ROW(),FALSE)</f>
        <v>0</v>
      </c>
      <c r="AD7264" s="580">
        <f t="shared" si="601"/>
        <v>5</v>
      </c>
      <c r="AE7264" s="580">
        <f t="shared" si="602"/>
        <v>2.5</v>
      </c>
      <c r="AF7264" s="580">
        <f t="shared" si="603"/>
        <v>2.5</v>
      </c>
      <c r="AG7264" s="580">
        <f t="shared" si="604"/>
        <v>0</v>
      </c>
      <c r="AH7264" s="580">
        <f t="shared" si="605"/>
        <v>0</v>
      </c>
    </row>
    <row r="7265" spans="28:34">
      <c r="AB7265" s="580">
        <f>HLOOKUP("*"&amp;'Output annual'!$AC$2&amp;'Output annual'!$AD$2&amp;"*Zone People Number Of Occupants [](Hourly)",'Eplus results'!$1:$1048576,ROW(),FALSE)</f>
        <v>0</v>
      </c>
      <c r="AC7265" s="580">
        <f>HLOOKUP("*"&amp;'Output annual'!$AC$2&amp;'Output annual'!$AD$2&amp;"*FangerPMV(Hourly)",'Eplus results'!$1:$1048576,ROW(),FALSE)</f>
        <v>0</v>
      </c>
      <c r="AD7265" s="580">
        <f t="shared" si="601"/>
        <v>5</v>
      </c>
      <c r="AE7265" s="580">
        <f t="shared" si="602"/>
        <v>2.5</v>
      </c>
      <c r="AF7265" s="580">
        <f t="shared" si="603"/>
        <v>2.5</v>
      </c>
      <c r="AG7265" s="580">
        <f t="shared" si="604"/>
        <v>0</v>
      </c>
      <c r="AH7265" s="580">
        <f t="shared" si="605"/>
        <v>0</v>
      </c>
    </row>
    <row r="7266" spans="28:34">
      <c r="AB7266" s="580">
        <f>HLOOKUP("*"&amp;'Output annual'!$AC$2&amp;'Output annual'!$AD$2&amp;"*Zone People Number Of Occupants [](Hourly)",'Eplus results'!$1:$1048576,ROW(),FALSE)</f>
        <v>0</v>
      </c>
      <c r="AC7266" s="580">
        <f>HLOOKUP("*"&amp;'Output annual'!$AC$2&amp;'Output annual'!$AD$2&amp;"*FangerPMV(Hourly)",'Eplus results'!$1:$1048576,ROW(),FALSE)</f>
        <v>0</v>
      </c>
      <c r="AD7266" s="580">
        <f t="shared" si="601"/>
        <v>5</v>
      </c>
      <c r="AE7266" s="580">
        <f t="shared" si="602"/>
        <v>2.5</v>
      </c>
      <c r="AF7266" s="580">
        <f t="shared" si="603"/>
        <v>2.5</v>
      </c>
      <c r="AG7266" s="580">
        <f t="shared" si="604"/>
        <v>0</v>
      </c>
      <c r="AH7266" s="580">
        <f t="shared" si="605"/>
        <v>0</v>
      </c>
    </row>
    <row r="7267" spans="28:34">
      <c r="AB7267" s="580">
        <f>HLOOKUP("*"&amp;'Output annual'!$AC$2&amp;'Output annual'!$AD$2&amp;"*Zone People Number Of Occupants [](Hourly)",'Eplus results'!$1:$1048576,ROW(),FALSE)</f>
        <v>0</v>
      </c>
      <c r="AC7267" s="580">
        <f>HLOOKUP("*"&amp;'Output annual'!$AC$2&amp;'Output annual'!$AD$2&amp;"*FangerPMV(Hourly)",'Eplus results'!$1:$1048576,ROW(),FALSE)</f>
        <v>0</v>
      </c>
      <c r="AD7267" s="580">
        <f t="shared" si="601"/>
        <v>5</v>
      </c>
      <c r="AE7267" s="580">
        <f t="shared" si="602"/>
        <v>2.5</v>
      </c>
      <c r="AF7267" s="580">
        <f t="shared" si="603"/>
        <v>2.5</v>
      </c>
      <c r="AG7267" s="580">
        <f t="shared" si="604"/>
        <v>0</v>
      </c>
      <c r="AH7267" s="580">
        <f t="shared" si="605"/>
        <v>0</v>
      </c>
    </row>
    <row r="7268" spans="28:34">
      <c r="AB7268" s="580">
        <f>HLOOKUP("*"&amp;'Output annual'!$AC$2&amp;'Output annual'!$AD$2&amp;"*Zone People Number Of Occupants [](Hourly)",'Eplus results'!$1:$1048576,ROW(),FALSE)</f>
        <v>0</v>
      </c>
      <c r="AC7268" s="580">
        <f>HLOOKUP("*"&amp;'Output annual'!$AC$2&amp;'Output annual'!$AD$2&amp;"*FangerPMV(Hourly)",'Eplus results'!$1:$1048576,ROW(),FALSE)</f>
        <v>0</v>
      </c>
      <c r="AD7268" s="580">
        <f t="shared" si="601"/>
        <v>5</v>
      </c>
      <c r="AE7268" s="580">
        <f t="shared" si="602"/>
        <v>2.5</v>
      </c>
      <c r="AF7268" s="580">
        <f t="shared" si="603"/>
        <v>2.5</v>
      </c>
      <c r="AG7268" s="580">
        <f t="shared" si="604"/>
        <v>0</v>
      </c>
      <c r="AH7268" s="580">
        <f t="shared" si="605"/>
        <v>0</v>
      </c>
    </row>
    <row r="7269" spans="28:34">
      <c r="AB7269" s="580">
        <f>HLOOKUP("*"&amp;'Output annual'!$AC$2&amp;'Output annual'!$AD$2&amp;"*Zone People Number Of Occupants [](Hourly)",'Eplus results'!$1:$1048576,ROW(),FALSE)</f>
        <v>0</v>
      </c>
      <c r="AC7269" s="580">
        <f>HLOOKUP("*"&amp;'Output annual'!$AC$2&amp;'Output annual'!$AD$2&amp;"*FangerPMV(Hourly)",'Eplus results'!$1:$1048576,ROW(),FALSE)</f>
        <v>0</v>
      </c>
      <c r="AD7269" s="580">
        <f t="shared" si="601"/>
        <v>5</v>
      </c>
      <c r="AE7269" s="580">
        <f t="shared" si="602"/>
        <v>2.5</v>
      </c>
      <c r="AF7269" s="580">
        <f t="shared" si="603"/>
        <v>2.5</v>
      </c>
      <c r="AG7269" s="580">
        <f t="shared" si="604"/>
        <v>0</v>
      </c>
      <c r="AH7269" s="580">
        <f t="shared" si="605"/>
        <v>0</v>
      </c>
    </row>
    <row r="7270" spans="28:34">
      <c r="AB7270" s="580">
        <f>HLOOKUP("*"&amp;'Output annual'!$AC$2&amp;'Output annual'!$AD$2&amp;"*Zone People Number Of Occupants [](Hourly)",'Eplus results'!$1:$1048576,ROW(),FALSE)</f>
        <v>0</v>
      </c>
      <c r="AC7270" s="580">
        <f>HLOOKUP("*"&amp;'Output annual'!$AC$2&amp;'Output annual'!$AD$2&amp;"*FangerPMV(Hourly)",'Eplus results'!$1:$1048576,ROW(),FALSE)</f>
        <v>0</v>
      </c>
      <c r="AD7270" s="580">
        <f t="shared" si="601"/>
        <v>5</v>
      </c>
      <c r="AE7270" s="580">
        <f t="shared" si="602"/>
        <v>2.5</v>
      </c>
      <c r="AF7270" s="580">
        <f t="shared" si="603"/>
        <v>2.5</v>
      </c>
      <c r="AG7270" s="580">
        <f t="shared" si="604"/>
        <v>0</v>
      </c>
      <c r="AH7270" s="580">
        <f t="shared" si="605"/>
        <v>0</v>
      </c>
    </row>
    <row r="7271" spans="28:34">
      <c r="AB7271" s="580">
        <f>HLOOKUP("*"&amp;'Output annual'!$AC$2&amp;'Output annual'!$AD$2&amp;"*Zone People Number Of Occupants [](Hourly)",'Eplus results'!$1:$1048576,ROW(),FALSE)</f>
        <v>0</v>
      </c>
      <c r="AC7271" s="580">
        <f>HLOOKUP("*"&amp;'Output annual'!$AC$2&amp;'Output annual'!$AD$2&amp;"*FangerPMV(Hourly)",'Eplus results'!$1:$1048576,ROW(),FALSE)</f>
        <v>0</v>
      </c>
      <c r="AD7271" s="580">
        <f t="shared" si="601"/>
        <v>5</v>
      </c>
      <c r="AE7271" s="580">
        <f t="shared" si="602"/>
        <v>2.5</v>
      </c>
      <c r="AF7271" s="580">
        <f t="shared" si="603"/>
        <v>2.5</v>
      </c>
      <c r="AG7271" s="580">
        <f t="shared" si="604"/>
        <v>0</v>
      </c>
      <c r="AH7271" s="580">
        <f t="shared" si="605"/>
        <v>0</v>
      </c>
    </row>
    <row r="7272" spans="28:34">
      <c r="AB7272" s="580">
        <f>HLOOKUP("*"&amp;'Output annual'!$AC$2&amp;'Output annual'!$AD$2&amp;"*Zone People Number Of Occupants [](Hourly)",'Eplus results'!$1:$1048576,ROW(),FALSE)</f>
        <v>0</v>
      </c>
      <c r="AC7272" s="580">
        <f>HLOOKUP("*"&amp;'Output annual'!$AC$2&amp;'Output annual'!$AD$2&amp;"*FangerPMV(Hourly)",'Eplus results'!$1:$1048576,ROW(),FALSE)</f>
        <v>0</v>
      </c>
      <c r="AD7272" s="580">
        <f t="shared" si="601"/>
        <v>5</v>
      </c>
      <c r="AE7272" s="580">
        <f t="shared" si="602"/>
        <v>2.5</v>
      </c>
      <c r="AF7272" s="580">
        <f t="shared" si="603"/>
        <v>2.5</v>
      </c>
      <c r="AG7272" s="580">
        <f t="shared" si="604"/>
        <v>0</v>
      </c>
      <c r="AH7272" s="580">
        <f t="shared" si="605"/>
        <v>0</v>
      </c>
    </row>
    <row r="7273" spans="28:34">
      <c r="AB7273" s="580">
        <f>HLOOKUP("*"&amp;'Output annual'!$AC$2&amp;'Output annual'!$AD$2&amp;"*Zone People Number Of Occupants [](Hourly)",'Eplus results'!$1:$1048576,ROW(),FALSE)</f>
        <v>0</v>
      </c>
      <c r="AC7273" s="580">
        <f>HLOOKUP("*"&amp;'Output annual'!$AC$2&amp;'Output annual'!$AD$2&amp;"*FangerPMV(Hourly)",'Eplus results'!$1:$1048576,ROW(),FALSE)</f>
        <v>0</v>
      </c>
      <c r="AD7273" s="580">
        <f t="shared" si="601"/>
        <v>5</v>
      </c>
      <c r="AE7273" s="580">
        <f t="shared" si="602"/>
        <v>2.5</v>
      </c>
      <c r="AF7273" s="580">
        <f t="shared" si="603"/>
        <v>2.5</v>
      </c>
      <c r="AG7273" s="580">
        <f t="shared" si="604"/>
        <v>0</v>
      </c>
      <c r="AH7273" s="580">
        <f t="shared" si="605"/>
        <v>0</v>
      </c>
    </row>
    <row r="7274" spans="28:34">
      <c r="AB7274" s="580">
        <f>HLOOKUP("*"&amp;'Output annual'!$AC$2&amp;'Output annual'!$AD$2&amp;"*Zone People Number Of Occupants [](Hourly)",'Eplus results'!$1:$1048576,ROW(),FALSE)</f>
        <v>0</v>
      </c>
      <c r="AC7274" s="580">
        <f>HLOOKUP("*"&amp;'Output annual'!$AC$2&amp;'Output annual'!$AD$2&amp;"*FangerPMV(Hourly)",'Eplus results'!$1:$1048576,ROW(),FALSE)</f>
        <v>0</v>
      </c>
      <c r="AD7274" s="580">
        <f t="shared" si="601"/>
        <v>5</v>
      </c>
      <c r="AE7274" s="580">
        <f t="shared" si="602"/>
        <v>2.5</v>
      </c>
      <c r="AF7274" s="580">
        <f t="shared" si="603"/>
        <v>2.5</v>
      </c>
      <c r="AG7274" s="580">
        <f t="shared" si="604"/>
        <v>0</v>
      </c>
      <c r="AH7274" s="580">
        <f t="shared" si="605"/>
        <v>0</v>
      </c>
    </row>
    <row r="7275" spans="28:34">
      <c r="AB7275" s="580">
        <f>HLOOKUP("*"&amp;'Output annual'!$AC$2&amp;'Output annual'!$AD$2&amp;"*Zone People Number Of Occupants [](Hourly)",'Eplus results'!$1:$1048576,ROW(),FALSE)</f>
        <v>0</v>
      </c>
      <c r="AC7275" s="580">
        <f>HLOOKUP("*"&amp;'Output annual'!$AC$2&amp;'Output annual'!$AD$2&amp;"*FangerPMV(Hourly)",'Eplus results'!$1:$1048576,ROW(),FALSE)</f>
        <v>0</v>
      </c>
      <c r="AD7275" s="580">
        <f t="shared" si="601"/>
        <v>5</v>
      </c>
      <c r="AE7275" s="580">
        <f t="shared" si="602"/>
        <v>2.5</v>
      </c>
      <c r="AF7275" s="580">
        <f t="shared" si="603"/>
        <v>2.5</v>
      </c>
      <c r="AG7275" s="580">
        <f t="shared" si="604"/>
        <v>0</v>
      </c>
      <c r="AH7275" s="580">
        <f t="shared" si="605"/>
        <v>0</v>
      </c>
    </row>
    <row r="7276" spans="28:34">
      <c r="AB7276" s="580">
        <f>HLOOKUP("*"&amp;'Output annual'!$AC$2&amp;'Output annual'!$AD$2&amp;"*Zone People Number Of Occupants [](Hourly)",'Eplus results'!$1:$1048576,ROW(),FALSE)</f>
        <v>0</v>
      </c>
      <c r="AC7276" s="580">
        <f>HLOOKUP("*"&amp;'Output annual'!$AC$2&amp;'Output annual'!$AD$2&amp;"*FangerPMV(Hourly)",'Eplus results'!$1:$1048576,ROW(),FALSE)</f>
        <v>0</v>
      </c>
      <c r="AD7276" s="580">
        <f t="shared" si="601"/>
        <v>5</v>
      </c>
      <c r="AE7276" s="580">
        <f t="shared" si="602"/>
        <v>2.5</v>
      </c>
      <c r="AF7276" s="580">
        <f t="shared" si="603"/>
        <v>2.5</v>
      </c>
      <c r="AG7276" s="580">
        <f t="shared" si="604"/>
        <v>0</v>
      </c>
      <c r="AH7276" s="580">
        <f t="shared" si="605"/>
        <v>0</v>
      </c>
    </row>
    <row r="7277" spans="28:34">
      <c r="AB7277" s="580">
        <f>HLOOKUP("*"&amp;'Output annual'!$AC$2&amp;'Output annual'!$AD$2&amp;"*Zone People Number Of Occupants [](Hourly)",'Eplus results'!$1:$1048576,ROW(),FALSE)</f>
        <v>0</v>
      </c>
      <c r="AC7277" s="580">
        <f>HLOOKUP("*"&amp;'Output annual'!$AC$2&amp;'Output annual'!$AD$2&amp;"*FangerPMV(Hourly)",'Eplus results'!$1:$1048576,ROW(),FALSE)</f>
        <v>0</v>
      </c>
      <c r="AD7277" s="580">
        <f t="shared" si="601"/>
        <v>5</v>
      </c>
      <c r="AE7277" s="580">
        <f t="shared" si="602"/>
        <v>2.5</v>
      </c>
      <c r="AF7277" s="580">
        <f t="shared" si="603"/>
        <v>2.5</v>
      </c>
      <c r="AG7277" s="580">
        <f t="shared" si="604"/>
        <v>0</v>
      </c>
      <c r="AH7277" s="580">
        <f t="shared" si="605"/>
        <v>0</v>
      </c>
    </row>
    <row r="7278" spans="28:34">
      <c r="AB7278" s="580">
        <f>HLOOKUP("*"&amp;'Output annual'!$AC$2&amp;'Output annual'!$AD$2&amp;"*Zone People Number Of Occupants [](Hourly)",'Eplus results'!$1:$1048576,ROW(),FALSE)</f>
        <v>0</v>
      </c>
      <c r="AC7278" s="580">
        <f>HLOOKUP("*"&amp;'Output annual'!$AC$2&amp;'Output annual'!$AD$2&amp;"*FangerPMV(Hourly)",'Eplus results'!$1:$1048576,ROW(),FALSE)</f>
        <v>0</v>
      </c>
      <c r="AD7278" s="580">
        <f t="shared" si="601"/>
        <v>5</v>
      </c>
      <c r="AE7278" s="580">
        <f t="shared" si="602"/>
        <v>2.5</v>
      </c>
      <c r="AF7278" s="580">
        <f t="shared" si="603"/>
        <v>2.5</v>
      </c>
      <c r="AG7278" s="580">
        <f t="shared" si="604"/>
        <v>0</v>
      </c>
      <c r="AH7278" s="580">
        <f t="shared" si="605"/>
        <v>0</v>
      </c>
    </row>
    <row r="7279" spans="28:34">
      <c r="AB7279" s="580">
        <f>HLOOKUP("*"&amp;'Output annual'!$AC$2&amp;'Output annual'!$AD$2&amp;"*Zone People Number Of Occupants [](Hourly)",'Eplus results'!$1:$1048576,ROW(),FALSE)</f>
        <v>0</v>
      </c>
      <c r="AC7279" s="580">
        <f>HLOOKUP("*"&amp;'Output annual'!$AC$2&amp;'Output annual'!$AD$2&amp;"*FangerPMV(Hourly)",'Eplus results'!$1:$1048576,ROW(),FALSE)</f>
        <v>0</v>
      </c>
      <c r="AD7279" s="580">
        <f t="shared" si="601"/>
        <v>5</v>
      </c>
      <c r="AE7279" s="580">
        <f t="shared" si="602"/>
        <v>2.5</v>
      </c>
      <c r="AF7279" s="580">
        <f t="shared" si="603"/>
        <v>2.5</v>
      </c>
      <c r="AG7279" s="580">
        <f t="shared" si="604"/>
        <v>0</v>
      </c>
      <c r="AH7279" s="580">
        <f t="shared" si="605"/>
        <v>0</v>
      </c>
    </row>
    <row r="7280" spans="28:34">
      <c r="AB7280" s="580">
        <f>HLOOKUP("*"&amp;'Output annual'!$AC$2&amp;'Output annual'!$AD$2&amp;"*Zone People Number Of Occupants [](Hourly)",'Eplus results'!$1:$1048576,ROW(),FALSE)</f>
        <v>0</v>
      </c>
      <c r="AC7280" s="580">
        <f>HLOOKUP("*"&amp;'Output annual'!$AC$2&amp;'Output annual'!$AD$2&amp;"*FangerPMV(Hourly)",'Eplus results'!$1:$1048576,ROW(),FALSE)</f>
        <v>0</v>
      </c>
      <c r="AD7280" s="580">
        <f t="shared" si="601"/>
        <v>5</v>
      </c>
      <c r="AE7280" s="580">
        <f t="shared" si="602"/>
        <v>2.5</v>
      </c>
      <c r="AF7280" s="580">
        <f t="shared" si="603"/>
        <v>2.5</v>
      </c>
      <c r="AG7280" s="580">
        <f t="shared" si="604"/>
        <v>0</v>
      </c>
      <c r="AH7280" s="580">
        <f t="shared" si="605"/>
        <v>0</v>
      </c>
    </row>
    <row r="7281" spans="28:34">
      <c r="AB7281" s="580">
        <f>HLOOKUP("*"&amp;'Output annual'!$AC$2&amp;'Output annual'!$AD$2&amp;"*Zone People Number Of Occupants [](Hourly)",'Eplus results'!$1:$1048576,ROW(),FALSE)</f>
        <v>0</v>
      </c>
      <c r="AC7281" s="580">
        <f>HLOOKUP("*"&amp;'Output annual'!$AC$2&amp;'Output annual'!$AD$2&amp;"*FangerPMV(Hourly)",'Eplus results'!$1:$1048576,ROW(),FALSE)</f>
        <v>0</v>
      </c>
      <c r="AD7281" s="580">
        <f t="shared" si="601"/>
        <v>5</v>
      </c>
      <c r="AE7281" s="580">
        <f t="shared" si="602"/>
        <v>2.5</v>
      </c>
      <c r="AF7281" s="580">
        <f t="shared" si="603"/>
        <v>2.5</v>
      </c>
      <c r="AG7281" s="580">
        <f t="shared" si="604"/>
        <v>0</v>
      </c>
      <c r="AH7281" s="580">
        <f t="shared" si="605"/>
        <v>0</v>
      </c>
    </row>
    <row r="7282" spans="28:34">
      <c r="AB7282" s="580">
        <f>HLOOKUP("*"&amp;'Output annual'!$AC$2&amp;'Output annual'!$AD$2&amp;"*Zone People Number Of Occupants [](Hourly)",'Eplus results'!$1:$1048576,ROW(),FALSE)</f>
        <v>0</v>
      </c>
      <c r="AC7282" s="580">
        <f>HLOOKUP("*"&amp;'Output annual'!$AC$2&amp;'Output annual'!$AD$2&amp;"*FangerPMV(Hourly)",'Eplus results'!$1:$1048576,ROW(),FALSE)</f>
        <v>0</v>
      </c>
      <c r="AD7282" s="580">
        <f t="shared" si="601"/>
        <v>5</v>
      </c>
      <c r="AE7282" s="580">
        <f t="shared" si="602"/>
        <v>2.5</v>
      </c>
      <c r="AF7282" s="580">
        <f t="shared" si="603"/>
        <v>2.5</v>
      </c>
      <c r="AG7282" s="580">
        <f t="shared" si="604"/>
        <v>0</v>
      </c>
      <c r="AH7282" s="580">
        <f t="shared" si="605"/>
        <v>0</v>
      </c>
    </row>
    <row r="7283" spans="28:34">
      <c r="AB7283" s="580">
        <f>HLOOKUP("*"&amp;'Output annual'!$AC$2&amp;'Output annual'!$AD$2&amp;"*Zone People Number Of Occupants [](Hourly)",'Eplus results'!$1:$1048576,ROW(),FALSE)</f>
        <v>0</v>
      </c>
      <c r="AC7283" s="580">
        <f>HLOOKUP("*"&amp;'Output annual'!$AC$2&amp;'Output annual'!$AD$2&amp;"*FangerPMV(Hourly)",'Eplus results'!$1:$1048576,ROW(),FALSE)</f>
        <v>0</v>
      </c>
      <c r="AD7283" s="580">
        <f t="shared" si="601"/>
        <v>5</v>
      </c>
      <c r="AE7283" s="580">
        <f t="shared" si="602"/>
        <v>2.5</v>
      </c>
      <c r="AF7283" s="580">
        <f t="shared" si="603"/>
        <v>2.5</v>
      </c>
      <c r="AG7283" s="580">
        <f t="shared" si="604"/>
        <v>0</v>
      </c>
      <c r="AH7283" s="580">
        <f t="shared" si="605"/>
        <v>0</v>
      </c>
    </row>
    <row r="7284" spans="28:34">
      <c r="AB7284" s="580">
        <f>HLOOKUP("*"&amp;'Output annual'!$AC$2&amp;'Output annual'!$AD$2&amp;"*Zone People Number Of Occupants [](Hourly)",'Eplus results'!$1:$1048576,ROW(),FALSE)</f>
        <v>0</v>
      </c>
      <c r="AC7284" s="580">
        <f>HLOOKUP("*"&amp;'Output annual'!$AC$2&amp;'Output annual'!$AD$2&amp;"*FangerPMV(Hourly)",'Eplus results'!$1:$1048576,ROW(),FALSE)</f>
        <v>0</v>
      </c>
      <c r="AD7284" s="580">
        <f t="shared" si="601"/>
        <v>5</v>
      </c>
      <c r="AE7284" s="580">
        <f t="shared" si="602"/>
        <v>2.5</v>
      </c>
      <c r="AF7284" s="580">
        <f t="shared" si="603"/>
        <v>2.5</v>
      </c>
      <c r="AG7284" s="580">
        <f t="shared" si="604"/>
        <v>0</v>
      </c>
      <c r="AH7284" s="580">
        <f t="shared" si="605"/>
        <v>0</v>
      </c>
    </row>
    <row r="7285" spans="28:34">
      <c r="AB7285" s="580">
        <f>HLOOKUP("*"&amp;'Output annual'!$AC$2&amp;'Output annual'!$AD$2&amp;"*Zone People Number Of Occupants [](Hourly)",'Eplus results'!$1:$1048576,ROW(),FALSE)</f>
        <v>0</v>
      </c>
      <c r="AC7285" s="580">
        <f>HLOOKUP("*"&amp;'Output annual'!$AC$2&amp;'Output annual'!$AD$2&amp;"*FangerPMV(Hourly)",'Eplus results'!$1:$1048576,ROW(),FALSE)</f>
        <v>0</v>
      </c>
      <c r="AD7285" s="580">
        <f t="shared" si="601"/>
        <v>5</v>
      </c>
      <c r="AE7285" s="580">
        <f t="shared" si="602"/>
        <v>2.5</v>
      </c>
      <c r="AF7285" s="580">
        <f t="shared" si="603"/>
        <v>2.5</v>
      </c>
      <c r="AG7285" s="580">
        <f t="shared" si="604"/>
        <v>0</v>
      </c>
      <c r="AH7285" s="580">
        <f t="shared" si="605"/>
        <v>0</v>
      </c>
    </row>
    <row r="7286" spans="28:34">
      <c r="AB7286" s="580">
        <f>HLOOKUP("*"&amp;'Output annual'!$AC$2&amp;'Output annual'!$AD$2&amp;"*Zone People Number Of Occupants [](Hourly)",'Eplus results'!$1:$1048576,ROW(),FALSE)</f>
        <v>0</v>
      </c>
      <c r="AC7286" s="580">
        <f>HLOOKUP("*"&amp;'Output annual'!$AC$2&amp;'Output annual'!$AD$2&amp;"*FangerPMV(Hourly)",'Eplus results'!$1:$1048576,ROW(),FALSE)</f>
        <v>0</v>
      </c>
      <c r="AD7286" s="580">
        <f t="shared" si="601"/>
        <v>5</v>
      </c>
      <c r="AE7286" s="580">
        <f t="shared" si="602"/>
        <v>2.5</v>
      </c>
      <c r="AF7286" s="580">
        <f t="shared" si="603"/>
        <v>2.5</v>
      </c>
      <c r="AG7286" s="580">
        <f t="shared" si="604"/>
        <v>0</v>
      </c>
      <c r="AH7286" s="580">
        <f t="shared" si="605"/>
        <v>0</v>
      </c>
    </row>
    <row r="7287" spans="28:34">
      <c r="AB7287" s="580">
        <f>HLOOKUP("*"&amp;'Output annual'!$AC$2&amp;'Output annual'!$AD$2&amp;"*Zone People Number Of Occupants [](Hourly)",'Eplus results'!$1:$1048576,ROW(),FALSE)</f>
        <v>0</v>
      </c>
      <c r="AC7287" s="580">
        <f>HLOOKUP("*"&amp;'Output annual'!$AC$2&amp;'Output annual'!$AD$2&amp;"*FangerPMV(Hourly)",'Eplus results'!$1:$1048576,ROW(),FALSE)</f>
        <v>0</v>
      </c>
      <c r="AD7287" s="580">
        <f t="shared" si="601"/>
        <v>5</v>
      </c>
      <c r="AE7287" s="580">
        <f t="shared" si="602"/>
        <v>2.5</v>
      </c>
      <c r="AF7287" s="580">
        <f t="shared" si="603"/>
        <v>2.5</v>
      </c>
      <c r="AG7287" s="580">
        <f t="shared" si="604"/>
        <v>0</v>
      </c>
      <c r="AH7287" s="580">
        <f t="shared" si="605"/>
        <v>0</v>
      </c>
    </row>
    <row r="7288" spans="28:34">
      <c r="AB7288" s="580">
        <f>HLOOKUP("*"&amp;'Output annual'!$AC$2&amp;'Output annual'!$AD$2&amp;"*Zone People Number Of Occupants [](Hourly)",'Eplus results'!$1:$1048576,ROW(),FALSE)</f>
        <v>0</v>
      </c>
      <c r="AC7288" s="580">
        <f>HLOOKUP("*"&amp;'Output annual'!$AC$2&amp;'Output annual'!$AD$2&amp;"*FangerPMV(Hourly)",'Eplus results'!$1:$1048576,ROW(),FALSE)</f>
        <v>0</v>
      </c>
      <c r="AD7288" s="580">
        <f t="shared" si="601"/>
        <v>5</v>
      </c>
      <c r="AE7288" s="580">
        <f t="shared" si="602"/>
        <v>2.5</v>
      </c>
      <c r="AF7288" s="580">
        <f t="shared" si="603"/>
        <v>2.5</v>
      </c>
      <c r="AG7288" s="580">
        <f t="shared" si="604"/>
        <v>0</v>
      </c>
      <c r="AH7288" s="580">
        <f t="shared" si="605"/>
        <v>0</v>
      </c>
    </row>
    <row r="7289" spans="28:34">
      <c r="AB7289" s="580">
        <f>HLOOKUP("*"&amp;'Output annual'!$AC$2&amp;'Output annual'!$AD$2&amp;"*Zone People Number Of Occupants [](Hourly)",'Eplus results'!$1:$1048576,ROW(),FALSE)</f>
        <v>0</v>
      </c>
      <c r="AC7289" s="580">
        <f>HLOOKUP("*"&amp;'Output annual'!$AC$2&amp;'Output annual'!$AD$2&amp;"*FangerPMV(Hourly)",'Eplus results'!$1:$1048576,ROW(),FALSE)</f>
        <v>0</v>
      </c>
      <c r="AD7289" s="580">
        <f t="shared" si="601"/>
        <v>5</v>
      </c>
      <c r="AE7289" s="580">
        <f t="shared" si="602"/>
        <v>2.5</v>
      </c>
      <c r="AF7289" s="580">
        <f t="shared" si="603"/>
        <v>2.5</v>
      </c>
      <c r="AG7289" s="580">
        <f t="shared" si="604"/>
        <v>0</v>
      </c>
      <c r="AH7289" s="580">
        <f t="shared" si="605"/>
        <v>0</v>
      </c>
    </row>
    <row r="7290" spans="28:34">
      <c r="AB7290" s="580">
        <f>HLOOKUP("*"&amp;'Output annual'!$AC$2&amp;'Output annual'!$AD$2&amp;"*Zone People Number Of Occupants [](Hourly)",'Eplus results'!$1:$1048576,ROW(),FALSE)</f>
        <v>0</v>
      </c>
      <c r="AC7290" s="580">
        <f>HLOOKUP("*"&amp;'Output annual'!$AC$2&amp;'Output annual'!$AD$2&amp;"*FangerPMV(Hourly)",'Eplus results'!$1:$1048576,ROW(),FALSE)</f>
        <v>0</v>
      </c>
      <c r="AD7290" s="580">
        <f t="shared" si="601"/>
        <v>5</v>
      </c>
      <c r="AE7290" s="580">
        <f t="shared" si="602"/>
        <v>2.5</v>
      </c>
      <c r="AF7290" s="580">
        <f t="shared" si="603"/>
        <v>2.5</v>
      </c>
      <c r="AG7290" s="580">
        <f t="shared" si="604"/>
        <v>0</v>
      </c>
      <c r="AH7290" s="580">
        <f t="shared" si="605"/>
        <v>0</v>
      </c>
    </row>
    <row r="7291" spans="28:34">
      <c r="AB7291" s="580">
        <f>HLOOKUP("*"&amp;'Output annual'!$AC$2&amp;'Output annual'!$AD$2&amp;"*Zone People Number Of Occupants [](Hourly)",'Eplus results'!$1:$1048576,ROW(),FALSE)</f>
        <v>0</v>
      </c>
      <c r="AC7291" s="580">
        <f>HLOOKUP("*"&amp;'Output annual'!$AC$2&amp;'Output annual'!$AD$2&amp;"*FangerPMV(Hourly)",'Eplus results'!$1:$1048576,ROW(),FALSE)</f>
        <v>0</v>
      </c>
      <c r="AD7291" s="580">
        <f t="shared" si="601"/>
        <v>5</v>
      </c>
      <c r="AE7291" s="580">
        <f t="shared" si="602"/>
        <v>2.5</v>
      </c>
      <c r="AF7291" s="580">
        <f t="shared" si="603"/>
        <v>2.5</v>
      </c>
      <c r="AG7291" s="580">
        <f t="shared" si="604"/>
        <v>0</v>
      </c>
      <c r="AH7291" s="580">
        <f t="shared" si="605"/>
        <v>0</v>
      </c>
    </row>
    <row r="7292" spans="28:34">
      <c r="AB7292" s="580">
        <f>HLOOKUP("*"&amp;'Output annual'!$AC$2&amp;'Output annual'!$AD$2&amp;"*Zone People Number Of Occupants [](Hourly)",'Eplus results'!$1:$1048576,ROW(),FALSE)</f>
        <v>0</v>
      </c>
      <c r="AC7292" s="580">
        <f>HLOOKUP("*"&amp;'Output annual'!$AC$2&amp;'Output annual'!$AD$2&amp;"*FangerPMV(Hourly)",'Eplus results'!$1:$1048576,ROW(),FALSE)</f>
        <v>0</v>
      </c>
      <c r="AD7292" s="580">
        <f t="shared" si="601"/>
        <v>5</v>
      </c>
      <c r="AE7292" s="580">
        <f t="shared" si="602"/>
        <v>2.5</v>
      </c>
      <c r="AF7292" s="580">
        <f t="shared" si="603"/>
        <v>2.5</v>
      </c>
      <c r="AG7292" s="580">
        <f t="shared" si="604"/>
        <v>0</v>
      </c>
      <c r="AH7292" s="580">
        <f t="shared" si="605"/>
        <v>0</v>
      </c>
    </row>
    <row r="7293" spans="28:34">
      <c r="AB7293" s="580">
        <f>HLOOKUP("*"&amp;'Output annual'!$AC$2&amp;'Output annual'!$AD$2&amp;"*Zone People Number Of Occupants [](Hourly)",'Eplus results'!$1:$1048576,ROW(),FALSE)</f>
        <v>0</v>
      </c>
      <c r="AC7293" s="580">
        <f>HLOOKUP("*"&amp;'Output annual'!$AC$2&amp;'Output annual'!$AD$2&amp;"*FangerPMV(Hourly)",'Eplus results'!$1:$1048576,ROW(),FALSE)</f>
        <v>0</v>
      </c>
      <c r="AD7293" s="580">
        <f t="shared" si="601"/>
        <v>5</v>
      </c>
      <c r="AE7293" s="580">
        <f t="shared" si="602"/>
        <v>2.5</v>
      </c>
      <c r="AF7293" s="580">
        <f t="shared" si="603"/>
        <v>2.5</v>
      </c>
      <c r="AG7293" s="580">
        <f t="shared" si="604"/>
        <v>0</v>
      </c>
      <c r="AH7293" s="580">
        <f t="shared" si="605"/>
        <v>0</v>
      </c>
    </row>
    <row r="7294" spans="28:34">
      <c r="AB7294" s="580">
        <f>HLOOKUP("*"&amp;'Output annual'!$AC$2&amp;'Output annual'!$AD$2&amp;"*Zone People Number Of Occupants [](Hourly)",'Eplus results'!$1:$1048576,ROW(),FALSE)</f>
        <v>0</v>
      </c>
      <c r="AC7294" s="580">
        <f>HLOOKUP("*"&amp;'Output annual'!$AC$2&amp;'Output annual'!$AD$2&amp;"*FangerPMV(Hourly)",'Eplus results'!$1:$1048576,ROW(),FALSE)</f>
        <v>0</v>
      </c>
      <c r="AD7294" s="580">
        <f t="shared" si="601"/>
        <v>5</v>
      </c>
      <c r="AE7294" s="580">
        <f t="shared" si="602"/>
        <v>2.5</v>
      </c>
      <c r="AF7294" s="580">
        <f t="shared" si="603"/>
        <v>2.5</v>
      </c>
      <c r="AG7294" s="580">
        <f t="shared" si="604"/>
        <v>0</v>
      </c>
      <c r="AH7294" s="580">
        <f t="shared" si="605"/>
        <v>0</v>
      </c>
    </row>
    <row r="7295" spans="28:34">
      <c r="AB7295" s="580">
        <f>HLOOKUP("*"&amp;'Output annual'!$AC$2&amp;'Output annual'!$AD$2&amp;"*Zone People Number Of Occupants [](Hourly)",'Eplus results'!$1:$1048576,ROW(),FALSE)</f>
        <v>0</v>
      </c>
      <c r="AC7295" s="580">
        <f>HLOOKUP("*"&amp;'Output annual'!$AC$2&amp;'Output annual'!$AD$2&amp;"*FangerPMV(Hourly)",'Eplus results'!$1:$1048576,ROW(),FALSE)</f>
        <v>0</v>
      </c>
      <c r="AD7295" s="580">
        <f t="shared" si="601"/>
        <v>5</v>
      </c>
      <c r="AE7295" s="580">
        <f t="shared" si="602"/>
        <v>2.5</v>
      </c>
      <c r="AF7295" s="580">
        <f t="shared" si="603"/>
        <v>2.5</v>
      </c>
      <c r="AG7295" s="580">
        <f t="shared" si="604"/>
        <v>0</v>
      </c>
      <c r="AH7295" s="580">
        <f t="shared" si="605"/>
        <v>0</v>
      </c>
    </row>
    <row r="7296" spans="28:34">
      <c r="AB7296" s="580">
        <f>HLOOKUP("*"&amp;'Output annual'!$AC$2&amp;'Output annual'!$AD$2&amp;"*Zone People Number Of Occupants [](Hourly)",'Eplus results'!$1:$1048576,ROW(),FALSE)</f>
        <v>0</v>
      </c>
      <c r="AC7296" s="580">
        <f>HLOOKUP("*"&amp;'Output annual'!$AC$2&amp;'Output annual'!$AD$2&amp;"*FangerPMV(Hourly)",'Eplus results'!$1:$1048576,ROW(),FALSE)</f>
        <v>0</v>
      </c>
      <c r="AD7296" s="580">
        <f t="shared" si="601"/>
        <v>5</v>
      </c>
      <c r="AE7296" s="580">
        <f t="shared" si="602"/>
        <v>2.5</v>
      </c>
      <c r="AF7296" s="580">
        <f t="shared" si="603"/>
        <v>2.5</v>
      </c>
      <c r="AG7296" s="580">
        <f t="shared" si="604"/>
        <v>0</v>
      </c>
      <c r="AH7296" s="580">
        <f t="shared" si="605"/>
        <v>0</v>
      </c>
    </row>
    <row r="7297" spans="28:34">
      <c r="AB7297" s="580">
        <f>HLOOKUP("*"&amp;'Output annual'!$AC$2&amp;'Output annual'!$AD$2&amp;"*Zone People Number Of Occupants [](Hourly)",'Eplus results'!$1:$1048576,ROW(),FALSE)</f>
        <v>0</v>
      </c>
      <c r="AC7297" s="580">
        <f>HLOOKUP("*"&amp;'Output annual'!$AC$2&amp;'Output annual'!$AD$2&amp;"*FangerPMV(Hourly)",'Eplus results'!$1:$1048576,ROW(),FALSE)</f>
        <v>0</v>
      </c>
      <c r="AD7297" s="580">
        <f t="shared" si="601"/>
        <v>5</v>
      </c>
      <c r="AE7297" s="580">
        <f t="shared" si="602"/>
        <v>2.5</v>
      </c>
      <c r="AF7297" s="580">
        <f t="shared" si="603"/>
        <v>2.5</v>
      </c>
      <c r="AG7297" s="580">
        <f t="shared" si="604"/>
        <v>0</v>
      </c>
      <c r="AH7297" s="580">
        <f t="shared" si="605"/>
        <v>0</v>
      </c>
    </row>
    <row r="7298" spans="28:34">
      <c r="AB7298" s="580">
        <f>HLOOKUP("*"&amp;'Output annual'!$AC$2&amp;'Output annual'!$AD$2&amp;"*Zone People Number Of Occupants [](Hourly)",'Eplus results'!$1:$1048576,ROW(),FALSE)</f>
        <v>0</v>
      </c>
      <c r="AC7298" s="580">
        <f>HLOOKUP("*"&amp;'Output annual'!$AC$2&amp;'Output annual'!$AD$2&amp;"*FangerPMV(Hourly)",'Eplus results'!$1:$1048576,ROW(),FALSE)</f>
        <v>0</v>
      </c>
      <c r="AD7298" s="580">
        <f t="shared" si="601"/>
        <v>5</v>
      </c>
      <c r="AE7298" s="580">
        <f t="shared" si="602"/>
        <v>2.5</v>
      </c>
      <c r="AF7298" s="580">
        <f t="shared" si="603"/>
        <v>2.5</v>
      </c>
      <c r="AG7298" s="580">
        <f t="shared" si="604"/>
        <v>0</v>
      </c>
      <c r="AH7298" s="580">
        <f t="shared" si="605"/>
        <v>0</v>
      </c>
    </row>
    <row r="7299" spans="28:34">
      <c r="AB7299" s="580">
        <f>HLOOKUP("*"&amp;'Output annual'!$AC$2&amp;'Output annual'!$AD$2&amp;"*Zone People Number Of Occupants [](Hourly)",'Eplus results'!$1:$1048576,ROW(),FALSE)</f>
        <v>0</v>
      </c>
      <c r="AC7299" s="580">
        <f>HLOOKUP("*"&amp;'Output annual'!$AC$2&amp;'Output annual'!$AD$2&amp;"*FangerPMV(Hourly)",'Eplus results'!$1:$1048576,ROW(),FALSE)</f>
        <v>0</v>
      </c>
      <c r="AD7299" s="580">
        <f t="shared" ref="AD7299:AD7362" si="606">100-95*EXP(-0.03353*AC7299^4-0.2179*AC7299^2)</f>
        <v>5</v>
      </c>
      <c r="AE7299" s="580">
        <f t="shared" ref="AE7299:AE7362" si="607">AD7299*(1/(1+EXP(-6.3*$AC7299)))</f>
        <v>2.5</v>
      </c>
      <c r="AF7299" s="580">
        <f t="shared" ref="AF7299:AF7362" si="608">(AD7299-AE7299)</f>
        <v>2.5</v>
      </c>
      <c r="AG7299" s="580">
        <f t="shared" ref="AG7299:AG7362" si="609">AE7299*AB7299</f>
        <v>0</v>
      </c>
      <c r="AH7299" s="580">
        <f t="shared" ref="AH7299:AH7362" si="610">AF7299*AB7299</f>
        <v>0</v>
      </c>
    </row>
    <row r="7300" spans="28:34">
      <c r="AB7300" s="580">
        <f>HLOOKUP("*"&amp;'Output annual'!$AC$2&amp;'Output annual'!$AD$2&amp;"*Zone People Number Of Occupants [](Hourly)",'Eplus results'!$1:$1048576,ROW(),FALSE)</f>
        <v>0</v>
      </c>
      <c r="AC7300" s="580">
        <f>HLOOKUP("*"&amp;'Output annual'!$AC$2&amp;'Output annual'!$AD$2&amp;"*FangerPMV(Hourly)",'Eplus results'!$1:$1048576,ROW(),FALSE)</f>
        <v>0</v>
      </c>
      <c r="AD7300" s="580">
        <f t="shared" si="606"/>
        <v>5</v>
      </c>
      <c r="AE7300" s="580">
        <f t="shared" si="607"/>
        <v>2.5</v>
      </c>
      <c r="AF7300" s="580">
        <f t="shared" si="608"/>
        <v>2.5</v>
      </c>
      <c r="AG7300" s="580">
        <f t="shared" si="609"/>
        <v>0</v>
      </c>
      <c r="AH7300" s="580">
        <f t="shared" si="610"/>
        <v>0</v>
      </c>
    </row>
    <row r="7301" spans="28:34">
      <c r="AB7301" s="580">
        <f>HLOOKUP("*"&amp;'Output annual'!$AC$2&amp;'Output annual'!$AD$2&amp;"*Zone People Number Of Occupants [](Hourly)",'Eplus results'!$1:$1048576,ROW(),FALSE)</f>
        <v>0</v>
      </c>
      <c r="AC7301" s="580">
        <f>HLOOKUP("*"&amp;'Output annual'!$AC$2&amp;'Output annual'!$AD$2&amp;"*FangerPMV(Hourly)",'Eplus results'!$1:$1048576,ROW(),FALSE)</f>
        <v>0</v>
      </c>
      <c r="AD7301" s="580">
        <f t="shared" si="606"/>
        <v>5</v>
      </c>
      <c r="AE7301" s="580">
        <f t="shared" si="607"/>
        <v>2.5</v>
      </c>
      <c r="AF7301" s="580">
        <f t="shared" si="608"/>
        <v>2.5</v>
      </c>
      <c r="AG7301" s="580">
        <f t="shared" si="609"/>
        <v>0</v>
      </c>
      <c r="AH7301" s="580">
        <f t="shared" si="610"/>
        <v>0</v>
      </c>
    </row>
    <row r="7302" spans="28:34">
      <c r="AB7302" s="580">
        <f>HLOOKUP("*"&amp;'Output annual'!$AC$2&amp;'Output annual'!$AD$2&amp;"*Zone People Number Of Occupants [](Hourly)",'Eplus results'!$1:$1048576,ROW(),FALSE)</f>
        <v>0</v>
      </c>
      <c r="AC7302" s="580">
        <f>HLOOKUP("*"&amp;'Output annual'!$AC$2&amp;'Output annual'!$AD$2&amp;"*FangerPMV(Hourly)",'Eplus results'!$1:$1048576,ROW(),FALSE)</f>
        <v>0</v>
      </c>
      <c r="AD7302" s="580">
        <f t="shared" si="606"/>
        <v>5</v>
      </c>
      <c r="AE7302" s="580">
        <f t="shared" si="607"/>
        <v>2.5</v>
      </c>
      <c r="AF7302" s="580">
        <f t="shared" si="608"/>
        <v>2.5</v>
      </c>
      <c r="AG7302" s="580">
        <f t="shared" si="609"/>
        <v>0</v>
      </c>
      <c r="AH7302" s="580">
        <f t="shared" si="610"/>
        <v>0</v>
      </c>
    </row>
    <row r="7303" spans="28:34">
      <c r="AB7303" s="580">
        <f>HLOOKUP("*"&amp;'Output annual'!$AC$2&amp;'Output annual'!$AD$2&amp;"*Zone People Number Of Occupants [](Hourly)",'Eplus results'!$1:$1048576,ROW(),FALSE)</f>
        <v>0</v>
      </c>
      <c r="AC7303" s="580">
        <f>HLOOKUP("*"&amp;'Output annual'!$AC$2&amp;'Output annual'!$AD$2&amp;"*FangerPMV(Hourly)",'Eplus results'!$1:$1048576,ROW(),FALSE)</f>
        <v>0</v>
      </c>
      <c r="AD7303" s="580">
        <f t="shared" si="606"/>
        <v>5</v>
      </c>
      <c r="AE7303" s="580">
        <f t="shared" si="607"/>
        <v>2.5</v>
      </c>
      <c r="AF7303" s="580">
        <f t="shared" si="608"/>
        <v>2.5</v>
      </c>
      <c r="AG7303" s="580">
        <f t="shared" si="609"/>
        <v>0</v>
      </c>
      <c r="AH7303" s="580">
        <f t="shared" si="610"/>
        <v>0</v>
      </c>
    </row>
    <row r="7304" spans="28:34">
      <c r="AB7304" s="580">
        <f>HLOOKUP("*"&amp;'Output annual'!$AC$2&amp;'Output annual'!$AD$2&amp;"*Zone People Number Of Occupants [](Hourly)",'Eplus results'!$1:$1048576,ROW(),FALSE)</f>
        <v>0</v>
      </c>
      <c r="AC7304" s="580">
        <f>HLOOKUP("*"&amp;'Output annual'!$AC$2&amp;'Output annual'!$AD$2&amp;"*FangerPMV(Hourly)",'Eplus results'!$1:$1048576,ROW(),FALSE)</f>
        <v>0</v>
      </c>
      <c r="AD7304" s="580">
        <f t="shared" si="606"/>
        <v>5</v>
      </c>
      <c r="AE7304" s="580">
        <f t="shared" si="607"/>
        <v>2.5</v>
      </c>
      <c r="AF7304" s="580">
        <f t="shared" si="608"/>
        <v>2.5</v>
      </c>
      <c r="AG7304" s="580">
        <f t="shared" si="609"/>
        <v>0</v>
      </c>
      <c r="AH7304" s="580">
        <f t="shared" si="610"/>
        <v>0</v>
      </c>
    </row>
    <row r="7305" spans="28:34">
      <c r="AB7305" s="580">
        <f>HLOOKUP("*"&amp;'Output annual'!$AC$2&amp;'Output annual'!$AD$2&amp;"*Zone People Number Of Occupants [](Hourly)",'Eplus results'!$1:$1048576,ROW(),FALSE)</f>
        <v>0</v>
      </c>
      <c r="AC7305" s="580">
        <f>HLOOKUP("*"&amp;'Output annual'!$AC$2&amp;'Output annual'!$AD$2&amp;"*FangerPMV(Hourly)",'Eplus results'!$1:$1048576,ROW(),FALSE)</f>
        <v>0</v>
      </c>
      <c r="AD7305" s="580">
        <f t="shared" si="606"/>
        <v>5</v>
      </c>
      <c r="AE7305" s="580">
        <f t="shared" si="607"/>
        <v>2.5</v>
      </c>
      <c r="AF7305" s="580">
        <f t="shared" si="608"/>
        <v>2.5</v>
      </c>
      <c r="AG7305" s="580">
        <f t="shared" si="609"/>
        <v>0</v>
      </c>
      <c r="AH7305" s="580">
        <f t="shared" si="610"/>
        <v>0</v>
      </c>
    </row>
    <row r="7306" spans="28:34">
      <c r="AB7306" s="580">
        <f>HLOOKUP("*"&amp;'Output annual'!$AC$2&amp;'Output annual'!$AD$2&amp;"*Zone People Number Of Occupants [](Hourly)",'Eplus results'!$1:$1048576,ROW(),FALSE)</f>
        <v>0</v>
      </c>
      <c r="AC7306" s="580">
        <f>HLOOKUP("*"&amp;'Output annual'!$AC$2&amp;'Output annual'!$AD$2&amp;"*FangerPMV(Hourly)",'Eplus results'!$1:$1048576,ROW(),FALSE)</f>
        <v>0</v>
      </c>
      <c r="AD7306" s="580">
        <f t="shared" si="606"/>
        <v>5</v>
      </c>
      <c r="AE7306" s="580">
        <f t="shared" si="607"/>
        <v>2.5</v>
      </c>
      <c r="AF7306" s="580">
        <f t="shared" si="608"/>
        <v>2.5</v>
      </c>
      <c r="AG7306" s="580">
        <f t="shared" si="609"/>
        <v>0</v>
      </c>
      <c r="AH7306" s="580">
        <f t="shared" si="610"/>
        <v>0</v>
      </c>
    </row>
    <row r="7307" spans="28:34">
      <c r="AB7307" s="580">
        <f>HLOOKUP("*"&amp;'Output annual'!$AC$2&amp;'Output annual'!$AD$2&amp;"*Zone People Number Of Occupants [](Hourly)",'Eplus results'!$1:$1048576,ROW(),FALSE)</f>
        <v>0</v>
      </c>
      <c r="AC7307" s="580">
        <f>HLOOKUP("*"&amp;'Output annual'!$AC$2&amp;'Output annual'!$AD$2&amp;"*FangerPMV(Hourly)",'Eplus results'!$1:$1048576,ROW(),FALSE)</f>
        <v>0</v>
      </c>
      <c r="AD7307" s="580">
        <f t="shared" si="606"/>
        <v>5</v>
      </c>
      <c r="AE7307" s="580">
        <f t="shared" si="607"/>
        <v>2.5</v>
      </c>
      <c r="AF7307" s="580">
        <f t="shared" si="608"/>
        <v>2.5</v>
      </c>
      <c r="AG7307" s="580">
        <f t="shared" si="609"/>
        <v>0</v>
      </c>
      <c r="AH7307" s="580">
        <f t="shared" si="610"/>
        <v>0</v>
      </c>
    </row>
    <row r="7308" spans="28:34">
      <c r="AB7308" s="580">
        <f>HLOOKUP("*"&amp;'Output annual'!$AC$2&amp;'Output annual'!$AD$2&amp;"*Zone People Number Of Occupants [](Hourly)",'Eplus results'!$1:$1048576,ROW(),FALSE)</f>
        <v>0</v>
      </c>
      <c r="AC7308" s="580">
        <f>HLOOKUP("*"&amp;'Output annual'!$AC$2&amp;'Output annual'!$AD$2&amp;"*FangerPMV(Hourly)",'Eplus results'!$1:$1048576,ROW(),FALSE)</f>
        <v>0</v>
      </c>
      <c r="AD7308" s="580">
        <f t="shared" si="606"/>
        <v>5</v>
      </c>
      <c r="AE7308" s="580">
        <f t="shared" si="607"/>
        <v>2.5</v>
      </c>
      <c r="AF7308" s="580">
        <f t="shared" si="608"/>
        <v>2.5</v>
      </c>
      <c r="AG7308" s="580">
        <f t="shared" si="609"/>
        <v>0</v>
      </c>
      <c r="AH7308" s="580">
        <f t="shared" si="610"/>
        <v>0</v>
      </c>
    </row>
    <row r="7309" spans="28:34">
      <c r="AB7309" s="580">
        <f>HLOOKUP("*"&amp;'Output annual'!$AC$2&amp;'Output annual'!$AD$2&amp;"*Zone People Number Of Occupants [](Hourly)",'Eplus results'!$1:$1048576,ROW(),FALSE)</f>
        <v>0</v>
      </c>
      <c r="AC7309" s="580">
        <f>HLOOKUP("*"&amp;'Output annual'!$AC$2&amp;'Output annual'!$AD$2&amp;"*FangerPMV(Hourly)",'Eplus results'!$1:$1048576,ROW(),FALSE)</f>
        <v>0</v>
      </c>
      <c r="AD7309" s="580">
        <f t="shared" si="606"/>
        <v>5</v>
      </c>
      <c r="AE7309" s="580">
        <f t="shared" si="607"/>
        <v>2.5</v>
      </c>
      <c r="AF7309" s="580">
        <f t="shared" si="608"/>
        <v>2.5</v>
      </c>
      <c r="AG7309" s="580">
        <f t="shared" si="609"/>
        <v>0</v>
      </c>
      <c r="AH7309" s="580">
        <f t="shared" si="610"/>
        <v>0</v>
      </c>
    </row>
    <row r="7310" spans="28:34">
      <c r="AB7310" s="580">
        <f>HLOOKUP("*"&amp;'Output annual'!$AC$2&amp;'Output annual'!$AD$2&amp;"*Zone People Number Of Occupants [](Hourly)",'Eplus results'!$1:$1048576,ROW(),FALSE)</f>
        <v>0</v>
      </c>
      <c r="AC7310" s="580">
        <f>HLOOKUP("*"&amp;'Output annual'!$AC$2&amp;'Output annual'!$AD$2&amp;"*FangerPMV(Hourly)",'Eplus results'!$1:$1048576,ROW(),FALSE)</f>
        <v>0</v>
      </c>
      <c r="AD7310" s="580">
        <f t="shared" si="606"/>
        <v>5</v>
      </c>
      <c r="AE7310" s="580">
        <f t="shared" si="607"/>
        <v>2.5</v>
      </c>
      <c r="AF7310" s="580">
        <f t="shared" si="608"/>
        <v>2.5</v>
      </c>
      <c r="AG7310" s="580">
        <f t="shared" si="609"/>
        <v>0</v>
      </c>
      <c r="AH7310" s="580">
        <f t="shared" si="610"/>
        <v>0</v>
      </c>
    </row>
    <row r="7311" spans="28:34">
      <c r="AB7311" s="580">
        <f>HLOOKUP("*"&amp;'Output annual'!$AC$2&amp;'Output annual'!$AD$2&amp;"*Zone People Number Of Occupants [](Hourly)",'Eplus results'!$1:$1048576,ROW(),FALSE)</f>
        <v>0</v>
      </c>
      <c r="AC7311" s="580">
        <f>HLOOKUP("*"&amp;'Output annual'!$AC$2&amp;'Output annual'!$AD$2&amp;"*FangerPMV(Hourly)",'Eplus results'!$1:$1048576,ROW(),FALSE)</f>
        <v>0</v>
      </c>
      <c r="AD7311" s="580">
        <f t="shared" si="606"/>
        <v>5</v>
      </c>
      <c r="AE7311" s="580">
        <f t="shared" si="607"/>
        <v>2.5</v>
      </c>
      <c r="AF7311" s="580">
        <f t="shared" si="608"/>
        <v>2.5</v>
      </c>
      <c r="AG7311" s="580">
        <f t="shared" si="609"/>
        <v>0</v>
      </c>
      <c r="AH7311" s="580">
        <f t="shared" si="610"/>
        <v>0</v>
      </c>
    </row>
    <row r="7312" spans="28:34">
      <c r="AB7312" s="580">
        <f>HLOOKUP("*"&amp;'Output annual'!$AC$2&amp;'Output annual'!$AD$2&amp;"*Zone People Number Of Occupants [](Hourly)",'Eplus results'!$1:$1048576,ROW(),FALSE)</f>
        <v>0</v>
      </c>
      <c r="AC7312" s="580">
        <f>HLOOKUP("*"&amp;'Output annual'!$AC$2&amp;'Output annual'!$AD$2&amp;"*FangerPMV(Hourly)",'Eplus results'!$1:$1048576,ROW(),FALSE)</f>
        <v>0</v>
      </c>
      <c r="AD7312" s="580">
        <f t="shared" si="606"/>
        <v>5</v>
      </c>
      <c r="AE7312" s="580">
        <f t="shared" si="607"/>
        <v>2.5</v>
      </c>
      <c r="AF7312" s="580">
        <f t="shared" si="608"/>
        <v>2.5</v>
      </c>
      <c r="AG7312" s="580">
        <f t="shared" si="609"/>
        <v>0</v>
      </c>
      <c r="AH7312" s="580">
        <f t="shared" si="610"/>
        <v>0</v>
      </c>
    </row>
    <row r="7313" spans="28:34">
      <c r="AB7313" s="580">
        <f>HLOOKUP("*"&amp;'Output annual'!$AC$2&amp;'Output annual'!$AD$2&amp;"*Zone People Number Of Occupants [](Hourly)",'Eplus results'!$1:$1048576,ROW(),FALSE)</f>
        <v>0</v>
      </c>
      <c r="AC7313" s="580">
        <f>HLOOKUP("*"&amp;'Output annual'!$AC$2&amp;'Output annual'!$AD$2&amp;"*FangerPMV(Hourly)",'Eplus results'!$1:$1048576,ROW(),FALSE)</f>
        <v>0</v>
      </c>
      <c r="AD7313" s="580">
        <f t="shared" si="606"/>
        <v>5</v>
      </c>
      <c r="AE7313" s="580">
        <f t="shared" si="607"/>
        <v>2.5</v>
      </c>
      <c r="AF7313" s="580">
        <f t="shared" si="608"/>
        <v>2.5</v>
      </c>
      <c r="AG7313" s="580">
        <f t="shared" si="609"/>
        <v>0</v>
      </c>
      <c r="AH7313" s="580">
        <f t="shared" si="610"/>
        <v>0</v>
      </c>
    </row>
    <row r="7314" spans="28:34">
      <c r="AB7314" s="580">
        <f>HLOOKUP("*"&amp;'Output annual'!$AC$2&amp;'Output annual'!$AD$2&amp;"*Zone People Number Of Occupants [](Hourly)",'Eplus results'!$1:$1048576,ROW(),FALSE)</f>
        <v>0</v>
      </c>
      <c r="AC7314" s="580">
        <f>HLOOKUP("*"&amp;'Output annual'!$AC$2&amp;'Output annual'!$AD$2&amp;"*FangerPMV(Hourly)",'Eplus results'!$1:$1048576,ROW(),FALSE)</f>
        <v>0</v>
      </c>
      <c r="AD7314" s="580">
        <f t="shared" si="606"/>
        <v>5</v>
      </c>
      <c r="AE7314" s="580">
        <f t="shared" si="607"/>
        <v>2.5</v>
      </c>
      <c r="AF7314" s="580">
        <f t="shared" si="608"/>
        <v>2.5</v>
      </c>
      <c r="AG7314" s="580">
        <f t="shared" si="609"/>
        <v>0</v>
      </c>
      <c r="AH7314" s="580">
        <f t="shared" si="610"/>
        <v>0</v>
      </c>
    </row>
    <row r="7315" spans="28:34">
      <c r="AB7315" s="580">
        <f>HLOOKUP("*"&amp;'Output annual'!$AC$2&amp;'Output annual'!$AD$2&amp;"*Zone People Number Of Occupants [](Hourly)",'Eplus results'!$1:$1048576,ROW(),FALSE)</f>
        <v>0</v>
      </c>
      <c r="AC7315" s="580">
        <f>HLOOKUP("*"&amp;'Output annual'!$AC$2&amp;'Output annual'!$AD$2&amp;"*FangerPMV(Hourly)",'Eplus results'!$1:$1048576,ROW(),FALSE)</f>
        <v>0</v>
      </c>
      <c r="AD7315" s="580">
        <f t="shared" si="606"/>
        <v>5</v>
      </c>
      <c r="AE7315" s="580">
        <f t="shared" si="607"/>
        <v>2.5</v>
      </c>
      <c r="AF7315" s="580">
        <f t="shared" si="608"/>
        <v>2.5</v>
      </c>
      <c r="AG7315" s="580">
        <f t="shared" si="609"/>
        <v>0</v>
      </c>
      <c r="AH7315" s="580">
        <f t="shared" si="610"/>
        <v>0</v>
      </c>
    </row>
    <row r="7316" spans="28:34">
      <c r="AB7316" s="580">
        <f>HLOOKUP("*"&amp;'Output annual'!$AC$2&amp;'Output annual'!$AD$2&amp;"*Zone People Number Of Occupants [](Hourly)",'Eplus results'!$1:$1048576,ROW(),FALSE)</f>
        <v>0</v>
      </c>
      <c r="AC7316" s="580">
        <f>HLOOKUP("*"&amp;'Output annual'!$AC$2&amp;'Output annual'!$AD$2&amp;"*FangerPMV(Hourly)",'Eplus results'!$1:$1048576,ROW(),FALSE)</f>
        <v>0</v>
      </c>
      <c r="AD7316" s="580">
        <f t="shared" si="606"/>
        <v>5</v>
      </c>
      <c r="AE7316" s="580">
        <f t="shared" si="607"/>
        <v>2.5</v>
      </c>
      <c r="AF7316" s="580">
        <f t="shared" si="608"/>
        <v>2.5</v>
      </c>
      <c r="AG7316" s="580">
        <f t="shared" si="609"/>
        <v>0</v>
      </c>
      <c r="AH7316" s="580">
        <f t="shared" si="610"/>
        <v>0</v>
      </c>
    </row>
    <row r="7317" spans="28:34">
      <c r="AB7317" s="580">
        <f>HLOOKUP("*"&amp;'Output annual'!$AC$2&amp;'Output annual'!$AD$2&amp;"*Zone People Number Of Occupants [](Hourly)",'Eplus results'!$1:$1048576,ROW(),FALSE)</f>
        <v>0</v>
      </c>
      <c r="AC7317" s="580">
        <f>HLOOKUP("*"&amp;'Output annual'!$AC$2&amp;'Output annual'!$AD$2&amp;"*FangerPMV(Hourly)",'Eplus results'!$1:$1048576,ROW(),FALSE)</f>
        <v>0</v>
      </c>
      <c r="AD7317" s="580">
        <f t="shared" si="606"/>
        <v>5</v>
      </c>
      <c r="AE7317" s="580">
        <f t="shared" si="607"/>
        <v>2.5</v>
      </c>
      <c r="AF7317" s="580">
        <f t="shared" si="608"/>
        <v>2.5</v>
      </c>
      <c r="AG7317" s="580">
        <f t="shared" si="609"/>
        <v>0</v>
      </c>
      <c r="AH7317" s="580">
        <f t="shared" si="610"/>
        <v>0</v>
      </c>
    </row>
    <row r="7318" spans="28:34">
      <c r="AB7318" s="580">
        <f>HLOOKUP("*"&amp;'Output annual'!$AC$2&amp;'Output annual'!$AD$2&amp;"*Zone People Number Of Occupants [](Hourly)",'Eplus results'!$1:$1048576,ROW(),FALSE)</f>
        <v>0</v>
      </c>
      <c r="AC7318" s="580">
        <f>HLOOKUP("*"&amp;'Output annual'!$AC$2&amp;'Output annual'!$AD$2&amp;"*FangerPMV(Hourly)",'Eplus results'!$1:$1048576,ROW(),FALSE)</f>
        <v>0</v>
      </c>
      <c r="AD7318" s="580">
        <f t="shared" si="606"/>
        <v>5</v>
      </c>
      <c r="AE7318" s="580">
        <f t="shared" si="607"/>
        <v>2.5</v>
      </c>
      <c r="AF7318" s="580">
        <f t="shared" si="608"/>
        <v>2.5</v>
      </c>
      <c r="AG7318" s="580">
        <f t="shared" si="609"/>
        <v>0</v>
      </c>
      <c r="AH7318" s="580">
        <f t="shared" si="610"/>
        <v>0</v>
      </c>
    </row>
    <row r="7319" spans="28:34">
      <c r="AB7319" s="580">
        <f>HLOOKUP("*"&amp;'Output annual'!$AC$2&amp;'Output annual'!$AD$2&amp;"*Zone People Number Of Occupants [](Hourly)",'Eplus results'!$1:$1048576,ROW(),FALSE)</f>
        <v>0</v>
      </c>
      <c r="AC7319" s="580">
        <f>HLOOKUP("*"&amp;'Output annual'!$AC$2&amp;'Output annual'!$AD$2&amp;"*FangerPMV(Hourly)",'Eplus results'!$1:$1048576,ROW(),FALSE)</f>
        <v>0</v>
      </c>
      <c r="AD7319" s="580">
        <f t="shared" si="606"/>
        <v>5</v>
      </c>
      <c r="AE7319" s="580">
        <f t="shared" si="607"/>
        <v>2.5</v>
      </c>
      <c r="AF7319" s="580">
        <f t="shared" si="608"/>
        <v>2.5</v>
      </c>
      <c r="AG7319" s="580">
        <f t="shared" si="609"/>
        <v>0</v>
      </c>
      <c r="AH7319" s="580">
        <f t="shared" si="610"/>
        <v>0</v>
      </c>
    </row>
    <row r="7320" spans="28:34">
      <c r="AB7320" s="580">
        <f>HLOOKUP("*"&amp;'Output annual'!$AC$2&amp;'Output annual'!$AD$2&amp;"*Zone People Number Of Occupants [](Hourly)",'Eplus results'!$1:$1048576,ROW(),FALSE)</f>
        <v>0</v>
      </c>
      <c r="AC7320" s="580">
        <f>HLOOKUP("*"&amp;'Output annual'!$AC$2&amp;'Output annual'!$AD$2&amp;"*FangerPMV(Hourly)",'Eplus results'!$1:$1048576,ROW(),FALSE)</f>
        <v>0</v>
      </c>
      <c r="AD7320" s="580">
        <f t="shared" si="606"/>
        <v>5</v>
      </c>
      <c r="AE7320" s="580">
        <f t="shared" si="607"/>
        <v>2.5</v>
      </c>
      <c r="AF7320" s="580">
        <f t="shared" si="608"/>
        <v>2.5</v>
      </c>
      <c r="AG7320" s="580">
        <f t="shared" si="609"/>
        <v>0</v>
      </c>
      <c r="AH7320" s="580">
        <f t="shared" si="610"/>
        <v>0</v>
      </c>
    </row>
    <row r="7321" spans="28:34">
      <c r="AB7321" s="580">
        <f>HLOOKUP("*"&amp;'Output annual'!$AC$2&amp;'Output annual'!$AD$2&amp;"*Zone People Number Of Occupants [](Hourly)",'Eplus results'!$1:$1048576,ROW(),FALSE)</f>
        <v>0</v>
      </c>
      <c r="AC7321" s="580">
        <f>HLOOKUP("*"&amp;'Output annual'!$AC$2&amp;'Output annual'!$AD$2&amp;"*FangerPMV(Hourly)",'Eplus results'!$1:$1048576,ROW(),FALSE)</f>
        <v>0</v>
      </c>
      <c r="AD7321" s="580">
        <f t="shared" si="606"/>
        <v>5</v>
      </c>
      <c r="AE7321" s="580">
        <f t="shared" si="607"/>
        <v>2.5</v>
      </c>
      <c r="AF7321" s="580">
        <f t="shared" si="608"/>
        <v>2.5</v>
      </c>
      <c r="AG7321" s="580">
        <f t="shared" si="609"/>
        <v>0</v>
      </c>
      <c r="AH7321" s="580">
        <f t="shared" si="610"/>
        <v>0</v>
      </c>
    </row>
    <row r="7322" spans="28:34">
      <c r="AB7322" s="580">
        <f>HLOOKUP("*"&amp;'Output annual'!$AC$2&amp;'Output annual'!$AD$2&amp;"*Zone People Number Of Occupants [](Hourly)",'Eplus results'!$1:$1048576,ROW(),FALSE)</f>
        <v>0</v>
      </c>
      <c r="AC7322" s="580">
        <f>HLOOKUP("*"&amp;'Output annual'!$AC$2&amp;'Output annual'!$AD$2&amp;"*FangerPMV(Hourly)",'Eplus results'!$1:$1048576,ROW(),FALSE)</f>
        <v>0</v>
      </c>
      <c r="AD7322" s="580">
        <f t="shared" si="606"/>
        <v>5</v>
      </c>
      <c r="AE7322" s="580">
        <f t="shared" si="607"/>
        <v>2.5</v>
      </c>
      <c r="AF7322" s="580">
        <f t="shared" si="608"/>
        <v>2.5</v>
      </c>
      <c r="AG7322" s="580">
        <f t="shared" si="609"/>
        <v>0</v>
      </c>
      <c r="AH7322" s="580">
        <f t="shared" si="610"/>
        <v>0</v>
      </c>
    </row>
    <row r="7323" spans="28:34">
      <c r="AB7323" s="580">
        <f>HLOOKUP("*"&amp;'Output annual'!$AC$2&amp;'Output annual'!$AD$2&amp;"*Zone People Number Of Occupants [](Hourly)",'Eplus results'!$1:$1048576,ROW(),FALSE)</f>
        <v>0</v>
      </c>
      <c r="AC7323" s="580">
        <f>HLOOKUP("*"&amp;'Output annual'!$AC$2&amp;'Output annual'!$AD$2&amp;"*FangerPMV(Hourly)",'Eplus results'!$1:$1048576,ROW(),FALSE)</f>
        <v>0</v>
      </c>
      <c r="AD7323" s="580">
        <f t="shared" si="606"/>
        <v>5</v>
      </c>
      <c r="AE7323" s="580">
        <f t="shared" si="607"/>
        <v>2.5</v>
      </c>
      <c r="AF7323" s="580">
        <f t="shared" si="608"/>
        <v>2.5</v>
      </c>
      <c r="AG7323" s="580">
        <f t="shared" si="609"/>
        <v>0</v>
      </c>
      <c r="AH7323" s="580">
        <f t="shared" si="610"/>
        <v>0</v>
      </c>
    </row>
    <row r="7324" spans="28:34">
      <c r="AB7324" s="580">
        <f>HLOOKUP("*"&amp;'Output annual'!$AC$2&amp;'Output annual'!$AD$2&amp;"*Zone People Number Of Occupants [](Hourly)",'Eplus results'!$1:$1048576,ROW(),FALSE)</f>
        <v>0</v>
      </c>
      <c r="AC7324" s="580">
        <f>HLOOKUP("*"&amp;'Output annual'!$AC$2&amp;'Output annual'!$AD$2&amp;"*FangerPMV(Hourly)",'Eplus results'!$1:$1048576,ROW(),FALSE)</f>
        <v>0</v>
      </c>
      <c r="AD7324" s="580">
        <f t="shared" si="606"/>
        <v>5</v>
      </c>
      <c r="AE7324" s="580">
        <f t="shared" si="607"/>
        <v>2.5</v>
      </c>
      <c r="AF7324" s="580">
        <f t="shared" si="608"/>
        <v>2.5</v>
      </c>
      <c r="AG7324" s="580">
        <f t="shared" si="609"/>
        <v>0</v>
      </c>
      <c r="AH7324" s="580">
        <f t="shared" si="610"/>
        <v>0</v>
      </c>
    </row>
    <row r="7325" spans="28:34">
      <c r="AB7325" s="580">
        <f>HLOOKUP("*"&amp;'Output annual'!$AC$2&amp;'Output annual'!$AD$2&amp;"*Zone People Number Of Occupants [](Hourly)",'Eplus results'!$1:$1048576,ROW(),FALSE)</f>
        <v>0</v>
      </c>
      <c r="AC7325" s="580">
        <f>HLOOKUP("*"&amp;'Output annual'!$AC$2&amp;'Output annual'!$AD$2&amp;"*FangerPMV(Hourly)",'Eplus results'!$1:$1048576,ROW(),FALSE)</f>
        <v>0</v>
      </c>
      <c r="AD7325" s="580">
        <f t="shared" si="606"/>
        <v>5</v>
      </c>
      <c r="AE7325" s="580">
        <f t="shared" si="607"/>
        <v>2.5</v>
      </c>
      <c r="AF7325" s="580">
        <f t="shared" si="608"/>
        <v>2.5</v>
      </c>
      <c r="AG7325" s="580">
        <f t="shared" si="609"/>
        <v>0</v>
      </c>
      <c r="AH7325" s="580">
        <f t="shared" si="610"/>
        <v>0</v>
      </c>
    </row>
    <row r="7326" spans="28:34">
      <c r="AB7326" s="580">
        <f>HLOOKUP("*"&amp;'Output annual'!$AC$2&amp;'Output annual'!$AD$2&amp;"*Zone People Number Of Occupants [](Hourly)",'Eplus results'!$1:$1048576,ROW(),FALSE)</f>
        <v>0</v>
      </c>
      <c r="AC7326" s="580">
        <f>HLOOKUP("*"&amp;'Output annual'!$AC$2&amp;'Output annual'!$AD$2&amp;"*FangerPMV(Hourly)",'Eplus results'!$1:$1048576,ROW(),FALSE)</f>
        <v>0</v>
      </c>
      <c r="AD7326" s="580">
        <f t="shared" si="606"/>
        <v>5</v>
      </c>
      <c r="AE7326" s="580">
        <f t="shared" si="607"/>
        <v>2.5</v>
      </c>
      <c r="AF7326" s="580">
        <f t="shared" si="608"/>
        <v>2.5</v>
      </c>
      <c r="AG7326" s="580">
        <f t="shared" si="609"/>
        <v>0</v>
      </c>
      <c r="AH7326" s="580">
        <f t="shared" si="610"/>
        <v>0</v>
      </c>
    </row>
    <row r="7327" spans="28:34">
      <c r="AB7327" s="580">
        <f>HLOOKUP("*"&amp;'Output annual'!$AC$2&amp;'Output annual'!$AD$2&amp;"*Zone People Number Of Occupants [](Hourly)",'Eplus results'!$1:$1048576,ROW(),FALSE)</f>
        <v>0</v>
      </c>
      <c r="AC7327" s="580">
        <f>HLOOKUP("*"&amp;'Output annual'!$AC$2&amp;'Output annual'!$AD$2&amp;"*FangerPMV(Hourly)",'Eplus results'!$1:$1048576,ROW(),FALSE)</f>
        <v>0</v>
      </c>
      <c r="AD7327" s="580">
        <f t="shared" si="606"/>
        <v>5</v>
      </c>
      <c r="AE7327" s="580">
        <f t="shared" si="607"/>
        <v>2.5</v>
      </c>
      <c r="AF7327" s="580">
        <f t="shared" si="608"/>
        <v>2.5</v>
      </c>
      <c r="AG7327" s="580">
        <f t="shared" si="609"/>
        <v>0</v>
      </c>
      <c r="AH7327" s="580">
        <f t="shared" si="610"/>
        <v>0</v>
      </c>
    </row>
    <row r="7328" spans="28:34">
      <c r="AB7328" s="580">
        <f>HLOOKUP("*"&amp;'Output annual'!$AC$2&amp;'Output annual'!$AD$2&amp;"*Zone People Number Of Occupants [](Hourly)",'Eplus results'!$1:$1048576,ROW(),FALSE)</f>
        <v>0</v>
      </c>
      <c r="AC7328" s="580">
        <f>HLOOKUP("*"&amp;'Output annual'!$AC$2&amp;'Output annual'!$AD$2&amp;"*FangerPMV(Hourly)",'Eplus results'!$1:$1048576,ROW(),FALSE)</f>
        <v>0</v>
      </c>
      <c r="AD7328" s="580">
        <f t="shared" si="606"/>
        <v>5</v>
      </c>
      <c r="AE7328" s="580">
        <f t="shared" si="607"/>
        <v>2.5</v>
      </c>
      <c r="AF7328" s="580">
        <f t="shared" si="608"/>
        <v>2.5</v>
      </c>
      <c r="AG7328" s="580">
        <f t="shared" si="609"/>
        <v>0</v>
      </c>
      <c r="AH7328" s="580">
        <f t="shared" si="610"/>
        <v>0</v>
      </c>
    </row>
    <row r="7329" spans="28:34">
      <c r="AB7329" s="580">
        <f>HLOOKUP("*"&amp;'Output annual'!$AC$2&amp;'Output annual'!$AD$2&amp;"*Zone People Number Of Occupants [](Hourly)",'Eplus results'!$1:$1048576,ROW(),FALSE)</f>
        <v>0</v>
      </c>
      <c r="AC7329" s="580">
        <f>HLOOKUP("*"&amp;'Output annual'!$AC$2&amp;'Output annual'!$AD$2&amp;"*FangerPMV(Hourly)",'Eplus results'!$1:$1048576,ROW(),FALSE)</f>
        <v>0</v>
      </c>
      <c r="AD7329" s="580">
        <f t="shared" si="606"/>
        <v>5</v>
      </c>
      <c r="AE7329" s="580">
        <f t="shared" si="607"/>
        <v>2.5</v>
      </c>
      <c r="AF7329" s="580">
        <f t="shared" si="608"/>
        <v>2.5</v>
      </c>
      <c r="AG7329" s="580">
        <f t="shared" si="609"/>
        <v>0</v>
      </c>
      <c r="AH7329" s="580">
        <f t="shared" si="610"/>
        <v>0</v>
      </c>
    </row>
    <row r="7330" spans="28:34">
      <c r="AB7330" s="580">
        <f>HLOOKUP("*"&amp;'Output annual'!$AC$2&amp;'Output annual'!$AD$2&amp;"*Zone People Number Of Occupants [](Hourly)",'Eplus results'!$1:$1048576,ROW(),FALSE)</f>
        <v>0</v>
      </c>
      <c r="AC7330" s="580">
        <f>HLOOKUP("*"&amp;'Output annual'!$AC$2&amp;'Output annual'!$AD$2&amp;"*FangerPMV(Hourly)",'Eplus results'!$1:$1048576,ROW(),FALSE)</f>
        <v>0</v>
      </c>
      <c r="AD7330" s="580">
        <f t="shared" si="606"/>
        <v>5</v>
      </c>
      <c r="AE7330" s="580">
        <f t="shared" si="607"/>
        <v>2.5</v>
      </c>
      <c r="AF7330" s="580">
        <f t="shared" si="608"/>
        <v>2.5</v>
      </c>
      <c r="AG7330" s="580">
        <f t="shared" si="609"/>
        <v>0</v>
      </c>
      <c r="AH7330" s="580">
        <f t="shared" si="610"/>
        <v>0</v>
      </c>
    </row>
    <row r="7331" spans="28:34">
      <c r="AB7331" s="580">
        <f>HLOOKUP("*"&amp;'Output annual'!$AC$2&amp;'Output annual'!$AD$2&amp;"*Zone People Number Of Occupants [](Hourly)",'Eplus results'!$1:$1048576,ROW(),FALSE)</f>
        <v>0</v>
      </c>
      <c r="AC7331" s="580">
        <f>HLOOKUP("*"&amp;'Output annual'!$AC$2&amp;'Output annual'!$AD$2&amp;"*FangerPMV(Hourly)",'Eplus results'!$1:$1048576,ROW(),FALSE)</f>
        <v>0</v>
      </c>
      <c r="AD7331" s="580">
        <f t="shared" si="606"/>
        <v>5</v>
      </c>
      <c r="AE7331" s="580">
        <f t="shared" si="607"/>
        <v>2.5</v>
      </c>
      <c r="AF7331" s="580">
        <f t="shared" si="608"/>
        <v>2.5</v>
      </c>
      <c r="AG7331" s="580">
        <f t="shared" si="609"/>
        <v>0</v>
      </c>
      <c r="AH7331" s="580">
        <f t="shared" si="610"/>
        <v>0</v>
      </c>
    </row>
    <row r="7332" spans="28:34">
      <c r="AB7332" s="580">
        <f>HLOOKUP("*"&amp;'Output annual'!$AC$2&amp;'Output annual'!$AD$2&amp;"*Zone People Number Of Occupants [](Hourly)",'Eplus results'!$1:$1048576,ROW(),FALSE)</f>
        <v>0</v>
      </c>
      <c r="AC7332" s="580">
        <f>HLOOKUP("*"&amp;'Output annual'!$AC$2&amp;'Output annual'!$AD$2&amp;"*FangerPMV(Hourly)",'Eplus results'!$1:$1048576,ROW(),FALSE)</f>
        <v>0</v>
      </c>
      <c r="AD7332" s="580">
        <f t="shared" si="606"/>
        <v>5</v>
      </c>
      <c r="AE7332" s="580">
        <f t="shared" si="607"/>
        <v>2.5</v>
      </c>
      <c r="AF7332" s="580">
        <f t="shared" si="608"/>
        <v>2.5</v>
      </c>
      <c r="AG7332" s="580">
        <f t="shared" si="609"/>
        <v>0</v>
      </c>
      <c r="AH7332" s="580">
        <f t="shared" si="610"/>
        <v>0</v>
      </c>
    </row>
    <row r="7333" spans="28:34">
      <c r="AB7333" s="580">
        <f>HLOOKUP("*"&amp;'Output annual'!$AC$2&amp;'Output annual'!$AD$2&amp;"*Zone People Number Of Occupants [](Hourly)",'Eplus results'!$1:$1048576,ROW(),FALSE)</f>
        <v>0</v>
      </c>
      <c r="AC7333" s="580">
        <f>HLOOKUP("*"&amp;'Output annual'!$AC$2&amp;'Output annual'!$AD$2&amp;"*FangerPMV(Hourly)",'Eplus results'!$1:$1048576,ROW(),FALSE)</f>
        <v>0</v>
      </c>
      <c r="AD7333" s="580">
        <f t="shared" si="606"/>
        <v>5</v>
      </c>
      <c r="AE7333" s="580">
        <f t="shared" si="607"/>
        <v>2.5</v>
      </c>
      <c r="AF7333" s="580">
        <f t="shared" si="608"/>
        <v>2.5</v>
      </c>
      <c r="AG7333" s="580">
        <f t="shared" si="609"/>
        <v>0</v>
      </c>
      <c r="AH7333" s="580">
        <f t="shared" si="610"/>
        <v>0</v>
      </c>
    </row>
    <row r="7334" spans="28:34">
      <c r="AB7334" s="580">
        <f>HLOOKUP("*"&amp;'Output annual'!$AC$2&amp;'Output annual'!$AD$2&amp;"*Zone People Number Of Occupants [](Hourly)",'Eplus results'!$1:$1048576,ROW(),FALSE)</f>
        <v>0</v>
      </c>
      <c r="AC7334" s="580">
        <f>HLOOKUP("*"&amp;'Output annual'!$AC$2&amp;'Output annual'!$AD$2&amp;"*FangerPMV(Hourly)",'Eplus results'!$1:$1048576,ROW(),FALSE)</f>
        <v>0</v>
      </c>
      <c r="AD7334" s="580">
        <f t="shared" si="606"/>
        <v>5</v>
      </c>
      <c r="AE7334" s="580">
        <f t="shared" si="607"/>
        <v>2.5</v>
      </c>
      <c r="AF7334" s="580">
        <f t="shared" si="608"/>
        <v>2.5</v>
      </c>
      <c r="AG7334" s="580">
        <f t="shared" si="609"/>
        <v>0</v>
      </c>
      <c r="AH7334" s="580">
        <f t="shared" si="610"/>
        <v>0</v>
      </c>
    </row>
    <row r="7335" spans="28:34">
      <c r="AB7335" s="580">
        <f>HLOOKUP("*"&amp;'Output annual'!$AC$2&amp;'Output annual'!$AD$2&amp;"*Zone People Number Of Occupants [](Hourly)",'Eplus results'!$1:$1048576,ROW(),FALSE)</f>
        <v>0</v>
      </c>
      <c r="AC7335" s="580">
        <f>HLOOKUP("*"&amp;'Output annual'!$AC$2&amp;'Output annual'!$AD$2&amp;"*FangerPMV(Hourly)",'Eplus results'!$1:$1048576,ROW(),FALSE)</f>
        <v>0</v>
      </c>
      <c r="AD7335" s="580">
        <f t="shared" si="606"/>
        <v>5</v>
      </c>
      <c r="AE7335" s="580">
        <f t="shared" si="607"/>
        <v>2.5</v>
      </c>
      <c r="AF7335" s="580">
        <f t="shared" si="608"/>
        <v>2.5</v>
      </c>
      <c r="AG7335" s="580">
        <f t="shared" si="609"/>
        <v>0</v>
      </c>
      <c r="AH7335" s="580">
        <f t="shared" si="610"/>
        <v>0</v>
      </c>
    </row>
    <row r="7336" spans="28:34">
      <c r="AB7336" s="580">
        <f>HLOOKUP("*"&amp;'Output annual'!$AC$2&amp;'Output annual'!$AD$2&amp;"*Zone People Number Of Occupants [](Hourly)",'Eplus results'!$1:$1048576,ROW(),FALSE)</f>
        <v>0</v>
      </c>
      <c r="AC7336" s="580">
        <f>HLOOKUP("*"&amp;'Output annual'!$AC$2&amp;'Output annual'!$AD$2&amp;"*FangerPMV(Hourly)",'Eplus results'!$1:$1048576,ROW(),FALSE)</f>
        <v>0</v>
      </c>
      <c r="AD7336" s="580">
        <f t="shared" si="606"/>
        <v>5</v>
      </c>
      <c r="AE7336" s="580">
        <f t="shared" si="607"/>
        <v>2.5</v>
      </c>
      <c r="AF7336" s="580">
        <f t="shared" si="608"/>
        <v>2.5</v>
      </c>
      <c r="AG7336" s="580">
        <f t="shared" si="609"/>
        <v>0</v>
      </c>
      <c r="AH7336" s="580">
        <f t="shared" si="610"/>
        <v>0</v>
      </c>
    </row>
    <row r="7337" spans="28:34">
      <c r="AB7337" s="580">
        <f>HLOOKUP("*"&amp;'Output annual'!$AC$2&amp;'Output annual'!$AD$2&amp;"*Zone People Number Of Occupants [](Hourly)",'Eplus results'!$1:$1048576,ROW(),FALSE)</f>
        <v>0</v>
      </c>
      <c r="AC7337" s="580">
        <f>HLOOKUP("*"&amp;'Output annual'!$AC$2&amp;'Output annual'!$AD$2&amp;"*FangerPMV(Hourly)",'Eplus results'!$1:$1048576,ROW(),FALSE)</f>
        <v>0</v>
      </c>
      <c r="AD7337" s="580">
        <f t="shared" si="606"/>
        <v>5</v>
      </c>
      <c r="AE7337" s="580">
        <f t="shared" si="607"/>
        <v>2.5</v>
      </c>
      <c r="AF7337" s="580">
        <f t="shared" si="608"/>
        <v>2.5</v>
      </c>
      <c r="AG7337" s="580">
        <f t="shared" si="609"/>
        <v>0</v>
      </c>
      <c r="AH7337" s="580">
        <f t="shared" si="610"/>
        <v>0</v>
      </c>
    </row>
    <row r="7338" spans="28:34">
      <c r="AB7338" s="580">
        <f>HLOOKUP("*"&amp;'Output annual'!$AC$2&amp;'Output annual'!$AD$2&amp;"*Zone People Number Of Occupants [](Hourly)",'Eplus results'!$1:$1048576,ROW(),FALSE)</f>
        <v>0</v>
      </c>
      <c r="AC7338" s="580">
        <f>HLOOKUP("*"&amp;'Output annual'!$AC$2&amp;'Output annual'!$AD$2&amp;"*FangerPMV(Hourly)",'Eplus results'!$1:$1048576,ROW(),FALSE)</f>
        <v>0</v>
      </c>
      <c r="AD7338" s="580">
        <f t="shared" si="606"/>
        <v>5</v>
      </c>
      <c r="AE7338" s="580">
        <f t="shared" si="607"/>
        <v>2.5</v>
      </c>
      <c r="AF7338" s="580">
        <f t="shared" si="608"/>
        <v>2.5</v>
      </c>
      <c r="AG7338" s="580">
        <f t="shared" si="609"/>
        <v>0</v>
      </c>
      <c r="AH7338" s="580">
        <f t="shared" si="610"/>
        <v>0</v>
      </c>
    </row>
    <row r="7339" spans="28:34">
      <c r="AB7339" s="580">
        <f>HLOOKUP("*"&amp;'Output annual'!$AC$2&amp;'Output annual'!$AD$2&amp;"*Zone People Number Of Occupants [](Hourly)",'Eplus results'!$1:$1048576,ROW(),FALSE)</f>
        <v>0</v>
      </c>
      <c r="AC7339" s="580">
        <f>HLOOKUP("*"&amp;'Output annual'!$AC$2&amp;'Output annual'!$AD$2&amp;"*FangerPMV(Hourly)",'Eplus results'!$1:$1048576,ROW(),FALSE)</f>
        <v>0</v>
      </c>
      <c r="AD7339" s="580">
        <f t="shared" si="606"/>
        <v>5</v>
      </c>
      <c r="AE7339" s="580">
        <f t="shared" si="607"/>
        <v>2.5</v>
      </c>
      <c r="AF7339" s="580">
        <f t="shared" si="608"/>
        <v>2.5</v>
      </c>
      <c r="AG7339" s="580">
        <f t="shared" si="609"/>
        <v>0</v>
      </c>
      <c r="AH7339" s="580">
        <f t="shared" si="610"/>
        <v>0</v>
      </c>
    </row>
    <row r="7340" spans="28:34">
      <c r="AB7340" s="580">
        <f>HLOOKUP("*"&amp;'Output annual'!$AC$2&amp;'Output annual'!$AD$2&amp;"*Zone People Number Of Occupants [](Hourly)",'Eplus results'!$1:$1048576,ROW(),FALSE)</f>
        <v>0</v>
      </c>
      <c r="AC7340" s="580">
        <f>HLOOKUP("*"&amp;'Output annual'!$AC$2&amp;'Output annual'!$AD$2&amp;"*FangerPMV(Hourly)",'Eplus results'!$1:$1048576,ROW(),FALSE)</f>
        <v>0</v>
      </c>
      <c r="AD7340" s="580">
        <f t="shared" si="606"/>
        <v>5</v>
      </c>
      <c r="AE7340" s="580">
        <f t="shared" si="607"/>
        <v>2.5</v>
      </c>
      <c r="AF7340" s="580">
        <f t="shared" si="608"/>
        <v>2.5</v>
      </c>
      <c r="AG7340" s="580">
        <f t="shared" si="609"/>
        <v>0</v>
      </c>
      <c r="AH7340" s="580">
        <f t="shared" si="610"/>
        <v>0</v>
      </c>
    </row>
    <row r="7341" spans="28:34">
      <c r="AB7341" s="580">
        <f>HLOOKUP("*"&amp;'Output annual'!$AC$2&amp;'Output annual'!$AD$2&amp;"*Zone People Number Of Occupants [](Hourly)",'Eplus results'!$1:$1048576,ROW(),FALSE)</f>
        <v>0</v>
      </c>
      <c r="AC7341" s="580">
        <f>HLOOKUP("*"&amp;'Output annual'!$AC$2&amp;'Output annual'!$AD$2&amp;"*FangerPMV(Hourly)",'Eplus results'!$1:$1048576,ROW(),FALSE)</f>
        <v>0</v>
      </c>
      <c r="AD7341" s="580">
        <f t="shared" si="606"/>
        <v>5</v>
      </c>
      <c r="AE7341" s="580">
        <f t="shared" si="607"/>
        <v>2.5</v>
      </c>
      <c r="AF7341" s="580">
        <f t="shared" si="608"/>
        <v>2.5</v>
      </c>
      <c r="AG7341" s="580">
        <f t="shared" si="609"/>
        <v>0</v>
      </c>
      <c r="AH7341" s="580">
        <f t="shared" si="610"/>
        <v>0</v>
      </c>
    </row>
    <row r="7342" spans="28:34">
      <c r="AB7342" s="580">
        <f>HLOOKUP("*"&amp;'Output annual'!$AC$2&amp;'Output annual'!$AD$2&amp;"*Zone People Number Of Occupants [](Hourly)",'Eplus results'!$1:$1048576,ROW(),FALSE)</f>
        <v>0</v>
      </c>
      <c r="AC7342" s="580">
        <f>HLOOKUP("*"&amp;'Output annual'!$AC$2&amp;'Output annual'!$AD$2&amp;"*FangerPMV(Hourly)",'Eplus results'!$1:$1048576,ROW(),FALSE)</f>
        <v>0</v>
      </c>
      <c r="AD7342" s="580">
        <f t="shared" si="606"/>
        <v>5</v>
      </c>
      <c r="AE7342" s="580">
        <f t="shared" si="607"/>
        <v>2.5</v>
      </c>
      <c r="AF7342" s="580">
        <f t="shared" si="608"/>
        <v>2.5</v>
      </c>
      <c r="AG7342" s="580">
        <f t="shared" si="609"/>
        <v>0</v>
      </c>
      <c r="AH7342" s="580">
        <f t="shared" si="610"/>
        <v>0</v>
      </c>
    </row>
    <row r="7343" spans="28:34">
      <c r="AB7343" s="580">
        <f>HLOOKUP("*"&amp;'Output annual'!$AC$2&amp;'Output annual'!$AD$2&amp;"*Zone People Number Of Occupants [](Hourly)",'Eplus results'!$1:$1048576,ROW(),FALSE)</f>
        <v>0</v>
      </c>
      <c r="AC7343" s="580">
        <f>HLOOKUP("*"&amp;'Output annual'!$AC$2&amp;'Output annual'!$AD$2&amp;"*FangerPMV(Hourly)",'Eplus results'!$1:$1048576,ROW(),FALSE)</f>
        <v>0</v>
      </c>
      <c r="AD7343" s="580">
        <f t="shared" si="606"/>
        <v>5</v>
      </c>
      <c r="AE7343" s="580">
        <f t="shared" si="607"/>
        <v>2.5</v>
      </c>
      <c r="AF7343" s="580">
        <f t="shared" si="608"/>
        <v>2.5</v>
      </c>
      <c r="AG7343" s="580">
        <f t="shared" si="609"/>
        <v>0</v>
      </c>
      <c r="AH7343" s="580">
        <f t="shared" si="610"/>
        <v>0</v>
      </c>
    </row>
    <row r="7344" spans="28:34">
      <c r="AB7344" s="580">
        <f>HLOOKUP("*"&amp;'Output annual'!$AC$2&amp;'Output annual'!$AD$2&amp;"*Zone People Number Of Occupants [](Hourly)",'Eplus results'!$1:$1048576,ROW(),FALSE)</f>
        <v>0</v>
      </c>
      <c r="AC7344" s="580">
        <f>HLOOKUP("*"&amp;'Output annual'!$AC$2&amp;'Output annual'!$AD$2&amp;"*FangerPMV(Hourly)",'Eplus results'!$1:$1048576,ROW(),FALSE)</f>
        <v>0</v>
      </c>
      <c r="AD7344" s="580">
        <f t="shared" si="606"/>
        <v>5</v>
      </c>
      <c r="AE7344" s="580">
        <f t="shared" si="607"/>
        <v>2.5</v>
      </c>
      <c r="AF7344" s="580">
        <f t="shared" si="608"/>
        <v>2.5</v>
      </c>
      <c r="AG7344" s="580">
        <f t="shared" si="609"/>
        <v>0</v>
      </c>
      <c r="AH7344" s="580">
        <f t="shared" si="610"/>
        <v>0</v>
      </c>
    </row>
    <row r="7345" spans="28:34">
      <c r="AB7345" s="580">
        <f>HLOOKUP("*"&amp;'Output annual'!$AC$2&amp;'Output annual'!$AD$2&amp;"*Zone People Number Of Occupants [](Hourly)",'Eplus results'!$1:$1048576,ROW(),FALSE)</f>
        <v>0</v>
      </c>
      <c r="AC7345" s="580">
        <f>HLOOKUP("*"&amp;'Output annual'!$AC$2&amp;'Output annual'!$AD$2&amp;"*FangerPMV(Hourly)",'Eplus results'!$1:$1048576,ROW(),FALSE)</f>
        <v>0</v>
      </c>
      <c r="AD7345" s="580">
        <f t="shared" si="606"/>
        <v>5</v>
      </c>
      <c r="AE7345" s="580">
        <f t="shared" si="607"/>
        <v>2.5</v>
      </c>
      <c r="AF7345" s="580">
        <f t="shared" si="608"/>
        <v>2.5</v>
      </c>
      <c r="AG7345" s="580">
        <f t="shared" si="609"/>
        <v>0</v>
      </c>
      <c r="AH7345" s="580">
        <f t="shared" si="610"/>
        <v>0</v>
      </c>
    </row>
    <row r="7346" spans="28:34">
      <c r="AB7346" s="580">
        <f>HLOOKUP("*"&amp;'Output annual'!$AC$2&amp;'Output annual'!$AD$2&amp;"*Zone People Number Of Occupants [](Hourly)",'Eplus results'!$1:$1048576,ROW(),FALSE)</f>
        <v>0</v>
      </c>
      <c r="AC7346" s="580">
        <f>HLOOKUP("*"&amp;'Output annual'!$AC$2&amp;'Output annual'!$AD$2&amp;"*FangerPMV(Hourly)",'Eplus results'!$1:$1048576,ROW(),FALSE)</f>
        <v>0</v>
      </c>
      <c r="AD7346" s="580">
        <f t="shared" si="606"/>
        <v>5</v>
      </c>
      <c r="AE7346" s="580">
        <f t="shared" si="607"/>
        <v>2.5</v>
      </c>
      <c r="AF7346" s="580">
        <f t="shared" si="608"/>
        <v>2.5</v>
      </c>
      <c r="AG7346" s="580">
        <f t="shared" si="609"/>
        <v>0</v>
      </c>
      <c r="AH7346" s="580">
        <f t="shared" si="610"/>
        <v>0</v>
      </c>
    </row>
    <row r="7347" spans="28:34">
      <c r="AB7347" s="580">
        <f>HLOOKUP("*"&amp;'Output annual'!$AC$2&amp;'Output annual'!$AD$2&amp;"*Zone People Number Of Occupants [](Hourly)",'Eplus results'!$1:$1048576,ROW(),FALSE)</f>
        <v>0</v>
      </c>
      <c r="AC7347" s="580">
        <f>HLOOKUP("*"&amp;'Output annual'!$AC$2&amp;'Output annual'!$AD$2&amp;"*FangerPMV(Hourly)",'Eplus results'!$1:$1048576,ROW(),FALSE)</f>
        <v>0</v>
      </c>
      <c r="AD7347" s="580">
        <f t="shared" si="606"/>
        <v>5</v>
      </c>
      <c r="AE7347" s="580">
        <f t="shared" si="607"/>
        <v>2.5</v>
      </c>
      <c r="AF7347" s="580">
        <f t="shared" si="608"/>
        <v>2.5</v>
      </c>
      <c r="AG7347" s="580">
        <f t="shared" si="609"/>
        <v>0</v>
      </c>
      <c r="AH7347" s="580">
        <f t="shared" si="610"/>
        <v>0</v>
      </c>
    </row>
    <row r="7348" spans="28:34">
      <c r="AB7348" s="580">
        <f>HLOOKUP("*"&amp;'Output annual'!$AC$2&amp;'Output annual'!$AD$2&amp;"*Zone People Number Of Occupants [](Hourly)",'Eplus results'!$1:$1048576,ROW(),FALSE)</f>
        <v>0</v>
      </c>
      <c r="AC7348" s="580">
        <f>HLOOKUP("*"&amp;'Output annual'!$AC$2&amp;'Output annual'!$AD$2&amp;"*FangerPMV(Hourly)",'Eplus results'!$1:$1048576,ROW(),FALSE)</f>
        <v>0</v>
      </c>
      <c r="AD7348" s="580">
        <f t="shared" si="606"/>
        <v>5</v>
      </c>
      <c r="AE7348" s="580">
        <f t="shared" si="607"/>
        <v>2.5</v>
      </c>
      <c r="AF7348" s="580">
        <f t="shared" si="608"/>
        <v>2.5</v>
      </c>
      <c r="AG7348" s="580">
        <f t="shared" si="609"/>
        <v>0</v>
      </c>
      <c r="AH7348" s="580">
        <f t="shared" si="610"/>
        <v>0</v>
      </c>
    </row>
    <row r="7349" spans="28:34">
      <c r="AB7349" s="580">
        <f>HLOOKUP("*"&amp;'Output annual'!$AC$2&amp;'Output annual'!$AD$2&amp;"*Zone People Number Of Occupants [](Hourly)",'Eplus results'!$1:$1048576,ROW(),FALSE)</f>
        <v>0</v>
      </c>
      <c r="AC7349" s="580">
        <f>HLOOKUP("*"&amp;'Output annual'!$AC$2&amp;'Output annual'!$AD$2&amp;"*FangerPMV(Hourly)",'Eplus results'!$1:$1048576,ROW(),FALSE)</f>
        <v>0</v>
      </c>
      <c r="AD7349" s="580">
        <f t="shared" si="606"/>
        <v>5</v>
      </c>
      <c r="AE7349" s="580">
        <f t="shared" si="607"/>
        <v>2.5</v>
      </c>
      <c r="AF7349" s="580">
        <f t="shared" si="608"/>
        <v>2.5</v>
      </c>
      <c r="AG7349" s="580">
        <f t="shared" si="609"/>
        <v>0</v>
      </c>
      <c r="AH7349" s="580">
        <f t="shared" si="610"/>
        <v>0</v>
      </c>
    </row>
    <row r="7350" spans="28:34">
      <c r="AB7350" s="580">
        <f>HLOOKUP("*"&amp;'Output annual'!$AC$2&amp;'Output annual'!$AD$2&amp;"*Zone People Number Of Occupants [](Hourly)",'Eplus results'!$1:$1048576,ROW(),FALSE)</f>
        <v>0</v>
      </c>
      <c r="AC7350" s="580">
        <f>HLOOKUP("*"&amp;'Output annual'!$AC$2&amp;'Output annual'!$AD$2&amp;"*FangerPMV(Hourly)",'Eplus results'!$1:$1048576,ROW(),FALSE)</f>
        <v>0</v>
      </c>
      <c r="AD7350" s="580">
        <f t="shared" si="606"/>
        <v>5</v>
      </c>
      <c r="AE7350" s="580">
        <f t="shared" si="607"/>
        <v>2.5</v>
      </c>
      <c r="AF7350" s="580">
        <f t="shared" si="608"/>
        <v>2.5</v>
      </c>
      <c r="AG7350" s="580">
        <f t="shared" si="609"/>
        <v>0</v>
      </c>
      <c r="AH7350" s="580">
        <f t="shared" si="610"/>
        <v>0</v>
      </c>
    </row>
    <row r="7351" spans="28:34">
      <c r="AB7351" s="580">
        <f>HLOOKUP("*"&amp;'Output annual'!$AC$2&amp;'Output annual'!$AD$2&amp;"*Zone People Number Of Occupants [](Hourly)",'Eplus results'!$1:$1048576,ROW(),FALSE)</f>
        <v>0</v>
      </c>
      <c r="AC7351" s="580">
        <f>HLOOKUP("*"&amp;'Output annual'!$AC$2&amp;'Output annual'!$AD$2&amp;"*FangerPMV(Hourly)",'Eplus results'!$1:$1048576,ROW(),FALSE)</f>
        <v>0</v>
      </c>
      <c r="AD7351" s="580">
        <f t="shared" si="606"/>
        <v>5</v>
      </c>
      <c r="AE7351" s="580">
        <f t="shared" si="607"/>
        <v>2.5</v>
      </c>
      <c r="AF7351" s="580">
        <f t="shared" si="608"/>
        <v>2.5</v>
      </c>
      <c r="AG7351" s="580">
        <f t="shared" si="609"/>
        <v>0</v>
      </c>
      <c r="AH7351" s="580">
        <f t="shared" si="610"/>
        <v>0</v>
      </c>
    </row>
    <row r="7352" spans="28:34">
      <c r="AB7352" s="580">
        <f>HLOOKUP("*"&amp;'Output annual'!$AC$2&amp;'Output annual'!$AD$2&amp;"*Zone People Number Of Occupants [](Hourly)",'Eplus results'!$1:$1048576,ROW(),FALSE)</f>
        <v>0</v>
      </c>
      <c r="AC7352" s="580">
        <f>HLOOKUP("*"&amp;'Output annual'!$AC$2&amp;'Output annual'!$AD$2&amp;"*FangerPMV(Hourly)",'Eplus results'!$1:$1048576,ROW(),FALSE)</f>
        <v>0</v>
      </c>
      <c r="AD7352" s="580">
        <f t="shared" si="606"/>
        <v>5</v>
      </c>
      <c r="AE7352" s="580">
        <f t="shared" si="607"/>
        <v>2.5</v>
      </c>
      <c r="AF7352" s="580">
        <f t="shared" si="608"/>
        <v>2.5</v>
      </c>
      <c r="AG7352" s="580">
        <f t="shared" si="609"/>
        <v>0</v>
      </c>
      <c r="AH7352" s="580">
        <f t="shared" si="610"/>
        <v>0</v>
      </c>
    </row>
    <row r="7353" spans="28:34">
      <c r="AB7353" s="580">
        <f>HLOOKUP("*"&amp;'Output annual'!$AC$2&amp;'Output annual'!$AD$2&amp;"*Zone People Number Of Occupants [](Hourly)",'Eplus results'!$1:$1048576,ROW(),FALSE)</f>
        <v>0</v>
      </c>
      <c r="AC7353" s="580">
        <f>HLOOKUP("*"&amp;'Output annual'!$AC$2&amp;'Output annual'!$AD$2&amp;"*FangerPMV(Hourly)",'Eplus results'!$1:$1048576,ROW(),FALSE)</f>
        <v>0</v>
      </c>
      <c r="AD7353" s="580">
        <f t="shared" si="606"/>
        <v>5</v>
      </c>
      <c r="AE7353" s="580">
        <f t="shared" si="607"/>
        <v>2.5</v>
      </c>
      <c r="AF7353" s="580">
        <f t="shared" si="608"/>
        <v>2.5</v>
      </c>
      <c r="AG7353" s="580">
        <f t="shared" si="609"/>
        <v>0</v>
      </c>
      <c r="AH7353" s="580">
        <f t="shared" si="610"/>
        <v>0</v>
      </c>
    </row>
    <row r="7354" spans="28:34">
      <c r="AB7354" s="580">
        <f>HLOOKUP("*"&amp;'Output annual'!$AC$2&amp;'Output annual'!$AD$2&amp;"*Zone People Number Of Occupants [](Hourly)",'Eplus results'!$1:$1048576,ROW(),FALSE)</f>
        <v>0</v>
      </c>
      <c r="AC7354" s="580">
        <f>HLOOKUP("*"&amp;'Output annual'!$AC$2&amp;'Output annual'!$AD$2&amp;"*FangerPMV(Hourly)",'Eplus results'!$1:$1048576,ROW(),FALSE)</f>
        <v>0</v>
      </c>
      <c r="AD7354" s="580">
        <f t="shared" si="606"/>
        <v>5</v>
      </c>
      <c r="AE7354" s="580">
        <f t="shared" si="607"/>
        <v>2.5</v>
      </c>
      <c r="AF7354" s="580">
        <f t="shared" si="608"/>
        <v>2.5</v>
      </c>
      <c r="AG7354" s="580">
        <f t="shared" si="609"/>
        <v>0</v>
      </c>
      <c r="AH7354" s="580">
        <f t="shared" si="610"/>
        <v>0</v>
      </c>
    </row>
    <row r="7355" spans="28:34">
      <c r="AB7355" s="580">
        <f>HLOOKUP("*"&amp;'Output annual'!$AC$2&amp;'Output annual'!$AD$2&amp;"*Zone People Number Of Occupants [](Hourly)",'Eplus results'!$1:$1048576,ROW(),FALSE)</f>
        <v>0</v>
      </c>
      <c r="AC7355" s="580">
        <f>HLOOKUP("*"&amp;'Output annual'!$AC$2&amp;'Output annual'!$AD$2&amp;"*FangerPMV(Hourly)",'Eplus results'!$1:$1048576,ROW(),FALSE)</f>
        <v>0</v>
      </c>
      <c r="AD7355" s="580">
        <f t="shared" si="606"/>
        <v>5</v>
      </c>
      <c r="AE7355" s="580">
        <f t="shared" si="607"/>
        <v>2.5</v>
      </c>
      <c r="AF7355" s="580">
        <f t="shared" si="608"/>
        <v>2.5</v>
      </c>
      <c r="AG7355" s="580">
        <f t="shared" si="609"/>
        <v>0</v>
      </c>
      <c r="AH7355" s="580">
        <f t="shared" si="610"/>
        <v>0</v>
      </c>
    </row>
    <row r="7356" spans="28:34">
      <c r="AB7356" s="580">
        <f>HLOOKUP("*"&amp;'Output annual'!$AC$2&amp;'Output annual'!$AD$2&amp;"*Zone People Number Of Occupants [](Hourly)",'Eplus results'!$1:$1048576,ROW(),FALSE)</f>
        <v>0</v>
      </c>
      <c r="AC7356" s="580">
        <f>HLOOKUP("*"&amp;'Output annual'!$AC$2&amp;'Output annual'!$AD$2&amp;"*FangerPMV(Hourly)",'Eplus results'!$1:$1048576,ROW(),FALSE)</f>
        <v>0</v>
      </c>
      <c r="AD7356" s="580">
        <f t="shared" si="606"/>
        <v>5</v>
      </c>
      <c r="AE7356" s="580">
        <f t="shared" si="607"/>
        <v>2.5</v>
      </c>
      <c r="AF7356" s="580">
        <f t="shared" si="608"/>
        <v>2.5</v>
      </c>
      <c r="AG7356" s="580">
        <f t="shared" si="609"/>
        <v>0</v>
      </c>
      <c r="AH7356" s="580">
        <f t="shared" si="610"/>
        <v>0</v>
      </c>
    </row>
    <row r="7357" spans="28:34">
      <c r="AB7357" s="580">
        <f>HLOOKUP("*"&amp;'Output annual'!$AC$2&amp;'Output annual'!$AD$2&amp;"*Zone People Number Of Occupants [](Hourly)",'Eplus results'!$1:$1048576,ROW(),FALSE)</f>
        <v>0</v>
      </c>
      <c r="AC7357" s="580">
        <f>HLOOKUP("*"&amp;'Output annual'!$AC$2&amp;'Output annual'!$AD$2&amp;"*FangerPMV(Hourly)",'Eplus results'!$1:$1048576,ROW(),FALSE)</f>
        <v>0</v>
      </c>
      <c r="AD7357" s="580">
        <f t="shared" si="606"/>
        <v>5</v>
      </c>
      <c r="AE7357" s="580">
        <f t="shared" si="607"/>
        <v>2.5</v>
      </c>
      <c r="AF7357" s="580">
        <f t="shared" si="608"/>
        <v>2.5</v>
      </c>
      <c r="AG7357" s="580">
        <f t="shared" si="609"/>
        <v>0</v>
      </c>
      <c r="AH7357" s="580">
        <f t="shared" si="610"/>
        <v>0</v>
      </c>
    </row>
    <row r="7358" spans="28:34">
      <c r="AB7358" s="580">
        <f>HLOOKUP("*"&amp;'Output annual'!$AC$2&amp;'Output annual'!$AD$2&amp;"*Zone People Number Of Occupants [](Hourly)",'Eplus results'!$1:$1048576,ROW(),FALSE)</f>
        <v>0</v>
      </c>
      <c r="AC7358" s="580">
        <f>HLOOKUP("*"&amp;'Output annual'!$AC$2&amp;'Output annual'!$AD$2&amp;"*FangerPMV(Hourly)",'Eplus results'!$1:$1048576,ROW(),FALSE)</f>
        <v>0</v>
      </c>
      <c r="AD7358" s="580">
        <f t="shared" si="606"/>
        <v>5</v>
      </c>
      <c r="AE7358" s="580">
        <f t="shared" si="607"/>
        <v>2.5</v>
      </c>
      <c r="AF7358" s="580">
        <f t="shared" si="608"/>
        <v>2.5</v>
      </c>
      <c r="AG7358" s="580">
        <f t="shared" si="609"/>
        <v>0</v>
      </c>
      <c r="AH7358" s="580">
        <f t="shared" si="610"/>
        <v>0</v>
      </c>
    </row>
    <row r="7359" spans="28:34">
      <c r="AB7359" s="580">
        <f>HLOOKUP("*"&amp;'Output annual'!$AC$2&amp;'Output annual'!$AD$2&amp;"*Zone People Number Of Occupants [](Hourly)",'Eplus results'!$1:$1048576,ROW(),FALSE)</f>
        <v>0</v>
      </c>
      <c r="AC7359" s="580">
        <f>HLOOKUP("*"&amp;'Output annual'!$AC$2&amp;'Output annual'!$AD$2&amp;"*FangerPMV(Hourly)",'Eplus results'!$1:$1048576,ROW(),FALSE)</f>
        <v>0</v>
      </c>
      <c r="AD7359" s="580">
        <f t="shared" si="606"/>
        <v>5</v>
      </c>
      <c r="AE7359" s="580">
        <f t="shared" si="607"/>
        <v>2.5</v>
      </c>
      <c r="AF7359" s="580">
        <f t="shared" si="608"/>
        <v>2.5</v>
      </c>
      <c r="AG7359" s="580">
        <f t="shared" si="609"/>
        <v>0</v>
      </c>
      <c r="AH7359" s="580">
        <f t="shared" si="610"/>
        <v>0</v>
      </c>
    </row>
    <row r="7360" spans="28:34">
      <c r="AB7360" s="580">
        <f>HLOOKUP("*"&amp;'Output annual'!$AC$2&amp;'Output annual'!$AD$2&amp;"*Zone People Number Of Occupants [](Hourly)",'Eplus results'!$1:$1048576,ROW(),FALSE)</f>
        <v>0</v>
      </c>
      <c r="AC7360" s="580">
        <f>HLOOKUP("*"&amp;'Output annual'!$AC$2&amp;'Output annual'!$AD$2&amp;"*FangerPMV(Hourly)",'Eplus results'!$1:$1048576,ROW(),FALSE)</f>
        <v>0</v>
      </c>
      <c r="AD7360" s="580">
        <f t="shared" si="606"/>
        <v>5</v>
      </c>
      <c r="AE7360" s="580">
        <f t="shared" si="607"/>
        <v>2.5</v>
      </c>
      <c r="AF7360" s="580">
        <f t="shared" si="608"/>
        <v>2.5</v>
      </c>
      <c r="AG7360" s="580">
        <f t="shared" si="609"/>
        <v>0</v>
      </c>
      <c r="AH7360" s="580">
        <f t="shared" si="610"/>
        <v>0</v>
      </c>
    </row>
    <row r="7361" spans="28:34">
      <c r="AB7361" s="580">
        <f>HLOOKUP("*"&amp;'Output annual'!$AC$2&amp;'Output annual'!$AD$2&amp;"*Zone People Number Of Occupants [](Hourly)",'Eplus results'!$1:$1048576,ROW(),FALSE)</f>
        <v>0</v>
      </c>
      <c r="AC7361" s="580">
        <f>HLOOKUP("*"&amp;'Output annual'!$AC$2&amp;'Output annual'!$AD$2&amp;"*FangerPMV(Hourly)",'Eplus results'!$1:$1048576,ROW(),FALSE)</f>
        <v>0</v>
      </c>
      <c r="AD7361" s="580">
        <f t="shared" si="606"/>
        <v>5</v>
      </c>
      <c r="AE7361" s="580">
        <f t="shared" si="607"/>
        <v>2.5</v>
      </c>
      <c r="AF7361" s="580">
        <f t="shared" si="608"/>
        <v>2.5</v>
      </c>
      <c r="AG7361" s="580">
        <f t="shared" si="609"/>
        <v>0</v>
      </c>
      <c r="AH7361" s="580">
        <f t="shared" si="610"/>
        <v>0</v>
      </c>
    </row>
    <row r="7362" spans="28:34">
      <c r="AB7362" s="580">
        <f>HLOOKUP("*"&amp;'Output annual'!$AC$2&amp;'Output annual'!$AD$2&amp;"*Zone People Number Of Occupants [](Hourly)",'Eplus results'!$1:$1048576,ROW(),FALSE)</f>
        <v>0</v>
      </c>
      <c r="AC7362" s="580">
        <f>HLOOKUP("*"&amp;'Output annual'!$AC$2&amp;'Output annual'!$AD$2&amp;"*FangerPMV(Hourly)",'Eplus results'!$1:$1048576,ROW(),FALSE)</f>
        <v>0</v>
      </c>
      <c r="AD7362" s="580">
        <f t="shared" si="606"/>
        <v>5</v>
      </c>
      <c r="AE7362" s="580">
        <f t="shared" si="607"/>
        <v>2.5</v>
      </c>
      <c r="AF7362" s="580">
        <f t="shared" si="608"/>
        <v>2.5</v>
      </c>
      <c r="AG7362" s="580">
        <f t="shared" si="609"/>
        <v>0</v>
      </c>
      <c r="AH7362" s="580">
        <f t="shared" si="610"/>
        <v>0</v>
      </c>
    </row>
    <row r="7363" spans="28:34">
      <c r="AB7363" s="580">
        <f>HLOOKUP("*"&amp;'Output annual'!$AC$2&amp;'Output annual'!$AD$2&amp;"*Zone People Number Of Occupants [](Hourly)",'Eplus results'!$1:$1048576,ROW(),FALSE)</f>
        <v>0</v>
      </c>
      <c r="AC7363" s="580">
        <f>HLOOKUP("*"&amp;'Output annual'!$AC$2&amp;'Output annual'!$AD$2&amp;"*FangerPMV(Hourly)",'Eplus results'!$1:$1048576,ROW(),FALSE)</f>
        <v>0</v>
      </c>
      <c r="AD7363" s="580">
        <f t="shared" ref="AD7363:AD7426" si="611">100-95*EXP(-0.03353*AC7363^4-0.2179*AC7363^2)</f>
        <v>5</v>
      </c>
      <c r="AE7363" s="580">
        <f t="shared" ref="AE7363:AE7426" si="612">AD7363*(1/(1+EXP(-6.3*$AC7363)))</f>
        <v>2.5</v>
      </c>
      <c r="AF7363" s="580">
        <f t="shared" ref="AF7363:AF7426" si="613">(AD7363-AE7363)</f>
        <v>2.5</v>
      </c>
      <c r="AG7363" s="580">
        <f t="shared" ref="AG7363:AG7426" si="614">AE7363*AB7363</f>
        <v>0</v>
      </c>
      <c r="AH7363" s="580">
        <f t="shared" ref="AH7363:AH7426" si="615">AF7363*AB7363</f>
        <v>0</v>
      </c>
    </row>
    <row r="7364" spans="28:34">
      <c r="AB7364" s="580">
        <f>HLOOKUP("*"&amp;'Output annual'!$AC$2&amp;'Output annual'!$AD$2&amp;"*Zone People Number Of Occupants [](Hourly)",'Eplus results'!$1:$1048576,ROW(),FALSE)</f>
        <v>0</v>
      </c>
      <c r="AC7364" s="580">
        <f>HLOOKUP("*"&amp;'Output annual'!$AC$2&amp;'Output annual'!$AD$2&amp;"*FangerPMV(Hourly)",'Eplus results'!$1:$1048576,ROW(),FALSE)</f>
        <v>0</v>
      </c>
      <c r="AD7364" s="580">
        <f t="shared" si="611"/>
        <v>5</v>
      </c>
      <c r="AE7364" s="580">
        <f t="shared" si="612"/>
        <v>2.5</v>
      </c>
      <c r="AF7364" s="580">
        <f t="shared" si="613"/>
        <v>2.5</v>
      </c>
      <c r="AG7364" s="580">
        <f t="shared" si="614"/>
        <v>0</v>
      </c>
      <c r="AH7364" s="580">
        <f t="shared" si="615"/>
        <v>0</v>
      </c>
    </row>
    <row r="7365" spans="28:34">
      <c r="AB7365" s="580">
        <f>HLOOKUP("*"&amp;'Output annual'!$AC$2&amp;'Output annual'!$AD$2&amp;"*Zone People Number Of Occupants [](Hourly)",'Eplus results'!$1:$1048576,ROW(),FALSE)</f>
        <v>0</v>
      </c>
      <c r="AC7365" s="580">
        <f>HLOOKUP("*"&amp;'Output annual'!$AC$2&amp;'Output annual'!$AD$2&amp;"*FangerPMV(Hourly)",'Eplus results'!$1:$1048576,ROW(),FALSE)</f>
        <v>0</v>
      </c>
      <c r="AD7365" s="580">
        <f t="shared" si="611"/>
        <v>5</v>
      </c>
      <c r="AE7365" s="580">
        <f t="shared" si="612"/>
        <v>2.5</v>
      </c>
      <c r="AF7365" s="580">
        <f t="shared" si="613"/>
        <v>2.5</v>
      </c>
      <c r="AG7365" s="580">
        <f t="shared" si="614"/>
        <v>0</v>
      </c>
      <c r="AH7365" s="580">
        <f t="shared" si="615"/>
        <v>0</v>
      </c>
    </row>
    <row r="7366" spans="28:34">
      <c r="AB7366" s="580">
        <f>HLOOKUP("*"&amp;'Output annual'!$AC$2&amp;'Output annual'!$AD$2&amp;"*Zone People Number Of Occupants [](Hourly)",'Eplus results'!$1:$1048576,ROW(),FALSE)</f>
        <v>0</v>
      </c>
      <c r="AC7366" s="580">
        <f>HLOOKUP("*"&amp;'Output annual'!$AC$2&amp;'Output annual'!$AD$2&amp;"*FangerPMV(Hourly)",'Eplus results'!$1:$1048576,ROW(),FALSE)</f>
        <v>0</v>
      </c>
      <c r="AD7366" s="580">
        <f t="shared" si="611"/>
        <v>5</v>
      </c>
      <c r="AE7366" s="580">
        <f t="shared" si="612"/>
        <v>2.5</v>
      </c>
      <c r="AF7366" s="580">
        <f t="shared" si="613"/>
        <v>2.5</v>
      </c>
      <c r="AG7366" s="580">
        <f t="shared" si="614"/>
        <v>0</v>
      </c>
      <c r="AH7366" s="580">
        <f t="shared" si="615"/>
        <v>0</v>
      </c>
    </row>
    <row r="7367" spans="28:34">
      <c r="AB7367" s="580">
        <f>HLOOKUP("*"&amp;'Output annual'!$AC$2&amp;'Output annual'!$AD$2&amp;"*Zone People Number Of Occupants [](Hourly)",'Eplus results'!$1:$1048576,ROW(),FALSE)</f>
        <v>0</v>
      </c>
      <c r="AC7367" s="580">
        <f>HLOOKUP("*"&amp;'Output annual'!$AC$2&amp;'Output annual'!$AD$2&amp;"*FangerPMV(Hourly)",'Eplus results'!$1:$1048576,ROW(),FALSE)</f>
        <v>0</v>
      </c>
      <c r="AD7367" s="580">
        <f t="shared" si="611"/>
        <v>5</v>
      </c>
      <c r="AE7367" s="580">
        <f t="shared" si="612"/>
        <v>2.5</v>
      </c>
      <c r="AF7367" s="580">
        <f t="shared" si="613"/>
        <v>2.5</v>
      </c>
      <c r="AG7367" s="580">
        <f t="shared" si="614"/>
        <v>0</v>
      </c>
      <c r="AH7367" s="580">
        <f t="shared" si="615"/>
        <v>0</v>
      </c>
    </row>
    <row r="7368" spans="28:34">
      <c r="AB7368" s="580">
        <f>HLOOKUP("*"&amp;'Output annual'!$AC$2&amp;'Output annual'!$AD$2&amp;"*Zone People Number Of Occupants [](Hourly)",'Eplus results'!$1:$1048576,ROW(),FALSE)</f>
        <v>0</v>
      </c>
      <c r="AC7368" s="580">
        <f>HLOOKUP("*"&amp;'Output annual'!$AC$2&amp;'Output annual'!$AD$2&amp;"*FangerPMV(Hourly)",'Eplus results'!$1:$1048576,ROW(),FALSE)</f>
        <v>0</v>
      </c>
      <c r="AD7368" s="580">
        <f t="shared" si="611"/>
        <v>5</v>
      </c>
      <c r="AE7368" s="580">
        <f t="shared" si="612"/>
        <v>2.5</v>
      </c>
      <c r="AF7368" s="580">
        <f t="shared" si="613"/>
        <v>2.5</v>
      </c>
      <c r="AG7368" s="580">
        <f t="shared" si="614"/>
        <v>0</v>
      </c>
      <c r="AH7368" s="580">
        <f t="shared" si="615"/>
        <v>0</v>
      </c>
    </row>
    <row r="7369" spans="28:34">
      <c r="AB7369" s="580">
        <f>HLOOKUP("*"&amp;'Output annual'!$AC$2&amp;'Output annual'!$AD$2&amp;"*Zone People Number Of Occupants [](Hourly)",'Eplus results'!$1:$1048576,ROW(),FALSE)</f>
        <v>0</v>
      </c>
      <c r="AC7369" s="580">
        <f>HLOOKUP("*"&amp;'Output annual'!$AC$2&amp;'Output annual'!$AD$2&amp;"*FangerPMV(Hourly)",'Eplus results'!$1:$1048576,ROW(),FALSE)</f>
        <v>0</v>
      </c>
      <c r="AD7369" s="580">
        <f t="shared" si="611"/>
        <v>5</v>
      </c>
      <c r="AE7369" s="580">
        <f t="shared" si="612"/>
        <v>2.5</v>
      </c>
      <c r="AF7369" s="580">
        <f t="shared" si="613"/>
        <v>2.5</v>
      </c>
      <c r="AG7369" s="580">
        <f t="shared" si="614"/>
        <v>0</v>
      </c>
      <c r="AH7369" s="580">
        <f t="shared" si="615"/>
        <v>0</v>
      </c>
    </row>
    <row r="7370" spans="28:34">
      <c r="AB7370" s="580">
        <f>HLOOKUP("*"&amp;'Output annual'!$AC$2&amp;'Output annual'!$AD$2&amp;"*Zone People Number Of Occupants [](Hourly)",'Eplus results'!$1:$1048576,ROW(),FALSE)</f>
        <v>0</v>
      </c>
      <c r="AC7370" s="580">
        <f>HLOOKUP("*"&amp;'Output annual'!$AC$2&amp;'Output annual'!$AD$2&amp;"*FangerPMV(Hourly)",'Eplus results'!$1:$1048576,ROW(),FALSE)</f>
        <v>0</v>
      </c>
      <c r="AD7370" s="580">
        <f t="shared" si="611"/>
        <v>5</v>
      </c>
      <c r="AE7370" s="580">
        <f t="shared" si="612"/>
        <v>2.5</v>
      </c>
      <c r="AF7370" s="580">
        <f t="shared" si="613"/>
        <v>2.5</v>
      </c>
      <c r="AG7370" s="580">
        <f t="shared" si="614"/>
        <v>0</v>
      </c>
      <c r="AH7370" s="580">
        <f t="shared" si="615"/>
        <v>0</v>
      </c>
    </row>
    <row r="7371" spans="28:34">
      <c r="AB7371" s="580">
        <f>HLOOKUP("*"&amp;'Output annual'!$AC$2&amp;'Output annual'!$AD$2&amp;"*Zone People Number Of Occupants [](Hourly)",'Eplus results'!$1:$1048576,ROW(),FALSE)</f>
        <v>0</v>
      </c>
      <c r="AC7371" s="580">
        <f>HLOOKUP("*"&amp;'Output annual'!$AC$2&amp;'Output annual'!$AD$2&amp;"*FangerPMV(Hourly)",'Eplus results'!$1:$1048576,ROW(),FALSE)</f>
        <v>0</v>
      </c>
      <c r="AD7371" s="580">
        <f t="shared" si="611"/>
        <v>5</v>
      </c>
      <c r="AE7371" s="580">
        <f t="shared" si="612"/>
        <v>2.5</v>
      </c>
      <c r="AF7371" s="580">
        <f t="shared" si="613"/>
        <v>2.5</v>
      </c>
      <c r="AG7371" s="580">
        <f t="shared" si="614"/>
        <v>0</v>
      </c>
      <c r="AH7371" s="580">
        <f t="shared" si="615"/>
        <v>0</v>
      </c>
    </row>
    <row r="7372" spans="28:34">
      <c r="AB7372" s="580">
        <f>HLOOKUP("*"&amp;'Output annual'!$AC$2&amp;'Output annual'!$AD$2&amp;"*Zone People Number Of Occupants [](Hourly)",'Eplus results'!$1:$1048576,ROW(),FALSE)</f>
        <v>0</v>
      </c>
      <c r="AC7372" s="580">
        <f>HLOOKUP("*"&amp;'Output annual'!$AC$2&amp;'Output annual'!$AD$2&amp;"*FangerPMV(Hourly)",'Eplus results'!$1:$1048576,ROW(),FALSE)</f>
        <v>0</v>
      </c>
      <c r="AD7372" s="580">
        <f t="shared" si="611"/>
        <v>5</v>
      </c>
      <c r="AE7372" s="580">
        <f t="shared" si="612"/>
        <v>2.5</v>
      </c>
      <c r="AF7372" s="580">
        <f t="shared" si="613"/>
        <v>2.5</v>
      </c>
      <c r="AG7372" s="580">
        <f t="shared" si="614"/>
        <v>0</v>
      </c>
      <c r="AH7372" s="580">
        <f t="shared" si="615"/>
        <v>0</v>
      </c>
    </row>
    <row r="7373" spans="28:34">
      <c r="AB7373" s="580">
        <f>HLOOKUP("*"&amp;'Output annual'!$AC$2&amp;'Output annual'!$AD$2&amp;"*Zone People Number Of Occupants [](Hourly)",'Eplus results'!$1:$1048576,ROW(),FALSE)</f>
        <v>0</v>
      </c>
      <c r="AC7373" s="580">
        <f>HLOOKUP("*"&amp;'Output annual'!$AC$2&amp;'Output annual'!$AD$2&amp;"*FangerPMV(Hourly)",'Eplus results'!$1:$1048576,ROW(),FALSE)</f>
        <v>0</v>
      </c>
      <c r="AD7373" s="580">
        <f t="shared" si="611"/>
        <v>5</v>
      </c>
      <c r="AE7373" s="580">
        <f t="shared" si="612"/>
        <v>2.5</v>
      </c>
      <c r="AF7373" s="580">
        <f t="shared" si="613"/>
        <v>2.5</v>
      </c>
      <c r="AG7373" s="580">
        <f t="shared" si="614"/>
        <v>0</v>
      </c>
      <c r="AH7373" s="580">
        <f t="shared" si="615"/>
        <v>0</v>
      </c>
    </row>
    <row r="7374" spans="28:34">
      <c r="AB7374" s="580">
        <f>HLOOKUP("*"&amp;'Output annual'!$AC$2&amp;'Output annual'!$AD$2&amp;"*Zone People Number Of Occupants [](Hourly)",'Eplus results'!$1:$1048576,ROW(),FALSE)</f>
        <v>0</v>
      </c>
      <c r="AC7374" s="580">
        <f>HLOOKUP("*"&amp;'Output annual'!$AC$2&amp;'Output annual'!$AD$2&amp;"*FangerPMV(Hourly)",'Eplus results'!$1:$1048576,ROW(),FALSE)</f>
        <v>0</v>
      </c>
      <c r="AD7374" s="580">
        <f t="shared" si="611"/>
        <v>5</v>
      </c>
      <c r="AE7374" s="580">
        <f t="shared" si="612"/>
        <v>2.5</v>
      </c>
      <c r="AF7374" s="580">
        <f t="shared" si="613"/>
        <v>2.5</v>
      </c>
      <c r="AG7374" s="580">
        <f t="shared" si="614"/>
        <v>0</v>
      </c>
      <c r="AH7374" s="580">
        <f t="shared" si="615"/>
        <v>0</v>
      </c>
    </row>
    <row r="7375" spans="28:34">
      <c r="AB7375" s="580">
        <f>HLOOKUP("*"&amp;'Output annual'!$AC$2&amp;'Output annual'!$AD$2&amp;"*Zone People Number Of Occupants [](Hourly)",'Eplus results'!$1:$1048576,ROW(),FALSE)</f>
        <v>0</v>
      </c>
      <c r="AC7375" s="580">
        <f>HLOOKUP("*"&amp;'Output annual'!$AC$2&amp;'Output annual'!$AD$2&amp;"*FangerPMV(Hourly)",'Eplus results'!$1:$1048576,ROW(),FALSE)</f>
        <v>0</v>
      </c>
      <c r="AD7375" s="580">
        <f t="shared" si="611"/>
        <v>5</v>
      </c>
      <c r="AE7375" s="580">
        <f t="shared" si="612"/>
        <v>2.5</v>
      </c>
      <c r="AF7375" s="580">
        <f t="shared" si="613"/>
        <v>2.5</v>
      </c>
      <c r="AG7375" s="580">
        <f t="shared" si="614"/>
        <v>0</v>
      </c>
      <c r="AH7375" s="580">
        <f t="shared" si="615"/>
        <v>0</v>
      </c>
    </row>
    <row r="7376" spans="28:34">
      <c r="AB7376" s="580">
        <f>HLOOKUP("*"&amp;'Output annual'!$AC$2&amp;'Output annual'!$AD$2&amp;"*Zone People Number Of Occupants [](Hourly)",'Eplus results'!$1:$1048576,ROW(),FALSE)</f>
        <v>0</v>
      </c>
      <c r="AC7376" s="580">
        <f>HLOOKUP("*"&amp;'Output annual'!$AC$2&amp;'Output annual'!$AD$2&amp;"*FangerPMV(Hourly)",'Eplus results'!$1:$1048576,ROW(),FALSE)</f>
        <v>0</v>
      </c>
      <c r="AD7376" s="580">
        <f t="shared" si="611"/>
        <v>5</v>
      </c>
      <c r="AE7376" s="580">
        <f t="shared" si="612"/>
        <v>2.5</v>
      </c>
      <c r="AF7376" s="580">
        <f t="shared" si="613"/>
        <v>2.5</v>
      </c>
      <c r="AG7376" s="580">
        <f t="shared" si="614"/>
        <v>0</v>
      </c>
      <c r="AH7376" s="580">
        <f t="shared" si="615"/>
        <v>0</v>
      </c>
    </row>
    <row r="7377" spans="28:34">
      <c r="AB7377" s="580">
        <f>HLOOKUP("*"&amp;'Output annual'!$AC$2&amp;'Output annual'!$AD$2&amp;"*Zone People Number Of Occupants [](Hourly)",'Eplus results'!$1:$1048576,ROW(),FALSE)</f>
        <v>0</v>
      </c>
      <c r="AC7377" s="580">
        <f>HLOOKUP("*"&amp;'Output annual'!$AC$2&amp;'Output annual'!$AD$2&amp;"*FangerPMV(Hourly)",'Eplus results'!$1:$1048576,ROW(),FALSE)</f>
        <v>0</v>
      </c>
      <c r="AD7377" s="580">
        <f t="shared" si="611"/>
        <v>5</v>
      </c>
      <c r="AE7377" s="580">
        <f t="shared" si="612"/>
        <v>2.5</v>
      </c>
      <c r="AF7377" s="580">
        <f t="shared" si="613"/>
        <v>2.5</v>
      </c>
      <c r="AG7377" s="580">
        <f t="shared" si="614"/>
        <v>0</v>
      </c>
      <c r="AH7377" s="580">
        <f t="shared" si="615"/>
        <v>0</v>
      </c>
    </row>
    <row r="7378" spans="28:34">
      <c r="AB7378" s="580">
        <f>HLOOKUP("*"&amp;'Output annual'!$AC$2&amp;'Output annual'!$AD$2&amp;"*Zone People Number Of Occupants [](Hourly)",'Eplus results'!$1:$1048576,ROW(),FALSE)</f>
        <v>0</v>
      </c>
      <c r="AC7378" s="580">
        <f>HLOOKUP("*"&amp;'Output annual'!$AC$2&amp;'Output annual'!$AD$2&amp;"*FangerPMV(Hourly)",'Eplus results'!$1:$1048576,ROW(),FALSE)</f>
        <v>0</v>
      </c>
      <c r="AD7378" s="580">
        <f t="shared" si="611"/>
        <v>5</v>
      </c>
      <c r="AE7378" s="580">
        <f t="shared" si="612"/>
        <v>2.5</v>
      </c>
      <c r="AF7378" s="580">
        <f t="shared" si="613"/>
        <v>2.5</v>
      </c>
      <c r="AG7378" s="580">
        <f t="shared" si="614"/>
        <v>0</v>
      </c>
      <c r="AH7378" s="580">
        <f t="shared" si="615"/>
        <v>0</v>
      </c>
    </row>
    <row r="7379" spans="28:34">
      <c r="AB7379" s="580">
        <f>HLOOKUP("*"&amp;'Output annual'!$AC$2&amp;'Output annual'!$AD$2&amp;"*Zone People Number Of Occupants [](Hourly)",'Eplus results'!$1:$1048576,ROW(),FALSE)</f>
        <v>0</v>
      </c>
      <c r="AC7379" s="580">
        <f>HLOOKUP("*"&amp;'Output annual'!$AC$2&amp;'Output annual'!$AD$2&amp;"*FangerPMV(Hourly)",'Eplus results'!$1:$1048576,ROW(),FALSE)</f>
        <v>0</v>
      </c>
      <c r="AD7379" s="580">
        <f t="shared" si="611"/>
        <v>5</v>
      </c>
      <c r="AE7379" s="580">
        <f t="shared" si="612"/>
        <v>2.5</v>
      </c>
      <c r="AF7379" s="580">
        <f t="shared" si="613"/>
        <v>2.5</v>
      </c>
      <c r="AG7379" s="580">
        <f t="shared" si="614"/>
        <v>0</v>
      </c>
      <c r="AH7379" s="580">
        <f t="shared" si="615"/>
        <v>0</v>
      </c>
    </row>
    <row r="7380" spans="28:34">
      <c r="AB7380" s="580">
        <f>HLOOKUP("*"&amp;'Output annual'!$AC$2&amp;'Output annual'!$AD$2&amp;"*Zone People Number Of Occupants [](Hourly)",'Eplus results'!$1:$1048576,ROW(),FALSE)</f>
        <v>0</v>
      </c>
      <c r="AC7380" s="580">
        <f>HLOOKUP("*"&amp;'Output annual'!$AC$2&amp;'Output annual'!$AD$2&amp;"*FangerPMV(Hourly)",'Eplus results'!$1:$1048576,ROW(),FALSE)</f>
        <v>0</v>
      </c>
      <c r="AD7380" s="580">
        <f t="shared" si="611"/>
        <v>5</v>
      </c>
      <c r="AE7380" s="580">
        <f t="shared" si="612"/>
        <v>2.5</v>
      </c>
      <c r="AF7380" s="580">
        <f t="shared" si="613"/>
        <v>2.5</v>
      </c>
      <c r="AG7380" s="580">
        <f t="shared" si="614"/>
        <v>0</v>
      </c>
      <c r="AH7380" s="580">
        <f t="shared" si="615"/>
        <v>0</v>
      </c>
    </row>
    <row r="7381" spans="28:34">
      <c r="AB7381" s="580">
        <f>HLOOKUP("*"&amp;'Output annual'!$AC$2&amp;'Output annual'!$AD$2&amp;"*Zone People Number Of Occupants [](Hourly)",'Eplus results'!$1:$1048576,ROW(),FALSE)</f>
        <v>0</v>
      </c>
      <c r="AC7381" s="580">
        <f>HLOOKUP("*"&amp;'Output annual'!$AC$2&amp;'Output annual'!$AD$2&amp;"*FangerPMV(Hourly)",'Eplus results'!$1:$1048576,ROW(),FALSE)</f>
        <v>0</v>
      </c>
      <c r="AD7381" s="580">
        <f t="shared" si="611"/>
        <v>5</v>
      </c>
      <c r="AE7381" s="580">
        <f t="shared" si="612"/>
        <v>2.5</v>
      </c>
      <c r="AF7381" s="580">
        <f t="shared" si="613"/>
        <v>2.5</v>
      </c>
      <c r="AG7381" s="580">
        <f t="shared" si="614"/>
        <v>0</v>
      </c>
      <c r="AH7381" s="580">
        <f t="shared" si="615"/>
        <v>0</v>
      </c>
    </row>
    <row r="7382" spans="28:34">
      <c r="AB7382" s="580">
        <f>HLOOKUP("*"&amp;'Output annual'!$AC$2&amp;'Output annual'!$AD$2&amp;"*Zone People Number Of Occupants [](Hourly)",'Eplus results'!$1:$1048576,ROW(),FALSE)</f>
        <v>0</v>
      </c>
      <c r="AC7382" s="580">
        <f>HLOOKUP("*"&amp;'Output annual'!$AC$2&amp;'Output annual'!$AD$2&amp;"*FangerPMV(Hourly)",'Eplus results'!$1:$1048576,ROW(),FALSE)</f>
        <v>0</v>
      </c>
      <c r="AD7382" s="580">
        <f t="shared" si="611"/>
        <v>5</v>
      </c>
      <c r="AE7382" s="580">
        <f t="shared" si="612"/>
        <v>2.5</v>
      </c>
      <c r="AF7382" s="580">
        <f t="shared" si="613"/>
        <v>2.5</v>
      </c>
      <c r="AG7382" s="580">
        <f t="shared" si="614"/>
        <v>0</v>
      </c>
      <c r="AH7382" s="580">
        <f t="shared" si="615"/>
        <v>0</v>
      </c>
    </row>
    <row r="7383" spans="28:34">
      <c r="AB7383" s="580">
        <f>HLOOKUP("*"&amp;'Output annual'!$AC$2&amp;'Output annual'!$AD$2&amp;"*Zone People Number Of Occupants [](Hourly)",'Eplus results'!$1:$1048576,ROW(),FALSE)</f>
        <v>0</v>
      </c>
      <c r="AC7383" s="580">
        <f>HLOOKUP("*"&amp;'Output annual'!$AC$2&amp;'Output annual'!$AD$2&amp;"*FangerPMV(Hourly)",'Eplus results'!$1:$1048576,ROW(),FALSE)</f>
        <v>0</v>
      </c>
      <c r="AD7383" s="580">
        <f t="shared" si="611"/>
        <v>5</v>
      </c>
      <c r="AE7383" s="580">
        <f t="shared" si="612"/>
        <v>2.5</v>
      </c>
      <c r="AF7383" s="580">
        <f t="shared" si="613"/>
        <v>2.5</v>
      </c>
      <c r="AG7383" s="580">
        <f t="shared" si="614"/>
        <v>0</v>
      </c>
      <c r="AH7383" s="580">
        <f t="shared" si="615"/>
        <v>0</v>
      </c>
    </row>
    <row r="7384" spans="28:34">
      <c r="AB7384" s="580">
        <f>HLOOKUP("*"&amp;'Output annual'!$AC$2&amp;'Output annual'!$AD$2&amp;"*Zone People Number Of Occupants [](Hourly)",'Eplus results'!$1:$1048576,ROW(),FALSE)</f>
        <v>0</v>
      </c>
      <c r="AC7384" s="580">
        <f>HLOOKUP("*"&amp;'Output annual'!$AC$2&amp;'Output annual'!$AD$2&amp;"*FangerPMV(Hourly)",'Eplus results'!$1:$1048576,ROW(),FALSE)</f>
        <v>0</v>
      </c>
      <c r="AD7384" s="580">
        <f t="shared" si="611"/>
        <v>5</v>
      </c>
      <c r="AE7384" s="580">
        <f t="shared" si="612"/>
        <v>2.5</v>
      </c>
      <c r="AF7384" s="580">
        <f t="shared" si="613"/>
        <v>2.5</v>
      </c>
      <c r="AG7384" s="580">
        <f t="shared" si="614"/>
        <v>0</v>
      </c>
      <c r="AH7384" s="580">
        <f t="shared" si="615"/>
        <v>0</v>
      </c>
    </row>
    <row r="7385" spans="28:34">
      <c r="AB7385" s="580">
        <f>HLOOKUP("*"&amp;'Output annual'!$AC$2&amp;'Output annual'!$AD$2&amp;"*Zone People Number Of Occupants [](Hourly)",'Eplus results'!$1:$1048576,ROW(),FALSE)</f>
        <v>0</v>
      </c>
      <c r="AC7385" s="580">
        <f>HLOOKUP("*"&amp;'Output annual'!$AC$2&amp;'Output annual'!$AD$2&amp;"*FangerPMV(Hourly)",'Eplus results'!$1:$1048576,ROW(),FALSE)</f>
        <v>0</v>
      </c>
      <c r="AD7385" s="580">
        <f t="shared" si="611"/>
        <v>5</v>
      </c>
      <c r="AE7385" s="580">
        <f t="shared" si="612"/>
        <v>2.5</v>
      </c>
      <c r="AF7385" s="580">
        <f t="shared" si="613"/>
        <v>2.5</v>
      </c>
      <c r="AG7385" s="580">
        <f t="shared" si="614"/>
        <v>0</v>
      </c>
      <c r="AH7385" s="580">
        <f t="shared" si="615"/>
        <v>0</v>
      </c>
    </row>
    <row r="7386" spans="28:34">
      <c r="AB7386" s="580">
        <f>HLOOKUP("*"&amp;'Output annual'!$AC$2&amp;'Output annual'!$AD$2&amp;"*Zone People Number Of Occupants [](Hourly)",'Eplus results'!$1:$1048576,ROW(),FALSE)</f>
        <v>0</v>
      </c>
      <c r="AC7386" s="580">
        <f>HLOOKUP("*"&amp;'Output annual'!$AC$2&amp;'Output annual'!$AD$2&amp;"*FangerPMV(Hourly)",'Eplus results'!$1:$1048576,ROW(),FALSE)</f>
        <v>0</v>
      </c>
      <c r="AD7386" s="580">
        <f t="shared" si="611"/>
        <v>5</v>
      </c>
      <c r="AE7386" s="580">
        <f t="shared" si="612"/>
        <v>2.5</v>
      </c>
      <c r="AF7386" s="580">
        <f t="shared" si="613"/>
        <v>2.5</v>
      </c>
      <c r="AG7386" s="580">
        <f t="shared" si="614"/>
        <v>0</v>
      </c>
      <c r="AH7386" s="580">
        <f t="shared" si="615"/>
        <v>0</v>
      </c>
    </row>
    <row r="7387" spans="28:34">
      <c r="AB7387" s="580">
        <f>HLOOKUP("*"&amp;'Output annual'!$AC$2&amp;'Output annual'!$AD$2&amp;"*Zone People Number Of Occupants [](Hourly)",'Eplus results'!$1:$1048576,ROW(),FALSE)</f>
        <v>0</v>
      </c>
      <c r="AC7387" s="580">
        <f>HLOOKUP("*"&amp;'Output annual'!$AC$2&amp;'Output annual'!$AD$2&amp;"*FangerPMV(Hourly)",'Eplus results'!$1:$1048576,ROW(),FALSE)</f>
        <v>0</v>
      </c>
      <c r="AD7387" s="580">
        <f t="shared" si="611"/>
        <v>5</v>
      </c>
      <c r="AE7387" s="580">
        <f t="shared" si="612"/>
        <v>2.5</v>
      </c>
      <c r="AF7387" s="580">
        <f t="shared" si="613"/>
        <v>2.5</v>
      </c>
      <c r="AG7387" s="580">
        <f t="shared" si="614"/>
        <v>0</v>
      </c>
      <c r="AH7387" s="580">
        <f t="shared" si="615"/>
        <v>0</v>
      </c>
    </row>
    <row r="7388" spans="28:34">
      <c r="AB7388" s="580">
        <f>HLOOKUP("*"&amp;'Output annual'!$AC$2&amp;'Output annual'!$AD$2&amp;"*Zone People Number Of Occupants [](Hourly)",'Eplus results'!$1:$1048576,ROW(),FALSE)</f>
        <v>0</v>
      </c>
      <c r="AC7388" s="580">
        <f>HLOOKUP("*"&amp;'Output annual'!$AC$2&amp;'Output annual'!$AD$2&amp;"*FangerPMV(Hourly)",'Eplus results'!$1:$1048576,ROW(),FALSE)</f>
        <v>0</v>
      </c>
      <c r="AD7388" s="580">
        <f t="shared" si="611"/>
        <v>5</v>
      </c>
      <c r="AE7388" s="580">
        <f t="shared" si="612"/>
        <v>2.5</v>
      </c>
      <c r="AF7388" s="580">
        <f t="shared" si="613"/>
        <v>2.5</v>
      </c>
      <c r="AG7388" s="580">
        <f t="shared" si="614"/>
        <v>0</v>
      </c>
      <c r="AH7388" s="580">
        <f t="shared" si="615"/>
        <v>0</v>
      </c>
    </row>
    <row r="7389" spans="28:34">
      <c r="AB7389" s="580">
        <f>HLOOKUP("*"&amp;'Output annual'!$AC$2&amp;'Output annual'!$AD$2&amp;"*Zone People Number Of Occupants [](Hourly)",'Eplus results'!$1:$1048576,ROW(),FALSE)</f>
        <v>0</v>
      </c>
      <c r="AC7389" s="580">
        <f>HLOOKUP("*"&amp;'Output annual'!$AC$2&amp;'Output annual'!$AD$2&amp;"*FangerPMV(Hourly)",'Eplus results'!$1:$1048576,ROW(),FALSE)</f>
        <v>0</v>
      </c>
      <c r="AD7389" s="580">
        <f t="shared" si="611"/>
        <v>5</v>
      </c>
      <c r="AE7389" s="580">
        <f t="shared" si="612"/>
        <v>2.5</v>
      </c>
      <c r="AF7389" s="580">
        <f t="shared" si="613"/>
        <v>2.5</v>
      </c>
      <c r="AG7389" s="580">
        <f t="shared" si="614"/>
        <v>0</v>
      </c>
      <c r="AH7389" s="580">
        <f t="shared" si="615"/>
        <v>0</v>
      </c>
    </row>
    <row r="7390" spans="28:34">
      <c r="AB7390" s="580">
        <f>HLOOKUP("*"&amp;'Output annual'!$AC$2&amp;'Output annual'!$AD$2&amp;"*Zone People Number Of Occupants [](Hourly)",'Eplus results'!$1:$1048576,ROW(),FALSE)</f>
        <v>0</v>
      </c>
      <c r="AC7390" s="580">
        <f>HLOOKUP("*"&amp;'Output annual'!$AC$2&amp;'Output annual'!$AD$2&amp;"*FangerPMV(Hourly)",'Eplus results'!$1:$1048576,ROW(),FALSE)</f>
        <v>0</v>
      </c>
      <c r="AD7390" s="580">
        <f t="shared" si="611"/>
        <v>5</v>
      </c>
      <c r="AE7390" s="580">
        <f t="shared" si="612"/>
        <v>2.5</v>
      </c>
      <c r="AF7390" s="580">
        <f t="shared" si="613"/>
        <v>2.5</v>
      </c>
      <c r="AG7390" s="580">
        <f t="shared" si="614"/>
        <v>0</v>
      </c>
      <c r="AH7390" s="580">
        <f t="shared" si="615"/>
        <v>0</v>
      </c>
    </row>
    <row r="7391" spans="28:34">
      <c r="AB7391" s="580">
        <f>HLOOKUP("*"&amp;'Output annual'!$AC$2&amp;'Output annual'!$AD$2&amp;"*Zone People Number Of Occupants [](Hourly)",'Eplus results'!$1:$1048576,ROW(),FALSE)</f>
        <v>0</v>
      </c>
      <c r="AC7391" s="580">
        <f>HLOOKUP("*"&amp;'Output annual'!$AC$2&amp;'Output annual'!$AD$2&amp;"*FangerPMV(Hourly)",'Eplus results'!$1:$1048576,ROW(),FALSE)</f>
        <v>0</v>
      </c>
      <c r="AD7391" s="580">
        <f t="shared" si="611"/>
        <v>5</v>
      </c>
      <c r="AE7391" s="580">
        <f t="shared" si="612"/>
        <v>2.5</v>
      </c>
      <c r="AF7391" s="580">
        <f t="shared" si="613"/>
        <v>2.5</v>
      </c>
      <c r="AG7391" s="580">
        <f t="shared" si="614"/>
        <v>0</v>
      </c>
      <c r="AH7391" s="580">
        <f t="shared" si="615"/>
        <v>0</v>
      </c>
    </row>
    <row r="7392" spans="28:34">
      <c r="AB7392" s="580">
        <f>HLOOKUP("*"&amp;'Output annual'!$AC$2&amp;'Output annual'!$AD$2&amp;"*Zone People Number Of Occupants [](Hourly)",'Eplus results'!$1:$1048576,ROW(),FALSE)</f>
        <v>0</v>
      </c>
      <c r="AC7392" s="580">
        <f>HLOOKUP("*"&amp;'Output annual'!$AC$2&amp;'Output annual'!$AD$2&amp;"*FangerPMV(Hourly)",'Eplus results'!$1:$1048576,ROW(),FALSE)</f>
        <v>0</v>
      </c>
      <c r="AD7392" s="580">
        <f t="shared" si="611"/>
        <v>5</v>
      </c>
      <c r="AE7392" s="580">
        <f t="shared" si="612"/>
        <v>2.5</v>
      </c>
      <c r="AF7392" s="580">
        <f t="shared" si="613"/>
        <v>2.5</v>
      </c>
      <c r="AG7392" s="580">
        <f t="shared" si="614"/>
        <v>0</v>
      </c>
      <c r="AH7392" s="580">
        <f t="shared" si="615"/>
        <v>0</v>
      </c>
    </row>
    <row r="7393" spans="28:34">
      <c r="AB7393" s="580">
        <f>HLOOKUP("*"&amp;'Output annual'!$AC$2&amp;'Output annual'!$AD$2&amp;"*Zone People Number Of Occupants [](Hourly)",'Eplus results'!$1:$1048576,ROW(),FALSE)</f>
        <v>0</v>
      </c>
      <c r="AC7393" s="580">
        <f>HLOOKUP("*"&amp;'Output annual'!$AC$2&amp;'Output annual'!$AD$2&amp;"*FangerPMV(Hourly)",'Eplus results'!$1:$1048576,ROW(),FALSE)</f>
        <v>0</v>
      </c>
      <c r="AD7393" s="580">
        <f t="shared" si="611"/>
        <v>5</v>
      </c>
      <c r="AE7393" s="580">
        <f t="shared" si="612"/>
        <v>2.5</v>
      </c>
      <c r="AF7393" s="580">
        <f t="shared" si="613"/>
        <v>2.5</v>
      </c>
      <c r="AG7393" s="580">
        <f t="shared" si="614"/>
        <v>0</v>
      </c>
      <c r="AH7393" s="580">
        <f t="shared" si="615"/>
        <v>0</v>
      </c>
    </row>
    <row r="7394" spans="28:34">
      <c r="AB7394" s="580">
        <f>HLOOKUP("*"&amp;'Output annual'!$AC$2&amp;'Output annual'!$AD$2&amp;"*Zone People Number Of Occupants [](Hourly)",'Eplus results'!$1:$1048576,ROW(),FALSE)</f>
        <v>0</v>
      </c>
      <c r="AC7394" s="580">
        <f>HLOOKUP("*"&amp;'Output annual'!$AC$2&amp;'Output annual'!$AD$2&amp;"*FangerPMV(Hourly)",'Eplus results'!$1:$1048576,ROW(),FALSE)</f>
        <v>0</v>
      </c>
      <c r="AD7394" s="580">
        <f t="shared" si="611"/>
        <v>5</v>
      </c>
      <c r="AE7394" s="580">
        <f t="shared" si="612"/>
        <v>2.5</v>
      </c>
      <c r="AF7394" s="580">
        <f t="shared" si="613"/>
        <v>2.5</v>
      </c>
      <c r="AG7394" s="580">
        <f t="shared" si="614"/>
        <v>0</v>
      </c>
      <c r="AH7394" s="580">
        <f t="shared" si="615"/>
        <v>0</v>
      </c>
    </row>
    <row r="7395" spans="28:34">
      <c r="AB7395" s="580">
        <f>HLOOKUP("*"&amp;'Output annual'!$AC$2&amp;'Output annual'!$AD$2&amp;"*Zone People Number Of Occupants [](Hourly)",'Eplus results'!$1:$1048576,ROW(),FALSE)</f>
        <v>0</v>
      </c>
      <c r="AC7395" s="580">
        <f>HLOOKUP("*"&amp;'Output annual'!$AC$2&amp;'Output annual'!$AD$2&amp;"*FangerPMV(Hourly)",'Eplus results'!$1:$1048576,ROW(),FALSE)</f>
        <v>0</v>
      </c>
      <c r="AD7395" s="580">
        <f t="shared" si="611"/>
        <v>5</v>
      </c>
      <c r="AE7395" s="580">
        <f t="shared" si="612"/>
        <v>2.5</v>
      </c>
      <c r="AF7395" s="580">
        <f t="shared" si="613"/>
        <v>2.5</v>
      </c>
      <c r="AG7395" s="580">
        <f t="shared" si="614"/>
        <v>0</v>
      </c>
      <c r="AH7395" s="580">
        <f t="shared" si="615"/>
        <v>0</v>
      </c>
    </row>
    <row r="7396" spans="28:34">
      <c r="AB7396" s="580">
        <f>HLOOKUP("*"&amp;'Output annual'!$AC$2&amp;'Output annual'!$AD$2&amp;"*Zone People Number Of Occupants [](Hourly)",'Eplus results'!$1:$1048576,ROW(),FALSE)</f>
        <v>0</v>
      </c>
      <c r="AC7396" s="580">
        <f>HLOOKUP("*"&amp;'Output annual'!$AC$2&amp;'Output annual'!$AD$2&amp;"*FangerPMV(Hourly)",'Eplus results'!$1:$1048576,ROW(),FALSE)</f>
        <v>0</v>
      </c>
      <c r="AD7396" s="580">
        <f t="shared" si="611"/>
        <v>5</v>
      </c>
      <c r="AE7396" s="580">
        <f t="shared" si="612"/>
        <v>2.5</v>
      </c>
      <c r="AF7396" s="580">
        <f t="shared" si="613"/>
        <v>2.5</v>
      </c>
      <c r="AG7396" s="580">
        <f t="shared" si="614"/>
        <v>0</v>
      </c>
      <c r="AH7396" s="580">
        <f t="shared" si="615"/>
        <v>0</v>
      </c>
    </row>
    <row r="7397" spans="28:34">
      <c r="AB7397" s="580">
        <f>HLOOKUP("*"&amp;'Output annual'!$AC$2&amp;'Output annual'!$AD$2&amp;"*Zone People Number Of Occupants [](Hourly)",'Eplus results'!$1:$1048576,ROW(),FALSE)</f>
        <v>0</v>
      </c>
      <c r="AC7397" s="580">
        <f>HLOOKUP("*"&amp;'Output annual'!$AC$2&amp;'Output annual'!$AD$2&amp;"*FangerPMV(Hourly)",'Eplus results'!$1:$1048576,ROW(),FALSE)</f>
        <v>0</v>
      </c>
      <c r="AD7397" s="580">
        <f t="shared" si="611"/>
        <v>5</v>
      </c>
      <c r="AE7397" s="580">
        <f t="shared" si="612"/>
        <v>2.5</v>
      </c>
      <c r="AF7397" s="580">
        <f t="shared" si="613"/>
        <v>2.5</v>
      </c>
      <c r="AG7397" s="580">
        <f t="shared" si="614"/>
        <v>0</v>
      </c>
      <c r="AH7397" s="580">
        <f t="shared" si="615"/>
        <v>0</v>
      </c>
    </row>
    <row r="7398" spans="28:34">
      <c r="AB7398" s="580">
        <f>HLOOKUP("*"&amp;'Output annual'!$AC$2&amp;'Output annual'!$AD$2&amp;"*Zone People Number Of Occupants [](Hourly)",'Eplus results'!$1:$1048576,ROW(),FALSE)</f>
        <v>0</v>
      </c>
      <c r="AC7398" s="580">
        <f>HLOOKUP("*"&amp;'Output annual'!$AC$2&amp;'Output annual'!$AD$2&amp;"*FangerPMV(Hourly)",'Eplus results'!$1:$1048576,ROW(),FALSE)</f>
        <v>0</v>
      </c>
      <c r="AD7398" s="580">
        <f t="shared" si="611"/>
        <v>5</v>
      </c>
      <c r="AE7398" s="580">
        <f t="shared" si="612"/>
        <v>2.5</v>
      </c>
      <c r="AF7398" s="580">
        <f t="shared" si="613"/>
        <v>2.5</v>
      </c>
      <c r="AG7398" s="580">
        <f t="shared" si="614"/>
        <v>0</v>
      </c>
      <c r="AH7398" s="580">
        <f t="shared" si="615"/>
        <v>0</v>
      </c>
    </row>
    <row r="7399" spans="28:34">
      <c r="AB7399" s="580">
        <f>HLOOKUP("*"&amp;'Output annual'!$AC$2&amp;'Output annual'!$AD$2&amp;"*Zone People Number Of Occupants [](Hourly)",'Eplus results'!$1:$1048576,ROW(),FALSE)</f>
        <v>0</v>
      </c>
      <c r="AC7399" s="580">
        <f>HLOOKUP("*"&amp;'Output annual'!$AC$2&amp;'Output annual'!$AD$2&amp;"*FangerPMV(Hourly)",'Eplus results'!$1:$1048576,ROW(),FALSE)</f>
        <v>0</v>
      </c>
      <c r="AD7399" s="580">
        <f t="shared" si="611"/>
        <v>5</v>
      </c>
      <c r="AE7399" s="580">
        <f t="shared" si="612"/>
        <v>2.5</v>
      </c>
      <c r="AF7399" s="580">
        <f t="shared" si="613"/>
        <v>2.5</v>
      </c>
      <c r="AG7399" s="580">
        <f t="shared" si="614"/>
        <v>0</v>
      </c>
      <c r="AH7399" s="580">
        <f t="shared" si="615"/>
        <v>0</v>
      </c>
    </row>
    <row r="7400" spans="28:34">
      <c r="AB7400" s="580">
        <f>HLOOKUP("*"&amp;'Output annual'!$AC$2&amp;'Output annual'!$AD$2&amp;"*Zone People Number Of Occupants [](Hourly)",'Eplus results'!$1:$1048576,ROW(),FALSE)</f>
        <v>0</v>
      </c>
      <c r="AC7400" s="580">
        <f>HLOOKUP("*"&amp;'Output annual'!$AC$2&amp;'Output annual'!$AD$2&amp;"*FangerPMV(Hourly)",'Eplus results'!$1:$1048576,ROW(),FALSE)</f>
        <v>0</v>
      </c>
      <c r="AD7400" s="580">
        <f t="shared" si="611"/>
        <v>5</v>
      </c>
      <c r="AE7400" s="580">
        <f t="shared" si="612"/>
        <v>2.5</v>
      </c>
      <c r="AF7400" s="580">
        <f t="shared" si="613"/>
        <v>2.5</v>
      </c>
      <c r="AG7400" s="580">
        <f t="shared" si="614"/>
        <v>0</v>
      </c>
      <c r="AH7400" s="580">
        <f t="shared" si="615"/>
        <v>0</v>
      </c>
    </row>
    <row r="7401" spans="28:34">
      <c r="AB7401" s="580">
        <f>HLOOKUP("*"&amp;'Output annual'!$AC$2&amp;'Output annual'!$AD$2&amp;"*Zone People Number Of Occupants [](Hourly)",'Eplus results'!$1:$1048576,ROW(),FALSE)</f>
        <v>0</v>
      </c>
      <c r="AC7401" s="580">
        <f>HLOOKUP("*"&amp;'Output annual'!$AC$2&amp;'Output annual'!$AD$2&amp;"*FangerPMV(Hourly)",'Eplus results'!$1:$1048576,ROW(),FALSE)</f>
        <v>0</v>
      </c>
      <c r="AD7401" s="580">
        <f t="shared" si="611"/>
        <v>5</v>
      </c>
      <c r="AE7401" s="580">
        <f t="shared" si="612"/>
        <v>2.5</v>
      </c>
      <c r="AF7401" s="580">
        <f t="shared" si="613"/>
        <v>2.5</v>
      </c>
      <c r="AG7401" s="580">
        <f t="shared" si="614"/>
        <v>0</v>
      </c>
      <c r="AH7401" s="580">
        <f t="shared" si="615"/>
        <v>0</v>
      </c>
    </row>
    <row r="7402" spans="28:34">
      <c r="AB7402" s="580">
        <f>HLOOKUP("*"&amp;'Output annual'!$AC$2&amp;'Output annual'!$AD$2&amp;"*Zone People Number Of Occupants [](Hourly)",'Eplus results'!$1:$1048576,ROW(),FALSE)</f>
        <v>0</v>
      </c>
      <c r="AC7402" s="580">
        <f>HLOOKUP("*"&amp;'Output annual'!$AC$2&amp;'Output annual'!$AD$2&amp;"*FangerPMV(Hourly)",'Eplus results'!$1:$1048576,ROW(),FALSE)</f>
        <v>0</v>
      </c>
      <c r="AD7402" s="580">
        <f t="shared" si="611"/>
        <v>5</v>
      </c>
      <c r="AE7402" s="580">
        <f t="shared" si="612"/>
        <v>2.5</v>
      </c>
      <c r="AF7402" s="580">
        <f t="shared" si="613"/>
        <v>2.5</v>
      </c>
      <c r="AG7402" s="580">
        <f t="shared" si="614"/>
        <v>0</v>
      </c>
      <c r="AH7402" s="580">
        <f t="shared" si="615"/>
        <v>0</v>
      </c>
    </row>
    <row r="7403" spans="28:34">
      <c r="AB7403" s="580">
        <f>HLOOKUP("*"&amp;'Output annual'!$AC$2&amp;'Output annual'!$AD$2&amp;"*Zone People Number Of Occupants [](Hourly)",'Eplus results'!$1:$1048576,ROW(),FALSE)</f>
        <v>0</v>
      </c>
      <c r="AC7403" s="580">
        <f>HLOOKUP("*"&amp;'Output annual'!$AC$2&amp;'Output annual'!$AD$2&amp;"*FangerPMV(Hourly)",'Eplus results'!$1:$1048576,ROW(),FALSE)</f>
        <v>0</v>
      </c>
      <c r="AD7403" s="580">
        <f t="shared" si="611"/>
        <v>5</v>
      </c>
      <c r="AE7403" s="580">
        <f t="shared" si="612"/>
        <v>2.5</v>
      </c>
      <c r="AF7403" s="580">
        <f t="shared" si="613"/>
        <v>2.5</v>
      </c>
      <c r="AG7403" s="580">
        <f t="shared" si="614"/>
        <v>0</v>
      </c>
      <c r="AH7403" s="580">
        <f t="shared" si="615"/>
        <v>0</v>
      </c>
    </row>
    <row r="7404" spans="28:34">
      <c r="AB7404" s="580">
        <f>HLOOKUP("*"&amp;'Output annual'!$AC$2&amp;'Output annual'!$AD$2&amp;"*Zone People Number Of Occupants [](Hourly)",'Eplus results'!$1:$1048576,ROW(),FALSE)</f>
        <v>0</v>
      </c>
      <c r="AC7404" s="580">
        <f>HLOOKUP("*"&amp;'Output annual'!$AC$2&amp;'Output annual'!$AD$2&amp;"*FangerPMV(Hourly)",'Eplus results'!$1:$1048576,ROW(),FALSE)</f>
        <v>0</v>
      </c>
      <c r="AD7404" s="580">
        <f t="shared" si="611"/>
        <v>5</v>
      </c>
      <c r="AE7404" s="580">
        <f t="shared" si="612"/>
        <v>2.5</v>
      </c>
      <c r="AF7404" s="580">
        <f t="shared" si="613"/>
        <v>2.5</v>
      </c>
      <c r="AG7404" s="580">
        <f t="shared" si="614"/>
        <v>0</v>
      </c>
      <c r="AH7404" s="580">
        <f t="shared" si="615"/>
        <v>0</v>
      </c>
    </row>
    <row r="7405" spans="28:34">
      <c r="AB7405" s="580">
        <f>HLOOKUP("*"&amp;'Output annual'!$AC$2&amp;'Output annual'!$AD$2&amp;"*Zone People Number Of Occupants [](Hourly)",'Eplus results'!$1:$1048576,ROW(),FALSE)</f>
        <v>0</v>
      </c>
      <c r="AC7405" s="580">
        <f>HLOOKUP("*"&amp;'Output annual'!$AC$2&amp;'Output annual'!$AD$2&amp;"*FangerPMV(Hourly)",'Eplus results'!$1:$1048576,ROW(),FALSE)</f>
        <v>0</v>
      </c>
      <c r="AD7405" s="580">
        <f t="shared" si="611"/>
        <v>5</v>
      </c>
      <c r="AE7405" s="580">
        <f t="shared" si="612"/>
        <v>2.5</v>
      </c>
      <c r="AF7405" s="580">
        <f t="shared" si="613"/>
        <v>2.5</v>
      </c>
      <c r="AG7405" s="580">
        <f t="shared" si="614"/>
        <v>0</v>
      </c>
      <c r="AH7405" s="580">
        <f t="shared" si="615"/>
        <v>0</v>
      </c>
    </row>
    <row r="7406" spans="28:34">
      <c r="AB7406" s="580">
        <f>HLOOKUP("*"&amp;'Output annual'!$AC$2&amp;'Output annual'!$AD$2&amp;"*Zone People Number Of Occupants [](Hourly)",'Eplus results'!$1:$1048576,ROW(),FALSE)</f>
        <v>0</v>
      </c>
      <c r="AC7406" s="580">
        <f>HLOOKUP("*"&amp;'Output annual'!$AC$2&amp;'Output annual'!$AD$2&amp;"*FangerPMV(Hourly)",'Eplus results'!$1:$1048576,ROW(),FALSE)</f>
        <v>0</v>
      </c>
      <c r="AD7406" s="580">
        <f t="shared" si="611"/>
        <v>5</v>
      </c>
      <c r="AE7406" s="580">
        <f t="shared" si="612"/>
        <v>2.5</v>
      </c>
      <c r="AF7406" s="580">
        <f t="shared" si="613"/>
        <v>2.5</v>
      </c>
      <c r="AG7406" s="580">
        <f t="shared" si="614"/>
        <v>0</v>
      </c>
      <c r="AH7406" s="580">
        <f t="shared" si="615"/>
        <v>0</v>
      </c>
    </row>
    <row r="7407" spans="28:34">
      <c r="AB7407" s="580">
        <f>HLOOKUP("*"&amp;'Output annual'!$AC$2&amp;'Output annual'!$AD$2&amp;"*Zone People Number Of Occupants [](Hourly)",'Eplus results'!$1:$1048576,ROW(),FALSE)</f>
        <v>0</v>
      </c>
      <c r="AC7407" s="580">
        <f>HLOOKUP("*"&amp;'Output annual'!$AC$2&amp;'Output annual'!$AD$2&amp;"*FangerPMV(Hourly)",'Eplus results'!$1:$1048576,ROW(),FALSE)</f>
        <v>0</v>
      </c>
      <c r="AD7407" s="580">
        <f t="shared" si="611"/>
        <v>5</v>
      </c>
      <c r="AE7407" s="580">
        <f t="shared" si="612"/>
        <v>2.5</v>
      </c>
      <c r="AF7407" s="580">
        <f t="shared" si="613"/>
        <v>2.5</v>
      </c>
      <c r="AG7407" s="580">
        <f t="shared" si="614"/>
        <v>0</v>
      </c>
      <c r="AH7407" s="580">
        <f t="shared" si="615"/>
        <v>0</v>
      </c>
    </row>
    <row r="7408" spans="28:34">
      <c r="AB7408" s="580">
        <f>HLOOKUP("*"&amp;'Output annual'!$AC$2&amp;'Output annual'!$AD$2&amp;"*Zone People Number Of Occupants [](Hourly)",'Eplus results'!$1:$1048576,ROW(),FALSE)</f>
        <v>0</v>
      </c>
      <c r="AC7408" s="580">
        <f>HLOOKUP("*"&amp;'Output annual'!$AC$2&amp;'Output annual'!$AD$2&amp;"*FangerPMV(Hourly)",'Eplus results'!$1:$1048576,ROW(),FALSE)</f>
        <v>0</v>
      </c>
      <c r="AD7408" s="580">
        <f t="shared" si="611"/>
        <v>5</v>
      </c>
      <c r="AE7408" s="580">
        <f t="shared" si="612"/>
        <v>2.5</v>
      </c>
      <c r="AF7408" s="580">
        <f t="shared" si="613"/>
        <v>2.5</v>
      </c>
      <c r="AG7408" s="580">
        <f t="shared" si="614"/>
        <v>0</v>
      </c>
      <c r="AH7408" s="580">
        <f t="shared" si="615"/>
        <v>0</v>
      </c>
    </row>
    <row r="7409" spans="28:34">
      <c r="AB7409" s="580">
        <f>HLOOKUP("*"&amp;'Output annual'!$AC$2&amp;'Output annual'!$AD$2&amp;"*Zone People Number Of Occupants [](Hourly)",'Eplus results'!$1:$1048576,ROW(),FALSE)</f>
        <v>0</v>
      </c>
      <c r="AC7409" s="580">
        <f>HLOOKUP("*"&amp;'Output annual'!$AC$2&amp;'Output annual'!$AD$2&amp;"*FangerPMV(Hourly)",'Eplus results'!$1:$1048576,ROW(),FALSE)</f>
        <v>0</v>
      </c>
      <c r="AD7409" s="580">
        <f t="shared" si="611"/>
        <v>5</v>
      </c>
      <c r="AE7409" s="580">
        <f t="shared" si="612"/>
        <v>2.5</v>
      </c>
      <c r="AF7409" s="580">
        <f t="shared" si="613"/>
        <v>2.5</v>
      </c>
      <c r="AG7409" s="580">
        <f t="shared" si="614"/>
        <v>0</v>
      </c>
      <c r="AH7409" s="580">
        <f t="shared" si="615"/>
        <v>0</v>
      </c>
    </row>
    <row r="7410" spans="28:34">
      <c r="AB7410" s="580">
        <f>HLOOKUP("*"&amp;'Output annual'!$AC$2&amp;'Output annual'!$AD$2&amp;"*Zone People Number Of Occupants [](Hourly)",'Eplus results'!$1:$1048576,ROW(),FALSE)</f>
        <v>0</v>
      </c>
      <c r="AC7410" s="580">
        <f>HLOOKUP("*"&amp;'Output annual'!$AC$2&amp;'Output annual'!$AD$2&amp;"*FangerPMV(Hourly)",'Eplus results'!$1:$1048576,ROW(),FALSE)</f>
        <v>0</v>
      </c>
      <c r="AD7410" s="580">
        <f t="shared" si="611"/>
        <v>5</v>
      </c>
      <c r="AE7410" s="580">
        <f t="shared" si="612"/>
        <v>2.5</v>
      </c>
      <c r="AF7410" s="580">
        <f t="shared" si="613"/>
        <v>2.5</v>
      </c>
      <c r="AG7410" s="580">
        <f t="shared" si="614"/>
        <v>0</v>
      </c>
      <c r="AH7410" s="580">
        <f t="shared" si="615"/>
        <v>0</v>
      </c>
    </row>
    <row r="7411" spans="28:34">
      <c r="AB7411" s="580">
        <f>HLOOKUP("*"&amp;'Output annual'!$AC$2&amp;'Output annual'!$AD$2&amp;"*Zone People Number Of Occupants [](Hourly)",'Eplus results'!$1:$1048576,ROW(),FALSE)</f>
        <v>0</v>
      </c>
      <c r="AC7411" s="580">
        <f>HLOOKUP("*"&amp;'Output annual'!$AC$2&amp;'Output annual'!$AD$2&amp;"*FangerPMV(Hourly)",'Eplus results'!$1:$1048576,ROW(),FALSE)</f>
        <v>0</v>
      </c>
      <c r="AD7411" s="580">
        <f t="shared" si="611"/>
        <v>5</v>
      </c>
      <c r="AE7411" s="580">
        <f t="shared" si="612"/>
        <v>2.5</v>
      </c>
      <c r="AF7411" s="580">
        <f t="shared" si="613"/>
        <v>2.5</v>
      </c>
      <c r="AG7411" s="580">
        <f t="shared" si="614"/>
        <v>0</v>
      </c>
      <c r="AH7411" s="580">
        <f t="shared" si="615"/>
        <v>0</v>
      </c>
    </row>
    <row r="7412" spans="28:34">
      <c r="AB7412" s="580">
        <f>HLOOKUP("*"&amp;'Output annual'!$AC$2&amp;'Output annual'!$AD$2&amp;"*Zone People Number Of Occupants [](Hourly)",'Eplus results'!$1:$1048576,ROW(),FALSE)</f>
        <v>0</v>
      </c>
      <c r="AC7412" s="580">
        <f>HLOOKUP("*"&amp;'Output annual'!$AC$2&amp;'Output annual'!$AD$2&amp;"*FangerPMV(Hourly)",'Eplus results'!$1:$1048576,ROW(),FALSE)</f>
        <v>0</v>
      </c>
      <c r="AD7412" s="580">
        <f t="shared" si="611"/>
        <v>5</v>
      </c>
      <c r="AE7412" s="580">
        <f t="shared" si="612"/>
        <v>2.5</v>
      </c>
      <c r="AF7412" s="580">
        <f t="shared" si="613"/>
        <v>2.5</v>
      </c>
      <c r="AG7412" s="580">
        <f t="shared" si="614"/>
        <v>0</v>
      </c>
      <c r="AH7412" s="580">
        <f t="shared" si="615"/>
        <v>0</v>
      </c>
    </row>
    <row r="7413" spans="28:34">
      <c r="AB7413" s="580">
        <f>HLOOKUP("*"&amp;'Output annual'!$AC$2&amp;'Output annual'!$AD$2&amp;"*Zone People Number Of Occupants [](Hourly)",'Eplus results'!$1:$1048576,ROW(),FALSE)</f>
        <v>0</v>
      </c>
      <c r="AC7413" s="580">
        <f>HLOOKUP("*"&amp;'Output annual'!$AC$2&amp;'Output annual'!$AD$2&amp;"*FangerPMV(Hourly)",'Eplus results'!$1:$1048576,ROW(),FALSE)</f>
        <v>0</v>
      </c>
      <c r="AD7413" s="580">
        <f t="shared" si="611"/>
        <v>5</v>
      </c>
      <c r="AE7413" s="580">
        <f t="shared" si="612"/>
        <v>2.5</v>
      </c>
      <c r="AF7413" s="580">
        <f t="shared" si="613"/>
        <v>2.5</v>
      </c>
      <c r="AG7413" s="580">
        <f t="shared" si="614"/>
        <v>0</v>
      </c>
      <c r="AH7413" s="580">
        <f t="shared" si="615"/>
        <v>0</v>
      </c>
    </row>
    <row r="7414" spans="28:34">
      <c r="AB7414" s="580">
        <f>HLOOKUP("*"&amp;'Output annual'!$AC$2&amp;'Output annual'!$AD$2&amp;"*Zone People Number Of Occupants [](Hourly)",'Eplus results'!$1:$1048576,ROW(),FALSE)</f>
        <v>0</v>
      </c>
      <c r="AC7414" s="580">
        <f>HLOOKUP("*"&amp;'Output annual'!$AC$2&amp;'Output annual'!$AD$2&amp;"*FangerPMV(Hourly)",'Eplus results'!$1:$1048576,ROW(),FALSE)</f>
        <v>0</v>
      </c>
      <c r="AD7414" s="580">
        <f t="shared" si="611"/>
        <v>5</v>
      </c>
      <c r="AE7414" s="580">
        <f t="shared" si="612"/>
        <v>2.5</v>
      </c>
      <c r="AF7414" s="580">
        <f t="shared" si="613"/>
        <v>2.5</v>
      </c>
      <c r="AG7414" s="580">
        <f t="shared" si="614"/>
        <v>0</v>
      </c>
      <c r="AH7414" s="580">
        <f t="shared" si="615"/>
        <v>0</v>
      </c>
    </row>
    <row r="7415" spans="28:34">
      <c r="AB7415" s="580">
        <f>HLOOKUP("*"&amp;'Output annual'!$AC$2&amp;'Output annual'!$AD$2&amp;"*Zone People Number Of Occupants [](Hourly)",'Eplus results'!$1:$1048576,ROW(),FALSE)</f>
        <v>0</v>
      </c>
      <c r="AC7415" s="580">
        <f>HLOOKUP("*"&amp;'Output annual'!$AC$2&amp;'Output annual'!$AD$2&amp;"*FangerPMV(Hourly)",'Eplus results'!$1:$1048576,ROW(),FALSE)</f>
        <v>0</v>
      </c>
      <c r="AD7415" s="580">
        <f t="shared" si="611"/>
        <v>5</v>
      </c>
      <c r="AE7415" s="580">
        <f t="shared" si="612"/>
        <v>2.5</v>
      </c>
      <c r="AF7415" s="580">
        <f t="shared" si="613"/>
        <v>2.5</v>
      </c>
      <c r="AG7415" s="580">
        <f t="shared" si="614"/>
        <v>0</v>
      </c>
      <c r="AH7415" s="580">
        <f t="shared" si="615"/>
        <v>0</v>
      </c>
    </row>
    <row r="7416" spans="28:34">
      <c r="AB7416" s="580">
        <f>HLOOKUP("*"&amp;'Output annual'!$AC$2&amp;'Output annual'!$AD$2&amp;"*Zone People Number Of Occupants [](Hourly)",'Eplus results'!$1:$1048576,ROW(),FALSE)</f>
        <v>0</v>
      </c>
      <c r="AC7416" s="580">
        <f>HLOOKUP("*"&amp;'Output annual'!$AC$2&amp;'Output annual'!$AD$2&amp;"*FangerPMV(Hourly)",'Eplus results'!$1:$1048576,ROW(),FALSE)</f>
        <v>0</v>
      </c>
      <c r="AD7416" s="580">
        <f t="shared" si="611"/>
        <v>5</v>
      </c>
      <c r="AE7416" s="580">
        <f t="shared" si="612"/>
        <v>2.5</v>
      </c>
      <c r="AF7416" s="580">
        <f t="shared" si="613"/>
        <v>2.5</v>
      </c>
      <c r="AG7416" s="580">
        <f t="shared" si="614"/>
        <v>0</v>
      </c>
      <c r="AH7416" s="580">
        <f t="shared" si="615"/>
        <v>0</v>
      </c>
    </row>
    <row r="7417" spans="28:34">
      <c r="AB7417" s="580">
        <f>HLOOKUP("*"&amp;'Output annual'!$AC$2&amp;'Output annual'!$AD$2&amp;"*Zone People Number Of Occupants [](Hourly)",'Eplus results'!$1:$1048576,ROW(),FALSE)</f>
        <v>0</v>
      </c>
      <c r="AC7417" s="580">
        <f>HLOOKUP("*"&amp;'Output annual'!$AC$2&amp;'Output annual'!$AD$2&amp;"*FangerPMV(Hourly)",'Eplus results'!$1:$1048576,ROW(),FALSE)</f>
        <v>0</v>
      </c>
      <c r="AD7417" s="580">
        <f t="shared" si="611"/>
        <v>5</v>
      </c>
      <c r="AE7417" s="580">
        <f t="shared" si="612"/>
        <v>2.5</v>
      </c>
      <c r="AF7417" s="580">
        <f t="shared" si="613"/>
        <v>2.5</v>
      </c>
      <c r="AG7417" s="580">
        <f t="shared" si="614"/>
        <v>0</v>
      </c>
      <c r="AH7417" s="580">
        <f t="shared" si="615"/>
        <v>0</v>
      </c>
    </row>
    <row r="7418" spans="28:34">
      <c r="AB7418" s="580">
        <f>HLOOKUP("*"&amp;'Output annual'!$AC$2&amp;'Output annual'!$AD$2&amp;"*Zone People Number Of Occupants [](Hourly)",'Eplus results'!$1:$1048576,ROW(),FALSE)</f>
        <v>0</v>
      </c>
      <c r="AC7418" s="580">
        <f>HLOOKUP("*"&amp;'Output annual'!$AC$2&amp;'Output annual'!$AD$2&amp;"*FangerPMV(Hourly)",'Eplus results'!$1:$1048576,ROW(),FALSE)</f>
        <v>0</v>
      </c>
      <c r="AD7418" s="580">
        <f t="shared" si="611"/>
        <v>5</v>
      </c>
      <c r="AE7418" s="580">
        <f t="shared" si="612"/>
        <v>2.5</v>
      </c>
      <c r="AF7418" s="580">
        <f t="shared" si="613"/>
        <v>2.5</v>
      </c>
      <c r="AG7418" s="580">
        <f t="shared" si="614"/>
        <v>0</v>
      </c>
      <c r="AH7418" s="580">
        <f t="shared" si="615"/>
        <v>0</v>
      </c>
    </row>
    <row r="7419" spans="28:34">
      <c r="AB7419" s="580">
        <f>HLOOKUP("*"&amp;'Output annual'!$AC$2&amp;'Output annual'!$AD$2&amp;"*Zone People Number Of Occupants [](Hourly)",'Eplus results'!$1:$1048576,ROW(),FALSE)</f>
        <v>0</v>
      </c>
      <c r="AC7419" s="580">
        <f>HLOOKUP("*"&amp;'Output annual'!$AC$2&amp;'Output annual'!$AD$2&amp;"*FangerPMV(Hourly)",'Eplus results'!$1:$1048576,ROW(),FALSE)</f>
        <v>0</v>
      </c>
      <c r="AD7419" s="580">
        <f t="shared" si="611"/>
        <v>5</v>
      </c>
      <c r="AE7419" s="580">
        <f t="shared" si="612"/>
        <v>2.5</v>
      </c>
      <c r="AF7419" s="580">
        <f t="shared" si="613"/>
        <v>2.5</v>
      </c>
      <c r="AG7419" s="580">
        <f t="shared" si="614"/>
        <v>0</v>
      </c>
      <c r="AH7419" s="580">
        <f t="shared" si="615"/>
        <v>0</v>
      </c>
    </row>
    <row r="7420" spans="28:34">
      <c r="AB7420" s="580">
        <f>HLOOKUP("*"&amp;'Output annual'!$AC$2&amp;'Output annual'!$AD$2&amp;"*Zone People Number Of Occupants [](Hourly)",'Eplus results'!$1:$1048576,ROW(),FALSE)</f>
        <v>0</v>
      </c>
      <c r="AC7420" s="580">
        <f>HLOOKUP("*"&amp;'Output annual'!$AC$2&amp;'Output annual'!$AD$2&amp;"*FangerPMV(Hourly)",'Eplus results'!$1:$1048576,ROW(),FALSE)</f>
        <v>0</v>
      </c>
      <c r="AD7420" s="580">
        <f t="shared" si="611"/>
        <v>5</v>
      </c>
      <c r="AE7420" s="580">
        <f t="shared" si="612"/>
        <v>2.5</v>
      </c>
      <c r="AF7420" s="580">
        <f t="shared" si="613"/>
        <v>2.5</v>
      </c>
      <c r="AG7420" s="580">
        <f t="shared" si="614"/>
        <v>0</v>
      </c>
      <c r="AH7420" s="580">
        <f t="shared" si="615"/>
        <v>0</v>
      </c>
    </row>
    <row r="7421" spans="28:34">
      <c r="AB7421" s="580">
        <f>HLOOKUP("*"&amp;'Output annual'!$AC$2&amp;'Output annual'!$AD$2&amp;"*Zone People Number Of Occupants [](Hourly)",'Eplus results'!$1:$1048576,ROW(),FALSE)</f>
        <v>0</v>
      </c>
      <c r="AC7421" s="580">
        <f>HLOOKUP("*"&amp;'Output annual'!$AC$2&amp;'Output annual'!$AD$2&amp;"*FangerPMV(Hourly)",'Eplus results'!$1:$1048576,ROW(),FALSE)</f>
        <v>0</v>
      </c>
      <c r="AD7421" s="580">
        <f t="shared" si="611"/>
        <v>5</v>
      </c>
      <c r="AE7421" s="580">
        <f t="shared" si="612"/>
        <v>2.5</v>
      </c>
      <c r="AF7421" s="580">
        <f t="shared" si="613"/>
        <v>2.5</v>
      </c>
      <c r="AG7421" s="580">
        <f t="shared" si="614"/>
        <v>0</v>
      </c>
      <c r="AH7421" s="580">
        <f t="shared" si="615"/>
        <v>0</v>
      </c>
    </row>
    <row r="7422" spans="28:34">
      <c r="AB7422" s="580">
        <f>HLOOKUP("*"&amp;'Output annual'!$AC$2&amp;'Output annual'!$AD$2&amp;"*Zone People Number Of Occupants [](Hourly)",'Eplus results'!$1:$1048576,ROW(),FALSE)</f>
        <v>0</v>
      </c>
      <c r="AC7422" s="580">
        <f>HLOOKUP("*"&amp;'Output annual'!$AC$2&amp;'Output annual'!$AD$2&amp;"*FangerPMV(Hourly)",'Eplus results'!$1:$1048576,ROW(),FALSE)</f>
        <v>0</v>
      </c>
      <c r="AD7422" s="580">
        <f t="shared" si="611"/>
        <v>5</v>
      </c>
      <c r="AE7422" s="580">
        <f t="shared" si="612"/>
        <v>2.5</v>
      </c>
      <c r="AF7422" s="580">
        <f t="shared" si="613"/>
        <v>2.5</v>
      </c>
      <c r="AG7422" s="580">
        <f t="shared" si="614"/>
        <v>0</v>
      </c>
      <c r="AH7422" s="580">
        <f t="shared" si="615"/>
        <v>0</v>
      </c>
    </row>
    <row r="7423" spans="28:34">
      <c r="AB7423" s="580">
        <f>HLOOKUP("*"&amp;'Output annual'!$AC$2&amp;'Output annual'!$AD$2&amp;"*Zone People Number Of Occupants [](Hourly)",'Eplus results'!$1:$1048576,ROW(),FALSE)</f>
        <v>0</v>
      </c>
      <c r="AC7423" s="580">
        <f>HLOOKUP("*"&amp;'Output annual'!$AC$2&amp;'Output annual'!$AD$2&amp;"*FangerPMV(Hourly)",'Eplus results'!$1:$1048576,ROW(),FALSE)</f>
        <v>0</v>
      </c>
      <c r="AD7423" s="580">
        <f t="shared" si="611"/>
        <v>5</v>
      </c>
      <c r="AE7423" s="580">
        <f t="shared" si="612"/>
        <v>2.5</v>
      </c>
      <c r="AF7423" s="580">
        <f t="shared" si="613"/>
        <v>2.5</v>
      </c>
      <c r="AG7423" s="580">
        <f t="shared" si="614"/>
        <v>0</v>
      </c>
      <c r="AH7423" s="580">
        <f t="shared" si="615"/>
        <v>0</v>
      </c>
    </row>
    <row r="7424" spans="28:34">
      <c r="AB7424" s="580">
        <f>HLOOKUP("*"&amp;'Output annual'!$AC$2&amp;'Output annual'!$AD$2&amp;"*Zone People Number Of Occupants [](Hourly)",'Eplus results'!$1:$1048576,ROW(),FALSE)</f>
        <v>0</v>
      </c>
      <c r="AC7424" s="580">
        <f>HLOOKUP("*"&amp;'Output annual'!$AC$2&amp;'Output annual'!$AD$2&amp;"*FangerPMV(Hourly)",'Eplus results'!$1:$1048576,ROW(),FALSE)</f>
        <v>0</v>
      </c>
      <c r="AD7424" s="580">
        <f t="shared" si="611"/>
        <v>5</v>
      </c>
      <c r="AE7424" s="580">
        <f t="shared" si="612"/>
        <v>2.5</v>
      </c>
      <c r="AF7424" s="580">
        <f t="shared" si="613"/>
        <v>2.5</v>
      </c>
      <c r="AG7424" s="580">
        <f t="shared" si="614"/>
        <v>0</v>
      </c>
      <c r="AH7424" s="580">
        <f t="shared" si="615"/>
        <v>0</v>
      </c>
    </row>
    <row r="7425" spans="28:34">
      <c r="AB7425" s="580">
        <f>HLOOKUP("*"&amp;'Output annual'!$AC$2&amp;'Output annual'!$AD$2&amp;"*Zone People Number Of Occupants [](Hourly)",'Eplus results'!$1:$1048576,ROW(),FALSE)</f>
        <v>0</v>
      </c>
      <c r="AC7425" s="580">
        <f>HLOOKUP("*"&amp;'Output annual'!$AC$2&amp;'Output annual'!$AD$2&amp;"*FangerPMV(Hourly)",'Eplus results'!$1:$1048576,ROW(),FALSE)</f>
        <v>0</v>
      </c>
      <c r="AD7425" s="580">
        <f t="shared" si="611"/>
        <v>5</v>
      </c>
      <c r="AE7425" s="580">
        <f t="shared" si="612"/>
        <v>2.5</v>
      </c>
      <c r="AF7425" s="580">
        <f t="shared" si="613"/>
        <v>2.5</v>
      </c>
      <c r="AG7425" s="580">
        <f t="shared" si="614"/>
        <v>0</v>
      </c>
      <c r="AH7425" s="580">
        <f t="shared" si="615"/>
        <v>0</v>
      </c>
    </row>
    <row r="7426" spans="28:34">
      <c r="AB7426" s="580">
        <f>HLOOKUP("*"&amp;'Output annual'!$AC$2&amp;'Output annual'!$AD$2&amp;"*Zone People Number Of Occupants [](Hourly)",'Eplus results'!$1:$1048576,ROW(),FALSE)</f>
        <v>0</v>
      </c>
      <c r="AC7426" s="580">
        <f>HLOOKUP("*"&amp;'Output annual'!$AC$2&amp;'Output annual'!$AD$2&amp;"*FangerPMV(Hourly)",'Eplus results'!$1:$1048576,ROW(),FALSE)</f>
        <v>0</v>
      </c>
      <c r="AD7426" s="580">
        <f t="shared" si="611"/>
        <v>5</v>
      </c>
      <c r="AE7426" s="580">
        <f t="shared" si="612"/>
        <v>2.5</v>
      </c>
      <c r="AF7426" s="580">
        <f t="shared" si="613"/>
        <v>2.5</v>
      </c>
      <c r="AG7426" s="580">
        <f t="shared" si="614"/>
        <v>0</v>
      </c>
      <c r="AH7426" s="580">
        <f t="shared" si="615"/>
        <v>0</v>
      </c>
    </row>
    <row r="7427" spans="28:34">
      <c r="AB7427" s="580">
        <f>HLOOKUP("*"&amp;'Output annual'!$AC$2&amp;'Output annual'!$AD$2&amp;"*Zone People Number Of Occupants [](Hourly)",'Eplus results'!$1:$1048576,ROW(),FALSE)</f>
        <v>0</v>
      </c>
      <c r="AC7427" s="580">
        <f>HLOOKUP("*"&amp;'Output annual'!$AC$2&amp;'Output annual'!$AD$2&amp;"*FangerPMV(Hourly)",'Eplus results'!$1:$1048576,ROW(),FALSE)</f>
        <v>0</v>
      </c>
      <c r="AD7427" s="580">
        <f t="shared" ref="AD7427:AD7490" si="616">100-95*EXP(-0.03353*AC7427^4-0.2179*AC7427^2)</f>
        <v>5</v>
      </c>
      <c r="AE7427" s="580">
        <f t="shared" ref="AE7427:AE7490" si="617">AD7427*(1/(1+EXP(-6.3*$AC7427)))</f>
        <v>2.5</v>
      </c>
      <c r="AF7427" s="580">
        <f t="shared" ref="AF7427:AF7490" si="618">(AD7427-AE7427)</f>
        <v>2.5</v>
      </c>
      <c r="AG7427" s="580">
        <f t="shared" ref="AG7427:AG7490" si="619">AE7427*AB7427</f>
        <v>0</v>
      </c>
      <c r="AH7427" s="580">
        <f t="shared" ref="AH7427:AH7490" si="620">AF7427*AB7427</f>
        <v>0</v>
      </c>
    </row>
    <row r="7428" spans="28:34">
      <c r="AB7428" s="580">
        <f>HLOOKUP("*"&amp;'Output annual'!$AC$2&amp;'Output annual'!$AD$2&amp;"*Zone People Number Of Occupants [](Hourly)",'Eplus results'!$1:$1048576,ROW(),FALSE)</f>
        <v>0</v>
      </c>
      <c r="AC7428" s="580">
        <f>HLOOKUP("*"&amp;'Output annual'!$AC$2&amp;'Output annual'!$AD$2&amp;"*FangerPMV(Hourly)",'Eplus results'!$1:$1048576,ROW(),FALSE)</f>
        <v>0</v>
      </c>
      <c r="AD7428" s="580">
        <f t="shared" si="616"/>
        <v>5</v>
      </c>
      <c r="AE7428" s="580">
        <f t="shared" si="617"/>
        <v>2.5</v>
      </c>
      <c r="AF7428" s="580">
        <f t="shared" si="618"/>
        <v>2.5</v>
      </c>
      <c r="AG7428" s="580">
        <f t="shared" si="619"/>
        <v>0</v>
      </c>
      <c r="AH7428" s="580">
        <f t="shared" si="620"/>
        <v>0</v>
      </c>
    </row>
    <row r="7429" spans="28:34">
      <c r="AB7429" s="580">
        <f>HLOOKUP("*"&amp;'Output annual'!$AC$2&amp;'Output annual'!$AD$2&amp;"*Zone People Number Of Occupants [](Hourly)",'Eplus results'!$1:$1048576,ROW(),FALSE)</f>
        <v>0</v>
      </c>
      <c r="AC7429" s="580">
        <f>HLOOKUP("*"&amp;'Output annual'!$AC$2&amp;'Output annual'!$AD$2&amp;"*FangerPMV(Hourly)",'Eplus results'!$1:$1048576,ROW(),FALSE)</f>
        <v>0</v>
      </c>
      <c r="AD7429" s="580">
        <f t="shared" si="616"/>
        <v>5</v>
      </c>
      <c r="AE7429" s="580">
        <f t="shared" si="617"/>
        <v>2.5</v>
      </c>
      <c r="AF7429" s="580">
        <f t="shared" si="618"/>
        <v>2.5</v>
      </c>
      <c r="AG7429" s="580">
        <f t="shared" si="619"/>
        <v>0</v>
      </c>
      <c r="AH7429" s="580">
        <f t="shared" si="620"/>
        <v>0</v>
      </c>
    </row>
    <row r="7430" spans="28:34">
      <c r="AB7430" s="580">
        <f>HLOOKUP("*"&amp;'Output annual'!$AC$2&amp;'Output annual'!$AD$2&amp;"*Zone People Number Of Occupants [](Hourly)",'Eplus results'!$1:$1048576,ROW(),FALSE)</f>
        <v>0</v>
      </c>
      <c r="AC7430" s="580">
        <f>HLOOKUP("*"&amp;'Output annual'!$AC$2&amp;'Output annual'!$AD$2&amp;"*FangerPMV(Hourly)",'Eplus results'!$1:$1048576,ROW(),FALSE)</f>
        <v>0</v>
      </c>
      <c r="AD7430" s="580">
        <f t="shared" si="616"/>
        <v>5</v>
      </c>
      <c r="AE7430" s="580">
        <f t="shared" si="617"/>
        <v>2.5</v>
      </c>
      <c r="AF7430" s="580">
        <f t="shared" si="618"/>
        <v>2.5</v>
      </c>
      <c r="AG7430" s="580">
        <f t="shared" si="619"/>
        <v>0</v>
      </c>
      <c r="AH7430" s="580">
        <f t="shared" si="620"/>
        <v>0</v>
      </c>
    </row>
    <row r="7431" spans="28:34">
      <c r="AB7431" s="580">
        <f>HLOOKUP("*"&amp;'Output annual'!$AC$2&amp;'Output annual'!$AD$2&amp;"*Zone People Number Of Occupants [](Hourly)",'Eplus results'!$1:$1048576,ROW(),FALSE)</f>
        <v>0</v>
      </c>
      <c r="AC7431" s="580">
        <f>HLOOKUP("*"&amp;'Output annual'!$AC$2&amp;'Output annual'!$AD$2&amp;"*FangerPMV(Hourly)",'Eplus results'!$1:$1048576,ROW(),FALSE)</f>
        <v>0</v>
      </c>
      <c r="AD7431" s="580">
        <f t="shared" si="616"/>
        <v>5</v>
      </c>
      <c r="AE7431" s="580">
        <f t="shared" si="617"/>
        <v>2.5</v>
      </c>
      <c r="AF7431" s="580">
        <f t="shared" si="618"/>
        <v>2.5</v>
      </c>
      <c r="AG7431" s="580">
        <f t="shared" si="619"/>
        <v>0</v>
      </c>
      <c r="AH7431" s="580">
        <f t="shared" si="620"/>
        <v>0</v>
      </c>
    </row>
    <row r="7432" spans="28:34">
      <c r="AB7432" s="580">
        <f>HLOOKUP("*"&amp;'Output annual'!$AC$2&amp;'Output annual'!$AD$2&amp;"*Zone People Number Of Occupants [](Hourly)",'Eplus results'!$1:$1048576,ROW(),FALSE)</f>
        <v>0</v>
      </c>
      <c r="AC7432" s="580">
        <f>HLOOKUP("*"&amp;'Output annual'!$AC$2&amp;'Output annual'!$AD$2&amp;"*FangerPMV(Hourly)",'Eplus results'!$1:$1048576,ROW(),FALSE)</f>
        <v>0</v>
      </c>
      <c r="AD7432" s="580">
        <f t="shared" si="616"/>
        <v>5</v>
      </c>
      <c r="AE7432" s="580">
        <f t="shared" si="617"/>
        <v>2.5</v>
      </c>
      <c r="AF7432" s="580">
        <f t="shared" si="618"/>
        <v>2.5</v>
      </c>
      <c r="AG7432" s="580">
        <f t="shared" si="619"/>
        <v>0</v>
      </c>
      <c r="AH7432" s="580">
        <f t="shared" si="620"/>
        <v>0</v>
      </c>
    </row>
    <row r="7433" spans="28:34">
      <c r="AB7433" s="580">
        <f>HLOOKUP("*"&amp;'Output annual'!$AC$2&amp;'Output annual'!$AD$2&amp;"*Zone People Number Of Occupants [](Hourly)",'Eplus results'!$1:$1048576,ROW(),FALSE)</f>
        <v>0</v>
      </c>
      <c r="AC7433" s="580">
        <f>HLOOKUP("*"&amp;'Output annual'!$AC$2&amp;'Output annual'!$AD$2&amp;"*FangerPMV(Hourly)",'Eplus results'!$1:$1048576,ROW(),FALSE)</f>
        <v>0</v>
      </c>
      <c r="AD7433" s="580">
        <f t="shared" si="616"/>
        <v>5</v>
      </c>
      <c r="AE7433" s="580">
        <f t="shared" si="617"/>
        <v>2.5</v>
      </c>
      <c r="AF7433" s="580">
        <f t="shared" si="618"/>
        <v>2.5</v>
      </c>
      <c r="AG7433" s="580">
        <f t="shared" si="619"/>
        <v>0</v>
      </c>
      <c r="AH7433" s="580">
        <f t="shared" si="620"/>
        <v>0</v>
      </c>
    </row>
    <row r="7434" spans="28:34">
      <c r="AB7434" s="580">
        <f>HLOOKUP("*"&amp;'Output annual'!$AC$2&amp;'Output annual'!$AD$2&amp;"*Zone People Number Of Occupants [](Hourly)",'Eplus results'!$1:$1048576,ROW(),FALSE)</f>
        <v>0</v>
      </c>
      <c r="AC7434" s="580">
        <f>HLOOKUP("*"&amp;'Output annual'!$AC$2&amp;'Output annual'!$AD$2&amp;"*FangerPMV(Hourly)",'Eplus results'!$1:$1048576,ROW(),FALSE)</f>
        <v>0</v>
      </c>
      <c r="AD7434" s="580">
        <f t="shared" si="616"/>
        <v>5</v>
      </c>
      <c r="AE7434" s="580">
        <f t="shared" si="617"/>
        <v>2.5</v>
      </c>
      <c r="AF7434" s="580">
        <f t="shared" si="618"/>
        <v>2.5</v>
      </c>
      <c r="AG7434" s="580">
        <f t="shared" si="619"/>
        <v>0</v>
      </c>
      <c r="AH7434" s="580">
        <f t="shared" si="620"/>
        <v>0</v>
      </c>
    </row>
    <row r="7435" spans="28:34">
      <c r="AB7435" s="580">
        <f>HLOOKUP("*"&amp;'Output annual'!$AC$2&amp;'Output annual'!$AD$2&amp;"*Zone People Number Of Occupants [](Hourly)",'Eplus results'!$1:$1048576,ROW(),FALSE)</f>
        <v>0</v>
      </c>
      <c r="AC7435" s="580">
        <f>HLOOKUP("*"&amp;'Output annual'!$AC$2&amp;'Output annual'!$AD$2&amp;"*FangerPMV(Hourly)",'Eplus results'!$1:$1048576,ROW(),FALSE)</f>
        <v>0</v>
      </c>
      <c r="AD7435" s="580">
        <f t="shared" si="616"/>
        <v>5</v>
      </c>
      <c r="AE7435" s="580">
        <f t="shared" si="617"/>
        <v>2.5</v>
      </c>
      <c r="AF7435" s="580">
        <f t="shared" si="618"/>
        <v>2.5</v>
      </c>
      <c r="AG7435" s="580">
        <f t="shared" si="619"/>
        <v>0</v>
      </c>
      <c r="AH7435" s="580">
        <f t="shared" si="620"/>
        <v>0</v>
      </c>
    </row>
    <row r="7436" spans="28:34">
      <c r="AB7436" s="580">
        <f>HLOOKUP("*"&amp;'Output annual'!$AC$2&amp;'Output annual'!$AD$2&amp;"*Zone People Number Of Occupants [](Hourly)",'Eplus results'!$1:$1048576,ROW(),FALSE)</f>
        <v>0</v>
      </c>
      <c r="AC7436" s="580">
        <f>HLOOKUP("*"&amp;'Output annual'!$AC$2&amp;'Output annual'!$AD$2&amp;"*FangerPMV(Hourly)",'Eplus results'!$1:$1048576,ROW(),FALSE)</f>
        <v>0</v>
      </c>
      <c r="AD7436" s="580">
        <f t="shared" si="616"/>
        <v>5</v>
      </c>
      <c r="AE7436" s="580">
        <f t="shared" si="617"/>
        <v>2.5</v>
      </c>
      <c r="AF7436" s="580">
        <f t="shared" si="618"/>
        <v>2.5</v>
      </c>
      <c r="AG7436" s="580">
        <f t="shared" si="619"/>
        <v>0</v>
      </c>
      <c r="AH7436" s="580">
        <f t="shared" si="620"/>
        <v>0</v>
      </c>
    </row>
    <row r="7437" spans="28:34">
      <c r="AB7437" s="580">
        <f>HLOOKUP("*"&amp;'Output annual'!$AC$2&amp;'Output annual'!$AD$2&amp;"*Zone People Number Of Occupants [](Hourly)",'Eplus results'!$1:$1048576,ROW(),FALSE)</f>
        <v>0</v>
      </c>
      <c r="AC7437" s="580">
        <f>HLOOKUP("*"&amp;'Output annual'!$AC$2&amp;'Output annual'!$AD$2&amp;"*FangerPMV(Hourly)",'Eplus results'!$1:$1048576,ROW(),FALSE)</f>
        <v>0</v>
      </c>
      <c r="AD7437" s="580">
        <f t="shared" si="616"/>
        <v>5</v>
      </c>
      <c r="AE7437" s="580">
        <f t="shared" si="617"/>
        <v>2.5</v>
      </c>
      <c r="AF7437" s="580">
        <f t="shared" si="618"/>
        <v>2.5</v>
      </c>
      <c r="AG7437" s="580">
        <f t="shared" si="619"/>
        <v>0</v>
      </c>
      <c r="AH7437" s="580">
        <f t="shared" si="620"/>
        <v>0</v>
      </c>
    </row>
    <row r="7438" spans="28:34">
      <c r="AB7438" s="580">
        <f>HLOOKUP("*"&amp;'Output annual'!$AC$2&amp;'Output annual'!$AD$2&amp;"*Zone People Number Of Occupants [](Hourly)",'Eplus results'!$1:$1048576,ROW(),FALSE)</f>
        <v>0</v>
      </c>
      <c r="AC7438" s="580">
        <f>HLOOKUP("*"&amp;'Output annual'!$AC$2&amp;'Output annual'!$AD$2&amp;"*FangerPMV(Hourly)",'Eplus results'!$1:$1048576,ROW(),FALSE)</f>
        <v>0</v>
      </c>
      <c r="AD7438" s="580">
        <f t="shared" si="616"/>
        <v>5</v>
      </c>
      <c r="AE7438" s="580">
        <f t="shared" si="617"/>
        <v>2.5</v>
      </c>
      <c r="AF7438" s="580">
        <f t="shared" si="618"/>
        <v>2.5</v>
      </c>
      <c r="AG7438" s="580">
        <f t="shared" si="619"/>
        <v>0</v>
      </c>
      <c r="AH7438" s="580">
        <f t="shared" si="620"/>
        <v>0</v>
      </c>
    </row>
    <row r="7439" spans="28:34">
      <c r="AB7439" s="580">
        <f>HLOOKUP("*"&amp;'Output annual'!$AC$2&amp;'Output annual'!$AD$2&amp;"*Zone People Number Of Occupants [](Hourly)",'Eplus results'!$1:$1048576,ROW(),FALSE)</f>
        <v>0</v>
      </c>
      <c r="AC7439" s="580">
        <f>HLOOKUP("*"&amp;'Output annual'!$AC$2&amp;'Output annual'!$AD$2&amp;"*FangerPMV(Hourly)",'Eplus results'!$1:$1048576,ROW(),FALSE)</f>
        <v>0</v>
      </c>
      <c r="AD7439" s="580">
        <f t="shared" si="616"/>
        <v>5</v>
      </c>
      <c r="AE7439" s="580">
        <f t="shared" si="617"/>
        <v>2.5</v>
      </c>
      <c r="AF7439" s="580">
        <f t="shared" si="618"/>
        <v>2.5</v>
      </c>
      <c r="AG7439" s="580">
        <f t="shared" si="619"/>
        <v>0</v>
      </c>
      <c r="AH7439" s="580">
        <f t="shared" si="620"/>
        <v>0</v>
      </c>
    </row>
    <row r="7440" spans="28:34">
      <c r="AB7440" s="580">
        <f>HLOOKUP("*"&amp;'Output annual'!$AC$2&amp;'Output annual'!$AD$2&amp;"*Zone People Number Of Occupants [](Hourly)",'Eplus results'!$1:$1048576,ROW(),FALSE)</f>
        <v>0</v>
      </c>
      <c r="AC7440" s="580">
        <f>HLOOKUP("*"&amp;'Output annual'!$AC$2&amp;'Output annual'!$AD$2&amp;"*FangerPMV(Hourly)",'Eplus results'!$1:$1048576,ROW(),FALSE)</f>
        <v>0</v>
      </c>
      <c r="AD7440" s="580">
        <f t="shared" si="616"/>
        <v>5</v>
      </c>
      <c r="AE7440" s="580">
        <f t="shared" si="617"/>
        <v>2.5</v>
      </c>
      <c r="AF7440" s="580">
        <f t="shared" si="618"/>
        <v>2.5</v>
      </c>
      <c r="AG7440" s="580">
        <f t="shared" si="619"/>
        <v>0</v>
      </c>
      <c r="AH7440" s="580">
        <f t="shared" si="620"/>
        <v>0</v>
      </c>
    </row>
    <row r="7441" spans="28:34">
      <c r="AB7441" s="580">
        <f>HLOOKUP("*"&amp;'Output annual'!$AC$2&amp;'Output annual'!$AD$2&amp;"*Zone People Number Of Occupants [](Hourly)",'Eplus results'!$1:$1048576,ROW(),FALSE)</f>
        <v>0</v>
      </c>
      <c r="AC7441" s="580">
        <f>HLOOKUP("*"&amp;'Output annual'!$AC$2&amp;'Output annual'!$AD$2&amp;"*FangerPMV(Hourly)",'Eplus results'!$1:$1048576,ROW(),FALSE)</f>
        <v>0</v>
      </c>
      <c r="AD7441" s="580">
        <f t="shared" si="616"/>
        <v>5</v>
      </c>
      <c r="AE7441" s="580">
        <f t="shared" si="617"/>
        <v>2.5</v>
      </c>
      <c r="AF7441" s="580">
        <f t="shared" si="618"/>
        <v>2.5</v>
      </c>
      <c r="AG7441" s="580">
        <f t="shared" si="619"/>
        <v>0</v>
      </c>
      <c r="AH7441" s="580">
        <f t="shared" si="620"/>
        <v>0</v>
      </c>
    </row>
    <row r="7442" spans="28:34">
      <c r="AB7442" s="580">
        <f>HLOOKUP("*"&amp;'Output annual'!$AC$2&amp;'Output annual'!$AD$2&amp;"*Zone People Number Of Occupants [](Hourly)",'Eplus results'!$1:$1048576,ROW(),FALSE)</f>
        <v>0</v>
      </c>
      <c r="AC7442" s="580">
        <f>HLOOKUP("*"&amp;'Output annual'!$AC$2&amp;'Output annual'!$AD$2&amp;"*FangerPMV(Hourly)",'Eplus results'!$1:$1048576,ROW(),FALSE)</f>
        <v>0</v>
      </c>
      <c r="AD7442" s="580">
        <f t="shared" si="616"/>
        <v>5</v>
      </c>
      <c r="AE7442" s="580">
        <f t="shared" si="617"/>
        <v>2.5</v>
      </c>
      <c r="AF7442" s="580">
        <f t="shared" si="618"/>
        <v>2.5</v>
      </c>
      <c r="AG7442" s="580">
        <f t="shared" si="619"/>
        <v>0</v>
      </c>
      <c r="AH7442" s="580">
        <f t="shared" si="620"/>
        <v>0</v>
      </c>
    </row>
    <row r="7443" spans="28:34">
      <c r="AB7443" s="580">
        <f>HLOOKUP("*"&amp;'Output annual'!$AC$2&amp;'Output annual'!$AD$2&amp;"*Zone People Number Of Occupants [](Hourly)",'Eplus results'!$1:$1048576,ROW(),FALSE)</f>
        <v>0</v>
      </c>
      <c r="AC7443" s="580">
        <f>HLOOKUP("*"&amp;'Output annual'!$AC$2&amp;'Output annual'!$AD$2&amp;"*FangerPMV(Hourly)",'Eplus results'!$1:$1048576,ROW(),FALSE)</f>
        <v>0</v>
      </c>
      <c r="AD7443" s="580">
        <f t="shared" si="616"/>
        <v>5</v>
      </c>
      <c r="AE7443" s="580">
        <f t="shared" si="617"/>
        <v>2.5</v>
      </c>
      <c r="AF7443" s="580">
        <f t="shared" si="618"/>
        <v>2.5</v>
      </c>
      <c r="AG7443" s="580">
        <f t="shared" si="619"/>
        <v>0</v>
      </c>
      <c r="AH7443" s="580">
        <f t="shared" si="620"/>
        <v>0</v>
      </c>
    </row>
    <row r="7444" spans="28:34">
      <c r="AB7444" s="580">
        <f>HLOOKUP("*"&amp;'Output annual'!$AC$2&amp;'Output annual'!$AD$2&amp;"*Zone People Number Of Occupants [](Hourly)",'Eplus results'!$1:$1048576,ROW(),FALSE)</f>
        <v>0</v>
      </c>
      <c r="AC7444" s="580">
        <f>HLOOKUP("*"&amp;'Output annual'!$AC$2&amp;'Output annual'!$AD$2&amp;"*FangerPMV(Hourly)",'Eplus results'!$1:$1048576,ROW(),FALSE)</f>
        <v>0</v>
      </c>
      <c r="AD7444" s="580">
        <f t="shared" si="616"/>
        <v>5</v>
      </c>
      <c r="AE7444" s="580">
        <f t="shared" si="617"/>
        <v>2.5</v>
      </c>
      <c r="AF7444" s="580">
        <f t="shared" si="618"/>
        <v>2.5</v>
      </c>
      <c r="AG7444" s="580">
        <f t="shared" si="619"/>
        <v>0</v>
      </c>
      <c r="AH7444" s="580">
        <f t="shared" si="620"/>
        <v>0</v>
      </c>
    </row>
    <row r="7445" spans="28:34">
      <c r="AB7445" s="580">
        <f>HLOOKUP("*"&amp;'Output annual'!$AC$2&amp;'Output annual'!$AD$2&amp;"*Zone People Number Of Occupants [](Hourly)",'Eplus results'!$1:$1048576,ROW(),FALSE)</f>
        <v>0</v>
      </c>
      <c r="AC7445" s="580">
        <f>HLOOKUP("*"&amp;'Output annual'!$AC$2&amp;'Output annual'!$AD$2&amp;"*FangerPMV(Hourly)",'Eplus results'!$1:$1048576,ROW(),FALSE)</f>
        <v>0</v>
      </c>
      <c r="AD7445" s="580">
        <f t="shared" si="616"/>
        <v>5</v>
      </c>
      <c r="AE7445" s="580">
        <f t="shared" si="617"/>
        <v>2.5</v>
      </c>
      <c r="AF7445" s="580">
        <f t="shared" si="618"/>
        <v>2.5</v>
      </c>
      <c r="AG7445" s="580">
        <f t="shared" si="619"/>
        <v>0</v>
      </c>
      <c r="AH7445" s="580">
        <f t="shared" si="620"/>
        <v>0</v>
      </c>
    </row>
    <row r="7446" spans="28:34">
      <c r="AB7446" s="580">
        <f>HLOOKUP("*"&amp;'Output annual'!$AC$2&amp;'Output annual'!$AD$2&amp;"*Zone People Number Of Occupants [](Hourly)",'Eplus results'!$1:$1048576,ROW(),FALSE)</f>
        <v>0</v>
      </c>
      <c r="AC7446" s="580">
        <f>HLOOKUP("*"&amp;'Output annual'!$AC$2&amp;'Output annual'!$AD$2&amp;"*FangerPMV(Hourly)",'Eplus results'!$1:$1048576,ROW(),FALSE)</f>
        <v>0</v>
      </c>
      <c r="AD7446" s="580">
        <f t="shared" si="616"/>
        <v>5</v>
      </c>
      <c r="AE7446" s="580">
        <f t="shared" si="617"/>
        <v>2.5</v>
      </c>
      <c r="AF7446" s="580">
        <f t="shared" si="618"/>
        <v>2.5</v>
      </c>
      <c r="AG7446" s="580">
        <f t="shared" si="619"/>
        <v>0</v>
      </c>
      <c r="AH7446" s="580">
        <f t="shared" si="620"/>
        <v>0</v>
      </c>
    </row>
    <row r="7447" spans="28:34">
      <c r="AB7447" s="580">
        <f>HLOOKUP("*"&amp;'Output annual'!$AC$2&amp;'Output annual'!$AD$2&amp;"*Zone People Number Of Occupants [](Hourly)",'Eplus results'!$1:$1048576,ROW(),FALSE)</f>
        <v>0</v>
      </c>
      <c r="AC7447" s="580">
        <f>HLOOKUP("*"&amp;'Output annual'!$AC$2&amp;'Output annual'!$AD$2&amp;"*FangerPMV(Hourly)",'Eplus results'!$1:$1048576,ROW(),FALSE)</f>
        <v>0</v>
      </c>
      <c r="AD7447" s="580">
        <f t="shared" si="616"/>
        <v>5</v>
      </c>
      <c r="AE7447" s="580">
        <f t="shared" si="617"/>
        <v>2.5</v>
      </c>
      <c r="AF7447" s="580">
        <f t="shared" si="618"/>
        <v>2.5</v>
      </c>
      <c r="AG7447" s="580">
        <f t="shared" si="619"/>
        <v>0</v>
      </c>
      <c r="AH7447" s="580">
        <f t="shared" si="620"/>
        <v>0</v>
      </c>
    </row>
    <row r="7448" spans="28:34">
      <c r="AB7448" s="580">
        <f>HLOOKUP("*"&amp;'Output annual'!$AC$2&amp;'Output annual'!$AD$2&amp;"*Zone People Number Of Occupants [](Hourly)",'Eplus results'!$1:$1048576,ROW(),FALSE)</f>
        <v>0</v>
      </c>
      <c r="AC7448" s="580">
        <f>HLOOKUP("*"&amp;'Output annual'!$AC$2&amp;'Output annual'!$AD$2&amp;"*FangerPMV(Hourly)",'Eplus results'!$1:$1048576,ROW(),FALSE)</f>
        <v>0</v>
      </c>
      <c r="AD7448" s="580">
        <f t="shared" si="616"/>
        <v>5</v>
      </c>
      <c r="AE7448" s="580">
        <f t="shared" si="617"/>
        <v>2.5</v>
      </c>
      <c r="AF7448" s="580">
        <f t="shared" si="618"/>
        <v>2.5</v>
      </c>
      <c r="AG7448" s="580">
        <f t="shared" si="619"/>
        <v>0</v>
      </c>
      <c r="AH7448" s="580">
        <f t="shared" si="620"/>
        <v>0</v>
      </c>
    </row>
    <row r="7449" spans="28:34">
      <c r="AB7449" s="580">
        <f>HLOOKUP("*"&amp;'Output annual'!$AC$2&amp;'Output annual'!$AD$2&amp;"*Zone People Number Of Occupants [](Hourly)",'Eplus results'!$1:$1048576,ROW(),FALSE)</f>
        <v>0</v>
      </c>
      <c r="AC7449" s="580">
        <f>HLOOKUP("*"&amp;'Output annual'!$AC$2&amp;'Output annual'!$AD$2&amp;"*FangerPMV(Hourly)",'Eplus results'!$1:$1048576,ROW(),FALSE)</f>
        <v>0</v>
      </c>
      <c r="AD7449" s="580">
        <f t="shared" si="616"/>
        <v>5</v>
      </c>
      <c r="AE7449" s="580">
        <f t="shared" si="617"/>
        <v>2.5</v>
      </c>
      <c r="AF7449" s="580">
        <f t="shared" si="618"/>
        <v>2.5</v>
      </c>
      <c r="AG7449" s="580">
        <f t="shared" si="619"/>
        <v>0</v>
      </c>
      <c r="AH7449" s="580">
        <f t="shared" si="620"/>
        <v>0</v>
      </c>
    </row>
    <row r="7450" spans="28:34">
      <c r="AB7450" s="580">
        <f>HLOOKUP("*"&amp;'Output annual'!$AC$2&amp;'Output annual'!$AD$2&amp;"*Zone People Number Of Occupants [](Hourly)",'Eplus results'!$1:$1048576,ROW(),FALSE)</f>
        <v>0</v>
      </c>
      <c r="AC7450" s="580">
        <f>HLOOKUP("*"&amp;'Output annual'!$AC$2&amp;'Output annual'!$AD$2&amp;"*FangerPMV(Hourly)",'Eplus results'!$1:$1048576,ROW(),FALSE)</f>
        <v>0</v>
      </c>
      <c r="AD7450" s="580">
        <f t="shared" si="616"/>
        <v>5</v>
      </c>
      <c r="AE7450" s="580">
        <f t="shared" si="617"/>
        <v>2.5</v>
      </c>
      <c r="AF7450" s="580">
        <f t="shared" si="618"/>
        <v>2.5</v>
      </c>
      <c r="AG7450" s="580">
        <f t="shared" si="619"/>
        <v>0</v>
      </c>
      <c r="AH7450" s="580">
        <f t="shared" si="620"/>
        <v>0</v>
      </c>
    </row>
    <row r="7451" spans="28:34">
      <c r="AB7451" s="580">
        <f>HLOOKUP("*"&amp;'Output annual'!$AC$2&amp;'Output annual'!$AD$2&amp;"*Zone People Number Of Occupants [](Hourly)",'Eplus results'!$1:$1048576,ROW(),FALSE)</f>
        <v>0</v>
      </c>
      <c r="AC7451" s="580">
        <f>HLOOKUP("*"&amp;'Output annual'!$AC$2&amp;'Output annual'!$AD$2&amp;"*FangerPMV(Hourly)",'Eplus results'!$1:$1048576,ROW(),FALSE)</f>
        <v>0</v>
      </c>
      <c r="AD7451" s="580">
        <f t="shared" si="616"/>
        <v>5</v>
      </c>
      <c r="AE7451" s="580">
        <f t="shared" si="617"/>
        <v>2.5</v>
      </c>
      <c r="AF7451" s="580">
        <f t="shared" si="618"/>
        <v>2.5</v>
      </c>
      <c r="AG7451" s="580">
        <f t="shared" si="619"/>
        <v>0</v>
      </c>
      <c r="AH7451" s="580">
        <f t="shared" si="620"/>
        <v>0</v>
      </c>
    </row>
    <row r="7452" spans="28:34">
      <c r="AB7452" s="580">
        <f>HLOOKUP("*"&amp;'Output annual'!$AC$2&amp;'Output annual'!$AD$2&amp;"*Zone People Number Of Occupants [](Hourly)",'Eplus results'!$1:$1048576,ROW(),FALSE)</f>
        <v>0</v>
      </c>
      <c r="AC7452" s="580">
        <f>HLOOKUP("*"&amp;'Output annual'!$AC$2&amp;'Output annual'!$AD$2&amp;"*FangerPMV(Hourly)",'Eplus results'!$1:$1048576,ROW(),FALSE)</f>
        <v>0</v>
      </c>
      <c r="AD7452" s="580">
        <f t="shared" si="616"/>
        <v>5</v>
      </c>
      <c r="AE7452" s="580">
        <f t="shared" si="617"/>
        <v>2.5</v>
      </c>
      <c r="AF7452" s="580">
        <f t="shared" si="618"/>
        <v>2.5</v>
      </c>
      <c r="AG7452" s="580">
        <f t="shared" si="619"/>
        <v>0</v>
      </c>
      <c r="AH7452" s="580">
        <f t="shared" si="620"/>
        <v>0</v>
      </c>
    </row>
    <row r="7453" spans="28:34">
      <c r="AB7453" s="580">
        <f>HLOOKUP("*"&amp;'Output annual'!$AC$2&amp;'Output annual'!$AD$2&amp;"*Zone People Number Of Occupants [](Hourly)",'Eplus results'!$1:$1048576,ROW(),FALSE)</f>
        <v>0</v>
      </c>
      <c r="AC7453" s="580">
        <f>HLOOKUP("*"&amp;'Output annual'!$AC$2&amp;'Output annual'!$AD$2&amp;"*FangerPMV(Hourly)",'Eplus results'!$1:$1048576,ROW(),FALSE)</f>
        <v>0</v>
      </c>
      <c r="AD7453" s="580">
        <f t="shared" si="616"/>
        <v>5</v>
      </c>
      <c r="AE7453" s="580">
        <f t="shared" si="617"/>
        <v>2.5</v>
      </c>
      <c r="AF7453" s="580">
        <f t="shared" si="618"/>
        <v>2.5</v>
      </c>
      <c r="AG7453" s="580">
        <f t="shared" si="619"/>
        <v>0</v>
      </c>
      <c r="AH7453" s="580">
        <f t="shared" si="620"/>
        <v>0</v>
      </c>
    </row>
    <row r="7454" spans="28:34">
      <c r="AB7454" s="580">
        <f>HLOOKUP("*"&amp;'Output annual'!$AC$2&amp;'Output annual'!$AD$2&amp;"*Zone People Number Of Occupants [](Hourly)",'Eplus results'!$1:$1048576,ROW(),FALSE)</f>
        <v>0</v>
      </c>
      <c r="AC7454" s="580">
        <f>HLOOKUP("*"&amp;'Output annual'!$AC$2&amp;'Output annual'!$AD$2&amp;"*FangerPMV(Hourly)",'Eplus results'!$1:$1048576,ROW(),FALSE)</f>
        <v>0</v>
      </c>
      <c r="AD7454" s="580">
        <f t="shared" si="616"/>
        <v>5</v>
      </c>
      <c r="AE7454" s="580">
        <f t="shared" si="617"/>
        <v>2.5</v>
      </c>
      <c r="AF7454" s="580">
        <f t="shared" si="618"/>
        <v>2.5</v>
      </c>
      <c r="AG7454" s="580">
        <f t="shared" si="619"/>
        <v>0</v>
      </c>
      <c r="AH7454" s="580">
        <f t="shared" si="620"/>
        <v>0</v>
      </c>
    </row>
    <row r="7455" spans="28:34">
      <c r="AB7455" s="580">
        <f>HLOOKUP("*"&amp;'Output annual'!$AC$2&amp;'Output annual'!$AD$2&amp;"*Zone People Number Of Occupants [](Hourly)",'Eplus results'!$1:$1048576,ROW(),FALSE)</f>
        <v>0</v>
      </c>
      <c r="AC7455" s="580">
        <f>HLOOKUP("*"&amp;'Output annual'!$AC$2&amp;'Output annual'!$AD$2&amp;"*FangerPMV(Hourly)",'Eplus results'!$1:$1048576,ROW(),FALSE)</f>
        <v>0</v>
      </c>
      <c r="AD7455" s="580">
        <f t="shared" si="616"/>
        <v>5</v>
      </c>
      <c r="AE7455" s="580">
        <f t="shared" si="617"/>
        <v>2.5</v>
      </c>
      <c r="AF7455" s="580">
        <f t="shared" si="618"/>
        <v>2.5</v>
      </c>
      <c r="AG7455" s="580">
        <f t="shared" si="619"/>
        <v>0</v>
      </c>
      <c r="AH7455" s="580">
        <f t="shared" si="620"/>
        <v>0</v>
      </c>
    </row>
    <row r="7456" spans="28:34">
      <c r="AB7456" s="580">
        <f>HLOOKUP("*"&amp;'Output annual'!$AC$2&amp;'Output annual'!$AD$2&amp;"*Zone People Number Of Occupants [](Hourly)",'Eplus results'!$1:$1048576,ROW(),FALSE)</f>
        <v>0</v>
      </c>
      <c r="AC7456" s="580">
        <f>HLOOKUP("*"&amp;'Output annual'!$AC$2&amp;'Output annual'!$AD$2&amp;"*FangerPMV(Hourly)",'Eplus results'!$1:$1048576,ROW(),FALSE)</f>
        <v>0</v>
      </c>
      <c r="AD7456" s="580">
        <f t="shared" si="616"/>
        <v>5</v>
      </c>
      <c r="AE7456" s="580">
        <f t="shared" si="617"/>
        <v>2.5</v>
      </c>
      <c r="AF7456" s="580">
        <f t="shared" si="618"/>
        <v>2.5</v>
      </c>
      <c r="AG7456" s="580">
        <f t="shared" si="619"/>
        <v>0</v>
      </c>
      <c r="AH7456" s="580">
        <f t="shared" si="620"/>
        <v>0</v>
      </c>
    </row>
    <row r="7457" spans="28:34">
      <c r="AB7457" s="580">
        <f>HLOOKUP("*"&amp;'Output annual'!$AC$2&amp;'Output annual'!$AD$2&amp;"*Zone People Number Of Occupants [](Hourly)",'Eplus results'!$1:$1048576,ROW(),FALSE)</f>
        <v>0</v>
      </c>
      <c r="AC7457" s="580">
        <f>HLOOKUP("*"&amp;'Output annual'!$AC$2&amp;'Output annual'!$AD$2&amp;"*FangerPMV(Hourly)",'Eplus results'!$1:$1048576,ROW(),FALSE)</f>
        <v>0</v>
      </c>
      <c r="AD7457" s="580">
        <f t="shared" si="616"/>
        <v>5</v>
      </c>
      <c r="AE7457" s="580">
        <f t="shared" si="617"/>
        <v>2.5</v>
      </c>
      <c r="AF7457" s="580">
        <f t="shared" si="618"/>
        <v>2.5</v>
      </c>
      <c r="AG7457" s="580">
        <f t="shared" si="619"/>
        <v>0</v>
      </c>
      <c r="AH7457" s="580">
        <f t="shared" si="620"/>
        <v>0</v>
      </c>
    </row>
    <row r="7458" spans="28:34">
      <c r="AB7458" s="580">
        <f>HLOOKUP("*"&amp;'Output annual'!$AC$2&amp;'Output annual'!$AD$2&amp;"*Zone People Number Of Occupants [](Hourly)",'Eplus results'!$1:$1048576,ROW(),FALSE)</f>
        <v>0</v>
      </c>
      <c r="AC7458" s="580">
        <f>HLOOKUP("*"&amp;'Output annual'!$AC$2&amp;'Output annual'!$AD$2&amp;"*FangerPMV(Hourly)",'Eplus results'!$1:$1048576,ROW(),FALSE)</f>
        <v>0</v>
      </c>
      <c r="AD7458" s="580">
        <f t="shared" si="616"/>
        <v>5</v>
      </c>
      <c r="AE7458" s="580">
        <f t="shared" si="617"/>
        <v>2.5</v>
      </c>
      <c r="AF7458" s="580">
        <f t="shared" si="618"/>
        <v>2.5</v>
      </c>
      <c r="AG7458" s="580">
        <f t="shared" si="619"/>
        <v>0</v>
      </c>
      <c r="AH7458" s="580">
        <f t="shared" si="620"/>
        <v>0</v>
      </c>
    </row>
    <row r="7459" spans="28:34">
      <c r="AB7459" s="580">
        <f>HLOOKUP("*"&amp;'Output annual'!$AC$2&amp;'Output annual'!$AD$2&amp;"*Zone People Number Of Occupants [](Hourly)",'Eplus results'!$1:$1048576,ROW(),FALSE)</f>
        <v>0</v>
      </c>
      <c r="AC7459" s="580">
        <f>HLOOKUP("*"&amp;'Output annual'!$AC$2&amp;'Output annual'!$AD$2&amp;"*FangerPMV(Hourly)",'Eplus results'!$1:$1048576,ROW(),FALSE)</f>
        <v>0</v>
      </c>
      <c r="AD7459" s="580">
        <f t="shared" si="616"/>
        <v>5</v>
      </c>
      <c r="AE7459" s="580">
        <f t="shared" si="617"/>
        <v>2.5</v>
      </c>
      <c r="AF7459" s="580">
        <f t="shared" si="618"/>
        <v>2.5</v>
      </c>
      <c r="AG7459" s="580">
        <f t="shared" si="619"/>
        <v>0</v>
      </c>
      <c r="AH7459" s="580">
        <f t="shared" si="620"/>
        <v>0</v>
      </c>
    </row>
    <row r="7460" spans="28:34">
      <c r="AB7460" s="580">
        <f>HLOOKUP("*"&amp;'Output annual'!$AC$2&amp;'Output annual'!$AD$2&amp;"*Zone People Number Of Occupants [](Hourly)",'Eplus results'!$1:$1048576,ROW(),FALSE)</f>
        <v>0</v>
      </c>
      <c r="AC7460" s="580">
        <f>HLOOKUP("*"&amp;'Output annual'!$AC$2&amp;'Output annual'!$AD$2&amp;"*FangerPMV(Hourly)",'Eplus results'!$1:$1048576,ROW(),FALSE)</f>
        <v>0</v>
      </c>
      <c r="AD7460" s="580">
        <f t="shared" si="616"/>
        <v>5</v>
      </c>
      <c r="AE7460" s="580">
        <f t="shared" si="617"/>
        <v>2.5</v>
      </c>
      <c r="AF7460" s="580">
        <f t="shared" si="618"/>
        <v>2.5</v>
      </c>
      <c r="AG7460" s="580">
        <f t="shared" si="619"/>
        <v>0</v>
      </c>
      <c r="AH7460" s="580">
        <f t="shared" si="620"/>
        <v>0</v>
      </c>
    </row>
    <row r="7461" spans="28:34">
      <c r="AB7461" s="580">
        <f>HLOOKUP("*"&amp;'Output annual'!$AC$2&amp;'Output annual'!$AD$2&amp;"*Zone People Number Of Occupants [](Hourly)",'Eplus results'!$1:$1048576,ROW(),FALSE)</f>
        <v>0</v>
      </c>
      <c r="AC7461" s="580">
        <f>HLOOKUP("*"&amp;'Output annual'!$AC$2&amp;'Output annual'!$AD$2&amp;"*FangerPMV(Hourly)",'Eplus results'!$1:$1048576,ROW(),FALSE)</f>
        <v>0</v>
      </c>
      <c r="AD7461" s="580">
        <f t="shared" si="616"/>
        <v>5</v>
      </c>
      <c r="AE7461" s="580">
        <f t="shared" si="617"/>
        <v>2.5</v>
      </c>
      <c r="AF7461" s="580">
        <f t="shared" si="618"/>
        <v>2.5</v>
      </c>
      <c r="AG7461" s="580">
        <f t="shared" si="619"/>
        <v>0</v>
      </c>
      <c r="AH7461" s="580">
        <f t="shared" si="620"/>
        <v>0</v>
      </c>
    </row>
    <row r="7462" spans="28:34">
      <c r="AB7462" s="580">
        <f>HLOOKUP("*"&amp;'Output annual'!$AC$2&amp;'Output annual'!$AD$2&amp;"*Zone People Number Of Occupants [](Hourly)",'Eplus results'!$1:$1048576,ROW(),FALSE)</f>
        <v>0</v>
      </c>
      <c r="AC7462" s="580">
        <f>HLOOKUP("*"&amp;'Output annual'!$AC$2&amp;'Output annual'!$AD$2&amp;"*FangerPMV(Hourly)",'Eplus results'!$1:$1048576,ROW(),FALSE)</f>
        <v>0</v>
      </c>
      <c r="AD7462" s="580">
        <f t="shared" si="616"/>
        <v>5</v>
      </c>
      <c r="AE7462" s="580">
        <f t="shared" si="617"/>
        <v>2.5</v>
      </c>
      <c r="AF7462" s="580">
        <f t="shared" si="618"/>
        <v>2.5</v>
      </c>
      <c r="AG7462" s="580">
        <f t="shared" si="619"/>
        <v>0</v>
      </c>
      <c r="AH7462" s="580">
        <f t="shared" si="620"/>
        <v>0</v>
      </c>
    </row>
    <row r="7463" spans="28:34">
      <c r="AB7463" s="580">
        <f>HLOOKUP("*"&amp;'Output annual'!$AC$2&amp;'Output annual'!$AD$2&amp;"*Zone People Number Of Occupants [](Hourly)",'Eplus results'!$1:$1048576,ROW(),FALSE)</f>
        <v>0</v>
      </c>
      <c r="AC7463" s="580">
        <f>HLOOKUP("*"&amp;'Output annual'!$AC$2&amp;'Output annual'!$AD$2&amp;"*FangerPMV(Hourly)",'Eplus results'!$1:$1048576,ROW(),FALSE)</f>
        <v>0</v>
      </c>
      <c r="AD7463" s="580">
        <f t="shared" si="616"/>
        <v>5</v>
      </c>
      <c r="AE7463" s="580">
        <f t="shared" si="617"/>
        <v>2.5</v>
      </c>
      <c r="AF7463" s="580">
        <f t="shared" si="618"/>
        <v>2.5</v>
      </c>
      <c r="AG7463" s="580">
        <f t="shared" si="619"/>
        <v>0</v>
      </c>
      <c r="AH7463" s="580">
        <f t="shared" si="620"/>
        <v>0</v>
      </c>
    </row>
    <row r="7464" spans="28:34">
      <c r="AB7464" s="580">
        <f>HLOOKUP("*"&amp;'Output annual'!$AC$2&amp;'Output annual'!$AD$2&amp;"*Zone People Number Of Occupants [](Hourly)",'Eplus results'!$1:$1048576,ROW(),FALSE)</f>
        <v>0</v>
      </c>
      <c r="AC7464" s="580">
        <f>HLOOKUP("*"&amp;'Output annual'!$AC$2&amp;'Output annual'!$AD$2&amp;"*FangerPMV(Hourly)",'Eplus results'!$1:$1048576,ROW(),FALSE)</f>
        <v>0</v>
      </c>
      <c r="AD7464" s="580">
        <f t="shared" si="616"/>
        <v>5</v>
      </c>
      <c r="AE7464" s="580">
        <f t="shared" si="617"/>
        <v>2.5</v>
      </c>
      <c r="AF7464" s="580">
        <f t="shared" si="618"/>
        <v>2.5</v>
      </c>
      <c r="AG7464" s="580">
        <f t="shared" si="619"/>
        <v>0</v>
      </c>
      <c r="AH7464" s="580">
        <f t="shared" si="620"/>
        <v>0</v>
      </c>
    </row>
    <row r="7465" spans="28:34">
      <c r="AB7465" s="580">
        <f>HLOOKUP("*"&amp;'Output annual'!$AC$2&amp;'Output annual'!$AD$2&amp;"*Zone People Number Of Occupants [](Hourly)",'Eplus results'!$1:$1048576,ROW(),FALSE)</f>
        <v>0</v>
      </c>
      <c r="AC7465" s="580">
        <f>HLOOKUP("*"&amp;'Output annual'!$AC$2&amp;'Output annual'!$AD$2&amp;"*FangerPMV(Hourly)",'Eplus results'!$1:$1048576,ROW(),FALSE)</f>
        <v>0</v>
      </c>
      <c r="AD7465" s="580">
        <f t="shared" si="616"/>
        <v>5</v>
      </c>
      <c r="AE7465" s="580">
        <f t="shared" si="617"/>
        <v>2.5</v>
      </c>
      <c r="AF7465" s="580">
        <f t="shared" si="618"/>
        <v>2.5</v>
      </c>
      <c r="AG7465" s="580">
        <f t="shared" si="619"/>
        <v>0</v>
      </c>
      <c r="AH7465" s="580">
        <f t="shared" si="620"/>
        <v>0</v>
      </c>
    </row>
    <row r="7466" spans="28:34">
      <c r="AB7466" s="580">
        <f>HLOOKUP("*"&amp;'Output annual'!$AC$2&amp;'Output annual'!$AD$2&amp;"*Zone People Number Of Occupants [](Hourly)",'Eplus results'!$1:$1048576,ROW(),FALSE)</f>
        <v>0</v>
      </c>
      <c r="AC7466" s="580">
        <f>HLOOKUP("*"&amp;'Output annual'!$AC$2&amp;'Output annual'!$AD$2&amp;"*FangerPMV(Hourly)",'Eplus results'!$1:$1048576,ROW(),FALSE)</f>
        <v>0</v>
      </c>
      <c r="AD7466" s="580">
        <f t="shared" si="616"/>
        <v>5</v>
      </c>
      <c r="AE7466" s="580">
        <f t="shared" si="617"/>
        <v>2.5</v>
      </c>
      <c r="AF7466" s="580">
        <f t="shared" si="618"/>
        <v>2.5</v>
      </c>
      <c r="AG7466" s="580">
        <f t="shared" si="619"/>
        <v>0</v>
      </c>
      <c r="AH7466" s="580">
        <f t="shared" si="620"/>
        <v>0</v>
      </c>
    </row>
    <row r="7467" spans="28:34">
      <c r="AB7467" s="580">
        <f>HLOOKUP("*"&amp;'Output annual'!$AC$2&amp;'Output annual'!$AD$2&amp;"*Zone People Number Of Occupants [](Hourly)",'Eplus results'!$1:$1048576,ROW(),FALSE)</f>
        <v>0</v>
      </c>
      <c r="AC7467" s="580">
        <f>HLOOKUP("*"&amp;'Output annual'!$AC$2&amp;'Output annual'!$AD$2&amp;"*FangerPMV(Hourly)",'Eplus results'!$1:$1048576,ROW(),FALSE)</f>
        <v>0</v>
      </c>
      <c r="AD7467" s="580">
        <f t="shared" si="616"/>
        <v>5</v>
      </c>
      <c r="AE7467" s="580">
        <f t="shared" si="617"/>
        <v>2.5</v>
      </c>
      <c r="AF7467" s="580">
        <f t="shared" si="618"/>
        <v>2.5</v>
      </c>
      <c r="AG7467" s="580">
        <f t="shared" si="619"/>
        <v>0</v>
      </c>
      <c r="AH7467" s="580">
        <f t="shared" si="620"/>
        <v>0</v>
      </c>
    </row>
    <row r="7468" spans="28:34">
      <c r="AB7468" s="580">
        <f>HLOOKUP("*"&amp;'Output annual'!$AC$2&amp;'Output annual'!$AD$2&amp;"*Zone People Number Of Occupants [](Hourly)",'Eplus results'!$1:$1048576,ROW(),FALSE)</f>
        <v>0</v>
      </c>
      <c r="AC7468" s="580">
        <f>HLOOKUP("*"&amp;'Output annual'!$AC$2&amp;'Output annual'!$AD$2&amp;"*FangerPMV(Hourly)",'Eplus results'!$1:$1048576,ROW(),FALSE)</f>
        <v>0</v>
      </c>
      <c r="AD7468" s="580">
        <f t="shared" si="616"/>
        <v>5</v>
      </c>
      <c r="AE7468" s="580">
        <f t="shared" si="617"/>
        <v>2.5</v>
      </c>
      <c r="AF7468" s="580">
        <f t="shared" si="618"/>
        <v>2.5</v>
      </c>
      <c r="AG7468" s="580">
        <f t="shared" si="619"/>
        <v>0</v>
      </c>
      <c r="AH7468" s="580">
        <f t="shared" si="620"/>
        <v>0</v>
      </c>
    </row>
    <row r="7469" spans="28:34">
      <c r="AB7469" s="580">
        <f>HLOOKUP("*"&amp;'Output annual'!$AC$2&amp;'Output annual'!$AD$2&amp;"*Zone People Number Of Occupants [](Hourly)",'Eplus results'!$1:$1048576,ROW(),FALSE)</f>
        <v>0</v>
      </c>
      <c r="AC7469" s="580">
        <f>HLOOKUP("*"&amp;'Output annual'!$AC$2&amp;'Output annual'!$AD$2&amp;"*FangerPMV(Hourly)",'Eplus results'!$1:$1048576,ROW(),FALSE)</f>
        <v>0</v>
      </c>
      <c r="AD7469" s="580">
        <f t="shared" si="616"/>
        <v>5</v>
      </c>
      <c r="AE7469" s="580">
        <f t="shared" si="617"/>
        <v>2.5</v>
      </c>
      <c r="AF7469" s="580">
        <f t="shared" si="618"/>
        <v>2.5</v>
      </c>
      <c r="AG7469" s="580">
        <f t="shared" si="619"/>
        <v>0</v>
      </c>
      <c r="AH7469" s="580">
        <f t="shared" si="620"/>
        <v>0</v>
      </c>
    </row>
    <row r="7470" spans="28:34">
      <c r="AB7470" s="580">
        <f>HLOOKUP("*"&amp;'Output annual'!$AC$2&amp;'Output annual'!$AD$2&amp;"*Zone People Number Of Occupants [](Hourly)",'Eplus results'!$1:$1048576,ROW(),FALSE)</f>
        <v>0</v>
      </c>
      <c r="AC7470" s="580">
        <f>HLOOKUP("*"&amp;'Output annual'!$AC$2&amp;'Output annual'!$AD$2&amp;"*FangerPMV(Hourly)",'Eplus results'!$1:$1048576,ROW(),FALSE)</f>
        <v>0</v>
      </c>
      <c r="AD7470" s="580">
        <f t="shared" si="616"/>
        <v>5</v>
      </c>
      <c r="AE7470" s="580">
        <f t="shared" si="617"/>
        <v>2.5</v>
      </c>
      <c r="AF7470" s="580">
        <f t="shared" si="618"/>
        <v>2.5</v>
      </c>
      <c r="AG7470" s="580">
        <f t="shared" si="619"/>
        <v>0</v>
      </c>
      <c r="AH7470" s="580">
        <f t="shared" si="620"/>
        <v>0</v>
      </c>
    </row>
    <row r="7471" spans="28:34">
      <c r="AB7471" s="580">
        <f>HLOOKUP("*"&amp;'Output annual'!$AC$2&amp;'Output annual'!$AD$2&amp;"*Zone People Number Of Occupants [](Hourly)",'Eplus results'!$1:$1048576,ROW(),FALSE)</f>
        <v>0</v>
      </c>
      <c r="AC7471" s="580">
        <f>HLOOKUP("*"&amp;'Output annual'!$AC$2&amp;'Output annual'!$AD$2&amp;"*FangerPMV(Hourly)",'Eplus results'!$1:$1048576,ROW(),FALSE)</f>
        <v>0</v>
      </c>
      <c r="AD7471" s="580">
        <f t="shared" si="616"/>
        <v>5</v>
      </c>
      <c r="AE7471" s="580">
        <f t="shared" si="617"/>
        <v>2.5</v>
      </c>
      <c r="AF7471" s="580">
        <f t="shared" si="618"/>
        <v>2.5</v>
      </c>
      <c r="AG7471" s="580">
        <f t="shared" si="619"/>
        <v>0</v>
      </c>
      <c r="AH7471" s="580">
        <f t="shared" si="620"/>
        <v>0</v>
      </c>
    </row>
    <row r="7472" spans="28:34">
      <c r="AB7472" s="580">
        <f>HLOOKUP("*"&amp;'Output annual'!$AC$2&amp;'Output annual'!$AD$2&amp;"*Zone People Number Of Occupants [](Hourly)",'Eplus results'!$1:$1048576,ROW(),FALSE)</f>
        <v>0</v>
      </c>
      <c r="AC7472" s="580">
        <f>HLOOKUP("*"&amp;'Output annual'!$AC$2&amp;'Output annual'!$AD$2&amp;"*FangerPMV(Hourly)",'Eplus results'!$1:$1048576,ROW(),FALSE)</f>
        <v>0</v>
      </c>
      <c r="AD7472" s="580">
        <f t="shared" si="616"/>
        <v>5</v>
      </c>
      <c r="AE7472" s="580">
        <f t="shared" si="617"/>
        <v>2.5</v>
      </c>
      <c r="AF7472" s="580">
        <f t="shared" si="618"/>
        <v>2.5</v>
      </c>
      <c r="AG7472" s="580">
        <f t="shared" si="619"/>
        <v>0</v>
      </c>
      <c r="AH7472" s="580">
        <f t="shared" si="620"/>
        <v>0</v>
      </c>
    </row>
    <row r="7473" spans="28:34">
      <c r="AB7473" s="580">
        <f>HLOOKUP("*"&amp;'Output annual'!$AC$2&amp;'Output annual'!$AD$2&amp;"*Zone People Number Of Occupants [](Hourly)",'Eplus results'!$1:$1048576,ROW(),FALSE)</f>
        <v>0</v>
      </c>
      <c r="AC7473" s="580">
        <f>HLOOKUP("*"&amp;'Output annual'!$AC$2&amp;'Output annual'!$AD$2&amp;"*FangerPMV(Hourly)",'Eplus results'!$1:$1048576,ROW(),FALSE)</f>
        <v>0</v>
      </c>
      <c r="AD7473" s="580">
        <f t="shared" si="616"/>
        <v>5</v>
      </c>
      <c r="AE7473" s="580">
        <f t="shared" si="617"/>
        <v>2.5</v>
      </c>
      <c r="AF7473" s="580">
        <f t="shared" si="618"/>
        <v>2.5</v>
      </c>
      <c r="AG7473" s="580">
        <f t="shared" si="619"/>
        <v>0</v>
      </c>
      <c r="AH7473" s="580">
        <f t="shared" si="620"/>
        <v>0</v>
      </c>
    </row>
    <row r="7474" spans="28:34">
      <c r="AB7474" s="580">
        <f>HLOOKUP("*"&amp;'Output annual'!$AC$2&amp;'Output annual'!$AD$2&amp;"*Zone People Number Of Occupants [](Hourly)",'Eplus results'!$1:$1048576,ROW(),FALSE)</f>
        <v>0</v>
      </c>
      <c r="AC7474" s="580">
        <f>HLOOKUP("*"&amp;'Output annual'!$AC$2&amp;'Output annual'!$AD$2&amp;"*FangerPMV(Hourly)",'Eplus results'!$1:$1048576,ROW(),FALSE)</f>
        <v>0</v>
      </c>
      <c r="AD7474" s="580">
        <f t="shared" si="616"/>
        <v>5</v>
      </c>
      <c r="AE7474" s="580">
        <f t="shared" si="617"/>
        <v>2.5</v>
      </c>
      <c r="AF7474" s="580">
        <f t="shared" si="618"/>
        <v>2.5</v>
      </c>
      <c r="AG7474" s="580">
        <f t="shared" si="619"/>
        <v>0</v>
      </c>
      <c r="AH7474" s="580">
        <f t="shared" si="620"/>
        <v>0</v>
      </c>
    </row>
    <row r="7475" spans="28:34">
      <c r="AB7475" s="580">
        <f>HLOOKUP("*"&amp;'Output annual'!$AC$2&amp;'Output annual'!$AD$2&amp;"*Zone People Number Of Occupants [](Hourly)",'Eplus results'!$1:$1048576,ROW(),FALSE)</f>
        <v>0</v>
      </c>
      <c r="AC7475" s="580">
        <f>HLOOKUP("*"&amp;'Output annual'!$AC$2&amp;'Output annual'!$AD$2&amp;"*FangerPMV(Hourly)",'Eplus results'!$1:$1048576,ROW(),FALSE)</f>
        <v>0</v>
      </c>
      <c r="AD7475" s="580">
        <f t="shared" si="616"/>
        <v>5</v>
      </c>
      <c r="AE7475" s="580">
        <f t="shared" si="617"/>
        <v>2.5</v>
      </c>
      <c r="AF7475" s="580">
        <f t="shared" si="618"/>
        <v>2.5</v>
      </c>
      <c r="AG7475" s="580">
        <f t="shared" si="619"/>
        <v>0</v>
      </c>
      <c r="AH7475" s="580">
        <f t="shared" si="620"/>
        <v>0</v>
      </c>
    </row>
    <row r="7476" spans="28:34">
      <c r="AB7476" s="580">
        <f>HLOOKUP("*"&amp;'Output annual'!$AC$2&amp;'Output annual'!$AD$2&amp;"*Zone People Number Of Occupants [](Hourly)",'Eplus results'!$1:$1048576,ROW(),FALSE)</f>
        <v>0</v>
      </c>
      <c r="AC7476" s="580">
        <f>HLOOKUP("*"&amp;'Output annual'!$AC$2&amp;'Output annual'!$AD$2&amp;"*FangerPMV(Hourly)",'Eplus results'!$1:$1048576,ROW(),FALSE)</f>
        <v>0</v>
      </c>
      <c r="AD7476" s="580">
        <f t="shared" si="616"/>
        <v>5</v>
      </c>
      <c r="AE7476" s="580">
        <f t="shared" si="617"/>
        <v>2.5</v>
      </c>
      <c r="AF7476" s="580">
        <f t="shared" si="618"/>
        <v>2.5</v>
      </c>
      <c r="AG7476" s="580">
        <f t="shared" si="619"/>
        <v>0</v>
      </c>
      <c r="AH7476" s="580">
        <f t="shared" si="620"/>
        <v>0</v>
      </c>
    </row>
    <row r="7477" spans="28:34">
      <c r="AB7477" s="580">
        <f>HLOOKUP("*"&amp;'Output annual'!$AC$2&amp;'Output annual'!$AD$2&amp;"*Zone People Number Of Occupants [](Hourly)",'Eplus results'!$1:$1048576,ROW(),FALSE)</f>
        <v>0</v>
      </c>
      <c r="AC7477" s="580">
        <f>HLOOKUP("*"&amp;'Output annual'!$AC$2&amp;'Output annual'!$AD$2&amp;"*FangerPMV(Hourly)",'Eplus results'!$1:$1048576,ROW(),FALSE)</f>
        <v>0</v>
      </c>
      <c r="AD7477" s="580">
        <f t="shared" si="616"/>
        <v>5</v>
      </c>
      <c r="AE7477" s="580">
        <f t="shared" si="617"/>
        <v>2.5</v>
      </c>
      <c r="AF7477" s="580">
        <f t="shared" si="618"/>
        <v>2.5</v>
      </c>
      <c r="AG7477" s="580">
        <f t="shared" si="619"/>
        <v>0</v>
      </c>
      <c r="AH7477" s="580">
        <f t="shared" si="620"/>
        <v>0</v>
      </c>
    </row>
    <row r="7478" spans="28:34">
      <c r="AB7478" s="580">
        <f>HLOOKUP("*"&amp;'Output annual'!$AC$2&amp;'Output annual'!$AD$2&amp;"*Zone People Number Of Occupants [](Hourly)",'Eplus results'!$1:$1048576,ROW(),FALSE)</f>
        <v>0</v>
      </c>
      <c r="AC7478" s="580">
        <f>HLOOKUP("*"&amp;'Output annual'!$AC$2&amp;'Output annual'!$AD$2&amp;"*FangerPMV(Hourly)",'Eplus results'!$1:$1048576,ROW(),FALSE)</f>
        <v>0</v>
      </c>
      <c r="AD7478" s="580">
        <f t="shared" si="616"/>
        <v>5</v>
      </c>
      <c r="AE7478" s="580">
        <f t="shared" si="617"/>
        <v>2.5</v>
      </c>
      <c r="AF7478" s="580">
        <f t="shared" si="618"/>
        <v>2.5</v>
      </c>
      <c r="AG7478" s="580">
        <f t="shared" si="619"/>
        <v>0</v>
      </c>
      <c r="AH7478" s="580">
        <f t="shared" si="620"/>
        <v>0</v>
      </c>
    </row>
    <row r="7479" spans="28:34">
      <c r="AB7479" s="580">
        <f>HLOOKUP("*"&amp;'Output annual'!$AC$2&amp;'Output annual'!$AD$2&amp;"*Zone People Number Of Occupants [](Hourly)",'Eplus results'!$1:$1048576,ROW(),FALSE)</f>
        <v>0</v>
      </c>
      <c r="AC7479" s="580">
        <f>HLOOKUP("*"&amp;'Output annual'!$AC$2&amp;'Output annual'!$AD$2&amp;"*FangerPMV(Hourly)",'Eplus results'!$1:$1048576,ROW(),FALSE)</f>
        <v>0</v>
      </c>
      <c r="AD7479" s="580">
        <f t="shared" si="616"/>
        <v>5</v>
      </c>
      <c r="AE7479" s="580">
        <f t="shared" si="617"/>
        <v>2.5</v>
      </c>
      <c r="AF7479" s="580">
        <f t="shared" si="618"/>
        <v>2.5</v>
      </c>
      <c r="AG7479" s="580">
        <f t="shared" si="619"/>
        <v>0</v>
      </c>
      <c r="AH7479" s="580">
        <f t="shared" si="620"/>
        <v>0</v>
      </c>
    </row>
    <row r="7480" spans="28:34">
      <c r="AB7480" s="580">
        <f>HLOOKUP("*"&amp;'Output annual'!$AC$2&amp;'Output annual'!$AD$2&amp;"*Zone People Number Of Occupants [](Hourly)",'Eplus results'!$1:$1048576,ROW(),FALSE)</f>
        <v>0</v>
      </c>
      <c r="AC7480" s="580">
        <f>HLOOKUP("*"&amp;'Output annual'!$AC$2&amp;'Output annual'!$AD$2&amp;"*FangerPMV(Hourly)",'Eplus results'!$1:$1048576,ROW(),FALSE)</f>
        <v>0</v>
      </c>
      <c r="AD7480" s="580">
        <f t="shared" si="616"/>
        <v>5</v>
      </c>
      <c r="AE7480" s="580">
        <f t="shared" si="617"/>
        <v>2.5</v>
      </c>
      <c r="AF7480" s="580">
        <f t="shared" si="618"/>
        <v>2.5</v>
      </c>
      <c r="AG7480" s="580">
        <f t="shared" si="619"/>
        <v>0</v>
      </c>
      <c r="AH7480" s="580">
        <f t="shared" si="620"/>
        <v>0</v>
      </c>
    </row>
    <row r="7481" spans="28:34">
      <c r="AB7481" s="580">
        <f>HLOOKUP("*"&amp;'Output annual'!$AC$2&amp;'Output annual'!$AD$2&amp;"*Zone People Number Of Occupants [](Hourly)",'Eplus results'!$1:$1048576,ROW(),FALSE)</f>
        <v>0</v>
      </c>
      <c r="AC7481" s="580">
        <f>HLOOKUP("*"&amp;'Output annual'!$AC$2&amp;'Output annual'!$AD$2&amp;"*FangerPMV(Hourly)",'Eplus results'!$1:$1048576,ROW(),FALSE)</f>
        <v>0</v>
      </c>
      <c r="AD7481" s="580">
        <f t="shared" si="616"/>
        <v>5</v>
      </c>
      <c r="AE7481" s="580">
        <f t="shared" si="617"/>
        <v>2.5</v>
      </c>
      <c r="AF7481" s="580">
        <f t="shared" si="618"/>
        <v>2.5</v>
      </c>
      <c r="AG7481" s="580">
        <f t="shared" si="619"/>
        <v>0</v>
      </c>
      <c r="AH7481" s="580">
        <f t="shared" si="620"/>
        <v>0</v>
      </c>
    </row>
    <row r="7482" spans="28:34">
      <c r="AB7482" s="580">
        <f>HLOOKUP("*"&amp;'Output annual'!$AC$2&amp;'Output annual'!$AD$2&amp;"*Zone People Number Of Occupants [](Hourly)",'Eplus results'!$1:$1048576,ROW(),FALSE)</f>
        <v>0</v>
      </c>
      <c r="AC7482" s="580">
        <f>HLOOKUP("*"&amp;'Output annual'!$AC$2&amp;'Output annual'!$AD$2&amp;"*FangerPMV(Hourly)",'Eplus results'!$1:$1048576,ROW(),FALSE)</f>
        <v>0</v>
      </c>
      <c r="AD7482" s="580">
        <f t="shared" si="616"/>
        <v>5</v>
      </c>
      <c r="AE7482" s="580">
        <f t="shared" si="617"/>
        <v>2.5</v>
      </c>
      <c r="AF7482" s="580">
        <f t="shared" si="618"/>
        <v>2.5</v>
      </c>
      <c r="AG7482" s="580">
        <f t="shared" si="619"/>
        <v>0</v>
      </c>
      <c r="AH7482" s="580">
        <f t="shared" si="620"/>
        <v>0</v>
      </c>
    </row>
    <row r="7483" spans="28:34">
      <c r="AB7483" s="580">
        <f>HLOOKUP("*"&amp;'Output annual'!$AC$2&amp;'Output annual'!$AD$2&amp;"*Zone People Number Of Occupants [](Hourly)",'Eplus results'!$1:$1048576,ROW(),FALSE)</f>
        <v>0</v>
      </c>
      <c r="AC7483" s="580">
        <f>HLOOKUP("*"&amp;'Output annual'!$AC$2&amp;'Output annual'!$AD$2&amp;"*FangerPMV(Hourly)",'Eplus results'!$1:$1048576,ROW(),FALSE)</f>
        <v>0</v>
      </c>
      <c r="AD7483" s="580">
        <f t="shared" si="616"/>
        <v>5</v>
      </c>
      <c r="AE7483" s="580">
        <f t="shared" si="617"/>
        <v>2.5</v>
      </c>
      <c r="AF7483" s="580">
        <f t="shared" si="618"/>
        <v>2.5</v>
      </c>
      <c r="AG7483" s="580">
        <f t="shared" si="619"/>
        <v>0</v>
      </c>
      <c r="AH7483" s="580">
        <f t="shared" si="620"/>
        <v>0</v>
      </c>
    </row>
    <row r="7484" spans="28:34">
      <c r="AB7484" s="580">
        <f>HLOOKUP("*"&amp;'Output annual'!$AC$2&amp;'Output annual'!$AD$2&amp;"*Zone People Number Of Occupants [](Hourly)",'Eplus results'!$1:$1048576,ROW(),FALSE)</f>
        <v>0</v>
      </c>
      <c r="AC7484" s="580">
        <f>HLOOKUP("*"&amp;'Output annual'!$AC$2&amp;'Output annual'!$AD$2&amp;"*FangerPMV(Hourly)",'Eplus results'!$1:$1048576,ROW(),FALSE)</f>
        <v>0</v>
      </c>
      <c r="AD7484" s="580">
        <f t="shared" si="616"/>
        <v>5</v>
      </c>
      <c r="AE7484" s="580">
        <f t="shared" si="617"/>
        <v>2.5</v>
      </c>
      <c r="AF7484" s="580">
        <f t="shared" si="618"/>
        <v>2.5</v>
      </c>
      <c r="AG7484" s="580">
        <f t="shared" si="619"/>
        <v>0</v>
      </c>
      <c r="AH7484" s="580">
        <f t="shared" si="620"/>
        <v>0</v>
      </c>
    </row>
    <row r="7485" spans="28:34">
      <c r="AB7485" s="580">
        <f>HLOOKUP("*"&amp;'Output annual'!$AC$2&amp;'Output annual'!$AD$2&amp;"*Zone People Number Of Occupants [](Hourly)",'Eplus results'!$1:$1048576,ROW(),FALSE)</f>
        <v>0</v>
      </c>
      <c r="AC7485" s="580">
        <f>HLOOKUP("*"&amp;'Output annual'!$AC$2&amp;'Output annual'!$AD$2&amp;"*FangerPMV(Hourly)",'Eplus results'!$1:$1048576,ROW(),FALSE)</f>
        <v>0</v>
      </c>
      <c r="AD7485" s="580">
        <f t="shared" si="616"/>
        <v>5</v>
      </c>
      <c r="AE7485" s="580">
        <f t="shared" si="617"/>
        <v>2.5</v>
      </c>
      <c r="AF7485" s="580">
        <f t="shared" si="618"/>
        <v>2.5</v>
      </c>
      <c r="AG7485" s="580">
        <f t="shared" si="619"/>
        <v>0</v>
      </c>
      <c r="AH7485" s="580">
        <f t="shared" si="620"/>
        <v>0</v>
      </c>
    </row>
    <row r="7486" spans="28:34">
      <c r="AB7486" s="580">
        <f>HLOOKUP("*"&amp;'Output annual'!$AC$2&amp;'Output annual'!$AD$2&amp;"*Zone People Number Of Occupants [](Hourly)",'Eplus results'!$1:$1048576,ROW(),FALSE)</f>
        <v>0</v>
      </c>
      <c r="AC7486" s="580">
        <f>HLOOKUP("*"&amp;'Output annual'!$AC$2&amp;'Output annual'!$AD$2&amp;"*FangerPMV(Hourly)",'Eplus results'!$1:$1048576,ROW(),FALSE)</f>
        <v>0</v>
      </c>
      <c r="AD7486" s="580">
        <f t="shared" si="616"/>
        <v>5</v>
      </c>
      <c r="AE7486" s="580">
        <f t="shared" si="617"/>
        <v>2.5</v>
      </c>
      <c r="AF7486" s="580">
        <f t="shared" si="618"/>
        <v>2.5</v>
      </c>
      <c r="AG7486" s="580">
        <f t="shared" si="619"/>
        <v>0</v>
      </c>
      <c r="AH7486" s="580">
        <f t="shared" si="620"/>
        <v>0</v>
      </c>
    </row>
    <row r="7487" spans="28:34">
      <c r="AB7487" s="580">
        <f>HLOOKUP("*"&amp;'Output annual'!$AC$2&amp;'Output annual'!$AD$2&amp;"*Zone People Number Of Occupants [](Hourly)",'Eplus results'!$1:$1048576,ROW(),FALSE)</f>
        <v>0</v>
      </c>
      <c r="AC7487" s="580">
        <f>HLOOKUP("*"&amp;'Output annual'!$AC$2&amp;'Output annual'!$AD$2&amp;"*FangerPMV(Hourly)",'Eplus results'!$1:$1048576,ROW(),FALSE)</f>
        <v>0</v>
      </c>
      <c r="AD7487" s="580">
        <f t="shared" si="616"/>
        <v>5</v>
      </c>
      <c r="AE7487" s="580">
        <f t="shared" si="617"/>
        <v>2.5</v>
      </c>
      <c r="AF7487" s="580">
        <f t="shared" si="618"/>
        <v>2.5</v>
      </c>
      <c r="AG7487" s="580">
        <f t="shared" si="619"/>
        <v>0</v>
      </c>
      <c r="AH7487" s="580">
        <f t="shared" si="620"/>
        <v>0</v>
      </c>
    </row>
    <row r="7488" spans="28:34">
      <c r="AB7488" s="580">
        <f>HLOOKUP("*"&amp;'Output annual'!$AC$2&amp;'Output annual'!$AD$2&amp;"*Zone People Number Of Occupants [](Hourly)",'Eplus results'!$1:$1048576,ROW(),FALSE)</f>
        <v>0</v>
      </c>
      <c r="AC7488" s="580">
        <f>HLOOKUP("*"&amp;'Output annual'!$AC$2&amp;'Output annual'!$AD$2&amp;"*FangerPMV(Hourly)",'Eplus results'!$1:$1048576,ROW(),FALSE)</f>
        <v>0</v>
      </c>
      <c r="AD7488" s="580">
        <f t="shared" si="616"/>
        <v>5</v>
      </c>
      <c r="AE7488" s="580">
        <f t="shared" si="617"/>
        <v>2.5</v>
      </c>
      <c r="AF7488" s="580">
        <f t="shared" si="618"/>
        <v>2.5</v>
      </c>
      <c r="AG7488" s="580">
        <f t="shared" si="619"/>
        <v>0</v>
      </c>
      <c r="AH7488" s="580">
        <f t="shared" si="620"/>
        <v>0</v>
      </c>
    </row>
    <row r="7489" spans="28:34">
      <c r="AB7489" s="580">
        <f>HLOOKUP("*"&amp;'Output annual'!$AC$2&amp;'Output annual'!$AD$2&amp;"*Zone People Number Of Occupants [](Hourly)",'Eplus results'!$1:$1048576,ROW(),FALSE)</f>
        <v>0</v>
      </c>
      <c r="AC7489" s="580">
        <f>HLOOKUP("*"&amp;'Output annual'!$AC$2&amp;'Output annual'!$AD$2&amp;"*FangerPMV(Hourly)",'Eplus results'!$1:$1048576,ROW(),FALSE)</f>
        <v>0</v>
      </c>
      <c r="AD7489" s="580">
        <f t="shared" si="616"/>
        <v>5</v>
      </c>
      <c r="AE7489" s="580">
        <f t="shared" si="617"/>
        <v>2.5</v>
      </c>
      <c r="AF7489" s="580">
        <f t="shared" si="618"/>
        <v>2.5</v>
      </c>
      <c r="AG7489" s="580">
        <f t="shared" si="619"/>
        <v>0</v>
      </c>
      <c r="AH7489" s="580">
        <f t="shared" si="620"/>
        <v>0</v>
      </c>
    </row>
    <row r="7490" spans="28:34">
      <c r="AB7490" s="580">
        <f>HLOOKUP("*"&amp;'Output annual'!$AC$2&amp;'Output annual'!$AD$2&amp;"*Zone People Number Of Occupants [](Hourly)",'Eplus results'!$1:$1048576,ROW(),FALSE)</f>
        <v>0</v>
      </c>
      <c r="AC7490" s="580">
        <f>HLOOKUP("*"&amp;'Output annual'!$AC$2&amp;'Output annual'!$AD$2&amp;"*FangerPMV(Hourly)",'Eplus results'!$1:$1048576,ROW(),FALSE)</f>
        <v>0</v>
      </c>
      <c r="AD7490" s="580">
        <f t="shared" si="616"/>
        <v>5</v>
      </c>
      <c r="AE7490" s="580">
        <f t="shared" si="617"/>
        <v>2.5</v>
      </c>
      <c r="AF7490" s="580">
        <f t="shared" si="618"/>
        <v>2.5</v>
      </c>
      <c r="AG7490" s="580">
        <f t="shared" si="619"/>
        <v>0</v>
      </c>
      <c r="AH7490" s="580">
        <f t="shared" si="620"/>
        <v>0</v>
      </c>
    </row>
    <row r="7491" spans="28:34">
      <c r="AB7491" s="580">
        <f>HLOOKUP("*"&amp;'Output annual'!$AC$2&amp;'Output annual'!$AD$2&amp;"*Zone People Number Of Occupants [](Hourly)",'Eplus results'!$1:$1048576,ROW(),FALSE)</f>
        <v>0</v>
      </c>
      <c r="AC7491" s="580">
        <f>HLOOKUP("*"&amp;'Output annual'!$AC$2&amp;'Output annual'!$AD$2&amp;"*FangerPMV(Hourly)",'Eplus results'!$1:$1048576,ROW(),FALSE)</f>
        <v>0</v>
      </c>
      <c r="AD7491" s="580">
        <f t="shared" ref="AD7491:AD7554" si="621">100-95*EXP(-0.03353*AC7491^4-0.2179*AC7491^2)</f>
        <v>5</v>
      </c>
      <c r="AE7491" s="580">
        <f t="shared" ref="AE7491:AE7554" si="622">AD7491*(1/(1+EXP(-6.3*$AC7491)))</f>
        <v>2.5</v>
      </c>
      <c r="AF7491" s="580">
        <f t="shared" ref="AF7491:AF7554" si="623">(AD7491-AE7491)</f>
        <v>2.5</v>
      </c>
      <c r="AG7491" s="580">
        <f t="shared" ref="AG7491:AG7554" si="624">AE7491*AB7491</f>
        <v>0</v>
      </c>
      <c r="AH7491" s="580">
        <f t="shared" ref="AH7491:AH7554" si="625">AF7491*AB7491</f>
        <v>0</v>
      </c>
    </row>
    <row r="7492" spans="28:34">
      <c r="AB7492" s="580">
        <f>HLOOKUP("*"&amp;'Output annual'!$AC$2&amp;'Output annual'!$AD$2&amp;"*Zone People Number Of Occupants [](Hourly)",'Eplus results'!$1:$1048576,ROW(),FALSE)</f>
        <v>0</v>
      </c>
      <c r="AC7492" s="580">
        <f>HLOOKUP("*"&amp;'Output annual'!$AC$2&amp;'Output annual'!$AD$2&amp;"*FangerPMV(Hourly)",'Eplus results'!$1:$1048576,ROW(),FALSE)</f>
        <v>0</v>
      </c>
      <c r="AD7492" s="580">
        <f t="shared" si="621"/>
        <v>5</v>
      </c>
      <c r="AE7492" s="580">
        <f t="shared" si="622"/>
        <v>2.5</v>
      </c>
      <c r="AF7492" s="580">
        <f t="shared" si="623"/>
        <v>2.5</v>
      </c>
      <c r="AG7492" s="580">
        <f t="shared" si="624"/>
        <v>0</v>
      </c>
      <c r="AH7492" s="580">
        <f t="shared" si="625"/>
        <v>0</v>
      </c>
    </row>
    <row r="7493" spans="28:34">
      <c r="AB7493" s="580">
        <f>HLOOKUP("*"&amp;'Output annual'!$AC$2&amp;'Output annual'!$AD$2&amp;"*Zone People Number Of Occupants [](Hourly)",'Eplus results'!$1:$1048576,ROW(),FALSE)</f>
        <v>0</v>
      </c>
      <c r="AC7493" s="580">
        <f>HLOOKUP("*"&amp;'Output annual'!$AC$2&amp;'Output annual'!$AD$2&amp;"*FangerPMV(Hourly)",'Eplus results'!$1:$1048576,ROW(),FALSE)</f>
        <v>0</v>
      </c>
      <c r="AD7493" s="580">
        <f t="shared" si="621"/>
        <v>5</v>
      </c>
      <c r="AE7493" s="580">
        <f t="shared" si="622"/>
        <v>2.5</v>
      </c>
      <c r="AF7493" s="580">
        <f t="shared" si="623"/>
        <v>2.5</v>
      </c>
      <c r="AG7493" s="580">
        <f t="shared" si="624"/>
        <v>0</v>
      </c>
      <c r="AH7493" s="580">
        <f t="shared" si="625"/>
        <v>0</v>
      </c>
    </row>
    <row r="7494" spans="28:34">
      <c r="AB7494" s="580">
        <f>HLOOKUP("*"&amp;'Output annual'!$AC$2&amp;'Output annual'!$AD$2&amp;"*Zone People Number Of Occupants [](Hourly)",'Eplus results'!$1:$1048576,ROW(),FALSE)</f>
        <v>0</v>
      </c>
      <c r="AC7494" s="580">
        <f>HLOOKUP("*"&amp;'Output annual'!$AC$2&amp;'Output annual'!$AD$2&amp;"*FangerPMV(Hourly)",'Eplus results'!$1:$1048576,ROW(),FALSE)</f>
        <v>0</v>
      </c>
      <c r="AD7494" s="580">
        <f t="shared" si="621"/>
        <v>5</v>
      </c>
      <c r="AE7494" s="580">
        <f t="shared" si="622"/>
        <v>2.5</v>
      </c>
      <c r="AF7494" s="580">
        <f t="shared" si="623"/>
        <v>2.5</v>
      </c>
      <c r="AG7494" s="580">
        <f t="shared" si="624"/>
        <v>0</v>
      </c>
      <c r="AH7494" s="580">
        <f t="shared" si="625"/>
        <v>0</v>
      </c>
    </row>
    <row r="7495" spans="28:34">
      <c r="AB7495" s="580">
        <f>HLOOKUP("*"&amp;'Output annual'!$AC$2&amp;'Output annual'!$AD$2&amp;"*Zone People Number Of Occupants [](Hourly)",'Eplus results'!$1:$1048576,ROW(),FALSE)</f>
        <v>0</v>
      </c>
      <c r="AC7495" s="580">
        <f>HLOOKUP("*"&amp;'Output annual'!$AC$2&amp;'Output annual'!$AD$2&amp;"*FangerPMV(Hourly)",'Eplus results'!$1:$1048576,ROW(),FALSE)</f>
        <v>0</v>
      </c>
      <c r="AD7495" s="580">
        <f t="shared" si="621"/>
        <v>5</v>
      </c>
      <c r="AE7495" s="580">
        <f t="shared" si="622"/>
        <v>2.5</v>
      </c>
      <c r="AF7495" s="580">
        <f t="shared" si="623"/>
        <v>2.5</v>
      </c>
      <c r="AG7495" s="580">
        <f t="shared" si="624"/>
        <v>0</v>
      </c>
      <c r="AH7495" s="580">
        <f t="shared" si="625"/>
        <v>0</v>
      </c>
    </row>
    <row r="7496" spans="28:34">
      <c r="AB7496" s="580">
        <f>HLOOKUP("*"&amp;'Output annual'!$AC$2&amp;'Output annual'!$AD$2&amp;"*Zone People Number Of Occupants [](Hourly)",'Eplus results'!$1:$1048576,ROW(),FALSE)</f>
        <v>0</v>
      </c>
      <c r="AC7496" s="580">
        <f>HLOOKUP("*"&amp;'Output annual'!$AC$2&amp;'Output annual'!$AD$2&amp;"*FangerPMV(Hourly)",'Eplus results'!$1:$1048576,ROW(),FALSE)</f>
        <v>0</v>
      </c>
      <c r="AD7496" s="580">
        <f t="shared" si="621"/>
        <v>5</v>
      </c>
      <c r="AE7496" s="580">
        <f t="shared" si="622"/>
        <v>2.5</v>
      </c>
      <c r="AF7496" s="580">
        <f t="shared" si="623"/>
        <v>2.5</v>
      </c>
      <c r="AG7496" s="580">
        <f t="shared" si="624"/>
        <v>0</v>
      </c>
      <c r="AH7496" s="580">
        <f t="shared" si="625"/>
        <v>0</v>
      </c>
    </row>
    <row r="7497" spans="28:34">
      <c r="AB7497" s="580">
        <f>HLOOKUP("*"&amp;'Output annual'!$AC$2&amp;'Output annual'!$AD$2&amp;"*Zone People Number Of Occupants [](Hourly)",'Eplus results'!$1:$1048576,ROW(),FALSE)</f>
        <v>0</v>
      </c>
      <c r="AC7497" s="580">
        <f>HLOOKUP("*"&amp;'Output annual'!$AC$2&amp;'Output annual'!$AD$2&amp;"*FangerPMV(Hourly)",'Eplus results'!$1:$1048576,ROW(),FALSE)</f>
        <v>0</v>
      </c>
      <c r="AD7497" s="580">
        <f t="shared" si="621"/>
        <v>5</v>
      </c>
      <c r="AE7497" s="580">
        <f t="shared" si="622"/>
        <v>2.5</v>
      </c>
      <c r="AF7497" s="580">
        <f t="shared" si="623"/>
        <v>2.5</v>
      </c>
      <c r="AG7497" s="580">
        <f t="shared" si="624"/>
        <v>0</v>
      </c>
      <c r="AH7497" s="580">
        <f t="shared" si="625"/>
        <v>0</v>
      </c>
    </row>
    <row r="7498" spans="28:34">
      <c r="AB7498" s="580">
        <f>HLOOKUP("*"&amp;'Output annual'!$AC$2&amp;'Output annual'!$AD$2&amp;"*Zone People Number Of Occupants [](Hourly)",'Eplus results'!$1:$1048576,ROW(),FALSE)</f>
        <v>0</v>
      </c>
      <c r="AC7498" s="580">
        <f>HLOOKUP("*"&amp;'Output annual'!$AC$2&amp;'Output annual'!$AD$2&amp;"*FangerPMV(Hourly)",'Eplus results'!$1:$1048576,ROW(),FALSE)</f>
        <v>0</v>
      </c>
      <c r="AD7498" s="580">
        <f t="shared" si="621"/>
        <v>5</v>
      </c>
      <c r="AE7498" s="580">
        <f t="shared" si="622"/>
        <v>2.5</v>
      </c>
      <c r="AF7498" s="580">
        <f t="shared" si="623"/>
        <v>2.5</v>
      </c>
      <c r="AG7498" s="580">
        <f t="shared" si="624"/>
        <v>0</v>
      </c>
      <c r="AH7498" s="580">
        <f t="shared" si="625"/>
        <v>0</v>
      </c>
    </row>
    <row r="7499" spans="28:34">
      <c r="AB7499" s="580">
        <f>HLOOKUP("*"&amp;'Output annual'!$AC$2&amp;'Output annual'!$AD$2&amp;"*Zone People Number Of Occupants [](Hourly)",'Eplus results'!$1:$1048576,ROW(),FALSE)</f>
        <v>0</v>
      </c>
      <c r="AC7499" s="580">
        <f>HLOOKUP("*"&amp;'Output annual'!$AC$2&amp;'Output annual'!$AD$2&amp;"*FangerPMV(Hourly)",'Eplus results'!$1:$1048576,ROW(),FALSE)</f>
        <v>0</v>
      </c>
      <c r="AD7499" s="580">
        <f t="shared" si="621"/>
        <v>5</v>
      </c>
      <c r="AE7499" s="580">
        <f t="shared" si="622"/>
        <v>2.5</v>
      </c>
      <c r="AF7499" s="580">
        <f t="shared" si="623"/>
        <v>2.5</v>
      </c>
      <c r="AG7499" s="580">
        <f t="shared" si="624"/>
        <v>0</v>
      </c>
      <c r="AH7499" s="580">
        <f t="shared" si="625"/>
        <v>0</v>
      </c>
    </row>
    <row r="7500" spans="28:34">
      <c r="AB7500" s="580">
        <f>HLOOKUP("*"&amp;'Output annual'!$AC$2&amp;'Output annual'!$AD$2&amp;"*Zone People Number Of Occupants [](Hourly)",'Eplus results'!$1:$1048576,ROW(),FALSE)</f>
        <v>0</v>
      </c>
      <c r="AC7500" s="580">
        <f>HLOOKUP("*"&amp;'Output annual'!$AC$2&amp;'Output annual'!$AD$2&amp;"*FangerPMV(Hourly)",'Eplus results'!$1:$1048576,ROW(),FALSE)</f>
        <v>0</v>
      </c>
      <c r="AD7500" s="580">
        <f t="shared" si="621"/>
        <v>5</v>
      </c>
      <c r="AE7500" s="580">
        <f t="shared" si="622"/>
        <v>2.5</v>
      </c>
      <c r="AF7500" s="580">
        <f t="shared" si="623"/>
        <v>2.5</v>
      </c>
      <c r="AG7500" s="580">
        <f t="shared" si="624"/>
        <v>0</v>
      </c>
      <c r="AH7500" s="580">
        <f t="shared" si="625"/>
        <v>0</v>
      </c>
    </row>
    <row r="7501" spans="28:34">
      <c r="AB7501" s="580">
        <f>HLOOKUP("*"&amp;'Output annual'!$AC$2&amp;'Output annual'!$AD$2&amp;"*Zone People Number Of Occupants [](Hourly)",'Eplus results'!$1:$1048576,ROW(),FALSE)</f>
        <v>0</v>
      </c>
      <c r="AC7501" s="580">
        <f>HLOOKUP("*"&amp;'Output annual'!$AC$2&amp;'Output annual'!$AD$2&amp;"*FangerPMV(Hourly)",'Eplus results'!$1:$1048576,ROW(),FALSE)</f>
        <v>0</v>
      </c>
      <c r="AD7501" s="580">
        <f t="shared" si="621"/>
        <v>5</v>
      </c>
      <c r="AE7501" s="580">
        <f t="shared" si="622"/>
        <v>2.5</v>
      </c>
      <c r="AF7501" s="580">
        <f t="shared" si="623"/>
        <v>2.5</v>
      </c>
      <c r="AG7501" s="580">
        <f t="shared" si="624"/>
        <v>0</v>
      </c>
      <c r="AH7501" s="580">
        <f t="shared" si="625"/>
        <v>0</v>
      </c>
    </row>
    <row r="7502" spans="28:34">
      <c r="AB7502" s="580">
        <f>HLOOKUP("*"&amp;'Output annual'!$AC$2&amp;'Output annual'!$AD$2&amp;"*Zone People Number Of Occupants [](Hourly)",'Eplus results'!$1:$1048576,ROW(),FALSE)</f>
        <v>0</v>
      </c>
      <c r="AC7502" s="580">
        <f>HLOOKUP("*"&amp;'Output annual'!$AC$2&amp;'Output annual'!$AD$2&amp;"*FangerPMV(Hourly)",'Eplus results'!$1:$1048576,ROW(),FALSE)</f>
        <v>0</v>
      </c>
      <c r="AD7502" s="580">
        <f t="shared" si="621"/>
        <v>5</v>
      </c>
      <c r="AE7502" s="580">
        <f t="shared" si="622"/>
        <v>2.5</v>
      </c>
      <c r="AF7502" s="580">
        <f t="shared" si="623"/>
        <v>2.5</v>
      </c>
      <c r="AG7502" s="580">
        <f t="shared" si="624"/>
        <v>0</v>
      </c>
      <c r="AH7502" s="580">
        <f t="shared" si="625"/>
        <v>0</v>
      </c>
    </row>
    <row r="7503" spans="28:34">
      <c r="AB7503" s="580">
        <f>HLOOKUP("*"&amp;'Output annual'!$AC$2&amp;'Output annual'!$AD$2&amp;"*Zone People Number Of Occupants [](Hourly)",'Eplus results'!$1:$1048576,ROW(),FALSE)</f>
        <v>0</v>
      </c>
      <c r="AC7503" s="580">
        <f>HLOOKUP("*"&amp;'Output annual'!$AC$2&amp;'Output annual'!$AD$2&amp;"*FangerPMV(Hourly)",'Eplus results'!$1:$1048576,ROW(),FALSE)</f>
        <v>0</v>
      </c>
      <c r="AD7503" s="580">
        <f t="shared" si="621"/>
        <v>5</v>
      </c>
      <c r="AE7503" s="580">
        <f t="shared" si="622"/>
        <v>2.5</v>
      </c>
      <c r="AF7503" s="580">
        <f t="shared" si="623"/>
        <v>2.5</v>
      </c>
      <c r="AG7503" s="580">
        <f t="shared" si="624"/>
        <v>0</v>
      </c>
      <c r="AH7503" s="580">
        <f t="shared" si="625"/>
        <v>0</v>
      </c>
    </row>
    <row r="7504" spans="28:34">
      <c r="AB7504" s="580">
        <f>HLOOKUP("*"&amp;'Output annual'!$AC$2&amp;'Output annual'!$AD$2&amp;"*Zone People Number Of Occupants [](Hourly)",'Eplus results'!$1:$1048576,ROW(),FALSE)</f>
        <v>0</v>
      </c>
      <c r="AC7504" s="580">
        <f>HLOOKUP("*"&amp;'Output annual'!$AC$2&amp;'Output annual'!$AD$2&amp;"*FangerPMV(Hourly)",'Eplus results'!$1:$1048576,ROW(),FALSE)</f>
        <v>0</v>
      </c>
      <c r="AD7504" s="580">
        <f t="shared" si="621"/>
        <v>5</v>
      </c>
      <c r="AE7504" s="580">
        <f t="shared" si="622"/>
        <v>2.5</v>
      </c>
      <c r="AF7504" s="580">
        <f t="shared" si="623"/>
        <v>2.5</v>
      </c>
      <c r="AG7504" s="580">
        <f t="shared" si="624"/>
        <v>0</v>
      </c>
      <c r="AH7504" s="580">
        <f t="shared" si="625"/>
        <v>0</v>
      </c>
    </row>
    <row r="7505" spans="28:34">
      <c r="AB7505" s="580">
        <f>HLOOKUP("*"&amp;'Output annual'!$AC$2&amp;'Output annual'!$AD$2&amp;"*Zone People Number Of Occupants [](Hourly)",'Eplus results'!$1:$1048576,ROW(),FALSE)</f>
        <v>0</v>
      </c>
      <c r="AC7505" s="580">
        <f>HLOOKUP("*"&amp;'Output annual'!$AC$2&amp;'Output annual'!$AD$2&amp;"*FangerPMV(Hourly)",'Eplus results'!$1:$1048576,ROW(),FALSE)</f>
        <v>0</v>
      </c>
      <c r="AD7505" s="580">
        <f t="shared" si="621"/>
        <v>5</v>
      </c>
      <c r="AE7505" s="580">
        <f t="shared" si="622"/>
        <v>2.5</v>
      </c>
      <c r="AF7505" s="580">
        <f t="shared" si="623"/>
        <v>2.5</v>
      </c>
      <c r="AG7505" s="580">
        <f t="shared" si="624"/>
        <v>0</v>
      </c>
      <c r="AH7505" s="580">
        <f t="shared" si="625"/>
        <v>0</v>
      </c>
    </row>
    <row r="7506" spans="28:34">
      <c r="AB7506" s="580">
        <f>HLOOKUP("*"&amp;'Output annual'!$AC$2&amp;'Output annual'!$AD$2&amp;"*Zone People Number Of Occupants [](Hourly)",'Eplus results'!$1:$1048576,ROW(),FALSE)</f>
        <v>0</v>
      </c>
      <c r="AC7506" s="580">
        <f>HLOOKUP("*"&amp;'Output annual'!$AC$2&amp;'Output annual'!$AD$2&amp;"*FangerPMV(Hourly)",'Eplus results'!$1:$1048576,ROW(),FALSE)</f>
        <v>0</v>
      </c>
      <c r="AD7506" s="580">
        <f t="shared" si="621"/>
        <v>5</v>
      </c>
      <c r="AE7506" s="580">
        <f t="shared" si="622"/>
        <v>2.5</v>
      </c>
      <c r="AF7506" s="580">
        <f t="shared" si="623"/>
        <v>2.5</v>
      </c>
      <c r="AG7506" s="580">
        <f t="shared" si="624"/>
        <v>0</v>
      </c>
      <c r="AH7506" s="580">
        <f t="shared" si="625"/>
        <v>0</v>
      </c>
    </row>
    <row r="7507" spans="28:34">
      <c r="AB7507" s="580">
        <f>HLOOKUP("*"&amp;'Output annual'!$AC$2&amp;'Output annual'!$AD$2&amp;"*Zone People Number Of Occupants [](Hourly)",'Eplus results'!$1:$1048576,ROW(),FALSE)</f>
        <v>0</v>
      </c>
      <c r="AC7507" s="580">
        <f>HLOOKUP("*"&amp;'Output annual'!$AC$2&amp;'Output annual'!$AD$2&amp;"*FangerPMV(Hourly)",'Eplus results'!$1:$1048576,ROW(),FALSE)</f>
        <v>0</v>
      </c>
      <c r="AD7507" s="580">
        <f t="shared" si="621"/>
        <v>5</v>
      </c>
      <c r="AE7507" s="580">
        <f t="shared" si="622"/>
        <v>2.5</v>
      </c>
      <c r="AF7507" s="580">
        <f t="shared" si="623"/>
        <v>2.5</v>
      </c>
      <c r="AG7507" s="580">
        <f t="shared" si="624"/>
        <v>0</v>
      </c>
      <c r="AH7507" s="580">
        <f t="shared" si="625"/>
        <v>0</v>
      </c>
    </row>
    <row r="7508" spans="28:34">
      <c r="AB7508" s="580">
        <f>HLOOKUP("*"&amp;'Output annual'!$AC$2&amp;'Output annual'!$AD$2&amp;"*Zone People Number Of Occupants [](Hourly)",'Eplus results'!$1:$1048576,ROW(),FALSE)</f>
        <v>0</v>
      </c>
      <c r="AC7508" s="580">
        <f>HLOOKUP("*"&amp;'Output annual'!$AC$2&amp;'Output annual'!$AD$2&amp;"*FangerPMV(Hourly)",'Eplus results'!$1:$1048576,ROW(),FALSE)</f>
        <v>0</v>
      </c>
      <c r="AD7508" s="580">
        <f t="shared" si="621"/>
        <v>5</v>
      </c>
      <c r="AE7508" s="580">
        <f t="shared" si="622"/>
        <v>2.5</v>
      </c>
      <c r="AF7508" s="580">
        <f t="shared" si="623"/>
        <v>2.5</v>
      </c>
      <c r="AG7508" s="580">
        <f t="shared" si="624"/>
        <v>0</v>
      </c>
      <c r="AH7508" s="580">
        <f t="shared" si="625"/>
        <v>0</v>
      </c>
    </row>
    <row r="7509" spans="28:34">
      <c r="AB7509" s="580">
        <f>HLOOKUP("*"&amp;'Output annual'!$AC$2&amp;'Output annual'!$AD$2&amp;"*Zone People Number Of Occupants [](Hourly)",'Eplus results'!$1:$1048576,ROW(),FALSE)</f>
        <v>0</v>
      </c>
      <c r="AC7509" s="580">
        <f>HLOOKUP("*"&amp;'Output annual'!$AC$2&amp;'Output annual'!$AD$2&amp;"*FangerPMV(Hourly)",'Eplus results'!$1:$1048576,ROW(),FALSE)</f>
        <v>0</v>
      </c>
      <c r="AD7509" s="580">
        <f t="shared" si="621"/>
        <v>5</v>
      </c>
      <c r="AE7509" s="580">
        <f t="shared" si="622"/>
        <v>2.5</v>
      </c>
      <c r="AF7509" s="580">
        <f t="shared" si="623"/>
        <v>2.5</v>
      </c>
      <c r="AG7509" s="580">
        <f t="shared" si="624"/>
        <v>0</v>
      </c>
      <c r="AH7509" s="580">
        <f t="shared" si="625"/>
        <v>0</v>
      </c>
    </row>
    <row r="7510" spans="28:34">
      <c r="AB7510" s="580">
        <f>HLOOKUP("*"&amp;'Output annual'!$AC$2&amp;'Output annual'!$AD$2&amp;"*Zone People Number Of Occupants [](Hourly)",'Eplus results'!$1:$1048576,ROW(),FALSE)</f>
        <v>0</v>
      </c>
      <c r="AC7510" s="580">
        <f>HLOOKUP("*"&amp;'Output annual'!$AC$2&amp;'Output annual'!$AD$2&amp;"*FangerPMV(Hourly)",'Eplus results'!$1:$1048576,ROW(),FALSE)</f>
        <v>0</v>
      </c>
      <c r="AD7510" s="580">
        <f t="shared" si="621"/>
        <v>5</v>
      </c>
      <c r="AE7510" s="580">
        <f t="shared" si="622"/>
        <v>2.5</v>
      </c>
      <c r="AF7510" s="580">
        <f t="shared" si="623"/>
        <v>2.5</v>
      </c>
      <c r="AG7510" s="580">
        <f t="shared" si="624"/>
        <v>0</v>
      </c>
      <c r="AH7510" s="580">
        <f t="shared" si="625"/>
        <v>0</v>
      </c>
    </row>
    <row r="7511" spans="28:34">
      <c r="AB7511" s="580">
        <f>HLOOKUP("*"&amp;'Output annual'!$AC$2&amp;'Output annual'!$AD$2&amp;"*Zone People Number Of Occupants [](Hourly)",'Eplus results'!$1:$1048576,ROW(),FALSE)</f>
        <v>0</v>
      </c>
      <c r="AC7511" s="580">
        <f>HLOOKUP("*"&amp;'Output annual'!$AC$2&amp;'Output annual'!$AD$2&amp;"*FangerPMV(Hourly)",'Eplus results'!$1:$1048576,ROW(),FALSE)</f>
        <v>0</v>
      </c>
      <c r="AD7511" s="580">
        <f t="shared" si="621"/>
        <v>5</v>
      </c>
      <c r="AE7511" s="580">
        <f t="shared" si="622"/>
        <v>2.5</v>
      </c>
      <c r="AF7511" s="580">
        <f t="shared" si="623"/>
        <v>2.5</v>
      </c>
      <c r="AG7511" s="580">
        <f t="shared" si="624"/>
        <v>0</v>
      </c>
      <c r="AH7511" s="580">
        <f t="shared" si="625"/>
        <v>0</v>
      </c>
    </row>
    <row r="7512" spans="28:34">
      <c r="AB7512" s="580">
        <f>HLOOKUP("*"&amp;'Output annual'!$AC$2&amp;'Output annual'!$AD$2&amp;"*Zone People Number Of Occupants [](Hourly)",'Eplus results'!$1:$1048576,ROW(),FALSE)</f>
        <v>0</v>
      </c>
      <c r="AC7512" s="580">
        <f>HLOOKUP("*"&amp;'Output annual'!$AC$2&amp;'Output annual'!$AD$2&amp;"*FangerPMV(Hourly)",'Eplus results'!$1:$1048576,ROW(),FALSE)</f>
        <v>0</v>
      </c>
      <c r="AD7512" s="580">
        <f t="shared" si="621"/>
        <v>5</v>
      </c>
      <c r="AE7512" s="580">
        <f t="shared" si="622"/>
        <v>2.5</v>
      </c>
      <c r="AF7512" s="580">
        <f t="shared" si="623"/>
        <v>2.5</v>
      </c>
      <c r="AG7512" s="580">
        <f t="shared" si="624"/>
        <v>0</v>
      </c>
      <c r="AH7512" s="580">
        <f t="shared" si="625"/>
        <v>0</v>
      </c>
    </row>
    <row r="7513" spans="28:34">
      <c r="AB7513" s="580">
        <f>HLOOKUP("*"&amp;'Output annual'!$AC$2&amp;'Output annual'!$AD$2&amp;"*Zone People Number Of Occupants [](Hourly)",'Eplus results'!$1:$1048576,ROW(),FALSE)</f>
        <v>0</v>
      </c>
      <c r="AC7513" s="580">
        <f>HLOOKUP("*"&amp;'Output annual'!$AC$2&amp;'Output annual'!$AD$2&amp;"*FangerPMV(Hourly)",'Eplus results'!$1:$1048576,ROW(),FALSE)</f>
        <v>0</v>
      </c>
      <c r="AD7513" s="580">
        <f t="shared" si="621"/>
        <v>5</v>
      </c>
      <c r="AE7513" s="580">
        <f t="shared" si="622"/>
        <v>2.5</v>
      </c>
      <c r="AF7513" s="580">
        <f t="shared" si="623"/>
        <v>2.5</v>
      </c>
      <c r="AG7513" s="580">
        <f t="shared" si="624"/>
        <v>0</v>
      </c>
      <c r="AH7513" s="580">
        <f t="shared" si="625"/>
        <v>0</v>
      </c>
    </row>
    <row r="7514" spans="28:34">
      <c r="AB7514" s="580">
        <f>HLOOKUP("*"&amp;'Output annual'!$AC$2&amp;'Output annual'!$AD$2&amp;"*Zone People Number Of Occupants [](Hourly)",'Eplus results'!$1:$1048576,ROW(),FALSE)</f>
        <v>0</v>
      </c>
      <c r="AC7514" s="580">
        <f>HLOOKUP("*"&amp;'Output annual'!$AC$2&amp;'Output annual'!$AD$2&amp;"*FangerPMV(Hourly)",'Eplus results'!$1:$1048576,ROW(),FALSE)</f>
        <v>0</v>
      </c>
      <c r="AD7514" s="580">
        <f t="shared" si="621"/>
        <v>5</v>
      </c>
      <c r="AE7514" s="580">
        <f t="shared" si="622"/>
        <v>2.5</v>
      </c>
      <c r="AF7514" s="580">
        <f t="shared" si="623"/>
        <v>2.5</v>
      </c>
      <c r="AG7514" s="580">
        <f t="shared" si="624"/>
        <v>0</v>
      </c>
      <c r="AH7514" s="580">
        <f t="shared" si="625"/>
        <v>0</v>
      </c>
    </row>
    <row r="7515" spans="28:34">
      <c r="AB7515" s="580">
        <f>HLOOKUP("*"&amp;'Output annual'!$AC$2&amp;'Output annual'!$AD$2&amp;"*Zone People Number Of Occupants [](Hourly)",'Eplus results'!$1:$1048576,ROW(),FALSE)</f>
        <v>0</v>
      </c>
      <c r="AC7515" s="580">
        <f>HLOOKUP("*"&amp;'Output annual'!$AC$2&amp;'Output annual'!$AD$2&amp;"*FangerPMV(Hourly)",'Eplus results'!$1:$1048576,ROW(),FALSE)</f>
        <v>0</v>
      </c>
      <c r="AD7515" s="580">
        <f t="shared" si="621"/>
        <v>5</v>
      </c>
      <c r="AE7515" s="580">
        <f t="shared" si="622"/>
        <v>2.5</v>
      </c>
      <c r="AF7515" s="580">
        <f t="shared" si="623"/>
        <v>2.5</v>
      </c>
      <c r="AG7515" s="580">
        <f t="shared" si="624"/>
        <v>0</v>
      </c>
      <c r="AH7515" s="580">
        <f t="shared" si="625"/>
        <v>0</v>
      </c>
    </row>
    <row r="7516" spans="28:34">
      <c r="AB7516" s="580">
        <f>HLOOKUP("*"&amp;'Output annual'!$AC$2&amp;'Output annual'!$AD$2&amp;"*Zone People Number Of Occupants [](Hourly)",'Eplus results'!$1:$1048576,ROW(),FALSE)</f>
        <v>0</v>
      </c>
      <c r="AC7516" s="580">
        <f>HLOOKUP("*"&amp;'Output annual'!$AC$2&amp;'Output annual'!$AD$2&amp;"*FangerPMV(Hourly)",'Eplus results'!$1:$1048576,ROW(),FALSE)</f>
        <v>0</v>
      </c>
      <c r="AD7516" s="580">
        <f t="shared" si="621"/>
        <v>5</v>
      </c>
      <c r="AE7516" s="580">
        <f t="shared" si="622"/>
        <v>2.5</v>
      </c>
      <c r="AF7516" s="580">
        <f t="shared" si="623"/>
        <v>2.5</v>
      </c>
      <c r="AG7516" s="580">
        <f t="shared" si="624"/>
        <v>0</v>
      </c>
      <c r="AH7516" s="580">
        <f t="shared" si="625"/>
        <v>0</v>
      </c>
    </row>
    <row r="7517" spans="28:34">
      <c r="AB7517" s="580">
        <f>HLOOKUP("*"&amp;'Output annual'!$AC$2&amp;'Output annual'!$AD$2&amp;"*Zone People Number Of Occupants [](Hourly)",'Eplus results'!$1:$1048576,ROW(),FALSE)</f>
        <v>0</v>
      </c>
      <c r="AC7517" s="580">
        <f>HLOOKUP("*"&amp;'Output annual'!$AC$2&amp;'Output annual'!$AD$2&amp;"*FangerPMV(Hourly)",'Eplus results'!$1:$1048576,ROW(),FALSE)</f>
        <v>0</v>
      </c>
      <c r="AD7517" s="580">
        <f t="shared" si="621"/>
        <v>5</v>
      </c>
      <c r="AE7517" s="580">
        <f t="shared" si="622"/>
        <v>2.5</v>
      </c>
      <c r="AF7517" s="580">
        <f t="shared" si="623"/>
        <v>2.5</v>
      </c>
      <c r="AG7517" s="580">
        <f t="shared" si="624"/>
        <v>0</v>
      </c>
      <c r="AH7517" s="580">
        <f t="shared" si="625"/>
        <v>0</v>
      </c>
    </row>
    <row r="7518" spans="28:34">
      <c r="AB7518" s="580">
        <f>HLOOKUP("*"&amp;'Output annual'!$AC$2&amp;'Output annual'!$AD$2&amp;"*Zone People Number Of Occupants [](Hourly)",'Eplus results'!$1:$1048576,ROW(),FALSE)</f>
        <v>0</v>
      </c>
      <c r="AC7518" s="580">
        <f>HLOOKUP("*"&amp;'Output annual'!$AC$2&amp;'Output annual'!$AD$2&amp;"*FangerPMV(Hourly)",'Eplus results'!$1:$1048576,ROW(),FALSE)</f>
        <v>0</v>
      </c>
      <c r="AD7518" s="580">
        <f t="shared" si="621"/>
        <v>5</v>
      </c>
      <c r="AE7518" s="580">
        <f t="shared" si="622"/>
        <v>2.5</v>
      </c>
      <c r="AF7518" s="580">
        <f t="shared" si="623"/>
        <v>2.5</v>
      </c>
      <c r="AG7518" s="580">
        <f t="shared" si="624"/>
        <v>0</v>
      </c>
      <c r="AH7518" s="580">
        <f t="shared" si="625"/>
        <v>0</v>
      </c>
    </row>
    <row r="7519" spans="28:34">
      <c r="AB7519" s="580">
        <f>HLOOKUP("*"&amp;'Output annual'!$AC$2&amp;'Output annual'!$AD$2&amp;"*Zone People Number Of Occupants [](Hourly)",'Eplus results'!$1:$1048576,ROW(),FALSE)</f>
        <v>0</v>
      </c>
      <c r="AC7519" s="580">
        <f>HLOOKUP("*"&amp;'Output annual'!$AC$2&amp;'Output annual'!$AD$2&amp;"*FangerPMV(Hourly)",'Eplus results'!$1:$1048576,ROW(),FALSE)</f>
        <v>0</v>
      </c>
      <c r="AD7519" s="580">
        <f t="shared" si="621"/>
        <v>5</v>
      </c>
      <c r="AE7519" s="580">
        <f t="shared" si="622"/>
        <v>2.5</v>
      </c>
      <c r="AF7519" s="580">
        <f t="shared" si="623"/>
        <v>2.5</v>
      </c>
      <c r="AG7519" s="580">
        <f t="shared" si="624"/>
        <v>0</v>
      </c>
      <c r="AH7519" s="580">
        <f t="shared" si="625"/>
        <v>0</v>
      </c>
    </row>
    <row r="7520" spans="28:34">
      <c r="AB7520" s="580">
        <f>HLOOKUP("*"&amp;'Output annual'!$AC$2&amp;'Output annual'!$AD$2&amp;"*Zone People Number Of Occupants [](Hourly)",'Eplus results'!$1:$1048576,ROW(),FALSE)</f>
        <v>0</v>
      </c>
      <c r="AC7520" s="580">
        <f>HLOOKUP("*"&amp;'Output annual'!$AC$2&amp;'Output annual'!$AD$2&amp;"*FangerPMV(Hourly)",'Eplus results'!$1:$1048576,ROW(),FALSE)</f>
        <v>0</v>
      </c>
      <c r="AD7520" s="580">
        <f t="shared" si="621"/>
        <v>5</v>
      </c>
      <c r="AE7520" s="580">
        <f t="shared" si="622"/>
        <v>2.5</v>
      </c>
      <c r="AF7520" s="580">
        <f t="shared" si="623"/>
        <v>2.5</v>
      </c>
      <c r="AG7520" s="580">
        <f t="shared" si="624"/>
        <v>0</v>
      </c>
      <c r="AH7520" s="580">
        <f t="shared" si="625"/>
        <v>0</v>
      </c>
    </row>
    <row r="7521" spans="28:34">
      <c r="AB7521" s="580">
        <f>HLOOKUP("*"&amp;'Output annual'!$AC$2&amp;'Output annual'!$AD$2&amp;"*Zone People Number Of Occupants [](Hourly)",'Eplus results'!$1:$1048576,ROW(),FALSE)</f>
        <v>0</v>
      </c>
      <c r="AC7521" s="580">
        <f>HLOOKUP("*"&amp;'Output annual'!$AC$2&amp;'Output annual'!$AD$2&amp;"*FangerPMV(Hourly)",'Eplus results'!$1:$1048576,ROW(),FALSE)</f>
        <v>0</v>
      </c>
      <c r="AD7521" s="580">
        <f t="shared" si="621"/>
        <v>5</v>
      </c>
      <c r="AE7521" s="580">
        <f t="shared" si="622"/>
        <v>2.5</v>
      </c>
      <c r="AF7521" s="580">
        <f t="shared" si="623"/>
        <v>2.5</v>
      </c>
      <c r="AG7521" s="580">
        <f t="shared" si="624"/>
        <v>0</v>
      </c>
      <c r="AH7521" s="580">
        <f t="shared" si="625"/>
        <v>0</v>
      </c>
    </row>
    <row r="7522" spans="28:34">
      <c r="AB7522" s="580">
        <f>HLOOKUP("*"&amp;'Output annual'!$AC$2&amp;'Output annual'!$AD$2&amp;"*Zone People Number Of Occupants [](Hourly)",'Eplus results'!$1:$1048576,ROW(),FALSE)</f>
        <v>0</v>
      </c>
      <c r="AC7522" s="580">
        <f>HLOOKUP("*"&amp;'Output annual'!$AC$2&amp;'Output annual'!$AD$2&amp;"*FangerPMV(Hourly)",'Eplus results'!$1:$1048576,ROW(),FALSE)</f>
        <v>0</v>
      </c>
      <c r="AD7522" s="580">
        <f t="shared" si="621"/>
        <v>5</v>
      </c>
      <c r="AE7522" s="580">
        <f t="shared" si="622"/>
        <v>2.5</v>
      </c>
      <c r="AF7522" s="580">
        <f t="shared" si="623"/>
        <v>2.5</v>
      </c>
      <c r="AG7522" s="580">
        <f t="shared" si="624"/>
        <v>0</v>
      </c>
      <c r="AH7522" s="580">
        <f t="shared" si="625"/>
        <v>0</v>
      </c>
    </row>
    <row r="7523" spans="28:34">
      <c r="AB7523" s="580">
        <f>HLOOKUP("*"&amp;'Output annual'!$AC$2&amp;'Output annual'!$AD$2&amp;"*Zone People Number Of Occupants [](Hourly)",'Eplus results'!$1:$1048576,ROW(),FALSE)</f>
        <v>0</v>
      </c>
      <c r="AC7523" s="580">
        <f>HLOOKUP("*"&amp;'Output annual'!$AC$2&amp;'Output annual'!$AD$2&amp;"*FangerPMV(Hourly)",'Eplus results'!$1:$1048576,ROW(),FALSE)</f>
        <v>0</v>
      </c>
      <c r="AD7523" s="580">
        <f t="shared" si="621"/>
        <v>5</v>
      </c>
      <c r="AE7523" s="580">
        <f t="shared" si="622"/>
        <v>2.5</v>
      </c>
      <c r="AF7523" s="580">
        <f t="shared" si="623"/>
        <v>2.5</v>
      </c>
      <c r="AG7523" s="580">
        <f t="shared" si="624"/>
        <v>0</v>
      </c>
      <c r="AH7523" s="580">
        <f t="shared" si="625"/>
        <v>0</v>
      </c>
    </row>
    <row r="7524" spans="28:34">
      <c r="AB7524" s="580">
        <f>HLOOKUP("*"&amp;'Output annual'!$AC$2&amp;'Output annual'!$AD$2&amp;"*Zone People Number Of Occupants [](Hourly)",'Eplus results'!$1:$1048576,ROW(),FALSE)</f>
        <v>0</v>
      </c>
      <c r="AC7524" s="580">
        <f>HLOOKUP("*"&amp;'Output annual'!$AC$2&amp;'Output annual'!$AD$2&amp;"*FangerPMV(Hourly)",'Eplus results'!$1:$1048576,ROW(),FALSE)</f>
        <v>0</v>
      </c>
      <c r="AD7524" s="580">
        <f t="shared" si="621"/>
        <v>5</v>
      </c>
      <c r="AE7524" s="580">
        <f t="shared" si="622"/>
        <v>2.5</v>
      </c>
      <c r="AF7524" s="580">
        <f t="shared" si="623"/>
        <v>2.5</v>
      </c>
      <c r="AG7524" s="580">
        <f t="shared" si="624"/>
        <v>0</v>
      </c>
      <c r="AH7524" s="580">
        <f t="shared" si="625"/>
        <v>0</v>
      </c>
    </row>
    <row r="7525" spans="28:34">
      <c r="AB7525" s="580">
        <f>HLOOKUP("*"&amp;'Output annual'!$AC$2&amp;'Output annual'!$AD$2&amp;"*Zone People Number Of Occupants [](Hourly)",'Eplus results'!$1:$1048576,ROW(),FALSE)</f>
        <v>0</v>
      </c>
      <c r="AC7525" s="580">
        <f>HLOOKUP("*"&amp;'Output annual'!$AC$2&amp;'Output annual'!$AD$2&amp;"*FangerPMV(Hourly)",'Eplus results'!$1:$1048576,ROW(),FALSE)</f>
        <v>0</v>
      </c>
      <c r="AD7525" s="580">
        <f t="shared" si="621"/>
        <v>5</v>
      </c>
      <c r="AE7525" s="580">
        <f t="shared" si="622"/>
        <v>2.5</v>
      </c>
      <c r="AF7525" s="580">
        <f t="shared" si="623"/>
        <v>2.5</v>
      </c>
      <c r="AG7525" s="580">
        <f t="shared" si="624"/>
        <v>0</v>
      </c>
      <c r="AH7525" s="580">
        <f t="shared" si="625"/>
        <v>0</v>
      </c>
    </row>
    <row r="7526" spans="28:34">
      <c r="AB7526" s="580">
        <f>HLOOKUP("*"&amp;'Output annual'!$AC$2&amp;'Output annual'!$AD$2&amp;"*Zone People Number Of Occupants [](Hourly)",'Eplus results'!$1:$1048576,ROW(),FALSE)</f>
        <v>0</v>
      </c>
      <c r="AC7526" s="580">
        <f>HLOOKUP("*"&amp;'Output annual'!$AC$2&amp;'Output annual'!$AD$2&amp;"*FangerPMV(Hourly)",'Eplus results'!$1:$1048576,ROW(),FALSE)</f>
        <v>0</v>
      </c>
      <c r="AD7526" s="580">
        <f t="shared" si="621"/>
        <v>5</v>
      </c>
      <c r="AE7526" s="580">
        <f t="shared" si="622"/>
        <v>2.5</v>
      </c>
      <c r="AF7526" s="580">
        <f t="shared" si="623"/>
        <v>2.5</v>
      </c>
      <c r="AG7526" s="580">
        <f t="shared" si="624"/>
        <v>0</v>
      </c>
      <c r="AH7526" s="580">
        <f t="shared" si="625"/>
        <v>0</v>
      </c>
    </row>
    <row r="7527" spans="28:34">
      <c r="AB7527" s="580">
        <f>HLOOKUP("*"&amp;'Output annual'!$AC$2&amp;'Output annual'!$AD$2&amp;"*Zone People Number Of Occupants [](Hourly)",'Eplus results'!$1:$1048576,ROW(),FALSE)</f>
        <v>0</v>
      </c>
      <c r="AC7527" s="580">
        <f>HLOOKUP("*"&amp;'Output annual'!$AC$2&amp;'Output annual'!$AD$2&amp;"*FangerPMV(Hourly)",'Eplus results'!$1:$1048576,ROW(),FALSE)</f>
        <v>0</v>
      </c>
      <c r="AD7527" s="580">
        <f t="shared" si="621"/>
        <v>5</v>
      </c>
      <c r="AE7527" s="580">
        <f t="shared" si="622"/>
        <v>2.5</v>
      </c>
      <c r="AF7527" s="580">
        <f t="shared" si="623"/>
        <v>2.5</v>
      </c>
      <c r="AG7527" s="580">
        <f t="shared" si="624"/>
        <v>0</v>
      </c>
      <c r="AH7527" s="580">
        <f t="shared" si="625"/>
        <v>0</v>
      </c>
    </row>
    <row r="7528" spans="28:34">
      <c r="AB7528" s="580">
        <f>HLOOKUP("*"&amp;'Output annual'!$AC$2&amp;'Output annual'!$AD$2&amp;"*Zone People Number Of Occupants [](Hourly)",'Eplus results'!$1:$1048576,ROW(),FALSE)</f>
        <v>0</v>
      </c>
      <c r="AC7528" s="580">
        <f>HLOOKUP("*"&amp;'Output annual'!$AC$2&amp;'Output annual'!$AD$2&amp;"*FangerPMV(Hourly)",'Eplus results'!$1:$1048576,ROW(),FALSE)</f>
        <v>0</v>
      </c>
      <c r="AD7528" s="580">
        <f t="shared" si="621"/>
        <v>5</v>
      </c>
      <c r="AE7528" s="580">
        <f t="shared" si="622"/>
        <v>2.5</v>
      </c>
      <c r="AF7528" s="580">
        <f t="shared" si="623"/>
        <v>2.5</v>
      </c>
      <c r="AG7528" s="580">
        <f t="shared" si="624"/>
        <v>0</v>
      </c>
      <c r="AH7528" s="580">
        <f t="shared" si="625"/>
        <v>0</v>
      </c>
    </row>
    <row r="7529" spans="28:34">
      <c r="AB7529" s="580">
        <f>HLOOKUP("*"&amp;'Output annual'!$AC$2&amp;'Output annual'!$AD$2&amp;"*Zone People Number Of Occupants [](Hourly)",'Eplus results'!$1:$1048576,ROW(),FALSE)</f>
        <v>0</v>
      </c>
      <c r="AC7529" s="580">
        <f>HLOOKUP("*"&amp;'Output annual'!$AC$2&amp;'Output annual'!$AD$2&amp;"*FangerPMV(Hourly)",'Eplus results'!$1:$1048576,ROW(),FALSE)</f>
        <v>0</v>
      </c>
      <c r="AD7529" s="580">
        <f t="shared" si="621"/>
        <v>5</v>
      </c>
      <c r="AE7529" s="580">
        <f t="shared" si="622"/>
        <v>2.5</v>
      </c>
      <c r="AF7529" s="580">
        <f t="shared" si="623"/>
        <v>2.5</v>
      </c>
      <c r="AG7529" s="580">
        <f t="shared" si="624"/>
        <v>0</v>
      </c>
      <c r="AH7529" s="580">
        <f t="shared" si="625"/>
        <v>0</v>
      </c>
    </row>
    <row r="7530" spans="28:34">
      <c r="AB7530" s="580">
        <f>HLOOKUP("*"&amp;'Output annual'!$AC$2&amp;'Output annual'!$AD$2&amp;"*Zone People Number Of Occupants [](Hourly)",'Eplus results'!$1:$1048576,ROW(),FALSE)</f>
        <v>0</v>
      </c>
      <c r="AC7530" s="580">
        <f>HLOOKUP("*"&amp;'Output annual'!$AC$2&amp;'Output annual'!$AD$2&amp;"*FangerPMV(Hourly)",'Eplus results'!$1:$1048576,ROW(),FALSE)</f>
        <v>0</v>
      </c>
      <c r="AD7530" s="580">
        <f t="shared" si="621"/>
        <v>5</v>
      </c>
      <c r="AE7530" s="580">
        <f t="shared" si="622"/>
        <v>2.5</v>
      </c>
      <c r="AF7530" s="580">
        <f t="shared" si="623"/>
        <v>2.5</v>
      </c>
      <c r="AG7530" s="580">
        <f t="shared" si="624"/>
        <v>0</v>
      </c>
      <c r="AH7530" s="580">
        <f t="shared" si="625"/>
        <v>0</v>
      </c>
    </row>
    <row r="7531" spans="28:34">
      <c r="AB7531" s="580">
        <f>HLOOKUP("*"&amp;'Output annual'!$AC$2&amp;'Output annual'!$AD$2&amp;"*Zone People Number Of Occupants [](Hourly)",'Eplus results'!$1:$1048576,ROW(),FALSE)</f>
        <v>0</v>
      </c>
      <c r="AC7531" s="580">
        <f>HLOOKUP("*"&amp;'Output annual'!$AC$2&amp;'Output annual'!$AD$2&amp;"*FangerPMV(Hourly)",'Eplus results'!$1:$1048576,ROW(),FALSE)</f>
        <v>0</v>
      </c>
      <c r="AD7531" s="580">
        <f t="shared" si="621"/>
        <v>5</v>
      </c>
      <c r="AE7531" s="580">
        <f t="shared" si="622"/>
        <v>2.5</v>
      </c>
      <c r="AF7531" s="580">
        <f t="shared" si="623"/>
        <v>2.5</v>
      </c>
      <c r="AG7531" s="580">
        <f t="shared" si="624"/>
        <v>0</v>
      </c>
      <c r="AH7531" s="580">
        <f t="shared" si="625"/>
        <v>0</v>
      </c>
    </row>
    <row r="7532" spans="28:34">
      <c r="AB7532" s="580">
        <f>HLOOKUP("*"&amp;'Output annual'!$AC$2&amp;'Output annual'!$AD$2&amp;"*Zone People Number Of Occupants [](Hourly)",'Eplus results'!$1:$1048576,ROW(),FALSE)</f>
        <v>0</v>
      </c>
      <c r="AC7532" s="580">
        <f>HLOOKUP("*"&amp;'Output annual'!$AC$2&amp;'Output annual'!$AD$2&amp;"*FangerPMV(Hourly)",'Eplus results'!$1:$1048576,ROW(),FALSE)</f>
        <v>0</v>
      </c>
      <c r="AD7532" s="580">
        <f t="shared" si="621"/>
        <v>5</v>
      </c>
      <c r="AE7532" s="580">
        <f t="shared" si="622"/>
        <v>2.5</v>
      </c>
      <c r="AF7532" s="580">
        <f t="shared" si="623"/>
        <v>2.5</v>
      </c>
      <c r="AG7532" s="580">
        <f t="shared" si="624"/>
        <v>0</v>
      </c>
      <c r="AH7532" s="580">
        <f t="shared" si="625"/>
        <v>0</v>
      </c>
    </row>
    <row r="7533" spans="28:34">
      <c r="AB7533" s="580">
        <f>HLOOKUP("*"&amp;'Output annual'!$AC$2&amp;'Output annual'!$AD$2&amp;"*Zone People Number Of Occupants [](Hourly)",'Eplus results'!$1:$1048576,ROW(),FALSE)</f>
        <v>0</v>
      </c>
      <c r="AC7533" s="580">
        <f>HLOOKUP("*"&amp;'Output annual'!$AC$2&amp;'Output annual'!$AD$2&amp;"*FangerPMV(Hourly)",'Eplus results'!$1:$1048576,ROW(),FALSE)</f>
        <v>0</v>
      </c>
      <c r="AD7533" s="580">
        <f t="shared" si="621"/>
        <v>5</v>
      </c>
      <c r="AE7533" s="580">
        <f t="shared" si="622"/>
        <v>2.5</v>
      </c>
      <c r="AF7533" s="580">
        <f t="shared" si="623"/>
        <v>2.5</v>
      </c>
      <c r="AG7533" s="580">
        <f t="shared" si="624"/>
        <v>0</v>
      </c>
      <c r="AH7533" s="580">
        <f t="shared" si="625"/>
        <v>0</v>
      </c>
    </row>
    <row r="7534" spans="28:34">
      <c r="AB7534" s="580">
        <f>HLOOKUP("*"&amp;'Output annual'!$AC$2&amp;'Output annual'!$AD$2&amp;"*Zone People Number Of Occupants [](Hourly)",'Eplus results'!$1:$1048576,ROW(),FALSE)</f>
        <v>0</v>
      </c>
      <c r="AC7534" s="580">
        <f>HLOOKUP("*"&amp;'Output annual'!$AC$2&amp;'Output annual'!$AD$2&amp;"*FangerPMV(Hourly)",'Eplus results'!$1:$1048576,ROW(),FALSE)</f>
        <v>0</v>
      </c>
      <c r="AD7534" s="580">
        <f t="shared" si="621"/>
        <v>5</v>
      </c>
      <c r="AE7534" s="580">
        <f t="shared" si="622"/>
        <v>2.5</v>
      </c>
      <c r="AF7534" s="580">
        <f t="shared" si="623"/>
        <v>2.5</v>
      </c>
      <c r="AG7534" s="580">
        <f t="shared" si="624"/>
        <v>0</v>
      </c>
      <c r="AH7534" s="580">
        <f t="shared" si="625"/>
        <v>0</v>
      </c>
    </row>
    <row r="7535" spans="28:34">
      <c r="AB7535" s="580">
        <f>HLOOKUP("*"&amp;'Output annual'!$AC$2&amp;'Output annual'!$AD$2&amp;"*Zone People Number Of Occupants [](Hourly)",'Eplus results'!$1:$1048576,ROW(),FALSE)</f>
        <v>0</v>
      </c>
      <c r="AC7535" s="580">
        <f>HLOOKUP("*"&amp;'Output annual'!$AC$2&amp;'Output annual'!$AD$2&amp;"*FangerPMV(Hourly)",'Eplus results'!$1:$1048576,ROW(),FALSE)</f>
        <v>0</v>
      </c>
      <c r="AD7535" s="580">
        <f t="shared" si="621"/>
        <v>5</v>
      </c>
      <c r="AE7535" s="580">
        <f t="shared" si="622"/>
        <v>2.5</v>
      </c>
      <c r="AF7535" s="580">
        <f t="shared" si="623"/>
        <v>2.5</v>
      </c>
      <c r="AG7535" s="580">
        <f t="shared" si="624"/>
        <v>0</v>
      </c>
      <c r="AH7535" s="580">
        <f t="shared" si="625"/>
        <v>0</v>
      </c>
    </row>
    <row r="7536" spans="28:34">
      <c r="AB7536" s="580">
        <f>HLOOKUP("*"&amp;'Output annual'!$AC$2&amp;'Output annual'!$AD$2&amp;"*Zone People Number Of Occupants [](Hourly)",'Eplus results'!$1:$1048576,ROW(),FALSE)</f>
        <v>0</v>
      </c>
      <c r="AC7536" s="580">
        <f>HLOOKUP("*"&amp;'Output annual'!$AC$2&amp;'Output annual'!$AD$2&amp;"*FangerPMV(Hourly)",'Eplus results'!$1:$1048576,ROW(),FALSE)</f>
        <v>0</v>
      </c>
      <c r="AD7536" s="580">
        <f t="shared" si="621"/>
        <v>5</v>
      </c>
      <c r="AE7536" s="580">
        <f t="shared" si="622"/>
        <v>2.5</v>
      </c>
      <c r="AF7536" s="580">
        <f t="shared" si="623"/>
        <v>2.5</v>
      </c>
      <c r="AG7536" s="580">
        <f t="shared" si="624"/>
        <v>0</v>
      </c>
      <c r="AH7536" s="580">
        <f t="shared" si="625"/>
        <v>0</v>
      </c>
    </row>
    <row r="7537" spans="28:34">
      <c r="AB7537" s="580">
        <f>HLOOKUP("*"&amp;'Output annual'!$AC$2&amp;'Output annual'!$AD$2&amp;"*Zone People Number Of Occupants [](Hourly)",'Eplus results'!$1:$1048576,ROW(),FALSE)</f>
        <v>0</v>
      </c>
      <c r="AC7537" s="580">
        <f>HLOOKUP("*"&amp;'Output annual'!$AC$2&amp;'Output annual'!$AD$2&amp;"*FangerPMV(Hourly)",'Eplus results'!$1:$1048576,ROW(),FALSE)</f>
        <v>0</v>
      </c>
      <c r="AD7537" s="580">
        <f t="shared" si="621"/>
        <v>5</v>
      </c>
      <c r="AE7537" s="580">
        <f t="shared" si="622"/>
        <v>2.5</v>
      </c>
      <c r="AF7537" s="580">
        <f t="shared" si="623"/>
        <v>2.5</v>
      </c>
      <c r="AG7537" s="580">
        <f t="shared" si="624"/>
        <v>0</v>
      </c>
      <c r="AH7537" s="580">
        <f t="shared" si="625"/>
        <v>0</v>
      </c>
    </row>
    <row r="7538" spans="28:34">
      <c r="AB7538" s="580">
        <f>HLOOKUP("*"&amp;'Output annual'!$AC$2&amp;'Output annual'!$AD$2&amp;"*Zone People Number Of Occupants [](Hourly)",'Eplus results'!$1:$1048576,ROW(),FALSE)</f>
        <v>0</v>
      </c>
      <c r="AC7538" s="580">
        <f>HLOOKUP("*"&amp;'Output annual'!$AC$2&amp;'Output annual'!$AD$2&amp;"*FangerPMV(Hourly)",'Eplus results'!$1:$1048576,ROW(),FALSE)</f>
        <v>0</v>
      </c>
      <c r="AD7538" s="580">
        <f t="shared" si="621"/>
        <v>5</v>
      </c>
      <c r="AE7538" s="580">
        <f t="shared" si="622"/>
        <v>2.5</v>
      </c>
      <c r="AF7538" s="580">
        <f t="shared" si="623"/>
        <v>2.5</v>
      </c>
      <c r="AG7538" s="580">
        <f t="shared" si="624"/>
        <v>0</v>
      </c>
      <c r="AH7538" s="580">
        <f t="shared" si="625"/>
        <v>0</v>
      </c>
    </row>
    <row r="7539" spans="28:34">
      <c r="AB7539" s="580">
        <f>HLOOKUP("*"&amp;'Output annual'!$AC$2&amp;'Output annual'!$AD$2&amp;"*Zone People Number Of Occupants [](Hourly)",'Eplus results'!$1:$1048576,ROW(),FALSE)</f>
        <v>0</v>
      </c>
      <c r="AC7539" s="580">
        <f>HLOOKUP("*"&amp;'Output annual'!$AC$2&amp;'Output annual'!$AD$2&amp;"*FangerPMV(Hourly)",'Eplus results'!$1:$1048576,ROW(),FALSE)</f>
        <v>0</v>
      </c>
      <c r="AD7539" s="580">
        <f t="shared" si="621"/>
        <v>5</v>
      </c>
      <c r="AE7539" s="580">
        <f t="shared" si="622"/>
        <v>2.5</v>
      </c>
      <c r="AF7539" s="580">
        <f t="shared" si="623"/>
        <v>2.5</v>
      </c>
      <c r="AG7539" s="580">
        <f t="shared" si="624"/>
        <v>0</v>
      </c>
      <c r="AH7539" s="580">
        <f t="shared" si="625"/>
        <v>0</v>
      </c>
    </row>
    <row r="7540" spans="28:34">
      <c r="AB7540" s="580">
        <f>HLOOKUP("*"&amp;'Output annual'!$AC$2&amp;'Output annual'!$AD$2&amp;"*Zone People Number Of Occupants [](Hourly)",'Eplus results'!$1:$1048576,ROW(),FALSE)</f>
        <v>0</v>
      </c>
      <c r="AC7540" s="580">
        <f>HLOOKUP("*"&amp;'Output annual'!$AC$2&amp;'Output annual'!$AD$2&amp;"*FangerPMV(Hourly)",'Eplus results'!$1:$1048576,ROW(),FALSE)</f>
        <v>0</v>
      </c>
      <c r="AD7540" s="580">
        <f t="shared" si="621"/>
        <v>5</v>
      </c>
      <c r="AE7540" s="580">
        <f t="shared" si="622"/>
        <v>2.5</v>
      </c>
      <c r="AF7540" s="580">
        <f t="shared" si="623"/>
        <v>2.5</v>
      </c>
      <c r="AG7540" s="580">
        <f t="shared" si="624"/>
        <v>0</v>
      </c>
      <c r="AH7540" s="580">
        <f t="shared" si="625"/>
        <v>0</v>
      </c>
    </row>
    <row r="7541" spans="28:34">
      <c r="AB7541" s="580">
        <f>HLOOKUP("*"&amp;'Output annual'!$AC$2&amp;'Output annual'!$AD$2&amp;"*Zone People Number Of Occupants [](Hourly)",'Eplus results'!$1:$1048576,ROW(),FALSE)</f>
        <v>0</v>
      </c>
      <c r="AC7541" s="580">
        <f>HLOOKUP("*"&amp;'Output annual'!$AC$2&amp;'Output annual'!$AD$2&amp;"*FangerPMV(Hourly)",'Eplus results'!$1:$1048576,ROW(),FALSE)</f>
        <v>0</v>
      </c>
      <c r="AD7541" s="580">
        <f t="shared" si="621"/>
        <v>5</v>
      </c>
      <c r="AE7541" s="580">
        <f t="shared" si="622"/>
        <v>2.5</v>
      </c>
      <c r="AF7541" s="580">
        <f t="shared" si="623"/>
        <v>2.5</v>
      </c>
      <c r="AG7541" s="580">
        <f t="shared" si="624"/>
        <v>0</v>
      </c>
      <c r="AH7541" s="580">
        <f t="shared" si="625"/>
        <v>0</v>
      </c>
    </row>
    <row r="7542" spans="28:34">
      <c r="AB7542" s="580">
        <f>HLOOKUP("*"&amp;'Output annual'!$AC$2&amp;'Output annual'!$AD$2&amp;"*Zone People Number Of Occupants [](Hourly)",'Eplus results'!$1:$1048576,ROW(),FALSE)</f>
        <v>0</v>
      </c>
      <c r="AC7542" s="580">
        <f>HLOOKUP("*"&amp;'Output annual'!$AC$2&amp;'Output annual'!$AD$2&amp;"*FangerPMV(Hourly)",'Eplus results'!$1:$1048576,ROW(),FALSE)</f>
        <v>0</v>
      </c>
      <c r="AD7542" s="580">
        <f t="shared" si="621"/>
        <v>5</v>
      </c>
      <c r="AE7542" s="580">
        <f t="shared" si="622"/>
        <v>2.5</v>
      </c>
      <c r="AF7542" s="580">
        <f t="shared" si="623"/>
        <v>2.5</v>
      </c>
      <c r="AG7542" s="580">
        <f t="shared" si="624"/>
        <v>0</v>
      </c>
      <c r="AH7542" s="580">
        <f t="shared" si="625"/>
        <v>0</v>
      </c>
    </row>
    <row r="7543" spans="28:34">
      <c r="AB7543" s="580">
        <f>HLOOKUP("*"&amp;'Output annual'!$AC$2&amp;'Output annual'!$AD$2&amp;"*Zone People Number Of Occupants [](Hourly)",'Eplus results'!$1:$1048576,ROW(),FALSE)</f>
        <v>0</v>
      </c>
      <c r="AC7543" s="580">
        <f>HLOOKUP("*"&amp;'Output annual'!$AC$2&amp;'Output annual'!$AD$2&amp;"*FangerPMV(Hourly)",'Eplus results'!$1:$1048576,ROW(),FALSE)</f>
        <v>0</v>
      </c>
      <c r="AD7543" s="580">
        <f t="shared" si="621"/>
        <v>5</v>
      </c>
      <c r="AE7543" s="580">
        <f t="shared" si="622"/>
        <v>2.5</v>
      </c>
      <c r="AF7543" s="580">
        <f t="shared" si="623"/>
        <v>2.5</v>
      </c>
      <c r="AG7543" s="580">
        <f t="shared" si="624"/>
        <v>0</v>
      </c>
      <c r="AH7543" s="580">
        <f t="shared" si="625"/>
        <v>0</v>
      </c>
    </row>
    <row r="7544" spans="28:34">
      <c r="AB7544" s="580">
        <f>HLOOKUP("*"&amp;'Output annual'!$AC$2&amp;'Output annual'!$AD$2&amp;"*Zone People Number Of Occupants [](Hourly)",'Eplus results'!$1:$1048576,ROW(),FALSE)</f>
        <v>0</v>
      </c>
      <c r="AC7544" s="580">
        <f>HLOOKUP("*"&amp;'Output annual'!$AC$2&amp;'Output annual'!$AD$2&amp;"*FangerPMV(Hourly)",'Eplus results'!$1:$1048576,ROW(),FALSE)</f>
        <v>0</v>
      </c>
      <c r="AD7544" s="580">
        <f t="shared" si="621"/>
        <v>5</v>
      </c>
      <c r="AE7544" s="580">
        <f t="shared" si="622"/>
        <v>2.5</v>
      </c>
      <c r="AF7544" s="580">
        <f t="shared" si="623"/>
        <v>2.5</v>
      </c>
      <c r="AG7544" s="580">
        <f t="shared" si="624"/>
        <v>0</v>
      </c>
      <c r="AH7544" s="580">
        <f t="shared" si="625"/>
        <v>0</v>
      </c>
    </row>
    <row r="7545" spans="28:34">
      <c r="AB7545" s="580">
        <f>HLOOKUP("*"&amp;'Output annual'!$AC$2&amp;'Output annual'!$AD$2&amp;"*Zone People Number Of Occupants [](Hourly)",'Eplus results'!$1:$1048576,ROW(),FALSE)</f>
        <v>0</v>
      </c>
      <c r="AC7545" s="580">
        <f>HLOOKUP("*"&amp;'Output annual'!$AC$2&amp;'Output annual'!$AD$2&amp;"*FangerPMV(Hourly)",'Eplus results'!$1:$1048576,ROW(),FALSE)</f>
        <v>0</v>
      </c>
      <c r="AD7545" s="580">
        <f t="shared" si="621"/>
        <v>5</v>
      </c>
      <c r="AE7545" s="580">
        <f t="shared" si="622"/>
        <v>2.5</v>
      </c>
      <c r="AF7545" s="580">
        <f t="shared" si="623"/>
        <v>2.5</v>
      </c>
      <c r="AG7545" s="580">
        <f t="shared" si="624"/>
        <v>0</v>
      </c>
      <c r="AH7545" s="580">
        <f t="shared" si="625"/>
        <v>0</v>
      </c>
    </row>
    <row r="7546" spans="28:34">
      <c r="AB7546" s="580">
        <f>HLOOKUP("*"&amp;'Output annual'!$AC$2&amp;'Output annual'!$AD$2&amp;"*Zone People Number Of Occupants [](Hourly)",'Eplus results'!$1:$1048576,ROW(),FALSE)</f>
        <v>0</v>
      </c>
      <c r="AC7546" s="580">
        <f>HLOOKUP("*"&amp;'Output annual'!$AC$2&amp;'Output annual'!$AD$2&amp;"*FangerPMV(Hourly)",'Eplus results'!$1:$1048576,ROW(),FALSE)</f>
        <v>0</v>
      </c>
      <c r="AD7546" s="580">
        <f t="shared" si="621"/>
        <v>5</v>
      </c>
      <c r="AE7546" s="580">
        <f t="shared" si="622"/>
        <v>2.5</v>
      </c>
      <c r="AF7546" s="580">
        <f t="shared" si="623"/>
        <v>2.5</v>
      </c>
      <c r="AG7546" s="580">
        <f t="shared" si="624"/>
        <v>0</v>
      </c>
      <c r="AH7546" s="580">
        <f t="shared" si="625"/>
        <v>0</v>
      </c>
    </row>
    <row r="7547" spans="28:34">
      <c r="AB7547" s="580">
        <f>HLOOKUP("*"&amp;'Output annual'!$AC$2&amp;'Output annual'!$AD$2&amp;"*Zone People Number Of Occupants [](Hourly)",'Eplus results'!$1:$1048576,ROW(),FALSE)</f>
        <v>0</v>
      </c>
      <c r="AC7547" s="580">
        <f>HLOOKUP("*"&amp;'Output annual'!$AC$2&amp;'Output annual'!$AD$2&amp;"*FangerPMV(Hourly)",'Eplus results'!$1:$1048576,ROW(),FALSE)</f>
        <v>0</v>
      </c>
      <c r="AD7547" s="580">
        <f t="shared" si="621"/>
        <v>5</v>
      </c>
      <c r="AE7547" s="580">
        <f t="shared" si="622"/>
        <v>2.5</v>
      </c>
      <c r="AF7547" s="580">
        <f t="shared" si="623"/>
        <v>2.5</v>
      </c>
      <c r="AG7547" s="580">
        <f t="shared" si="624"/>
        <v>0</v>
      </c>
      <c r="AH7547" s="580">
        <f t="shared" si="625"/>
        <v>0</v>
      </c>
    </row>
    <row r="7548" spans="28:34">
      <c r="AB7548" s="580">
        <f>HLOOKUP("*"&amp;'Output annual'!$AC$2&amp;'Output annual'!$AD$2&amp;"*Zone People Number Of Occupants [](Hourly)",'Eplus results'!$1:$1048576,ROW(),FALSE)</f>
        <v>0</v>
      </c>
      <c r="AC7548" s="580">
        <f>HLOOKUP("*"&amp;'Output annual'!$AC$2&amp;'Output annual'!$AD$2&amp;"*FangerPMV(Hourly)",'Eplus results'!$1:$1048576,ROW(),FALSE)</f>
        <v>0</v>
      </c>
      <c r="AD7548" s="580">
        <f t="shared" si="621"/>
        <v>5</v>
      </c>
      <c r="AE7548" s="580">
        <f t="shared" si="622"/>
        <v>2.5</v>
      </c>
      <c r="AF7548" s="580">
        <f t="shared" si="623"/>
        <v>2.5</v>
      </c>
      <c r="AG7548" s="580">
        <f t="shared" si="624"/>
        <v>0</v>
      </c>
      <c r="AH7548" s="580">
        <f t="shared" si="625"/>
        <v>0</v>
      </c>
    </row>
    <row r="7549" spans="28:34">
      <c r="AB7549" s="580">
        <f>HLOOKUP("*"&amp;'Output annual'!$AC$2&amp;'Output annual'!$AD$2&amp;"*Zone People Number Of Occupants [](Hourly)",'Eplus results'!$1:$1048576,ROW(),FALSE)</f>
        <v>0</v>
      </c>
      <c r="AC7549" s="580">
        <f>HLOOKUP("*"&amp;'Output annual'!$AC$2&amp;'Output annual'!$AD$2&amp;"*FangerPMV(Hourly)",'Eplus results'!$1:$1048576,ROW(),FALSE)</f>
        <v>0</v>
      </c>
      <c r="AD7549" s="580">
        <f t="shared" si="621"/>
        <v>5</v>
      </c>
      <c r="AE7549" s="580">
        <f t="shared" si="622"/>
        <v>2.5</v>
      </c>
      <c r="AF7549" s="580">
        <f t="shared" si="623"/>
        <v>2.5</v>
      </c>
      <c r="AG7549" s="580">
        <f t="shared" si="624"/>
        <v>0</v>
      </c>
      <c r="AH7549" s="580">
        <f t="shared" si="625"/>
        <v>0</v>
      </c>
    </row>
    <row r="7550" spans="28:34">
      <c r="AB7550" s="580">
        <f>HLOOKUP("*"&amp;'Output annual'!$AC$2&amp;'Output annual'!$AD$2&amp;"*Zone People Number Of Occupants [](Hourly)",'Eplus results'!$1:$1048576,ROW(),FALSE)</f>
        <v>0</v>
      </c>
      <c r="AC7550" s="580">
        <f>HLOOKUP("*"&amp;'Output annual'!$AC$2&amp;'Output annual'!$AD$2&amp;"*FangerPMV(Hourly)",'Eplus results'!$1:$1048576,ROW(),FALSE)</f>
        <v>0</v>
      </c>
      <c r="AD7550" s="580">
        <f t="shared" si="621"/>
        <v>5</v>
      </c>
      <c r="AE7550" s="580">
        <f t="shared" si="622"/>
        <v>2.5</v>
      </c>
      <c r="AF7550" s="580">
        <f t="shared" si="623"/>
        <v>2.5</v>
      </c>
      <c r="AG7550" s="580">
        <f t="shared" si="624"/>
        <v>0</v>
      </c>
      <c r="AH7550" s="580">
        <f t="shared" si="625"/>
        <v>0</v>
      </c>
    </row>
    <row r="7551" spans="28:34">
      <c r="AB7551" s="580">
        <f>HLOOKUP("*"&amp;'Output annual'!$AC$2&amp;'Output annual'!$AD$2&amp;"*Zone People Number Of Occupants [](Hourly)",'Eplus results'!$1:$1048576,ROW(),FALSE)</f>
        <v>0</v>
      </c>
      <c r="AC7551" s="580">
        <f>HLOOKUP("*"&amp;'Output annual'!$AC$2&amp;'Output annual'!$AD$2&amp;"*FangerPMV(Hourly)",'Eplus results'!$1:$1048576,ROW(),FALSE)</f>
        <v>0</v>
      </c>
      <c r="AD7551" s="580">
        <f t="shared" si="621"/>
        <v>5</v>
      </c>
      <c r="AE7551" s="580">
        <f t="shared" si="622"/>
        <v>2.5</v>
      </c>
      <c r="AF7551" s="580">
        <f t="shared" si="623"/>
        <v>2.5</v>
      </c>
      <c r="AG7551" s="580">
        <f t="shared" si="624"/>
        <v>0</v>
      </c>
      <c r="AH7551" s="580">
        <f t="shared" si="625"/>
        <v>0</v>
      </c>
    </row>
    <row r="7552" spans="28:34">
      <c r="AB7552" s="580">
        <f>HLOOKUP("*"&amp;'Output annual'!$AC$2&amp;'Output annual'!$AD$2&amp;"*Zone People Number Of Occupants [](Hourly)",'Eplus results'!$1:$1048576,ROW(),FALSE)</f>
        <v>0</v>
      </c>
      <c r="AC7552" s="580">
        <f>HLOOKUP("*"&amp;'Output annual'!$AC$2&amp;'Output annual'!$AD$2&amp;"*FangerPMV(Hourly)",'Eplus results'!$1:$1048576,ROW(),FALSE)</f>
        <v>0</v>
      </c>
      <c r="AD7552" s="580">
        <f t="shared" si="621"/>
        <v>5</v>
      </c>
      <c r="AE7552" s="580">
        <f t="shared" si="622"/>
        <v>2.5</v>
      </c>
      <c r="AF7552" s="580">
        <f t="shared" si="623"/>
        <v>2.5</v>
      </c>
      <c r="AG7552" s="580">
        <f t="shared" si="624"/>
        <v>0</v>
      </c>
      <c r="AH7552" s="580">
        <f t="shared" si="625"/>
        <v>0</v>
      </c>
    </row>
    <row r="7553" spans="28:34">
      <c r="AB7553" s="580">
        <f>HLOOKUP("*"&amp;'Output annual'!$AC$2&amp;'Output annual'!$AD$2&amp;"*Zone People Number Of Occupants [](Hourly)",'Eplus results'!$1:$1048576,ROW(),FALSE)</f>
        <v>0</v>
      </c>
      <c r="AC7553" s="580">
        <f>HLOOKUP("*"&amp;'Output annual'!$AC$2&amp;'Output annual'!$AD$2&amp;"*FangerPMV(Hourly)",'Eplus results'!$1:$1048576,ROW(),FALSE)</f>
        <v>0</v>
      </c>
      <c r="AD7553" s="580">
        <f t="shared" si="621"/>
        <v>5</v>
      </c>
      <c r="AE7553" s="580">
        <f t="shared" si="622"/>
        <v>2.5</v>
      </c>
      <c r="AF7553" s="580">
        <f t="shared" si="623"/>
        <v>2.5</v>
      </c>
      <c r="AG7553" s="580">
        <f t="shared" si="624"/>
        <v>0</v>
      </c>
      <c r="AH7553" s="580">
        <f t="shared" si="625"/>
        <v>0</v>
      </c>
    </row>
    <row r="7554" spans="28:34">
      <c r="AB7554" s="580">
        <f>HLOOKUP("*"&amp;'Output annual'!$AC$2&amp;'Output annual'!$AD$2&amp;"*Zone People Number Of Occupants [](Hourly)",'Eplus results'!$1:$1048576,ROW(),FALSE)</f>
        <v>0</v>
      </c>
      <c r="AC7554" s="580">
        <f>HLOOKUP("*"&amp;'Output annual'!$AC$2&amp;'Output annual'!$AD$2&amp;"*FangerPMV(Hourly)",'Eplus results'!$1:$1048576,ROW(),FALSE)</f>
        <v>0</v>
      </c>
      <c r="AD7554" s="580">
        <f t="shared" si="621"/>
        <v>5</v>
      </c>
      <c r="AE7554" s="580">
        <f t="shared" si="622"/>
        <v>2.5</v>
      </c>
      <c r="AF7554" s="580">
        <f t="shared" si="623"/>
        <v>2.5</v>
      </c>
      <c r="AG7554" s="580">
        <f t="shared" si="624"/>
        <v>0</v>
      </c>
      <c r="AH7554" s="580">
        <f t="shared" si="625"/>
        <v>0</v>
      </c>
    </row>
    <row r="7555" spans="28:34">
      <c r="AB7555" s="580">
        <f>HLOOKUP("*"&amp;'Output annual'!$AC$2&amp;'Output annual'!$AD$2&amp;"*Zone People Number Of Occupants [](Hourly)",'Eplus results'!$1:$1048576,ROW(),FALSE)</f>
        <v>0</v>
      </c>
      <c r="AC7555" s="580">
        <f>HLOOKUP("*"&amp;'Output annual'!$AC$2&amp;'Output annual'!$AD$2&amp;"*FangerPMV(Hourly)",'Eplus results'!$1:$1048576,ROW(),FALSE)</f>
        <v>0</v>
      </c>
      <c r="AD7555" s="580">
        <f t="shared" ref="AD7555:AD7618" si="626">100-95*EXP(-0.03353*AC7555^4-0.2179*AC7555^2)</f>
        <v>5</v>
      </c>
      <c r="AE7555" s="580">
        <f t="shared" ref="AE7555:AE7618" si="627">AD7555*(1/(1+EXP(-6.3*$AC7555)))</f>
        <v>2.5</v>
      </c>
      <c r="AF7555" s="580">
        <f t="shared" ref="AF7555:AF7618" si="628">(AD7555-AE7555)</f>
        <v>2.5</v>
      </c>
      <c r="AG7555" s="580">
        <f t="shared" ref="AG7555:AG7618" si="629">AE7555*AB7555</f>
        <v>0</v>
      </c>
      <c r="AH7555" s="580">
        <f t="shared" ref="AH7555:AH7618" si="630">AF7555*AB7555</f>
        <v>0</v>
      </c>
    </row>
    <row r="7556" spans="28:34">
      <c r="AB7556" s="580">
        <f>HLOOKUP("*"&amp;'Output annual'!$AC$2&amp;'Output annual'!$AD$2&amp;"*Zone People Number Of Occupants [](Hourly)",'Eplus results'!$1:$1048576,ROW(),FALSE)</f>
        <v>0</v>
      </c>
      <c r="AC7556" s="580">
        <f>HLOOKUP("*"&amp;'Output annual'!$AC$2&amp;'Output annual'!$AD$2&amp;"*FangerPMV(Hourly)",'Eplus results'!$1:$1048576,ROW(),FALSE)</f>
        <v>0</v>
      </c>
      <c r="AD7556" s="580">
        <f t="shared" si="626"/>
        <v>5</v>
      </c>
      <c r="AE7556" s="580">
        <f t="shared" si="627"/>
        <v>2.5</v>
      </c>
      <c r="AF7556" s="580">
        <f t="shared" si="628"/>
        <v>2.5</v>
      </c>
      <c r="AG7556" s="580">
        <f t="shared" si="629"/>
        <v>0</v>
      </c>
      <c r="AH7556" s="580">
        <f t="shared" si="630"/>
        <v>0</v>
      </c>
    </row>
    <row r="7557" spans="28:34">
      <c r="AB7557" s="580">
        <f>HLOOKUP("*"&amp;'Output annual'!$AC$2&amp;'Output annual'!$AD$2&amp;"*Zone People Number Of Occupants [](Hourly)",'Eplus results'!$1:$1048576,ROW(),FALSE)</f>
        <v>0</v>
      </c>
      <c r="AC7557" s="580">
        <f>HLOOKUP("*"&amp;'Output annual'!$AC$2&amp;'Output annual'!$AD$2&amp;"*FangerPMV(Hourly)",'Eplus results'!$1:$1048576,ROW(),FALSE)</f>
        <v>0</v>
      </c>
      <c r="AD7557" s="580">
        <f t="shared" si="626"/>
        <v>5</v>
      </c>
      <c r="AE7557" s="580">
        <f t="shared" si="627"/>
        <v>2.5</v>
      </c>
      <c r="AF7557" s="580">
        <f t="shared" si="628"/>
        <v>2.5</v>
      </c>
      <c r="AG7557" s="580">
        <f t="shared" si="629"/>
        <v>0</v>
      </c>
      <c r="AH7557" s="580">
        <f t="shared" si="630"/>
        <v>0</v>
      </c>
    </row>
    <row r="7558" spans="28:34">
      <c r="AB7558" s="580">
        <f>HLOOKUP("*"&amp;'Output annual'!$AC$2&amp;'Output annual'!$AD$2&amp;"*Zone People Number Of Occupants [](Hourly)",'Eplus results'!$1:$1048576,ROW(),FALSE)</f>
        <v>0</v>
      </c>
      <c r="AC7558" s="580">
        <f>HLOOKUP("*"&amp;'Output annual'!$AC$2&amp;'Output annual'!$AD$2&amp;"*FangerPMV(Hourly)",'Eplus results'!$1:$1048576,ROW(),FALSE)</f>
        <v>0</v>
      </c>
      <c r="AD7558" s="580">
        <f t="shared" si="626"/>
        <v>5</v>
      </c>
      <c r="AE7558" s="580">
        <f t="shared" si="627"/>
        <v>2.5</v>
      </c>
      <c r="AF7558" s="580">
        <f t="shared" si="628"/>
        <v>2.5</v>
      </c>
      <c r="AG7558" s="580">
        <f t="shared" si="629"/>
        <v>0</v>
      </c>
      <c r="AH7558" s="580">
        <f t="shared" si="630"/>
        <v>0</v>
      </c>
    </row>
    <row r="7559" spans="28:34">
      <c r="AB7559" s="580">
        <f>HLOOKUP("*"&amp;'Output annual'!$AC$2&amp;'Output annual'!$AD$2&amp;"*Zone People Number Of Occupants [](Hourly)",'Eplus results'!$1:$1048576,ROW(),FALSE)</f>
        <v>0</v>
      </c>
      <c r="AC7559" s="580">
        <f>HLOOKUP("*"&amp;'Output annual'!$AC$2&amp;'Output annual'!$AD$2&amp;"*FangerPMV(Hourly)",'Eplus results'!$1:$1048576,ROW(),FALSE)</f>
        <v>0</v>
      </c>
      <c r="AD7559" s="580">
        <f t="shared" si="626"/>
        <v>5</v>
      </c>
      <c r="AE7559" s="580">
        <f t="shared" si="627"/>
        <v>2.5</v>
      </c>
      <c r="AF7559" s="580">
        <f t="shared" si="628"/>
        <v>2.5</v>
      </c>
      <c r="AG7559" s="580">
        <f t="shared" si="629"/>
        <v>0</v>
      </c>
      <c r="AH7559" s="580">
        <f t="shared" si="630"/>
        <v>0</v>
      </c>
    </row>
    <row r="7560" spans="28:34">
      <c r="AB7560" s="580">
        <f>HLOOKUP("*"&amp;'Output annual'!$AC$2&amp;'Output annual'!$AD$2&amp;"*Zone People Number Of Occupants [](Hourly)",'Eplus results'!$1:$1048576,ROW(),FALSE)</f>
        <v>0</v>
      </c>
      <c r="AC7560" s="580">
        <f>HLOOKUP("*"&amp;'Output annual'!$AC$2&amp;'Output annual'!$AD$2&amp;"*FangerPMV(Hourly)",'Eplus results'!$1:$1048576,ROW(),FALSE)</f>
        <v>0</v>
      </c>
      <c r="AD7560" s="580">
        <f t="shared" si="626"/>
        <v>5</v>
      </c>
      <c r="AE7560" s="580">
        <f t="shared" si="627"/>
        <v>2.5</v>
      </c>
      <c r="AF7560" s="580">
        <f t="shared" si="628"/>
        <v>2.5</v>
      </c>
      <c r="AG7560" s="580">
        <f t="shared" si="629"/>
        <v>0</v>
      </c>
      <c r="AH7560" s="580">
        <f t="shared" si="630"/>
        <v>0</v>
      </c>
    </row>
    <row r="7561" spans="28:34">
      <c r="AB7561" s="580">
        <f>HLOOKUP("*"&amp;'Output annual'!$AC$2&amp;'Output annual'!$AD$2&amp;"*Zone People Number Of Occupants [](Hourly)",'Eplus results'!$1:$1048576,ROW(),FALSE)</f>
        <v>0</v>
      </c>
      <c r="AC7561" s="580">
        <f>HLOOKUP("*"&amp;'Output annual'!$AC$2&amp;'Output annual'!$AD$2&amp;"*FangerPMV(Hourly)",'Eplus results'!$1:$1048576,ROW(),FALSE)</f>
        <v>0</v>
      </c>
      <c r="AD7561" s="580">
        <f t="shared" si="626"/>
        <v>5</v>
      </c>
      <c r="AE7561" s="580">
        <f t="shared" si="627"/>
        <v>2.5</v>
      </c>
      <c r="AF7561" s="580">
        <f t="shared" si="628"/>
        <v>2.5</v>
      </c>
      <c r="AG7561" s="580">
        <f t="shared" si="629"/>
        <v>0</v>
      </c>
      <c r="AH7561" s="580">
        <f t="shared" si="630"/>
        <v>0</v>
      </c>
    </row>
    <row r="7562" spans="28:34">
      <c r="AB7562" s="580">
        <f>HLOOKUP("*"&amp;'Output annual'!$AC$2&amp;'Output annual'!$AD$2&amp;"*Zone People Number Of Occupants [](Hourly)",'Eplus results'!$1:$1048576,ROW(),FALSE)</f>
        <v>0</v>
      </c>
      <c r="AC7562" s="580">
        <f>HLOOKUP("*"&amp;'Output annual'!$AC$2&amp;'Output annual'!$AD$2&amp;"*FangerPMV(Hourly)",'Eplus results'!$1:$1048576,ROW(),FALSE)</f>
        <v>0</v>
      </c>
      <c r="AD7562" s="580">
        <f t="shared" si="626"/>
        <v>5</v>
      </c>
      <c r="AE7562" s="580">
        <f t="shared" si="627"/>
        <v>2.5</v>
      </c>
      <c r="AF7562" s="580">
        <f t="shared" si="628"/>
        <v>2.5</v>
      </c>
      <c r="AG7562" s="580">
        <f t="shared" si="629"/>
        <v>0</v>
      </c>
      <c r="AH7562" s="580">
        <f t="shared" si="630"/>
        <v>0</v>
      </c>
    </row>
    <row r="7563" spans="28:34">
      <c r="AB7563" s="580">
        <f>HLOOKUP("*"&amp;'Output annual'!$AC$2&amp;'Output annual'!$AD$2&amp;"*Zone People Number Of Occupants [](Hourly)",'Eplus results'!$1:$1048576,ROW(),FALSE)</f>
        <v>0</v>
      </c>
      <c r="AC7563" s="580">
        <f>HLOOKUP("*"&amp;'Output annual'!$AC$2&amp;'Output annual'!$AD$2&amp;"*FangerPMV(Hourly)",'Eplus results'!$1:$1048576,ROW(),FALSE)</f>
        <v>0</v>
      </c>
      <c r="AD7563" s="580">
        <f t="shared" si="626"/>
        <v>5</v>
      </c>
      <c r="AE7563" s="580">
        <f t="shared" si="627"/>
        <v>2.5</v>
      </c>
      <c r="AF7563" s="580">
        <f t="shared" si="628"/>
        <v>2.5</v>
      </c>
      <c r="AG7563" s="580">
        <f t="shared" si="629"/>
        <v>0</v>
      </c>
      <c r="AH7563" s="580">
        <f t="shared" si="630"/>
        <v>0</v>
      </c>
    </row>
    <row r="7564" spans="28:34">
      <c r="AB7564" s="580">
        <f>HLOOKUP("*"&amp;'Output annual'!$AC$2&amp;'Output annual'!$AD$2&amp;"*Zone People Number Of Occupants [](Hourly)",'Eplus results'!$1:$1048576,ROW(),FALSE)</f>
        <v>0</v>
      </c>
      <c r="AC7564" s="580">
        <f>HLOOKUP("*"&amp;'Output annual'!$AC$2&amp;'Output annual'!$AD$2&amp;"*FangerPMV(Hourly)",'Eplus results'!$1:$1048576,ROW(),FALSE)</f>
        <v>0</v>
      </c>
      <c r="AD7564" s="580">
        <f t="shared" si="626"/>
        <v>5</v>
      </c>
      <c r="AE7564" s="580">
        <f t="shared" si="627"/>
        <v>2.5</v>
      </c>
      <c r="AF7564" s="580">
        <f t="shared" si="628"/>
        <v>2.5</v>
      </c>
      <c r="AG7564" s="580">
        <f t="shared" si="629"/>
        <v>0</v>
      </c>
      <c r="AH7564" s="580">
        <f t="shared" si="630"/>
        <v>0</v>
      </c>
    </row>
    <row r="7565" spans="28:34">
      <c r="AB7565" s="580">
        <f>HLOOKUP("*"&amp;'Output annual'!$AC$2&amp;'Output annual'!$AD$2&amp;"*Zone People Number Of Occupants [](Hourly)",'Eplus results'!$1:$1048576,ROW(),FALSE)</f>
        <v>0</v>
      </c>
      <c r="AC7565" s="580">
        <f>HLOOKUP("*"&amp;'Output annual'!$AC$2&amp;'Output annual'!$AD$2&amp;"*FangerPMV(Hourly)",'Eplus results'!$1:$1048576,ROW(),FALSE)</f>
        <v>0</v>
      </c>
      <c r="AD7565" s="580">
        <f t="shared" si="626"/>
        <v>5</v>
      </c>
      <c r="AE7565" s="580">
        <f t="shared" si="627"/>
        <v>2.5</v>
      </c>
      <c r="AF7565" s="580">
        <f t="shared" si="628"/>
        <v>2.5</v>
      </c>
      <c r="AG7565" s="580">
        <f t="shared" si="629"/>
        <v>0</v>
      </c>
      <c r="AH7565" s="580">
        <f t="shared" si="630"/>
        <v>0</v>
      </c>
    </row>
    <row r="7566" spans="28:34">
      <c r="AB7566" s="580">
        <f>HLOOKUP("*"&amp;'Output annual'!$AC$2&amp;'Output annual'!$AD$2&amp;"*Zone People Number Of Occupants [](Hourly)",'Eplus results'!$1:$1048576,ROW(),FALSE)</f>
        <v>0</v>
      </c>
      <c r="AC7566" s="580">
        <f>HLOOKUP("*"&amp;'Output annual'!$AC$2&amp;'Output annual'!$AD$2&amp;"*FangerPMV(Hourly)",'Eplus results'!$1:$1048576,ROW(),FALSE)</f>
        <v>0</v>
      </c>
      <c r="AD7566" s="580">
        <f t="shared" si="626"/>
        <v>5</v>
      </c>
      <c r="AE7566" s="580">
        <f t="shared" si="627"/>
        <v>2.5</v>
      </c>
      <c r="AF7566" s="580">
        <f t="shared" si="628"/>
        <v>2.5</v>
      </c>
      <c r="AG7566" s="580">
        <f t="shared" si="629"/>
        <v>0</v>
      </c>
      <c r="AH7566" s="580">
        <f t="shared" si="630"/>
        <v>0</v>
      </c>
    </row>
    <row r="7567" spans="28:34">
      <c r="AB7567" s="580">
        <f>HLOOKUP("*"&amp;'Output annual'!$AC$2&amp;'Output annual'!$AD$2&amp;"*Zone People Number Of Occupants [](Hourly)",'Eplus results'!$1:$1048576,ROW(),FALSE)</f>
        <v>0</v>
      </c>
      <c r="AC7567" s="580">
        <f>HLOOKUP("*"&amp;'Output annual'!$AC$2&amp;'Output annual'!$AD$2&amp;"*FangerPMV(Hourly)",'Eplus results'!$1:$1048576,ROW(),FALSE)</f>
        <v>0</v>
      </c>
      <c r="AD7567" s="580">
        <f t="shared" si="626"/>
        <v>5</v>
      </c>
      <c r="AE7567" s="580">
        <f t="shared" si="627"/>
        <v>2.5</v>
      </c>
      <c r="AF7567" s="580">
        <f t="shared" si="628"/>
        <v>2.5</v>
      </c>
      <c r="AG7567" s="580">
        <f t="shared" si="629"/>
        <v>0</v>
      </c>
      <c r="AH7567" s="580">
        <f t="shared" si="630"/>
        <v>0</v>
      </c>
    </row>
    <row r="7568" spans="28:34">
      <c r="AB7568" s="580">
        <f>HLOOKUP("*"&amp;'Output annual'!$AC$2&amp;'Output annual'!$AD$2&amp;"*Zone People Number Of Occupants [](Hourly)",'Eplus results'!$1:$1048576,ROW(),FALSE)</f>
        <v>0</v>
      </c>
      <c r="AC7568" s="580">
        <f>HLOOKUP("*"&amp;'Output annual'!$AC$2&amp;'Output annual'!$AD$2&amp;"*FangerPMV(Hourly)",'Eplus results'!$1:$1048576,ROW(),FALSE)</f>
        <v>0</v>
      </c>
      <c r="AD7568" s="580">
        <f t="shared" si="626"/>
        <v>5</v>
      </c>
      <c r="AE7568" s="580">
        <f t="shared" si="627"/>
        <v>2.5</v>
      </c>
      <c r="AF7568" s="580">
        <f t="shared" si="628"/>
        <v>2.5</v>
      </c>
      <c r="AG7568" s="580">
        <f t="shared" si="629"/>
        <v>0</v>
      </c>
      <c r="AH7568" s="580">
        <f t="shared" si="630"/>
        <v>0</v>
      </c>
    </row>
    <row r="7569" spans="28:34">
      <c r="AB7569" s="580">
        <f>HLOOKUP("*"&amp;'Output annual'!$AC$2&amp;'Output annual'!$AD$2&amp;"*Zone People Number Of Occupants [](Hourly)",'Eplus results'!$1:$1048576,ROW(),FALSE)</f>
        <v>0</v>
      </c>
      <c r="AC7569" s="580">
        <f>HLOOKUP("*"&amp;'Output annual'!$AC$2&amp;'Output annual'!$AD$2&amp;"*FangerPMV(Hourly)",'Eplus results'!$1:$1048576,ROW(),FALSE)</f>
        <v>0</v>
      </c>
      <c r="AD7569" s="580">
        <f t="shared" si="626"/>
        <v>5</v>
      </c>
      <c r="AE7569" s="580">
        <f t="shared" si="627"/>
        <v>2.5</v>
      </c>
      <c r="AF7569" s="580">
        <f t="shared" si="628"/>
        <v>2.5</v>
      </c>
      <c r="AG7569" s="580">
        <f t="shared" si="629"/>
        <v>0</v>
      </c>
      <c r="AH7569" s="580">
        <f t="shared" si="630"/>
        <v>0</v>
      </c>
    </row>
    <row r="7570" spans="28:34">
      <c r="AB7570" s="580">
        <f>HLOOKUP("*"&amp;'Output annual'!$AC$2&amp;'Output annual'!$AD$2&amp;"*Zone People Number Of Occupants [](Hourly)",'Eplus results'!$1:$1048576,ROW(),FALSE)</f>
        <v>0</v>
      </c>
      <c r="AC7570" s="580">
        <f>HLOOKUP("*"&amp;'Output annual'!$AC$2&amp;'Output annual'!$AD$2&amp;"*FangerPMV(Hourly)",'Eplus results'!$1:$1048576,ROW(),FALSE)</f>
        <v>0</v>
      </c>
      <c r="AD7570" s="580">
        <f t="shared" si="626"/>
        <v>5</v>
      </c>
      <c r="AE7570" s="580">
        <f t="shared" si="627"/>
        <v>2.5</v>
      </c>
      <c r="AF7570" s="580">
        <f t="shared" si="628"/>
        <v>2.5</v>
      </c>
      <c r="AG7570" s="580">
        <f t="shared" si="629"/>
        <v>0</v>
      </c>
      <c r="AH7570" s="580">
        <f t="shared" si="630"/>
        <v>0</v>
      </c>
    </row>
    <row r="7571" spans="28:34">
      <c r="AB7571" s="580">
        <f>HLOOKUP("*"&amp;'Output annual'!$AC$2&amp;'Output annual'!$AD$2&amp;"*Zone People Number Of Occupants [](Hourly)",'Eplus results'!$1:$1048576,ROW(),FALSE)</f>
        <v>0</v>
      </c>
      <c r="AC7571" s="580">
        <f>HLOOKUP("*"&amp;'Output annual'!$AC$2&amp;'Output annual'!$AD$2&amp;"*FangerPMV(Hourly)",'Eplus results'!$1:$1048576,ROW(),FALSE)</f>
        <v>0</v>
      </c>
      <c r="AD7571" s="580">
        <f t="shared" si="626"/>
        <v>5</v>
      </c>
      <c r="AE7571" s="580">
        <f t="shared" si="627"/>
        <v>2.5</v>
      </c>
      <c r="AF7571" s="580">
        <f t="shared" si="628"/>
        <v>2.5</v>
      </c>
      <c r="AG7571" s="580">
        <f t="shared" si="629"/>
        <v>0</v>
      </c>
      <c r="AH7571" s="580">
        <f t="shared" si="630"/>
        <v>0</v>
      </c>
    </row>
    <row r="7572" spans="28:34">
      <c r="AB7572" s="580">
        <f>HLOOKUP("*"&amp;'Output annual'!$AC$2&amp;'Output annual'!$AD$2&amp;"*Zone People Number Of Occupants [](Hourly)",'Eplus results'!$1:$1048576,ROW(),FALSE)</f>
        <v>0</v>
      </c>
      <c r="AC7572" s="580">
        <f>HLOOKUP("*"&amp;'Output annual'!$AC$2&amp;'Output annual'!$AD$2&amp;"*FangerPMV(Hourly)",'Eplus results'!$1:$1048576,ROW(),FALSE)</f>
        <v>0</v>
      </c>
      <c r="AD7572" s="580">
        <f t="shared" si="626"/>
        <v>5</v>
      </c>
      <c r="AE7572" s="580">
        <f t="shared" si="627"/>
        <v>2.5</v>
      </c>
      <c r="AF7572" s="580">
        <f t="shared" si="628"/>
        <v>2.5</v>
      </c>
      <c r="AG7572" s="580">
        <f t="shared" si="629"/>
        <v>0</v>
      </c>
      <c r="AH7572" s="580">
        <f t="shared" si="630"/>
        <v>0</v>
      </c>
    </row>
    <row r="7573" spans="28:34">
      <c r="AB7573" s="580">
        <f>HLOOKUP("*"&amp;'Output annual'!$AC$2&amp;'Output annual'!$AD$2&amp;"*Zone People Number Of Occupants [](Hourly)",'Eplus results'!$1:$1048576,ROW(),FALSE)</f>
        <v>0</v>
      </c>
      <c r="AC7573" s="580">
        <f>HLOOKUP("*"&amp;'Output annual'!$AC$2&amp;'Output annual'!$AD$2&amp;"*FangerPMV(Hourly)",'Eplus results'!$1:$1048576,ROW(),FALSE)</f>
        <v>0</v>
      </c>
      <c r="AD7573" s="580">
        <f t="shared" si="626"/>
        <v>5</v>
      </c>
      <c r="AE7573" s="580">
        <f t="shared" si="627"/>
        <v>2.5</v>
      </c>
      <c r="AF7573" s="580">
        <f t="shared" si="628"/>
        <v>2.5</v>
      </c>
      <c r="AG7573" s="580">
        <f t="shared" si="629"/>
        <v>0</v>
      </c>
      <c r="AH7573" s="580">
        <f t="shared" si="630"/>
        <v>0</v>
      </c>
    </row>
    <row r="7574" spans="28:34">
      <c r="AB7574" s="580">
        <f>HLOOKUP("*"&amp;'Output annual'!$AC$2&amp;'Output annual'!$AD$2&amp;"*Zone People Number Of Occupants [](Hourly)",'Eplus results'!$1:$1048576,ROW(),FALSE)</f>
        <v>0</v>
      </c>
      <c r="AC7574" s="580">
        <f>HLOOKUP("*"&amp;'Output annual'!$AC$2&amp;'Output annual'!$AD$2&amp;"*FangerPMV(Hourly)",'Eplus results'!$1:$1048576,ROW(),FALSE)</f>
        <v>0</v>
      </c>
      <c r="AD7574" s="580">
        <f t="shared" si="626"/>
        <v>5</v>
      </c>
      <c r="AE7574" s="580">
        <f t="shared" si="627"/>
        <v>2.5</v>
      </c>
      <c r="AF7574" s="580">
        <f t="shared" si="628"/>
        <v>2.5</v>
      </c>
      <c r="AG7574" s="580">
        <f t="shared" si="629"/>
        <v>0</v>
      </c>
      <c r="AH7574" s="580">
        <f t="shared" si="630"/>
        <v>0</v>
      </c>
    </row>
    <row r="7575" spans="28:34">
      <c r="AB7575" s="580">
        <f>HLOOKUP("*"&amp;'Output annual'!$AC$2&amp;'Output annual'!$AD$2&amp;"*Zone People Number Of Occupants [](Hourly)",'Eplus results'!$1:$1048576,ROW(),FALSE)</f>
        <v>0</v>
      </c>
      <c r="AC7575" s="580">
        <f>HLOOKUP("*"&amp;'Output annual'!$AC$2&amp;'Output annual'!$AD$2&amp;"*FangerPMV(Hourly)",'Eplus results'!$1:$1048576,ROW(),FALSE)</f>
        <v>0</v>
      </c>
      <c r="AD7575" s="580">
        <f t="shared" si="626"/>
        <v>5</v>
      </c>
      <c r="AE7575" s="580">
        <f t="shared" si="627"/>
        <v>2.5</v>
      </c>
      <c r="AF7575" s="580">
        <f t="shared" si="628"/>
        <v>2.5</v>
      </c>
      <c r="AG7575" s="580">
        <f t="shared" si="629"/>
        <v>0</v>
      </c>
      <c r="AH7575" s="580">
        <f t="shared" si="630"/>
        <v>0</v>
      </c>
    </row>
    <row r="7576" spans="28:34">
      <c r="AB7576" s="580">
        <f>HLOOKUP("*"&amp;'Output annual'!$AC$2&amp;'Output annual'!$AD$2&amp;"*Zone People Number Of Occupants [](Hourly)",'Eplus results'!$1:$1048576,ROW(),FALSE)</f>
        <v>0</v>
      </c>
      <c r="AC7576" s="580">
        <f>HLOOKUP("*"&amp;'Output annual'!$AC$2&amp;'Output annual'!$AD$2&amp;"*FangerPMV(Hourly)",'Eplus results'!$1:$1048576,ROW(),FALSE)</f>
        <v>0</v>
      </c>
      <c r="AD7576" s="580">
        <f t="shared" si="626"/>
        <v>5</v>
      </c>
      <c r="AE7576" s="580">
        <f t="shared" si="627"/>
        <v>2.5</v>
      </c>
      <c r="AF7576" s="580">
        <f t="shared" si="628"/>
        <v>2.5</v>
      </c>
      <c r="AG7576" s="580">
        <f t="shared" si="629"/>
        <v>0</v>
      </c>
      <c r="AH7576" s="580">
        <f t="shared" si="630"/>
        <v>0</v>
      </c>
    </row>
    <row r="7577" spans="28:34">
      <c r="AB7577" s="580">
        <f>HLOOKUP("*"&amp;'Output annual'!$AC$2&amp;'Output annual'!$AD$2&amp;"*Zone People Number Of Occupants [](Hourly)",'Eplus results'!$1:$1048576,ROW(),FALSE)</f>
        <v>0</v>
      </c>
      <c r="AC7577" s="580">
        <f>HLOOKUP("*"&amp;'Output annual'!$AC$2&amp;'Output annual'!$AD$2&amp;"*FangerPMV(Hourly)",'Eplus results'!$1:$1048576,ROW(),FALSE)</f>
        <v>0</v>
      </c>
      <c r="AD7577" s="580">
        <f t="shared" si="626"/>
        <v>5</v>
      </c>
      <c r="AE7577" s="580">
        <f t="shared" si="627"/>
        <v>2.5</v>
      </c>
      <c r="AF7577" s="580">
        <f t="shared" si="628"/>
        <v>2.5</v>
      </c>
      <c r="AG7577" s="580">
        <f t="shared" si="629"/>
        <v>0</v>
      </c>
      <c r="AH7577" s="580">
        <f t="shared" si="630"/>
        <v>0</v>
      </c>
    </row>
    <row r="7578" spans="28:34">
      <c r="AB7578" s="580">
        <f>HLOOKUP("*"&amp;'Output annual'!$AC$2&amp;'Output annual'!$AD$2&amp;"*Zone People Number Of Occupants [](Hourly)",'Eplus results'!$1:$1048576,ROW(),FALSE)</f>
        <v>0</v>
      </c>
      <c r="AC7578" s="580">
        <f>HLOOKUP("*"&amp;'Output annual'!$AC$2&amp;'Output annual'!$AD$2&amp;"*FangerPMV(Hourly)",'Eplus results'!$1:$1048576,ROW(),FALSE)</f>
        <v>0</v>
      </c>
      <c r="AD7578" s="580">
        <f t="shared" si="626"/>
        <v>5</v>
      </c>
      <c r="AE7578" s="580">
        <f t="shared" si="627"/>
        <v>2.5</v>
      </c>
      <c r="AF7578" s="580">
        <f t="shared" si="628"/>
        <v>2.5</v>
      </c>
      <c r="AG7578" s="580">
        <f t="shared" si="629"/>
        <v>0</v>
      </c>
      <c r="AH7578" s="580">
        <f t="shared" si="630"/>
        <v>0</v>
      </c>
    </row>
    <row r="7579" spans="28:34">
      <c r="AB7579" s="580">
        <f>HLOOKUP("*"&amp;'Output annual'!$AC$2&amp;'Output annual'!$AD$2&amp;"*Zone People Number Of Occupants [](Hourly)",'Eplus results'!$1:$1048576,ROW(),FALSE)</f>
        <v>0</v>
      </c>
      <c r="AC7579" s="580">
        <f>HLOOKUP("*"&amp;'Output annual'!$AC$2&amp;'Output annual'!$AD$2&amp;"*FangerPMV(Hourly)",'Eplus results'!$1:$1048576,ROW(),FALSE)</f>
        <v>0</v>
      </c>
      <c r="AD7579" s="580">
        <f t="shared" si="626"/>
        <v>5</v>
      </c>
      <c r="AE7579" s="580">
        <f t="shared" si="627"/>
        <v>2.5</v>
      </c>
      <c r="AF7579" s="580">
        <f t="shared" si="628"/>
        <v>2.5</v>
      </c>
      <c r="AG7579" s="580">
        <f t="shared" si="629"/>
        <v>0</v>
      </c>
      <c r="AH7579" s="580">
        <f t="shared" si="630"/>
        <v>0</v>
      </c>
    </row>
    <row r="7580" spans="28:34">
      <c r="AB7580" s="580">
        <f>HLOOKUP("*"&amp;'Output annual'!$AC$2&amp;'Output annual'!$AD$2&amp;"*Zone People Number Of Occupants [](Hourly)",'Eplus results'!$1:$1048576,ROW(),FALSE)</f>
        <v>0</v>
      </c>
      <c r="AC7580" s="580">
        <f>HLOOKUP("*"&amp;'Output annual'!$AC$2&amp;'Output annual'!$AD$2&amp;"*FangerPMV(Hourly)",'Eplus results'!$1:$1048576,ROW(),FALSE)</f>
        <v>0</v>
      </c>
      <c r="AD7580" s="580">
        <f t="shared" si="626"/>
        <v>5</v>
      </c>
      <c r="AE7580" s="580">
        <f t="shared" si="627"/>
        <v>2.5</v>
      </c>
      <c r="AF7580" s="580">
        <f t="shared" si="628"/>
        <v>2.5</v>
      </c>
      <c r="AG7580" s="580">
        <f t="shared" si="629"/>
        <v>0</v>
      </c>
      <c r="AH7580" s="580">
        <f t="shared" si="630"/>
        <v>0</v>
      </c>
    </row>
    <row r="7581" spans="28:34">
      <c r="AB7581" s="580">
        <f>HLOOKUP("*"&amp;'Output annual'!$AC$2&amp;'Output annual'!$AD$2&amp;"*Zone People Number Of Occupants [](Hourly)",'Eplus results'!$1:$1048576,ROW(),FALSE)</f>
        <v>0</v>
      </c>
      <c r="AC7581" s="580">
        <f>HLOOKUP("*"&amp;'Output annual'!$AC$2&amp;'Output annual'!$AD$2&amp;"*FangerPMV(Hourly)",'Eplus results'!$1:$1048576,ROW(),FALSE)</f>
        <v>0</v>
      </c>
      <c r="AD7581" s="580">
        <f t="shared" si="626"/>
        <v>5</v>
      </c>
      <c r="AE7581" s="580">
        <f t="shared" si="627"/>
        <v>2.5</v>
      </c>
      <c r="AF7581" s="580">
        <f t="shared" si="628"/>
        <v>2.5</v>
      </c>
      <c r="AG7581" s="580">
        <f t="shared" si="629"/>
        <v>0</v>
      </c>
      <c r="AH7581" s="580">
        <f t="shared" si="630"/>
        <v>0</v>
      </c>
    </row>
    <row r="7582" spans="28:34">
      <c r="AB7582" s="580">
        <f>HLOOKUP("*"&amp;'Output annual'!$AC$2&amp;'Output annual'!$AD$2&amp;"*Zone People Number Of Occupants [](Hourly)",'Eplus results'!$1:$1048576,ROW(),FALSE)</f>
        <v>0</v>
      </c>
      <c r="AC7582" s="580">
        <f>HLOOKUP("*"&amp;'Output annual'!$AC$2&amp;'Output annual'!$AD$2&amp;"*FangerPMV(Hourly)",'Eplus results'!$1:$1048576,ROW(),FALSE)</f>
        <v>0</v>
      </c>
      <c r="AD7582" s="580">
        <f t="shared" si="626"/>
        <v>5</v>
      </c>
      <c r="AE7582" s="580">
        <f t="shared" si="627"/>
        <v>2.5</v>
      </c>
      <c r="AF7582" s="580">
        <f t="shared" si="628"/>
        <v>2.5</v>
      </c>
      <c r="AG7582" s="580">
        <f t="shared" si="629"/>
        <v>0</v>
      </c>
      <c r="AH7582" s="580">
        <f t="shared" si="630"/>
        <v>0</v>
      </c>
    </row>
    <row r="7583" spans="28:34">
      <c r="AB7583" s="580">
        <f>HLOOKUP("*"&amp;'Output annual'!$AC$2&amp;'Output annual'!$AD$2&amp;"*Zone People Number Of Occupants [](Hourly)",'Eplus results'!$1:$1048576,ROW(),FALSE)</f>
        <v>0</v>
      </c>
      <c r="AC7583" s="580">
        <f>HLOOKUP("*"&amp;'Output annual'!$AC$2&amp;'Output annual'!$AD$2&amp;"*FangerPMV(Hourly)",'Eplus results'!$1:$1048576,ROW(),FALSE)</f>
        <v>0</v>
      </c>
      <c r="AD7583" s="580">
        <f t="shared" si="626"/>
        <v>5</v>
      </c>
      <c r="AE7583" s="580">
        <f t="shared" si="627"/>
        <v>2.5</v>
      </c>
      <c r="AF7583" s="580">
        <f t="shared" si="628"/>
        <v>2.5</v>
      </c>
      <c r="AG7583" s="580">
        <f t="shared" si="629"/>
        <v>0</v>
      </c>
      <c r="AH7583" s="580">
        <f t="shared" si="630"/>
        <v>0</v>
      </c>
    </row>
    <row r="7584" spans="28:34">
      <c r="AB7584" s="580">
        <f>HLOOKUP("*"&amp;'Output annual'!$AC$2&amp;'Output annual'!$AD$2&amp;"*Zone People Number Of Occupants [](Hourly)",'Eplus results'!$1:$1048576,ROW(),FALSE)</f>
        <v>0</v>
      </c>
      <c r="AC7584" s="580">
        <f>HLOOKUP("*"&amp;'Output annual'!$AC$2&amp;'Output annual'!$AD$2&amp;"*FangerPMV(Hourly)",'Eplus results'!$1:$1048576,ROW(),FALSE)</f>
        <v>0</v>
      </c>
      <c r="AD7584" s="580">
        <f t="shared" si="626"/>
        <v>5</v>
      </c>
      <c r="AE7584" s="580">
        <f t="shared" si="627"/>
        <v>2.5</v>
      </c>
      <c r="AF7584" s="580">
        <f t="shared" si="628"/>
        <v>2.5</v>
      </c>
      <c r="AG7584" s="580">
        <f t="shared" si="629"/>
        <v>0</v>
      </c>
      <c r="AH7584" s="580">
        <f t="shared" si="630"/>
        <v>0</v>
      </c>
    </row>
    <row r="7585" spans="28:34">
      <c r="AB7585" s="580">
        <f>HLOOKUP("*"&amp;'Output annual'!$AC$2&amp;'Output annual'!$AD$2&amp;"*Zone People Number Of Occupants [](Hourly)",'Eplus results'!$1:$1048576,ROW(),FALSE)</f>
        <v>0</v>
      </c>
      <c r="AC7585" s="580">
        <f>HLOOKUP("*"&amp;'Output annual'!$AC$2&amp;'Output annual'!$AD$2&amp;"*FangerPMV(Hourly)",'Eplus results'!$1:$1048576,ROW(),FALSE)</f>
        <v>0</v>
      </c>
      <c r="AD7585" s="580">
        <f t="shared" si="626"/>
        <v>5</v>
      </c>
      <c r="AE7585" s="580">
        <f t="shared" si="627"/>
        <v>2.5</v>
      </c>
      <c r="AF7585" s="580">
        <f t="shared" si="628"/>
        <v>2.5</v>
      </c>
      <c r="AG7585" s="580">
        <f t="shared" si="629"/>
        <v>0</v>
      </c>
      <c r="AH7585" s="580">
        <f t="shared" si="630"/>
        <v>0</v>
      </c>
    </row>
    <row r="7586" spans="28:34">
      <c r="AB7586" s="580">
        <f>HLOOKUP("*"&amp;'Output annual'!$AC$2&amp;'Output annual'!$AD$2&amp;"*Zone People Number Of Occupants [](Hourly)",'Eplus results'!$1:$1048576,ROW(),FALSE)</f>
        <v>0</v>
      </c>
      <c r="AC7586" s="580">
        <f>HLOOKUP("*"&amp;'Output annual'!$AC$2&amp;'Output annual'!$AD$2&amp;"*FangerPMV(Hourly)",'Eplus results'!$1:$1048576,ROW(),FALSE)</f>
        <v>0</v>
      </c>
      <c r="AD7586" s="580">
        <f t="shared" si="626"/>
        <v>5</v>
      </c>
      <c r="AE7586" s="580">
        <f t="shared" si="627"/>
        <v>2.5</v>
      </c>
      <c r="AF7586" s="580">
        <f t="shared" si="628"/>
        <v>2.5</v>
      </c>
      <c r="AG7586" s="580">
        <f t="shared" si="629"/>
        <v>0</v>
      </c>
      <c r="AH7586" s="580">
        <f t="shared" si="630"/>
        <v>0</v>
      </c>
    </row>
    <row r="7587" spans="28:34">
      <c r="AB7587" s="580">
        <f>HLOOKUP("*"&amp;'Output annual'!$AC$2&amp;'Output annual'!$AD$2&amp;"*Zone People Number Of Occupants [](Hourly)",'Eplus results'!$1:$1048576,ROW(),FALSE)</f>
        <v>0</v>
      </c>
      <c r="AC7587" s="580">
        <f>HLOOKUP("*"&amp;'Output annual'!$AC$2&amp;'Output annual'!$AD$2&amp;"*FangerPMV(Hourly)",'Eplus results'!$1:$1048576,ROW(),FALSE)</f>
        <v>0</v>
      </c>
      <c r="AD7587" s="580">
        <f t="shared" si="626"/>
        <v>5</v>
      </c>
      <c r="AE7587" s="580">
        <f t="shared" si="627"/>
        <v>2.5</v>
      </c>
      <c r="AF7587" s="580">
        <f t="shared" si="628"/>
        <v>2.5</v>
      </c>
      <c r="AG7587" s="580">
        <f t="shared" si="629"/>
        <v>0</v>
      </c>
      <c r="AH7587" s="580">
        <f t="shared" si="630"/>
        <v>0</v>
      </c>
    </row>
    <row r="7588" spans="28:34">
      <c r="AB7588" s="580">
        <f>HLOOKUP("*"&amp;'Output annual'!$AC$2&amp;'Output annual'!$AD$2&amp;"*Zone People Number Of Occupants [](Hourly)",'Eplus results'!$1:$1048576,ROW(),FALSE)</f>
        <v>0</v>
      </c>
      <c r="AC7588" s="580">
        <f>HLOOKUP("*"&amp;'Output annual'!$AC$2&amp;'Output annual'!$AD$2&amp;"*FangerPMV(Hourly)",'Eplus results'!$1:$1048576,ROW(),FALSE)</f>
        <v>0</v>
      </c>
      <c r="AD7588" s="580">
        <f t="shared" si="626"/>
        <v>5</v>
      </c>
      <c r="AE7588" s="580">
        <f t="shared" si="627"/>
        <v>2.5</v>
      </c>
      <c r="AF7588" s="580">
        <f t="shared" si="628"/>
        <v>2.5</v>
      </c>
      <c r="AG7588" s="580">
        <f t="shared" si="629"/>
        <v>0</v>
      </c>
      <c r="AH7588" s="580">
        <f t="shared" si="630"/>
        <v>0</v>
      </c>
    </row>
    <row r="7589" spans="28:34">
      <c r="AB7589" s="580">
        <f>HLOOKUP("*"&amp;'Output annual'!$AC$2&amp;'Output annual'!$AD$2&amp;"*Zone People Number Of Occupants [](Hourly)",'Eplus results'!$1:$1048576,ROW(),FALSE)</f>
        <v>0</v>
      </c>
      <c r="AC7589" s="580">
        <f>HLOOKUP("*"&amp;'Output annual'!$AC$2&amp;'Output annual'!$AD$2&amp;"*FangerPMV(Hourly)",'Eplus results'!$1:$1048576,ROW(),FALSE)</f>
        <v>0</v>
      </c>
      <c r="AD7589" s="580">
        <f t="shared" si="626"/>
        <v>5</v>
      </c>
      <c r="AE7589" s="580">
        <f t="shared" si="627"/>
        <v>2.5</v>
      </c>
      <c r="AF7589" s="580">
        <f t="shared" si="628"/>
        <v>2.5</v>
      </c>
      <c r="AG7589" s="580">
        <f t="shared" si="629"/>
        <v>0</v>
      </c>
      <c r="AH7589" s="580">
        <f t="shared" si="630"/>
        <v>0</v>
      </c>
    </row>
    <row r="7590" spans="28:34">
      <c r="AB7590" s="580">
        <f>HLOOKUP("*"&amp;'Output annual'!$AC$2&amp;'Output annual'!$AD$2&amp;"*Zone People Number Of Occupants [](Hourly)",'Eplus results'!$1:$1048576,ROW(),FALSE)</f>
        <v>0</v>
      </c>
      <c r="AC7590" s="580">
        <f>HLOOKUP("*"&amp;'Output annual'!$AC$2&amp;'Output annual'!$AD$2&amp;"*FangerPMV(Hourly)",'Eplus results'!$1:$1048576,ROW(),FALSE)</f>
        <v>0</v>
      </c>
      <c r="AD7590" s="580">
        <f t="shared" si="626"/>
        <v>5</v>
      </c>
      <c r="AE7590" s="580">
        <f t="shared" si="627"/>
        <v>2.5</v>
      </c>
      <c r="AF7590" s="580">
        <f t="shared" si="628"/>
        <v>2.5</v>
      </c>
      <c r="AG7590" s="580">
        <f t="shared" si="629"/>
        <v>0</v>
      </c>
      <c r="AH7590" s="580">
        <f t="shared" si="630"/>
        <v>0</v>
      </c>
    </row>
    <row r="7591" spans="28:34">
      <c r="AB7591" s="580">
        <f>HLOOKUP("*"&amp;'Output annual'!$AC$2&amp;'Output annual'!$AD$2&amp;"*Zone People Number Of Occupants [](Hourly)",'Eplus results'!$1:$1048576,ROW(),FALSE)</f>
        <v>0</v>
      </c>
      <c r="AC7591" s="580">
        <f>HLOOKUP("*"&amp;'Output annual'!$AC$2&amp;'Output annual'!$AD$2&amp;"*FangerPMV(Hourly)",'Eplus results'!$1:$1048576,ROW(),FALSE)</f>
        <v>0</v>
      </c>
      <c r="AD7591" s="580">
        <f t="shared" si="626"/>
        <v>5</v>
      </c>
      <c r="AE7591" s="580">
        <f t="shared" si="627"/>
        <v>2.5</v>
      </c>
      <c r="AF7591" s="580">
        <f t="shared" si="628"/>
        <v>2.5</v>
      </c>
      <c r="AG7591" s="580">
        <f t="shared" si="629"/>
        <v>0</v>
      </c>
      <c r="AH7591" s="580">
        <f t="shared" si="630"/>
        <v>0</v>
      </c>
    </row>
    <row r="7592" spans="28:34">
      <c r="AB7592" s="580">
        <f>HLOOKUP("*"&amp;'Output annual'!$AC$2&amp;'Output annual'!$AD$2&amp;"*Zone People Number Of Occupants [](Hourly)",'Eplus results'!$1:$1048576,ROW(),FALSE)</f>
        <v>0</v>
      </c>
      <c r="AC7592" s="580">
        <f>HLOOKUP("*"&amp;'Output annual'!$AC$2&amp;'Output annual'!$AD$2&amp;"*FangerPMV(Hourly)",'Eplus results'!$1:$1048576,ROW(),FALSE)</f>
        <v>0</v>
      </c>
      <c r="AD7592" s="580">
        <f t="shared" si="626"/>
        <v>5</v>
      </c>
      <c r="AE7592" s="580">
        <f t="shared" si="627"/>
        <v>2.5</v>
      </c>
      <c r="AF7592" s="580">
        <f t="shared" si="628"/>
        <v>2.5</v>
      </c>
      <c r="AG7592" s="580">
        <f t="shared" si="629"/>
        <v>0</v>
      </c>
      <c r="AH7592" s="580">
        <f t="shared" si="630"/>
        <v>0</v>
      </c>
    </row>
    <row r="7593" spans="28:34">
      <c r="AB7593" s="580">
        <f>HLOOKUP("*"&amp;'Output annual'!$AC$2&amp;'Output annual'!$AD$2&amp;"*Zone People Number Of Occupants [](Hourly)",'Eplus results'!$1:$1048576,ROW(),FALSE)</f>
        <v>0</v>
      </c>
      <c r="AC7593" s="580">
        <f>HLOOKUP("*"&amp;'Output annual'!$AC$2&amp;'Output annual'!$AD$2&amp;"*FangerPMV(Hourly)",'Eplus results'!$1:$1048576,ROW(),FALSE)</f>
        <v>0</v>
      </c>
      <c r="AD7593" s="580">
        <f t="shared" si="626"/>
        <v>5</v>
      </c>
      <c r="AE7593" s="580">
        <f t="shared" si="627"/>
        <v>2.5</v>
      </c>
      <c r="AF7593" s="580">
        <f t="shared" si="628"/>
        <v>2.5</v>
      </c>
      <c r="AG7593" s="580">
        <f t="shared" si="629"/>
        <v>0</v>
      </c>
      <c r="AH7593" s="580">
        <f t="shared" si="630"/>
        <v>0</v>
      </c>
    </row>
    <row r="7594" spans="28:34">
      <c r="AB7594" s="580">
        <f>HLOOKUP("*"&amp;'Output annual'!$AC$2&amp;'Output annual'!$AD$2&amp;"*Zone People Number Of Occupants [](Hourly)",'Eplus results'!$1:$1048576,ROW(),FALSE)</f>
        <v>0</v>
      </c>
      <c r="AC7594" s="580">
        <f>HLOOKUP("*"&amp;'Output annual'!$AC$2&amp;'Output annual'!$AD$2&amp;"*FangerPMV(Hourly)",'Eplus results'!$1:$1048576,ROW(),FALSE)</f>
        <v>0</v>
      </c>
      <c r="AD7594" s="580">
        <f t="shared" si="626"/>
        <v>5</v>
      </c>
      <c r="AE7594" s="580">
        <f t="shared" si="627"/>
        <v>2.5</v>
      </c>
      <c r="AF7594" s="580">
        <f t="shared" si="628"/>
        <v>2.5</v>
      </c>
      <c r="AG7594" s="580">
        <f t="shared" si="629"/>
        <v>0</v>
      </c>
      <c r="AH7594" s="580">
        <f t="shared" si="630"/>
        <v>0</v>
      </c>
    </row>
    <row r="7595" spans="28:34">
      <c r="AB7595" s="580">
        <f>HLOOKUP("*"&amp;'Output annual'!$AC$2&amp;'Output annual'!$AD$2&amp;"*Zone People Number Of Occupants [](Hourly)",'Eplus results'!$1:$1048576,ROW(),FALSE)</f>
        <v>0</v>
      </c>
      <c r="AC7595" s="580">
        <f>HLOOKUP("*"&amp;'Output annual'!$AC$2&amp;'Output annual'!$AD$2&amp;"*FangerPMV(Hourly)",'Eplus results'!$1:$1048576,ROW(),FALSE)</f>
        <v>0</v>
      </c>
      <c r="AD7595" s="580">
        <f t="shared" si="626"/>
        <v>5</v>
      </c>
      <c r="AE7595" s="580">
        <f t="shared" si="627"/>
        <v>2.5</v>
      </c>
      <c r="AF7595" s="580">
        <f t="shared" si="628"/>
        <v>2.5</v>
      </c>
      <c r="AG7595" s="580">
        <f t="shared" si="629"/>
        <v>0</v>
      </c>
      <c r="AH7595" s="580">
        <f t="shared" si="630"/>
        <v>0</v>
      </c>
    </row>
    <row r="7596" spans="28:34">
      <c r="AB7596" s="580">
        <f>HLOOKUP("*"&amp;'Output annual'!$AC$2&amp;'Output annual'!$AD$2&amp;"*Zone People Number Of Occupants [](Hourly)",'Eplus results'!$1:$1048576,ROW(),FALSE)</f>
        <v>0</v>
      </c>
      <c r="AC7596" s="580">
        <f>HLOOKUP("*"&amp;'Output annual'!$AC$2&amp;'Output annual'!$AD$2&amp;"*FangerPMV(Hourly)",'Eplus results'!$1:$1048576,ROW(),FALSE)</f>
        <v>0</v>
      </c>
      <c r="AD7596" s="580">
        <f t="shared" si="626"/>
        <v>5</v>
      </c>
      <c r="AE7596" s="580">
        <f t="shared" si="627"/>
        <v>2.5</v>
      </c>
      <c r="AF7596" s="580">
        <f t="shared" si="628"/>
        <v>2.5</v>
      </c>
      <c r="AG7596" s="580">
        <f t="shared" si="629"/>
        <v>0</v>
      </c>
      <c r="AH7596" s="580">
        <f t="shared" si="630"/>
        <v>0</v>
      </c>
    </row>
    <row r="7597" spans="28:34">
      <c r="AB7597" s="580">
        <f>HLOOKUP("*"&amp;'Output annual'!$AC$2&amp;'Output annual'!$AD$2&amp;"*Zone People Number Of Occupants [](Hourly)",'Eplus results'!$1:$1048576,ROW(),FALSE)</f>
        <v>0</v>
      </c>
      <c r="AC7597" s="580">
        <f>HLOOKUP("*"&amp;'Output annual'!$AC$2&amp;'Output annual'!$AD$2&amp;"*FangerPMV(Hourly)",'Eplus results'!$1:$1048576,ROW(),FALSE)</f>
        <v>0</v>
      </c>
      <c r="AD7597" s="580">
        <f t="shared" si="626"/>
        <v>5</v>
      </c>
      <c r="AE7597" s="580">
        <f t="shared" si="627"/>
        <v>2.5</v>
      </c>
      <c r="AF7597" s="580">
        <f t="shared" si="628"/>
        <v>2.5</v>
      </c>
      <c r="AG7597" s="580">
        <f t="shared" si="629"/>
        <v>0</v>
      </c>
      <c r="AH7597" s="580">
        <f t="shared" si="630"/>
        <v>0</v>
      </c>
    </row>
    <row r="7598" spans="28:34">
      <c r="AB7598" s="580">
        <f>HLOOKUP("*"&amp;'Output annual'!$AC$2&amp;'Output annual'!$AD$2&amp;"*Zone People Number Of Occupants [](Hourly)",'Eplus results'!$1:$1048576,ROW(),FALSE)</f>
        <v>0</v>
      </c>
      <c r="AC7598" s="580">
        <f>HLOOKUP("*"&amp;'Output annual'!$AC$2&amp;'Output annual'!$AD$2&amp;"*FangerPMV(Hourly)",'Eplus results'!$1:$1048576,ROW(),FALSE)</f>
        <v>0</v>
      </c>
      <c r="AD7598" s="580">
        <f t="shared" si="626"/>
        <v>5</v>
      </c>
      <c r="AE7598" s="580">
        <f t="shared" si="627"/>
        <v>2.5</v>
      </c>
      <c r="AF7598" s="580">
        <f t="shared" si="628"/>
        <v>2.5</v>
      </c>
      <c r="AG7598" s="580">
        <f t="shared" si="629"/>
        <v>0</v>
      </c>
      <c r="AH7598" s="580">
        <f t="shared" si="630"/>
        <v>0</v>
      </c>
    </row>
    <row r="7599" spans="28:34">
      <c r="AB7599" s="580">
        <f>HLOOKUP("*"&amp;'Output annual'!$AC$2&amp;'Output annual'!$AD$2&amp;"*Zone People Number Of Occupants [](Hourly)",'Eplus results'!$1:$1048576,ROW(),FALSE)</f>
        <v>0</v>
      </c>
      <c r="AC7599" s="580">
        <f>HLOOKUP("*"&amp;'Output annual'!$AC$2&amp;'Output annual'!$AD$2&amp;"*FangerPMV(Hourly)",'Eplus results'!$1:$1048576,ROW(),FALSE)</f>
        <v>0</v>
      </c>
      <c r="AD7599" s="580">
        <f t="shared" si="626"/>
        <v>5</v>
      </c>
      <c r="AE7599" s="580">
        <f t="shared" si="627"/>
        <v>2.5</v>
      </c>
      <c r="AF7599" s="580">
        <f t="shared" si="628"/>
        <v>2.5</v>
      </c>
      <c r="AG7599" s="580">
        <f t="shared" si="629"/>
        <v>0</v>
      </c>
      <c r="AH7599" s="580">
        <f t="shared" si="630"/>
        <v>0</v>
      </c>
    </row>
    <row r="7600" spans="28:34">
      <c r="AB7600" s="580">
        <f>HLOOKUP("*"&amp;'Output annual'!$AC$2&amp;'Output annual'!$AD$2&amp;"*Zone People Number Of Occupants [](Hourly)",'Eplus results'!$1:$1048576,ROW(),FALSE)</f>
        <v>0</v>
      </c>
      <c r="AC7600" s="580">
        <f>HLOOKUP("*"&amp;'Output annual'!$AC$2&amp;'Output annual'!$AD$2&amp;"*FangerPMV(Hourly)",'Eplus results'!$1:$1048576,ROW(),FALSE)</f>
        <v>0</v>
      </c>
      <c r="AD7600" s="580">
        <f t="shared" si="626"/>
        <v>5</v>
      </c>
      <c r="AE7600" s="580">
        <f t="shared" si="627"/>
        <v>2.5</v>
      </c>
      <c r="AF7600" s="580">
        <f t="shared" si="628"/>
        <v>2.5</v>
      </c>
      <c r="AG7600" s="580">
        <f t="shared" si="629"/>
        <v>0</v>
      </c>
      <c r="AH7600" s="580">
        <f t="shared" si="630"/>
        <v>0</v>
      </c>
    </row>
    <row r="7601" spans="28:34">
      <c r="AB7601" s="580">
        <f>HLOOKUP("*"&amp;'Output annual'!$AC$2&amp;'Output annual'!$AD$2&amp;"*Zone People Number Of Occupants [](Hourly)",'Eplus results'!$1:$1048576,ROW(),FALSE)</f>
        <v>0</v>
      </c>
      <c r="AC7601" s="580">
        <f>HLOOKUP("*"&amp;'Output annual'!$AC$2&amp;'Output annual'!$AD$2&amp;"*FangerPMV(Hourly)",'Eplus results'!$1:$1048576,ROW(),FALSE)</f>
        <v>0</v>
      </c>
      <c r="AD7601" s="580">
        <f t="shared" si="626"/>
        <v>5</v>
      </c>
      <c r="AE7601" s="580">
        <f t="shared" si="627"/>
        <v>2.5</v>
      </c>
      <c r="AF7601" s="580">
        <f t="shared" si="628"/>
        <v>2.5</v>
      </c>
      <c r="AG7601" s="580">
        <f t="shared" si="629"/>
        <v>0</v>
      </c>
      <c r="AH7601" s="580">
        <f t="shared" si="630"/>
        <v>0</v>
      </c>
    </row>
    <row r="7602" spans="28:34">
      <c r="AB7602" s="580">
        <f>HLOOKUP("*"&amp;'Output annual'!$AC$2&amp;'Output annual'!$AD$2&amp;"*Zone People Number Of Occupants [](Hourly)",'Eplus results'!$1:$1048576,ROW(),FALSE)</f>
        <v>0</v>
      </c>
      <c r="AC7602" s="580">
        <f>HLOOKUP("*"&amp;'Output annual'!$AC$2&amp;'Output annual'!$AD$2&amp;"*FangerPMV(Hourly)",'Eplus results'!$1:$1048576,ROW(),FALSE)</f>
        <v>0</v>
      </c>
      <c r="AD7602" s="580">
        <f t="shared" si="626"/>
        <v>5</v>
      </c>
      <c r="AE7602" s="580">
        <f t="shared" si="627"/>
        <v>2.5</v>
      </c>
      <c r="AF7602" s="580">
        <f t="shared" si="628"/>
        <v>2.5</v>
      </c>
      <c r="AG7602" s="580">
        <f t="shared" si="629"/>
        <v>0</v>
      </c>
      <c r="AH7602" s="580">
        <f t="shared" si="630"/>
        <v>0</v>
      </c>
    </row>
    <row r="7603" spans="28:34">
      <c r="AB7603" s="580">
        <f>HLOOKUP("*"&amp;'Output annual'!$AC$2&amp;'Output annual'!$AD$2&amp;"*Zone People Number Of Occupants [](Hourly)",'Eplus results'!$1:$1048576,ROW(),FALSE)</f>
        <v>0</v>
      </c>
      <c r="AC7603" s="580">
        <f>HLOOKUP("*"&amp;'Output annual'!$AC$2&amp;'Output annual'!$AD$2&amp;"*FangerPMV(Hourly)",'Eplus results'!$1:$1048576,ROW(),FALSE)</f>
        <v>0</v>
      </c>
      <c r="AD7603" s="580">
        <f t="shared" si="626"/>
        <v>5</v>
      </c>
      <c r="AE7603" s="580">
        <f t="shared" si="627"/>
        <v>2.5</v>
      </c>
      <c r="AF7603" s="580">
        <f t="shared" si="628"/>
        <v>2.5</v>
      </c>
      <c r="AG7603" s="580">
        <f t="shared" si="629"/>
        <v>0</v>
      </c>
      <c r="AH7603" s="580">
        <f t="shared" si="630"/>
        <v>0</v>
      </c>
    </row>
    <row r="7604" spans="28:34">
      <c r="AB7604" s="580">
        <f>HLOOKUP("*"&amp;'Output annual'!$AC$2&amp;'Output annual'!$AD$2&amp;"*Zone People Number Of Occupants [](Hourly)",'Eplus results'!$1:$1048576,ROW(),FALSE)</f>
        <v>0</v>
      </c>
      <c r="AC7604" s="580">
        <f>HLOOKUP("*"&amp;'Output annual'!$AC$2&amp;'Output annual'!$AD$2&amp;"*FangerPMV(Hourly)",'Eplus results'!$1:$1048576,ROW(),FALSE)</f>
        <v>0</v>
      </c>
      <c r="AD7604" s="580">
        <f t="shared" si="626"/>
        <v>5</v>
      </c>
      <c r="AE7604" s="580">
        <f t="shared" si="627"/>
        <v>2.5</v>
      </c>
      <c r="AF7604" s="580">
        <f t="shared" si="628"/>
        <v>2.5</v>
      </c>
      <c r="AG7604" s="580">
        <f t="shared" si="629"/>
        <v>0</v>
      </c>
      <c r="AH7604" s="580">
        <f t="shared" si="630"/>
        <v>0</v>
      </c>
    </row>
    <row r="7605" spans="28:34">
      <c r="AB7605" s="580">
        <f>HLOOKUP("*"&amp;'Output annual'!$AC$2&amp;'Output annual'!$AD$2&amp;"*Zone People Number Of Occupants [](Hourly)",'Eplus results'!$1:$1048576,ROW(),FALSE)</f>
        <v>0</v>
      </c>
      <c r="AC7605" s="580">
        <f>HLOOKUP("*"&amp;'Output annual'!$AC$2&amp;'Output annual'!$AD$2&amp;"*FangerPMV(Hourly)",'Eplus results'!$1:$1048576,ROW(),FALSE)</f>
        <v>0</v>
      </c>
      <c r="AD7605" s="580">
        <f t="shared" si="626"/>
        <v>5</v>
      </c>
      <c r="AE7605" s="580">
        <f t="shared" si="627"/>
        <v>2.5</v>
      </c>
      <c r="AF7605" s="580">
        <f t="shared" si="628"/>
        <v>2.5</v>
      </c>
      <c r="AG7605" s="580">
        <f t="shared" si="629"/>
        <v>0</v>
      </c>
      <c r="AH7605" s="580">
        <f t="shared" si="630"/>
        <v>0</v>
      </c>
    </row>
    <row r="7606" spans="28:34">
      <c r="AB7606" s="580">
        <f>HLOOKUP("*"&amp;'Output annual'!$AC$2&amp;'Output annual'!$AD$2&amp;"*Zone People Number Of Occupants [](Hourly)",'Eplus results'!$1:$1048576,ROW(),FALSE)</f>
        <v>0</v>
      </c>
      <c r="AC7606" s="580">
        <f>HLOOKUP("*"&amp;'Output annual'!$AC$2&amp;'Output annual'!$AD$2&amp;"*FangerPMV(Hourly)",'Eplus results'!$1:$1048576,ROW(),FALSE)</f>
        <v>0</v>
      </c>
      <c r="AD7606" s="580">
        <f t="shared" si="626"/>
        <v>5</v>
      </c>
      <c r="AE7606" s="580">
        <f t="shared" si="627"/>
        <v>2.5</v>
      </c>
      <c r="AF7606" s="580">
        <f t="shared" si="628"/>
        <v>2.5</v>
      </c>
      <c r="AG7606" s="580">
        <f t="shared" si="629"/>
        <v>0</v>
      </c>
      <c r="AH7606" s="580">
        <f t="shared" si="630"/>
        <v>0</v>
      </c>
    </row>
    <row r="7607" spans="28:34">
      <c r="AB7607" s="580">
        <f>HLOOKUP("*"&amp;'Output annual'!$AC$2&amp;'Output annual'!$AD$2&amp;"*Zone People Number Of Occupants [](Hourly)",'Eplus results'!$1:$1048576,ROW(),FALSE)</f>
        <v>0</v>
      </c>
      <c r="AC7607" s="580">
        <f>HLOOKUP("*"&amp;'Output annual'!$AC$2&amp;'Output annual'!$AD$2&amp;"*FangerPMV(Hourly)",'Eplus results'!$1:$1048576,ROW(),FALSE)</f>
        <v>0</v>
      </c>
      <c r="AD7607" s="580">
        <f t="shared" si="626"/>
        <v>5</v>
      </c>
      <c r="AE7607" s="580">
        <f t="shared" si="627"/>
        <v>2.5</v>
      </c>
      <c r="AF7607" s="580">
        <f t="shared" si="628"/>
        <v>2.5</v>
      </c>
      <c r="AG7607" s="580">
        <f t="shared" si="629"/>
        <v>0</v>
      </c>
      <c r="AH7607" s="580">
        <f t="shared" si="630"/>
        <v>0</v>
      </c>
    </row>
    <row r="7608" spans="28:34">
      <c r="AB7608" s="580">
        <f>HLOOKUP("*"&amp;'Output annual'!$AC$2&amp;'Output annual'!$AD$2&amp;"*Zone People Number Of Occupants [](Hourly)",'Eplus results'!$1:$1048576,ROW(),FALSE)</f>
        <v>0</v>
      </c>
      <c r="AC7608" s="580">
        <f>HLOOKUP("*"&amp;'Output annual'!$AC$2&amp;'Output annual'!$AD$2&amp;"*FangerPMV(Hourly)",'Eplus results'!$1:$1048576,ROW(),FALSE)</f>
        <v>0</v>
      </c>
      <c r="AD7608" s="580">
        <f t="shared" si="626"/>
        <v>5</v>
      </c>
      <c r="AE7608" s="580">
        <f t="shared" si="627"/>
        <v>2.5</v>
      </c>
      <c r="AF7608" s="580">
        <f t="shared" si="628"/>
        <v>2.5</v>
      </c>
      <c r="AG7608" s="580">
        <f t="shared" si="629"/>
        <v>0</v>
      </c>
      <c r="AH7608" s="580">
        <f t="shared" si="630"/>
        <v>0</v>
      </c>
    </row>
    <row r="7609" spans="28:34">
      <c r="AB7609" s="580">
        <f>HLOOKUP("*"&amp;'Output annual'!$AC$2&amp;'Output annual'!$AD$2&amp;"*Zone People Number Of Occupants [](Hourly)",'Eplus results'!$1:$1048576,ROW(),FALSE)</f>
        <v>0</v>
      </c>
      <c r="AC7609" s="580">
        <f>HLOOKUP("*"&amp;'Output annual'!$AC$2&amp;'Output annual'!$AD$2&amp;"*FangerPMV(Hourly)",'Eplus results'!$1:$1048576,ROW(),FALSE)</f>
        <v>0</v>
      </c>
      <c r="AD7609" s="580">
        <f t="shared" si="626"/>
        <v>5</v>
      </c>
      <c r="AE7609" s="580">
        <f t="shared" si="627"/>
        <v>2.5</v>
      </c>
      <c r="AF7609" s="580">
        <f t="shared" si="628"/>
        <v>2.5</v>
      </c>
      <c r="AG7609" s="580">
        <f t="shared" si="629"/>
        <v>0</v>
      </c>
      <c r="AH7609" s="580">
        <f t="shared" si="630"/>
        <v>0</v>
      </c>
    </row>
    <row r="7610" spans="28:34">
      <c r="AB7610" s="580">
        <f>HLOOKUP("*"&amp;'Output annual'!$AC$2&amp;'Output annual'!$AD$2&amp;"*Zone People Number Of Occupants [](Hourly)",'Eplus results'!$1:$1048576,ROW(),FALSE)</f>
        <v>0</v>
      </c>
      <c r="AC7610" s="580">
        <f>HLOOKUP("*"&amp;'Output annual'!$AC$2&amp;'Output annual'!$AD$2&amp;"*FangerPMV(Hourly)",'Eplus results'!$1:$1048576,ROW(),FALSE)</f>
        <v>0</v>
      </c>
      <c r="AD7610" s="580">
        <f t="shared" si="626"/>
        <v>5</v>
      </c>
      <c r="AE7610" s="580">
        <f t="shared" si="627"/>
        <v>2.5</v>
      </c>
      <c r="AF7610" s="580">
        <f t="shared" si="628"/>
        <v>2.5</v>
      </c>
      <c r="AG7610" s="580">
        <f t="shared" si="629"/>
        <v>0</v>
      </c>
      <c r="AH7610" s="580">
        <f t="shared" si="630"/>
        <v>0</v>
      </c>
    </row>
    <row r="7611" spans="28:34">
      <c r="AB7611" s="580">
        <f>HLOOKUP("*"&amp;'Output annual'!$AC$2&amp;'Output annual'!$AD$2&amp;"*Zone People Number Of Occupants [](Hourly)",'Eplus results'!$1:$1048576,ROW(),FALSE)</f>
        <v>0</v>
      </c>
      <c r="AC7611" s="580">
        <f>HLOOKUP("*"&amp;'Output annual'!$AC$2&amp;'Output annual'!$AD$2&amp;"*FangerPMV(Hourly)",'Eplus results'!$1:$1048576,ROW(),FALSE)</f>
        <v>0</v>
      </c>
      <c r="AD7611" s="580">
        <f t="shared" si="626"/>
        <v>5</v>
      </c>
      <c r="AE7611" s="580">
        <f t="shared" si="627"/>
        <v>2.5</v>
      </c>
      <c r="AF7611" s="580">
        <f t="shared" si="628"/>
        <v>2.5</v>
      </c>
      <c r="AG7611" s="580">
        <f t="shared" si="629"/>
        <v>0</v>
      </c>
      <c r="AH7611" s="580">
        <f t="shared" si="630"/>
        <v>0</v>
      </c>
    </row>
    <row r="7612" spans="28:34">
      <c r="AB7612" s="580">
        <f>HLOOKUP("*"&amp;'Output annual'!$AC$2&amp;'Output annual'!$AD$2&amp;"*Zone People Number Of Occupants [](Hourly)",'Eplus results'!$1:$1048576,ROW(),FALSE)</f>
        <v>0</v>
      </c>
      <c r="AC7612" s="580">
        <f>HLOOKUP("*"&amp;'Output annual'!$AC$2&amp;'Output annual'!$AD$2&amp;"*FangerPMV(Hourly)",'Eplus results'!$1:$1048576,ROW(),FALSE)</f>
        <v>0</v>
      </c>
      <c r="AD7612" s="580">
        <f t="shared" si="626"/>
        <v>5</v>
      </c>
      <c r="AE7612" s="580">
        <f t="shared" si="627"/>
        <v>2.5</v>
      </c>
      <c r="AF7612" s="580">
        <f t="shared" si="628"/>
        <v>2.5</v>
      </c>
      <c r="AG7612" s="580">
        <f t="shared" si="629"/>
        <v>0</v>
      </c>
      <c r="AH7612" s="580">
        <f t="shared" si="630"/>
        <v>0</v>
      </c>
    </row>
    <row r="7613" spans="28:34">
      <c r="AB7613" s="580">
        <f>HLOOKUP("*"&amp;'Output annual'!$AC$2&amp;'Output annual'!$AD$2&amp;"*Zone People Number Of Occupants [](Hourly)",'Eplus results'!$1:$1048576,ROW(),FALSE)</f>
        <v>0</v>
      </c>
      <c r="AC7613" s="580">
        <f>HLOOKUP("*"&amp;'Output annual'!$AC$2&amp;'Output annual'!$AD$2&amp;"*FangerPMV(Hourly)",'Eplus results'!$1:$1048576,ROW(),FALSE)</f>
        <v>0</v>
      </c>
      <c r="AD7613" s="580">
        <f t="shared" si="626"/>
        <v>5</v>
      </c>
      <c r="AE7613" s="580">
        <f t="shared" si="627"/>
        <v>2.5</v>
      </c>
      <c r="AF7613" s="580">
        <f t="shared" si="628"/>
        <v>2.5</v>
      </c>
      <c r="AG7613" s="580">
        <f t="shared" si="629"/>
        <v>0</v>
      </c>
      <c r="AH7613" s="580">
        <f t="shared" si="630"/>
        <v>0</v>
      </c>
    </row>
    <row r="7614" spans="28:34">
      <c r="AB7614" s="580">
        <f>HLOOKUP("*"&amp;'Output annual'!$AC$2&amp;'Output annual'!$AD$2&amp;"*Zone People Number Of Occupants [](Hourly)",'Eplus results'!$1:$1048576,ROW(),FALSE)</f>
        <v>0</v>
      </c>
      <c r="AC7614" s="580">
        <f>HLOOKUP("*"&amp;'Output annual'!$AC$2&amp;'Output annual'!$AD$2&amp;"*FangerPMV(Hourly)",'Eplus results'!$1:$1048576,ROW(),FALSE)</f>
        <v>0</v>
      </c>
      <c r="AD7614" s="580">
        <f t="shared" si="626"/>
        <v>5</v>
      </c>
      <c r="AE7614" s="580">
        <f t="shared" si="627"/>
        <v>2.5</v>
      </c>
      <c r="AF7614" s="580">
        <f t="shared" si="628"/>
        <v>2.5</v>
      </c>
      <c r="AG7614" s="580">
        <f t="shared" si="629"/>
        <v>0</v>
      </c>
      <c r="AH7614" s="580">
        <f t="shared" si="630"/>
        <v>0</v>
      </c>
    </row>
    <row r="7615" spans="28:34">
      <c r="AB7615" s="580">
        <f>HLOOKUP("*"&amp;'Output annual'!$AC$2&amp;'Output annual'!$AD$2&amp;"*Zone People Number Of Occupants [](Hourly)",'Eplus results'!$1:$1048576,ROW(),FALSE)</f>
        <v>0</v>
      </c>
      <c r="AC7615" s="580">
        <f>HLOOKUP("*"&amp;'Output annual'!$AC$2&amp;'Output annual'!$AD$2&amp;"*FangerPMV(Hourly)",'Eplus results'!$1:$1048576,ROW(),FALSE)</f>
        <v>0</v>
      </c>
      <c r="AD7615" s="580">
        <f t="shared" si="626"/>
        <v>5</v>
      </c>
      <c r="AE7615" s="580">
        <f t="shared" si="627"/>
        <v>2.5</v>
      </c>
      <c r="AF7615" s="580">
        <f t="shared" si="628"/>
        <v>2.5</v>
      </c>
      <c r="AG7615" s="580">
        <f t="shared" si="629"/>
        <v>0</v>
      </c>
      <c r="AH7615" s="580">
        <f t="shared" si="630"/>
        <v>0</v>
      </c>
    </row>
    <row r="7616" spans="28:34">
      <c r="AB7616" s="580">
        <f>HLOOKUP("*"&amp;'Output annual'!$AC$2&amp;'Output annual'!$AD$2&amp;"*Zone People Number Of Occupants [](Hourly)",'Eplus results'!$1:$1048576,ROW(),FALSE)</f>
        <v>0</v>
      </c>
      <c r="AC7616" s="580">
        <f>HLOOKUP("*"&amp;'Output annual'!$AC$2&amp;'Output annual'!$AD$2&amp;"*FangerPMV(Hourly)",'Eplus results'!$1:$1048576,ROW(),FALSE)</f>
        <v>0</v>
      </c>
      <c r="AD7616" s="580">
        <f t="shared" si="626"/>
        <v>5</v>
      </c>
      <c r="AE7616" s="580">
        <f t="shared" si="627"/>
        <v>2.5</v>
      </c>
      <c r="AF7616" s="580">
        <f t="shared" si="628"/>
        <v>2.5</v>
      </c>
      <c r="AG7616" s="580">
        <f t="shared" si="629"/>
        <v>0</v>
      </c>
      <c r="AH7616" s="580">
        <f t="shared" si="630"/>
        <v>0</v>
      </c>
    </row>
    <row r="7617" spans="28:34">
      <c r="AB7617" s="580">
        <f>HLOOKUP("*"&amp;'Output annual'!$AC$2&amp;'Output annual'!$AD$2&amp;"*Zone People Number Of Occupants [](Hourly)",'Eplus results'!$1:$1048576,ROW(),FALSE)</f>
        <v>0</v>
      </c>
      <c r="AC7617" s="580">
        <f>HLOOKUP("*"&amp;'Output annual'!$AC$2&amp;'Output annual'!$AD$2&amp;"*FangerPMV(Hourly)",'Eplus results'!$1:$1048576,ROW(),FALSE)</f>
        <v>0</v>
      </c>
      <c r="AD7617" s="580">
        <f t="shared" si="626"/>
        <v>5</v>
      </c>
      <c r="AE7617" s="580">
        <f t="shared" si="627"/>
        <v>2.5</v>
      </c>
      <c r="AF7617" s="580">
        <f t="shared" si="628"/>
        <v>2.5</v>
      </c>
      <c r="AG7617" s="580">
        <f t="shared" si="629"/>
        <v>0</v>
      </c>
      <c r="AH7617" s="580">
        <f t="shared" si="630"/>
        <v>0</v>
      </c>
    </row>
    <row r="7618" spans="28:34">
      <c r="AB7618" s="580">
        <f>HLOOKUP("*"&amp;'Output annual'!$AC$2&amp;'Output annual'!$AD$2&amp;"*Zone People Number Of Occupants [](Hourly)",'Eplus results'!$1:$1048576,ROW(),FALSE)</f>
        <v>0</v>
      </c>
      <c r="AC7618" s="580">
        <f>HLOOKUP("*"&amp;'Output annual'!$AC$2&amp;'Output annual'!$AD$2&amp;"*FangerPMV(Hourly)",'Eplus results'!$1:$1048576,ROW(),FALSE)</f>
        <v>0</v>
      </c>
      <c r="AD7618" s="580">
        <f t="shared" si="626"/>
        <v>5</v>
      </c>
      <c r="AE7618" s="580">
        <f t="shared" si="627"/>
        <v>2.5</v>
      </c>
      <c r="AF7618" s="580">
        <f t="shared" si="628"/>
        <v>2.5</v>
      </c>
      <c r="AG7618" s="580">
        <f t="shared" si="629"/>
        <v>0</v>
      </c>
      <c r="AH7618" s="580">
        <f t="shared" si="630"/>
        <v>0</v>
      </c>
    </row>
    <row r="7619" spans="28:34">
      <c r="AB7619" s="580">
        <f>HLOOKUP("*"&amp;'Output annual'!$AC$2&amp;'Output annual'!$AD$2&amp;"*Zone People Number Of Occupants [](Hourly)",'Eplus results'!$1:$1048576,ROW(),FALSE)</f>
        <v>0</v>
      </c>
      <c r="AC7619" s="580">
        <f>HLOOKUP("*"&amp;'Output annual'!$AC$2&amp;'Output annual'!$AD$2&amp;"*FangerPMV(Hourly)",'Eplus results'!$1:$1048576,ROW(),FALSE)</f>
        <v>0</v>
      </c>
      <c r="AD7619" s="580">
        <f t="shared" ref="AD7619:AD7682" si="631">100-95*EXP(-0.03353*AC7619^4-0.2179*AC7619^2)</f>
        <v>5</v>
      </c>
      <c r="AE7619" s="580">
        <f t="shared" ref="AE7619:AE7682" si="632">AD7619*(1/(1+EXP(-6.3*$AC7619)))</f>
        <v>2.5</v>
      </c>
      <c r="AF7619" s="580">
        <f t="shared" ref="AF7619:AF7682" si="633">(AD7619-AE7619)</f>
        <v>2.5</v>
      </c>
      <c r="AG7619" s="580">
        <f t="shared" ref="AG7619:AG7682" si="634">AE7619*AB7619</f>
        <v>0</v>
      </c>
      <c r="AH7619" s="580">
        <f t="shared" ref="AH7619:AH7682" si="635">AF7619*AB7619</f>
        <v>0</v>
      </c>
    </row>
    <row r="7620" spans="28:34">
      <c r="AB7620" s="580">
        <f>HLOOKUP("*"&amp;'Output annual'!$AC$2&amp;'Output annual'!$AD$2&amp;"*Zone People Number Of Occupants [](Hourly)",'Eplus results'!$1:$1048576,ROW(),FALSE)</f>
        <v>0</v>
      </c>
      <c r="AC7620" s="580">
        <f>HLOOKUP("*"&amp;'Output annual'!$AC$2&amp;'Output annual'!$AD$2&amp;"*FangerPMV(Hourly)",'Eplus results'!$1:$1048576,ROW(),FALSE)</f>
        <v>0</v>
      </c>
      <c r="AD7620" s="580">
        <f t="shared" si="631"/>
        <v>5</v>
      </c>
      <c r="AE7620" s="580">
        <f t="shared" si="632"/>
        <v>2.5</v>
      </c>
      <c r="AF7620" s="580">
        <f t="shared" si="633"/>
        <v>2.5</v>
      </c>
      <c r="AG7620" s="580">
        <f t="shared" si="634"/>
        <v>0</v>
      </c>
      <c r="AH7620" s="580">
        <f t="shared" si="635"/>
        <v>0</v>
      </c>
    </row>
    <row r="7621" spans="28:34">
      <c r="AB7621" s="580">
        <f>HLOOKUP("*"&amp;'Output annual'!$AC$2&amp;'Output annual'!$AD$2&amp;"*Zone People Number Of Occupants [](Hourly)",'Eplus results'!$1:$1048576,ROW(),FALSE)</f>
        <v>0</v>
      </c>
      <c r="AC7621" s="580">
        <f>HLOOKUP("*"&amp;'Output annual'!$AC$2&amp;'Output annual'!$AD$2&amp;"*FangerPMV(Hourly)",'Eplus results'!$1:$1048576,ROW(),FALSE)</f>
        <v>0</v>
      </c>
      <c r="AD7621" s="580">
        <f t="shared" si="631"/>
        <v>5</v>
      </c>
      <c r="AE7621" s="580">
        <f t="shared" si="632"/>
        <v>2.5</v>
      </c>
      <c r="AF7621" s="580">
        <f t="shared" si="633"/>
        <v>2.5</v>
      </c>
      <c r="AG7621" s="580">
        <f t="shared" si="634"/>
        <v>0</v>
      </c>
      <c r="AH7621" s="580">
        <f t="shared" si="635"/>
        <v>0</v>
      </c>
    </row>
    <row r="7622" spans="28:34">
      <c r="AB7622" s="580">
        <f>HLOOKUP("*"&amp;'Output annual'!$AC$2&amp;'Output annual'!$AD$2&amp;"*Zone People Number Of Occupants [](Hourly)",'Eplus results'!$1:$1048576,ROW(),FALSE)</f>
        <v>0</v>
      </c>
      <c r="AC7622" s="580">
        <f>HLOOKUP("*"&amp;'Output annual'!$AC$2&amp;'Output annual'!$AD$2&amp;"*FangerPMV(Hourly)",'Eplus results'!$1:$1048576,ROW(),FALSE)</f>
        <v>0</v>
      </c>
      <c r="AD7622" s="580">
        <f t="shared" si="631"/>
        <v>5</v>
      </c>
      <c r="AE7622" s="580">
        <f t="shared" si="632"/>
        <v>2.5</v>
      </c>
      <c r="AF7622" s="580">
        <f t="shared" si="633"/>
        <v>2.5</v>
      </c>
      <c r="AG7622" s="580">
        <f t="shared" si="634"/>
        <v>0</v>
      </c>
      <c r="AH7622" s="580">
        <f t="shared" si="635"/>
        <v>0</v>
      </c>
    </row>
    <row r="7623" spans="28:34">
      <c r="AB7623" s="580">
        <f>HLOOKUP("*"&amp;'Output annual'!$AC$2&amp;'Output annual'!$AD$2&amp;"*Zone People Number Of Occupants [](Hourly)",'Eplus results'!$1:$1048576,ROW(),FALSE)</f>
        <v>0</v>
      </c>
      <c r="AC7623" s="580">
        <f>HLOOKUP("*"&amp;'Output annual'!$AC$2&amp;'Output annual'!$AD$2&amp;"*FangerPMV(Hourly)",'Eplus results'!$1:$1048576,ROW(),FALSE)</f>
        <v>0</v>
      </c>
      <c r="AD7623" s="580">
        <f t="shared" si="631"/>
        <v>5</v>
      </c>
      <c r="AE7623" s="580">
        <f t="shared" si="632"/>
        <v>2.5</v>
      </c>
      <c r="AF7623" s="580">
        <f t="shared" si="633"/>
        <v>2.5</v>
      </c>
      <c r="AG7623" s="580">
        <f t="shared" si="634"/>
        <v>0</v>
      </c>
      <c r="AH7623" s="580">
        <f t="shared" si="635"/>
        <v>0</v>
      </c>
    </row>
    <row r="7624" spans="28:34">
      <c r="AB7624" s="580">
        <f>HLOOKUP("*"&amp;'Output annual'!$AC$2&amp;'Output annual'!$AD$2&amp;"*Zone People Number Of Occupants [](Hourly)",'Eplus results'!$1:$1048576,ROW(),FALSE)</f>
        <v>0</v>
      </c>
      <c r="AC7624" s="580">
        <f>HLOOKUP("*"&amp;'Output annual'!$AC$2&amp;'Output annual'!$AD$2&amp;"*FangerPMV(Hourly)",'Eplus results'!$1:$1048576,ROW(),FALSE)</f>
        <v>0</v>
      </c>
      <c r="AD7624" s="580">
        <f t="shared" si="631"/>
        <v>5</v>
      </c>
      <c r="AE7624" s="580">
        <f t="shared" si="632"/>
        <v>2.5</v>
      </c>
      <c r="AF7624" s="580">
        <f t="shared" si="633"/>
        <v>2.5</v>
      </c>
      <c r="AG7624" s="580">
        <f t="shared" si="634"/>
        <v>0</v>
      </c>
      <c r="AH7624" s="580">
        <f t="shared" si="635"/>
        <v>0</v>
      </c>
    </row>
    <row r="7625" spans="28:34">
      <c r="AB7625" s="580">
        <f>HLOOKUP("*"&amp;'Output annual'!$AC$2&amp;'Output annual'!$AD$2&amp;"*Zone People Number Of Occupants [](Hourly)",'Eplus results'!$1:$1048576,ROW(),FALSE)</f>
        <v>0</v>
      </c>
      <c r="AC7625" s="580">
        <f>HLOOKUP("*"&amp;'Output annual'!$AC$2&amp;'Output annual'!$AD$2&amp;"*FangerPMV(Hourly)",'Eplus results'!$1:$1048576,ROW(),FALSE)</f>
        <v>0</v>
      </c>
      <c r="AD7625" s="580">
        <f t="shared" si="631"/>
        <v>5</v>
      </c>
      <c r="AE7625" s="580">
        <f t="shared" si="632"/>
        <v>2.5</v>
      </c>
      <c r="AF7625" s="580">
        <f t="shared" si="633"/>
        <v>2.5</v>
      </c>
      <c r="AG7625" s="580">
        <f t="shared" si="634"/>
        <v>0</v>
      </c>
      <c r="AH7625" s="580">
        <f t="shared" si="635"/>
        <v>0</v>
      </c>
    </row>
    <row r="7626" spans="28:34">
      <c r="AB7626" s="580">
        <f>HLOOKUP("*"&amp;'Output annual'!$AC$2&amp;'Output annual'!$AD$2&amp;"*Zone People Number Of Occupants [](Hourly)",'Eplus results'!$1:$1048576,ROW(),FALSE)</f>
        <v>0</v>
      </c>
      <c r="AC7626" s="580">
        <f>HLOOKUP("*"&amp;'Output annual'!$AC$2&amp;'Output annual'!$AD$2&amp;"*FangerPMV(Hourly)",'Eplus results'!$1:$1048576,ROW(),FALSE)</f>
        <v>0</v>
      </c>
      <c r="AD7626" s="580">
        <f t="shared" si="631"/>
        <v>5</v>
      </c>
      <c r="AE7626" s="580">
        <f t="shared" si="632"/>
        <v>2.5</v>
      </c>
      <c r="AF7626" s="580">
        <f t="shared" si="633"/>
        <v>2.5</v>
      </c>
      <c r="AG7626" s="580">
        <f t="shared" si="634"/>
        <v>0</v>
      </c>
      <c r="AH7626" s="580">
        <f t="shared" si="635"/>
        <v>0</v>
      </c>
    </row>
    <row r="7627" spans="28:34">
      <c r="AB7627" s="580">
        <f>HLOOKUP("*"&amp;'Output annual'!$AC$2&amp;'Output annual'!$AD$2&amp;"*Zone People Number Of Occupants [](Hourly)",'Eplus results'!$1:$1048576,ROW(),FALSE)</f>
        <v>0</v>
      </c>
      <c r="AC7627" s="580">
        <f>HLOOKUP("*"&amp;'Output annual'!$AC$2&amp;'Output annual'!$AD$2&amp;"*FangerPMV(Hourly)",'Eplus results'!$1:$1048576,ROW(),FALSE)</f>
        <v>0</v>
      </c>
      <c r="AD7627" s="580">
        <f t="shared" si="631"/>
        <v>5</v>
      </c>
      <c r="AE7627" s="580">
        <f t="shared" si="632"/>
        <v>2.5</v>
      </c>
      <c r="AF7627" s="580">
        <f t="shared" si="633"/>
        <v>2.5</v>
      </c>
      <c r="AG7627" s="580">
        <f t="shared" si="634"/>
        <v>0</v>
      </c>
      <c r="AH7627" s="580">
        <f t="shared" si="635"/>
        <v>0</v>
      </c>
    </row>
    <row r="7628" spans="28:34">
      <c r="AB7628" s="580">
        <f>HLOOKUP("*"&amp;'Output annual'!$AC$2&amp;'Output annual'!$AD$2&amp;"*Zone People Number Of Occupants [](Hourly)",'Eplus results'!$1:$1048576,ROW(),FALSE)</f>
        <v>0</v>
      </c>
      <c r="AC7628" s="580">
        <f>HLOOKUP("*"&amp;'Output annual'!$AC$2&amp;'Output annual'!$AD$2&amp;"*FangerPMV(Hourly)",'Eplus results'!$1:$1048576,ROW(),FALSE)</f>
        <v>0</v>
      </c>
      <c r="AD7628" s="580">
        <f t="shared" si="631"/>
        <v>5</v>
      </c>
      <c r="AE7628" s="580">
        <f t="shared" si="632"/>
        <v>2.5</v>
      </c>
      <c r="AF7628" s="580">
        <f t="shared" si="633"/>
        <v>2.5</v>
      </c>
      <c r="AG7628" s="580">
        <f t="shared" si="634"/>
        <v>0</v>
      </c>
      <c r="AH7628" s="580">
        <f t="shared" si="635"/>
        <v>0</v>
      </c>
    </row>
    <row r="7629" spans="28:34">
      <c r="AB7629" s="580">
        <f>HLOOKUP("*"&amp;'Output annual'!$AC$2&amp;'Output annual'!$AD$2&amp;"*Zone People Number Of Occupants [](Hourly)",'Eplus results'!$1:$1048576,ROW(),FALSE)</f>
        <v>0</v>
      </c>
      <c r="AC7629" s="580">
        <f>HLOOKUP("*"&amp;'Output annual'!$AC$2&amp;'Output annual'!$AD$2&amp;"*FangerPMV(Hourly)",'Eplus results'!$1:$1048576,ROW(),FALSE)</f>
        <v>0</v>
      </c>
      <c r="AD7629" s="580">
        <f t="shared" si="631"/>
        <v>5</v>
      </c>
      <c r="AE7629" s="580">
        <f t="shared" si="632"/>
        <v>2.5</v>
      </c>
      <c r="AF7629" s="580">
        <f t="shared" si="633"/>
        <v>2.5</v>
      </c>
      <c r="AG7629" s="580">
        <f t="shared" si="634"/>
        <v>0</v>
      </c>
      <c r="AH7629" s="580">
        <f t="shared" si="635"/>
        <v>0</v>
      </c>
    </row>
    <row r="7630" spans="28:34">
      <c r="AB7630" s="580">
        <f>HLOOKUP("*"&amp;'Output annual'!$AC$2&amp;'Output annual'!$AD$2&amp;"*Zone People Number Of Occupants [](Hourly)",'Eplus results'!$1:$1048576,ROW(),FALSE)</f>
        <v>0</v>
      </c>
      <c r="AC7630" s="580">
        <f>HLOOKUP("*"&amp;'Output annual'!$AC$2&amp;'Output annual'!$AD$2&amp;"*FangerPMV(Hourly)",'Eplus results'!$1:$1048576,ROW(),FALSE)</f>
        <v>0</v>
      </c>
      <c r="AD7630" s="580">
        <f t="shared" si="631"/>
        <v>5</v>
      </c>
      <c r="AE7630" s="580">
        <f t="shared" si="632"/>
        <v>2.5</v>
      </c>
      <c r="AF7630" s="580">
        <f t="shared" si="633"/>
        <v>2.5</v>
      </c>
      <c r="AG7630" s="580">
        <f t="shared" si="634"/>
        <v>0</v>
      </c>
      <c r="AH7630" s="580">
        <f t="shared" si="635"/>
        <v>0</v>
      </c>
    </row>
    <row r="7631" spans="28:34">
      <c r="AB7631" s="580">
        <f>HLOOKUP("*"&amp;'Output annual'!$AC$2&amp;'Output annual'!$AD$2&amp;"*Zone People Number Of Occupants [](Hourly)",'Eplus results'!$1:$1048576,ROW(),FALSE)</f>
        <v>0</v>
      </c>
      <c r="AC7631" s="580">
        <f>HLOOKUP("*"&amp;'Output annual'!$AC$2&amp;'Output annual'!$AD$2&amp;"*FangerPMV(Hourly)",'Eplus results'!$1:$1048576,ROW(),FALSE)</f>
        <v>0</v>
      </c>
      <c r="AD7631" s="580">
        <f t="shared" si="631"/>
        <v>5</v>
      </c>
      <c r="AE7631" s="580">
        <f t="shared" si="632"/>
        <v>2.5</v>
      </c>
      <c r="AF7631" s="580">
        <f t="shared" si="633"/>
        <v>2.5</v>
      </c>
      <c r="AG7631" s="580">
        <f t="shared" si="634"/>
        <v>0</v>
      </c>
      <c r="AH7631" s="580">
        <f t="shared" si="635"/>
        <v>0</v>
      </c>
    </row>
    <row r="7632" spans="28:34">
      <c r="AB7632" s="580">
        <f>HLOOKUP("*"&amp;'Output annual'!$AC$2&amp;'Output annual'!$AD$2&amp;"*Zone People Number Of Occupants [](Hourly)",'Eplus results'!$1:$1048576,ROW(),FALSE)</f>
        <v>0</v>
      </c>
      <c r="AC7632" s="580">
        <f>HLOOKUP("*"&amp;'Output annual'!$AC$2&amp;'Output annual'!$AD$2&amp;"*FangerPMV(Hourly)",'Eplus results'!$1:$1048576,ROW(),FALSE)</f>
        <v>0</v>
      </c>
      <c r="AD7632" s="580">
        <f t="shared" si="631"/>
        <v>5</v>
      </c>
      <c r="AE7632" s="580">
        <f t="shared" si="632"/>
        <v>2.5</v>
      </c>
      <c r="AF7632" s="580">
        <f t="shared" si="633"/>
        <v>2.5</v>
      </c>
      <c r="AG7632" s="580">
        <f t="shared" si="634"/>
        <v>0</v>
      </c>
      <c r="AH7632" s="580">
        <f t="shared" si="635"/>
        <v>0</v>
      </c>
    </row>
    <row r="7633" spans="28:34">
      <c r="AB7633" s="580">
        <f>HLOOKUP("*"&amp;'Output annual'!$AC$2&amp;'Output annual'!$AD$2&amp;"*Zone People Number Of Occupants [](Hourly)",'Eplus results'!$1:$1048576,ROW(),FALSE)</f>
        <v>0</v>
      </c>
      <c r="AC7633" s="580">
        <f>HLOOKUP("*"&amp;'Output annual'!$AC$2&amp;'Output annual'!$AD$2&amp;"*FangerPMV(Hourly)",'Eplus results'!$1:$1048576,ROW(),FALSE)</f>
        <v>0</v>
      </c>
      <c r="AD7633" s="580">
        <f t="shared" si="631"/>
        <v>5</v>
      </c>
      <c r="AE7633" s="580">
        <f t="shared" si="632"/>
        <v>2.5</v>
      </c>
      <c r="AF7633" s="580">
        <f t="shared" si="633"/>
        <v>2.5</v>
      </c>
      <c r="AG7633" s="580">
        <f t="shared" si="634"/>
        <v>0</v>
      </c>
      <c r="AH7633" s="580">
        <f t="shared" si="635"/>
        <v>0</v>
      </c>
    </row>
    <row r="7634" spans="28:34">
      <c r="AB7634" s="580">
        <f>HLOOKUP("*"&amp;'Output annual'!$AC$2&amp;'Output annual'!$AD$2&amp;"*Zone People Number Of Occupants [](Hourly)",'Eplus results'!$1:$1048576,ROW(),FALSE)</f>
        <v>0</v>
      </c>
      <c r="AC7634" s="580">
        <f>HLOOKUP("*"&amp;'Output annual'!$AC$2&amp;'Output annual'!$AD$2&amp;"*FangerPMV(Hourly)",'Eplus results'!$1:$1048576,ROW(),FALSE)</f>
        <v>0</v>
      </c>
      <c r="AD7634" s="580">
        <f t="shared" si="631"/>
        <v>5</v>
      </c>
      <c r="AE7634" s="580">
        <f t="shared" si="632"/>
        <v>2.5</v>
      </c>
      <c r="AF7634" s="580">
        <f t="shared" si="633"/>
        <v>2.5</v>
      </c>
      <c r="AG7634" s="580">
        <f t="shared" si="634"/>
        <v>0</v>
      </c>
      <c r="AH7634" s="580">
        <f t="shared" si="635"/>
        <v>0</v>
      </c>
    </row>
    <row r="7635" spans="28:34">
      <c r="AB7635" s="580">
        <f>HLOOKUP("*"&amp;'Output annual'!$AC$2&amp;'Output annual'!$AD$2&amp;"*Zone People Number Of Occupants [](Hourly)",'Eplus results'!$1:$1048576,ROW(),FALSE)</f>
        <v>0</v>
      </c>
      <c r="AC7635" s="580">
        <f>HLOOKUP("*"&amp;'Output annual'!$AC$2&amp;'Output annual'!$AD$2&amp;"*FangerPMV(Hourly)",'Eplus results'!$1:$1048576,ROW(),FALSE)</f>
        <v>0</v>
      </c>
      <c r="AD7635" s="580">
        <f t="shared" si="631"/>
        <v>5</v>
      </c>
      <c r="AE7635" s="580">
        <f t="shared" si="632"/>
        <v>2.5</v>
      </c>
      <c r="AF7635" s="580">
        <f t="shared" si="633"/>
        <v>2.5</v>
      </c>
      <c r="AG7635" s="580">
        <f t="shared" si="634"/>
        <v>0</v>
      </c>
      <c r="AH7635" s="580">
        <f t="shared" si="635"/>
        <v>0</v>
      </c>
    </row>
    <row r="7636" spans="28:34">
      <c r="AB7636" s="580">
        <f>HLOOKUP("*"&amp;'Output annual'!$AC$2&amp;'Output annual'!$AD$2&amp;"*Zone People Number Of Occupants [](Hourly)",'Eplus results'!$1:$1048576,ROW(),FALSE)</f>
        <v>0</v>
      </c>
      <c r="AC7636" s="580">
        <f>HLOOKUP("*"&amp;'Output annual'!$AC$2&amp;'Output annual'!$AD$2&amp;"*FangerPMV(Hourly)",'Eplus results'!$1:$1048576,ROW(),FALSE)</f>
        <v>0</v>
      </c>
      <c r="AD7636" s="580">
        <f t="shared" si="631"/>
        <v>5</v>
      </c>
      <c r="AE7636" s="580">
        <f t="shared" si="632"/>
        <v>2.5</v>
      </c>
      <c r="AF7636" s="580">
        <f t="shared" si="633"/>
        <v>2.5</v>
      </c>
      <c r="AG7636" s="580">
        <f t="shared" si="634"/>
        <v>0</v>
      </c>
      <c r="AH7636" s="580">
        <f t="shared" si="635"/>
        <v>0</v>
      </c>
    </row>
    <row r="7637" spans="28:34">
      <c r="AB7637" s="580">
        <f>HLOOKUP("*"&amp;'Output annual'!$AC$2&amp;'Output annual'!$AD$2&amp;"*Zone People Number Of Occupants [](Hourly)",'Eplus results'!$1:$1048576,ROW(),FALSE)</f>
        <v>0</v>
      </c>
      <c r="AC7637" s="580">
        <f>HLOOKUP("*"&amp;'Output annual'!$AC$2&amp;'Output annual'!$AD$2&amp;"*FangerPMV(Hourly)",'Eplus results'!$1:$1048576,ROW(),FALSE)</f>
        <v>0</v>
      </c>
      <c r="AD7637" s="580">
        <f t="shared" si="631"/>
        <v>5</v>
      </c>
      <c r="AE7637" s="580">
        <f t="shared" si="632"/>
        <v>2.5</v>
      </c>
      <c r="AF7637" s="580">
        <f t="shared" si="633"/>
        <v>2.5</v>
      </c>
      <c r="AG7637" s="580">
        <f t="shared" si="634"/>
        <v>0</v>
      </c>
      <c r="AH7637" s="580">
        <f t="shared" si="635"/>
        <v>0</v>
      </c>
    </row>
    <row r="7638" spans="28:34">
      <c r="AB7638" s="580">
        <f>HLOOKUP("*"&amp;'Output annual'!$AC$2&amp;'Output annual'!$AD$2&amp;"*Zone People Number Of Occupants [](Hourly)",'Eplus results'!$1:$1048576,ROW(),FALSE)</f>
        <v>0</v>
      </c>
      <c r="AC7638" s="580">
        <f>HLOOKUP("*"&amp;'Output annual'!$AC$2&amp;'Output annual'!$AD$2&amp;"*FangerPMV(Hourly)",'Eplus results'!$1:$1048576,ROW(),FALSE)</f>
        <v>0</v>
      </c>
      <c r="AD7638" s="580">
        <f t="shared" si="631"/>
        <v>5</v>
      </c>
      <c r="AE7638" s="580">
        <f t="shared" si="632"/>
        <v>2.5</v>
      </c>
      <c r="AF7638" s="580">
        <f t="shared" si="633"/>
        <v>2.5</v>
      </c>
      <c r="AG7638" s="580">
        <f t="shared" si="634"/>
        <v>0</v>
      </c>
      <c r="AH7638" s="580">
        <f t="shared" si="635"/>
        <v>0</v>
      </c>
    </row>
    <row r="7639" spans="28:34">
      <c r="AB7639" s="580">
        <f>HLOOKUP("*"&amp;'Output annual'!$AC$2&amp;'Output annual'!$AD$2&amp;"*Zone People Number Of Occupants [](Hourly)",'Eplus results'!$1:$1048576,ROW(),FALSE)</f>
        <v>0</v>
      </c>
      <c r="AC7639" s="580">
        <f>HLOOKUP("*"&amp;'Output annual'!$AC$2&amp;'Output annual'!$AD$2&amp;"*FangerPMV(Hourly)",'Eplus results'!$1:$1048576,ROW(),FALSE)</f>
        <v>0</v>
      </c>
      <c r="AD7639" s="580">
        <f t="shared" si="631"/>
        <v>5</v>
      </c>
      <c r="AE7639" s="580">
        <f t="shared" si="632"/>
        <v>2.5</v>
      </c>
      <c r="AF7639" s="580">
        <f t="shared" si="633"/>
        <v>2.5</v>
      </c>
      <c r="AG7639" s="580">
        <f t="shared" si="634"/>
        <v>0</v>
      </c>
      <c r="AH7639" s="580">
        <f t="shared" si="635"/>
        <v>0</v>
      </c>
    </row>
    <row r="7640" spans="28:34">
      <c r="AB7640" s="580">
        <f>HLOOKUP("*"&amp;'Output annual'!$AC$2&amp;'Output annual'!$AD$2&amp;"*Zone People Number Of Occupants [](Hourly)",'Eplus results'!$1:$1048576,ROW(),FALSE)</f>
        <v>0</v>
      </c>
      <c r="AC7640" s="580">
        <f>HLOOKUP("*"&amp;'Output annual'!$AC$2&amp;'Output annual'!$AD$2&amp;"*FangerPMV(Hourly)",'Eplus results'!$1:$1048576,ROW(),FALSE)</f>
        <v>0</v>
      </c>
      <c r="AD7640" s="580">
        <f t="shared" si="631"/>
        <v>5</v>
      </c>
      <c r="AE7640" s="580">
        <f t="shared" si="632"/>
        <v>2.5</v>
      </c>
      <c r="AF7640" s="580">
        <f t="shared" si="633"/>
        <v>2.5</v>
      </c>
      <c r="AG7640" s="580">
        <f t="shared" si="634"/>
        <v>0</v>
      </c>
      <c r="AH7640" s="580">
        <f t="shared" si="635"/>
        <v>0</v>
      </c>
    </row>
    <row r="7641" spans="28:34">
      <c r="AB7641" s="580">
        <f>HLOOKUP("*"&amp;'Output annual'!$AC$2&amp;'Output annual'!$AD$2&amp;"*Zone People Number Of Occupants [](Hourly)",'Eplus results'!$1:$1048576,ROW(),FALSE)</f>
        <v>0</v>
      </c>
      <c r="AC7641" s="580">
        <f>HLOOKUP("*"&amp;'Output annual'!$AC$2&amp;'Output annual'!$AD$2&amp;"*FangerPMV(Hourly)",'Eplus results'!$1:$1048576,ROW(),FALSE)</f>
        <v>0</v>
      </c>
      <c r="AD7641" s="580">
        <f t="shared" si="631"/>
        <v>5</v>
      </c>
      <c r="AE7641" s="580">
        <f t="shared" si="632"/>
        <v>2.5</v>
      </c>
      <c r="AF7641" s="580">
        <f t="shared" si="633"/>
        <v>2.5</v>
      </c>
      <c r="AG7641" s="580">
        <f t="shared" si="634"/>
        <v>0</v>
      </c>
      <c r="AH7641" s="580">
        <f t="shared" si="635"/>
        <v>0</v>
      </c>
    </row>
    <row r="7642" spans="28:34">
      <c r="AB7642" s="580">
        <f>HLOOKUP("*"&amp;'Output annual'!$AC$2&amp;'Output annual'!$AD$2&amp;"*Zone People Number Of Occupants [](Hourly)",'Eplus results'!$1:$1048576,ROW(),FALSE)</f>
        <v>0</v>
      </c>
      <c r="AC7642" s="580">
        <f>HLOOKUP("*"&amp;'Output annual'!$AC$2&amp;'Output annual'!$AD$2&amp;"*FangerPMV(Hourly)",'Eplus results'!$1:$1048576,ROW(),FALSE)</f>
        <v>0</v>
      </c>
      <c r="AD7642" s="580">
        <f t="shared" si="631"/>
        <v>5</v>
      </c>
      <c r="AE7642" s="580">
        <f t="shared" si="632"/>
        <v>2.5</v>
      </c>
      <c r="AF7642" s="580">
        <f t="shared" si="633"/>
        <v>2.5</v>
      </c>
      <c r="AG7642" s="580">
        <f t="shared" si="634"/>
        <v>0</v>
      </c>
      <c r="AH7642" s="580">
        <f t="shared" si="635"/>
        <v>0</v>
      </c>
    </row>
    <row r="7643" spans="28:34">
      <c r="AB7643" s="580">
        <f>HLOOKUP("*"&amp;'Output annual'!$AC$2&amp;'Output annual'!$AD$2&amp;"*Zone People Number Of Occupants [](Hourly)",'Eplus results'!$1:$1048576,ROW(),FALSE)</f>
        <v>0</v>
      </c>
      <c r="AC7643" s="580">
        <f>HLOOKUP("*"&amp;'Output annual'!$AC$2&amp;'Output annual'!$AD$2&amp;"*FangerPMV(Hourly)",'Eplus results'!$1:$1048576,ROW(),FALSE)</f>
        <v>0</v>
      </c>
      <c r="AD7643" s="580">
        <f t="shared" si="631"/>
        <v>5</v>
      </c>
      <c r="AE7643" s="580">
        <f t="shared" si="632"/>
        <v>2.5</v>
      </c>
      <c r="AF7643" s="580">
        <f t="shared" si="633"/>
        <v>2.5</v>
      </c>
      <c r="AG7643" s="580">
        <f t="shared" si="634"/>
        <v>0</v>
      </c>
      <c r="AH7643" s="580">
        <f t="shared" si="635"/>
        <v>0</v>
      </c>
    </row>
    <row r="7644" spans="28:34">
      <c r="AB7644" s="580">
        <f>HLOOKUP("*"&amp;'Output annual'!$AC$2&amp;'Output annual'!$AD$2&amp;"*Zone People Number Of Occupants [](Hourly)",'Eplus results'!$1:$1048576,ROW(),FALSE)</f>
        <v>0</v>
      </c>
      <c r="AC7644" s="580">
        <f>HLOOKUP("*"&amp;'Output annual'!$AC$2&amp;'Output annual'!$AD$2&amp;"*FangerPMV(Hourly)",'Eplus results'!$1:$1048576,ROW(),FALSE)</f>
        <v>0</v>
      </c>
      <c r="AD7644" s="580">
        <f t="shared" si="631"/>
        <v>5</v>
      </c>
      <c r="AE7644" s="580">
        <f t="shared" si="632"/>
        <v>2.5</v>
      </c>
      <c r="AF7644" s="580">
        <f t="shared" si="633"/>
        <v>2.5</v>
      </c>
      <c r="AG7644" s="580">
        <f t="shared" si="634"/>
        <v>0</v>
      </c>
      <c r="AH7644" s="580">
        <f t="shared" si="635"/>
        <v>0</v>
      </c>
    </row>
    <row r="7645" spans="28:34">
      <c r="AB7645" s="580">
        <f>HLOOKUP("*"&amp;'Output annual'!$AC$2&amp;'Output annual'!$AD$2&amp;"*Zone People Number Of Occupants [](Hourly)",'Eplus results'!$1:$1048576,ROW(),FALSE)</f>
        <v>0</v>
      </c>
      <c r="AC7645" s="580">
        <f>HLOOKUP("*"&amp;'Output annual'!$AC$2&amp;'Output annual'!$AD$2&amp;"*FangerPMV(Hourly)",'Eplus results'!$1:$1048576,ROW(),FALSE)</f>
        <v>0</v>
      </c>
      <c r="AD7645" s="580">
        <f t="shared" si="631"/>
        <v>5</v>
      </c>
      <c r="AE7645" s="580">
        <f t="shared" si="632"/>
        <v>2.5</v>
      </c>
      <c r="AF7645" s="580">
        <f t="shared" si="633"/>
        <v>2.5</v>
      </c>
      <c r="AG7645" s="580">
        <f t="shared" si="634"/>
        <v>0</v>
      </c>
      <c r="AH7645" s="580">
        <f t="shared" si="635"/>
        <v>0</v>
      </c>
    </row>
    <row r="7646" spans="28:34">
      <c r="AB7646" s="580">
        <f>HLOOKUP("*"&amp;'Output annual'!$AC$2&amp;'Output annual'!$AD$2&amp;"*Zone People Number Of Occupants [](Hourly)",'Eplus results'!$1:$1048576,ROW(),FALSE)</f>
        <v>0</v>
      </c>
      <c r="AC7646" s="580">
        <f>HLOOKUP("*"&amp;'Output annual'!$AC$2&amp;'Output annual'!$AD$2&amp;"*FangerPMV(Hourly)",'Eplus results'!$1:$1048576,ROW(),FALSE)</f>
        <v>0</v>
      </c>
      <c r="AD7646" s="580">
        <f t="shared" si="631"/>
        <v>5</v>
      </c>
      <c r="AE7646" s="580">
        <f t="shared" si="632"/>
        <v>2.5</v>
      </c>
      <c r="AF7646" s="580">
        <f t="shared" si="633"/>
        <v>2.5</v>
      </c>
      <c r="AG7646" s="580">
        <f t="shared" si="634"/>
        <v>0</v>
      </c>
      <c r="AH7646" s="580">
        <f t="shared" si="635"/>
        <v>0</v>
      </c>
    </row>
    <row r="7647" spans="28:34">
      <c r="AB7647" s="580">
        <f>HLOOKUP("*"&amp;'Output annual'!$AC$2&amp;'Output annual'!$AD$2&amp;"*Zone People Number Of Occupants [](Hourly)",'Eplus results'!$1:$1048576,ROW(),FALSE)</f>
        <v>0</v>
      </c>
      <c r="AC7647" s="580">
        <f>HLOOKUP("*"&amp;'Output annual'!$AC$2&amp;'Output annual'!$AD$2&amp;"*FangerPMV(Hourly)",'Eplus results'!$1:$1048576,ROW(),FALSE)</f>
        <v>0</v>
      </c>
      <c r="AD7647" s="580">
        <f t="shared" si="631"/>
        <v>5</v>
      </c>
      <c r="AE7647" s="580">
        <f t="shared" si="632"/>
        <v>2.5</v>
      </c>
      <c r="AF7647" s="580">
        <f t="shared" si="633"/>
        <v>2.5</v>
      </c>
      <c r="AG7647" s="580">
        <f t="shared" si="634"/>
        <v>0</v>
      </c>
      <c r="AH7647" s="580">
        <f t="shared" si="635"/>
        <v>0</v>
      </c>
    </row>
    <row r="7648" spans="28:34">
      <c r="AB7648" s="580">
        <f>HLOOKUP("*"&amp;'Output annual'!$AC$2&amp;'Output annual'!$AD$2&amp;"*Zone People Number Of Occupants [](Hourly)",'Eplus results'!$1:$1048576,ROW(),FALSE)</f>
        <v>0</v>
      </c>
      <c r="AC7648" s="580">
        <f>HLOOKUP("*"&amp;'Output annual'!$AC$2&amp;'Output annual'!$AD$2&amp;"*FangerPMV(Hourly)",'Eplus results'!$1:$1048576,ROW(),FALSE)</f>
        <v>0</v>
      </c>
      <c r="AD7648" s="580">
        <f t="shared" si="631"/>
        <v>5</v>
      </c>
      <c r="AE7648" s="580">
        <f t="shared" si="632"/>
        <v>2.5</v>
      </c>
      <c r="AF7648" s="580">
        <f t="shared" si="633"/>
        <v>2.5</v>
      </c>
      <c r="AG7648" s="580">
        <f t="shared" si="634"/>
        <v>0</v>
      </c>
      <c r="AH7648" s="580">
        <f t="shared" si="635"/>
        <v>0</v>
      </c>
    </row>
    <row r="7649" spans="28:34">
      <c r="AB7649" s="580">
        <f>HLOOKUP("*"&amp;'Output annual'!$AC$2&amp;'Output annual'!$AD$2&amp;"*Zone People Number Of Occupants [](Hourly)",'Eplus results'!$1:$1048576,ROW(),FALSE)</f>
        <v>0</v>
      </c>
      <c r="AC7649" s="580">
        <f>HLOOKUP("*"&amp;'Output annual'!$AC$2&amp;'Output annual'!$AD$2&amp;"*FangerPMV(Hourly)",'Eplus results'!$1:$1048576,ROW(),FALSE)</f>
        <v>0</v>
      </c>
      <c r="AD7649" s="580">
        <f t="shared" si="631"/>
        <v>5</v>
      </c>
      <c r="AE7649" s="580">
        <f t="shared" si="632"/>
        <v>2.5</v>
      </c>
      <c r="AF7649" s="580">
        <f t="shared" si="633"/>
        <v>2.5</v>
      </c>
      <c r="AG7649" s="580">
        <f t="shared" si="634"/>
        <v>0</v>
      </c>
      <c r="AH7649" s="580">
        <f t="shared" si="635"/>
        <v>0</v>
      </c>
    </row>
    <row r="7650" spans="28:34">
      <c r="AB7650" s="580">
        <f>HLOOKUP("*"&amp;'Output annual'!$AC$2&amp;'Output annual'!$AD$2&amp;"*Zone People Number Of Occupants [](Hourly)",'Eplus results'!$1:$1048576,ROW(),FALSE)</f>
        <v>0</v>
      </c>
      <c r="AC7650" s="580">
        <f>HLOOKUP("*"&amp;'Output annual'!$AC$2&amp;'Output annual'!$AD$2&amp;"*FangerPMV(Hourly)",'Eplus results'!$1:$1048576,ROW(),FALSE)</f>
        <v>0</v>
      </c>
      <c r="AD7650" s="580">
        <f t="shared" si="631"/>
        <v>5</v>
      </c>
      <c r="AE7650" s="580">
        <f t="shared" si="632"/>
        <v>2.5</v>
      </c>
      <c r="AF7650" s="580">
        <f t="shared" si="633"/>
        <v>2.5</v>
      </c>
      <c r="AG7650" s="580">
        <f t="shared" si="634"/>
        <v>0</v>
      </c>
      <c r="AH7650" s="580">
        <f t="shared" si="635"/>
        <v>0</v>
      </c>
    </row>
    <row r="7651" spans="28:34">
      <c r="AB7651" s="580">
        <f>HLOOKUP("*"&amp;'Output annual'!$AC$2&amp;'Output annual'!$AD$2&amp;"*Zone People Number Of Occupants [](Hourly)",'Eplus results'!$1:$1048576,ROW(),FALSE)</f>
        <v>0</v>
      </c>
      <c r="AC7651" s="580">
        <f>HLOOKUP("*"&amp;'Output annual'!$AC$2&amp;'Output annual'!$AD$2&amp;"*FangerPMV(Hourly)",'Eplus results'!$1:$1048576,ROW(),FALSE)</f>
        <v>0</v>
      </c>
      <c r="AD7651" s="580">
        <f t="shared" si="631"/>
        <v>5</v>
      </c>
      <c r="AE7651" s="580">
        <f t="shared" si="632"/>
        <v>2.5</v>
      </c>
      <c r="AF7651" s="580">
        <f t="shared" si="633"/>
        <v>2.5</v>
      </c>
      <c r="AG7651" s="580">
        <f t="shared" si="634"/>
        <v>0</v>
      </c>
      <c r="AH7651" s="580">
        <f t="shared" si="635"/>
        <v>0</v>
      </c>
    </row>
    <row r="7652" spans="28:34">
      <c r="AB7652" s="580">
        <f>HLOOKUP("*"&amp;'Output annual'!$AC$2&amp;'Output annual'!$AD$2&amp;"*Zone People Number Of Occupants [](Hourly)",'Eplus results'!$1:$1048576,ROW(),FALSE)</f>
        <v>0</v>
      </c>
      <c r="AC7652" s="580">
        <f>HLOOKUP("*"&amp;'Output annual'!$AC$2&amp;'Output annual'!$AD$2&amp;"*FangerPMV(Hourly)",'Eplus results'!$1:$1048576,ROW(),FALSE)</f>
        <v>0</v>
      </c>
      <c r="AD7652" s="580">
        <f t="shared" si="631"/>
        <v>5</v>
      </c>
      <c r="AE7652" s="580">
        <f t="shared" si="632"/>
        <v>2.5</v>
      </c>
      <c r="AF7652" s="580">
        <f t="shared" si="633"/>
        <v>2.5</v>
      </c>
      <c r="AG7652" s="580">
        <f t="shared" si="634"/>
        <v>0</v>
      </c>
      <c r="AH7652" s="580">
        <f t="shared" si="635"/>
        <v>0</v>
      </c>
    </row>
    <row r="7653" spans="28:34">
      <c r="AB7653" s="580">
        <f>HLOOKUP("*"&amp;'Output annual'!$AC$2&amp;'Output annual'!$AD$2&amp;"*Zone People Number Of Occupants [](Hourly)",'Eplus results'!$1:$1048576,ROW(),FALSE)</f>
        <v>0</v>
      </c>
      <c r="AC7653" s="580">
        <f>HLOOKUP("*"&amp;'Output annual'!$AC$2&amp;'Output annual'!$AD$2&amp;"*FangerPMV(Hourly)",'Eplus results'!$1:$1048576,ROW(),FALSE)</f>
        <v>0</v>
      </c>
      <c r="AD7653" s="580">
        <f t="shared" si="631"/>
        <v>5</v>
      </c>
      <c r="AE7653" s="580">
        <f t="shared" si="632"/>
        <v>2.5</v>
      </c>
      <c r="AF7653" s="580">
        <f t="shared" si="633"/>
        <v>2.5</v>
      </c>
      <c r="AG7653" s="580">
        <f t="shared" si="634"/>
        <v>0</v>
      </c>
      <c r="AH7653" s="580">
        <f t="shared" si="635"/>
        <v>0</v>
      </c>
    </row>
    <row r="7654" spans="28:34">
      <c r="AB7654" s="580">
        <f>HLOOKUP("*"&amp;'Output annual'!$AC$2&amp;'Output annual'!$AD$2&amp;"*Zone People Number Of Occupants [](Hourly)",'Eplus results'!$1:$1048576,ROW(),FALSE)</f>
        <v>0</v>
      </c>
      <c r="AC7654" s="580">
        <f>HLOOKUP("*"&amp;'Output annual'!$AC$2&amp;'Output annual'!$AD$2&amp;"*FangerPMV(Hourly)",'Eplus results'!$1:$1048576,ROW(),FALSE)</f>
        <v>0</v>
      </c>
      <c r="AD7654" s="580">
        <f t="shared" si="631"/>
        <v>5</v>
      </c>
      <c r="AE7654" s="580">
        <f t="shared" si="632"/>
        <v>2.5</v>
      </c>
      <c r="AF7654" s="580">
        <f t="shared" si="633"/>
        <v>2.5</v>
      </c>
      <c r="AG7654" s="580">
        <f t="shared" si="634"/>
        <v>0</v>
      </c>
      <c r="AH7654" s="580">
        <f t="shared" si="635"/>
        <v>0</v>
      </c>
    </row>
    <row r="7655" spans="28:34">
      <c r="AB7655" s="580">
        <f>HLOOKUP("*"&amp;'Output annual'!$AC$2&amp;'Output annual'!$AD$2&amp;"*Zone People Number Of Occupants [](Hourly)",'Eplus results'!$1:$1048576,ROW(),FALSE)</f>
        <v>0</v>
      </c>
      <c r="AC7655" s="580">
        <f>HLOOKUP("*"&amp;'Output annual'!$AC$2&amp;'Output annual'!$AD$2&amp;"*FangerPMV(Hourly)",'Eplus results'!$1:$1048576,ROW(),FALSE)</f>
        <v>0</v>
      </c>
      <c r="AD7655" s="580">
        <f t="shared" si="631"/>
        <v>5</v>
      </c>
      <c r="AE7655" s="580">
        <f t="shared" si="632"/>
        <v>2.5</v>
      </c>
      <c r="AF7655" s="580">
        <f t="shared" si="633"/>
        <v>2.5</v>
      </c>
      <c r="AG7655" s="580">
        <f t="shared" si="634"/>
        <v>0</v>
      </c>
      <c r="AH7655" s="580">
        <f t="shared" si="635"/>
        <v>0</v>
      </c>
    </row>
    <row r="7656" spans="28:34">
      <c r="AB7656" s="580">
        <f>HLOOKUP("*"&amp;'Output annual'!$AC$2&amp;'Output annual'!$AD$2&amp;"*Zone People Number Of Occupants [](Hourly)",'Eplus results'!$1:$1048576,ROW(),FALSE)</f>
        <v>0</v>
      </c>
      <c r="AC7656" s="580">
        <f>HLOOKUP("*"&amp;'Output annual'!$AC$2&amp;'Output annual'!$AD$2&amp;"*FangerPMV(Hourly)",'Eplus results'!$1:$1048576,ROW(),FALSE)</f>
        <v>0</v>
      </c>
      <c r="AD7656" s="580">
        <f t="shared" si="631"/>
        <v>5</v>
      </c>
      <c r="AE7656" s="580">
        <f t="shared" si="632"/>
        <v>2.5</v>
      </c>
      <c r="AF7656" s="580">
        <f t="shared" si="633"/>
        <v>2.5</v>
      </c>
      <c r="AG7656" s="580">
        <f t="shared" si="634"/>
        <v>0</v>
      </c>
      <c r="AH7656" s="580">
        <f t="shared" si="635"/>
        <v>0</v>
      </c>
    </row>
    <row r="7657" spans="28:34">
      <c r="AB7657" s="580">
        <f>HLOOKUP("*"&amp;'Output annual'!$AC$2&amp;'Output annual'!$AD$2&amp;"*Zone People Number Of Occupants [](Hourly)",'Eplus results'!$1:$1048576,ROW(),FALSE)</f>
        <v>0</v>
      </c>
      <c r="AC7657" s="580">
        <f>HLOOKUP("*"&amp;'Output annual'!$AC$2&amp;'Output annual'!$AD$2&amp;"*FangerPMV(Hourly)",'Eplus results'!$1:$1048576,ROW(),FALSE)</f>
        <v>0</v>
      </c>
      <c r="AD7657" s="580">
        <f t="shared" si="631"/>
        <v>5</v>
      </c>
      <c r="AE7657" s="580">
        <f t="shared" si="632"/>
        <v>2.5</v>
      </c>
      <c r="AF7657" s="580">
        <f t="shared" si="633"/>
        <v>2.5</v>
      </c>
      <c r="AG7657" s="580">
        <f t="shared" si="634"/>
        <v>0</v>
      </c>
      <c r="AH7657" s="580">
        <f t="shared" si="635"/>
        <v>0</v>
      </c>
    </row>
    <row r="7658" spans="28:34">
      <c r="AB7658" s="580">
        <f>HLOOKUP("*"&amp;'Output annual'!$AC$2&amp;'Output annual'!$AD$2&amp;"*Zone People Number Of Occupants [](Hourly)",'Eplus results'!$1:$1048576,ROW(),FALSE)</f>
        <v>0</v>
      </c>
      <c r="AC7658" s="580">
        <f>HLOOKUP("*"&amp;'Output annual'!$AC$2&amp;'Output annual'!$AD$2&amp;"*FangerPMV(Hourly)",'Eplus results'!$1:$1048576,ROW(),FALSE)</f>
        <v>0</v>
      </c>
      <c r="AD7658" s="580">
        <f t="shared" si="631"/>
        <v>5</v>
      </c>
      <c r="AE7658" s="580">
        <f t="shared" si="632"/>
        <v>2.5</v>
      </c>
      <c r="AF7658" s="580">
        <f t="shared" si="633"/>
        <v>2.5</v>
      </c>
      <c r="AG7658" s="580">
        <f t="shared" si="634"/>
        <v>0</v>
      </c>
      <c r="AH7658" s="580">
        <f t="shared" si="635"/>
        <v>0</v>
      </c>
    </row>
    <row r="7659" spans="28:34">
      <c r="AB7659" s="580">
        <f>HLOOKUP("*"&amp;'Output annual'!$AC$2&amp;'Output annual'!$AD$2&amp;"*Zone People Number Of Occupants [](Hourly)",'Eplus results'!$1:$1048576,ROW(),FALSE)</f>
        <v>0</v>
      </c>
      <c r="AC7659" s="580">
        <f>HLOOKUP("*"&amp;'Output annual'!$AC$2&amp;'Output annual'!$AD$2&amp;"*FangerPMV(Hourly)",'Eplus results'!$1:$1048576,ROW(),FALSE)</f>
        <v>0</v>
      </c>
      <c r="AD7659" s="580">
        <f t="shared" si="631"/>
        <v>5</v>
      </c>
      <c r="AE7659" s="580">
        <f t="shared" si="632"/>
        <v>2.5</v>
      </c>
      <c r="AF7659" s="580">
        <f t="shared" si="633"/>
        <v>2.5</v>
      </c>
      <c r="AG7659" s="580">
        <f t="shared" si="634"/>
        <v>0</v>
      </c>
      <c r="AH7659" s="580">
        <f t="shared" si="635"/>
        <v>0</v>
      </c>
    </row>
    <row r="7660" spans="28:34">
      <c r="AB7660" s="580">
        <f>HLOOKUP("*"&amp;'Output annual'!$AC$2&amp;'Output annual'!$AD$2&amp;"*Zone People Number Of Occupants [](Hourly)",'Eplus results'!$1:$1048576,ROW(),FALSE)</f>
        <v>0</v>
      </c>
      <c r="AC7660" s="580">
        <f>HLOOKUP("*"&amp;'Output annual'!$AC$2&amp;'Output annual'!$AD$2&amp;"*FangerPMV(Hourly)",'Eplus results'!$1:$1048576,ROW(),FALSE)</f>
        <v>0</v>
      </c>
      <c r="AD7660" s="580">
        <f t="shared" si="631"/>
        <v>5</v>
      </c>
      <c r="AE7660" s="580">
        <f t="shared" si="632"/>
        <v>2.5</v>
      </c>
      <c r="AF7660" s="580">
        <f t="shared" si="633"/>
        <v>2.5</v>
      </c>
      <c r="AG7660" s="580">
        <f t="shared" si="634"/>
        <v>0</v>
      </c>
      <c r="AH7660" s="580">
        <f t="shared" si="635"/>
        <v>0</v>
      </c>
    </row>
    <row r="7661" spans="28:34">
      <c r="AB7661" s="580">
        <f>HLOOKUP("*"&amp;'Output annual'!$AC$2&amp;'Output annual'!$AD$2&amp;"*Zone People Number Of Occupants [](Hourly)",'Eplus results'!$1:$1048576,ROW(),FALSE)</f>
        <v>0</v>
      </c>
      <c r="AC7661" s="580">
        <f>HLOOKUP("*"&amp;'Output annual'!$AC$2&amp;'Output annual'!$AD$2&amp;"*FangerPMV(Hourly)",'Eplus results'!$1:$1048576,ROW(),FALSE)</f>
        <v>0</v>
      </c>
      <c r="AD7661" s="580">
        <f t="shared" si="631"/>
        <v>5</v>
      </c>
      <c r="AE7661" s="580">
        <f t="shared" si="632"/>
        <v>2.5</v>
      </c>
      <c r="AF7661" s="580">
        <f t="shared" si="633"/>
        <v>2.5</v>
      </c>
      <c r="AG7661" s="580">
        <f t="shared" si="634"/>
        <v>0</v>
      </c>
      <c r="AH7661" s="580">
        <f t="shared" si="635"/>
        <v>0</v>
      </c>
    </row>
    <row r="7662" spans="28:34">
      <c r="AB7662" s="580">
        <f>HLOOKUP("*"&amp;'Output annual'!$AC$2&amp;'Output annual'!$AD$2&amp;"*Zone People Number Of Occupants [](Hourly)",'Eplus results'!$1:$1048576,ROW(),FALSE)</f>
        <v>0</v>
      </c>
      <c r="AC7662" s="580">
        <f>HLOOKUP("*"&amp;'Output annual'!$AC$2&amp;'Output annual'!$AD$2&amp;"*FangerPMV(Hourly)",'Eplus results'!$1:$1048576,ROW(),FALSE)</f>
        <v>0</v>
      </c>
      <c r="AD7662" s="580">
        <f t="shared" si="631"/>
        <v>5</v>
      </c>
      <c r="AE7662" s="580">
        <f t="shared" si="632"/>
        <v>2.5</v>
      </c>
      <c r="AF7662" s="580">
        <f t="shared" si="633"/>
        <v>2.5</v>
      </c>
      <c r="AG7662" s="580">
        <f t="shared" si="634"/>
        <v>0</v>
      </c>
      <c r="AH7662" s="580">
        <f t="shared" si="635"/>
        <v>0</v>
      </c>
    </row>
    <row r="7663" spans="28:34">
      <c r="AB7663" s="580">
        <f>HLOOKUP("*"&amp;'Output annual'!$AC$2&amp;'Output annual'!$AD$2&amp;"*Zone People Number Of Occupants [](Hourly)",'Eplus results'!$1:$1048576,ROW(),FALSE)</f>
        <v>0</v>
      </c>
      <c r="AC7663" s="580">
        <f>HLOOKUP("*"&amp;'Output annual'!$AC$2&amp;'Output annual'!$AD$2&amp;"*FangerPMV(Hourly)",'Eplus results'!$1:$1048576,ROW(),FALSE)</f>
        <v>0</v>
      </c>
      <c r="AD7663" s="580">
        <f t="shared" si="631"/>
        <v>5</v>
      </c>
      <c r="AE7663" s="580">
        <f t="shared" si="632"/>
        <v>2.5</v>
      </c>
      <c r="AF7663" s="580">
        <f t="shared" si="633"/>
        <v>2.5</v>
      </c>
      <c r="AG7663" s="580">
        <f t="shared" si="634"/>
        <v>0</v>
      </c>
      <c r="AH7663" s="580">
        <f t="shared" si="635"/>
        <v>0</v>
      </c>
    </row>
    <row r="7664" spans="28:34">
      <c r="AB7664" s="580">
        <f>HLOOKUP("*"&amp;'Output annual'!$AC$2&amp;'Output annual'!$AD$2&amp;"*Zone People Number Of Occupants [](Hourly)",'Eplus results'!$1:$1048576,ROW(),FALSE)</f>
        <v>0</v>
      </c>
      <c r="AC7664" s="580">
        <f>HLOOKUP("*"&amp;'Output annual'!$AC$2&amp;'Output annual'!$AD$2&amp;"*FangerPMV(Hourly)",'Eplus results'!$1:$1048576,ROW(),FALSE)</f>
        <v>0</v>
      </c>
      <c r="AD7664" s="580">
        <f t="shared" si="631"/>
        <v>5</v>
      </c>
      <c r="AE7664" s="580">
        <f t="shared" si="632"/>
        <v>2.5</v>
      </c>
      <c r="AF7664" s="580">
        <f t="shared" si="633"/>
        <v>2.5</v>
      </c>
      <c r="AG7664" s="580">
        <f t="shared" si="634"/>
        <v>0</v>
      </c>
      <c r="AH7664" s="580">
        <f t="shared" si="635"/>
        <v>0</v>
      </c>
    </row>
    <row r="7665" spans="28:34">
      <c r="AB7665" s="580">
        <f>HLOOKUP("*"&amp;'Output annual'!$AC$2&amp;'Output annual'!$AD$2&amp;"*Zone People Number Of Occupants [](Hourly)",'Eplus results'!$1:$1048576,ROW(),FALSE)</f>
        <v>0</v>
      </c>
      <c r="AC7665" s="580">
        <f>HLOOKUP("*"&amp;'Output annual'!$AC$2&amp;'Output annual'!$AD$2&amp;"*FangerPMV(Hourly)",'Eplus results'!$1:$1048576,ROW(),FALSE)</f>
        <v>0</v>
      </c>
      <c r="AD7665" s="580">
        <f t="shared" si="631"/>
        <v>5</v>
      </c>
      <c r="AE7665" s="580">
        <f t="shared" si="632"/>
        <v>2.5</v>
      </c>
      <c r="AF7665" s="580">
        <f t="shared" si="633"/>
        <v>2.5</v>
      </c>
      <c r="AG7665" s="580">
        <f t="shared" si="634"/>
        <v>0</v>
      </c>
      <c r="AH7665" s="580">
        <f t="shared" si="635"/>
        <v>0</v>
      </c>
    </row>
    <row r="7666" spans="28:34">
      <c r="AB7666" s="580">
        <f>HLOOKUP("*"&amp;'Output annual'!$AC$2&amp;'Output annual'!$AD$2&amp;"*Zone People Number Of Occupants [](Hourly)",'Eplus results'!$1:$1048576,ROW(),FALSE)</f>
        <v>0</v>
      </c>
      <c r="AC7666" s="580">
        <f>HLOOKUP("*"&amp;'Output annual'!$AC$2&amp;'Output annual'!$AD$2&amp;"*FangerPMV(Hourly)",'Eplus results'!$1:$1048576,ROW(),FALSE)</f>
        <v>0</v>
      </c>
      <c r="AD7666" s="580">
        <f t="shared" si="631"/>
        <v>5</v>
      </c>
      <c r="AE7666" s="580">
        <f t="shared" si="632"/>
        <v>2.5</v>
      </c>
      <c r="AF7666" s="580">
        <f t="shared" si="633"/>
        <v>2.5</v>
      </c>
      <c r="AG7666" s="580">
        <f t="shared" si="634"/>
        <v>0</v>
      </c>
      <c r="AH7666" s="580">
        <f t="shared" si="635"/>
        <v>0</v>
      </c>
    </row>
    <row r="7667" spans="28:34">
      <c r="AB7667" s="580">
        <f>HLOOKUP("*"&amp;'Output annual'!$AC$2&amp;'Output annual'!$AD$2&amp;"*Zone People Number Of Occupants [](Hourly)",'Eplus results'!$1:$1048576,ROW(),FALSE)</f>
        <v>0</v>
      </c>
      <c r="AC7667" s="580">
        <f>HLOOKUP("*"&amp;'Output annual'!$AC$2&amp;'Output annual'!$AD$2&amp;"*FangerPMV(Hourly)",'Eplus results'!$1:$1048576,ROW(),FALSE)</f>
        <v>0</v>
      </c>
      <c r="AD7667" s="580">
        <f t="shared" si="631"/>
        <v>5</v>
      </c>
      <c r="AE7667" s="580">
        <f t="shared" si="632"/>
        <v>2.5</v>
      </c>
      <c r="AF7667" s="580">
        <f t="shared" si="633"/>
        <v>2.5</v>
      </c>
      <c r="AG7667" s="580">
        <f t="shared" si="634"/>
        <v>0</v>
      </c>
      <c r="AH7667" s="580">
        <f t="shared" si="635"/>
        <v>0</v>
      </c>
    </row>
    <row r="7668" spans="28:34">
      <c r="AB7668" s="580">
        <f>HLOOKUP("*"&amp;'Output annual'!$AC$2&amp;'Output annual'!$AD$2&amp;"*Zone People Number Of Occupants [](Hourly)",'Eplus results'!$1:$1048576,ROW(),FALSE)</f>
        <v>0</v>
      </c>
      <c r="AC7668" s="580">
        <f>HLOOKUP("*"&amp;'Output annual'!$AC$2&amp;'Output annual'!$AD$2&amp;"*FangerPMV(Hourly)",'Eplus results'!$1:$1048576,ROW(),FALSE)</f>
        <v>0</v>
      </c>
      <c r="AD7668" s="580">
        <f t="shared" si="631"/>
        <v>5</v>
      </c>
      <c r="AE7668" s="580">
        <f t="shared" si="632"/>
        <v>2.5</v>
      </c>
      <c r="AF7668" s="580">
        <f t="shared" si="633"/>
        <v>2.5</v>
      </c>
      <c r="AG7668" s="580">
        <f t="shared" si="634"/>
        <v>0</v>
      </c>
      <c r="AH7668" s="580">
        <f t="shared" si="635"/>
        <v>0</v>
      </c>
    </row>
    <row r="7669" spans="28:34">
      <c r="AB7669" s="580">
        <f>HLOOKUP("*"&amp;'Output annual'!$AC$2&amp;'Output annual'!$AD$2&amp;"*Zone People Number Of Occupants [](Hourly)",'Eplus results'!$1:$1048576,ROW(),FALSE)</f>
        <v>0</v>
      </c>
      <c r="AC7669" s="580">
        <f>HLOOKUP("*"&amp;'Output annual'!$AC$2&amp;'Output annual'!$AD$2&amp;"*FangerPMV(Hourly)",'Eplus results'!$1:$1048576,ROW(),FALSE)</f>
        <v>0</v>
      </c>
      <c r="AD7669" s="580">
        <f t="shared" si="631"/>
        <v>5</v>
      </c>
      <c r="AE7669" s="580">
        <f t="shared" si="632"/>
        <v>2.5</v>
      </c>
      <c r="AF7669" s="580">
        <f t="shared" si="633"/>
        <v>2.5</v>
      </c>
      <c r="AG7669" s="580">
        <f t="shared" si="634"/>
        <v>0</v>
      </c>
      <c r="AH7669" s="580">
        <f t="shared" si="635"/>
        <v>0</v>
      </c>
    </row>
    <row r="7670" spans="28:34">
      <c r="AB7670" s="580">
        <f>HLOOKUP("*"&amp;'Output annual'!$AC$2&amp;'Output annual'!$AD$2&amp;"*Zone People Number Of Occupants [](Hourly)",'Eplus results'!$1:$1048576,ROW(),FALSE)</f>
        <v>0</v>
      </c>
      <c r="AC7670" s="580">
        <f>HLOOKUP("*"&amp;'Output annual'!$AC$2&amp;'Output annual'!$AD$2&amp;"*FangerPMV(Hourly)",'Eplus results'!$1:$1048576,ROW(),FALSE)</f>
        <v>0</v>
      </c>
      <c r="AD7670" s="580">
        <f t="shared" si="631"/>
        <v>5</v>
      </c>
      <c r="AE7670" s="580">
        <f t="shared" si="632"/>
        <v>2.5</v>
      </c>
      <c r="AF7670" s="580">
        <f t="shared" si="633"/>
        <v>2.5</v>
      </c>
      <c r="AG7670" s="580">
        <f t="shared" si="634"/>
        <v>0</v>
      </c>
      <c r="AH7670" s="580">
        <f t="shared" si="635"/>
        <v>0</v>
      </c>
    </row>
    <row r="7671" spans="28:34">
      <c r="AB7671" s="580">
        <f>HLOOKUP("*"&amp;'Output annual'!$AC$2&amp;'Output annual'!$AD$2&amp;"*Zone People Number Of Occupants [](Hourly)",'Eplus results'!$1:$1048576,ROW(),FALSE)</f>
        <v>0</v>
      </c>
      <c r="AC7671" s="580">
        <f>HLOOKUP("*"&amp;'Output annual'!$AC$2&amp;'Output annual'!$AD$2&amp;"*FangerPMV(Hourly)",'Eplus results'!$1:$1048576,ROW(),FALSE)</f>
        <v>0</v>
      </c>
      <c r="AD7671" s="580">
        <f t="shared" si="631"/>
        <v>5</v>
      </c>
      <c r="AE7671" s="580">
        <f t="shared" si="632"/>
        <v>2.5</v>
      </c>
      <c r="AF7671" s="580">
        <f t="shared" si="633"/>
        <v>2.5</v>
      </c>
      <c r="AG7671" s="580">
        <f t="shared" si="634"/>
        <v>0</v>
      </c>
      <c r="AH7671" s="580">
        <f t="shared" si="635"/>
        <v>0</v>
      </c>
    </row>
    <row r="7672" spans="28:34">
      <c r="AB7672" s="580">
        <f>HLOOKUP("*"&amp;'Output annual'!$AC$2&amp;'Output annual'!$AD$2&amp;"*Zone People Number Of Occupants [](Hourly)",'Eplus results'!$1:$1048576,ROW(),FALSE)</f>
        <v>0</v>
      </c>
      <c r="AC7672" s="580">
        <f>HLOOKUP("*"&amp;'Output annual'!$AC$2&amp;'Output annual'!$AD$2&amp;"*FangerPMV(Hourly)",'Eplus results'!$1:$1048576,ROW(),FALSE)</f>
        <v>0</v>
      </c>
      <c r="AD7672" s="580">
        <f t="shared" si="631"/>
        <v>5</v>
      </c>
      <c r="AE7672" s="580">
        <f t="shared" si="632"/>
        <v>2.5</v>
      </c>
      <c r="AF7672" s="580">
        <f t="shared" si="633"/>
        <v>2.5</v>
      </c>
      <c r="AG7672" s="580">
        <f t="shared" si="634"/>
        <v>0</v>
      </c>
      <c r="AH7672" s="580">
        <f t="shared" si="635"/>
        <v>0</v>
      </c>
    </row>
    <row r="7673" spans="28:34">
      <c r="AB7673" s="580">
        <f>HLOOKUP("*"&amp;'Output annual'!$AC$2&amp;'Output annual'!$AD$2&amp;"*Zone People Number Of Occupants [](Hourly)",'Eplus results'!$1:$1048576,ROW(),FALSE)</f>
        <v>0</v>
      </c>
      <c r="AC7673" s="580">
        <f>HLOOKUP("*"&amp;'Output annual'!$AC$2&amp;'Output annual'!$AD$2&amp;"*FangerPMV(Hourly)",'Eplus results'!$1:$1048576,ROW(),FALSE)</f>
        <v>0</v>
      </c>
      <c r="AD7673" s="580">
        <f t="shared" si="631"/>
        <v>5</v>
      </c>
      <c r="AE7673" s="580">
        <f t="shared" si="632"/>
        <v>2.5</v>
      </c>
      <c r="AF7673" s="580">
        <f t="shared" si="633"/>
        <v>2.5</v>
      </c>
      <c r="AG7673" s="580">
        <f t="shared" si="634"/>
        <v>0</v>
      </c>
      <c r="AH7673" s="580">
        <f t="shared" si="635"/>
        <v>0</v>
      </c>
    </row>
    <row r="7674" spans="28:34">
      <c r="AB7674" s="580">
        <f>HLOOKUP("*"&amp;'Output annual'!$AC$2&amp;'Output annual'!$AD$2&amp;"*Zone People Number Of Occupants [](Hourly)",'Eplus results'!$1:$1048576,ROW(),FALSE)</f>
        <v>0</v>
      </c>
      <c r="AC7674" s="580">
        <f>HLOOKUP("*"&amp;'Output annual'!$AC$2&amp;'Output annual'!$AD$2&amp;"*FangerPMV(Hourly)",'Eplus results'!$1:$1048576,ROW(),FALSE)</f>
        <v>0</v>
      </c>
      <c r="AD7674" s="580">
        <f t="shared" si="631"/>
        <v>5</v>
      </c>
      <c r="AE7674" s="580">
        <f t="shared" si="632"/>
        <v>2.5</v>
      </c>
      <c r="AF7674" s="580">
        <f t="shared" si="633"/>
        <v>2.5</v>
      </c>
      <c r="AG7674" s="580">
        <f t="shared" si="634"/>
        <v>0</v>
      </c>
      <c r="AH7674" s="580">
        <f t="shared" si="635"/>
        <v>0</v>
      </c>
    </row>
    <row r="7675" spans="28:34">
      <c r="AB7675" s="580">
        <f>HLOOKUP("*"&amp;'Output annual'!$AC$2&amp;'Output annual'!$AD$2&amp;"*Zone People Number Of Occupants [](Hourly)",'Eplus results'!$1:$1048576,ROW(),FALSE)</f>
        <v>0</v>
      </c>
      <c r="AC7675" s="580">
        <f>HLOOKUP("*"&amp;'Output annual'!$AC$2&amp;'Output annual'!$AD$2&amp;"*FangerPMV(Hourly)",'Eplus results'!$1:$1048576,ROW(),FALSE)</f>
        <v>0</v>
      </c>
      <c r="AD7675" s="580">
        <f t="shared" si="631"/>
        <v>5</v>
      </c>
      <c r="AE7675" s="580">
        <f t="shared" si="632"/>
        <v>2.5</v>
      </c>
      <c r="AF7675" s="580">
        <f t="shared" si="633"/>
        <v>2.5</v>
      </c>
      <c r="AG7675" s="580">
        <f t="shared" si="634"/>
        <v>0</v>
      </c>
      <c r="AH7675" s="580">
        <f t="shared" si="635"/>
        <v>0</v>
      </c>
    </row>
    <row r="7676" spans="28:34">
      <c r="AB7676" s="580">
        <f>HLOOKUP("*"&amp;'Output annual'!$AC$2&amp;'Output annual'!$AD$2&amp;"*Zone People Number Of Occupants [](Hourly)",'Eplus results'!$1:$1048576,ROW(),FALSE)</f>
        <v>0</v>
      </c>
      <c r="AC7676" s="580">
        <f>HLOOKUP("*"&amp;'Output annual'!$AC$2&amp;'Output annual'!$AD$2&amp;"*FangerPMV(Hourly)",'Eplus results'!$1:$1048576,ROW(),FALSE)</f>
        <v>0</v>
      </c>
      <c r="AD7676" s="580">
        <f t="shared" si="631"/>
        <v>5</v>
      </c>
      <c r="AE7676" s="580">
        <f t="shared" si="632"/>
        <v>2.5</v>
      </c>
      <c r="AF7676" s="580">
        <f t="shared" si="633"/>
        <v>2.5</v>
      </c>
      <c r="AG7676" s="580">
        <f t="shared" si="634"/>
        <v>0</v>
      </c>
      <c r="AH7676" s="580">
        <f t="shared" si="635"/>
        <v>0</v>
      </c>
    </row>
    <row r="7677" spans="28:34">
      <c r="AB7677" s="580">
        <f>HLOOKUP("*"&amp;'Output annual'!$AC$2&amp;'Output annual'!$AD$2&amp;"*Zone People Number Of Occupants [](Hourly)",'Eplus results'!$1:$1048576,ROW(),FALSE)</f>
        <v>0</v>
      </c>
      <c r="AC7677" s="580">
        <f>HLOOKUP("*"&amp;'Output annual'!$AC$2&amp;'Output annual'!$AD$2&amp;"*FangerPMV(Hourly)",'Eplus results'!$1:$1048576,ROW(),FALSE)</f>
        <v>0</v>
      </c>
      <c r="AD7677" s="580">
        <f t="shared" si="631"/>
        <v>5</v>
      </c>
      <c r="AE7677" s="580">
        <f t="shared" si="632"/>
        <v>2.5</v>
      </c>
      <c r="AF7677" s="580">
        <f t="shared" si="633"/>
        <v>2.5</v>
      </c>
      <c r="AG7677" s="580">
        <f t="shared" si="634"/>
        <v>0</v>
      </c>
      <c r="AH7677" s="580">
        <f t="shared" si="635"/>
        <v>0</v>
      </c>
    </row>
    <row r="7678" spans="28:34">
      <c r="AB7678" s="580">
        <f>HLOOKUP("*"&amp;'Output annual'!$AC$2&amp;'Output annual'!$AD$2&amp;"*Zone People Number Of Occupants [](Hourly)",'Eplus results'!$1:$1048576,ROW(),FALSE)</f>
        <v>0</v>
      </c>
      <c r="AC7678" s="580">
        <f>HLOOKUP("*"&amp;'Output annual'!$AC$2&amp;'Output annual'!$AD$2&amp;"*FangerPMV(Hourly)",'Eplus results'!$1:$1048576,ROW(),FALSE)</f>
        <v>0</v>
      </c>
      <c r="AD7678" s="580">
        <f t="shared" si="631"/>
        <v>5</v>
      </c>
      <c r="AE7678" s="580">
        <f t="shared" si="632"/>
        <v>2.5</v>
      </c>
      <c r="AF7678" s="580">
        <f t="shared" si="633"/>
        <v>2.5</v>
      </c>
      <c r="AG7678" s="580">
        <f t="shared" si="634"/>
        <v>0</v>
      </c>
      <c r="AH7678" s="580">
        <f t="shared" si="635"/>
        <v>0</v>
      </c>
    </row>
    <row r="7679" spans="28:34">
      <c r="AB7679" s="580">
        <f>HLOOKUP("*"&amp;'Output annual'!$AC$2&amp;'Output annual'!$AD$2&amp;"*Zone People Number Of Occupants [](Hourly)",'Eplus results'!$1:$1048576,ROW(),FALSE)</f>
        <v>0</v>
      </c>
      <c r="AC7679" s="580">
        <f>HLOOKUP("*"&amp;'Output annual'!$AC$2&amp;'Output annual'!$AD$2&amp;"*FangerPMV(Hourly)",'Eplus results'!$1:$1048576,ROW(),FALSE)</f>
        <v>0</v>
      </c>
      <c r="AD7679" s="580">
        <f t="shared" si="631"/>
        <v>5</v>
      </c>
      <c r="AE7679" s="580">
        <f t="shared" si="632"/>
        <v>2.5</v>
      </c>
      <c r="AF7679" s="580">
        <f t="shared" si="633"/>
        <v>2.5</v>
      </c>
      <c r="AG7679" s="580">
        <f t="shared" si="634"/>
        <v>0</v>
      </c>
      <c r="AH7679" s="580">
        <f t="shared" si="635"/>
        <v>0</v>
      </c>
    </row>
    <row r="7680" spans="28:34">
      <c r="AB7680" s="580">
        <f>HLOOKUP("*"&amp;'Output annual'!$AC$2&amp;'Output annual'!$AD$2&amp;"*Zone People Number Of Occupants [](Hourly)",'Eplus results'!$1:$1048576,ROW(),FALSE)</f>
        <v>0</v>
      </c>
      <c r="AC7680" s="580">
        <f>HLOOKUP("*"&amp;'Output annual'!$AC$2&amp;'Output annual'!$AD$2&amp;"*FangerPMV(Hourly)",'Eplus results'!$1:$1048576,ROW(),FALSE)</f>
        <v>0</v>
      </c>
      <c r="AD7680" s="580">
        <f t="shared" si="631"/>
        <v>5</v>
      </c>
      <c r="AE7680" s="580">
        <f t="shared" si="632"/>
        <v>2.5</v>
      </c>
      <c r="AF7680" s="580">
        <f t="shared" si="633"/>
        <v>2.5</v>
      </c>
      <c r="AG7680" s="580">
        <f t="shared" si="634"/>
        <v>0</v>
      </c>
      <c r="AH7680" s="580">
        <f t="shared" si="635"/>
        <v>0</v>
      </c>
    </row>
    <row r="7681" spans="28:34">
      <c r="AB7681" s="580">
        <f>HLOOKUP("*"&amp;'Output annual'!$AC$2&amp;'Output annual'!$AD$2&amp;"*Zone People Number Of Occupants [](Hourly)",'Eplus results'!$1:$1048576,ROW(),FALSE)</f>
        <v>0</v>
      </c>
      <c r="AC7681" s="580">
        <f>HLOOKUP("*"&amp;'Output annual'!$AC$2&amp;'Output annual'!$AD$2&amp;"*FangerPMV(Hourly)",'Eplus results'!$1:$1048576,ROW(),FALSE)</f>
        <v>0</v>
      </c>
      <c r="AD7681" s="580">
        <f t="shared" si="631"/>
        <v>5</v>
      </c>
      <c r="AE7681" s="580">
        <f t="shared" si="632"/>
        <v>2.5</v>
      </c>
      <c r="AF7681" s="580">
        <f t="shared" si="633"/>
        <v>2.5</v>
      </c>
      <c r="AG7681" s="580">
        <f t="shared" si="634"/>
        <v>0</v>
      </c>
      <c r="AH7681" s="580">
        <f t="shared" si="635"/>
        <v>0</v>
      </c>
    </row>
    <row r="7682" spans="28:34">
      <c r="AB7682" s="580">
        <f>HLOOKUP("*"&amp;'Output annual'!$AC$2&amp;'Output annual'!$AD$2&amp;"*Zone People Number Of Occupants [](Hourly)",'Eplus results'!$1:$1048576,ROW(),FALSE)</f>
        <v>0</v>
      </c>
      <c r="AC7682" s="580">
        <f>HLOOKUP("*"&amp;'Output annual'!$AC$2&amp;'Output annual'!$AD$2&amp;"*FangerPMV(Hourly)",'Eplus results'!$1:$1048576,ROW(),FALSE)</f>
        <v>0</v>
      </c>
      <c r="AD7682" s="580">
        <f t="shared" si="631"/>
        <v>5</v>
      </c>
      <c r="AE7682" s="580">
        <f t="shared" si="632"/>
        <v>2.5</v>
      </c>
      <c r="AF7682" s="580">
        <f t="shared" si="633"/>
        <v>2.5</v>
      </c>
      <c r="AG7682" s="580">
        <f t="shared" si="634"/>
        <v>0</v>
      </c>
      <c r="AH7682" s="580">
        <f t="shared" si="635"/>
        <v>0</v>
      </c>
    </row>
    <row r="7683" spans="28:34">
      <c r="AB7683" s="580">
        <f>HLOOKUP("*"&amp;'Output annual'!$AC$2&amp;'Output annual'!$AD$2&amp;"*Zone People Number Of Occupants [](Hourly)",'Eplus results'!$1:$1048576,ROW(),FALSE)</f>
        <v>0</v>
      </c>
      <c r="AC7683" s="580">
        <f>HLOOKUP("*"&amp;'Output annual'!$AC$2&amp;'Output annual'!$AD$2&amp;"*FangerPMV(Hourly)",'Eplus results'!$1:$1048576,ROW(),FALSE)</f>
        <v>0</v>
      </c>
      <c r="AD7683" s="580">
        <f t="shared" ref="AD7683:AD7746" si="636">100-95*EXP(-0.03353*AC7683^4-0.2179*AC7683^2)</f>
        <v>5</v>
      </c>
      <c r="AE7683" s="580">
        <f t="shared" ref="AE7683:AE7746" si="637">AD7683*(1/(1+EXP(-6.3*$AC7683)))</f>
        <v>2.5</v>
      </c>
      <c r="AF7683" s="580">
        <f t="shared" ref="AF7683:AF7746" si="638">(AD7683-AE7683)</f>
        <v>2.5</v>
      </c>
      <c r="AG7683" s="580">
        <f t="shared" ref="AG7683:AG7746" si="639">AE7683*AB7683</f>
        <v>0</v>
      </c>
      <c r="AH7683" s="580">
        <f t="shared" ref="AH7683:AH7746" si="640">AF7683*AB7683</f>
        <v>0</v>
      </c>
    </row>
    <row r="7684" spans="28:34">
      <c r="AB7684" s="580">
        <f>HLOOKUP("*"&amp;'Output annual'!$AC$2&amp;'Output annual'!$AD$2&amp;"*Zone People Number Of Occupants [](Hourly)",'Eplus results'!$1:$1048576,ROW(),FALSE)</f>
        <v>0</v>
      </c>
      <c r="AC7684" s="580">
        <f>HLOOKUP("*"&amp;'Output annual'!$AC$2&amp;'Output annual'!$AD$2&amp;"*FangerPMV(Hourly)",'Eplus results'!$1:$1048576,ROW(),FALSE)</f>
        <v>0</v>
      </c>
      <c r="AD7684" s="580">
        <f t="shared" si="636"/>
        <v>5</v>
      </c>
      <c r="AE7684" s="580">
        <f t="shared" si="637"/>
        <v>2.5</v>
      </c>
      <c r="AF7684" s="580">
        <f t="shared" si="638"/>
        <v>2.5</v>
      </c>
      <c r="AG7684" s="580">
        <f t="shared" si="639"/>
        <v>0</v>
      </c>
      <c r="AH7684" s="580">
        <f t="shared" si="640"/>
        <v>0</v>
      </c>
    </row>
    <row r="7685" spans="28:34">
      <c r="AB7685" s="580">
        <f>HLOOKUP("*"&amp;'Output annual'!$AC$2&amp;'Output annual'!$AD$2&amp;"*Zone People Number Of Occupants [](Hourly)",'Eplus results'!$1:$1048576,ROW(),FALSE)</f>
        <v>0</v>
      </c>
      <c r="AC7685" s="580">
        <f>HLOOKUP("*"&amp;'Output annual'!$AC$2&amp;'Output annual'!$AD$2&amp;"*FangerPMV(Hourly)",'Eplus results'!$1:$1048576,ROW(),FALSE)</f>
        <v>0</v>
      </c>
      <c r="AD7685" s="580">
        <f t="shared" si="636"/>
        <v>5</v>
      </c>
      <c r="AE7685" s="580">
        <f t="shared" si="637"/>
        <v>2.5</v>
      </c>
      <c r="AF7685" s="580">
        <f t="shared" si="638"/>
        <v>2.5</v>
      </c>
      <c r="AG7685" s="580">
        <f t="shared" si="639"/>
        <v>0</v>
      </c>
      <c r="AH7685" s="580">
        <f t="shared" si="640"/>
        <v>0</v>
      </c>
    </row>
    <row r="7686" spans="28:34">
      <c r="AB7686" s="580">
        <f>HLOOKUP("*"&amp;'Output annual'!$AC$2&amp;'Output annual'!$AD$2&amp;"*Zone People Number Of Occupants [](Hourly)",'Eplus results'!$1:$1048576,ROW(),FALSE)</f>
        <v>0</v>
      </c>
      <c r="AC7686" s="580">
        <f>HLOOKUP("*"&amp;'Output annual'!$AC$2&amp;'Output annual'!$AD$2&amp;"*FangerPMV(Hourly)",'Eplus results'!$1:$1048576,ROW(),FALSE)</f>
        <v>0</v>
      </c>
      <c r="AD7686" s="580">
        <f t="shared" si="636"/>
        <v>5</v>
      </c>
      <c r="AE7686" s="580">
        <f t="shared" si="637"/>
        <v>2.5</v>
      </c>
      <c r="AF7686" s="580">
        <f t="shared" si="638"/>
        <v>2.5</v>
      </c>
      <c r="AG7686" s="580">
        <f t="shared" si="639"/>
        <v>0</v>
      </c>
      <c r="AH7686" s="580">
        <f t="shared" si="640"/>
        <v>0</v>
      </c>
    </row>
    <row r="7687" spans="28:34">
      <c r="AB7687" s="580">
        <f>HLOOKUP("*"&amp;'Output annual'!$AC$2&amp;'Output annual'!$AD$2&amp;"*Zone People Number Of Occupants [](Hourly)",'Eplus results'!$1:$1048576,ROW(),FALSE)</f>
        <v>0</v>
      </c>
      <c r="AC7687" s="580">
        <f>HLOOKUP("*"&amp;'Output annual'!$AC$2&amp;'Output annual'!$AD$2&amp;"*FangerPMV(Hourly)",'Eplus results'!$1:$1048576,ROW(),FALSE)</f>
        <v>0</v>
      </c>
      <c r="AD7687" s="580">
        <f t="shared" si="636"/>
        <v>5</v>
      </c>
      <c r="AE7687" s="580">
        <f t="shared" si="637"/>
        <v>2.5</v>
      </c>
      <c r="AF7687" s="580">
        <f t="shared" si="638"/>
        <v>2.5</v>
      </c>
      <c r="AG7687" s="580">
        <f t="shared" si="639"/>
        <v>0</v>
      </c>
      <c r="AH7687" s="580">
        <f t="shared" si="640"/>
        <v>0</v>
      </c>
    </row>
    <row r="7688" spans="28:34">
      <c r="AB7688" s="580">
        <f>HLOOKUP("*"&amp;'Output annual'!$AC$2&amp;'Output annual'!$AD$2&amp;"*Zone People Number Of Occupants [](Hourly)",'Eplus results'!$1:$1048576,ROW(),FALSE)</f>
        <v>0</v>
      </c>
      <c r="AC7688" s="580">
        <f>HLOOKUP("*"&amp;'Output annual'!$AC$2&amp;'Output annual'!$AD$2&amp;"*FangerPMV(Hourly)",'Eplus results'!$1:$1048576,ROW(),FALSE)</f>
        <v>0</v>
      </c>
      <c r="AD7688" s="580">
        <f t="shared" si="636"/>
        <v>5</v>
      </c>
      <c r="AE7688" s="580">
        <f t="shared" si="637"/>
        <v>2.5</v>
      </c>
      <c r="AF7688" s="580">
        <f t="shared" si="638"/>
        <v>2.5</v>
      </c>
      <c r="AG7688" s="580">
        <f t="shared" si="639"/>
        <v>0</v>
      </c>
      <c r="AH7688" s="580">
        <f t="shared" si="640"/>
        <v>0</v>
      </c>
    </row>
    <row r="7689" spans="28:34">
      <c r="AB7689" s="580">
        <f>HLOOKUP("*"&amp;'Output annual'!$AC$2&amp;'Output annual'!$AD$2&amp;"*Zone People Number Of Occupants [](Hourly)",'Eplus results'!$1:$1048576,ROW(),FALSE)</f>
        <v>0</v>
      </c>
      <c r="AC7689" s="580">
        <f>HLOOKUP("*"&amp;'Output annual'!$AC$2&amp;'Output annual'!$AD$2&amp;"*FangerPMV(Hourly)",'Eplus results'!$1:$1048576,ROW(),FALSE)</f>
        <v>0</v>
      </c>
      <c r="AD7689" s="580">
        <f t="shared" si="636"/>
        <v>5</v>
      </c>
      <c r="AE7689" s="580">
        <f t="shared" si="637"/>
        <v>2.5</v>
      </c>
      <c r="AF7689" s="580">
        <f t="shared" si="638"/>
        <v>2.5</v>
      </c>
      <c r="AG7689" s="580">
        <f t="shared" si="639"/>
        <v>0</v>
      </c>
      <c r="AH7689" s="580">
        <f t="shared" si="640"/>
        <v>0</v>
      </c>
    </row>
    <row r="7690" spans="28:34">
      <c r="AB7690" s="580">
        <f>HLOOKUP("*"&amp;'Output annual'!$AC$2&amp;'Output annual'!$AD$2&amp;"*Zone People Number Of Occupants [](Hourly)",'Eplus results'!$1:$1048576,ROW(),FALSE)</f>
        <v>0</v>
      </c>
      <c r="AC7690" s="580">
        <f>HLOOKUP("*"&amp;'Output annual'!$AC$2&amp;'Output annual'!$AD$2&amp;"*FangerPMV(Hourly)",'Eplus results'!$1:$1048576,ROW(),FALSE)</f>
        <v>0</v>
      </c>
      <c r="AD7690" s="580">
        <f t="shared" si="636"/>
        <v>5</v>
      </c>
      <c r="AE7690" s="580">
        <f t="shared" si="637"/>
        <v>2.5</v>
      </c>
      <c r="AF7690" s="580">
        <f t="shared" si="638"/>
        <v>2.5</v>
      </c>
      <c r="AG7690" s="580">
        <f t="shared" si="639"/>
        <v>0</v>
      </c>
      <c r="AH7690" s="580">
        <f t="shared" si="640"/>
        <v>0</v>
      </c>
    </row>
    <row r="7691" spans="28:34">
      <c r="AB7691" s="580">
        <f>HLOOKUP("*"&amp;'Output annual'!$AC$2&amp;'Output annual'!$AD$2&amp;"*Zone People Number Of Occupants [](Hourly)",'Eplus results'!$1:$1048576,ROW(),FALSE)</f>
        <v>0</v>
      </c>
      <c r="AC7691" s="580">
        <f>HLOOKUP("*"&amp;'Output annual'!$AC$2&amp;'Output annual'!$AD$2&amp;"*FangerPMV(Hourly)",'Eplus results'!$1:$1048576,ROW(),FALSE)</f>
        <v>0</v>
      </c>
      <c r="AD7691" s="580">
        <f t="shared" si="636"/>
        <v>5</v>
      </c>
      <c r="AE7691" s="580">
        <f t="shared" si="637"/>
        <v>2.5</v>
      </c>
      <c r="AF7691" s="580">
        <f t="shared" si="638"/>
        <v>2.5</v>
      </c>
      <c r="AG7691" s="580">
        <f t="shared" si="639"/>
        <v>0</v>
      </c>
      <c r="AH7691" s="580">
        <f t="shared" si="640"/>
        <v>0</v>
      </c>
    </row>
    <row r="7692" spans="28:34">
      <c r="AB7692" s="580">
        <f>HLOOKUP("*"&amp;'Output annual'!$AC$2&amp;'Output annual'!$AD$2&amp;"*Zone People Number Of Occupants [](Hourly)",'Eplus results'!$1:$1048576,ROW(),FALSE)</f>
        <v>0</v>
      </c>
      <c r="AC7692" s="580">
        <f>HLOOKUP("*"&amp;'Output annual'!$AC$2&amp;'Output annual'!$AD$2&amp;"*FangerPMV(Hourly)",'Eplus results'!$1:$1048576,ROW(),FALSE)</f>
        <v>0</v>
      </c>
      <c r="AD7692" s="580">
        <f t="shared" si="636"/>
        <v>5</v>
      </c>
      <c r="AE7692" s="580">
        <f t="shared" si="637"/>
        <v>2.5</v>
      </c>
      <c r="AF7692" s="580">
        <f t="shared" si="638"/>
        <v>2.5</v>
      </c>
      <c r="AG7692" s="580">
        <f t="shared" si="639"/>
        <v>0</v>
      </c>
      <c r="AH7692" s="580">
        <f t="shared" si="640"/>
        <v>0</v>
      </c>
    </row>
    <row r="7693" spans="28:34">
      <c r="AB7693" s="580">
        <f>HLOOKUP("*"&amp;'Output annual'!$AC$2&amp;'Output annual'!$AD$2&amp;"*Zone People Number Of Occupants [](Hourly)",'Eplus results'!$1:$1048576,ROW(),FALSE)</f>
        <v>0</v>
      </c>
      <c r="AC7693" s="580">
        <f>HLOOKUP("*"&amp;'Output annual'!$AC$2&amp;'Output annual'!$AD$2&amp;"*FangerPMV(Hourly)",'Eplus results'!$1:$1048576,ROW(),FALSE)</f>
        <v>0</v>
      </c>
      <c r="AD7693" s="580">
        <f t="shared" si="636"/>
        <v>5</v>
      </c>
      <c r="AE7693" s="580">
        <f t="shared" si="637"/>
        <v>2.5</v>
      </c>
      <c r="AF7693" s="580">
        <f t="shared" si="638"/>
        <v>2.5</v>
      </c>
      <c r="AG7693" s="580">
        <f t="shared" si="639"/>
        <v>0</v>
      </c>
      <c r="AH7693" s="580">
        <f t="shared" si="640"/>
        <v>0</v>
      </c>
    </row>
    <row r="7694" spans="28:34">
      <c r="AB7694" s="580">
        <f>HLOOKUP("*"&amp;'Output annual'!$AC$2&amp;'Output annual'!$AD$2&amp;"*Zone People Number Of Occupants [](Hourly)",'Eplus results'!$1:$1048576,ROW(),FALSE)</f>
        <v>0</v>
      </c>
      <c r="AC7694" s="580">
        <f>HLOOKUP("*"&amp;'Output annual'!$AC$2&amp;'Output annual'!$AD$2&amp;"*FangerPMV(Hourly)",'Eplus results'!$1:$1048576,ROW(),FALSE)</f>
        <v>0</v>
      </c>
      <c r="AD7694" s="580">
        <f t="shared" si="636"/>
        <v>5</v>
      </c>
      <c r="AE7694" s="580">
        <f t="shared" si="637"/>
        <v>2.5</v>
      </c>
      <c r="AF7694" s="580">
        <f t="shared" si="638"/>
        <v>2.5</v>
      </c>
      <c r="AG7694" s="580">
        <f t="shared" si="639"/>
        <v>0</v>
      </c>
      <c r="AH7694" s="580">
        <f t="shared" si="640"/>
        <v>0</v>
      </c>
    </row>
    <row r="7695" spans="28:34">
      <c r="AB7695" s="580">
        <f>HLOOKUP("*"&amp;'Output annual'!$AC$2&amp;'Output annual'!$AD$2&amp;"*Zone People Number Of Occupants [](Hourly)",'Eplus results'!$1:$1048576,ROW(),FALSE)</f>
        <v>0</v>
      </c>
      <c r="AC7695" s="580">
        <f>HLOOKUP("*"&amp;'Output annual'!$AC$2&amp;'Output annual'!$AD$2&amp;"*FangerPMV(Hourly)",'Eplus results'!$1:$1048576,ROW(),FALSE)</f>
        <v>0</v>
      </c>
      <c r="AD7695" s="580">
        <f t="shared" si="636"/>
        <v>5</v>
      </c>
      <c r="AE7695" s="580">
        <f t="shared" si="637"/>
        <v>2.5</v>
      </c>
      <c r="AF7695" s="580">
        <f t="shared" si="638"/>
        <v>2.5</v>
      </c>
      <c r="AG7695" s="580">
        <f t="shared" si="639"/>
        <v>0</v>
      </c>
      <c r="AH7695" s="580">
        <f t="shared" si="640"/>
        <v>0</v>
      </c>
    </row>
    <row r="7696" spans="28:34">
      <c r="AB7696" s="580">
        <f>HLOOKUP("*"&amp;'Output annual'!$AC$2&amp;'Output annual'!$AD$2&amp;"*Zone People Number Of Occupants [](Hourly)",'Eplus results'!$1:$1048576,ROW(),FALSE)</f>
        <v>0</v>
      </c>
      <c r="AC7696" s="580">
        <f>HLOOKUP("*"&amp;'Output annual'!$AC$2&amp;'Output annual'!$AD$2&amp;"*FangerPMV(Hourly)",'Eplus results'!$1:$1048576,ROW(),FALSE)</f>
        <v>0</v>
      </c>
      <c r="AD7696" s="580">
        <f t="shared" si="636"/>
        <v>5</v>
      </c>
      <c r="AE7696" s="580">
        <f t="shared" si="637"/>
        <v>2.5</v>
      </c>
      <c r="AF7696" s="580">
        <f t="shared" si="638"/>
        <v>2.5</v>
      </c>
      <c r="AG7696" s="580">
        <f t="shared" si="639"/>
        <v>0</v>
      </c>
      <c r="AH7696" s="580">
        <f t="shared" si="640"/>
        <v>0</v>
      </c>
    </row>
    <row r="7697" spans="28:34">
      <c r="AB7697" s="580">
        <f>HLOOKUP("*"&amp;'Output annual'!$AC$2&amp;'Output annual'!$AD$2&amp;"*Zone People Number Of Occupants [](Hourly)",'Eplus results'!$1:$1048576,ROW(),FALSE)</f>
        <v>0</v>
      </c>
      <c r="AC7697" s="580">
        <f>HLOOKUP("*"&amp;'Output annual'!$AC$2&amp;'Output annual'!$AD$2&amp;"*FangerPMV(Hourly)",'Eplus results'!$1:$1048576,ROW(),FALSE)</f>
        <v>0</v>
      </c>
      <c r="AD7697" s="580">
        <f t="shared" si="636"/>
        <v>5</v>
      </c>
      <c r="AE7697" s="580">
        <f t="shared" si="637"/>
        <v>2.5</v>
      </c>
      <c r="AF7697" s="580">
        <f t="shared" si="638"/>
        <v>2.5</v>
      </c>
      <c r="AG7697" s="580">
        <f t="shared" si="639"/>
        <v>0</v>
      </c>
      <c r="AH7697" s="580">
        <f t="shared" si="640"/>
        <v>0</v>
      </c>
    </row>
    <row r="7698" spans="28:34">
      <c r="AB7698" s="580">
        <f>HLOOKUP("*"&amp;'Output annual'!$AC$2&amp;'Output annual'!$AD$2&amp;"*Zone People Number Of Occupants [](Hourly)",'Eplus results'!$1:$1048576,ROW(),FALSE)</f>
        <v>0</v>
      </c>
      <c r="AC7698" s="580">
        <f>HLOOKUP("*"&amp;'Output annual'!$AC$2&amp;'Output annual'!$AD$2&amp;"*FangerPMV(Hourly)",'Eplus results'!$1:$1048576,ROW(),FALSE)</f>
        <v>0</v>
      </c>
      <c r="AD7698" s="580">
        <f t="shared" si="636"/>
        <v>5</v>
      </c>
      <c r="AE7698" s="580">
        <f t="shared" si="637"/>
        <v>2.5</v>
      </c>
      <c r="AF7698" s="580">
        <f t="shared" si="638"/>
        <v>2.5</v>
      </c>
      <c r="AG7698" s="580">
        <f t="shared" si="639"/>
        <v>0</v>
      </c>
      <c r="AH7698" s="580">
        <f t="shared" si="640"/>
        <v>0</v>
      </c>
    </row>
    <row r="7699" spans="28:34">
      <c r="AB7699" s="580">
        <f>HLOOKUP("*"&amp;'Output annual'!$AC$2&amp;'Output annual'!$AD$2&amp;"*Zone People Number Of Occupants [](Hourly)",'Eplus results'!$1:$1048576,ROW(),FALSE)</f>
        <v>0</v>
      </c>
      <c r="AC7699" s="580">
        <f>HLOOKUP("*"&amp;'Output annual'!$AC$2&amp;'Output annual'!$AD$2&amp;"*FangerPMV(Hourly)",'Eplus results'!$1:$1048576,ROW(),FALSE)</f>
        <v>0</v>
      </c>
      <c r="AD7699" s="580">
        <f t="shared" si="636"/>
        <v>5</v>
      </c>
      <c r="AE7699" s="580">
        <f t="shared" si="637"/>
        <v>2.5</v>
      </c>
      <c r="AF7699" s="580">
        <f t="shared" si="638"/>
        <v>2.5</v>
      </c>
      <c r="AG7699" s="580">
        <f t="shared" si="639"/>
        <v>0</v>
      </c>
      <c r="AH7699" s="580">
        <f t="shared" si="640"/>
        <v>0</v>
      </c>
    </row>
    <row r="7700" spans="28:34">
      <c r="AB7700" s="580">
        <f>HLOOKUP("*"&amp;'Output annual'!$AC$2&amp;'Output annual'!$AD$2&amp;"*Zone People Number Of Occupants [](Hourly)",'Eplus results'!$1:$1048576,ROW(),FALSE)</f>
        <v>0</v>
      </c>
      <c r="AC7700" s="580">
        <f>HLOOKUP("*"&amp;'Output annual'!$AC$2&amp;'Output annual'!$AD$2&amp;"*FangerPMV(Hourly)",'Eplus results'!$1:$1048576,ROW(),FALSE)</f>
        <v>0</v>
      </c>
      <c r="AD7700" s="580">
        <f t="shared" si="636"/>
        <v>5</v>
      </c>
      <c r="AE7700" s="580">
        <f t="shared" si="637"/>
        <v>2.5</v>
      </c>
      <c r="AF7700" s="580">
        <f t="shared" si="638"/>
        <v>2.5</v>
      </c>
      <c r="AG7700" s="580">
        <f t="shared" si="639"/>
        <v>0</v>
      </c>
      <c r="AH7700" s="580">
        <f t="shared" si="640"/>
        <v>0</v>
      </c>
    </row>
    <row r="7701" spans="28:34">
      <c r="AB7701" s="580">
        <f>HLOOKUP("*"&amp;'Output annual'!$AC$2&amp;'Output annual'!$AD$2&amp;"*Zone People Number Of Occupants [](Hourly)",'Eplus results'!$1:$1048576,ROW(),FALSE)</f>
        <v>0</v>
      </c>
      <c r="AC7701" s="580">
        <f>HLOOKUP("*"&amp;'Output annual'!$AC$2&amp;'Output annual'!$AD$2&amp;"*FangerPMV(Hourly)",'Eplus results'!$1:$1048576,ROW(),FALSE)</f>
        <v>0</v>
      </c>
      <c r="AD7701" s="580">
        <f t="shared" si="636"/>
        <v>5</v>
      </c>
      <c r="AE7701" s="580">
        <f t="shared" si="637"/>
        <v>2.5</v>
      </c>
      <c r="AF7701" s="580">
        <f t="shared" si="638"/>
        <v>2.5</v>
      </c>
      <c r="AG7701" s="580">
        <f t="shared" si="639"/>
        <v>0</v>
      </c>
      <c r="AH7701" s="580">
        <f t="shared" si="640"/>
        <v>0</v>
      </c>
    </row>
    <row r="7702" spans="28:34">
      <c r="AB7702" s="580">
        <f>HLOOKUP("*"&amp;'Output annual'!$AC$2&amp;'Output annual'!$AD$2&amp;"*Zone People Number Of Occupants [](Hourly)",'Eplus results'!$1:$1048576,ROW(),FALSE)</f>
        <v>0</v>
      </c>
      <c r="AC7702" s="580">
        <f>HLOOKUP("*"&amp;'Output annual'!$AC$2&amp;'Output annual'!$AD$2&amp;"*FangerPMV(Hourly)",'Eplus results'!$1:$1048576,ROW(),FALSE)</f>
        <v>0</v>
      </c>
      <c r="AD7702" s="580">
        <f t="shared" si="636"/>
        <v>5</v>
      </c>
      <c r="AE7702" s="580">
        <f t="shared" si="637"/>
        <v>2.5</v>
      </c>
      <c r="AF7702" s="580">
        <f t="shared" si="638"/>
        <v>2.5</v>
      </c>
      <c r="AG7702" s="580">
        <f t="shared" si="639"/>
        <v>0</v>
      </c>
      <c r="AH7702" s="580">
        <f t="shared" si="640"/>
        <v>0</v>
      </c>
    </row>
    <row r="7703" spans="28:34">
      <c r="AB7703" s="580">
        <f>HLOOKUP("*"&amp;'Output annual'!$AC$2&amp;'Output annual'!$AD$2&amp;"*Zone People Number Of Occupants [](Hourly)",'Eplus results'!$1:$1048576,ROW(),FALSE)</f>
        <v>0</v>
      </c>
      <c r="AC7703" s="580">
        <f>HLOOKUP("*"&amp;'Output annual'!$AC$2&amp;'Output annual'!$AD$2&amp;"*FangerPMV(Hourly)",'Eplus results'!$1:$1048576,ROW(),FALSE)</f>
        <v>0</v>
      </c>
      <c r="AD7703" s="580">
        <f t="shared" si="636"/>
        <v>5</v>
      </c>
      <c r="AE7703" s="580">
        <f t="shared" si="637"/>
        <v>2.5</v>
      </c>
      <c r="AF7703" s="580">
        <f t="shared" si="638"/>
        <v>2.5</v>
      </c>
      <c r="AG7703" s="580">
        <f t="shared" si="639"/>
        <v>0</v>
      </c>
      <c r="AH7703" s="580">
        <f t="shared" si="640"/>
        <v>0</v>
      </c>
    </row>
    <row r="7704" spans="28:34">
      <c r="AB7704" s="580">
        <f>HLOOKUP("*"&amp;'Output annual'!$AC$2&amp;'Output annual'!$AD$2&amp;"*Zone People Number Of Occupants [](Hourly)",'Eplus results'!$1:$1048576,ROW(),FALSE)</f>
        <v>0</v>
      </c>
      <c r="AC7704" s="580">
        <f>HLOOKUP("*"&amp;'Output annual'!$AC$2&amp;'Output annual'!$AD$2&amp;"*FangerPMV(Hourly)",'Eplus results'!$1:$1048576,ROW(),FALSE)</f>
        <v>0</v>
      </c>
      <c r="AD7704" s="580">
        <f t="shared" si="636"/>
        <v>5</v>
      </c>
      <c r="AE7704" s="580">
        <f t="shared" si="637"/>
        <v>2.5</v>
      </c>
      <c r="AF7704" s="580">
        <f t="shared" si="638"/>
        <v>2.5</v>
      </c>
      <c r="AG7704" s="580">
        <f t="shared" si="639"/>
        <v>0</v>
      </c>
      <c r="AH7704" s="580">
        <f t="shared" si="640"/>
        <v>0</v>
      </c>
    </row>
    <row r="7705" spans="28:34">
      <c r="AB7705" s="580">
        <f>HLOOKUP("*"&amp;'Output annual'!$AC$2&amp;'Output annual'!$AD$2&amp;"*Zone People Number Of Occupants [](Hourly)",'Eplus results'!$1:$1048576,ROW(),FALSE)</f>
        <v>0</v>
      </c>
      <c r="AC7705" s="580">
        <f>HLOOKUP("*"&amp;'Output annual'!$AC$2&amp;'Output annual'!$AD$2&amp;"*FangerPMV(Hourly)",'Eplus results'!$1:$1048576,ROW(),FALSE)</f>
        <v>0</v>
      </c>
      <c r="AD7705" s="580">
        <f t="shared" si="636"/>
        <v>5</v>
      </c>
      <c r="AE7705" s="580">
        <f t="shared" si="637"/>
        <v>2.5</v>
      </c>
      <c r="AF7705" s="580">
        <f t="shared" si="638"/>
        <v>2.5</v>
      </c>
      <c r="AG7705" s="580">
        <f t="shared" si="639"/>
        <v>0</v>
      </c>
      <c r="AH7705" s="580">
        <f t="shared" si="640"/>
        <v>0</v>
      </c>
    </row>
    <row r="7706" spans="28:34">
      <c r="AB7706" s="580">
        <f>HLOOKUP("*"&amp;'Output annual'!$AC$2&amp;'Output annual'!$AD$2&amp;"*Zone People Number Of Occupants [](Hourly)",'Eplus results'!$1:$1048576,ROW(),FALSE)</f>
        <v>0</v>
      </c>
      <c r="AC7706" s="580">
        <f>HLOOKUP("*"&amp;'Output annual'!$AC$2&amp;'Output annual'!$AD$2&amp;"*FangerPMV(Hourly)",'Eplus results'!$1:$1048576,ROW(),FALSE)</f>
        <v>0</v>
      </c>
      <c r="AD7706" s="580">
        <f t="shared" si="636"/>
        <v>5</v>
      </c>
      <c r="AE7706" s="580">
        <f t="shared" si="637"/>
        <v>2.5</v>
      </c>
      <c r="AF7706" s="580">
        <f t="shared" si="638"/>
        <v>2.5</v>
      </c>
      <c r="AG7706" s="580">
        <f t="shared" si="639"/>
        <v>0</v>
      </c>
      <c r="AH7706" s="580">
        <f t="shared" si="640"/>
        <v>0</v>
      </c>
    </row>
    <row r="7707" spans="28:34">
      <c r="AB7707" s="580">
        <f>HLOOKUP("*"&amp;'Output annual'!$AC$2&amp;'Output annual'!$AD$2&amp;"*Zone People Number Of Occupants [](Hourly)",'Eplus results'!$1:$1048576,ROW(),FALSE)</f>
        <v>0</v>
      </c>
      <c r="AC7707" s="580">
        <f>HLOOKUP("*"&amp;'Output annual'!$AC$2&amp;'Output annual'!$AD$2&amp;"*FangerPMV(Hourly)",'Eplus results'!$1:$1048576,ROW(),FALSE)</f>
        <v>0</v>
      </c>
      <c r="AD7707" s="580">
        <f t="shared" si="636"/>
        <v>5</v>
      </c>
      <c r="AE7707" s="580">
        <f t="shared" si="637"/>
        <v>2.5</v>
      </c>
      <c r="AF7707" s="580">
        <f t="shared" si="638"/>
        <v>2.5</v>
      </c>
      <c r="AG7707" s="580">
        <f t="shared" si="639"/>
        <v>0</v>
      </c>
      <c r="AH7707" s="580">
        <f t="shared" si="640"/>
        <v>0</v>
      </c>
    </row>
    <row r="7708" spans="28:34">
      <c r="AB7708" s="580">
        <f>HLOOKUP("*"&amp;'Output annual'!$AC$2&amp;'Output annual'!$AD$2&amp;"*Zone People Number Of Occupants [](Hourly)",'Eplus results'!$1:$1048576,ROW(),FALSE)</f>
        <v>0</v>
      </c>
      <c r="AC7708" s="580">
        <f>HLOOKUP("*"&amp;'Output annual'!$AC$2&amp;'Output annual'!$AD$2&amp;"*FangerPMV(Hourly)",'Eplus results'!$1:$1048576,ROW(),FALSE)</f>
        <v>0</v>
      </c>
      <c r="AD7708" s="580">
        <f t="shared" si="636"/>
        <v>5</v>
      </c>
      <c r="AE7708" s="580">
        <f t="shared" si="637"/>
        <v>2.5</v>
      </c>
      <c r="AF7708" s="580">
        <f t="shared" si="638"/>
        <v>2.5</v>
      </c>
      <c r="AG7708" s="580">
        <f t="shared" si="639"/>
        <v>0</v>
      </c>
      <c r="AH7708" s="580">
        <f t="shared" si="640"/>
        <v>0</v>
      </c>
    </row>
    <row r="7709" spans="28:34">
      <c r="AB7709" s="580">
        <f>HLOOKUP("*"&amp;'Output annual'!$AC$2&amp;'Output annual'!$AD$2&amp;"*Zone People Number Of Occupants [](Hourly)",'Eplus results'!$1:$1048576,ROW(),FALSE)</f>
        <v>0</v>
      </c>
      <c r="AC7709" s="580">
        <f>HLOOKUP("*"&amp;'Output annual'!$AC$2&amp;'Output annual'!$AD$2&amp;"*FangerPMV(Hourly)",'Eplus results'!$1:$1048576,ROW(),FALSE)</f>
        <v>0</v>
      </c>
      <c r="AD7709" s="580">
        <f t="shared" si="636"/>
        <v>5</v>
      </c>
      <c r="AE7709" s="580">
        <f t="shared" si="637"/>
        <v>2.5</v>
      </c>
      <c r="AF7709" s="580">
        <f t="shared" si="638"/>
        <v>2.5</v>
      </c>
      <c r="AG7709" s="580">
        <f t="shared" si="639"/>
        <v>0</v>
      </c>
      <c r="AH7709" s="580">
        <f t="shared" si="640"/>
        <v>0</v>
      </c>
    </row>
    <row r="7710" spans="28:34">
      <c r="AB7710" s="580">
        <f>HLOOKUP("*"&amp;'Output annual'!$AC$2&amp;'Output annual'!$AD$2&amp;"*Zone People Number Of Occupants [](Hourly)",'Eplus results'!$1:$1048576,ROW(),FALSE)</f>
        <v>0</v>
      </c>
      <c r="AC7710" s="580">
        <f>HLOOKUP("*"&amp;'Output annual'!$AC$2&amp;'Output annual'!$AD$2&amp;"*FangerPMV(Hourly)",'Eplus results'!$1:$1048576,ROW(),FALSE)</f>
        <v>0</v>
      </c>
      <c r="AD7710" s="580">
        <f t="shared" si="636"/>
        <v>5</v>
      </c>
      <c r="AE7710" s="580">
        <f t="shared" si="637"/>
        <v>2.5</v>
      </c>
      <c r="AF7710" s="580">
        <f t="shared" si="638"/>
        <v>2.5</v>
      </c>
      <c r="AG7710" s="580">
        <f t="shared" si="639"/>
        <v>0</v>
      </c>
      <c r="AH7710" s="580">
        <f t="shared" si="640"/>
        <v>0</v>
      </c>
    </row>
    <row r="7711" spans="28:34">
      <c r="AB7711" s="580">
        <f>HLOOKUP("*"&amp;'Output annual'!$AC$2&amp;'Output annual'!$AD$2&amp;"*Zone People Number Of Occupants [](Hourly)",'Eplus results'!$1:$1048576,ROW(),FALSE)</f>
        <v>0</v>
      </c>
      <c r="AC7711" s="580">
        <f>HLOOKUP("*"&amp;'Output annual'!$AC$2&amp;'Output annual'!$AD$2&amp;"*FangerPMV(Hourly)",'Eplus results'!$1:$1048576,ROW(),FALSE)</f>
        <v>0</v>
      </c>
      <c r="AD7711" s="580">
        <f t="shared" si="636"/>
        <v>5</v>
      </c>
      <c r="AE7711" s="580">
        <f t="shared" si="637"/>
        <v>2.5</v>
      </c>
      <c r="AF7711" s="580">
        <f t="shared" si="638"/>
        <v>2.5</v>
      </c>
      <c r="AG7711" s="580">
        <f t="shared" si="639"/>
        <v>0</v>
      </c>
      <c r="AH7711" s="580">
        <f t="shared" si="640"/>
        <v>0</v>
      </c>
    </row>
    <row r="7712" spans="28:34">
      <c r="AB7712" s="580">
        <f>HLOOKUP("*"&amp;'Output annual'!$AC$2&amp;'Output annual'!$AD$2&amp;"*Zone People Number Of Occupants [](Hourly)",'Eplus results'!$1:$1048576,ROW(),FALSE)</f>
        <v>0</v>
      </c>
      <c r="AC7712" s="580">
        <f>HLOOKUP("*"&amp;'Output annual'!$AC$2&amp;'Output annual'!$AD$2&amp;"*FangerPMV(Hourly)",'Eplus results'!$1:$1048576,ROW(),FALSE)</f>
        <v>0</v>
      </c>
      <c r="AD7712" s="580">
        <f t="shared" si="636"/>
        <v>5</v>
      </c>
      <c r="AE7712" s="580">
        <f t="shared" si="637"/>
        <v>2.5</v>
      </c>
      <c r="AF7712" s="580">
        <f t="shared" si="638"/>
        <v>2.5</v>
      </c>
      <c r="AG7712" s="580">
        <f t="shared" si="639"/>
        <v>0</v>
      </c>
      <c r="AH7712" s="580">
        <f t="shared" si="640"/>
        <v>0</v>
      </c>
    </row>
    <row r="7713" spans="28:34">
      <c r="AB7713" s="580">
        <f>HLOOKUP("*"&amp;'Output annual'!$AC$2&amp;'Output annual'!$AD$2&amp;"*Zone People Number Of Occupants [](Hourly)",'Eplus results'!$1:$1048576,ROW(),FALSE)</f>
        <v>0</v>
      </c>
      <c r="AC7713" s="580">
        <f>HLOOKUP("*"&amp;'Output annual'!$AC$2&amp;'Output annual'!$AD$2&amp;"*FangerPMV(Hourly)",'Eplus results'!$1:$1048576,ROW(),FALSE)</f>
        <v>0</v>
      </c>
      <c r="AD7713" s="580">
        <f t="shared" si="636"/>
        <v>5</v>
      </c>
      <c r="AE7713" s="580">
        <f t="shared" si="637"/>
        <v>2.5</v>
      </c>
      <c r="AF7713" s="580">
        <f t="shared" si="638"/>
        <v>2.5</v>
      </c>
      <c r="AG7713" s="580">
        <f t="shared" si="639"/>
        <v>0</v>
      </c>
      <c r="AH7713" s="580">
        <f t="shared" si="640"/>
        <v>0</v>
      </c>
    </row>
    <row r="7714" spans="28:34">
      <c r="AB7714" s="580">
        <f>HLOOKUP("*"&amp;'Output annual'!$AC$2&amp;'Output annual'!$AD$2&amp;"*Zone People Number Of Occupants [](Hourly)",'Eplus results'!$1:$1048576,ROW(),FALSE)</f>
        <v>0</v>
      </c>
      <c r="AC7714" s="580">
        <f>HLOOKUP("*"&amp;'Output annual'!$AC$2&amp;'Output annual'!$AD$2&amp;"*FangerPMV(Hourly)",'Eplus results'!$1:$1048576,ROW(),FALSE)</f>
        <v>0</v>
      </c>
      <c r="AD7714" s="580">
        <f t="shared" si="636"/>
        <v>5</v>
      </c>
      <c r="AE7714" s="580">
        <f t="shared" si="637"/>
        <v>2.5</v>
      </c>
      <c r="AF7714" s="580">
        <f t="shared" si="638"/>
        <v>2.5</v>
      </c>
      <c r="AG7714" s="580">
        <f t="shared" si="639"/>
        <v>0</v>
      </c>
      <c r="AH7714" s="580">
        <f t="shared" si="640"/>
        <v>0</v>
      </c>
    </row>
    <row r="7715" spans="28:34">
      <c r="AB7715" s="580">
        <f>HLOOKUP("*"&amp;'Output annual'!$AC$2&amp;'Output annual'!$AD$2&amp;"*Zone People Number Of Occupants [](Hourly)",'Eplus results'!$1:$1048576,ROW(),FALSE)</f>
        <v>0</v>
      </c>
      <c r="AC7715" s="580">
        <f>HLOOKUP("*"&amp;'Output annual'!$AC$2&amp;'Output annual'!$AD$2&amp;"*FangerPMV(Hourly)",'Eplus results'!$1:$1048576,ROW(),FALSE)</f>
        <v>0</v>
      </c>
      <c r="AD7715" s="580">
        <f t="shared" si="636"/>
        <v>5</v>
      </c>
      <c r="AE7715" s="580">
        <f t="shared" si="637"/>
        <v>2.5</v>
      </c>
      <c r="AF7715" s="580">
        <f t="shared" si="638"/>
        <v>2.5</v>
      </c>
      <c r="AG7715" s="580">
        <f t="shared" si="639"/>
        <v>0</v>
      </c>
      <c r="AH7715" s="580">
        <f t="shared" si="640"/>
        <v>0</v>
      </c>
    </row>
    <row r="7716" spans="28:34">
      <c r="AB7716" s="580">
        <f>HLOOKUP("*"&amp;'Output annual'!$AC$2&amp;'Output annual'!$AD$2&amp;"*Zone People Number Of Occupants [](Hourly)",'Eplus results'!$1:$1048576,ROW(),FALSE)</f>
        <v>0</v>
      </c>
      <c r="AC7716" s="580">
        <f>HLOOKUP("*"&amp;'Output annual'!$AC$2&amp;'Output annual'!$AD$2&amp;"*FangerPMV(Hourly)",'Eplus results'!$1:$1048576,ROW(),FALSE)</f>
        <v>0</v>
      </c>
      <c r="AD7716" s="580">
        <f t="shared" si="636"/>
        <v>5</v>
      </c>
      <c r="AE7716" s="580">
        <f t="shared" si="637"/>
        <v>2.5</v>
      </c>
      <c r="AF7716" s="580">
        <f t="shared" si="638"/>
        <v>2.5</v>
      </c>
      <c r="AG7716" s="580">
        <f t="shared" si="639"/>
        <v>0</v>
      </c>
      <c r="AH7716" s="580">
        <f t="shared" si="640"/>
        <v>0</v>
      </c>
    </row>
    <row r="7717" spans="28:34">
      <c r="AB7717" s="580">
        <f>HLOOKUP("*"&amp;'Output annual'!$AC$2&amp;'Output annual'!$AD$2&amp;"*Zone People Number Of Occupants [](Hourly)",'Eplus results'!$1:$1048576,ROW(),FALSE)</f>
        <v>0</v>
      </c>
      <c r="AC7717" s="580">
        <f>HLOOKUP("*"&amp;'Output annual'!$AC$2&amp;'Output annual'!$AD$2&amp;"*FangerPMV(Hourly)",'Eplus results'!$1:$1048576,ROW(),FALSE)</f>
        <v>0</v>
      </c>
      <c r="AD7717" s="580">
        <f t="shared" si="636"/>
        <v>5</v>
      </c>
      <c r="AE7717" s="580">
        <f t="shared" si="637"/>
        <v>2.5</v>
      </c>
      <c r="AF7717" s="580">
        <f t="shared" si="638"/>
        <v>2.5</v>
      </c>
      <c r="AG7717" s="580">
        <f t="shared" si="639"/>
        <v>0</v>
      </c>
      <c r="AH7717" s="580">
        <f t="shared" si="640"/>
        <v>0</v>
      </c>
    </row>
    <row r="7718" spans="28:34">
      <c r="AB7718" s="580">
        <f>HLOOKUP("*"&amp;'Output annual'!$AC$2&amp;'Output annual'!$AD$2&amp;"*Zone People Number Of Occupants [](Hourly)",'Eplus results'!$1:$1048576,ROW(),FALSE)</f>
        <v>0</v>
      </c>
      <c r="AC7718" s="580">
        <f>HLOOKUP("*"&amp;'Output annual'!$AC$2&amp;'Output annual'!$AD$2&amp;"*FangerPMV(Hourly)",'Eplus results'!$1:$1048576,ROW(),FALSE)</f>
        <v>0</v>
      </c>
      <c r="AD7718" s="580">
        <f t="shared" si="636"/>
        <v>5</v>
      </c>
      <c r="AE7718" s="580">
        <f t="shared" si="637"/>
        <v>2.5</v>
      </c>
      <c r="AF7718" s="580">
        <f t="shared" si="638"/>
        <v>2.5</v>
      </c>
      <c r="AG7718" s="580">
        <f t="shared" si="639"/>
        <v>0</v>
      </c>
      <c r="AH7718" s="580">
        <f t="shared" si="640"/>
        <v>0</v>
      </c>
    </row>
    <row r="7719" spans="28:34">
      <c r="AB7719" s="580">
        <f>HLOOKUP("*"&amp;'Output annual'!$AC$2&amp;'Output annual'!$AD$2&amp;"*Zone People Number Of Occupants [](Hourly)",'Eplus results'!$1:$1048576,ROW(),FALSE)</f>
        <v>0</v>
      </c>
      <c r="AC7719" s="580">
        <f>HLOOKUP("*"&amp;'Output annual'!$AC$2&amp;'Output annual'!$AD$2&amp;"*FangerPMV(Hourly)",'Eplus results'!$1:$1048576,ROW(),FALSE)</f>
        <v>0</v>
      </c>
      <c r="AD7719" s="580">
        <f t="shared" si="636"/>
        <v>5</v>
      </c>
      <c r="AE7719" s="580">
        <f t="shared" si="637"/>
        <v>2.5</v>
      </c>
      <c r="AF7719" s="580">
        <f t="shared" si="638"/>
        <v>2.5</v>
      </c>
      <c r="AG7719" s="580">
        <f t="shared" si="639"/>
        <v>0</v>
      </c>
      <c r="AH7719" s="580">
        <f t="shared" si="640"/>
        <v>0</v>
      </c>
    </row>
    <row r="7720" spans="28:34">
      <c r="AB7720" s="580">
        <f>HLOOKUP("*"&amp;'Output annual'!$AC$2&amp;'Output annual'!$AD$2&amp;"*Zone People Number Of Occupants [](Hourly)",'Eplus results'!$1:$1048576,ROW(),FALSE)</f>
        <v>0</v>
      </c>
      <c r="AC7720" s="580">
        <f>HLOOKUP("*"&amp;'Output annual'!$AC$2&amp;'Output annual'!$AD$2&amp;"*FangerPMV(Hourly)",'Eplus results'!$1:$1048576,ROW(),FALSE)</f>
        <v>0</v>
      </c>
      <c r="AD7720" s="580">
        <f t="shared" si="636"/>
        <v>5</v>
      </c>
      <c r="AE7720" s="580">
        <f t="shared" si="637"/>
        <v>2.5</v>
      </c>
      <c r="AF7720" s="580">
        <f t="shared" si="638"/>
        <v>2.5</v>
      </c>
      <c r="AG7720" s="580">
        <f t="shared" si="639"/>
        <v>0</v>
      </c>
      <c r="AH7720" s="580">
        <f t="shared" si="640"/>
        <v>0</v>
      </c>
    </row>
    <row r="7721" spans="28:34">
      <c r="AB7721" s="580">
        <f>HLOOKUP("*"&amp;'Output annual'!$AC$2&amp;'Output annual'!$AD$2&amp;"*Zone People Number Of Occupants [](Hourly)",'Eplus results'!$1:$1048576,ROW(),FALSE)</f>
        <v>0</v>
      </c>
      <c r="AC7721" s="580">
        <f>HLOOKUP("*"&amp;'Output annual'!$AC$2&amp;'Output annual'!$AD$2&amp;"*FangerPMV(Hourly)",'Eplus results'!$1:$1048576,ROW(),FALSE)</f>
        <v>0</v>
      </c>
      <c r="AD7721" s="580">
        <f t="shared" si="636"/>
        <v>5</v>
      </c>
      <c r="AE7721" s="580">
        <f t="shared" si="637"/>
        <v>2.5</v>
      </c>
      <c r="AF7721" s="580">
        <f t="shared" si="638"/>
        <v>2.5</v>
      </c>
      <c r="AG7721" s="580">
        <f t="shared" si="639"/>
        <v>0</v>
      </c>
      <c r="AH7721" s="580">
        <f t="shared" si="640"/>
        <v>0</v>
      </c>
    </row>
    <row r="7722" spans="28:34">
      <c r="AB7722" s="580">
        <f>HLOOKUP("*"&amp;'Output annual'!$AC$2&amp;'Output annual'!$AD$2&amp;"*Zone People Number Of Occupants [](Hourly)",'Eplus results'!$1:$1048576,ROW(),FALSE)</f>
        <v>0</v>
      </c>
      <c r="AC7722" s="580">
        <f>HLOOKUP("*"&amp;'Output annual'!$AC$2&amp;'Output annual'!$AD$2&amp;"*FangerPMV(Hourly)",'Eplus results'!$1:$1048576,ROW(),FALSE)</f>
        <v>0</v>
      </c>
      <c r="AD7722" s="580">
        <f t="shared" si="636"/>
        <v>5</v>
      </c>
      <c r="AE7722" s="580">
        <f t="shared" si="637"/>
        <v>2.5</v>
      </c>
      <c r="AF7722" s="580">
        <f t="shared" si="638"/>
        <v>2.5</v>
      </c>
      <c r="AG7722" s="580">
        <f t="shared" si="639"/>
        <v>0</v>
      </c>
      <c r="AH7722" s="580">
        <f t="shared" si="640"/>
        <v>0</v>
      </c>
    </row>
    <row r="7723" spans="28:34">
      <c r="AB7723" s="580">
        <f>HLOOKUP("*"&amp;'Output annual'!$AC$2&amp;'Output annual'!$AD$2&amp;"*Zone People Number Of Occupants [](Hourly)",'Eplus results'!$1:$1048576,ROW(),FALSE)</f>
        <v>0</v>
      </c>
      <c r="AC7723" s="580">
        <f>HLOOKUP("*"&amp;'Output annual'!$AC$2&amp;'Output annual'!$AD$2&amp;"*FangerPMV(Hourly)",'Eplus results'!$1:$1048576,ROW(),FALSE)</f>
        <v>0</v>
      </c>
      <c r="AD7723" s="580">
        <f t="shared" si="636"/>
        <v>5</v>
      </c>
      <c r="AE7723" s="580">
        <f t="shared" si="637"/>
        <v>2.5</v>
      </c>
      <c r="AF7723" s="580">
        <f t="shared" si="638"/>
        <v>2.5</v>
      </c>
      <c r="AG7723" s="580">
        <f t="shared" si="639"/>
        <v>0</v>
      </c>
      <c r="AH7723" s="580">
        <f t="shared" si="640"/>
        <v>0</v>
      </c>
    </row>
    <row r="7724" spans="28:34">
      <c r="AB7724" s="580">
        <f>HLOOKUP("*"&amp;'Output annual'!$AC$2&amp;'Output annual'!$AD$2&amp;"*Zone People Number Of Occupants [](Hourly)",'Eplus results'!$1:$1048576,ROW(),FALSE)</f>
        <v>0</v>
      </c>
      <c r="AC7724" s="580">
        <f>HLOOKUP("*"&amp;'Output annual'!$AC$2&amp;'Output annual'!$AD$2&amp;"*FangerPMV(Hourly)",'Eplus results'!$1:$1048576,ROW(),FALSE)</f>
        <v>0</v>
      </c>
      <c r="AD7724" s="580">
        <f t="shared" si="636"/>
        <v>5</v>
      </c>
      <c r="AE7724" s="580">
        <f t="shared" si="637"/>
        <v>2.5</v>
      </c>
      <c r="AF7724" s="580">
        <f t="shared" si="638"/>
        <v>2.5</v>
      </c>
      <c r="AG7724" s="580">
        <f t="shared" si="639"/>
        <v>0</v>
      </c>
      <c r="AH7724" s="580">
        <f t="shared" si="640"/>
        <v>0</v>
      </c>
    </row>
    <row r="7725" spans="28:34">
      <c r="AB7725" s="580">
        <f>HLOOKUP("*"&amp;'Output annual'!$AC$2&amp;'Output annual'!$AD$2&amp;"*Zone People Number Of Occupants [](Hourly)",'Eplus results'!$1:$1048576,ROW(),FALSE)</f>
        <v>0</v>
      </c>
      <c r="AC7725" s="580">
        <f>HLOOKUP("*"&amp;'Output annual'!$AC$2&amp;'Output annual'!$AD$2&amp;"*FangerPMV(Hourly)",'Eplus results'!$1:$1048576,ROW(),FALSE)</f>
        <v>0</v>
      </c>
      <c r="AD7725" s="580">
        <f t="shared" si="636"/>
        <v>5</v>
      </c>
      <c r="AE7725" s="580">
        <f t="shared" si="637"/>
        <v>2.5</v>
      </c>
      <c r="AF7725" s="580">
        <f t="shared" si="638"/>
        <v>2.5</v>
      </c>
      <c r="AG7725" s="580">
        <f t="shared" si="639"/>
        <v>0</v>
      </c>
      <c r="AH7725" s="580">
        <f t="shared" si="640"/>
        <v>0</v>
      </c>
    </row>
    <row r="7726" spans="28:34">
      <c r="AB7726" s="580">
        <f>HLOOKUP("*"&amp;'Output annual'!$AC$2&amp;'Output annual'!$AD$2&amp;"*Zone People Number Of Occupants [](Hourly)",'Eplus results'!$1:$1048576,ROW(),FALSE)</f>
        <v>0</v>
      </c>
      <c r="AC7726" s="580">
        <f>HLOOKUP("*"&amp;'Output annual'!$AC$2&amp;'Output annual'!$AD$2&amp;"*FangerPMV(Hourly)",'Eplus results'!$1:$1048576,ROW(),FALSE)</f>
        <v>0</v>
      </c>
      <c r="AD7726" s="580">
        <f t="shared" si="636"/>
        <v>5</v>
      </c>
      <c r="AE7726" s="580">
        <f t="shared" si="637"/>
        <v>2.5</v>
      </c>
      <c r="AF7726" s="580">
        <f t="shared" si="638"/>
        <v>2.5</v>
      </c>
      <c r="AG7726" s="580">
        <f t="shared" si="639"/>
        <v>0</v>
      </c>
      <c r="AH7726" s="580">
        <f t="shared" si="640"/>
        <v>0</v>
      </c>
    </row>
    <row r="7727" spans="28:34">
      <c r="AB7727" s="580">
        <f>HLOOKUP("*"&amp;'Output annual'!$AC$2&amp;'Output annual'!$AD$2&amp;"*Zone People Number Of Occupants [](Hourly)",'Eplus results'!$1:$1048576,ROW(),FALSE)</f>
        <v>0</v>
      </c>
      <c r="AC7727" s="580">
        <f>HLOOKUP("*"&amp;'Output annual'!$AC$2&amp;'Output annual'!$AD$2&amp;"*FangerPMV(Hourly)",'Eplus results'!$1:$1048576,ROW(),FALSE)</f>
        <v>0</v>
      </c>
      <c r="AD7727" s="580">
        <f t="shared" si="636"/>
        <v>5</v>
      </c>
      <c r="AE7727" s="580">
        <f t="shared" si="637"/>
        <v>2.5</v>
      </c>
      <c r="AF7727" s="580">
        <f t="shared" si="638"/>
        <v>2.5</v>
      </c>
      <c r="AG7727" s="580">
        <f t="shared" si="639"/>
        <v>0</v>
      </c>
      <c r="AH7727" s="580">
        <f t="shared" si="640"/>
        <v>0</v>
      </c>
    </row>
    <row r="7728" spans="28:34">
      <c r="AB7728" s="580">
        <f>HLOOKUP("*"&amp;'Output annual'!$AC$2&amp;'Output annual'!$AD$2&amp;"*Zone People Number Of Occupants [](Hourly)",'Eplus results'!$1:$1048576,ROW(),FALSE)</f>
        <v>0</v>
      </c>
      <c r="AC7728" s="580">
        <f>HLOOKUP("*"&amp;'Output annual'!$AC$2&amp;'Output annual'!$AD$2&amp;"*FangerPMV(Hourly)",'Eplus results'!$1:$1048576,ROW(),FALSE)</f>
        <v>0</v>
      </c>
      <c r="AD7728" s="580">
        <f t="shared" si="636"/>
        <v>5</v>
      </c>
      <c r="AE7728" s="580">
        <f t="shared" si="637"/>
        <v>2.5</v>
      </c>
      <c r="AF7728" s="580">
        <f t="shared" si="638"/>
        <v>2.5</v>
      </c>
      <c r="AG7728" s="580">
        <f t="shared" si="639"/>
        <v>0</v>
      </c>
      <c r="AH7728" s="580">
        <f t="shared" si="640"/>
        <v>0</v>
      </c>
    </row>
    <row r="7729" spans="28:34">
      <c r="AB7729" s="580">
        <f>HLOOKUP("*"&amp;'Output annual'!$AC$2&amp;'Output annual'!$AD$2&amp;"*Zone People Number Of Occupants [](Hourly)",'Eplus results'!$1:$1048576,ROW(),FALSE)</f>
        <v>0</v>
      </c>
      <c r="AC7729" s="580">
        <f>HLOOKUP("*"&amp;'Output annual'!$AC$2&amp;'Output annual'!$AD$2&amp;"*FangerPMV(Hourly)",'Eplus results'!$1:$1048576,ROW(),FALSE)</f>
        <v>0</v>
      </c>
      <c r="AD7729" s="580">
        <f t="shared" si="636"/>
        <v>5</v>
      </c>
      <c r="AE7729" s="580">
        <f t="shared" si="637"/>
        <v>2.5</v>
      </c>
      <c r="AF7729" s="580">
        <f t="shared" si="638"/>
        <v>2.5</v>
      </c>
      <c r="AG7729" s="580">
        <f t="shared" si="639"/>
        <v>0</v>
      </c>
      <c r="AH7729" s="580">
        <f t="shared" si="640"/>
        <v>0</v>
      </c>
    </row>
    <row r="7730" spans="28:34">
      <c r="AB7730" s="580">
        <f>HLOOKUP("*"&amp;'Output annual'!$AC$2&amp;'Output annual'!$AD$2&amp;"*Zone People Number Of Occupants [](Hourly)",'Eplus results'!$1:$1048576,ROW(),FALSE)</f>
        <v>0</v>
      </c>
      <c r="AC7730" s="580">
        <f>HLOOKUP("*"&amp;'Output annual'!$AC$2&amp;'Output annual'!$AD$2&amp;"*FangerPMV(Hourly)",'Eplus results'!$1:$1048576,ROW(),FALSE)</f>
        <v>0</v>
      </c>
      <c r="AD7730" s="580">
        <f t="shared" si="636"/>
        <v>5</v>
      </c>
      <c r="AE7730" s="580">
        <f t="shared" si="637"/>
        <v>2.5</v>
      </c>
      <c r="AF7730" s="580">
        <f t="shared" si="638"/>
        <v>2.5</v>
      </c>
      <c r="AG7730" s="580">
        <f t="shared" si="639"/>
        <v>0</v>
      </c>
      <c r="AH7730" s="580">
        <f t="shared" si="640"/>
        <v>0</v>
      </c>
    </row>
    <row r="7731" spans="28:34">
      <c r="AB7731" s="580">
        <f>HLOOKUP("*"&amp;'Output annual'!$AC$2&amp;'Output annual'!$AD$2&amp;"*Zone People Number Of Occupants [](Hourly)",'Eplus results'!$1:$1048576,ROW(),FALSE)</f>
        <v>0</v>
      </c>
      <c r="AC7731" s="580">
        <f>HLOOKUP("*"&amp;'Output annual'!$AC$2&amp;'Output annual'!$AD$2&amp;"*FangerPMV(Hourly)",'Eplus results'!$1:$1048576,ROW(),FALSE)</f>
        <v>0</v>
      </c>
      <c r="AD7731" s="580">
        <f t="shared" si="636"/>
        <v>5</v>
      </c>
      <c r="AE7731" s="580">
        <f t="shared" si="637"/>
        <v>2.5</v>
      </c>
      <c r="AF7731" s="580">
        <f t="shared" si="638"/>
        <v>2.5</v>
      </c>
      <c r="AG7731" s="580">
        <f t="shared" si="639"/>
        <v>0</v>
      </c>
      <c r="AH7731" s="580">
        <f t="shared" si="640"/>
        <v>0</v>
      </c>
    </row>
    <row r="7732" spans="28:34">
      <c r="AB7732" s="580">
        <f>HLOOKUP("*"&amp;'Output annual'!$AC$2&amp;'Output annual'!$AD$2&amp;"*Zone People Number Of Occupants [](Hourly)",'Eplus results'!$1:$1048576,ROW(),FALSE)</f>
        <v>0</v>
      </c>
      <c r="AC7732" s="580">
        <f>HLOOKUP("*"&amp;'Output annual'!$AC$2&amp;'Output annual'!$AD$2&amp;"*FangerPMV(Hourly)",'Eplus results'!$1:$1048576,ROW(),FALSE)</f>
        <v>0</v>
      </c>
      <c r="AD7732" s="580">
        <f t="shared" si="636"/>
        <v>5</v>
      </c>
      <c r="AE7732" s="580">
        <f t="shared" si="637"/>
        <v>2.5</v>
      </c>
      <c r="AF7732" s="580">
        <f t="shared" si="638"/>
        <v>2.5</v>
      </c>
      <c r="AG7732" s="580">
        <f t="shared" si="639"/>
        <v>0</v>
      </c>
      <c r="AH7732" s="580">
        <f t="shared" si="640"/>
        <v>0</v>
      </c>
    </row>
    <row r="7733" spans="28:34">
      <c r="AB7733" s="580">
        <f>HLOOKUP("*"&amp;'Output annual'!$AC$2&amp;'Output annual'!$AD$2&amp;"*Zone People Number Of Occupants [](Hourly)",'Eplus results'!$1:$1048576,ROW(),FALSE)</f>
        <v>0</v>
      </c>
      <c r="AC7733" s="580">
        <f>HLOOKUP("*"&amp;'Output annual'!$AC$2&amp;'Output annual'!$AD$2&amp;"*FangerPMV(Hourly)",'Eplus results'!$1:$1048576,ROW(),FALSE)</f>
        <v>0</v>
      </c>
      <c r="AD7733" s="580">
        <f t="shared" si="636"/>
        <v>5</v>
      </c>
      <c r="AE7733" s="580">
        <f t="shared" si="637"/>
        <v>2.5</v>
      </c>
      <c r="AF7733" s="580">
        <f t="shared" si="638"/>
        <v>2.5</v>
      </c>
      <c r="AG7733" s="580">
        <f t="shared" si="639"/>
        <v>0</v>
      </c>
      <c r="AH7733" s="580">
        <f t="shared" si="640"/>
        <v>0</v>
      </c>
    </row>
    <row r="7734" spans="28:34">
      <c r="AB7734" s="580">
        <f>HLOOKUP("*"&amp;'Output annual'!$AC$2&amp;'Output annual'!$AD$2&amp;"*Zone People Number Of Occupants [](Hourly)",'Eplus results'!$1:$1048576,ROW(),FALSE)</f>
        <v>0</v>
      </c>
      <c r="AC7734" s="580">
        <f>HLOOKUP("*"&amp;'Output annual'!$AC$2&amp;'Output annual'!$AD$2&amp;"*FangerPMV(Hourly)",'Eplus results'!$1:$1048576,ROW(),FALSE)</f>
        <v>0</v>
      </c>
      <c r="AD7734" s="580">
        <f t="shared" si="636"/>
        <v>5</v>
      </c>
      <c r="AE7734" s="580">
        <f t="shared" si="637"/>
        <v>2.5</v>
      </c>
      <c r="AF7734" s="580">
        <f t="shared" si="638"/>
        <v>2.5</v>
      </c>
      <c r="AG7734" s="580">
        <f t="shared" si="639"/>
        <v>0</v>
      </c>
      <c r="AH7734" s="580">
        <f t="shared" si="640"/>
        <v>0</v>
      </c>
    </row>
    <row r="7735" spans="28:34">
      <c r="AB7735" s="580">
        <f>HLOOKUP("*"&amp;'Output annual'!$AC$2&amp;'Output annual'!$AD$2&amp;"*Zone People Number Of Occupants [](Hourly)",'Eplus results'!$1:$1048576,ROW(),FALSE)</f>
        <v>0</v>
      </c>
      <c r="AC7735" s="580">
        <f>HLOOKUP("*"&amp;'Output annual'!$AC$2&amp;'Output annual'!$AD$2&amp;"*FangerPMV(Hourly)",'Eplus results'!$1:$1048576,ROW(),FALSE)</f>
        <v>0</v>
      </c>
      <c r="AD7735" s="580">
        <f t="shared" si="636"/>
        <v>5</v>
      </c>
      <c r="AE7735" s="580">
        <f t="shared" si="637"/>
        <v>2.5</v>
      </c>
      <c r="AF7735" s="580">
        <f t="shared" si="638"/>
        <v>2.5</v>
      </c>
      <c r="AG7735" s="580">
        <f t="shared" si="639"/>
        <v>0</v>
      </c>
      <c r="AH7735" s="580">
        <f t="shared" si="640"/>
        <v>0</v>
      </c>
    </row>
    <row r="7736" spans="28:34">
      <c r="AB7736" s="580">
        <f>HLOOKUP("*"&amp;'Output annual'!$AC$2&amp;'Output annual'!$AD$2&amp;"*Zone People Number Of Occupants [](Hourly)",'Eplus results'!$1:$1048576,ROW(),FALSE)</f>
        <v>0</v>
      </c>
      <c r="AC7736" s="580">
        <f>HLOOKUP("*"&amp;'Output annual'!$AC$2&amp;'Output annual'!$AD$2&amp;"*FangerPMV(Hourly)",'Eplus results'!$1:$1048576,ROW(),FALSE)</f>
        <v>0</v>
      </c>
      <c r="AD7736" s="580">
        <f t="shared" si="636"/>
        <v>5</v>
      </c>
      <c r="AE7736" s="580">
        <f t="shared" si="637"/>
        <v>2.5</v>
      </c>
      <c r="AF7736" s="580">
        <f t="shared" si="638"/>
        <v>2.5</v>
      </c>
      <c r="AG7736" s="580">
        <f t="shared" si="639"/>
        <v>0</v>
      </c>
      <c r="AH7736" s="580">
        <f t="shared" si="640"/>
        <v>0</v>
      </c>
    </row>
    <row r="7737" spans="28:34">
      <c r="AB7737" s="580">
        <f>HLOOKUP("*"&amp;'Output annual'!$AC$2&amp;'Output annual'!$AD$2&amp;"*Zone People Number Of Occupants [](Hourly)",'Eplus results'!$1:$1048576,ROW(),FALSE)</f>
        <v>0</v>
      </c>
      <c r="AC7737" s="580">
        <f>HLOOKUP("*"&amp;'Output annual'!$AC$2&amp;'Output annual'!$AD$2&amp;"*FangerPMV(Hourly)",'Eplus results'!$1:$1048576,ROW(),FALSE)</f>
        <v>0</v>
      </c>
      <c r="AD7737" s="580">
        <f t="shared" si="636"/>
        <v>5</v>
      </c>
      <c r="AE7737" s="580">
        <f t="shared" si="637"/>
        <v>2.5</v>
      </c>
      <c r="AF7737" s="580">
        <f t="shared" si="638"/>
        <v>2.5</v>
      </c>
      <c r="AG7737" s="580">
        <f t="shared" si="639"/>
        <v>0</v>
      </c>
      <c r="AH7737" s="580">
        <f t="shared" si="640"/>
        <v>0</v>
      </c>
    </row>
    <row r="7738" spans="28:34">
      <c r="AB7738" s="580">
        <f>HLOOKUP("*"&amp;'Output annual'!$AC$2&amp;'Output annual'!$AD$2&amp;"*Zone People Number Of Occupants [](Hourly)",'Eplus results'!$1:$1048576,ROW(),FALSE)</f>
        <v>0</v>
      </c>
      <c r="AC7738" s="580">
        <f>HLOOKUP("*"&amp;'Output annual'!$AC$2&amp;'Output annual'!$AD$2&amp;"*FangerPMV(Hourly)",'Eplus results'!$1:$1048576,ROW(),FALSE)</f>
        <v>0</v>
      </c>
      <c r="AD7738" s="580">
        <f t="shared" si="636"/>
        <v>5</v>
      </c>
      <c r="AE7738" s="580">
        <f t="shared" si="637"/>
        <v>2.5</v>
      </c>
      <c r="AF7738" s="580">
        <f t="shared" si="638"/>
        <v>2.5</v>
      </c>
      <c r="AG7738" s="580">
        <f t="shared" si="639"/>
        <v>0</v>
      </c>
      <c r="AH7738" s="580">
        <f t="shared" si="640"/>
        <v>0</v>
      </c>
    </row>
    <row r="7739" spans="28:34">
      <c r="AB7739" s="580">
        <f>HLOOKUP("*"&amp;'Output annual'!$AC$2&amp;'Output annual'!$AD$2&amp;"*Zone People Number Of Occupants [](Hourly)",'Eplus results'!$1:$1048576,ROW(),FALSE)</f>
        <v>0</v>
      </c>
      <c r="AC7739" s="580">
        <f>HLOOKUP("*"&amp;'Output annual'!$AC$2&amp;'Output annual'!$AD$2&amp;"*FangerPMV(Hourly)",'Eplus results'!$1:$1048576,ROW(),FALSE)</f>
        <v>0</v>
      </c>
      <c r="AD7739" s="580">
        <f t="shared" si="636"/>
        <v>5</v>
      </c>
      <c r="AE7739" s="580">
        <f t="shared" si="637"/>
        <v>2.5</v>
      </c>
      <c r="AF7739" s="580">
        <f t="shared" si="638"/>
        <v>2.5</v>
      </c>
      <c r="AG7739" s="580">
        <f t="shared" si="639"/>
        <v>0</v>
      </c>
      <c r="AH7739" s="580">
        <f t="shared" si="640"/>
        <v>0</v>
      </c>
    </row>
    <row r="7740" spans="28:34">
      <c r="AB7740" s="580">
        <f>HLOOKUP("*"&amp;'Output annual'!$AC$2&amp;'Output annual'!$AD$2&amp;"*Zone People Number Of Occupants [](Hourly)",'Eplus results'!$1:$1048576,ROW(),FALSE)</f>
        <v>0</v>
      </c>
      <c r="AC7740" s="580">
        <f>HLOOKUP("*"&amp;'Output annual'!$AC$2&amp;'Output annual'!$AD$2&amp;"*FangerPMV(Hourly)",'Eplus results'!$1:$1048576,ROW(),FALSE)</f>
        <v>0</v>
      </c>
      <c r="AD7740" s="580">
        <f t="shared" si="636"/>
        <v>5</v>
      </c>
      <c r="AE7740" s="580">
        <f t="shared" si="637"/>
        <v>2.5</v>
      </c>
      <c r="AF7740" s="580">
        <f t="shared" si="638"/>
        <v>2.5</v>
      </c>
      <c r="AG7740" s="580">
        <f t="shared" si="639"/>
        <v>0</v>
      </c>
      <c r="AH7740" s="580">
        <f t="shared" si="640"/>
        <v>0</v>
      </c>
    </row>
    <row r="7741" spans="28:34">
      <c r="AB7741" s="580">
        <f>HLOOKUP("*"&amp;'Output annual'!$AC$2&amp;'Output annual'!$AD$2&amp;"*Zone People Number Of Occupants [](Hourly)",'Eplus results'!$1:$1048576,ROW(),FALSE)</f>
        <v>0</v>
      </c>
      <c r="AC7741" s="580">
        <f>HLOOKUP("*"&amp;'Output annual'!$AC$2&amp;'Output annual'!$AD$2&amp;"*FangerPMV(Hourly)",'Eplus results'!$1:$1048576,ROW(),FALSE)</f>
        <v>0</v>
      </c>
      <c r="AD7741" s="580">
        <f t="shared" si="636"/>
        <v>5</v>
      </c>
      <c r="AE7741" s="580">
        <f t="shared" si="637"/>
        <v>2.5</v>
      </c>
      <c r="AF7741" s="580">
        <f t="shared" si="638"/>
        <v>2.5</v>
      </c>
      <c r="AG7741" s="580">
        <f t="shared" si="639"/>
        <v>0</v>
      </c>
      <c r="AH7741" s="580">
        <f t="shared" si="640"/>
        <v>0</v>
      </c>
    </row>
    <row r="7742" spans="28:34">
      <c r="AB7742" s="580">
        <f>HLOOKUP("*"&amp;'Output annual'!$AC$2&amp;'Output annual'!$AD$2&amp;"*Zone People Number Of Occupants [](Hourly)",'Eplus results'!$1:$1048576,ROW(),FALSE)</f>
        <v>0</v>
      </c>
      <c r="AC7742" s="580">
        <f>HLOOKUP("*"&amp;'Output annual'!$AC$2&amp;'Output annual'!$AD$2&amp;"*FangerPMV(Hourly)",'Eplus results'!$1:$1048576,ROW(),FALSE)</f>
        <v>0</v>
      </c>
      <c r="AD7742" s="580">
        <f t="shared" si="636"/>
        <v>5</v>
      </c>
      <c r="AE7742" s="580">
        <f t="shared" si="637"/>
        <v>2.5</v>
      </c>
      <c r="AF7742" s="580">
        <f t="shared" si="638"/>
        <v>2.5</v>
      </c>
      <c r="AG7742" s="580">
        <f t="shared" si="639"/>
        <v>0</v>
      </c>
      <c r="AH7742" s="580">
        <f t="shared" si="640"/>
        <v>0</v>
      </c>
    </row>
    <row r="7743" spans="28:34">
      <c r="AB7743" s="580">
        <f>HLOOKUP("*"&amp;'Output annual'!$AC$2&amp;'Output annual'!$AD$2&amp;"*Zone People Number Of Occupants [](Hourly)",'Eplus results'!$1:$1048576,ROW(),FALSE)</f>
        <v>0</v>
      </c>
      <c r="AC7743" s="580">
        <f>HLOOKUP("*"&amp;'Output annual'!$AC$2&amp;'Output annual'!$AD$2&amp;"*FangerPMV(Hourly)",'Eplus results'!$1:$1048576,ROW(),FALSE)</f>
        <v>0</v>
      </c>
      <c r="AD7743" s="580">
        <f t="shared" si="636"/>
        <v>5</v>
      </c>
      <c r="AE7743" s="580">
        <f t="shared" si="637"/>
        <v>2.5</v>
      </c>
      <c r="AF7743" s="580">
        <f t="shared" si="638"/>
        <v>2.5</v>
      </c>
      <c r="AG7743" s="580">
        <f t="shared" si="639"/>
        <v>0</v>
      </c>
      <c r="AH7743" s="580">
        <f t="shared" si="640"/>
        <v>0</v>
      </c>
    </row>
    <row r="7744" spans="28:34">
      <c r="AB7744" s="580">
        <f>HLOOKUP("*"&amp;'Output annual'!$AC$2&amp;'Output annual'!$AD$2&amp;"*Zone People Number Of Occupants [](Hourly)",'Eplus results'!$1:$1048576,ROW(),FALSE)</f>
        <v>0</v>
      </c>
      <c r="AC7744" s="580">
        <f>HLOOKUP("*"&amp;'Output annual'!$AC$2&amp;'Output annual'!$AD$2&amp;"*FangerPMV(Hourly)",'Eplus results'!$1:$1048576,ROW(),FALSE)</f>
        <v>0</v>
      </c>
      <c r="AD7744" s="580">
        <f t="shared" si="636"/>
        <v>5</v>
      </c>
      <c r="AE7744" s="580">
        <f t="shared" si="637"/>
        <v>2.5</v>
      </c>
      <c r="AF7744" s="580">
        <f t="shared" si="638"/>
        <v>2.5</v>
      </c>
      <c r="AG7744" s="580">
        <f t="shared" si="639"/>
        <v>0</v>
      </c>
      <c r="AH7744" s="580">
        <f t="shared" si="640"/>
        <v>0</v>
      </c>
    </row>
    <row r="7745" spans="28:34">
      <c r="AB7745" s="580">
        <f>HLOOKUP("*"&amp;'Output annual'!$AC$2&amp;'Output annual'!$AD$2&amp;"*Zone People Number Of Occupants [](Hourly)",'Eplus results'!$1:$1048576,ROW(),FALSE)</f>
        <v>0</v>
      </c>
      <c r="AC7745" s="580">
        <f>HLOOKUP("*"&amp;'Output annual'!$AC$2&amp;'Output annual'!$AD$2&amp;"*FangerPMV(Hourly)",'Eplus results'!$1:$1048576,ROW(),FALSE)</f>
        <v>0</v>
      </c>
      <c r="AD7745" s="580">
        <f t="shared" si="636"/>
        <v>5</v>
      </c>
      <c r="AE7745" s="580">
        <f t="shared" si="637"/>
        <v>2.5</v>
      </c>
      <c r="AF7745" s="580">
        <f t="shared" si="638"/>
        <v>2.5</v>
      </c>
      <c r="AG7745" s="580">
        <f t="shared" si="639"/>
        <v>0</v>
      </c>
      <c r="AH7745" s="580">
        <f t="shared" si="640"/>
        <v>0</v>
      </c>
    </row>
    <row r="7746" spans="28:34">
      <c r="AB7746" s="580">
        <f>HLOOKUP("*"&amp;'Output annual'!$AC$2&amp;'Output annual'!$AD$2&amp;"*Zone People Number Of Occupants [](Hourly)",'Eplus results'!$1:$1048576,ROW(),FALSE)</f>
        <v>0</v>
      </c>
      <c r="AC7746" s="580">
        <f>HLOOKUP("*"&amp;'Output annual'!$AC$2&amp;'Output annual'!$AD$2&amp;"*FangerPMV(Hourly)",'Eplus results'!$1:$1048576,ROW(),FALSE)</f>
        <v>0</v>
      </c>
      <c r="AD7746" s="580">
        <f t="shared" si="636"/>
        <v>5</v>
      </c>
      <c r="AE7746" s="580">
        <f t="shared" si="637"/>
        <v>2.5</v>
      </c>
      <c r="AF7746" s="580">
        <f t="shared" si="638"/>
        <v>2.5</v>
      </c>
      <c r="AG7746" s="580">
        <f t="shared" si="639"/>
        <v>0</v>
      </c>
      <c r="AH7746" s="580">
        <f t="shared" si="640"/>
        <v>0</v>
      </c>
    </row>
    <row r="7747" spans="28:34">
      <c r="AB7747" s="580">
        <f>HLOOKUP("*"&amp;'Output annual'!$AC$2&amp;'Output annual'!$AD$2&amp;"*Zone People Number Of Occupants [](Hourly)",'Eplus results'!$1:$1048576,ROW(),FALSE)</f>
        <v>0</v>
      </c>
      <c r="AC7747" s="580">
        <f>HLOOKUP("*"&amp;'Output annual'!$AC$2&amp;'Output annual'!$AD$2&amp;"*FangerPMV(Hourly)",'Eplus results'!$1:$1048576,ROW(),FALSE)</f>
        <v>0</v>
      </c>
      <c r="AD7747" s="580">
        <f t="shared" ref="AD7747:AD7810" si="641">100-95*EXP(-0.03353*AC7747^4-0.2179*AC7747^2)</f>
        <v>5</v>
      </c>
      <c r="AE7747" s="580">
        <f t="shared" ref="AE7747:AE7810" si="642">AD7747*(1/(1+EXP(-6.3*$AC7747)))</f>
        <v>2.5</v>
      </c>
      <c r="AF7747" s="580">
        <f t="shared" ref="AF7747:AF7810" si="643">(AD7747-AE7747)</f>
        <v>2.5</v>
      </c>
      <c r="AG7747" s="580">
        <f t="shared" ref="AG7747:AG7810" si="644">AE7747*AB7747</f>
        <v>0</v>
      </c>
      <c r="AH7747" s="580">
        <f t="shared" ref="AH7747:AH7810" si="645">AF7747*AB7747</f>
        <v>0</v>
      </c>
    </row>
    <row r="7748" spans="28:34">
      <c r="AB7748" s="580">
        <f>HLOOKUP("*"&amp;'Output annual'!$AC$2&amp;'Output annual'!$AD$2&amp;"*Zone People Number Of Occupants [](Hourly)",'Eplus results'!$1:$1048576,ROW(),FALSE)</f>
        <v>0</v>
      </c>
      <c r="AC7748" s="580">
        <f>HLOOKUP("*"&amp;'Output annual'!$AC$2&amp;'Output annual'!$AD$2&amp;"*FangerPMV(Hourly)",'Eplus results'!$1:$1048576,ROW(),FALSE)</f>
        <v>0</v>
      </c>
      <c r="AD7748" s="580">
        <f t="shared" si="641"/>
        <v>5</v>
      </c>
      <c r="AE7748" s="580">
        <f t="shared" si="642"/>
        <v>2.5</v>
      </c>
      <c r="AF7748" s="580">
        <f t="shared" si="643"/>
        <v>2.5</v>
      </c>
      <c r="AG7748" s="580">
        <f t="shared" si="644"/>
        <v>0</v>
      </c>
      <c r="AH7748" s="580">
        <f t="shared" si="645"/>
        <v>0</v>
      </c>
    </row>
    <row r="7749" spans="28:34">
      <c r="AB7749" s="580">
        <f>HLOOKUP("*"&amp;'Output annual'!$AC$2&amp;'Output annual'!$AD$2&amp;"*Zone People Number Of Occupants [](Hourly)",'Eplus results'!$1:$1048576,ROW(),FALSE)</f>
        <v>0</v>
      </c>
      <c r="AC7749" s="580">
        <f>HLOOKUP("*"&amp;'Output annual'!$AC$2&amp;'Output annual'!$AD$2&amp;"*FangerPMV(Hourly)",'Eplus results'!$1:$1048576,ROW(),FALSE)</f>
        <v>0</v>
      </c>
      <c r="AD7749" s="580">
        <f t="shared" si="641"/>
        <v>5</v>
      </c>
      <c r="AE7749" s="580">
        <f t="shared" si="642"/>
        <v>2.5</v>
      </c>
      <c r="AF7749" s="580">
        <f t="shared" si="643"/>
        <v>2.5</v>
      </c>
      <c r="AG7749" s="580">
        <f t="shared" si="644"/>
        <v>0</v>
      </c>
      <c r="AH7749" s="580">
        <f t="shared" si="645"/>
        <v>0</v>
      </c>
    </row>
    <row r="7750" spans="28:34">
      <c r="AB7750" s="580">
        <f>HLOOKUP("*"&amp;'Output annual'!$AC$2&amp;'Output annual'!$AD$2&amp;"*Zone People Number Of Occupants [](Hourly)",'Eplus results'!$1:$1048576,ROW(),FALSE)</f>
        <v>0</v>
      </c>
      <c r="AC7750" s="580">
        <f>HLOOKUP("*"&amp;'Output annual'!$AC$2&amp;'Output annual'!$AD$2&amp;"*FangerPMV(Hourly)",'Eplus results'!$1:$1048576,ROW(),FALSE)</f>
        <v>0</v>
      </c>
      <c r="AD7750" s="580">
        <f t="shared" si="641"/>
        <v>5</v>
      </c>
      <c r="AE7750" s="580">
        <f t="shared" si="642"/>
        <v>2.5</v>
      </c>
      <c r="AF7750" s="580">
        <f t="shared" si="643"/>
        <v>2.5</v>
      </c>
      <c r="AG7750" s="580">
        <f t="shared" si="644"/>
        <v>0</v>
      </c>
      <c r="AH7750" s="580">
        <f t="shared" si="645"/>
        <v>0</v>
      </c>
    </row>
    <row r="7751" spans="28:34">
      <c r="AB7751" s="580">
        <f>HLOOKUP("*"&amp;'Output annual'!$AC$2&amp;'Output annual'!$AD$2&amp;"*Zone People Number Of Occupants [](Hourly)",'Eplus results'!$1:$1048576,ROW(),FALSE)</f>
        <v>0</v>
      </c>
      <c r="AC7751" s="580">
        <f>HLOOKUP("*"&amp;'Output annual'!$AC$2&amp;'Output annual'!$AD$2&amp;"*FangerPMV(Hourly)",'Eplus results'!$1:$1048576,ROW(),FALSE)</f>
        <v>0</v>
      </c>
      <c r="AD7751" s="580">
        <f t="shared" si="641"/>
        <v>5</v>
      </c>
      <c r="AE7751" s="580">
        <f t="shared" si="642"/>
        <v>2.5</v>
      </c>
      <c r="AF7751" s="580">
        <f t="shared" si="643"/>
        <v>2.5</v>
      </c>
      <c r="AG7751" s="580">
        <f t="shared" si="644"/>
        <v>0</v>
      </c>
      <c r="AH7751" s="580">
        <f t="shared" si="645"/>
        <v>0</v>
      </c>
    </row>
    <row r="7752" spans="28:34">
      <c r="AB7752" s="580">
        <f>HLOOKUP("*"&amp;'Output annual'!$AC$2&amp;'Output annual'!$AD$2&amp;"*Zone People Number Of Occupants [](Hourly)",'Eplus results'!$1:$1048576,ROW(),FALSE)</f>
        <v>0</v>
      </c>
      <c r="AC7752" s="580">
        <f>HLOOKUP("*"&amp;'Output annual'!$AC$2&amp;'Output annual'!$AD$2&amp;"*FangerPMV(Hourly)",'Eplus results'!$1:$1048576,ROW(),FALSE)</f>
        <v>0</v>
      </c>
      <c r="AD7752" s="580">
        <f t="shared" si="641"/>
        <v>5</v>
      </c>
      <c r="AE7752" s="580">
        <f t="shared" si="642"/>
        <v>2.5</v>
      </c>
      <c r="AF7752" s="580">
        <f t="shared" si="643"/>
        <v>2.5</v>
      </c>
      <c r="AG7752" s="580">
        <f t="shared" si="644"/>
        <v>0</v>
      </c>
      <c r="AH7752" s="580">
        <f t="shared" si="645"/>
        <v>0</v>
      </c>
    </row>
    <row r="7753" spans="28:34">
      <c r="AB7753" s="580">
        <f>HLOOKUP("*"&amp;'Output annual'!$AC$2&amp;'Output annual'!$AD$2&amp;"*Zone People Number Of Occupants [](Hourly)",'Eplus results'!$1:$1048576,ROW(),FALSE)</f>
        <v>0</v>
      </c>
      <c r="AC7753" s="580">
        <f>HLOOKUP("*"&amp;'Output annual'!$AC$2&amp;'Output annual'!$AD$2&amp;"*FangerPMV(Hourly)",'Eplus results'!$1:$1048576,ROW(),FALSE)</f>
        <v>0</v>
      </c>
      <c r="AD7753" s="580">
        <f t="shared" si="641"/>
        <v>5</v>
      </c>
      <c r="AE7753" s="580">
        <f t="shared" si="642"/>
        <v>2.5</v>
      </c>
      <c r="AF7753" s="580">
        <f t="shared" si="643"/>
        <v>2.5</v>
      </c>
      <c r="AG7753" s="580">
        <f t="shared" si="644"/>
        <v>0</v>
      </c>
      <c r="AH7753" s="580">
        <f t="shared" si="645"/>
        <v>0</v>
      </c>
    </row>
    <row r="7754" spans="28:34">
      <c r="AB7754" s="580">
        <f>HLOOKUP("*"&amp;'Output annual'!$AC$2&amp;'Output annual'!$AD$2&amp;"*Zone People Number Of Occupants [](Hourly)",'Eplus results'!$1:$1048576,ROW(),FALSE)</f>
        <v>0</v>
      </c>
      <c r="AC7754" s="580">
        <f>HLOOKUP("*"&amp;'Output annual'!$AC$2&amp;'Output annual'!$AD$2&amp;"*FangerPMV(Hourly)",'Eplus results'!$1:$1048576,ROW(),FALSE)</f>
        <v>0</v>
      </c>
      <c r="AD7754" s="580">
        <f t="shared" si="641"/>
        <v>5</v>
      </c>
      <c r="AE7754" s="580">
        <f t="shared" si="642"/>
        <v>2.5</v>
      </c>
      <c r="AF7754" s="580">
        <f t="shared" si="643"/>
        <v>2.5</v>
      </c>
      <c r="AG7754" s="580">
        <f t="shared" si="644"/>
        <v>0</v>
      </c>
      <c r="AH7754" s="580">
        <f t="shared" si="645"/>
        <v>0</v>
      </c>
    </row>
    <row r="7755" spans="28:34">
      <c r="AB7755" s="580">
        <f>HLOOKUP("*"&amp;'Output annual'!$AC$2&amp;'Output annual'!$AD$2&amp;"*Zone People Number Of Occupants [](Hourly)",'Eplus results'!$1:$1048576,ROW(),FALSE)</f>
        <v>0</v>
      </c>
      <c r="AC7755" s="580">
        <f>HLOOKUP("*"&amp;'Output annual'!$AC$2&amp;'Output annual'!$AD$2&amp;"*FangerPMV(Hourly)",'Eplus results'!$1:$1048576,ROW(),FALSE)</f>
        <v>0</v>
      </c>
      <c r="AD7755" s="580">
        <f t="shared" si="641"/>
        <v>5</v>
      </c>
      <c r="AE7755" s="580">
        <f t="shared" si="642"/>
        <v>2.5</v>
      </c>
      <c r="AF7755" s="580">
        <f t="shared" si="643"/>
        <v>2.5</v>
      </c>
      <c r="AG7755" s="580">
        <f t="shared" si="644"/>
        <v>0</v>
      </c>
      <c r="AH7755" s="580">
        <f t="shared" si="645"/>
        <v>0</v>
      </c>
    </row>
    <row r="7756" spans="28:34">
      <c r="AB7756" s="580">
        <f>HLOOKUP("*"&amp;'Output annual'!$AC$2&amp;'Output annual'!$AD$2&amp;"*Zone People Number Of Occupants [](Hourly)",'Eplus results'!$1:$1048576,ROW(),FALSE)</f>
        <v>0</v>
      </c>
      <c r="AC7756" s="580">
        <f>HLOOKUP("*"&amp;'Output annual'!$AC$2&amp;'Output annual'!$AD$2&amp;"*FangerPMV(Hourly)",'Eplus results'!$1:$1048576,ROW(),FALSE)</f>
        <v>0</v>
      </c>
      <c r="AD7756" s="580">
        <f t="shared" si="641"/>
        <v>5</v>
      </c>
      <c r="AE7756" s="580">
        <f t="shared" si="642"/>
        <v>2.5</v>
      </c>
      <c r="AF7756" s="580">
        <f t="shared" si="643"/>
        <v>2.5</v>
      </c>
      <c r="AG7756" s="580">
        <f t="shared" si="644"/>
        <v>0</v>
      </c>
      <c r="AH7756" s="580">
        <f t="shared" si="645"/>
        <v>0</v>
      </c>
    </row>
    <row r="7757" spans="28:34">
      <c r="AB7757" s="580">
        <f>HLOOKUP("*"&amp;'Output annual'!$AC$2&amp;'Output annual'!$AD$2&amp;"*Zone People Number Of Occupants [](Hourly)",'Eplus results'!$1:$1048576,ROW(),FALSE)</f>
        <v>0</v>
      </c>
      <c r="AC7757" s="580">
        <f>HLOOKUP("*"&amp;'Output annual'!$AC$2&amp;'Output annual'!$AD$2&amp;"*FangerPMV(Hourly)",'Eplus results'!$1:$1048576,ROW(),FALSE)</f>
        <v>0</v>
      </c>
      <c r="AD7757" s="580">
        <f t="shared" si="641"/>
        <v>5</v>
      </c>
      <c r="AE7757" s="580">
        <f t="shared" si="642"/>
        <v>2.5</v>
      </c>
      <c r="AF7757" s="580">
        <f t="shared" si="643"/>
        <v>2.5</v>
      </c>
      <c r="AG7757" s="580">
        <f t="shared" si="644"/>
        <v>0</v>
      </c>
      <c r="AH7757" s="580">
        <f t="shared" si="645"/>
        <v>0</v>
      </c>
    </row>
    <row r="7758" spans="28:34">
      <c r="AB7758" s="580">
        <f>HLOOKUP("*"&amp;'Output annual'!$AC$2&amp;'Output annual'!$AD$2&amp;"*Zone People Number Of Occupants [](Hourly)",'Eplus results'!$1:$1048576,ROW(),FALSE)</f>
        <v>0</v>
      </c>
      <c r="AC7758" s="580">
        <f>HLOOKUP("*"&amp;'Output annual'!$AC$2&amp;'Output annual'!$AD$2&amp;"*FangerPMV(Hourly)",'Eplus results'!$1:$1048576,ROW(),FALSE)</f>
        <v>0</v>
      </c>
      <c r="AD7758" s="580">
        <f t="shared" si="641"/>
        <v>5</v>
      </c>
      <c r="AE7758" s="580">
        <f t="shared" si="642"/>
        <v>2.5</v>
      </c>
      <c r="AF7758" s="580">
        <f t="shared" si="643"/>
        <v>2.5</v>
      </c>
      <c r="AG7758" s="580">
        <f t="shared" si="644"/>
        <v>0</v>
      </c>
      <c r="AH7758" s="580">
        <f t="shared" si="645"/>
        <v>0</v>
      </c>
    </row>
    <row r="7759" spans="28:34">
      <c r="AB7759" s="580">
        <f>HLOOKUP("*"&amp;'Output annual'!$AC$2&amp;'Output annual'!$AD$2&amp;"*Zone People Number Of Occupants [](Hourly)",'Eplus results'!$1:$1048576,ROW(),FALSE)</f>
        <v>0</v>
      </c>
      <c r="AC7759" s="580">
        <f>HLOOKUP("*"&amp;'Output annual'!$AC$2&amp;'Output annual'!$AD$2&amp;"*FangerPMV(Hourly)",'Eplus results'!$1:$1048576,ROW(),FALSE)</f>
        <v>0</v>
      </c>
      <c r="AD7759" s="580">
        <f t="shared" si="641"/>
        <v>5</v>
      </c>
      <c r="AE7759" s="580">
        <f t="shared" si="642"/>
        <v>2.5</v>
      </c>
      <c r="AF7759" s="580">
        <f t="shared" si="643"/>
        <v>2.5</v>
      </c>
      <c r="AG7759" s="580">
        <f t="shared" si="644"/>
        <v>0</v>
      </c>
      <c r="AH7759" s="580">
        <f t="shared" si="645"/>
        <v>0</v>
      </c>
    </row>
    <row r="7760" spans="28:34">
      <c r="AB7760" s="580">
        <f>HLOOKUP("*"&amp;'Output annual'!$AC$2&amp;'Output annual'!$AD$2&amp;"*Zone People Number Of Occupants [](Hourly)",'Eplus results'!$1:$1048576,ROW(),FALSE)</f>
        <v>0</v>
      </c>
      <c r="AC7760" s="580">
        <f>HLOOKUP("*"&amp;'Output annual'!$AC$2&amp;'Output annual'!$AD$2&amp;"*FangerPMV(Hourly)",'Eplus results'!$1:$1048576,ROW(),FALSE)</f>
        <v>0</v>
      </c>
      <c r="AD7760" s="580">
        <f t="shared" si="641"/>
        <v>5</v>
      </c>
      <c r="AE7760" s="580">
        <f t="shared" si="642"/>
        <v>2.5</v>
      </c>
      <c r="AF7760" s="580">
        <f t="shared" si="643"/>
        <v>2.5</v>
      </c>
      <c r="AG7760" s="580">
        <f t="shared" si="644"/>
        <v>0</v>
      </c>
      <c r="AH7760" s="580">
        <f t="shared" si="645"/>
        <v>0</v>
      </c>
    </row>
    <row r="7761" spans="28:34">
      <c r="AB7761" s="580">
        <f>HLOOKUP("*"&amp;'Output annual'!$AC$2&amp;'Output annual'!$AD$2&amp;"*Zone People Number Of Occupants [](Hourly)",'Eplus results'!$1:$1048576,ROW(),FALSE)</f>
        <v>0</v>
      </c>
      <c r="AC7761" s="580">
        <f>HLOOKUP("*"&amp;'Output annual'!$AC$2&amp;'Output annual'!$AD$2&amp;"*FangerPMV(Hourly)",'Eplus results'!$1:$1048576,ROW(),FALSE)</f>
        <v>0</v>
      </c>
      <c r="AD7761" s="580">
        <f t="shared" si="641"/>
        <v>5</v>
      </c>
      <c r="AE7761" s="580">
        <f t="shared" si="642"/>
        <v>2.5</v>
      </c>
      <c r="AF7761" s="580">
        <f t="shared" si="643"/>
        <v>2.5</v>
      </c>
      <c r="AG7761" s="580">
        <f t="shared" si="644"/>
        <v>0</v>
      </c>
      <c r="AH7761" s="580">
        <f t="shared" si="645"/>
        <v>0</v>
      </c>
    </row>
    <row r="7762" spans="28:34">
      <c r="AB7762" s="580">
        <f>HLOOKUP("*"&amp;'Output annual'!$AC$2&amp;'Output annual'!$AD$2&amp;"*Zone People Number Of Occupants [](Hourly)",'Eplus results'!$1:$1048576,ROW(),FALSE)</f>
        <v>0</v>
      </c>
      <c r="AC7762" s="580">
        <f>HLOOKUP("*"&amp;'Output annual'!$AC$2&amp;'Output annual'!$AD$2&amp;"*FangerPMV(Hourly)",'Eplus results'!$1:$1048576,ROW(),FALSE)</f>
        <v>0</v>
      </c>
      <c r="AD7762" s="580">
        <f t="shared" si="641"/>
        <v>5</v>
      </c>
      <c r="AE7762" s="580">
        <f t="shared" si="642"/>
        <v>2.5</v>
      </c>
      <c r="AF7762" s="580">
        <f t="shared" si="643"/>
        <v>2.5</v>
      </c>
      <c r="AG7762" s="580">
        <f t="shared" si="644"/>
        <v>0</v>
      </c>
      <c r="AH7762" s="580">
        <f t="shared" si="645"/>
        <v>0</v>
      </c>
    </row>
    <row r="7763" spans="28:34">
      <c r="AB7763" s="580">
        <f>HLOOKUP("*"&amp;'Output annual'!$AC$2&amp;'Output annual'!$AD$2&amp;"*Zone People Number Of Occupants [](Hourly)",'Eplus results'!$1:$1048576,ROW(),FALSE)</f>
        <v>0</v>
      </c>
      <c r="AC7763" s="580">
        <f>HLOOKUP("*"&amp;'Output annual'!$AC$2&amp;'Output annual'!$AD$2&amp;"*FangerPMV(Hourly)",'Eplus results'!$1:$1048576,ROW(),FALSE)</f>
        <v>0</v>
      </c>
      <c r="AD7763" s="580">
        <f t="shared" si="641"/>
        <v>5</v>
      </c>
      <c r="AE7763" s="580">
        <f t="shared" si="642"/>
        <v>2.5</v>
      </c>
      <c r="AF7763" s="580">
        <f t="shared" si="643"/>
        <v>2.5</v>
      </c>
      <c r="AG7763" s="580">
        <f t="shared" si="644"/>
        <v>0</v>
      </c>
      <c r="AH7763" s="580">
        <f t="shared" si="645"/>
        <v>0</v>
      </c>
    </row>
    <row r="7764" spans="28:34">
      <c r="AB7764" s="580">
        <f>HLOOKUP("*"&amp;'Output annual'!$AC$2&amp;'Output annual'!$AD$2&amp;"*Zone People Number Of Occupants [](Hourly)",'Eplus results'!$1:$1048576,ROW(),FALSE)</f>
        <v>0</v>
      </c>
      <c r="AC7764" s="580">
        <f>HLOOKUP("*"&amp;'Output annual'!$AC$2&amp;'Output annual'!$AD$2&amp;"*FangerPMV(Hourly)",'Eplus results'!$1:$1048576,ROW(),FALSE)</f>
        <v>0</v>
      </c>
      <c r="AD7764" s="580">
        <f t="shared" si="641"/>
        <v>5</v>
      </c>
      <c r="AE7764" s="580">
        <f t="shared" si="642"/>
        <v>2.5</v>
      </c>
      <c r="AF7764" s="580">
        <f t="shared" si="643"/>
        <v>2.5</v>
      </c>
      <c r="AG7764" s="580">
        <f t="shared" si="644"/>
        <v>0</v>
      </c>
      <c r="AH7764" s="580">
        <f t="shared" si="645"/>
        <v>0</v>
      </c>
    </row>
    <row r="7765" spans="28:34">
      <c r="AB7765" s="580">
        <f>HLOOKUP("*"&amp;'Output annual'!$AC$2&amp;'Output annual'!$AD$2&amp;"*Zone People Number Of Occupants [](Hourly)",'Eplus results'!$1:$1048576,ROW(),FALSE)</f>
        <v>0</v>
      </c>
      <c r="AC7765" s="580">
        <f>HLOOKUP("*"&amp;'Output annual'!$AC$2&amp;'Output annual'!$AD$2&amp;"*FangerPMV(Hourly)",'Eplus results'!$1:$1048576,ROW(),FALSE)</f>
        <v>0</v>
      </c>
      <c r="AD7765" s="580">
        <f t="shared" si="641"/>
        <v>5</v>
      </c>
      <c r="AE7765" s="580">
        <f t="shared" si="642"/>
        <v>2.5</v>
      </c>
      <c r="AF7765" s="580">
        <f t="shared" si="643"/>
        <v>2.5</v>
      </c>
      <c r="AG7765" s="580">
        <f t="shared" si="644"/>
        <v>0</v>
      </c>
      <c r="AH7765" s="580">
        <f t="shared" si="645"/>
        <v>0</v>
      </c>
    </row>
    <row r="7766" spans="28:34">
      <c r="AB7766" s="580">
        <f>HLOOKUP("*"&amp;'Output annual'!$AC$2&amp;'Output annual'!$AD$2&amp;"*Zone People Number Of Occupants [](Hourly)",'Eplus results'!$1:$1048576,ROW(),FALSE)</f>
        <v>0</v>
      </c>
      <c r="AC7766" s="580">
        <f>HLOOKUP("*"&amp;'Output annual'!$AC$2&amp;'Output annual'!$AD$2&amp;"*FangerPMV(Hourly)",'Eplus results'!$1:$1048576,ROW(),FALSE)</f>
        <v>0</v>
      </c>
      <c r="AD7766" s="580">
        <f t="shared" si="641"/>
        <v>5</v>
      </c>
      <c r="AE7766" s="580">
        <f t="shared" si="642"/>
        <v>2.5</v>
      </c>
      <c r="AF7766" s="580">
        <f t="shared" si="643"/>
        <v>2.5</v>
      </c>
      <c r="AG7766" s="580">
        <f t="shared" si="644"/>
        <v>0</v>
      </c>
      <c r="AH7766" s="580">
        <f t="shared" si="645"/>
        <v>0</v>
      </c>
    </row>
    <row r="7767" spans="28:34">
      <c r="AB7767" s="580">
        <f>HLOOKUP("*"&amp;'Output annual'!$AC$2&amp;'Output annual'!$AD$2&amp;"*Zone People Number Of Occupants [](Hourly)",'Eplus results'!$1:$1048576,ROW(),FALSE)</f>
        <v>0</v>
      </c>
      <c r="AC7767" s="580">
        <f>HLOOKUP("*"&amp;'Output annual'!$AC$2&amp;'Output annual'!$AD$2&amp;"*FangerPMV(Hourly)",'Eplus results'!$1:$1048576,ROW(),FALSE)</f>
        <v>0</v>
      </c>
      <c r="AD7767" s="580">
        <f t="shared" si="641"/>
        <v>5</v>
      </c>
      <c r="AE7767" s="580">
        <f t="shared" si="642"/>
        <v>2.5</v>
      </c>
      <c r="AF7767" s="580">
        <f t="shared" si="643"/>
        <v>2.5</v>
      </c>
      <c r="AG7767" s="580">
        <f t="shared" si="644"/>
        <v>0</v>
      </c>
      <c r="AH7767" s="580">
        <f t="shared" si="645"/>
        <v>0</v>
      </c>
    </row>
    <row r="7768" spans="28:34">
      <c r="AB7768" s="580">
        <f>HLOOKUP("*"&amp;'Output annual'!$AC$2&amp;'Output annual'!$AD$2&amp;"*Zone People Number Of Occupants [](Hourly)",'Eplus results'!$1:$1048576,ROW(),FALSE)</f>
        <v>0</v>
      </c>
      <c r="AC7768" s="580">
        <f>HLOOKUP("*"&amp;'Output annual'!$AC$2&amp;'Output annual'!$AD$2&amp;"*FangerPMV(Hourly)",'Eplus results'!$1:$1048576,ROW(),FALSE)</f>
        <v>0</v>
      </c>
      <c r="AD7768" s="580">
        <f t="shared" si="641"/>
        <v>5</v>
      </c>
      <c r="AE7768" s="580">
        <f t="shared" si="642"/>
        <v>2.5</v>
      </c>
      <c r="AF7768" s="580">
        <f t="shared" si="643"/>
        <v>2.5</v>
      </c>
      <c r="AG7768" s="580">
        <f t="shared" si="644"/>
        <v>0</v>
      </c>
      <c r="AH7768" s="580">
        <f t="shared" si="645"/>
        <v>0</v>
      </c>
    </row>
    <row r="7769" spans="28:34">
      <c r="AB7769" s="580">
        <f>HLOOKUP("*"&amp;'Output annual'!$AC$2&amp;'Output annual'!$AD$2&amp;"*Zone People Number Of Occupants [](Hourly)",'Eplus results'!$1:$1048576,ROW(),FALSE)</f>
        <v>0</v>
      </c>
      <c r="AC7769" s="580">
        <f>HLOOKUP("*"&amp;'Output annual'!$AC$2&amp;'Output annual'!$AD$2&amp;"*FangerPMV(Hourly)",'Eplus results'!$1:$1048576,ROW(),FALSE)</f>
        <v>0</v>
      </c>
      <c r="AD7769" s="580">
        <f t="shared" si="641"/>
        <v>5</v>
      </c>
      <c r="AE7769" s="580">
        <f t="shared" si="642"/>
        <v>2.5</v>
      </c>
      <c r="AF7769" s="580">
        <f t="shared" si="643"/>
        <v>2.5</v>
      </c>
      <c r="AG7769" s="580">
        <f t="shared" si="644"/>
        <v>0</v>
      </c>
      <c r="AH7769" s="580">
        <f t="shared" si="645"/>
        <v>0</v>
      </c>
    </row>
    <row r="7770" spans="28:34">
      <c r="AB7770" s="580">
        <f>HLOOKUP("*"&amp;'Output annual'!$AC$2&amp;'Output annual'!$AD$2&amp;"*Zone People Number Of Occupants [](Hourly)",'Eplus results'!$1:$1048576,ROW(),FALSE)</f>
        <v>0</v>
      </c>
      <c r="AC7770" s="580">
        <f>HLOOKUP("*"&amp;'Output annual'!$AC$2&amp;'Output annual'!$AD$2&amp;"*FangerPMV(Hourly)",'Eplus results'!$1:$1048576,ROW(),FALSE)</f>
        <v>0</v>
      </c>
      <c r="AD7770" s="580">
        <f t="shared" si="641"/>
        <v>5</v>
      </c>
      <c r="AE7770" s="580">
        <f t="shared" si="642"/>
        <v>2.5</v>
      </c>
      <c r="AF7770" s="580">
        <f t="shared" si="643"/>
        <v>2.5</v>
      </c>
      <c r="AG7770" s="580">
        <f t="shared" si="644"/>
        <v>0</v>
      </c>
      <c r="AH7770" s="580">
        <f t="shared" si="645"/>
        <v>0</v>
      </c>
    </row>
    <row r="7771" spans="28:34">
      <c r="AB7771" s="580">
        <f>HLOOKUP("*"&amp;'Output annual'!$AC$2&amp;'Output annual'!$AD$2&amp;"*Zone People Number Of Occupants [](Hourly)",'Eplus results'!$1:$1048576,ROW(),FALSE)</f>
        <v>0</v>
      </c>
      <c r="AC7771" s="580">
        <f>HLOOKUP("*"&amp;'Output annual'!$AC$2&amp;'Output annual'!$AD$2&amp;"*FangerPMV(Hourly)",'Eplus results'!$1:$1048576,ROW(),FALSE)</f>
        <v>0</v>
      </c>
      <c r="AD7771" s="580">
        <f t="shared" si="641"/>
        <v>5</v>
      </c>
      <c r="AE7771" s="580">
        <f t="shared" si="642"/>
        <v>2.5</v>
      </c>
      <c r="AF7771" s="580">
        <f t="shared" si="643"/>
        <v>2.5</v>
      </c>
      <c r="AG7771" s="580">
        <f t="shared" si="644"/>
        <v>0</v>
      </c>
      <c r="AH7771" s="580">
        <f t="shared" si="645"/>
        <v>0</v>
      </c>
    </row>
    <row r="7772" spans="28:34">
      <c r="AB7772" s="580">
        <f>HLOOKUP("*"&amp;'Output annual'!$AC$2&amp;'Output annual'!$AD$2&amp;"*Zone People Number Of Occupants [](Hourly)",'Eplus results'!$1:$1048576,ROW(),FALSE)</f>
        <v>0</v>
      </c>
      <c r="AC7772" s="580">
        <f>HLOOKUP("*"&amp;'Output annual'!$AC$2&amp;'Output annual'!$AD$2&amp;"*FangerPMV(Hourly)",'Eplus results'!$1:$1048576,ROW(),FALSE)</f>
        <v>0</v>
      </c>
      <c r="AD7772" s="580">
        <f t="shared" si="641"/>
        <v>5</v>
      </c>
      <c r="AE7772" s="580">
        <f t="shared" si="642"/>
        <v>2.5</v>
      </c>
      <c r="AF7772" s="580">
        <f t="shared" si="643"/>
        <v>2.5</v>
      </c>
      <c r="AG7772" s="580">
        <f t="shared" si="644"/>
        <v>0</v>
      </c>
      <c r="AH7772" s="580">
        <f t="shared" si="645"/>
        <v>0</v>
      </c>
    </row>
    <row r="7773" spans="28:34">
      <c r="AB7773" s="580">
        <f>HLOOKUP("*"&amp;'Output annual'!$AC$2&amp;'Output annual'!$AD$2&amp;"*Zone People Number Of Occupants [](Hourly)",'Eplus results'!$1:$1048576,ROW(),FALSE)</f>
        <v>0</v>
      </c>
      <c r="AC7773" s="580">
        <f>HLOOKUP("*"&amp;'Output annual'!$AC$2&amp;'Output annual'!$AD$2&amp;"*FangerPMV(Hourly)",'Eplus results'!$1:$1048576,ROW(),FALSE)</f>
        <v>0</v>
      </c>
      <c r="AD7773" s="580">
        <f t="shared" si="641"/>
        <v>5</v>
      </c>
      <c r="AE7773" s="580">
        <f t="shared" si="642"/>
        <v>2.5</v>
      </c>
      <c r="AF7773" s="580">
        <f t="shared" si="643"/>
        <v>2.5</v>
      </c>
      <c r="AG7773" s="580">
        <f t="shared" si="644"/>
        <v>0</v>
      </c>
      <c r="AH7773" s="580">
        <f t="shared" si="645"/>
        <v>0</v>
      </c>
    </row>
    <row r="7774" spans="28:34">
      <c r="AB7774" s="580">
        <f>HLOOKUP("*"&amp;'Output annual'!$AC$2&amp;'Output annual'!$AD$2&amp;"*Zone People Number Of Occupants [](Hourly)",'Eplus results'!$1:$1048576,ROW(),FALSE)</f>
        <v>0</v>
      </c>
      <c r="AC7774" s="580">
        <f>HLOOKUP("*"&amp;'Output annual'!$AC$2&amp;'Output annual'!$AD$2&amp;"*FangerPMV(Hourly)",'Eplus results'!$1:$1048576,ROW(),FALSE)</f>
        <v>0</v>
      </c>
      <c r="AD7774" s="580">
        <f t="shared" si="641"/>
        <v>5</v>
      </c>
      <c r="AE7774" s="580">
        <f t="shared" si="642"/>
        <v>2.5</v>
      </c>
      <c r="AF7774" s="580">
        <f t="shared" si="643"/>
        <v>2.5</v>
      </c>
      <c r="AG7774" s="580">
        <f t="shared" si="644"/>
        <v>0</v>
      </c>
      <c r="AH7774" s="580">
        <f t="shared" si="645"/>
        <v>0</v>
      </c>
    </row>
    <row r="7775" spans="28:34">
      <c r="AB7775" s="580">
        <f>HLOOKUP("*"&amp;'Output annual'!$AC$2&amp;'Output annual'!$AD$2&amp;"*Zone People Number Of Occupants [](Hourly)",'Eplus results'!$1:$1048576,ROW(),FALSE)</f>
        <v>0</v>
      </c>
      <c r="AC7775" s="580">
        <f>HLOOKUP("*"&amp;'Output annual'!$AC$2&amp;'Output annual'!$AD$2&amp;"*FangerPMV(Hourly)",'Eplus results'!$1:$1048576,ROW(),FALSE)</f>
        <v>0</v>
      </c>
      <c r="AD7775" s="580">
        <f t="shared" si="641"/>
        <v>5</v>
      </c>
      <c r="AE7775" s="580">
        <f t="shared" si="642"/>
        <v>2.5</v>
      </c>
      <c r="AF7775" s="580">
        <f t="shared" si="643"/>
        <v>2.5</v>
      </c>
      <c r="AG7775" s="580">
        <f t="shared" si="644"/>
        <v>0</v>
      </c>
      <c r="AH7775" s="580">
        <f t="shared" si="645"/>
        <v>0</v>
      </c>
    </row>
    <row r="7776" spans="28:34">
      <c r="AB7776" s="580">
        <f>HLOOKUP("*"&amp;'Output annual'!$AC$2&amp;'Output annual'!$AD$2&amp;"*Zone People Number Of Occupants [](Hourly)",'Eplus results'!$1:$1048576,ROW(),FALSE)</f>
        <v>0</v>
      </c>
      <c r="AC7776" s="580">
        <f>HLOOKUP("*"&amp;'Output annual'!$AC$2&amp;'Output annual'!$AD$2&amp;"*FangerPMV(Hourly)",'Eplus results'!$1:$1048576,ROW(),FALSE)</f>
        <v>0</v>
      </c>
      <c r="AD7776" s="580">
        <f t="shared" si="641"/>
        <v>5</v>
      </c>
      <c r="AE7776" s="580">
        <f t="shared" si="642"/>
        <v>2.5</v>
      </c>
      <c r="AF7776" s="580">
        <f t="shared" si="643"/>
        <v>2.5</v>
      </c>
      <c r="AG7776" s="580">
        <f t="shared" si="644"/>
        <v>0</v>
      </c>
      <c r="AH7776" s="580">
        <f t="shared" si="645"/>
        <v>0</v>
      </c>
    </row>
    <row r="7777" spans="28:34">
      <c r="AB7777" s="580">
        <f>HLOOKUP("*"&amp;'Output annual'!$AC$2&amp;'Output annual'!$AD$2&amp;"*Zone People Number Of Occupants [](Hourly)",'Eplus results'!$1:$1048576,ROW(),FALSE)</f>
        <v>0</v>
      </c>
      <c r="AC7777" s="580">
        <f>HLOOKUP("*"&amp;'Output annual'!$AC$2&amp;'Output annual'!$AD$2&amp;"*FangerPMV(Hourly)",'Eplus results'!$1:$1048576,ROW(),FALSE)</f>
        <v>0</v>
      </c>
      <c r="AD7777" s="580">
        <f t="shared" si="641"/>
        <v>5</v>
      </c>
      <c r="AE7777" s="580">
        <f t="shared" si="642"/>
        <v>2.5</v>
      </c>
      <c r="AF7777" s="580">
        <f t="shared" si="643"/>
        <v>2.5</v>
      </c>
      <c r="AG7777" s="580">
        <f t="shared" si="644"/>
        <v>0</v>
      </c>
      <c r="AH7777" s="580">
        <f t="shared" si="645"/>
        <v>0</v>
      </c>
    </row>
    <row r="7778" spans="28:34">
      <c r="AB7778" s="580">
        <f>HLOOKUP("*"&amp;'Output annual'!$AC$2&amp;'Output annual'!$AD$2&amp;"*Zone People Number Of Occupants [](Hourly)",'Eplus results'!$1:$1048576,ROW(),FALSE)</f>
        <v>0</v>
      </c>
      <c r="AC7778" s="580">
        <f>HLOOKUP("*"&amp;'Output annual'!$AC$2&amp;'Output annual'!$AD$2&amp;"*FangerPMV(Hourly)",'Eplus results'!$1:$1048576,ROW(),FALSE)</f>
        <v>0</v>
      </c>
      <c r="AD7778" s="580">
        <f t="shared" si="641"/>
        <v>5</v>
      </c>
      <c r="AE7778" s="580">
        <f t="shared" si="642"/>
        <v>2.5</v>
      </c>
      <c r="AF7778" s="580">
        <f t="shared" si="643"/>
        <v>2.5</v>
      </c>
      <c r="AG7778" s="580">
        <f t="shared" si="644"/>
        <v>0</v>
      </c>
      <c r="AH7778" s="580">
        <f t="shared" si="645"/>
        <v>0</v>
      </c>
    </row>
    <row r="7779" spans="28:34">
      <c r="AB7779" s="580">
        <f>HLOOKUP("*"&amp;'Output annual'!$AC$2&amp;'Output annual'!$AD$2&amp;"*Zone People Number Of Occupants [](Hourly)",'Eplus results'!$1:$1048576,ROW(),FALSE)</f>
        <v>0</v>
      </c>
      <c r="AC7779" s="580">
        <f>HLOOKUP("*"&amp;'Output annual'!$AC$2&amp;'Output annual'!$AD$2&amp;"*FangerPMV(Hourly)",'Eplus results'!$1:$1048576,ROW(),FALSE)</f>
        <v>0</v>
      </c>
      <c r="AD7779" s="580">
        <f t="shared" si="641"/>
        <v>5</v>
      </c>
      <c r="AE7779" s="580">
        <f t="shared" si="642"/>
        <v>2.5</v>
      </c>
      <c r="AF7779" s="580">
        <f t="shared" si="643"/>
        <v>2.5</v>
      </c>
      <c r="AG7779" s="580">
        <f t="shared" si="644"/>
        <v>0</v>
      </c>
      <c r="AH7779" s="580">
        <f t="shared" si="645"/>
        <v>0</v>
      </c>
    </row>
    <row r="7780" spans="28:34">
      <c r="AB7780" s="580">
        <f>HLOOKUP("*"&amp;'Output annual'!$AC$2&amp;'Output annual'!$AD$2&amp;"*Zone People Number Of Occupants [](Hourly)",'Eplus results'!$1:$1048576,ROW(),FALSE)</f>
        <v>0</v>
      </c>
      <c r="AC7780" s="580">
        <f>HLOOKUP("*"&amp;'Output annual'!$AC$2&amp;'Output annual'!$AD$2&amp;"*FangerPMV(Hourly)",'Eplus results'!$1:$1048576,ROW(),FALSE)</f>
        <v>0</v>
      </c>
      <c r="AD7780" s="580">
        <f t="shared" si="641"/>
        <v>5</v>
      </c>
      <c r="AE7780" s="580">
        <f t="shared" si="642"/>
        <v>2.5</v>
      </c>
      <c r="AF7780" s="580">
        <f t="shared" si="643"/>
        <v>2.5</v>
      </c>
      <c r="AG7780" s="580">
        <f t="shared" si="644"/>
        <v>0</v>
      </c>
      <c r="AH7780" s="580">
        <f t="shared" si="645"/>
        <v>0</v>
      </c>
    </row>
    <row r="7781" spans="28:34">
      <c r="AB7781" s="580">
        <f>HLOOKUP("*"&amp;'Output annual'!$AC$2&amp;'Output annual'!$AD$2&amp;"*Zone People Number Of Occupants [](Hourly)",'Eplus results'!$1:$1048576,ROW(),FALSE)</f>
        <v>0</v>
      </c>
      <c r="AC7781" s="580">
        <f>HLOOKUP("*"&amp;'Output annual'!$AC$2&amp;'Output annual'!$AD$2&amp;"*FangerPMV(Hourly)",'Eplus results'!$1:$1048576,ROW(),FALSE)</f>
        <v>0</v>
      </c>
      <c r="AD7781" s="580">
        <f t="shared" si="641"/>
        <v>5</v>
      </c>
      <c r="AE7781" s="580">
        <f t="shared" si="642"/>
        <v>2.5</v>
      </c>
      <c r="AF7781" s="580">
        <f t="shared" si="643"/>
        <v>2.5</v>
      </c>
      <c r="AG7781" s="580">
        <f t="shared" si="644"/>
        <v>0</v>
      </c>
      <c r="AH7781" s="580">
        <f t="shared" si="645"/>
        <v>0</v>
      </c>
    </row>
    <row r="7782" spans="28:34">
      <c r="AB7782" s="580">
        <f>HLOOKUP("*"&amp;'Output annual'!$AC$2&amp;'Output annual'!$AD$2&amp;"*Zone People Number Of Occupants [](Hourly)",'Eplus results'!$1:$1048576,ROW(),FALSE)</f>
        <v>0</v>
      </c>
      <c r="AC7782" s="580">
        <f>HLOOKUP("*"&amp;'Output annual'!$AC$2&amp;'Output annual'!$AD$2&amp;"*FangerPMV(Hourly)",'Eplus results'!$1:$1048576,ROW(),FALSE)</f>
        <v>0</v>
      </c>
      <c r="AD7782" s="580">
        <f t="shared" si="641"/>
        <v>5</v>
      </c>
      <c r="AE7782" s="580">
        <f t="shared" si="642"/>
        <v>2.5</v>
      </c>
      <c r="AF7782" s="580">
        <f t="shared" si="643"/>
        <v>2.5</v>
      </c>
      <c r="AG7782" s="580">
        <f t="shared" si="644"/>
        <v>0</v>
      </c>
      <c r="AH7782" s="580">
        <f t="shared" si="645"/>
        <v>0</v>
      </c>
    </row>
    <row r="7783" spans="28:34">
      <c r="AB7783" s="580">
        <f>HLOOKUP("*"&amp;'Output annual'!$AC$2&amp;'Output annual'!$AD$2&amp;"*Zone People Number Of Occupants [](Hourly)",'Eplus results'!$1:$1048576,ROW(),FALSE)</f>
        <v>0</v>
      </c>
      <c r="AC7783" s="580">
        <f>HLOOKUP("*"&amp;'Output annual'!$AC$2&amp;'Output annual'!$AD$2&amp;"*FangerPMV(Hourly)",'Eplus results'!$1:$1048576,ROW(),FALSE)</f>
        <v>0</v>
      </c>
      <c r="AD7783" s="580">
        <f t="shared" si="641"/>
        <v>5</v>
      </c>
      <c r="AE7783" s="580">
        <f t="shared" si="642"/>
        <v>2.5</v>
      </c>
      <c r="AF7783" s="580">
        <f t="shared" si="643"/>
        <v>2.5</v>
      </c>
      <c r="AG7783" s="580">
        <f t="shared" si="644"/>
        <v>0</v>
      </c>
      <c r="AH7783" s="580">
        <f t="shared" si="645"/>
        <v>0</v>
      </c>
    </row>
    <row r="7784" spans="28:34">
      <c r="AB7784" s="580">
        <f>HLOOKUP("*"&amp;'Output annual'!$AC$2&amp;'Output annual'!$AD$2&amp;"*Zone People Number Of Occupants [](Hourly)",'Eplus results'!$1:$1048576,ROW(),FALSE)</f>
        <v>0</v>
      </c>
      <c r="AC7784" s="580">
        <f>HLOOKUP("*"&amp;'Output annual'!$AC$2&amp;'Output annual'!$AD$2&amp;"*FangerPMV(Hourly)",'Eplus results'!$1:$1048576,ROW(),FALSE)</f>
        <v>0</v>
      </c>
      <c r="AD7784" s="580">
        <f t="shared" si="641"/>
        <v>5</v>
      </c>
      <c r="AE7784" s="580">
        <f t="shared" si="642"/>
        <v>2.5</v>
      </c>
      <c r="AF7784" s="580">
        <f t="shared" si="643"/>
        <v>2.5</v>
      </c>
      <c r="AG7784" s="580">
        <f t="shared" si="644"/>
        <v>0</v>
      </c>
      <c r="AH7784" s="580">
        <f t="shared" si="645"/>
        <v>0</v>
      </c>
    </row>
    <row r="7785" spans="28:34">
      <c r="AB7785" s="580">
        <f>HLOOKUP("*"&amp;'Output annual'!$AC$2&amp;'Output annual'!$AD$2&amp;"*Zone People Number Of Occupants [](Hourly)",'Eplus results'!$1:$1048576,ROW(),FALSE)</f>
        <v>0</v>
      </c>
      <c r="AC7785" s="580">
        <f>HLOOKUP("*"&amp;'Output annual'!$AC$2&amp;'Output annual'!$AD$2&amp;"*FangerPMV(Hourly)",'Eplus results'!$1:$1048576,ROW(),FALSE)</f>
        <v>0</v>
      </c>
      <c r="AD7785" s="580">
        <f t="shared" si="641"/>
        <v>5</v>
      </c>
      <c r="AE7785" s="580">
        <f t="shared" si="642"/>
        <v>2.5</v>
      </c>
      <c r="AF7785" s="580">
        <f t="shared" si="643"/>
        <v>2.5</v>
      </c>
      <c r="AG7785" s="580">
        <f t="shared" si="644"/>
        <v>0</v>
      </c>
      <c r="AH7785" s="580">
        <f t="shared" si="645"/>
        <v>0</v>
      </c>
    </row>
    <row r="7786" spans="28:34">
      <c r="AB7786" s="580">
        <f>HLOOKUP("*"&amp;'Output annual'!$AC$2&amp;'Output annual'!$AD$2&amp;"*Zone People Number Of Occupants [](Hourly)",'Eplus results'!$1:$1048576,ROW(),FALSE)</f>
        <v>0</v>
      </c>
      <c r="AC7786" s="580">
        <f>HLOOKUP("*"&amp;'Output annual'!$AC$2&amp;'Output annual'!$AD$2&amp;"*FangerPMV(Hourly)",'Eplus results'!$1:$1048576,ROW(),FALSE)</f>
        <v>0</v>
      </c>
      <c r="AD7786" s="580">
        <f t="shared" si="641"/>
        <v>5</v>
      </c>
      <c r="AE7786" s="580">
        <f t="shared" si="642"/>
        <v>2.5</v>
      </c>
      <c r="AF7786" s="580">
        <f t="shared" si="643"/>
        <v>2.5</v>
      </c>
      <c r="AG7786" s="580">
        <f t="shared" si="644"/>
        <v>0</v>
      </c>
      <c r="AH7786" s="580">
        <f t="shared" si="645"/>
        <v>0</v>
      </c>
    </row>
    <row r="7787" spans="28:34">
      <c r="AB7787" s="580">
        <f>HLOOKUP("*"&amp;'Output annual'!$AC$2&amp;'Output annual'!$AD$2&amp;"*Zone People Number Of Occupants [](Hourly)",'Eplus results'!$1:$1048576,ROW(),FALSE)</f>
        <v>0</v>
      </c>
      <c r="AC7787" s="580">
        <f>HLOOKUP("*"&amp;'Output annual'!$AC$2&amp;'Output annual'!$AD$2&amp;"*FangerPMV(Hourly)",'Eplus results'!$1:$1048576,ROW(),FALSE)</f>
        <v>0</v>
      </c>
      <c r="AD7787" s="580">
        <f t="shared" si="641"/>
        <v>5</v>
      </c>
      <c r="AE7787" s="580">
        <f t="shared" si="642"/>
        <v>2.5</v>
      </c>
      <c r="AF7787" s="580">
        <f t="shared" si="643"/>
        <v>2.5</v>
      </c>
      <c r="AG7787" s="580">
        <f t="shared" si="644"/>
        <v>0</v>
      </c>
      <c r="AH7787" s="580">
        <f t="shared" si="645"/>
        <v>0</v>
      </c>
    </row>
    <row r="7788" spans="28:34">
      <c r="AB7788" s="580">
        <f>HLOOKUP("*"&amp;'Output annual'!$AC$2&amp;'Output annual'!$AD$2&amp;"*Zone People Number Of Occupants [](Hourly)",'Eplus results'!$1:$1048576,ROW(),FALSE)</f>
        <v>0</v>
      </c>
      <c r="AC7788" s="580">
        <f>HLOOKUP("*"&amp;'Output annual'!$AC$2&amp;'Output annual'!$AD$2&amp;"*FangerPMV(Hourly)",'Eplus results'!$1:$1048576,ROW(),FALSE)</f>
        <v>0</v>
      </c>
      <c r="AD7788" s="580">
        <f t="shared" si="641"/>
        <v>5</v>
      </c>
      <c r="AE7788" s="580">
        <f t="shared" si="642"/>
        <v>2.5</v>
      </c>
      <c r="AF7788" s="580">
        <f t="shared" si="643"/>
        <v>2.5</v>
      </c>
      <c r="AG7788" s="580">
        <f t="shared" si="644"/>
        <v>0</v>
      </c>
      <c r="AH7788" s="580">
        <f t="shared" si="645"/>
        <v>0</v>
      </c>
    </row>
    <row r="7789" spans="28:34">
      <c r="AB7789" s="580">
        <f>HLOOKUP("*"&amp;'Output annual'!$AC$2&amp;'Output annual'!$AD$2&amp;"*Zone People Number Of Occupants [](Hourly)",'Eplus results'!$1:$1048576,ROW(),FALSE)</f>
        <v>0</v>
      </c>
      <c r="AC7789" s="580">
        <f>HLOOKUP("*"&amp;'Output annual'!$AC$2&amp;'Output annual'!$AD$2&amp;"*FangerPMV(Hourly)",'Eplus results'!$1:$1048576,ROW(),FALSE)</f>
        <v>0</v>
      </c>
      <c r="AD7789" s="580">
        <f t="shared" si="641"/>
        <v>5</v>
      </c>
      <c r="AE7789" s="580">
        <f t="shared" si="642"/>
        <v>2.5</v>
      </c>
      <c r="AF7789" s="580">
        <f t="shared" si="643"/>
        <v>2.5</v>
      </c>
      <c r="AG7789" s="580">
        <f t="shared" si="644"/>
        <v>0</v>
      </c>
      <c r="AH7789" s="580">
        <f t="shared" si="645"/>
        <v>0</v>
      </c>
    </row>
    <row r="7790" spans="28:34">
      <c r="AB7790" s="580">
        <f>HLOOKUP("*"&amp;'Output annual'!$AC$2&amp;'Output annual'!$AD$2&amp;"*Zone People Number Of Occupants [](Hourly)",'Eplus results'!$1:$1048576,ROW(),FALSE)</f>
        <v>0</v>
      </c>
      <c r="AC7790" s="580">
        <f>HLOOKUP("*"&amp;'Output annual'!$AC$2&amp;'Output annual'!$AD$2&amp;"*FangerPMV(Hourly)",'Eplus results'!$1:$1048576,ROW(),FALSE)</f>
        <v>0</v>
      </c>
      <c r="AD7790" s="580">
        <f t="shared" si="641"/>
        <v>5</v>
      </c>
      <c r="AE7790" s="580">
        <f t="shared" si="642"/>
        <v>2.5</v>
      </c>
      <c r="AF7790" s="580">
        <f t="shared" si="643"/>
        <v>2.5</v>
      </c>
      <c r="AG7790" s="580">
        <f t="shared" si="644"/>
        <v>0</v>
      </c>
      <c r="AH7790" s="580">
        <f t="shared" si="645"/>
        <v>0</v>
      </c>
    </row>
    <row r="7791" spans="28:34">
      <c r="AB7791" s="580">
        <f>HLOOKUP("*"&amp;'Output annual'!$AC$2&amp;'Output annual'!$AD$2&amp;"*Zone People Number Of Occupants [](Hourly)",'Eplus results'!$1:$1048576,ROW(),FALSE)</f>
        <v>0</v>
      </c>
      <c r="AC7791" s="580">
        <f>HLOOKUP("*"&amp;'Output annual'!$AC$2&amp;'Output annual'!$AD$2&amp;"*FangerPMV(Hourly)",'Eplus results'!$1:$1048576,ROW(),FALSE)</f>
        <v>0</v>
      </c>
      <c r="AD7791" s="580">
        <f t="shared" si="641"/>
        <v>5</v>
      </c>
      <c r="AE7791" s="580">
        <f t="shared" si="642"/>
        <v>2.5</v>
      </c>
      <c r="AF7791" s="580">
        <f t="shared" si="643"/>
        <v>2.5</v>
      </c>
      <c r="AG7791" s="580">
        <f t="shared" si="644"/>
        <v>0</v>
      </c>
      <c r="AH7791" s="580">
        <f t="shared" si="645"/>
        <v>0</v>
      </c>
    </row>
    <row r="7792" spans="28:34">
      <c r="AB7792" s="580">
        <f>HLOOKUP("*"&amp;'Output annual'!$AC$2&amp;'Output annual'!$AD$2&amp;"*Zone People Number Of Occupants [](Hourly)",'Eplus results'!$1:$1048576,ROW(),FALSE)</f>
        <v>0</v>
      </c>
      <c r="AC7792" s="580">
        <f>HLOOKUP("*"&amp;'Output annual'!$AC$2&amp;'Output annual'!$AD$2&amp;"*FangerPMV(Hourly)",'Eplus results'!$1:$1048576,ROW(),FALSE)</f>
        <v>0</v>
      </c>
      <c r="AD7792" s="580">
        <f t="shared" si="641"/>
        <v>5</v>
      </c>
      <c r="AE7792" s="580">
        <f t="shared" si="642"/>
        <v>2.5</v>
      </c>
      <c r="AF7792" s="580">
        <f t="shared" si="643"/>
        <v>2.5</v>
      </c>
      <c r="AG7792" s="580">
        <f t="shared" si="644"/>
        <v>0</v>
      </c>
      <c r="AH7792" s="580">
        <f t="shared" si="645"/>
        <v>0</v>
      </c>
    </row>
    <row r="7793" spans="28:34">
      <c r="AB7793" s="580">
        <f>HLOOKUP("*"&amp;'Output annual'!$AC$2&amp;'Output annual'!$AD$2&amp;"*Zone People Number Of Occupants [](Hourly)",'Eplus results'!$1:$1048576,ROW(),FALSE)</f>
        <v>0</v>
      </c>
      <c r="AC7793" s="580">
        <f>HLOOKUP("*"&amp;'Output annual'!$AC$2&amp;'Output annual'!$AD$2&amp;"*FangerPMV(Hourly)",'Eplus results'!$1:$1048576,ROW(),FALSE)</f>
        <v>0</v>
      </c>
      <c r="AD7793" s="580">
        <f t="shared" si="641"/>
        <v>5</v>
      </c>
      <c r="AE7793" s="580">
        <f t="shared" si="642"/>
        <v>2.5</v>
      </c>
      <c r="AF7793" s="580">
        <f t="shared" si="643"/>
        <v>2.5</v>
      </c>
      <c r="AG7793" s="580">
        <f t="shared" si="644"/>
        <v>0</v>
      </c>
      <c r="AH7793" s="580">
        <f t="shared" si="645"/>
        <v>0</v>
      </c>
    </row>
    <row r="7794" spans="28:34">
      <c r="AB7794" s="580">
        <f>HLOOKUP("*"&amp;'Output annual'!$AC$2&amp;'Output annual'!$AD$2&amp;"*Zone People Number Of Occupants [](Hourly)",'Eplus results'!$1:$1048576,ROW(),FALSE)</f>
        <v>0</v>
      </c>
      <c r="AC7794" s="580">
        <f>HLOOKUP("*"&amp;'Output annual'!$AC$2&amp;'Output annual'!$AD$2&amp;"*FangerPMV(Hourly)",'Eplus results'!$1:$1048576,ROW(),FALSE)</f>
        <v>0</v>
      </c>
      <c r="AD7794" s="580">
        <f t="shared" si="641"/>
        <v>5</v>
      </c>
      <c r="AE7794" s="580">
        <f t="shared" si="642"/>
        <v>2.5</v>
      </c>
      <c r="AF7794" s="580">
        <f t="shared" si="643"/>
        <v>2.5</v>
      </c>
      <c r="AG7794" s="580">
        <f t="shared" si="644"/>
        <v>0</v>
      </c>
      <c r="AH7794" s="580">
        <f t="shared" si="645"/>
        <v>0</v>
      </c>
    </row>
    <row r="7795" spans="28:34">
      <c r="AB7795" s="580">
        <f>HLOOKUP("*"&amp;'Output annual'!$AC$2&amp;'Output annual'!$AD$2&amp;"*Zone People Number Of Occupants [](Hourly)",'Eplus results'!$1:$1048576,ROW(),FALSE)</f>
        <v>0</v>
      </c>
      <c r="AC7795" s="580">
        <f>HLOOKUP("*"&amp;'Output annual'!$AC$2&amp;'Output annual'!$AD$2&amp;"*FangerPMV(Hourly)",'Eplus results'!$1:$1048576,ROW(),FALSE)</f>
        <v>0</v>
      </c>
      <c r="AD7795" s="580">
        <f t="shared" si="641"/>
        <v>5</v>
      </c>
      <c r="AE7795" s="580">
        <f t="shared" si="642"/>
        <v>2.5</v>
      </c>
      <c r="AF7795" s="580">
        <f t="shared" si="643"/>
        <v>2.5</v>
      </c>
      <c r="AG7795" s="580">
        <f t="shared" si="644"/>
        <v>0</v>
      </c>
      <c r="AH7795" s="580">
        <f t="shared" si="645"/>
        <v>0</v>
      </c>
    </row>
    <row r="7796" spans="28:34">
      <c r="AB7796" s="580">
        <f>HLOOKUP("*"&amp;'Output annual'!$AC$2&amp;'Output annual'!$AD$2&amp;"*Zone People Number Of Occupants [](Hourly)",'Eplus results'!$1:$1048576,ROW(),FALSE)</f>
        <v>0</v>
      </c>
      <c r="AC7796" s="580">
        <f>HLOOKUP("*"&amp;'Output annual'!$AC$2&amp;'Output annual'!$AD$2&amp;"*FangerPMV(Hourly)",'Eplus results'!$1:$1048576,ROW(),FALSE)</f>
        <v>0</v>
      </c>
      <c r="AD7796" s="580">
        <f t="shared" si="641"/>
        <v>5</v>
      </c>
      <c r="AE7796" s="580">
        <f t="shared" si="642"/>
        <v>2.5</v>
      </c>
      <c r="AF7796" s="580">
        <f t="shared" si="643"/>
        <v>2.5</v>
      </c>
      <c r="AG7796" s="580">
        <f t="shared" si="644"/>
        <v>0</v>
      </c>
      <c r="AH7796" s="580">
        <f t="shared" si="645"/>
        <v>0</v>
      </c>
    </row>
    <row r="7797" spans="28:34">
      <c r="AB7797" s="580">
        <f>HLOOKUP("*"&amp;'Output annual'!$AC$2&amp;'Output annual'!$AD$2&amp;"*Zone People Number Of Occupants [](Hourly)",'Eplus results'!$1:$1048576,ROW(),FALSE)</f>
        <v>0</v>
      </c>
      <c r="AC7797" s="580">
        <f>HLOOKUP("*"&amp;'Output annual'!$AC$2&amp;'Output annual'!$AD$2&amp;"*FangerPMV(Hourly)",'Eplus results'!$1:$1048576,ROW(),FALSE)</f>
        <v>0</v>
      </c>
      <c r="AD7797" s="580">
        <f t="shared" si="641"/>
        <v>5</v>
      </c>
      <c r="AE7797" s="580">
        <f t="shared" si="642"/>
        <v>2.5</v>
      </c>
      <c r="AF7797" s="580">
        <f t="shared" si="643"/>
        <v>2.5</v>
      </c>
      <c r="AG7797" s="580">
        <f t="shared" si="644"/>
        <v>0</v>
      </c>
      <c r="AH7797" s="580">
        <f t="shared" si="645"/>
        <v>0</v>
      </c>
    </row>
    <row r="7798" spans="28:34">
      <c r="AB7798" s="580">
        <f>HLOOKUP("*"&amp;'Output annual'!$AC$2&amp;'Output annual'!$AD$2&amp;"*Zone People Number Of Occupants [](Hourly)",'Eplus results'!$1:$1048576,ROW(),FALSE)</f>
        <v>0</v>
      </c>
      <c r="AC7798" s="580">
        <f>HLOOKUP("*"&amp;'Output annual'!$AC$2&amp;'Output annual'!$AD$2&amp;"*FangerPMV(Hourly)",'Eplus results'!$1:$1048576,ROW(),FALSE)</f>
        <v>0</v>
      </c>
      <c r="AD7798" s="580">
        <f t="shared" si="641"/>
        <v>5</v>
      </c>
      <c r="AE7798" s="580">
        <f t="shared" si="642"/>
        <v>2.5</v>
      </c>
      <c r="AF7798" s="580">
        <f t="shared" si="643"/>
        <v>2.5</v>
      </c>
      <c r="AG7798" s="580">
        <f t="shared" si="644"/>
        <v>0</v>
      </c>
      <c r="AH7798" s="580">
        <f t="shared" si="645"/>
        <v>0</v>
      </c>
    </row>
    <row r="7799" spans="28:34">
      <c r="AB7799" s="580">
        <f>HLOOKUP("*"&amp;'Output annual'!$AC$2&amp;'Output annual'!$AD$2&amp;"*Zone People Number Of Occupants [](Hourly)",'Eplus results'!$1:$1048576,ROW(),FALSE)</f>
        <v>0</v>
      </c>
      <c r="AC7799" s="580">
        <f>HLOOKUP("*"&amp;'Output annual'!$AC$2&amp;'Output annual'!$AD$2&amp;"*FangerPMV(Hourly)",'Eplus results'!$1:$1048576,ROW(),FALSE)</f>
        <v>0</v>
      </c>
      <c r="AD7799" s="580">
        <f t="shared" si="641"/>
        <v>5</v>
      </c>
      <c r="AE7799" s="580">
        <f t="shared" si="642"/>
        <v>2.5</v>
      </c>
      <c r="AF7799" s="580">
        <f t="shared" si="643"/>
        <v>2.5</v>
      </c>
      <c r="AG7799" s="580">
        <f t="shared" si="644"/>
        <v>0</v>
      </c>
      <c r="AH7799" s="580">
        <f t="shared" si="645"/>
        <v>0</v>
      </c>
    </row>
    <row r="7800" spans="28:34">
      <c r="AB7800" s="580">
        <f>HLOOKUP("*"&amp;'Output annual'!$AC$2&amp;'Output annual'!$AD$2&amp;"*Zone People Number Of Occupants [](Hourly)",'Eplus results'!$1:$1048576,ROW(),FALSE)</f>
        <v>0</v>
      </c>
      <c r="AC7800" s="580">
        <f>HLOOKUP("*"&amp;'Output annual'!$AC$2&amp;'Output annual'!$AD$2&amp;"*FangerPMV(Hourly)",'Eplus results'!$1:$1048576,ROW(),FALSE)</f>
        <v>0</v>
      </c>
      <c r="AD7800" s="580">
        <f t="shared" si="641"/>
        <v>5</v>
      </c>
      <c r="AE7800" s="580">
        <f t="shared" si="642"/>
        <v>2.5</v>
      </c>
      <c r="AF7800" s="580">
        <f t="shared" si="643"/>
        <v>2.5</v>
      </c>
      <c r="AG7800" s="580">
        <f t="shared" si="644"/>
        <v>0</v>
      </c>
      <c r="AH7800" s="580">
        <f t="shared" si="645"/>
        <v>0</v>
      </c>
    </row>
    <row r="7801" spans="28:34">
      <c r="AB7801" s="580">
        <f>HLOOKUP("*"&amp;'Output annual'!$AC$2&amp;'Output annual'!$AD$2&amp;"*Zone People Number Of Occupants [](Hourly)",'Eplus results'!$1:$1048576,ROW(),FALSE)</f>
        <v>0</v>
      </c>
      <c r="AC7801" s="580">
        <f>HLOOKUP("*"&amp;'Output annual'!$AC$2&amp;'Output annual'!$AD$2&amp;"*FangerPMV(Hourly)",'Eplus results'!$1:$1048576,ROW(),FALSE)</f>
        <v>0</v>
      </c>
      <c r="AD7801" s="580">
        <f t="shared" si="641"/>
        <v>5</v>
      </c>
      <c r="AE7801" s="580">
        <f t="shared" si="642"/>
        <v>2.5</v>
      </c>
      <c r="AF7801" s="580">
        <f t="shared" si="643"/>
        <v>2.5</v>
      </c>
      <c r="AG7801" s="580">
        <f t="shared" si="644"/>
        <v>0</v>
      </c>
      <c r="AH7801" s="580">
        <f t="shared" si="645"/>
        <v>0</v>
      </c>
    </row>
    <row r="7802" spans="28:34">
      <c r="AB7802" s="580">
        <f>HLOOKUP("*"&amp;'Output annual'!$AC$2&amp;'Output annual'!$AD$2&amp;"*Zone People Number Of Occupants [](Hourly)",'Eplus results'!$1:$1048576,ROW(),FALSE)</f>
        <v>0</v>
      </c>
      <c r="AC7802" s="580">
        <f>HLOOKUP("*"&amp;'Output annual'!$AC$2&amp;'Output annual'!$AD$2&amp;"*FangerPMV(Hourly)",'Eplus results'!$1:$1048576,ROW(),FALSE)</f>
        <v>0</v>
      </c>
      <c r="AD7802" s="580">
        <f t="shared" si="641"/>
        <v>5</v>
      </c>
      <c r="AE7802" s="580">
        <f t="shared" si="642"/>
        <v>2.5</v>
      </c>
      <c r="AF7802" s="580">
        <f t="shared" si="643"/>
        <v>2.5</v>
      </c>
      <c r="AG7802" s="580">
        <f t="shared" si="644"/>
        <v>0</v>
      </c>
      <c r="AH7802" s="580">
        <f t="shared" si="645"/>
        <v>0</v>
      </c>
    </row>
    <row r="7803" spans="28:34">
      <c r="AB7803" s="580">
        <f>HLOOKUP("*"&amp;'Output annual'!$AC$2&amp;'Output annual'!$AD$2&amp;"*Zone People Number Of Occupants [](Hourly)",'Eplus results'!$1:$1048576,ROW(),FALSE)</f>
        <v>0</v>
      </c>
      <c r="AC7803" s="580">
        <f>HLOOKUP("*"&amp;'Output annual'!$AC$2&amp;'Output annual'!$AD$2&amp;"*FangerPMV(Hourly)",'Eplus results'!$1:$1048576,ROW(),FALSE)</f>
        <v>0</v>
      </c>
      <c r="AD7803" s="580">
        <f t="shared" si="641"/>
        <v>5</v>
      </c>
      <c r="AE7803" s="580">
        <f t="shared" si="642"/>
        <v>2.5</v>
      </c>
      <c r="AF7803" s="580">
        <f t="shared" si="643"/>
        <v>2.5</v>
      </c>
      <c r="AG7803" s="580">
        <f t="shared" si="644"/>
        <v>0</v>
      </c>
      <c r="AH7803" s="580">
        <f t="shared" si="645"/>
        <v>0</v>
      </c>
    </row>
    <row r="7804" spans="28:34">
      <c r="AB7804" s="580">
        <f>HLOOKUP("*"&amp;'Output annual'!$AC$2&amp;'Output annual'!$AD$2&amp;"*Zone People Number Of Occupants [](Hourly)",'Eplus results'!$1:$1048576,ROW(),FALSE)</f>
        <v>0</v>
      </c>
      <c r="AC7804" s="580">
        <f>HLOOKUP("*"&amp;'Output annual'!$AC$2&amp;'Output annual'!$AD$2&amp;"*FangerPMV(Hourly)",'Eplus results'!$1:$1048576,ROW(),FALSE)</f>
        <v>0</v>
      </c>
      <c r="AD7804" s="580">
        <f t="shared" si="641"/>
        <v>5</v>
      </c>
      <c r="AE7804" s="580">
        <f t="shared" si="642"/>
        <v>2.5</v>
      </c>
      <c r="AF7804" s="580">
        <f t="shared" si="643"/>
        <v>2.5</v>
      </c>
      <c r="AG7804" s="580">
        <f t="shared" si="644"/>
        <v>0</v>
      </c>
      <c r="AH7804" s="580">
        <f t="shared" si="645"/>
        <v>0</v>
      </c>
    </row>
    <row r="7805" spans="28:34">
      <c r="AB7805" s="580">
        <f>HLOOKUP("*"&amp;'Output annual'!$AC$2&amp;'Output annual'!$AD$2&amp;"*Zone People Number Of Occupants [](Hourly)",'Eplus results'!$1:$1048576,ROW(),FALSE)</f>
        <v>0</v>
      </c>
      <c r="AC7805" s="580">
        <f>HLOOKUP("*"&amp;'Output annual'!$AC$2&amp;'Output annual'!$AD$2&amp;"*FangerPMV(Hourly)",'Eplus results'!$1:$1048576,ROW(),FALSE)</f>
        <v>0</v>
      </c>
      <c r="AD7805" s="580">
        <f t="shared" si="641"/>
        <v>5</v>
      </c>
      <c r="AE7805" s="580">
        <f t="shared" si="642"/>
        <v>2.5</v>
      </c>
      <c r="AF7805" s="580">
        <f t="shared" si="643"/>
        <v>2.5</v>
      </c>
      <c r="AG7805" s="580">
        <f t="shared" si="644"/>
        <v>0</v>
      </c>
      <c r="AH7805" s="580">
        <f t="shared" si="645"/>
        <v>0</v>
      </c>
    </row>
    <row r="7806" spans="28:34">
      <c r="AB7806" s="580">
        <f>HLOOKUP("*"&amp;'Output annual'!$AC$2&amp;'Output annual'!$AD$2&amp;"*Zone People Number Of Occupants [](Hourly)",'Eplus results'!$1:$1048576,ROW(),FALSE)</f>
        <v>0</v>
      </c>
      <c r="AC7806" s="580">
        <f>HLOOKUP("*"&amp;'Output annual'!$AC$2&amp;'Output annual'!$AD$2&amp;"*FangerPMV(Hourly)",'Eplus results'!$1:$1048576,ROW(),FALSE)</f>
        <v>0</v>
      </c>
      <c r="AD7806" s="580">
        <f t="shared" si="641"/>
        <v>5</v>
      </c>
      <c r="AE7806" s="580">
        <f t="shared" si="642"/>
        <v>2.5</v>
      </c>
      <c r="AF7806" s="580">
        <f t="shared" si="643"/>
        <v>2.5</v>
      </c>
      <c r="AG7806" s="580">
        <f t="shared" si="644"/>
        <v>0</v>
      </c>
      <c r="AH7806" s="580">
        <f t="shared" si="645"/>
        <v>0</v>
      </c>
    </row>
    <row r="7807" spans="28:34">
      <c r="AB7807" s="580">
        <f>HLOOKUP("*"&amp;'Output annual'!$AC$2&amp;'Output annual'!$AD$2&amp;"*Zone People Number Of Occupants [](Hourly)",'Eplus results'!$1:$1048576,ROW(),FALSE)</f>
        <v>0</v>
      </c>
      <c r="AC7807" s="580">
        <f>HLOOKUP("*"&amp;'Output annual'!$AC$2&amp;'Output annual'!$AD$2&amp;"*FangerPMV(Hourly)",'Eplus results'!$1:$1048576,ROW(),FALSE)</f>
        <v>0</v>
      </c>
      <c r="AD7807" s="580">
        <f t="shared" si="641"/>
        <v>5</v>
      </c>
      <c r="AE7807" s="580">
        <f t="shared" si="642"/>
        <v>2.5</v>
      </c>
      <c r="AF7807" s="580">
        <f t="shared" si="643"/>
        <v>2.5</v>
      </c>
      <c r="AG7807" s="580">
        <f t="shared" si="644"/>
        <v>0</v>
      </c>
      <c r="AH7807" s="580">
        <f t="shared" si="645"/>
        <v>0</v>
      </c>
    </row>
    <row r="7808" spans="28:34">
      <c r="AB7808" s="580">
        <f>HLOOKUP("*"&amp;'Output annual'!$AC$2&amp;'Output annual'!$AD$2&amp;"*Zone People Number Of Occupants [](Hourly)",'Eplus results'!$1:$1048576,ROW(),FALSE)</f>
        <v>0</v>
      </c>
      <c r="AC7808" s="580">
        <f>HLOOKUP("*"&amp;'Output annual'!$AC$2&amp;'Output annual'!$AD$2&amp;"*FangerPMV(Hourly)",'Eplus results'!$1:$1048576,ROW(),FALSE)</f>
        <v>0</v>
      </c>
      <c r="AD7808" s="580">
        <f t="shared" si="641"/>
        <v>5</v>
      </c>
      <c r="AE7808" s="580">
        <f t="shared" si="642"/>
        <v>2.5</v>
      </c>
      <c r="AF7808" s="580">
        <f t="shared" si="643"/>
        <v>2.5</v>
      </c>
      <c r="AG7808" s="580">
        <f t="shared" si="644"/>
        <v>0</v>
      </c>
      <c r="AH7808" s="580">
        <f t="shared" si="645"/>
        <v>0</v>
      </c>
    </row>
    <row r="7809" spans="28:34">
      <c r="AB7809" s="580">
        <f>HLOOKUP("*"&amp;'Output annual'!$AC$2&amp;'Output annual'!$AD$2&amp;"*Zone People Number Of Occupants [](Hourly)",'Eplus results'!$1:$1048576,ROW(),FALSE)</f>
        <v>0</v>
      </c>
      <c r="AC7809" s="580">
        <f>HLOOKUP("*"&amp;'Output annual'!$AC$2&amp;'Output annual'!$AD$2&amp;"*FangerPMV(Hourly)",'Eplus results'!$1:$1048576,ROW(),FALSE)</f>
        <v>0</v>
      </c>
      <c r="AD7809" s="580">
        <f t="shared" si="641"/>
        <v>5</v>
      </c>
      <c r="AE7809" s="580">
        <f t="shared" si="642"/>
        <v>2.5</v>
      </c>
      <c r="AF7809" s="580">
        <f t="shared" si="643"/>
        <v>2.5</v>
      </c>
      <c r="AG7809" s="580">
        <f t="shared" si="644"/>
        <v>0</v>
      </c>
      <c r="AH7809" s="580">
        <f t="shared" si="645"/>
        <v>0</v>
      </c>
    </row>
    <row r="7810" spans="28:34">
      <c r="AB7810" s="580">
        <f>HLOOKUP("*"&amp;'Output annual'!$AC$2&amp;'Output annual'!$AD$2&amp;"*Zone People Number Of Occupants [](Hourly)",'Eplus results'!$1:$1048576,ROW(),FALSE)</f>
        <v>0</v>
      </c>
      <c r="AC7810" s="580">
        <f>HLOOKUP("*"&amp;'Output annual'!$AC$2&amp;'Output annual'!$AD$2&amp;"*FangerPMV(Hourly)",'Eplus results'!$1:$1048576,ROW(),FALSE)</f>
        <v>0</v>
      </c>
      <c r="AD7810" s="580">
        <f t="shared" si="641"/>
        <v>5</v>
      </c>
      <c r="AE7810" s="580">
        <f t="shared" si="642"/>
        <v>2.5</v>
      </c>
      <c r="AF7810" s="580">
        <f t="shared" si="643"/>
        <v>2.5</v>
      </c>
      <c r="AG7810" s="580">
        <f t="shared" si="644"/>
        <v>0</v>
      </c>
      <c r="AH7810" s="580">
        <f t="shared" si="645"/>
        <v>0</v>
      </c>
    </row>
    <row r="7811" spans="28:34">
      <c r="AB7811" s="580">
        <f>HLOOKUP("*"&amp;'Output annual'!$AC$2&amp;'Output annual'!$AD$2&amp;"*Zone People Number Of Occupants [](Hourly)",'Eplus results'!$1:$1048576,ROW(),FALSE)</f>
        <v>0</v>
      </c>
      <c r="AC7811" s="580">
        <f>HLOOKUP("*"&amp;'Output annual'!$AC$2&amp;'Output annual'!$AD$2&amp;"*FangerPMV(Hourly)",'Eplus results'!$1:$1048576,ROW(),FALSE)</f>
        <v>0</v>
      </c>
      <c r="AD7811" s="580">
        <f t="shared" ref="AD7811:AD7874" si="646">100-95*EXP(-0.03353*AC7811^4-0.2179*AC7811^2)</f>
        <v>5</v>
      </c>
      <c r="AE7811" s="580">
        <f t="shared" ref="AE7811:AE7874" si="647">AD7811*(1/(1+EXP(-6.3*$AC7811)))</f>
        <v>2.5</v>
      </c>
      <c r="AF7811" s="580">
        <f t="shared" ref="AF7811:AF7874" si="648">(AD7811-AE7811)</f>
        <v>2.5</v>
      </c>
      <c r="AG7811" s="580">
        <f t="shared" ref="AG7811:AG7874" si="649">AE7811*AB7811</f>
        <v>0</v>
      </c>
      <c r="AH7811" s="580">
        <f t="shared" ref="AH7811:AH7874" si="650">AF7811*AB7811</f>
        <v>0</v>
      </c>
    </row>
    <row r="7812" spans="28:34">
      <c r="AB7812" s="580">
        <f>HLOOKUP("*"&amp;'Output annual'!$AC$2&amp;'Output annual'!$AD$2&amp;"*Zone People Number Of Occupants [](Hourly)",'Eplus results'!$1:$1048576,ROW(),FALSE)</f>
        <v>0</v>
      </c>
      <c r="AC7812" s="580">
        <f>HLOOKUP("*"&amp;'Output annual'!$AC$2&amp;'Output annual'!$AD$2&amp;"*FangerPMV(Hourly)",'Eplus results'!$1:$1048576,ROW(),FALSE)</f>
        <v>0</v>
      </c>
      <c r="AD7812" s="580">
        <f t="shared" si="646"/>
        <v>5</v>
      </c>
      <c r="AE7812" s="580">
        <f t="shared" si="647"/>
        <v>2.5</v>
      </c>
      <c r="AF7812" s="580">
        <f t="shared" si="648"/>
        <v>2.5</v>
      </c>
      <c r="AG7812" s="580">
        <f t="shared" si="649"/>
        <v>0</v>
      </c>
      <c r="AH7812" s="580">
        <f t="shared" si="650"/>
        <v>0</v>
      </c>
    </row>
    <row r="7813" spans="28:34">
      <c r="AB7813" s="580">
        <f>HLOOKUP("*"&amp;'Output annual'!$AC$2&amp;'Output annual'!$AD$2&amp;"*Zone People Number Of Occupants [](Hourly)",'Eplus results'!$1:$1048576,ROW(),FALSE)</f>
        <v>0</v>
      </c>
      <c r="AC7813" s="580">
        <f>HLOOKUP("*"&amp;'Output annual'!$AC$2&amp;'Output annual'!$AD$2&amp;"*FangerPMV(Hourly)",'Eplus results'!$1:$1048576,ROW(),FALSE)</f>
        <v>0</v>
      </c>
      <c r="AD7813" s="580">
        <f t="shared" si="646"/>
        <v>5</v>
      </c>
      <c r="AE7813" s="580">
        <f t="shared" si="647"/>
        <v>2.5</v>
      </c>
      <c r="AF7813" s="580">
        <f t="shared" si="648"/>
        <v>2.5</v>
      </c>
      <c r="AG7813" s="580">
        <f t="shared" si="649"/>
        <v>0</v>
      </c>
      <c r="AH7813" s="580">
        <f t="shared" si="650"/>
        <v>0</v>
      </c>
    </row>
    <row r="7814" spans="28:34">
      <c r="AB7814" s="580">
        <f>HLOOKUP("*"&amp;'Output annual'!$AC$2&amp;'Output annual'!$AD$2&amp;"*Zone People Number Of Occupants [](Hourly)",'Eplus results'!$1:$1048576,ROW(),FALSE)</f>
        <v>0</v>
      </c>
      <c r="AC7814" s="580">
        <f>HLOOKUP("*"&amp;'Output annual'!$AC$2&amp;'Output annual'!$AD$2&amp;"*FangerPMV(Hourly)",'Eplus results'!$1:$1048576,ROW(),FALSE)</f>
        <v>0</v>
      </c>
      <c r="AD7814" s="580">
        <f t="shared" si="646"/>
        <v>5</v>
      </c>
      <c r="AE7814" s="580">
        <f t="shared" si="647"/>
        <v>2.5</v>
      </c>
      <c r="AF7814" s="580">
        <f t="shared" si="648"/>
        <v>2.5</v>
      </c>
      <c r="AG7814" s="580">
        <f t="shared" si="649"/>
        <v>0</v>
      </c>
      <c r="AH7814" s="580">
        <f t="shared" si="650"/>
        <v>0</v>
      </c>
    </row>
    <row r="7815" spans="28:34">
      <c r="AB7815" s="580">
        <f>HLOOKUP("*"&amp;'Output annual'!$AC$2&amp;'Output annual'!$AD$2&amp;"*Zone People Number Of Occupants [](Hourly)",'Eplus results'!$1:$1048576,ROW(),FALSE)</f>
        <v>0</v>
      </c>
      <c r="AC7815" s="580">
        <f>HLOOKUP("*"&amp;'Output annual'!$AC$2&amp;'Output annual'!$AD$2&amp;"*FangerPMV(Hourly)",'Eplus results'!$1:$1048576,ROW(),FALSE)</f>
        <v>0</v>
      </c>
      <c r="AD7815" s="580">
        <f t="shared" si="646"/>
        <v>5</v>
      </c>
      <c r="AE7815" s="580">
        <f t="shared" si="647"/>
        <v>2.5</v>
      </c>
      <c r="AF7815" s="580">
        <f t="shared" si="648"/>
        <v>2.5</v>
      </c>
      <c r="AG7815" s="580">
        <f t="shared" si="649"/>
        <v>0</v>
      </c>
      <c r="AH7815" s="580">
        <f t="shared" si="650"/>
        <v>0</v>
      </c>
    </row>
    <row r="7816" spans="28:34">
      <c r="AB7816" s="580">
        <f>HLOOKUP("*"&amp;'Output annual'!$AC$2&amp;'Output annual'!$AD$2&amp;"*Zone People Number Of Occupants [](Hourly)",'Eplus results'!$1:$1048576,ROW(),FALSE)</f>
        <v>0</v>
      </c>
      <c r="AC7816" s="580">
        <f>HLOOKUP("*"&amp;'Output annual'!$AC$2&amp;'Output annual'!$AD$2&amp;"*FangerPMV(Hourly)",'Eplus results'!$1:$1048576,ROW(),FALSE)</f>
        <v>0</v>
      </c>
      <c r="AD7816" s="580">
        <f t="shared" si="646"/>
        <v>5</v>
      </c>
      <c r="AE7816" s="580">
        <f t="shared" si="647"/>
        <v>2.5</v>
      </c>
      <c r="AF7816" s="580">
        <f t="shared" si="648"/>
        <v>2.5</v>
      </c>
      <c r="AG7816" s="580">
        <f t="shared" si="649"/>
        <v>0</v>
      </c>
      <c r="AH7816" s="580">
        <f t="shared" si="650"/>
        <v>0</v>
      </c>
    </row>
    <row r="7817" spans="28:34">
      <c r="AB7817" s="580">
        <f>HLOOKUP("*"&amp;'Output annual'!$AC$2&amp;'Output annual'!$AD$2&amp;"*Zone People Number Of Occupants [](Hourly)",'Eplus results'!$1:$1048576,ROW(),FALSE)</f>
        <v>0</v>
      </c>
      <c r="AC7817" s="580">
        <f>HLOOKUP("*"&amp;'Output annual'!$AC$2&amp;'Output annual'!$AD$2&amp;"*FangerPMV(Hourly)",'Eplus results'!$1:$1048576,ROW(),FALSE)</f>
        <v>0</v>
      </c>
      <c r="AD7817" s="580">
        <f t="shared" si="646"/>
        <v>5</v>
      </c>
      <c r="AE7817" s="580">
        <f t="shared" si="647"/>
        <v>2.5</v>
      </c>
      <c r="AF7817" s="580">
        <f t="shared" si="648"/>
        <v>2.5</v>
      </c>
      <c r="AG7817" s="580">
        <f t="shared" si="649"/>
        <v>0</v>
      </c>
      <c r="AH7817" s="580">
        <f t="shared" si="650"/>
        <v>0</v>
      </c>
    </row>
    <row r="7818" spans="28:34">
      <c r="AB7818" s="580">
        <f>HLOOKUP("*"&amp;'Output annual'!$AC$2&amp;'Output annual'!$AD$2&amp;"*Zone People Number Of Occupants [](Hourly)",'Eplus results'!$1:$1048576,ROW(),FALSE)</f>
        <v>0</v>
      </c>
      <c r="AC7818" s="580">
        <f>HLOOKUP("*"&amp;'Output annual'!$AC$2&amp;'Output annual'!$AD$2&amp;"*FangerPMV(Hourly)",'Eplus results'!$1:$1048576,ROW(),FALSE)</f>
        <v>0</v>
      </c>
      <c r="AD7818" s="580">
        <f t="shared" si="646"/>
        <v>5</v>
      </c>
      <c r="AE7818" s="580">
        <f t="shared" si="647"/>
        <v>2.5</v>
      </c>
      <c r="AF7818" s="580">
        <f t="shared" si="648"/>
        <v>2.5</v>
      </c>
      <c r="AG7818" s="580">
        <f t="shared" si="649"/>
        <v>0</v>
      </c>
      <c r="AH7818" s="580">
        <f t="shared" si="650"/>
        <v>0</v>
      </c>
    </row>
    <row r="7819" spans="28:34">
      <c r="AB7819" s="580">
        <f>HLOOKUP("*"&amp;'Output annual'!$AC$2&amp;'Output annual'!$AD$2&amp;"*Zone People Number Of Occupants [](Hourly)",'Eplus results'!$1:$1048576,ROW(),FALSE)</f>
        <v>0</v>
      </c>
      <c r="AC7819" s="580">
        <f>HLOOKUP("*"&amp;'Output annual'!$AC$2&amp;'Output annual'!$AD$2&amp;"*FangerPMV(Hourly)",'Eplus results'!$1:$1048576,ROW(),FALSE)</f>
        <v>0</v>
      </c>
      <c r="AD7819" s="580">
        <f t="shared" si="646"/>
        <v>5</v>
      </c>
      <c r="AE7819" s="580">
        <f t="shared" si="647"/>
        <v>2.5</v>
      </c>
      <c r="AF7819" s="580">
        <f t="shared" si="648"/>
        <v>2.5</v>
      </c>
      <c r="AG7819" s="580">
        <f t="shared" si="649"/>
        <v>0</v>
      </c>
      <c r="AH7819" s="580">
        <f t="shared" si="650"/>
        <v>0</v>
      </c>
    </row>
    <row r="7820" spans="28:34">
      <c r="AB7820" s="580">
        <f>HLOOKUP("*"&amp;'Output annual'!$AC$2&amp;'Output annual'!$AD$2&amp;"*Zone People Number Of Occupants [](Hourly)",'Eplus results'!$1:$1048576,ROW(),FALSE)</f>
        <v>0</v>
      </c>
      <c r="AC7820" s="580">
        <f>HLOOKUP("*"&amp;'Output annual'!$AC$2&amp;'Output annual'!$AD$2&amp;"*FangerPMV(Hourly)",'Eplus results'!$1:$1048576,ROW(),FALSE)</f>
        <v>0</v>
      </c>
      <c r="AD7820" s="580">
        <f t="shared" si="646"/>
        <v>5</v>
      </c>
      <c r="AE7820" s="580">
        <f t="shared" si="647"/>
        <v>2.5</v>
      </c>
      <c r="AF7820" s="580">
        <f t="shared" si="648"/>
        <v>2.5</v>
      </c>
      <c r="AG7820" s="580">
        <f t="shared" si="649"/>
        <v>0</v>
      </c>
      <c r="AH7820" s="580">
        <f t="shared" si="650"/>
        <v>0</v>
      </c>
    </row>
    <row r="7821" spans="28:34">
      <c r="AB7821" s="580">
        <f>HLOOKUP("*"&amp;'Output annual'!$AC$2&amp;'Output annual'!$AD$2&amp;"*Zone People Number Of Occupants [](Hourly)",'Eplus results'!$1:$1048576,ROW(),FALSE)</f>
        <v>0</v>
      </c>
      <c r="AC7821" s="580">
        <f>HLOOKUP("*"&amp;'Output annual'!$AC$2&amp;'Output annual'!$AD$2&amp;"*FangerPMV(Hourly)",'Eplus results'!$1:$1048576,ROW(),FALSE)</f>
        <v>0</v>
      </c>
      <c r="AD7821" s="580">
        <f t="shared" si="646"/>
        <v>5</v>
      </c>
      <c r="AE7821" s="580">
        <f t="shared" si="647"/>
        <v>2.5</v>
      </c>
      <c r="AF7821" s="580">
        <f t="shared" si="648"/>
        <v>2.5</v>
      </c>
      <c r="AG7821" s="580">
        <f t="shared" si="649"/>
        <v>0</v>
      </c>
      <c r="AH7821" s="580">
        <f t="shared" si="650"/>
        <v>0</v>
      </c>
    </row>
    <row r="7822" spans="28:34">
      <c r="AB7822" s="580">
        <f>HLOOKUP("*"&amp;'Output annual'!$AC$2&amp;'Output annual'!$AD$2&amp;"*Zone People Number Of Occupants [](Hourly)",'Eplus results'!$1:$1048576,ROW(),FALSE)</f>
        <v>0</v>
      </c>
      <c r="AC7822" s="580">
        <f>HLOOKUP("*"&amp;'Output annual'!$AC$2&amp;'Output annual'!$AD$2&amp;"*FangerPMV(Hourly)",'Eplus results'!$1:$1048576,ROW(),FALSE)</f>
        <v>0</v>
      </c>
      <c r="AD7822" s="580">
        <f t="shared" si="646"/>
        <v>5</v>
      </c>
      <c r="AE7822" s="580">
        <f t="shared" si="647"/>
        <v>2.5</v>
      </c>
      <c r="AF7822" s="580">
        <f t="shared" si="648"/>
        <v>2.5</v>
      </c>
      <c r="AG7822" s="580">
        <f t="shared" si="649"/>
        <v>0</v>
      </c>
      <c r="AH7822" s="580">
        <f t="shared" si="650"/>
        <v>0</v>
      </c>
    </row>
    <row r="7823" spans="28:34">
      <c r="AB7823" s="580">
        <f>HLOOKUP("*"&amp;'Output annual'!$AC$2&amp;'Output annual'!$AD$2&amp;"*Zone People Number Of Occupants [](Hourly)",'Eplus results'!$1:$1048576,ROW(),FALSE)</f>
        <v>0</v>
      </c>
      <c r="AC7823" s="580">
        <f>HLOOKUP("*"&amp;'Output annual'!$AC$2&amp;'Output annual'!$AD$2&amp;"*FangerPMV(Hourly)",'Eplus results'!$1:$1048576,ROW(),FALSE)</f>
        <v>0</v>
      </c>
      <c r="AD7823" s="580">
        <f t="shared" si="646"/>
        <v>5</v>
      </c>
      <c r="AE7823" s="580">
        <f t="shared" si="647"/>
        <v>2.5</v>
      </c>
      <c r="AF7823" s="580">
        <f t="shared" si="648"/>
        <v>2.5</v>
      </c>
      <c r="AG7823" s="580">
        <f t="shared" si="649"/>
        <v>0</v>
      </c>
      <c r="AH7823" s="580">
        <f t="shared" si="650"/>
        <v>0</v>
      </c>
    </row>
    <row r="7824" spans="28:34">
      <c r="AB7824" s="580">
        <f>HLOOKUP("*"&amp;'Output annual'!$AC$2&amp;'Output annual'!$AD$2&amp;"*Zone People Number Of Occupants [](Hourly)",'Eplus results'!$1:$1048576,ROW(),FALSE)</f>
        <v>0</v>
      </c>
      <c r="AC7824" s="580">
        <f>HLOOKUP("*"&amp;'Output annual'!$AC$2&amp;'Output annual'!$AD$2&amp;"*FangerPMV(Hourly)",'Eplus results'!$1:$1048576,ROW(),FALSE)</f>
        <v>0</v>
      </c>
      <c r="AD7824" s="580">
        <f t="shared" si="646"/>
        <v>5</v>
      </c>
      <c r="AE7824" s="580">
        <f t="shared" si="647"/>
        <v>2.5</v>
      </c>
      <c r="AF7824" s="580">
        <f t="shared" si="648"/>
        <v>2.5</v>
      </c>
      <c r="AG7824" s="580">
        <f t="shared" si="649"/>
        <v>0</v>
      </c>
      <c r="AH7824" s="580">
        <f t="shared" si="650"/>
        <v>0</v>
      </c>
    </row>
    <row r="7825" spans="28:34">
      <c r="AB7825" s="580">
        <f>HLOOKUP("*"&amp;'Output annual'!$AC$2&amp;'Output annual'!$AD$2&amp;"*Zone People Number Of Occupants [](Hourly)",'Eplus results'!$1:$1048576,ROW(),FALSE)</f>
        <v>0</v>
      </c>
      <c r="AC7825" s="580">
        <f>HLOOKUP("*"&amp;'Output annual'!$AC$2&amp;'Output annual'!$AD$2&amp;"*FangerPMV(Hourly)",'Eplus results'!$1:$1048576,ROW(),FALSE)</f>
        <v>0</v>
      </c>
      <c r="AD7825" s="580">
        <f t="shared" si="646"/>
        <v>5</v>
      </c>
      <c r="AE7825" s="580">
        <f t="shared" si="647"/>
        <v>2.5</v>
      </c>
      <c r="AF7825" s="580">
        <f t="shared" si="648"/>
        <v>2.5</v>
      </c>
      <c r="AG7825" s="580">
        <f t="shared" si="649"/>
        <v>0</v>
      </c>
      <c r="AH7825" s="580">
        <f t="shared" si="650"/>
        <v>0</v>
      </c>
    </row>
    <row r="7826" spans="28:34">
      <c r="AB7826" s="580">
        <f>HLOOKUP("*"&amp;'Output annual'!$AC$2&amp;'Output annual'!$AD$2&amp;"*Zone People Number Of Occupants [](Hourly)",'Eplus results'!$1:$1048576,ROW(),FALSE)</f>
        <v>0</v>
      </c>
      <c r="AC7826" s="580">
        <f>HLOOKUP("*"&amp;'Output annual'!$AC$2&amp;'Output annual'!$AD$2&amp;"*FangerPMV(Hourly)",'Eplus results'!$1:$1048576,ROW(),FALSE)</f>
        <v>0</v>
      </c>
      <c r="AD7826" s="580">
        <f t="shared" si="646"/>
        <v>5</v>
      </c>
      <c r="AE7826" s="580">
        <f t="shared" si="647"/>
        <v>2.5</v>
      </c>
      <c r="AF7826" s="580">
        <f t="shared" si="648"/>
        <v>2.5</v>
      </c>
      <c r="AG7826" s="580">
        <f t="shared" si="649"/>
        <v>0</v>
      </c>
      <c r="AH7826" s="580">
        <f t="shared" si="650"/>
        <v>0</v>
      </c>
    </row>
    <row r="7827" spans="28:34">
      <c r="AB7827" s="580">
        <f>HLOOKUP("*"&amp;'Output annual'!$AC$2&amp;'Output annual'!$AD$2&amp;"*Zone People Number Of Occupants [](Hourly)",'Eplus results'!$1:$1048576,ROW(),FALSE)</f>
        <v>0</v>
      </c>
      <c r="AC7827" s="580">
        <f>HLOOKUP("*"&amp;'Output annual'!$AC$2&amp;'Output annual'!$AD$2&amp;"*FangerPMV(Hourly)",'Eplus results'!$1:$1048576,ROW(),FALSE)</f>
        <v>0</v>
      </c>
      <c r="AD7827" s="580">
        <f t="shared" si="646"/>
        <v>5</v>
      </c>
      <c r="AE7827" s="580">
        <f t="shared" si="647"/>
        <v>2.5</v>
      </c>
      <c r="AF7827" s="580">
        <f t="shared" si="648"/>
        <v>2.5</v>
      </c>
      <c r="AG7827" s="580">
        <f t="shared" si="649"/>
        <v>0</v>
      </c>
      <c r="AH7827" s="580">
        <f t="shared" si="650"/>
        <v>0</v>
      </c>
    </row>
    <row r="7828" spans="28:34">
      <c r="AB7828" s="580">
        <f>HLOOKUP("*"&amp;'Output annual'!$AC$2&amp;'Output annual'!$AD$2&amp;"*Zone People Number Of Occupants [](Hourly)",'Eplus results'!$1:$1048576,ROW(),FALSE)</f>
        <v>0</v>
      </c>
      <c r="AC7828" s="580">
        <f>HLOOKUP("*"&amp;'Output annual'!$AC$2&amp;'Output annual'!$AD$2&amp;"*FangerPMV(Hourly)",'Eplus results'!$1:$1048576,ROW(),FALSE)</f>
        <v>0</v>
      </c>
      <c r="AD7828" s="580">
        <f t="shared" si="646"/>
        <v>5</v>
      </c>
      <c r="AE7828" s="580">
        <f t="shared" si="647"/>
        <v>2.5</v>
      </c>
      <c r="AF7828" s="580">
        <f t="shared" si="648"/>
        <v>2.5</v>
      </c>
      <c r="AG7828" s="580">
        <f t="shared" si="649"/>
        <v>0</v>
      </c>
      <c r="AH7828" s="580">
        <f t="shared" si="650"/>
        <v>0</v>
      </c>
    </row>
    <row r="7829" spans="28:34">
      <c r="AB7829" s="580">
        <f>HLOOKUP("*"&amp;'Output annual'!$AC$2&amp;'Output annual'!$AD$2&amp;"*Zone People Number Of Occupants [](Hourly)",'Eplus results'!$1:$1048576,ROW(),FALSE)</f>
        <v>0</v>
      </c>
      <c r="AC7829" s="580">
        <f>HLOOKUP("*"&amp;'Output annual'!$AC$2&amp;'Output annual'!$AD$2&amp;"*FangerPMV(Hourly)",'Eplus results'!$1:$1048576,ROW(),FALSE)</f>
        <v>0</v>
      </c>
      <c r="AD7829" s="580">
        <f t="shared" si="646"/>
        <v>5</v>
      </c>
      <c r="AE7829" s="580">
        <f t="shared" si="647"/>
        <v>2.5</v>
      </c>
      <c r="AF7829" s="580">
        <f t="shared" si="648"/>
        <v>2.5</v>
      </c>
      <c r="AG7829" s="580">
        <f t="shared" si="649"/>
        <v>0</v>
      </c>
      <c r="AH7829" s="580">
        <f t="shared" si="650"/>
        <v>0</v>
      </c>
    </row>
    <row r="7830" spans="28:34">
      <c r="AB7830" s="580">
        <f>HLOOKUP("*"&amp;'Output annual'!$AC$2&amp;'Output annual'!$AD$2&amp;"*Zone People Number Of Occupants [](Hourly)",'Eplus results'!$1:$1048576,ROW(),FALSE)</f>
        <v>0</v>
      </c>
      <c r="AC7830" s="580">
        <f>HLOOKUP("*"&amp;'Output annual'!$AC$2&amp;'Output annual'!$AD$2&amp;"*FangerPMV(Hourly)",'Eplus results'!$1:$1048576,ROW(),FALSE)</f>
        <v>0</v>
      </c>
      <c r="AD7830" s="580">
        <f t="shared" si="646"/>
        <v>5</v>
      </c>
      <c r="AE7830" s="580">
        <f t="shared" si="647"/>
        <v>2.5</v>
      </c>
      <c r="AF7830" s="580">
        <f t="shared" si="648"/>
        <v>2.5</v>
      </c>
      <c r="AG7830" s="580">
        <f t="shared" si="649"/>
        <v>0</v>
      </c>
      <c r="AH7830" s="580">
        <f t="shared" si="650"/>
        <v>0</v>
      </c>
    </row>
    <row r="7831" spans="28:34">
      <c r="AB7831" s="580">
        <f>HLOOKUP("*"&amp;'Output annual'!$AC$2&amp;'Output annual'!$AD$2&amp;"*Zone People Number Of Occupants [](Hourly)",'Eplus results'!$1:$1048576,ROW(),FALSE)</f>
        <v>0</v>
      </c>
      <c r="AC7831" s="580">
        <f>HLOOKUP("*"&amp;'Output annual'!$AC$2&amp;'Output annual'!$AD$2&amp;"*FangerPMV(Hourly)",'Eplus results'!$1:$1048576,ROW(),FALSE)</f>
        <v>0</v>
      </c>
      <c r="AD7831" s="580">
        <f t="shared" si="646"/>
        <v>5</v>
      </c>
      <c r="AE7831" s="580">
        <f t="shared" si="647"/>
        <v>2.5</v>
      </c>
      <c r="AF7831" s="580">
        <f t="shared" si="648"/>
        <v>2.5</v>
      </c>
      <c r="AG7831" s="580">
        <f t="shared" si="649"/>
        <v>0</v>
      </c>
      <c r="AH7831" s="580">
        <f t="shared" si="650"/>
        <v>0</v>
      </c>
    </row>
    <row r="7832" spans="28:34">
      <c r="AB7832" s="580">
        <f>HLOOKUP("*"&amp;'Output annual'!$AC$2&amp;'Output annual'!$AD$2&amp;"*Zone People Number Of Occupants [](Hourly)",'Eplus results'!$1:$1048576,ROW(),FALSE)</f>
        <v>0</v>
      </c>
      <c r="AC7832" s="580">
        <f>HLOOKUP("*"&amp;'Output annual'!$AC$2&amp;'Output annual'!$AD$2&amp;"*FangerPMV(Hourly)",'Eplus results'!$1:$1048576,ROW(),FALSE)</f>
        <v>0</v>
      </c>
      <c r="AD7832" s="580">
        <f t="shared" si="646"/>
        <v>5</v>
      </c>
      <c r="AE7832" s="580">
        <f t="shared" si="647"/>
        <v>2.5</v>
      </c>
      <c r="AF7832" s="580">
        <f t="shared" si="648"/>
        <v>2.5</v>
      </c>
      <c r="AG7832" s="580">
        <f t="shared" si="649"/>
        <v>0</v>
      </c>
      <c r="AH7832" s="580">
        <f t="shared" si="650"/>
        <v>0</v>
      </c>
    </row>
    <row r="7833" spans="28:34">
      <c r="AB7833" s="580">
        <f>HLOOKUP("*"&amp;'Output annual'!$AC$2&amp;'Output annual'!$AD$2&amp;"*Zone People Number Of Occupants [](Hourly)",'Eplus results'!$1:$1048576,ROW(),FALSE)</f>
        <v>0</v>
      </c>
      <c r="AC7833" s="580">
        <f>HLOOKUP("*"&amp;'Output annual'!$AC$2&amp;'Output annual'!$AD$2&amp;"*FangerPMV(Hourly)",'Eplus results'!$1:$1048576,ROW(),FALSE)</f>
        <v>0</v>
      </c>
      <c r="AD7833" s="580">
        <f t="shared" si="646"/>
        <v>5</v>
      </c>
      <c r="AE7833" s="580">
        <f t="shared" si="647"/>
        <v>2.5</v>
      </c>
      <c r="AF7833" s="580">
        <f t="shared" si="648"/>
        <v>2.5</v>
      </c>
      <c r="AG7833" s="580">
        <f t="shared" si="649"/>
        <v>0</v>
      </c>
      <c r="AH7833" s="580">
        <f t="shared" si="650"/>
        <v>0</v>
      </c>
    </row>
    <row r="7834" spans="28:34">
      <c r="AB7834" s="580">
        <f>HLOOKUP("*"&amp;'Output annual'!$AC$2&amp;'Output annual'!$AD$2&amp;"*Zone People Number Of Occupants [](Hourly)",'Eplus results'!$1:$1048576,ROW(),FALSE)</f>
        <v>0</v>
      </c>
      <c r="AC7834" s="580">
        <f>HLOOKUP("*"&amp;'Output annual'!$AC$2&amp;'Output annual'!$AD$2&amp;"*FangerPMV(Hourly)",'Eplus results'!$1:$1048576,ROW(),FALSE)</f>
        <v>0</v>
      </c>
      <c r="AD7834" s="580">
        <f t="shared" si="646"/>
        <v>5</v>
      </c>
      <c r="AE7834" s="580">
        <f t="shared" si="647"/>
        <v>2.5</v>
      </c>
      <c r="AF7834" s="580">
        <f t="shared" si="648"/>
        <v>2.5</v>
      </c>
      <c r="AG7834" s="580">
        <f t="shared" si="649"/>
        <v>0</v>
      </c>
      <c r="AH7834" s="580">
        <f t="shared" si="650"/>
        <v>0</v>
      </c>
    </row>
    <row r="7835" spans="28:34">
      <c r="AB7835" s="580">
        <f>HLOOKUP("*"&amp;'Output annual'!$AC$2&amp;'Output annual'!$AD$2&amp;"*Zone People Number Of Occupants [](Hourly)",'Eplus results'!$1:$1048576,ROW(),FALSE)</f>
        <v>0</v>
      </c>
      <c r="AC7835" s="580">
        <f>HLOOKUP("*"&amp;'Output annual'!$AC$2&amp;'Output annual'!$AD$2&amp;"*FangerPMV(Hourly)",'Eplus results'!$1:$1048576,ROW(),FALSE)</f>
        <v>0</v>
      </c>
      <c r="AD7835" s="580">
        <f t="shared" si="646"/>
        <v>5</v>
      </c>
      <c r="AE7835" s="580">
        <f t="shared" si="647"/>
        <v>2.5</v>
      </c>
      <c r="AF7835" s="580">
        <f t="shared" si="648"/>
        <v>2.5</v>
      </c>
      <c r="AG7835" s="580">
        <f t="shared" si="649"/>
        <v>0</v>
      </c>
      <c r="AH7835" s="580">
        <f t="shared" si="650"/>
        <v>0</v>
      </c>
    </row>
    <row r="7836" spans="28:34">
      <c r="AB7836" s="580">
        <f>HLOOKUP("*"&amp;'Output annual'!$AC$2&amp;'Output annual'!$AD$2&amp;"*Zone People Number Of Occupants [](Hourly)",'Eplus results'!$1:$1048576,ROW(),FALSE)</f>
        <v>0</v>
      </c>
      <c r="AC7836" s="580">
        <f>HLOOKUP("*"&amp;'Output annual'!$AC$2&amp;'Output annual'!$AD$2&amp;"*FangerPMV(Hourly)",'Eplus results'!$1:$1048576,ROW(),FALSE)</f>
        <v>0</v>
      </c>
      <c r="AD7836" s="580">
        <f t="shared" si="646"/>
        <v>5</v>
      </c>
      <c r="AE7836" s="580">
        <f t="shared" si="647"/>
        <v>2.5</v>
      </c>
      <c r="AF7836" s="580">
        <f t="shared" si="648"/>
        <v>2.5</v>
      </c>
      <c r="AG7836" s="580">
        <f t="shared" si="649"/>
        <v>0</v>
      </c>
      <c r="AH7836" s="580">
        <f t="shared" si="650"/>
        <v>0</v>
      </c>
    </row>
    <row r="7837" spans="28:34">
      <c r="AB7837" s="580">
        <f>HLOOKUP("*"&amp;'Output annual'!$AC$2&amp;'Output annual'!$AD$2&amp;"*Zone People Number Of Occupants [](Hourly)",'Eplus results'!$1:$1048576,ROW(),FALSE)</f>
        <v>0</v>
      </c>
      <c r="AC7837" s="580">
        <f>HLOOKUP("*"&amp;'Output annual'!$AC$2&amp;'Output annual'!$AD$2&amp;"*FangerPMV(Hourly)",'Eplus results'!$1:$1048576,ROW(),FALSE)</f>
        <v>0</v>
      </c>
      <c r="AD7837" s="580">
        <f t="shared" si="646"/>
        <v>5</v>
      </c>
      <c r="AE7837" s="580">
        <f t="shared" si="647"/>
        <v>2.5</v>
      </c>
      <c r="AF7837" s="580">
        <f t="shared" si="648"/>
        <v>2.5</v>
      </c>
      <c r="AG7837" s="580">
        <f t="shared" si="649"/>
        <v>0</v>
      </c>
      <c r="AH7837" s="580">
        <f t="shared" si="650"/>
        <v>0</v>
      </c>
    </row>
    <row r="7838" spans="28:34">
      <c r="AB7838" s="580">
        <f>HLOOKUP("*"&amp;'Output annual'!$AC$2&amp;'Output annual'!$AD$2&amp;"*Zone People Number Of Occupants [](Hourly)",'Eplus results'!$1:$1048576,ROW(),FALSE)</f>
        <v>0</v>
      </c>
      <c r="AC7838" s="580">
        <f>HLOOKUP("*"&amp;'Output annual'!$AC$2&amp;'Output annual'!$AD$2&amp;"*FangerPMV(Hourly)",'Eplus results'!$1:$1048576,ROW(),FALSE)</f>
        <v>0</v>
      </c>
      <c r="AD7838" s="580">
        <f t="shared" si="646"/>
        <v>5</v>
      </c>
      <c r="AE7838" s="580">
        <f t="shared" si="647"/>
        <v>2.5</v>
      </c>
      <c r="AF7838" s="580">
        <f t="shared" si="648"/>
        <v>2.5</v>
      </c>
      <c r="AG7838" s="580">
        <f t="shared" si="649"/>
        <v>0</v>
      </c>
      <c r="AH7838" s="580">
        <f t="shared" si="650"/>
        <v>0</v>
      </c>
    </row>
    <row r="7839" spans="28:34">
      <c r="AB7839" s="580">
        <f>HLOOKUP("*"&amp;'Output annual'!$AC$2&amp;'Output annual'!$AD$2&amp;"*Zone People Number Of Occupants [](Hourly)",'Eplus results'!$1:$1048576,ROW(),FALSE)</f>
        <v>0</v>
      </c>
      <c r="AC7839" s="580">
        <f>HLOOKUP("*"&amp;'Output annual'!$AC$2&amp;'Output annual'!$AD$2&amp;"*FangerPMV(Hourly)",'Eplus results'!$1:$1048576,ROW(),FALSE)</f>
        <v>0</v>
      </c>
      <c r="AD7839" s="580">
        <f t="shared" si="646"/>
        <v>5</v>
      </c>
      <c r="AE7839" s="580">
        <f t="shared" si="647"/>
        <v>2.5</v>
      </c>
      <c r="AF7839" s="580">
        <f t="shared" si="648"/>
        <v>2.5</v>
      </c>
      <c r="AG7839" s="580">
        <f t="shared" si="649"/>
        <v>0</v>
      </c>
      <c r="AH7839" s="580">
        <f t="shared" si="650"/>
        <v>0</v>
      </c>
    </row>
    <row r="7840" spans="28:34">
      <c r="AB7840" s="580">
        <f>HLOOKUP("*"&amp;'Output annual'!$AC$2&amp;'Output annual'!$AD$2&amp;"*Zone People Number Of Occupants [](Hourly)",'Eplus results'!$1:$1048576,ROW(),FALSE)</f>
        <v>0</v>
      </c>
      <c r="AC7840" s="580">
        <f>HLOOKUP("*"&amp;'Output annual'!$AC$2&amp;'Output annual'!$AD$2&amp;"*FangerPMV(Hourly)",'Eplus results'!$1:$1048576,ROW(),FALSE)</f>
        <v>0</v>
      </c>
      <c r="AD7840" s="580">
        <f t="shared" si="646"/>
        <v>5</v>
      </c>
      <c r="AE7840" s="580">
        <f t="shared" si="647"/>
        <v>2.5</v>
      </c>
      <c r="AF7840" s="580">
        <f t="shared" si="648"/>
        <v>2.5</v>
      </c>
      <c r="AG7840" s="580">
        <f t="shared" si="649"/>
        <v>0</v>
      </c>
      <c r="AH7840" s="580">
        <f t="shared" si="650"/>
        <v>0</v>
      </c>
    </row>
    <row r="7841" spans="28:34">
      <c r="AB7841" s="580">
        <f>HLOOKUP("*"&amp;'Output annual'!$AC$2&amp;'Output annual'!$AD$2&amp;"*Zone People Number Of Occupants [](Hourly)",'Eplus results'!$1:$1048576,ROW(),FALSE)</f>
        <v>0</v>
      </c>
      <c r="AC7841" s="580">
        <f>HLOOKUP("*"&amp;'Output annual'!$AC$2&amp;'Output annual'!$AD$2&amp;"*FangerPMV(Hourly)",'Eplus results'!$1:$1048576,ROW(),FALSE)</f>
        <v>0</v>
      </c>
      <c r="AD7841" s="580">
        <f t="shared" si="646"/>
        <v>5</v>
      </c>
      <c r="AE7841" s="580">
        <f t="shared" si="647"/>
        <v>2.5</v>
      </c>
      <c r="AF7841" s="580">
        <f t="shared" si="648"/>
        <v>2.5</v>
      </c>
      <c r="AG7841" s="580">
        <f t="shared" si="649"/>
        <v>0</v>
      </c>
      <c r="AH7841" s="580">
        <f t="shared" si="650"/>
        <v>0</v>
      </c>
    </row>
    <row r="7842" spans="28:34">
      <c r="AB7842" s="580">
        <f>HLOOKUP("*"&amp;'Output annual'!$AC$2&amp;'Output annual'!$AD$2&amp;"*Zone People Number Of Occupants [](Hourly)",'Eplus results'!$1:$1048576,ROW(),FALSE)</f>
        <v>0</v>
      </c>
      <c r="AC7842" s="580">
        <f>HLOOKUP("*"&amp;'Output annual'!$AC$2&amp;'Output annual'!$AD$2&amp;"*FangerPMV(Hourly)",'Eplus results'!$1:$1048576,ROW(),FALSE)</f>
        <v>0</v>
      </c>
      <c r="AD7842" s="580">
        <f t="shared" si="646"/>
        <v>5</v>
      </c>
      <c r="AE7842" s="580">
        <f t="shared" si="647"/>
        <v>2.5</v>
      </c>
      <c r="AF7842" s="580">
        <f t="shared" si="648"/>
        <v>2.5</v>
      </c>
      <c r="AG7842" s="580">
        <f t="shared" si="649"/>
        <v>0</v>
      </c>
      <c r="AH7842" s="580">
        <f t="shared" si="650"/>
        <v>0</v>
      </c>
    </row>
    <row r="7843" spans="28:34">
      <c r="AB7843" s="580">
        <f>HLOOKUP("*"&amp;'Output annual'!$AC$2&amp;'Output annual'!$AD$2&amp;"*Zone People Number Of Occupants [](Hourly)",'Eplus results'!$1:$1048576,ROW(),FALSE)</f>
        <v>0</v>
      </c>
      <c r="AC7843" s="580">
        <f>HLOOKUP("*"&amp;'Output annual'!$AC$2&amp;'Output annual'!$AD$2&amp;"*FangerPMV(Hourly)",'Eplus results'!$1:$1048576,ROW(),FALSE)</f>
        <v>0</v>
      </c>
      <c r="AD7843" s="580">
        <f t="shared" si="646"/>
        <v>5</v>
      </c>
      <c r="AE7843" s="580">
        <f t="shared" si="647"/>
        <v>2.5</v>
      </c>
      <c r="AF7843" s="580">
        <f t="shared" si="648"/>
        <v>2.5</v>
      </c>
      <c r="AG7843" s="580">
        <f t="shared" si="649"/>
        <v>0</v>
      </c>
      <c r="AH7843" s="580">
        <f t="shared" si="650"/>
        <v>0</v>
      </c>
    </row>
    <row r="7844" spans="28:34">
      <c r="AB7844" s="580">
        <f>HLOOKUP("*"&amp;'Output annual'!$AC$2&amp;'Output annual'!$AD$2&amp;"*Zone People Number Of Occupants [](Hourly)",'Eplus results'!$1:$1048576,ROW(),FALSE)</f>
        <v>0</v>
      </c>
      <c r="AC7844" s="580">
        <f>HLOOKUP("*"&amp;'Output annual'!$AC$2&amp;'Output annual'!$AD$2&amp;"*FangerPMV(Hourly)",'Eplus results'!$1:$1048576,ROW(),FALSE)</f>
        <v>0</v>
      </c>
      <c r="AD7844" s="580">
        <f t="shared" si="646"/>
        <v>5</v>
      </c>
      <c r="AE7844" s="580">
        <f t="shared" si="647"/>
        <v>2.5</v>
      </c>
      <c r="AF7844" s="580">
        <f t="shared" si="648"/>
        <v>2.5</v>
      </c>
      <c r="AG7844" s="580">
        <f t="shared" si="649"/>
        <v>0</v>
      </c>
      <c r="AH7844" s="580">
        <f t="shared" si="650"/>
        <v>0</v>
      </c>
    </row>
    <row r="7845" spans="28:34">
      <c r="AB7845" s="580">
        <f>HLOOKUP("*"&amp;'Output annual'!$AC$2&amp;'Output annual'!$AD$2&amp;"*Zone People Number Of Occupants [](Hourly)",'Eplus results'!$1:$1048576,ROW(),FALSE)</f>
        <v>0</v>
      </c>
      <c r="AC7845" s="580">
        <f>HLOOKUP("*"&amp;'Output annual'!$AC$2&amp;'Output annual'!$AD$2&amp;"*FangerPMV(Hourly)",'Eplus results'!$1:$1048576,ROW(),FALSE)</f>
        <v>0</v>
      </c>
      <c r="AD7845" s="580">
        <f t="shared" si="646"/>
        <v>5</v>
      </c>
      <c r="AE7845" s="580">
        <f t="shared" si="647"/>
        <v>2.5</v>
      </c>
      <c r="AF7845" s="580">
        <f t="shared" si="648"/>
        <v>2.5</v>
      </c>
      <c r="AG7845" s="580">
        <f t="shared" si="649"/>
        <v>0</v>
      </c>
      <c r="AH7845" s="580">
        <f t="shared" si="650"/>
        <v>0</v>
      </c>
    </row>
    <row r="7846" spans="28:34">
      <c r="AB7846" s="580">
        <f>HLOOKUP("*"&amp;'Output annual'!$AC$2&amp;'Output annual'!$AD$2&amp;"*Zone People Number Of Occupants [](Hourly)",'Eplus results'!$1:$1048576,ROW(),FALSE)</f>
        <v>0</v>
      </c>
      <c r="AC7846" s="580">
        <f>HLOOKUP("*"&amp;'Output annual'!$AC$2&amp;'Output annual'!$AD$2&amp;"*FangerPMV(Hourly)",'Eplus results'!$1:$1048576,ROW(),FALSE)</f>
        <v>0</v>
      </c>
      <c r="AD7846" s="580">
        <f t="shared" si="646"/>
        <v>5</v>
      </c>
      <c r="AE7846" s="580">
        <f t="shared" si="647"/>
        <v>2.5</v>
      </c>
      <c r="AF7846" s="580">
        <f t="shared" si="648"/>
        <v>2.5</v>
      </c>
      <c r="AG7846" s="580">
        <f t="shared" si="649"/>
        <v>0</v>
      </c>
      <c r="AH7846" s="580">
        <f t="shared" si="650"/>
        <v>0</v>
      </c>
    </row>
    <row r="7847" spans="28:34">
      <c r="AB7847" s="580">
        <f>HLOOKUP("*"&amp;'Output annual'!$AC$2&amp;'Output annual'!$AD$2&amp;"*Zone People Number Of Occupants [](Hourly)",'Eplus results'!$1:$1048576,ROW(),FALSE)</f>
        <v>0</v>
      </c>
      <c r="AC7847" s="580">
        <f>HLOOKUP("*"&amp;'Output annual'!$AC$2&amp;'Output annual'!$AD$2&amp;"*FangerPMV(Hourly)",'Eplus results'!$1:$1048576,ROW(),FALSE)</f>
        <v>0</v>
      </c>
      <c r="AD7847" s="580">
        <f t="shared" si="646"/>
        <v>5</v>
      </c>
      <c r="AE7847" s="580">
        <f t="shared" si="647"/>
        <v>2.5</v>
      </c>
      <c r="AF7847" s="580">
        <f t="shared" si="648"/>
        <v>2.5</v>
      </c>
      <c r="AG7847" s="580">
        <f t="shared" si="649"/>
        <v>0</v>
      </c>
      <c r="AH7847" s="580">
        <f t="shared" si="650"/>
        <v>0</v>
      </c>
    </row>
    <row r="7848" spans="28:34">
      <c r="AB7848" s="580">
        <f>HLOOKUP("*"&amp;'Output annual'!$AC$2&amp;'Output annual'!$AD$2&amp;"*Zone People Number Of Occupants [](Hourly)",'Eplus results'!$1:$1048576,ROW(),FALSE)</f>
        <v>0</v>
      </c>
      <c r="AC7848" s="580">
        <f>HLOOKUP("*"&amp;'Output annual'!$AC$2&amp;'Output annual'!$AD$2&amp;"*FangerPMV(Hourly)",'Eplus results'!$1:$1048576,ROW(),FALSE)</f>
        <v>0</v>
      </c>
      <c r="AD7848" s="580">
        <f t="shared" si="646"/>
        <v>5</v>
      </c>
      <c r="AE7848" s="580">
        <f t="shared" si="647"/>
        <v>2.5</v>
      </c>
      <c r="AF7848" s="580">
        <f t="shared" si="648"/>
        <v>2.5</v>
      </c>
      <c r="AG7848" s="580">
        <f t="shared" si="649"/>
        <v>0</v>
      </c>
      <c r="AH7848" s="580">
        <f t="shared" si="650"/>
        <v>0</v>
      </c>
    </row>
    <row r="7849" spans="28:34">
      <c r="AB7849" s="580">
        <f>HLOOKUP("*"&amp;'Output annual'!$AC$2&amp;'Output annual'!$AD$2&amp;"*Zone People Number Of Occupants [](Hourly)",'Eplus results'!$1:$1048576,ROW(),FALSE)</f>
        <v>0</v>
      </c>
      <c r="AC7849" s="580">
        <f>HLOOKUP("*"&amp;'Output annual'!$AC$2&amp;'Output annual'!$AD$2&amp;"*FangerPMV(Hourly)",'Eplus results'!$1:$1048576,ROW(),FALSE)</f>
        <v>0</v>
      </c>
      <c r="AD7849" s="580">
        <f t="shared" si="646"/>
        <v>5</v>
      </c>
      <c r="AE7849" s="580">
        <f t="shared" si="647"/>
        <v>2.5</v>
      </c>
      <c r="AF7849" s="580">
        <f t="shared" si="648"/>
        <v>2.5</v>
      </c>
      <c r="AG7849" s="580">
        <f t="shared" si="649"/>
        <v>0</v>
      </c>
      <c r="AH7849" s="580">
        <f t="shared" si="650"/>
        <v>0</v>
      </c>
    </row>
    <row r="7850" spans="28:34">
      <c r="AB7850" s="580">
        <f>HLOOKUP("*"&amp;'Output annual'!$AC$2&amp;'Output annual'!$AD$2&amp;"*Zone People Number Of Occupants [](Hourly)",'Eplus results'!$1:$1048576,ROW(),FALSE)</f>
        <v>0</v>
      </c>
      <c r="AC7850" s="580">
        <f>HLOOKUP("*"&amp;'Output annual'!$AC$2&amp;'Output annual'!$AD$2&amp;"*FangerPMV(Hourly)",'Eplus results'!$1:$1048576,ROW(),FALSE)</f>
        <v>0</v>
      </c>
      <c r="AD7850" s="580">
        <f t="shared" si="646"/>
        <v>5</v>
      </c>
      <c r="AE7850" s="580">
        <f t="shared" si="647"/>
        <v>2.5</v>
      </c>
      <c r="AF7850" s="580">
        <f t="shared" si="648"/>
        <v>2.5</v>
      </c>
      <c r="AG7850" s="580">
        <f t="shared" si="649"/>
        <v>0</v>
      </c>
      <c r="AH7850" s="580">
        <f t="shared" si="650"/>
        <v>0</v>
      </c>
    </row>
    <row r="7851" spans="28:34">
      <c r="AB7851" s="580">
        <f>HLOOKUP("*"&amp;'Output annual'!$AC$2&amp;'Output annual'!$AD$2&amp;"*Zone People Number Of Occupants [](Hourly)",'Eplus results'!$1:$1048576,ROW(),FALSE)</f>
        <v>0</v>
      </c>
      <c r="AC7851" s="580">
        <f>HLOOKUP("*"&amp;'Output annual'!$AC$2&amp;'Output annual'!$AD$2&amp;"*FangerPMV(Hourly)",'Eplus results'!$1:$1048576,ROW(),FALSE)</f>
        <v>0</v>
      </c>
      <c r="AD7851" s="580">
        <f t="shared" si="646"/>
        <v>5</v>
      </c>
      <c r="AE7851" s="580">
        <f t="shared" si="647"/>
        <v>2.5</v>
      </c>
      <c r="AF7851" s="580">
        <f t="shared" si="648"/>
        <v>2.5</v>
      </c>
      <c r="AG7851" s="580">
        <f t="shared" si="649"/>
        <v>0</v>
      </c>
      <c r="AH7851" s="580">
        <f t="shared" si="650"/>
        <v>0</v>
      </c>
    </row>
    <row r="7852" spans="28:34">
      <c r="AB7852" s="580">
        <f>HLOOKUP("*"&amp;'Output annual'!$AC$2&amp;'Output annual'!$AD$2&amp;"*Zone People Number Of Occupants [](Hourly)",'Eplus results'!$1:$1048576,ROW(),FALSE)</f>
        <v>0</v>
      </c>
      <c r="AC7852" s="580">
        <f>HLOOKUP("*"&amp;'Output annual'!$AC$2&amp;'Output annual'!$AD$2&amp;"*FangerPMV(Hourly)",'Eplus results'!$1:$1048576,ROW(),FALSE)</f>
        <v>0</v>
      </c>
      <c r="AD7852" s="580">
        <f t="shared" si="646"/>
        <v>5</v>
      </c>
      <c r="AE7852" s="580">
        <f t="shared" si="647"/>
        <v>2.5</v>
      </c>
      <c r="AF7852" s="580">
        <f t="shared" si="648"/>
        <v>2.5</v>
      </c>
      <c r="AG7852" s="580">
        <f t="shared" si="649"/>
        <v>0</v>
      </c>
      <c r="AH7852" s="580">
        <f t="shared" si="650"/>
        <v>0</v>
      </c>
    </row>
    <row r="7853" spans="28:34">
      <c r="AB7853" s="580">
        <f>HLOOKUP("*"&amp;'Output annual'!$AC$2&amp;'Output annual'!$AD$2&amp;"*Zone People Number Of Occupants [](Hourly)",'Eplus results'!$1:$1048576,ROW(),FALSE)</f>
        <v>0</v>
      </c>
      <c r="AC7853" s="580">
        <f>HLOOKUP("*"&amp;'Output annual'!$AC$2&amp;'Output annual'!$AD$2&amp;"*FangerPMV(Hourly)",'Eplus results'!$1:$1048576,ROW(),FALSE)</f>
        <v>0</v>
      </c>
      <c r="AD7853" s="580">
        <f t="shared" si="646"/>
        <v>5</v>
      </c>
      <c r="AE7853" s="580">
        <f t="shared" si="647"/>
        <v>2.5</v>
      </c>
      <c r="AF7853" s="580">
        <f t="shared" si="648"/>
        <v>2.5</v>
      </c>
      <c r="AG7853" s="580">
        <f t="shared" si="649"/>
        <v>0</v>
      </c>
      <c r="AH7853" s="580">
        <f t="shared" si="650"/>
        <v>0</v>
      </c>
    </row>
    <row r="7854" spans="28:34">
      <c r="AB7854" s="580">
        <f>HLOOKUP("*"&amp;'Output annual'!$AC$2&amp;'Output annual'!$AD$2&amp;"*Zone People Number Of Occupants [](Hourly)",'Eplus results'!$1:$1048576,ROW(),FALSE)</f>
        <v>0</v>
      </c>
      <c r="AC7854" s="580">
        <f>HLOOKUP("*"&amp;'Output annual'!$AC$2&amp;'Output annual'!$AD$2&amp;"*FangerPMV(Hourly)",'Eplus results'!$1:$1048576,ROW(),FALSE)</f>
        <v>0</v>
      </c>
      <c r="AD7854" s="580">
        <f t="shared" si="646"/>
        <v>5</v>
      </c>
      <c r="AE7854" s="580">
        <f t="shared" si="647"/>
        <v>2.5</v>
      </c>
      <c r="AF7854" s="580">
        <f t="shared" si="648"/>
        <v>2.5</v>
      </c>
      <c r="AG7854" s="580">
        <f t="shared" si="649"/>
        <v>0</v>
      </c>
      <c r="AH7854" s="580">
        <f t="shared" si="650"/>
        <v>0</v>
      </c>
    </row>
    <row r="7855" spans="28:34">
      <c r="AB7855" s="580">
        <f>HLOOKUP("*"&amp;'Output annual'!$AC$2&amp;'Output annual'!$AD$2&amp;"*Zone People Number Of Occupants [](Hourly)",'Eplus results'!$1:$1048576,ROW(),FALSE)</f>
        <v>0</v>
      </c>
      <c r="AC7855" s="580">
        <f>HLOOKUP("*"&amp;'Output annual'!$AC$2&amp;'Output annual'!$AD$2&amp;"*FangerPMV(Hourly)",'Eplus results'!$1:$1048576,ROW(),FALSE)</f>
        <v>0</v>
      </c>
      <c r="AD7855" s="580">
        <f t="shared" si="646"/>
        <v>5</v>
      </c>
      <c r="AE7855" s="580">
        <f t="shared" si="647"/>
        <v>2.5</v>
      </c>
      <c r="AF7855" s="580">
        <f t="shared" si="648"/>
        <v>2.5</v>
      </c>
      <c r="AG7855" s="580">
        <f t="shared" si="649"/>
        <v>0</v>
      </c>
      <c r="AH7855" s="580">
        <f t="shared" si="650"/>
        <v>0</v>
      </c>
    </row>
    <row r="7856" spans="28:34">
      <c r="AB7856" s="580">
        <f>HLOOKUP("*"&amp;'Output annual'!$AC$2&amp;'Output annual'!$AD$2&amp;"*Zone People Number Of Occupants [](Hourly)",'Eplus results'!$1:$1048576,ROW(),FALSE)</f>
        <v>0</v>
      </c>
      <c r="AC7856" s="580">
        <f>HLOOKUP("*"&amp;'Output annual'!$AC$2&amp;'Output annual'!$AD$2&amp;"*FangerPMV(Hourly)",'Eplus results'!$1:$1048576,ROW(),FALSE)</f>
        <v>0</v>
      </c>
      <c r="AD7856" s="580">
        <f t="shared" si="646"/>
        <v>5</v>
      </c>
      <c r="AE7856" s="580">
        <f t="shared" si="647"/>
        <v>2.5</v>
      </c>
      <c r="AF7856" s="580">
        <f t="shared" si="648"/>
        <v>2.5</v>
      </c>
      <c r="AG7856" s="580">
        <f t="shared" si="649"/>
        <v>0</v>
      </c>
      <c r="AH7856" s="580">
        <f t="shared" si="650"/>
        <v>0</v>
      </c>
    </row>
    <row r="7857" spans="28:34">
      <c r="AB7857" s="580">
        <f>HLOOKUP("*"&amp;'Output annual'!$AC$2&amp;'Output annual'!$AD$2&amp;"*Zone People Number Of Occupants [](Hourly)",'Eplus results'!$1:$1048576,ROW(),FALSE)</f>
        <v>0</v>
      </c>
      <c r="AC7857" s="580">
        <f>HLOOKUP("*"&amp;'Output annual'!$AC$2&amp;'Output annual'!$AD$2&amp;"*FangerPMV(Hourly)",'Eplus results'!$1:$1048576,ROW(),FALSE)</f>
        <v>0</v>
      </c>
      <c r="AD7857" s="580">
        <f t="shared" si="646"/>
        <v>5</v>
      </c>
      <c r="AE7857" s="580">
        <f t="shared" si="647"/>
        <v>2.5</v>
      </c>
      <c r="AF7857" s="580">
        <f t="shared" si="648"/>
        <v>2.5</v>
      </c>
      <c r="AG7857" s="580">
        <f t="shared" si="649"/>
        <v>0</v>
      </c>
      <c r="AH7857" s="580">
        <f t="shared" si="650"/>
        <v>0</v>
      </c>
    </row>
    <row r="7858" spans="28:34">
      <c r="AB7858" s="580">
        <f>HLOOKUP("*"&amp;'Output annual'!$AC$2&amp;'Output annual'!$AD$2&amp;"*Zone People Number Of Occupants [](Hourly)",'Eplus results'!$1:$1048576,ROW(),FALSE)</f>
        <v>0</v>
      </c>
      <c r="AC7858" s="580">
        <f>HLOOKUP("*"&amp;'Output annual'!$AC$2&amp;'Output annual'!$AD$2&amp;"*FangerPMV(Hourly)",'Eplus results'!$1:$1048576,ROW(),FALSE)</f>
        <v>0</v>
      </c>
      <c r="AD7858" s="580">
        <f t="shared" si="646"/>
        <v>5</v>
      </c>
      <c r="AE7858" s="580">
        <f t="shared" si="647"/>
        <v>2.5</v>
      </c>
      <c r="AF7858" s="580">
        <f t="shared" si="648"/>
        <v>2.5</v>
      </c>
      <c r="AG7858" s="580">
        <f t="shared" si="649"/>
        <v>0</v>
      </c>
      <c r="AH7858" s="580">
        <f t="shared" si="650"/>
        <v>0</v>
      </c>
    </row>
    <row r="7859" spans="28:34">
      <c r="AB7859" s="580">
        <f>HLOOKUP("*"&amp;'Output annual'!$AC$2&amp;'Output annual'!$AD$2&amp;"*Zone People Number Of Occupants [](Hourly)",'Eplus results'!$1:$1048576,ROW(),FALSE)</f>
        <v>0</v>
      </c>
      <c r="AC7859" s="580">
        <f>HLOOKUP("*"&amp;'Output annual'!$AC$2&amp;'Output annual'!$AD$2&amp;"*FangerPMV(Hourly)",'Eplus results'!$1:$1048576,ROW(),FALSE)</f>
        <v>0</v>
      </c>
      <c r="AD7859" s="580">
        <f t="shared" si="646"/>
        <v>5</v>
      </c>
      <c r="AE7859" s="580">
        <f t="shared" si="647"/>
        <v>2.5</v>
      </c>
      <c r="AF7859" s="580">
        <f t="shared" si="648"/>
        <v>2.5</v>
      </c>
      <c r="AG7859" s="580">
        <f t="shared" si="649"/>
        <v>0</v>
      </c>
      <c r="AH7859" s="580">
        <f t="shared" si="650"/>
        <v>0</v>
      </c>
    </row>
    <row r="7860" spans="28:34">
      <c r="AB7860" s="580">
        <f>HLOOKUP("*"&amp;'Output annual'!$AC$2&amp;'Output annual'!$AD$2&amp;"*Zone People Number Of Occupants [](Hourly)",'Eplus results'!$1:$1048576,ROW(),FALSE)</f>
        <v>0</v>
      </c>
      <c r="AC7860" s="580">
        <f>HLOOKUP("*"&amp;'Output annual'!$AC$2&amp;'Output annual'!$AD$2&amp;"*FangerPMV(Hourly)",'Eplus results'!$1:$1048576,ROW(),FALSE)</f>
        <v>0</v>
      </c>
      <c r="AD7860" s="580">
        <f t="shared" si="646"/>
        <v>5</v>
      </c>
      <c r="AE7860" s="580">
        <f t="shared" si="647"/>
        <v>2.5</v>
      </c>
      <c r="AF7860" s="580">
        <f t="shared" si="648"/>
        <v>2.5</v>
      </c>
      <c r="AG7860" s="580">
        <f t="shared" si="649"/>
        <v>0</v>
      </c>
      <c r="AH7860" s="580">
        <f t="shared" si="650"/>
        <v>0</v>
      </c>
    </row>
    <row r="7861" spans="28:34">
      <c r="AB7861" s="580">
        <f>HLOOKUP("*"&amp;'Output annual'!$AC$2&amp;'Output annual'!$AD$2&amp;"*Zone People Number Of Occupants [](Hourly)",'Eplus results'!$1:$1048576,ROW(),FALSE)</f>
        <v>0</v>
      </c>
      <c r="AC7861" s="580">
        <f>HLOOKUP("*"&amp;'Output annual'!$AC$2&amp;'Output annual'!$AD$2&amp;"*FangerPMV(Hourly)",'Eplus results'!$1:$1048576,ROW(),FALSE)</f>
        <v>0</v>
      </c>
      <c r="AD7861" s="580">
        <f t="shared" si="646"/>
        <v>5</v>
      </c>
      <c r="AE7861" s="580">
        <f t="shared" si="647"/>
        <v>2.5</v>
      </c>
      <c r="AF7861" s="580">
        <f t="shared" si="648"/>
        <v>2.5</v>
      </c>
      <c r="AG7861" s="580">
        <f t="shared" si="649"/>
        <v>0</v>
      </c>
      <c r="AH7861" s="580">
        <f t="shared" si="650"/>
        <v>0</v>
      </c>
    </row>
    <row r="7862" spans="28:34">
      <c r="AB7862" s="580">
        <f>HLOOKUP("*"&amp;'Output annual'!$AC$2&amp;'Output annual'!$AD$2&amp;"*Zone People Number Of Occupants [](Hourly)",'Eplus results'!$1:$1048576,ROW(),FALSE)</f>
        <v>0</v>
      </c>
      <c r="AC7862" s="580">
        <f>HLOOKUP("*"&amp;'Output annual'!$AC$2&amp;'Output annual'!$AD$2&amp;"*FangerPMV(Hourly)",'Eplus results'!$1:$1048576,ROW(),FALSE)</f>
        <v>0</v>
      </c>
      <c r="AD7862" s="580">
        <f t="shared" si="646"/>
        <v>5</v>
      </c>
      <c r="AE7862" s="580">
        <f t="shared" si="647"/>
        <v>2.5</v>
      </c>
      <c r="AF7862" s="580">
        <f t="shared" si="648"/>
        <v>2.5</v>
      </c>
      <c r="AG7862" s="580">
        <f t="shared" si="649"/>
        <v>0</v>
      </c>
      <c r="AH7862" s="580">
        <f t="shared" si="650"/>
        <v>0</v>
      </c>
    </row>
    <row r="7863" spans="28:34">
      <c r="AB7863" s="580">
        <f>HLOOKUP("*"&amp;'Output annual'!$AC$2&amp;'Output annual'!$AD$2&amp;"*Zone People Number Of Occupants [](Hourly)",'Eplus results'!$1:$1048576,ROW(),FALSE)</f>
        <v>0</v>
      </c>
      <c r="AC7863" s="580">
        <f>HLOOKUP("*"&amp;'Output annual'!$AC$2&amp;'Output annual'!$AD$2&amp;"*FangerPMV(Hourly)",'Eplus results'!$1:$1048576,ROW(),FALSE)</f>
        <v>0</v>
      </c>
      <c r="AD7863" s="580">
        <f t="shared" si="646"/>
        <v>5</v>
      </c>
      <c r="AE7863" s="580">
        <f t="shared" si="647"/>
        <v>2.5</v>
      </c>
      <c r="AF7863" s="580">
        <f t="shared" si="648"/>
        <v>2.5</v>
      </c>
      <c r="AG7863" s="580">
        <f t="shared" si="649"/>
        <v>0</v>
      </c>
      <c r="AH7863" s="580">
        <f t="shared" si="650"/>
        <v>0</v>
      </c>
    </row>
    <row r="7864" spans="28:34">
      <c r="AB7864" s="580">
        <f>HLOOKUP("*"&amp;'Output annual'!$AC$2&amp;'Output annual'!$AD$2&amp;"*Zone People Number Of Occupants [](Hourly)",'Eplus results'!$1:$1048576,ROW(),FALSE)</f>
        <v>0</v>
      </c>
      <c r="AC7864" s="580">
        <f>HLOOKUP("*"&amp;'Output annual'!$AC$2&amp;'Output annual'!$AD$2&amp;"*FangerPMV(Hourly)",'Eplus results'!$1:$1048576,ROW(),FALSE)</f>
        <v>0</v>
      </c>
      <c r="AD7864" s="580">
        <f t="shared" si="646"/>
        <v>5</v>
      </c>
      <c r="AE7864" s="580">
        <f t="shared" si="647"/>
        <v>2.5</v>
      </c>
      <c r="AF7864" s="580">
        <f t="shared" si="648"/>
        <v>2.5</v>
      </c>
      <c r="AG7864" s="580">
        <f t="shared" si="649"/>
        <v>0</v>
      </c>
      <c r="AH7864" s="580">
        <f t="shared" si="650"/>
        <v>0</v>
      </c>
    </row>
    <row r="7865" spans="28:34">
      <c r="AB7865" s="580">
        <f>HLOOKUP("*"&amp;'Output annual'!$AC$2&amp;'Output annual'!$AD$2&amp;"*Zone People Number Of Occupants [](Hourly)",'Eplus results'!$1:$1048576,ROW(),FALSE)</f>
        <v>0</v>
      </c>
      <c r="AC7865" s="580">
        <f>HLOOKUP("*"&amp;'Output annual'!$AC$2&amp;'Output annual'!$AD$2&amp;"*FangerPMV(Hourly)",'Eplus results'!$1:$1048576,ROW(),FALSE)</f>
        <v>0</v>
      </c>
      <c r="AD7865" s="580">
        <f t="shared" si="646"/>
        <v>5</v>
      </c>
      <c r="AE7865" s="580">
        <f t="shared" si="647"/>
        <v>2.5</v>
      </c>
      <c r="AF7865" s="580">
        <f t="shared" si="648"/>
        <v>2.5</v>
      </c>
      <c r="AG7865" s="580">
        <f t="shared" si="649"/>
        <v>0</v>
      </c>
      <c r="AH7865" s="580">
        <f t="shared" si="650"/>
        <v>0</v>
      </c>
    </row>
    <row r="7866" spans="28:34">
      <c r="AB7866" s="580">
        <f>HLOOKUP("*"&amp;'Output annual'!$AC$2&amp;'Output annual'!$AD$2&amp;"*Zone People Number Of Occupants [](Hourly)",'Eplus results'!$1:$1048576,ROW(),FALSE)</f>
        <v>0</v>
      </c>
      <c r="AC7866" s="580">
        <f>HLOOKUP("*"&amp;'Output annual'!$AC$2&amp;'Output annual'!$AD$2&amp;"*FangerPMV(Hourly)",'Eplus results'!$1:$1048576,ROW(),FALSE)</f>
        <v>0</v>
      </c>
      <c r="AD7866" s="580">
        <f t="shared" si="646"/>
        <v>5</v>
      </c>
      <c r="AE7866" s="580">
        <f t="shared" si="647"/>
        <v>2.5</v>
      </c>
      <c r="AF7866" s="580">
        <f t="shared" si="648"/>
        <v>2.5</v>
      </c>
      <c r="AG7866" s="580">
        <f t="shared" si="649"/>
        <v>0</v>
      </c>
      <c r="AH7866" s="580">
        <f t="shared" si="650"/>
        <v>0</v>
      </c>
    </row>
    <row r="7867" spans="28:34">
      <c r="AB7867" s="580">
        <f>HLOOKUP("*"&amp;'Output annual'!$AC$2&amp;'Output annual'!$AD$2&amp;"*Zone People Number Of Occupants [](Hourly)",'Eplus results'!$1:$1048576,ROW(),FALSE)</f>
        <v>0</v>
      </c>
      <c r="AC7867" s="580">
        <f>HLOOKUP("*"&amp;'Output annual'!$AC$2&amp;'Output annual'!$AD$2&amp;"*FangerPMV(Hourly)",'Eplus results'!$1:$1048576,ROW(),FALSE)</f>
        <v>0</v>
      </c>
      <c r="AD7867" s="580">
        <f t="shared" si="646"/>
        <v>5</v>
      </c>
      <c r="AE7867" s="580">
        <f t="shared" si="647"/>
        <v>2.5</v>
      </c>
      <c r="AF7867" s="580">
        <f t="shared" si="648"/>
        <v>2.5</v>
      </c>
      <c r="AG7867" s="580">
        <f t="shared" si="649"/>
        <v>0</v>
      </c>
      <c r="AH7867" s="580">
        <f t="shared" si="650"/>
        <v>0</v>
      </c>
    </row>
    <row r="7868" spans="28:34">
      <c r="AB7868" s="580">
        <f>HLOOKUP("*"&amp;'Output annual'!$AC$2&amp;'Output annual'!$AD$2&amp;"*Zone People Number Of Occupants [](Hourly)",'Eplus results'!$1:$1048576,ROW(),FALSE)</f>
        <v>0</v>
      </c>
      <c r="AC7868" s="580">
        <f>HLOOKUP("*"&amp;'Output annual'!$AC$2&amp;'Output annual'!$AD$2&amp;"*FangerPMV(Hourly)",'Eplus results'!$1:$1048576,ROW(),FALSE)</f>
        <v>0</v>
      </c>
      <c r="AD7868" s="580">
        <f t="shared" si="646"/>
        <v>5</v>
      </c>
      <c r="AE7868" s="580">
        <f t="shared" si="647"/>
        <v>2.5</v>
      </c>
      <c r="AF7868" s="580">
        <f t="shared" si="648"/>
        <v>2.5</v>
      </c>
      <c r="AG7868" s="580">
        <f t="shared" si="649"/>
        <v>0</v>
      </c>
      <c r="AH7868" s="580">
        <f t="shared" si="650"/>
        <v>0</v>
      </c>
    </row>
    <row r="7869" spans="28:34">
      <c r="AB7869" s="580">
        <f>HLOOKUP("*"&amp;'Output annual'!$AC$2&amp;'Output annual'!$AD$2&amp;"*Zone People Number Of Occupants [](Hourly)",'Eplus results'!$1:$1048576,ROW(),FALSE)</f>
        <v>0</v>
      </c>
      <c r="AC7869" s="580">
        <f>HLOOKUP("*"&amp;'Output annual'!$AC$2&amp;'Output annual'!$AD$2&amp;"*FangerPMV(Hourly)",'Eplus results'!$1:$1048576,ROW(),FALSE)</f>
        <v>0</v>
      </c>
      <c r="AD7869" s="580">
        <f t="shared" si="646"/>
        <v>5</v>
      </c>
      <c r="AE7869" s="580">
        <f t="shared" si="647"/>
        <v>2.5</v>
      </c>
      <c r="AF7869" s="580">
        <f t="shared" si="648"/>
        <v>2.5</v>
      </c>
      <c r="AG7869" s="580">
        <f t="shared" si="649"/>
        <v>0</v>
      </c>
      <c r="AH7869" s="580">
        <f t="shared" si="650"/>
        <v>0</v>
      </c>
    </row>
    <row r="7870" spans="28:34">
      <c r="AB7870" s="580">
        <f>HLOOKUP("*"&amp;'Output annual'!$AC$2&amp;'Output annual'!$AD$2&amp;"*Zone People Number Of Occupants [](Hourly)",'Eplus results'!$1:$1048576,ROW(),FALSE)</f>
        <v>0</v>
      </c>
      <c r="AC7870" s="580">
        <f>HLOOKUP("*"&amp;'Output annual'!$AC$2&amp;'Output annual'!$AD$2&amp;"*FangerPMV(Hourly)",'Eplus results'!$1:$1048576,ROW(),FALSE)</f>
        <v>0</v>
      </c>
      <c r="AD7870" s="580">
        <f t="shared" si="646"/>
        <v>5</v>
      </c>
      <c r="AE7870" s="580">
        <f t="shared" si="647"/>
        <v>2.5</v>
      </c>
      <c r="AF7870" s="580">
        <f t="shared" si="648"/>
        <v>2.5</v>
      </c>
      <c r="AG7870" s="580">
        <f t="shared" si="649"/>
        <v>0</v>
      </c>
      <c r="AH7870" s="580">
        <f t="shared" si="650"/>
        <v>0</v>
      </c>
    </row>
    <row r="7871" spans="28:34">
      <c r="AB7871" s="580">
        <f>HLOOKUP("*"&amp;'Output annual'!$AC$2&amp;'Output annual'!$AD$2&amp;"*Zone People Number Of Occupants [](Hourly)",'Eplus results'!$1:$1048576,ROW(),FALSE)</f>
        <v>0</v>
      </c>
      <c r="AC7871" s="580">
        <f>HLOOKUP("*"&amp;'Output annual'!$AC$2&amp;'Output annual'!$AD$2&amp;"*FangerPMV(Hourly)",'Eplus results'!$1:$1048576,ROW(),FALSE)</f>
        <v>0</v>
      </c>
      <c r="AD7871" s="580">
        <f t="shared" si="646"/>
        <v>5</v>
      </c>
      <c r="AE7871" s="580">
        <f t="shared" si="647"/>
        <v>2.5</v>
      </c>
      <c r="AF7871" s="580">
        <f t="shared" si="648"/>
        <v>2.5</v>
      </c>
      <c r="AG7871" s="580">
        <f t="shared" si="649"/>
        <v>0</v>
      </c>
      <c r="AH7871" s="580">
        <f t="shared" si="650"/>
        <v>0</v>
      </c>
    </row>
    <row r="7872" spans="28:34">
      <c r="AB7872" s="580">
        <f>HLOOKUP("*"&amp;'Output annual'!$AC$2&amp;'Output annual'!$AD$2&amp;"*Zone People Number Of Occupants [](Hourly)",'Eplus results'!$1:$1048576,ROW(),FALSE)</f>
        <v>0</v>
      </c>
      <c r="AC7872" s="580">
        <f>HLOOKUP("*"&amp;'Output annual'!$AC$2&amp;'Output annual'!$AD$2&amp;"*FangerPMV(Hourly)",'Eplus results'!$1:$1048576,ROW(),FALSE)</f>
        <v>0</v>
      </c>
      <c r="AD7872" s="580">
        <f t="shared" si="646"/>
        <v>5</v>
      </c>
      <c r="AE7872" s="580">
        <f t="shared" si="647"/>
        <v>2.5</v>
      </c>
      <c r="AF7872" s="580">
        <f t="shared" si="648"/>
        <v>2.5</v>
      </c>
      <c r="AG7872" s="580">
        <f t="shared" si="649"/>
        <v>0</v>
      </c>
      <c r="AH7872" s="580">
        <f t="shared" si="650"/>
        <v>0</v>
      </c>
    </row>
    <row r="7873" spans="28:34">
      <c r="AB7873" s="580">
        <f>HLOOKUP("*"&amp;'Output annual'!$AC$2&amp;'Output annual'!$AD$2&amp;"*Zone People Number Of Occupants [](Hourly)",'Eplus results'!$1:$1048576,ROW(),FALSE)</f>
        <v>0</v>
      </c>
      <c r="AC7873" s="580">
        <f>HLOOKUP("*"&amp;'Output annual'!$AC$2&amp;'Output annual'!$AD$2&amp;"*FangerPMV(Hourly)",'Eplus results'!$1:$1048576,ROW(),FALSE)</f>
        <v>0</v>
      </c>
      <c r="AD7873" s="580">
        <f t="shared" si="646"/>
        <v>5</v>
      </c>
      <c r="AE7873" s="580">
        <f t="shared" si="647"/>
        <v>2.5</v>
      </c>
      <c r="AF7873" s="580">
        <f t="shared" si="648"/>
        <v>2.5</v>
      </c>
      <c r="AG7873" s="580">
        <f t="shared" si="649"/>
        <v>0</v>
      </c>
      <c r="AH7873" s="580">
        <f t="shared" si="650"/>
        <v>0</v>
      </c>
    </row>
    <row r="7874" spans="28:34">
      <c r="AB7874" s="580">
        <f>HLOOKUP("*"&amp;'Output annual'!$AC$2&amp;'Output annual'!$AD$2&amp;"*Zone People Number Of Occupants [](Hourly)",'Eplus results'!$1:$1048576,ROW(),FALSE)</f>
        <v>0</v>
      </c>
      <c r="AC7874" s="580">
        <f>HLOOKUP("*"&amp;'Output annual'!$AC$2&amp;'Output annual'!$AD$2&amp;"*FangerPMV(Hourly)",'Eplus results'!$1:$1048576,ROW(),FALSE)</f>
        <v>0</v>
      </c>
      <c r="AD7874" s="580">
        <f t="shared" si="646"/>
        <v>5</v>
      </c>
      <c r="AE7874" s="580">
        <f t="shared" si="647"/>
        <v>2.5</v>
      </c>
      <c r="AF7874" s="580">
        <f t="shared" si="648"/>
        <v>2.5</v>
      </c>
      <c r="AG7874" s="580">
        <f t="shared" si="649"/>
        <v>0</v>
      </c>
      <c r="AH7874" s="580">
        <f t="shared" si="650"/>
        <v>0</v>
      </c>
    </row>
    <row r="7875" spans="28:34">
      <c r="AB7875" s="580">
        <f>HLOOKUP("*"&amp;'Output annual'!$AC$2&amp;'Output annual'!$AD$2&amp;"*Zone People Number Of Occupants [](Hourly)",'Eplus results'!$1:$1048576,ROW(),FALSE)</f>
        <v>0</v>
      </c>
      <c r="AC7875" s="580">
        <f>HLOOKUP("*"&amp;'Output annual'!$AC$2&amp;'Output annual'!$AD$2&amp;"*FangerPMV(Hourly)",'Eplus results'!$1:$1048576,ROW(),FALSE)</f>
        <v>0</v>
      </c>
      <c r="AD7875" s="580">
        <f t="shared" ref="AD7875:AD7938" si="651">100-95*EXP(-0.03353*AC7875^4-0.2179*AC7875^2)</f>
        <v>5</v>
      </c>
      <c r="AE7875" s="580">
        <f t="shared" ref="AE7875:AE7938" si="652">AD7875*(1/(1+EXP(-6.3*$AC7875)))</f>
        <v>2.5</v>
      </c>
      <c r="AF7875" s="580">
        <f t="shared" ref="AF7875:AF7938" si="653">(AD7875-AE7875)</f>
        <v>2.5</v>
      </c>
      <c r="AG7875" s="580">
        <f t="shared" ref="AG7875:AG7938" si="654">AE7875*AB7875</f>
        <v>0</v>
      </c>
      <c r="AH7875" s="580">
        <f t="shared" ref="AH7875:AH7938" si="655">AF7875*AB7875</f>
        <v>0</v>
      </c>
    </row>
    <row r="7876" spans="28:34">
      <c r="AB7876" s="580">
        <f>HLOOKUP("*"&amp;'Output annual'!$AC$2&amp;'Output annual'!$AD$2&amp;"*Zone People Number Of Occupants [](Hourly)",'Eplus results'!$1:$1048576,ROW(),FALSE)</f>
        <v>0</v>
      </c>
      <c r="AC7876" s="580">
        <f>HLOOKUP("*"&amp;'Output annual'!$AC$2&amp;'Output annual'!$AD$2&amp;"*FangerPMV(Hourly)",'Eplus results'!$1:$1048576,ROW(),FALSE)</f>
        <v>0</v>
      </c>
      <c r="AD7876" s="580">
        <f t="shared" si="651"/>
        <v>5</v>
      </c>
      <c r="AE7876" s="580">
        <f t="shared" si="652"/>
        <v>2.5</v>
      </c>
      <c r="AF7876" s="580">
        <f t="shared" si="653"/>
        <v>2.5</v>
      </c>
      <c r="AG7876" s="580">
        <f t="shared" si="654"/>
        <v>0</v>
      </c>
      <c r="AH7876" s="580">
        <f t="shared" si="655"/>
        <v>0</v>
      </c>
    </row>
    <row r="7877" spans="28:34">
      <c r="AB7877" s="580">
        <f>HLOOKUP("*"&amp;'Output annual'!$AC$2&amp;'Output annual'!$AD$2&amp;"*Zone People Number Of Occupants [](Hourly)",'Eplus results'!$1:$1048576,ROW(),FALSE)</f>
        <v>0</v>
      </c>
      <c r="AC7877" s="580">
        <f>HLOOKUP("*"&amp;'Output annual'!$AC$2&amp;'Output annual'!$AD$2&amp;"*FangerPMV(Hourly)",'Eplus results'!$1:$1048576,ROW(),FALSE)</f>
        <v>0</v>
      </c>
      <c r="AD7877" s="580">
        <f t="shared" si="651"/>
        <v>5</v>
      </c>
      <c r="AE7877" s="580">
        <f t="shared" si="652"/>
        <v>2.5</v>
      </c>
      <c r="AF7877" s="580">
        <f t="shared" si="653"/>
        <v>2.5</v>
      </c>
      <c r="AG7877" s="580">
        <f t="shared" si="654"/>
        <v>0</v>
      </c>
      <c r="AH7877" s="580">
        <f t="shared" si="655"/>
        <v>0</v>
      </c>
    </row>
    <row r="7878" spans="28:34">
      <c r="AB7878" s="580">
        <f>HLOOKUP("*"&amp;'Output annual'!$AC$2&amp;'Output annual'!$AD$2&amp;"*Zone People Number Of Occupants [](Hourly)",'Eplus results'!$1:$1048576,ROW(),FALSE)</f>
        <v>0</v>
      </c>
      <c r="AC7878" s="580">
        <f>HLOOKUP("*"&amp;'Output annual'!$AC$2&amp;'Output annual'!$AD$2&amp;"*FangerPMV(Hourly)",'Eplus results'!$1:$1048576,ROW(),FALSE)</f>
        <v>0</v>
      </c>
      <c r="AD7878" s="580">
        <f t="shared" si="651"/>
        <v>5</v>
      </c>
      <c r="AE7878" s="580">
        <f t="shared" si="652"/>
        <v>2.5</v>
      </c>
      <c r="AF7878" s="580">
        <f t="shared" si="653"/>
        <v>2.5</v>
      </c>
      <c r="AG7878" s="580">
        <f t="shared" si="654"/>
        <v>0</v>
      </c>
      <c r="AH7878" s="580">
        <f t="shared" si="655"/>
        <v>0</v>
      </c>
    </row>
    <row r="7879" spans="28:34">
      <c r="AB7879" s="580">
        <f>HLOOKUP("*"&amp;'Output annual'!$AC$2&amp;'Output annual'!$AD$2&amp;"*Zone People Number Of Occupants [](Hourly)",'Eplus results'!$1:$1048576,ROW(),FALSE)</f>
        <v>0</v>
      </c>
      <c r="AC7879" s="580">
        <f>HLOOKUP("*"&amp;'Output annual'!$AC$2&amp;'Output annual'!$AD$2&amp;"*FangerPMV(Hourly)",'Eplus results'!$1:$1048576,ROW(),FALSE)</f>
        <v>0</v>
      </c>
      <c r="AD7879" s="580">
        <f t="shared" si="651"/>
        <v>5</v>
      </c>
      <c r="AE7879" s="580">
        <f t="shared" si="652"/>
        <v>2.5</v>
      </c>
      <c r="AF7879" s="580">
        <f t="shared" si="653"/>
        <v>2.5</v>
      </c>
      <c r="AG7879" s="580">
        <f t="shared" si="654"/>
        <v>0</v>
      </c>
      <c r="AH7879" s="580">
        <f t="shared" si="655"/>
        <v>0</v>
      </c>
    </row>
    <row r="7880" spans="28:34">
      <c r="AB7880" s="580">
        <f>HLOOKUP("*"&amp;'Output annual'!$AC$2&amp;'Output annual'!$AD$2&amp;"*Zone People Number Of Occupants [](Hourly)",'Eplus results'!$1:$1048576,ROW(),FALSE)</f>
        <v>0</v>
      </c>
      <c r="AC7880" s="580">
        <f>HLOOKUP("*"&amp;'Output annual'!$AC$2&amp;'Output annual'!$AD$2&amp;"*FangerPMV(Hourly)",'Eplus results'!$1:$1048576,ROW(),FALSE)</f>
        <v>0</v>
      </c>
      <c r="AD7880" s="580">
        <f t="shared" si="651"/>
        <v>5</v>
      </c>
      <c r="AE7880" s="580">
        <f t="shared" si="652"/>
        <v>2.5</v>
      </c>
      <c r="AF7880" s="580">
        <f t="shared" si="653"/>
        <v>2.5</v>
      </c>
      <c r="AG7880" s="580">
        <f t="shared" si="654"/>
        <v>0</v>
      </c>
      <c r="AH7880" s="580">
        <f t="shared" si="655"/>
        <v>0</v>
      </c>
    </row>
    <row r="7881" spans="28:34">
      <c r="AB7881" s="580">
        <f>HLOOKUP("*"&amp;'Output annual'!$AC$2&amp;'Output annual'!$AD$2&amp;"*Zone People Number Of Occupants [](Hourly)",'Eplus results'!$1:$1048576,ROW(),FALSE)</f>
        <v>0</v>
      </c>
      <c r="AC7881" s="580">
        <f>HLOOKUP("*"&amp;'Output annual'!$AC$2&amp;'Output annual'!$AD$2&amp;"*FangerPMV(Hourly)",'Eplus results'!$1:$1048576,ROW(),FALSE)</f>
        <v>0</v>
      </c>
      <c r="AD7881" s="580">
        <f t="shared" si="651"/>
        <v>5</v>
      </c>
      <c r="AE7881" s="580">
        <f t="shared" si="652"/>
        <v>2.5</v>
      </c>
      <c r="AF7881" s="580">
        <f t="shared" si="653"/>
        <v>2.5</v>
      </c>
      <c r="AG7881" s="580">
        <f t="shared" si="654"/>
        <v>0</v>
      </c>
      <c r="AH7881" s="580">
        <f t="shared" si="655"/>
        <v>0</v>
      </c>
    </row>
    <row r="7882" spans="28:34">
      <c r="AB7882" s="580">
        <f>HLOOKUP("*"&amp;'Output annual'!$AC$2&amp;'Output annual'!$AD$2&amp;"*Zone People Number Of Occupants [](Hourly)",'Eplus results'!$1:$1048576,ROW(),FALSE)</f>
        <v>0</v>
      </c>
      <c r="AC7882" s="580">
        <f>HLOOKUP("*"&amp;'Output annual'!$AC$2&amp;'Output annual'!$AD$2&amp;"*FangerPMV(Hourly)",'Eplus results'!$1:$1048576,ROW(),FALSE)</f>
        <v>0</v>
      </c>
      <c r="AD7882" s="580">
        <f t="shared" si="651"/>
        <v>5</v>
      </c>
      <c r="AE7882" s="580">
        <f t="shared" si="652"/>
        <v>2.5</v>
      </c>
      <c r="AF7882" s="580">
        <f t="shared" si="653"/>
        <v>2.5</v>
      </c>
      <c r="AG7882" s="580">
        <f t="shared" si="654"/>
        <v>0</v>
      </c>
      <c r="AH7882" s="580">
        <f t="shared" si="655"/>
        <v>0</v>
      </c>
    </row>
    <row r="7883" spans="28:34">
      <c r="AB7883" s="580">
        <f>HLOOKUP("*"&amp;'Output annual'!$AC$2&amp;'Output annual'!$AD$2&amp;"*Zone People Number Of Occupants [](Hourly)",'Eplus results'!$1:$1048576,ROW(),FALSE)</f>
        <v>0</v>
      </c>
      <c r="AC7883" s="580">
        <f>HLOOKUP("*"&amp;'Output annual'!$AC$2&amp;'Output annual'!$AD$2&amp;"*FangerPMV(Hourly)",'Eplus results'!$1:$1048576,ROW(),FALSE)</f>
        <v>0</v>
      </c>
      <c r="AD7883" s="580">
        <f t="shared" si="651"/>
        <v>5</v>
      </c>
      <c r="AE7883" s="580">
        <f t="shared" si="652"/>
        <v>2.5</v>
      </c>
      <c r="AF7883" s="580">
        <f t="shared" si="653"/>
        <v>2.5</v>
      </c>
      <c r="AG7883" s="580">
        <f t="shared" si="654"/>
        <v>0</v>
      </c>
      <c r="AH7883" s="580">
        <f t="shared" si="655"/>
        <v>0</v>
      </c>
    </row>
    <row r="7884" spans="28:34">
      <c r="AB7884" s="580">
        <f>HLOOKUP("*"&amp;'Output annual'!$AC$2&amp;'Output annual'!$AD$2&amp;"*Zone People Number Of Occupants [](Hourly)",'Eplus results'!$1:$1048576,ROW(),FALSE)</f>
        <v>0</v>
      </c>
      <c r="AC7884" s="580">
        <f>HLOOKUP("*"&amp;'Output annual'!$AC$2&amp;'Output annual'!$AD$2&amp;"*FangerPMV(Hourly)",'Eplus results'!$1:$1048576,ROW(),FALSE)</f>
        <v>0</v>
      </c>
      <c r="AD7884" s="580">
        <f t="shared" si="651"/>
        <v>5</v>
      </c>
      <c r="AE7884" s="580">
        <f t="shared" si="652"/>
        <v>2.5</v>
      </c>
      <c r="AF7884" s="580">
        <f t="shared" si="653"/>
        <v>2.5</v>
      </c>
      <c r="AG7884" s="580">
        <f t="shared" si="654"/>
        <v>0</v>
      </c>
      <c r="AH7884" s="580">
        <f t="shared" si="655"/>
        <v>0</v>
      </c>
    </row>
    <row r="7885" spans="28:34">
      <c r="AB7885" s="580">
        <f>HLOOKUP("*"&amp;'Output annual'!$AC$2&amp;'Output annual'!$AD$2&amp;"*Zone People Number Of Occupants [](Hourly)",'Eplus results'!$1:$1048576,ROW(),FALSE)</f>
        <v>0</v>
      </c>
      <c r="AC7885" s="580">
        <f>HLOOKUP("*"&amp;'Output annual'!$AC$2&amp;'Output annual'!$AD$2&amp;"*FangerPMV(Hourly)",'Eplus results'!$1:$1048576,ROW(),FALSE)</f>
        <v>0</v>
      </c>
      <c r="AD7885" s="580">
        <f t="shared" si="651"/>
        <v>5</v>
      </c>
      <c r="AE7885" s="580">
        <f t="shared" si="652"/>
        <v>2.5</v>
      </c>
      <c r="AF7885" s="580">
        <f t="shared" si="653"/>
        <v>2.5</v>
      </c>
      <c r="AG7885" s="580">
        <f t="shared" si="654"/>
        <v>0</v>
      </c>
      <c r="AH7885" s="580">
        <f t="shared" si="655"/>
        <v>0</v>
      </c>
    </row>
    <row r="7886" spans="28:34">
      <c r="AB7886" s="580">
        <f>HLOOKUP("*"&amp;'Output annual'!$AC$2&amp;'Output annual'!$AD$2&amp;"*Zone People Number Of Occupants [](Hourly)",'Eplus results'!$1:$1048576,ROW(),FALSE)</f>
        <v>0</v>
      </c>
      <c r="AC7886" s="580">
        <f>HLOOKUP("*"&amp;'Output annual'!$AC$2&amp;'Output annual'!$AD$2&amp;"*FangerPMV(Hourly)",'Eplus results'!$1:$1048576,ROW(),FALSE)</f>
        <v>0</v>
      </c>
      <c r="AD7886" s="580">
        <f t="shared" si="651"/>
        <v>5</v>
      </c>
      <c r="AE7886" s="580">
        <f t="shared" si="652"/>
        <v>2.5</v>
      </c>
      <c r="AF7886" s="580">
        <f t="shared" si="653"/>
        <v>2.5</v>
      </c>
      <c r="AG7886" s="580">
        <f t="shared" si="654"/>
        <v>0</v>
      </c>
      <c r="AH7886" s="580">
        <f t="shared" si="655"/>
        <v>0</v>
      </c>
    </row>
    <row r="7887" spans="28:34">
      <c r="AB7887" s="580">
        <f>HLOOKUP("*"&amp;'Output annual'!$AC$2&amp;'Output annual'!$AD$2&amp;"*Zone People Number Of Occupants [](Hourly)",'Eplus results'!$1:$1048576,ROW(),FALSE)</f>
        <v>0</v>
      </c>
      <c r="AC7887" s="580">
        <f>HLOOKUP("*"&amp;'Output annual'!$AC$2&amp;'Output annual'!$AD$2&amp;"*FangerPMV(Hourly)",'Eplus results'!$1:$1048576,ROW(),FALSE)</f>
        <v>0</v>
      </c>
      <c r="AD7887" s="580">
        <f t="shared" si="651"/>
        <v>5</v>
      </c>
      <c r="AE7887" s="580">
        <f t="shared" si="652"/>
        <v>2.5</v>
      </c>
      <c r="AF7887" s="580">
        <f t="shared" si="653"/>
        <v>2.5</v>
      </c>
      <c r="AG7887" s="580">
        <f t="shared" si="654"/>
        <v>0</v>
      </c>
      <c r="AH7887" s="580">
        <f t="shared" si="655"/>
        <v>0</v>
      </c>
    </row>
    <row r="7888" spans="28:34">
      <c r="AB7888" s="580">
        <f>HLOOKUP("*"&amp;'Output annual'!$AC$2&amp;'Output annual'!$AD$2&amp;"*Zone People Number Of Occupants [](Hourly)",'Eplus results'!$1:$1048576,ROW(),FALSE)</f>
        <v>0</v>
      </c>
      <c r="AC7888" s="580">
        <f>HLOOKUP("*"&amp;'Output annual'!$AC$2&amp;'Output annual'!$AD$2&amp;"*FangerPMV(Hourly)",'Eplus results'!$1:$1048576,ROW(),FALSE)</f>
        <v>0</v>
      </c>
      <c r="AD7888" s="580">
        <f t="shared" si="651"/>
        <v>5</v>
      </c>
      <c r="AE7888" s="580">
        <f t="shared" si="652"/>
        <v>2.5</v>
      </c>
      <c r="AF7888" s="580">
        <f t="shared" si="653"/>
        <v>2.5</v>
      </c>
      <c r="AG7888" s="580">
        <f t="shared" si="654"/>
        <v>0</v>
      </c>
      <c r="AH7888" s="580">
        <f t="shared" si="655"/>
        <v>0</v>
      </c>
    </row>
    <row r="7889" spans="28:34">
      <c r="AB7889" s="580">
        <f>HLOOKUP("*"&amp;'Output annual'!$AC$2&amp;'Output annual'!$AD$2&amp;"*Zone People Number Of Occupants [](Hourly)",'Eplus results'!$1:$1048576,ROW(),FALSE)</f>
        <v>0</v>
      </c>
      <c r="AC7889" s="580">
        <f>HLOOKUP("*"&amp;'Output annual'!$AC$2&amp;'Output annual'!$AD$2&amp;"*FangerPMV(Hourly)",'Eplus results'!$1:$1048576,ROW(),FALSE)</f>
        <v>0</v>
      </c>
      <c r="AD7889" s="580">
        <f t="shared" si="651"/>
        <v>5</v>
      </c>
      <c r="AE7889" s="580">
        <f t="shared" si="652"/>
        <v>2.5</v>
      </c>
      <c r="AF7889" s="580">
        <f t="shared" si="653"/>
        <v>2.5</v>
      </c>
      <c r="AG7889" s="580">
        <f t="shared" si="654"/>
        <v>0</v>
      </c>
      <c r="AH7889" s="580">
        <f t="shared" si="655"/>
        <v>0</v>
      </c>
    </row>
    <row r="7890" spans="28:34">
      <c r="AB7890" s="580">
        <f>HLOOKUP("*"&amp;'Output annual'!$AC$2&amp;'Output annual'!$AD$2&amp;"*Zone People Number Of Occupants [](Hourly)",'Eplus results'!$1:$1048576,ROW(),FALSE)</f>
        <v>0</v>
      </c>
      <c r="AC7890" s="580">
        <f>HLOOKUP("*"&amp;'Output annual'!$AC$2&amp;'Output annual'!$AD$2&amp;"*FangerPMV(Hourly)",'Eplus results'!$1:$1048576,ROW(),FALSE)</f>
        <v>0</v>
      </c>
      <c r="AD7890" s="580">
        <f t="shared" si="651"/>
        <v>5</v>
      </c>
      <c r="AE7890" s="580">
        <f t="shared" si="652"/>
        <v>2.5</v>
      </c>
      <c r="AF7890" s="580">
        <f t="shared" si="653"/>
        <v>2.5</v>
      </c>
      <c r="AG7890" s="580">
        <f t="shared" si="654"/>
        <v>0</v>
      </c>
      <c r="AH7890" s="580">
        <f t="shared" si="655"/>
        <v>0</v>
      </c>
    </row>
    <row r="7891" spans="28:34">
      <c r="AB7891" s="580">
        <f>HLOOKUP("*"&amp;'Output annual'!$AC$2&amp;'Output annual'!$AD$2&amp;"*Zone People Number Of Occupants [](Hourly)",'Eplus results'!$1:$1048576,ROW(),FALSE)</f>
        <v>0</v>
      </c>
      <c r="AC7891" s="580">
        <f>HLOOKUP("*"&amp;'Output annual'!$AC$2&amp;'Output annual'!$AD$2&amp;"*FangerPMV(Hourly)",'Eplus results'!$1:$1048576,ROW(),FALSE)</f>
        <v>0</v>
      </c>
      <c r="AD7891" s="580">
        <f t="shared" si="651"/>
        <v>5</v>
      </c>
      <c r="AE7891" s="580">
        <f t="shared" si="652"/>
        <v>2.5</v>
      </c>
      <c r="AF7891" s="580">
        <f t="shared" si="653"/>
        <v>2.5</v>
      </c>
      <c r="AG7891" s="580">
        <f t="shared" si="654"/>
        <v>0</v>
      </c>
      <c r="AH7891" s="580">
        <f t="shared" si="655"/>
        <v>0</v>
      </c>
    </row>
    <row r="7892" spans="28:34">
      <c r="AB7892" s="580">
        <f>HLOOKUP("*"&amp;'Output annual'!$AC$2&amp;'Output annual'!$AD$2&amp;"*Zone People Number Of Occupants [](Hourly)",'Eplus results'!$1:$1048576,ROW(),FALSE)</f>
        <v>0</v>
      </c>
      <c r="AC7892" s="580">
        <f>HLOOKUP("*"&amp;'Output annual'!$AC$2&amp;'Output annual'!$AD$2&amp;"*FangerPMV(Hourly)",'Eplus results'!$1:$1048576,ROW(),FALSE)</f>
        <v>0</v>
      </c>
      <c r="AD7892" s="580">
        <f t="shared" si="651"/>
        <v>5</v>
      </c>
      <c r="AE7892" s="580">
        <f t="shared" si="652"/>
        <v>2.5</v>
      </c>
      <c r="AF7892" s="580">
        <f t="shared" si="653"/>
        <v>2.5</v>
      </c>
      <c r="AG7892" s="580">
        <f t="shared" si="654"/>
        <v>0</v>
      </c>
      <c r="AH7892" s="580">
        <f t="shared" si="655"/>
        <v>0</v>
      </c>
    </row>
    <row r="7893" spans="28:34">
      <c r="AB7893" s="580">
        <f>HLOOKUP("*"&amp;'Output annual'!$AC$2&amp;'Output annual'!$AD$2&amp;"*Zone People Number Of Occupants [](Hourly)",'Eplus results'!$1:$1048576,ROW(),FALSE)</f>
        <v>0</v>
      </c>
      <c r="AC7893" s="580">
        <f>HLOOKUP("*"&amp;'Output annual'!$AC$2&amp;'Output annual'!$AD$2&amp;"*FangerPMV(Hourly)",'Eplus results'!$1:$1048576,ROW(),FALSE)</f>
        <v>0</v>
      </c>
      <c r="AD7893" s="580">
        <f t="shared" si="651"/>
        <v>5</v>
      </c>
      <c r="AE7893" s="580">
        <f t="shared" si="652"/>
        <v>2.5</v>
      </c>
      <c r="AF7893" s="580">
        <f t="shared" si="653"/>
        <v>2.5</v>
      </c>
      <c r="AG7893" s="580">
        <f t="shared" si="654"/>
        <v>0</v>
      </c>
      <c r="AH7893" s="580">
        <f t="shared" si="655"/>
        <v>0</v>
      </c>
    </row>
    <row r="7894" spans="28:34">
      <c r="AB7894" s="580">
        <f>HLOOKUP("*"&amp;'Output annual'!$AC$2&amp;'Output annual'!$AD$2&amp;"*Zone People Number Of Occupants [](Hourly)",'Eplus results'!$1:$1048576,ROW(),FALSE)</f>
        <v>0</v>
      </c>
      <c r="AC7894" s="580">
        <f>HLOOKUP("*"&amp;'Output annual'!$AC$2&amp;'Output annual'!$AD$2&amp;"*FangerPMV(Hourly)",'Eplus results'!$1:$1048576,ROW(),FALSE)</f>
        <v>0</v>
      </c>
      <c r="AD7894" s="580">
        <f t="shared" si="651"/>
        <v>5</v>
      </c>
      <c r="AE7894" s="580">
        <f t="shared" si="652"/>
        <v>2.5</v>
      </c>
      <c r="AF7894" s="580">
        <f t="shared" si="653"/>
        <v>2.5</v>
      </c>
      <c r="AG7894" s="580">
        <f t="shared" si="654"/>
        <v>0</v>
      </c>
      <c r="AH7894" s="580">
        <f t="shared" si="655"/>
        <v>0</v>
      </c>
    </row>
    <row r="7895" spans="28:34">
      <c r="AB7895" s="580">
        <f>HLOOKUP("*"&amp;'Output annual'!$AC$2&amp;'Output annual'!$AD$2&amp;"*Zone People Number Of Occupants [](Hourly)",'Eplus results'!$1:$1048576,ROW(),FALSE)</f>
        <v>0</v>
      </c>
      <c r="AC7895" s="580">
        <f>HLOOKUP("*"&amp;'Output annual'!$AC$2&amp;'Output annual'!$AD$2&amp;"*FangerPMV(Hourly)",'Eplus results'!$1:$1048576,ROW(),FALSE)</f>
        <v>0</v>
      </c>
      <c r="AD7895" s="580">
        <f t="shared" si="651"/>
        <v>5</v>
      </c>
      <c r="AE7895" s="580">
        <f t="shared" si="652"/>
        <v>2.5</v>
      </c>
      <c r="AF7895" s="580">
        <f t="shared" si="653"/>
        <v>2.5</v>
      </c>
      <c r="AG7895" s="580">
        <f t="shared" si="654"/>
        <v>0</v>
      </c>
      <c r="AH7895" s="580">
        <f t="shared" si="655"/>
        <v>0</v>
      </c>
    </row>
    <row r="7896" spans="28:34">
      <c r="AB7896" s="580">
        <f>HLOOKUP("*"&amp;'Output annual'!$AC$2&amp;'Output annual'!$AD$2&amp;"*Zone People Number Of Occupants [](Hourly)",'Eplus results'!$1:$1048576,ROW(),FALSE)</f>
        <v>0</v>
      </c>
      <c r="AC7896" s="580">
        <f>HLOOKUP("*"&amp;'Output annual'!$AC$2&amp;'Output annual'!$AD$2&amp;"*FangerPMV(Hourly)",'Eplus results'!$1:$1048576,ROW(),FALSE)</f>
        <v>0</v>
      </c>
      <c r="AD7896" s="580">
        <f t="shared" si="651"/>
        <v>5</v>
      </c>
      <c r="AE7896" s="580">
        <f t="shared" si="652"/>
        <v>2.5</v>
      </c>
      <c r="AF7896" s="580">
        <f t="shared" si="653"/>
        <v>2.5</v>
      </c>
      <c r="AG7896" s="580">
        <f t="shared" si="654"/>
        <v>0</v>
      </c>
      <c r="AH7896" s="580">
        <f t="shared" si="655"/>
        <v>0</v>
      </c>
    </row>
    <row r="7897" spans="28:34">
      <c r="AB7897" s="580">
        <f>HLOOKUP("*"&amp;'Output annual'!$AC$2&amp;'Output annual'!$AD$2&amp;"*Zone People Number Of Occupants [](Hourly)",'Eplus results'!$1:$1048576,ROW(),FALSE)</f>
        <v>0</v>
      </c>
      <c r="AC7897" s="580">
        <f>HLOOKUP("*"&amp;'Output annual'!$AC$2&amp;'Output annual'!$AD$2&amp;"*FangerPMV(Hourly)",'Eplus results'!$1:$1048576,ROW(),FALSE)</f>
        <v>0</v>
      </c>
      <c r="AD7897" s="580">
        <f t="shared" si="651"/>
        <v>5</v>
      </c>
      <c r="AE7897" s="580">
        <f t="shared" si="652"/>
        <v>2.5</v>
      </c>
      <c r="AF7897" s="580">
        <f t="shared" si="653"/>
        <v>2.5</v>
      </c>
      <c r="AG7897" s="580">
        <f t="shared" si="654"/>
        <v>0</v>
      </c>
      <c r="AH7897" s="580">
        <f t="shared" si="655"/>
        <v>0</v>
      </c>
    </row>
    <row r="7898" spans="28:34">
      <c r="AB7898" s="580">
        <f>HLOOKUP("*"&amp;'Output annual'!$AC$2&amp;'Output annual'!$AD$2&amp;"*Zone People Number Of Occupants [](Hourly)",'Eplus results'!$1:$1048576,ROW(),FALSE)</f>
        <v>0</v>
      </c>
      <c r="AC7898" s="580">
        <f>HLOOKUP("*"&amp;'Output annual'!$AC$2&amp;'Output annual'!$AD$2&amp;"*FangerPMV(Hourly)",'Eplus results'!$1:$1048576,ROW(),FALSE)</f>
        <v>0</v>
      </c>
      <c r="AD7898" s="580">
        <f t="shared" si="651"/>
        <v>5</v>
      </c>
      <c r="AE7898" s="580">
        <f t="shared" si="652"/>
        <v>2.5</v>
      </c>
      <c r="AF7898" s="580">
        <f t="shared" si="653"/>
        <v>2.5</v>
      </c>
      <c r="AG7898" s="580">
        <f t="shared" si="654"/>
        <v>0</v>
      </c>
      <c r="AH7898" s="580">
        <f t="shared" si="655"/>
        <v>0</v>
      </c>
    </row>
    <row r="7899" spans="28:34">
      <c r="AB7899" s="580">
        <f>HLOOKUP("*"&amp;'Output annual'!$AC$2&amp;'Output annual'!$AD$2&amp;"*Zone People Number Of Occupants [](Hourly)",'Eplus results'!$1:$1048576,ROW(),FALSE)</f>
        <v>0</v>
      </c>
      <c r="AC7899" s="580">
        <f>HLOOKUP("*"&amp;'Output annual'!$AC$2&amp;'Output annual'!$AD$2&amp;"*FangerPMV(Hourly)",'Eplus results'!$1:$1048576,ROW(),FALSE)</f>
        <v>0</v>
      </c>
      <c r="AD7899" s="580">
        <f t="shared" si="651"/>
        <v>5</v>
      </c>
      <c r="AE7899" s="580">
        <f t="shared" si="652"/>
        <v>2.5</v>
      </c>
      <c r="AF7899" s="580">
        <f t="shared" si="653"/>
        <v>2.5</v>
      </c>
      <c r="AG7899" s="580">
        <f t="shared" si="654"/>
        <v>0</v>
      </c>
      <c r="AH7899" s="580">
        <f t="shared" si="655"/>
        <v>0</v>
      </c>
    </row>
    <row r="7900" spans="28:34">
      <c r="AB7900" s="580">
        <f>HLOOKUP("*"&amp;'Output annual'!$AC$2&amp;'Output annual'!$AD$2&amp;"*Zone People Number Of Occupants [](Hourly)",'Eplus results'!$1:$1048576,ROW(),FALSE)</f>
        <v>0</v>
      </c>
      <c r="AC7900" s="580">
        <f>HLOOKUP("*"&amp;'Output annual'!$AC$2&amp;'Output annual'!$AD$2&amp;"*FangerPMV(Hourly)",'Eplus results'!$1:$1048576,ROW(),FALSE)</f>
        <v>0</v>
      </c>
      <c r="AD7900" s="580">
        <f t="shared" si="651"/>
        <v>5</v>
      </c>
      <c r="AE7900" s="580">
        <f t="shared" si="652"/>
        <v>2.5</v>
      </c>
      <c r="AF7900" s="580">
        <f t="shared" si="653"/>
        <v>2.5</v>
      </c>
      <c r="AG7900" s="580">
        <f t="shared" si="654"/>
        <v>0</v>
      </c>
      <c r="AH7900" s="580">
        <f t="shared" si="655"/>
        <v>0</v>
      </c>
    </row>
    <row r="7901" spans="28:34">
      <c r="AB7901" s="580">
        <f>HLOOKUP("*"&amp;'Output annual'!$AC$2&amp;'Output annual'!$AD$2&amp;"*Zone People Number Of Occupants [](Hourly)",'Eplus results'!$1:$1048576,ROW(),FALSE)</f>
        <v>0</v>
      </c>
      <c r="AC7901" s="580">
        <f>HLOOKUP("*"&amp;'Output annual'!$AC$2&amp;'Output annual'!$AD$2&amp;"*FangerPMV(Hourly)",'Eplus results'!$1:$1048576,ROW(),FALSE)</f>
        <v>0</v>
      </c>
      <c r="AD7901" s="580">
        <f t="shared" si="651"/>
        <v>5</v>
      </c>
      <c r="AE7901" s="580">
        <f t="shared" si="652"/>
        <v>2.5</v>
      </c>
      <c r="AF7901" s="580">
        <f t="shared" si="653"/>
        <v>2.5</v>
      </c>
      <c r="AG7901" s="580">
        <f t="shared" si="654"/>
        <v>0</v>
      </c>
      <c r="AH7901" s="580">
        <f t="shared" si="655"/>
        <v>0</v>
      </c>
    </row>
    <row r="7902" spans="28:34">
      <c r="AB7902" s="580">
        <f>HLOOKUP("*"&amp;'Output annual'!$AC$2&amp;'Output annual'!$AD$2&amp;"*Zone People Number Of Occupants [](Hourly)",'Eplus results'!$1:$1048576,ROW(),FALSE)</f>
        <v>0</v>
      </c>
      <c r="AC7902" s="580">
        <f>HLOOKUP("*"&amp;'Output annual'!$AC$2&amp;'Output annual'!$AD$2&amp;"*FangerPMV(Hourly)",'Eplus results'!$1:$1048576,ROW(),FALSE)</f>
        <v>0</v>
      </c>
      <c r="AD7902" s="580">
        <f t="shared" si="651"/>
        <v>5</v>
      </c>
      <c r="AE7902" s="580">
        <f t="shared" si="652"/>
        <v>2.5</v>
      </c>
      <c r="AF7902" s="580">
        <f t="shared" si="653"/>
        <v>2.5</v>
      </c>
      <c r="AG7902" s="580">
        <f t="shared" si="654"/>
        <v>0</v>
      </c>
      <c r="AH7902" s="580">
        <f t="shared" si="655"/>
        <v>0</v>
      </c>
    </row>
    <row r="7903" spans="28:34">
      <c r="AB7903" s="580">
        <f>HLOOKUP("*"&amp;'Output annual'!$AC$2&amp;'Output annual'!$AD$2&amp;"*Zone People Number Of Occupants [](Hourly)",'Eplus results'!$1:$1048576,ROW(),FALSE)</f>
        <v>0</v>
      </c>
      <c r="AC7903" s="580">
        <f>HLOOKUP("*"&amp;'Output annual'!$AC$2&amp;'Output annual'!$AD$2&amp;"*FangerPMV(Hourly)",'Eplus results'!$1:$1048576,ROW(),FALSE)</f>
        <v>0</v>
      </c>
      <c r="AD7903" s="580">
        <f t="shared" si="651"/>
        <v>5</v>
      </c>
      <c r="AE7903" s="580">
        <f t="shared" si="652"/>
        <v>2.5</v>
      </c>
      <c r="AF7903" s="580">
        <f t="shared" si="653"/>
        <v>2.5</v>
      </c>
      <c r="AG7903" s="580">
        <f t="shared" si="654"/>
        <v>0</v>
      </c>
      <c r="AH7903" s="580">
        <f t="shared" si="655"/>
        <v>0</v>
      </c>
    </row>
    <row r="7904" spans="28:34">
      <c r="AB7904" s="580">
        <f>HLOOKUP("*"&amp;'Output annual'!$AC$2&amp;'Output annual'!$AD$2&amp;"*Zone People Number Of Occupants [](Hourly)",'Eplus results'!$1:$1048576,ROW(),FALSE)</f>
        <v>0</v>
      </c>
      <c r="AC7904" s="580">
        <f>HLOOKUP("*"&amp;'Output annual'!$AC$2&amp;'Output annual'!$AD$2&amp;"*FangerPMV(Hourly)",'Eplus results'!$1:$1048576,ROW(),FALSE)</f>
        <v>0</v>
      </c>
      <c r="AD7904" s="580">
        <f t="shared" si="651"/>
        <v>5</v>
      </c>
      <c r="AE7904" s="580">
        <f t="shared" si="652"/>
        <v>2.5</v>
      </c>
      <c r="AF7904" s="580">
        <f t="shared" si="653"/>
        <v>2.5</v>
      </c>
      <c r="AG7904" s="580">
        <f t="shared" si="654"/>
        <v>0</v>
      </c>
      <c r="AH7904" s="580">
        <f t="shared" si="655"/>
        <v>0</v>
      </c>
    </row>
    <row r="7905" spans="28:34">
      <c r="AB7905" s="580">
        <f>HLOOKUP("*"&amp;'Output annual'!$AC$2&amp;'Output annual'!$AD$2&amp;"*Zone People Number Of Occupants [](Hourly)",'Eplus results'!$1:$1048576,ROW(),FALSE)</f>
        <v>0</v>
      </c>
      <c r="AC7905" s="580">
        <f>HLOOKUP("*"&amp;'Output annual'!$AC$2&amp;'Output annual'!$AD$2&amp;"*FangerPMV(Hourly)",'Eplus results'!$1:$1048576,ROW(),FALSE)</f>
        <v>0</v>
      </c>
      <c r="AD7905" s="580">
        <f t="shared" si="651"/>
        <v>5</v>
      </c>
      <c r="AE7905" s="580">
        <f t="shared" si="652"/>
        <v>2.5</v>
      </c>
      <c r="AF7905" s="580">
        <f t="shared" si="653"/>
        <v>2.5</v>
      </c>
      <c r="AG7905" s="580">
        <f t="shared" si="654"/>
        <v>0</v>
      </c>
      <c r="AH7905" s="580">
        <f t="shared" si="655"/>
        <v>0</v>
      </c>
    </row>
    <row r="7906" spans="28:34">
      <c r="AB7906" s="580">
        <f>HLOOKUP("*"&amp;'Output annual'!$AC$2&amp;'Output annual'!$AD$2&amp;"*Zone People Number Of Occupants [](Hourly)",'Eplus results'!$1:$1048576,ROW(),FALSE)</f>
        <v>0</v>
      </c>
      <c r="AC7906" s="580">
        <f>HLOOKUP("*"&amp;'Output annual'!$AC$2&amp;'Output annual'!$AD$2&amp;"*FangerPMV(Hourly)",'Eplus results'!$1:$1048576,ROW(),FALSE)</f>
        <v>0</v>
      </c>
      <c r="AD7906" s="580">
        <f t="shared" si="651"/>
        <v>5</v>
      </c>
      <c r="AE7906" s="580">
        <f t="shared" si="652"/>
        <v>2.5</v>
      </c>
      <c r="AF7906" s="580">
        <f t="shared" si="653"/>
        <v>2.5</v>
      </c>
      <c r="AG7906" s="580">
        <f t="shared" si="654"/>
        <v>0</v>
      </c>
      <c r="AH7906" s="580">
        <f t="shared" si="655"/>
        <v>0</v>
      </c>
    </row>
    <row r="7907" spans="28:34">
      <c r="AB7907" s="580">
        <f>HLOOKUP("*"&amp;'Output annual'!$AC$2&amp;'Output annual'!$AD$2&amp;"*Zone People Number Of Occupants [](Hourly)",'Eplus results'!$1:$1048576,ROW(),FALSE)</f>
        <v>0</v>
      </c>
      <c r="AC7907" s="580">
        <f>HLOOKUP("*"&amp;'Output annual'!$AC$2&amp;'Output annual'!$AD$2&amp;"*FangerPMV(Hourly)",'Eplus results'!$1:$1048576,ROW(),FALSE)</f>
        <v>0</v>
      </c>
      <c r="AD7907" s="580">
        <f t="shared" si="651"/>
        <v>5</v>
      </c>
      <c r="AE7907" s="580">
        <f t="shared" si="652"/>
        <v>2.5</v>
      </c>
      <c r="AF7907" s="580">
        <f t="shared" si="653"/>
        <v>2.5</v>
      </c>
      <c r="AG7907" s="580">
        <f t="shared" si="654"/>
        <v>0</v>
      </c>
      <c r="AH7907" s="580">
        <f t="shared" si="655"/>
        <v>0</v>
      </c>
    </row>
    <row r="7908" spans="28:34">
      <c r="AB7908" s="580">
        <f>HLOOKUP("*"&amp;'Output annual'!$AC$2&amp;'Output annual'!$AD$2&amp;"*Zone People Number Of Occupants [](Hourly)",'Eplus results'!$1:$1048576,ROW(),FALSE)</f>
        <v>0</v>
      </c>
      <c r="AC7908" s="580">
        <f>HLOOKUP("*"&amp;'Output annual'!$AC$2&amp;'Output annual'!$AD$2&amp;"*FangerPMV(Hourly)",'Eplus results'!$1:$1048576,ROW(),FALSE)</f>
        <v>0</v>
      </c>
      <c r="AD7908" s="580">
        <f t="shared" si="651"/>
        <v>5</v>
      </c>
      <c r="AE7908" s="580">
        <f t="shared" si="652"/>
        <v>2.5</v>
      </c>
      <c r="AF7908" s="580">
        <f t="shared" si="653"/>
        <v>2.5</v>
      </c>
      <c r="AG7908" s="580">
        <f t="shared" si="654"/>
        <v>0</v>
      </c>
      <c r="AH7908" s="580">
        <f t="shared" si="655"/>
        <v>0</v>
      </c>
    </row>
    <row r="7909" spans="28:34">
      <c r="AB7909" s="580">
        <f>HLOOKUP("*"&amp;'Output annual'!$AC$2&amp;'Output annual'!$AD$2&amp;"*Zone People Number Of Occupants [](Hourly)",'Eplus results'!$1:$1048576,ROW(),FALSE)</f>
        <v>0</v>
      </c>
      <c r="AC7909" s="580">
        <f>HLOOKUP("*"&amp;'Output annual'!$AC$2&amp;'Output annual'!$AD$2&amp;"*FangerPMV(Hourly)",'Eplus results'!$1:$1048576,ROW(),FALSE)</f>
        <v>0</v>
      </c>
      <c r="AD7909" s="580">
        <f t="shared" si="651"/>
        <v>5</v>
      </c>
      <c r="AE7909" s="580">
        <f t="shared" si="652"/>
        <v>2.5</v>
      </c>
      <c r="AF7909" s="580">
        <f t="shared" si="653"/>
        <v>2.5</v>
      </c>
      <c r="AG7909" s="580">
        <f t="shared" si="654"/>
        <v>0</v>
      </c>
      <c r="AH7909" s="580">
        <f t="shared" si="655"/>
        <v>0</v>
      </c>
    </row>
    <row r="7910" spans="28:34">
      <c r="AB7910" s="580">
        <f>HLOOKUP("*"&amp;'Output annual'!$AC$2&amp;'Output annual'!$AD$2&amp;"*Zone People Number Of Occupants [](Hourly)",'Eplus results'!$1:$1048576,ROW(),FALSE)</f>
        <v>0</v>
      </c>
      <c r="AC7910" s="580">
        <f>HLOOKUP("*"&amp;'Output annual'!$AC$2&amp;'Output annual'!$AD$2&amp;"*FangerPMV(Hourly)",'Eplus results'!$1:$1048576,ROW(),FALSE)</f>
        <v>0</v>
      </c>
      <c r="AD7910" s="580">
        <f t="shared" si="651"/>
        <v>5</v>
      </c>
      <c r="AE7910" s="580">
        <f t="shared" si="652"/>
        <v>2.5</v>
      </c>
      <c r="AF7910" s="580">
        <f t="shared" si="653"/>
        <v>2.5</v>
      </c>
      <c r="AG7910" s="580">
        <f t="shared" si="654"/>
        <v>0</v>
      </c>
      <c r="AH7910" s="580">
        <f t="shared" si="655"/>
        <v>0</v>
      </c>
    </row>
    <row r="7911" spans="28:34">
      <c r="AB7911" s="580">
        <f>HLOOKUP("*"&amp;'Output annual'!$AC$2&amp;'Output annual'!$AD$2&amp;"*Zone People Number Of Occupants [](Hourly)",'Eplus results'!$1:$1048576,ROW(),FALSE)</f>
        <v>0</v>
      </c>
      <c r="AC7911" s="580">
        <f>HLOOKUP("*"&amp;'Output annual'!$AC$2&amp;'Output annual'!$AD$2&amp;"*FangerPMV(Hourly)",'Eplus results'!$1:$1048576,ROW(),FALSE)</f>
        <v>0</v>
      </c>
      <c r="AD7911" s="580">
        <f t="shared" si="651"/>
        <v>5</v>
      </c>
      <c r="AE7911" s="580">
        <f t="shared" si="652"/>
        <v>2.5</v>
      </c>
      <c r="AF7911" s="580">
        <f t="shared" si="653"/>
        <v>2.5</v>
      </c>
      <c r="AG7911" s="580">
        <f t="shared" si="654"/>
        <v>0</v>
      </c>
      <c r="AH7911" s="580">
        <f t="shared" si="655"/>
        <v>0</v>
      </c>
    </row>
    <row r="7912" spans="28:34">
      <c r="AB7912" s="580">
        <f>HLOOKUP("*"&amp;'Output annual'!$AC$2&amp;'Output annual'!$AD$2&amp;"*Zone People Number Of Occupants [](Hourly)",'Eplus results'!$1:$1048576,ROW(),FALSE)</f>
        <v>0</v>
      </c>
      <c r="AC7912" s="580">
        <f>HLOOKUP("*"&amp;'Output annual'!$AC$2&amp;'Output annual'!$AD$2&amp;"*FangerPMV(Hourly)",'Eplus results'!$1:$1048576,ROW(),FALSE)</f>
        <v>0</v>
      </c>
      <c r="AD7912" s="580">
        <f t="shared" si="651"/>
        <v>5</v>
      </c>
      <c r="AE7912" s="580">
        <f t="shared" si="652"/>
        <v>2.5</v>
      </c>
      <c r="AF7912" s="580">
        <f t="shared" si="653"/>
        <v>2.5</v>
      </c>
      <c r="AG7912" s="580">
        <f t="shared" si="654"/>
        <v>0</v>
      </c>
      <c r="AH7912" s="580">
        <f t="shared" si="655"/>
        <v>0</v>
      </c>
    </row>
    <row r="7913" spans="28:34">
      <c r="AB7913" s="580">
        <f>HLOOKUP("*"&amp;'Output annual'!$AC$2&amp;'Output annual'!$AD$2&amp;"*Zone People Number Of Occupants [](Hourly)",'Eplus results'!$1:$1048576,ROW(),FALSE)</f>
        <v>0</v>
      </c>
      <c r="AC7913" s="580">
        <f>HLOOKUP("*"&amp;'Output annual'!$AC$2&amp;'Output annual'!$AD$2&amp;"*FangerPMV(Hourly)",'Eplus results'!$1:$1048576,ROW(),FALSE)</f>
        <v>0</v>
      </c>
      <c r="AD7913" s="580">
        <f t="shared" si="651"/>
        <v>5</v>
      </c>
      <c r="AE7913" s="580">
        <f t="shared" si="652"/>
        <v>2.5</v>
      </c>
      <c r="AF7913" s="580">
        <f t="shared" si="653"/>
        <v>2.5</v>
      </c>
      <c r="AG7913" s="580">
        <f t="shared" si="654"/>
        <v>0</v>
      </c>
      <c r="AH7913" s="580">
        <f t="shared" si="655"/>
        <v>0</v>
      </c>
    </row>
    <row r="7914" spans="28:34">
      <c r="AB7914" s="580">
        <f>HLOOKUP("*"&amp;'Output annual'!$AC$2&amp;'Output annual'!$AD$2&amp;"*Zone People Number Of Occupants [](Hourly)",'Eplus results'!$1:$1048576,ROW(),FALSE)</f>
        <v>0</v>
      </c>
      <c r="AC7914" s="580">
        <f>HLOOKUP("*"&amp;'Output annual'!$AC$2&amp;'Output annual'!$AD$2&amp;"*FangerPMV(Hourly)",'Eplus results'!$1:$1048576,ROW(),FALSE)</f>
        <v>0</v>
      </c>
      <c r="AD7914" s="580">
        <f t="shared" si="651"/>
        <v>5</v>
      </c>
      <c r="AE7914" s="580">
        <f t="shared" si="652"/>
        <v>2.5</v>
      </c>
      <c r="AF7914" s="580">
        <f t="shared" si="653"/>
        <v>2.5</v>
      </c>
      <c r="AG7914" s="580">
        <f t="shared" si="654"/>
        <v>0</v>
      </c>
      <c r="AH7914" s="580">
        <f t="shared" si="655"/>
        <v>0</v>
      </c>
    </row>
    <row r="7915" spans="28:34">
      <c r="AB7915" s="580">
        <f>HLOOKUP("*"&amp;'Output annual'!$AC$2&amp;'Output annual'!$AD$2&amp;"*Zone People Number Of Occupants [](Hourly)",'Eplus results'!$1:$1048576,ROW(),FALSE)</f>
        <v>0</v>
      </c>
      <c r="AC7915" s="580">
        <f>HLOOKUP("*"&amp;'Output annual'!$AC$2&amp;'Output annual'!$AD$2&amp;"*FangerPMV(Hourly)",'Eplus results'!$1:$1048576,ROW(),FALSE)</f>
        <v>0</v>
      </c>
      <c r="AD7915" s="580">
        <f t="shared" si="651"/>
        <v>5</v>
      </c>
      <c r="AE7915" s="580">
        <f t="shared" si="652"/>
        <v>2.5</v>
      </c>
      <c r="AF7915" s="580">
        <f t="shared" si="653"/>
        <v>2.5</v>
      </c>
      <c r="AG7915" s="580">
        <f t="shared" si="654"/>
        <v>0</v>
      </c>
      <c r="AH7915" s="580">
        <f t="shared" si="655"/>
        <v>0</v>
      </c>
    </row>
    <row r="7916" spans="28:34">
      <c r="AB7916" s="580">
        <f>HLOOKUP("*"&amp;'Output annual'!$AC$2&amp;'Output annual'!$AD$2&amp;"*Zone People Number Of Occupants [](Hourly)",'Eplus results'!$1:$1048576,ROW(),FALSE)</f>
        <v>0</v>
      </c>
      <c r="AC7916" s="580">
        <f>HLOOKUP("*"&amp;'Output annual'!$AC$2&amp;'Output annual'!$AD$2&amp;"*FangerPMV(Hourly)",'Eplus results'!$1:$1048576,ROW(),FALSE)</f>
        <v>0</v>
      </c>
      <c r="AD7916" s="580">
        <f t="shared" si="651"/>
        <v>5</v>
      </c>
      <c r="AE7916" s="580">
        <f t="shared" si="652"/>
        <v>2.5</v>
      </c>
      <c r="AF7916" s="580">
        <f t="shared" si="653"/>
        <v>2.5</v>
      </c>
      <c r="AG7916" s="580">
        <f t="shared" si="654"/>
        <v>0</v>
      </c>
      <c r="AH7916" s="580">
        <f t="shared" si="655"/>
        <v>0</v>
      </c>
    </row>
    <row r="7917" spans="28:34">
      <c r="AB7917" s="580">
        <f>HLOOKUP("*"&amp;'Output annual'!$AC$2&amp;'Output annual'!$AD$2&amp;"*Zone People Number Of Occupants [](Hourly)",'Eplus results'!$1:$1048576,ROW(),FALSE)</f>
        <v>0</v>
      </c>
      <c r="AC7917" s="580">
        <f>HLOOKUP("*"&amp;'Output annual'!$AC$2&amp;'Output annual'!$AD$2&amp;"*FangerPMV(Hourly)",'Eplus results'!$1:$1048576,ROW(),FALSE)</f>
        <v>0</v>
      </c>
      <c r="AD7917" s="580">
        <f t="shared" si="651"/>
        <v>5</v>
      </c>
      <c r="AE7917" s="580">
        <f t="shared" si="652"/>
        <v>2.5</v>
      </c>
      <c r="AF7917" s="580">
        <f t="shared" si="653"/>
        <v>2.5</v>
      </c>
      <c r="AG7917" s="580">
        <f t="shared" si="654"/>
        <v>0</v>
      </c>
      <c r="AH7917" s="580">
        <f t="shared" si="655"/>
        <v>0</v>
      </c>
    </row>
    <row r="7918" spans="28:34">
      <c r="AB7918" s="580">
        <f>HLOOKUP("*"&amp;'Output annual'!$AC$2&amp;'Output annual'!$AD$2&amp;"*Zone People Number Of Occupants [](Hourly)",'Eplus results'!$1:$1048576,ROW(),FALSE)</f>
        <v>0</v>
      </c>
      <c r="AC7918" s="580">
        <f>HLOOKUP("*"&amp;'Output annual'!$AC$2&amp;'Output annual'!$AD$2&amp;"*FangerPMV(Hourly)",'Eplus results'!$1:$1048576,ROW(),FALSE)</f>
        <v>0</v>
      </c>
      <c r="AD7918" s="580">
        <f t="shared" si="651"/>
        <v>5</v>
      </c>
      <c r="AE7918" s="580">
        <f t="shared" si="652"/>
        <v>2.5</v>
      </c>
      <c r="AF7918" s="580">
        <f t="shared" si="653"/>
        <v>2.5</v>
      </c>
      <c r="AG7918" s="580">
        <f t="shared" si="654"/>
        <v>0</v>
      </c>
      <c r="AH7918" s="580">
        <f t="shared" si="655"/>
        <v>0</v>
      </c>
    </row>
    <row r="7919" spans="28:34">
      <c r="AB7919" s="580">
        <f>HLOOKUP("*"&amp;'Output annual'!$AC$2&amp;'Output annual'!$AD$2&amp;"*Zone People Number Of Occupants [](Hourly)",'Eplus results'!$1:$1048576,ROW(),FALSE)</f>
        <v>0</v>
      </c>
      <c r="AC7919" s="580">
        <f>HLOOKUP("*"&amp;'Output annual'!$AC$2&amp;'Output annual'!$AD$2&amp;"*FangerPMV(Hourly)",'Eplus results'!$1:$1048576,ROW(),FALSE)</f>
        <v>0</v>
      </c>
      <c r="AD7919" s="580">
        <f t="shared" si="651"/>
        <v>5</v>
      </c>
      <c r="AE7919" s="580">
        <f t="shared" si="652"/>
        <v>2.5</v>
      </c>
      <c r="AF7919" s="580">
        <f t="shared" si="653"/>
        <v>2.5</v>
      </c>
      <c r="AG7919" s="580">
        <f t="shared" si="654"/>
        <v>0</v>
      </c>
      <c r="AH7919" s="580">
        <f t="shared" si="655"/>
        <v>0</v>
      </c>
    </row>
    <row r="7920" spans="28:34">
      <c r="AB7920" s="580">
        <f>HLOOKUP("*"&amp;'Output annual'!$AC$2&amp;'Output annual'!$AD$2&amp;"*Zone People Number Of Occupants [](Hourly)",'Eplus results'!$1:$1048576,ROW(),FALSE)</f>
        <v>0</v>
      </c>
      <c r="AC7920" s="580">
        <f>HLOOKUP("*"&amp;'Output annual'!$AC$2&amp;'Output annual'!$AD$2&amp;"*FangerPMV(Hourly)",'Eplus results'!$1:$1048576,ROW(),FALSE)</f>
        <v>0</v>
      </c>
      <c r="AD7920" s="580">
        <f t="shared" si="651"/>
        <v>5</v>
      </c>
      <c r="AE7920" s="580">
        <f t="shared" si="652"/>
        <v>2.5</v>
      </c>
      <c r="AF7920" s="580">
        <f t="shared" si="653"/>
        <v>2.5</v>
      </c>
      <c r="AG7920" s="580">
        <f t="shared" si="654"/>
        <v>0</v>
      </c>
      <c r="AH7920" s="580">
        <f t="shared" si="655"/>
        <v>0</v>
      </c>
    </row>
    <row r="7921" spans="28:34">
      <c r="AB7921" s="580">
        <f>HLOOKUP("*"&amp;'Output annual'!$AC$2&amp;'Output annual'!$AD$2&amp;"*Zone People Number Of Occupants [](Hourly)",'Eplus results'!$1:$1048576,ROW(),FALSE)</f>
        <v>0</v>
      </c>
      <c r="AC7921" s="580">
        <f>HLOOKUP("*"&amp;'Output annual'!$AC$2&amp;'Output annual'!$AD$2&amp;"*FangerPMV(Hourly)",'Eplus results'!$1:$1048576,ROW(),FALSE)</f>
        <v>0</v>
      </c>
      <c r="AD7921" s="580">
        <f t="shared" si="651"/>
        <v>5</v>
      </c>
      <c r="AE7921" s="580">
        <f t="shared" si="652"/>
        <v>2.5</v>
      </c>
      <c r="AF7921" s="580">
        <f t="shared" si="653"/>
        <v>2.5</v>
      </c>
      <c r="AG7921" s="580">
        <f t="shared" si="654"/>
        <v>0</v>
      </c>
      <c r="AH7921" s="580">
        <f t="shared" si="655"/>
        <v>0</v>
      </c>
    </row>
    <row r="7922" spans="28:34">
      <c r="AB7922" s="580">
        <f>HLOOKUP("*"&amp;'Output annual'!$AC$2&amp;'Output annual'!$AD$2&amp;"*Zone People Number Of Occupants [](Hourly)",'Eplus results'!$1:$1048576,ROW(),FALSE)</f>
        <v>0</v>
      </c>
      <c r="AC7922" s="580">
        <f>HLOOKUP("*"&amp;'Output annual'!$AC$2&amp;'Output annual'!$AD$2&amp;"*FangerPMV(Hourly)",'Eplus results'!$1:$1048576,ROW(),FALSE)</f>
        <v>0</v>
      </c>
      <c r="AD7922" s="580">
        <f t="shared" si="651"/>
        <v>5</v>
      </c>
      <c r="AE7922" s="580">
        <f t="shared" si="652"/>
        <v>2.5</v>
      </c>
      <c r="AF7922" s="580">
        <f t="shared" si="653"/>
        <v>2.5</v>
      </c>
      <c r="AG7922" s="580">
        <f t="shared" si="654"/>
        <v>0</v>
      </c>
      <c r="AH7922" s="580">
        <f t="shared" si="655"/>
        <v>0</v>
      </c>
    </row>
    <row r="7923" spans="28:34">
      <c r="AB7923" s="580">
        <f>HLOOKUP("*"&amp;'Output annual'!$AC$2&amp;'Output annual'!$AD$2&amp;"*Zone People Number Of Occupants [](Hourly)",'Eplus results'!$1:$1048576,ROW(),FALSE)</f>
        <v>0</v>
      </c>
      <c r="AC7923" s="580">
        <f>HLOOKUP("*"&amp;'Output annual'!$AC$2&amp;'Output annual'!$AD$2&amp;"*FangerPMV(Hourly)",'Eplus results'!$1:$1048576,ROW(),FALSE)</f>
        <v>0</v>
      </c>
      <c r="AD7923" s="580">
        <f t="shared" si="651"/>
        <v>5</v>
      </c>
      <c r="AE7923" s="580">
        <f t="shared" si="652"/>
        <v>2.5</v>
      </c>
      <c r="AF7923" s="580">
        <f t="shared" si="653"/>
        <v>2.5</v>
      </c>
      <c r="AG7923" s="580">
        <f t="shared" si="654"/>
        <v>0</v>
      </c>
      <c r="AH7923" s="580">
        <f t="shared" si="655"/>
        <v>0</v>
      </c>
    </row>
    <row r="7924" spans="28:34">
      <c r="AB7924" s="580">
        <f>HLOOKUP("*"&amp;'Output annual'!$AC$2&amp;'Output annual'!$AD$2&amp;"*Zone People Number Of Occupants [](Hourly)",'Eplus results'!$1:$1048576,ROW(),FALSE)</f>
        <v>0</v>
      </c>
      <c r="AC7924" s="580">
        <f>HLOOKUP("*"&amp;'Output annual'!$AC$2&amp;'Output annual'!$AD$2&amp;"*FangerPMV(Hourly)",'Eplus results'!$1:$1048576,ROW(),FALSE)</f>
        <v>0</v>
      </c>
      <c r="AD7924" s="580">
        <f t="shared" si="651"/>
        <v>5</v>
      </c>
      <c r="AE7924" s="580">
        <f t="shared" si="652"/>
        <v>2.5</v>
      </c>
      <c r="AF7924" s="580">
        <f t="shared" si="653"/>
        <v>2.5</v>
      </c>
      <c r="AG7924" s="580">
        <f t="shared" si="654"/>
        <v>0</v>
      </c>
      <c r="AH7924" s="580">
        <f t="shared" si="655"/>
        <v>0</v>
      </c>
    </row>
    <row r="7925" spans="28:34">
      <c r="AB7925" s="580">
        <f>HLOOKUP("*"&amp;'Output annual'!$AC$2&amp;'Output annual'!$AD$2&amp;"*Zone People Number Of Occupants [](Hourly)",'Eplus results'!$1:$1048576,ROW(),FALSE)</f>
        <v>0</v>
      </c>
      <c r="AC7925" s="580">
        <f>HLOOKUP("*"&amp;'Output annual'!$AC$2&amp;'Output annual'!$AD$2&amp;"*FangerPMV(Hourly)",'Eplus results'!$1:$1048576,ROW(),FALSE)</f>
        <v>0</v>
      </c>
      <c r="AD7925" s="580">
        <f t="shared" si="651"/>
        <v>5</v>
      </c>
      <c r="AE7925" s="580">
        <f t="shared" si="652"/>
        <v>2.5</v>
      </c>
      <c r="AF7925" s="580">
        <f t="shared" si="653"/>
        <v>2.5</v>
      </c>
      <c r="AG7925" s="580">
        <f t="shared" si="654"/>
        <v>0</v>
      </c>
      <c r="AH7925" s="580">
        <f t="shared" si="655"/>
        <v>0</v>
      </c>
    </row>
    <row r="7926" spans="28:34">
      <c r="AB7926" s="580">
        <f>HLOOKUP("*"&amp;'Output annual'!$AC$2&amp;'Output annual'!$AD$2&amp;"*Zone People Number Of Occupants [](Hourly)",'Eplus results'!$1:$1048576,ROW(),FALSE)</f>
        <v>0</v>
      </c>
      <c r="AC7926" s="580">
        <f>HLOOKUP("*"&amp;'Output annual'!$AC$2&amp;'Output annual'!$AD$2&amp;"*FangerPMV(Hourly)",'Eplus results'!$1:$1048576,ROW(),FALSE)</f>
        <v>0</v>
      </c>
      <c r="AD7926" s="580">
        <f t="shared" si="651"/>
        <v>5</v>
      </c>
      <c r="AE7926" s="580">
        <f t="shared" si="652"/>
        <v>2.5</v>
      </c>
      <c r="AF7926" s="580">
        <f t="shared" si="653"/>
        <v>2.5</v>
      </c>
      <c r="AG7926" s="580">
        <f t="shared" si="654"/>
        <v>0</v>
      </c>
      <c r="AH7926" s="580">
        <f t="shared" si="655"/>
        <v>0</v>
      </c>
    </row>
    <row r="7927" spans="28:34">
      <c r="AB7927" s="580">
        <f>HLOOKUP("*"&amp;'Output annual'!$AC$2&amp;'Output annual'!$AD$2&amp;"*Zone People Number Of Occupants [](Hourly)",'Eplus results'!$1:$1048576,ROW(),FALSE)</f>
        <v>0</v>
      </c>
      <c r="AC7927" s="580">
        <f>HLOOKUP("*"&amp;'Output annual'!$AC$2&amp;'Output annual'!$AD$2&amp;"*FangerPMV(Hourly)",'Eplus results'!$1:$1048576,ROW(),FALSE)</f>
        <v>0</v>
      </c>
      <c r="AD7927" s="580">
        <f t="shared" si="651"/>
        <v>5</v>
      </c>
      <c r="AE7927" s="580">
        <f t="shared" si="652"/>
        <v>2.5</v>
      </c>
      <c r="AF7927" s="580">
        <f t="shared" si="653"/>
        <v>2.5</v>
      </c>
      <c r="AG7927" s="580">
        <f t="shared" si="654"/>
        <v>0</v>
      </c>
      <c r="AH7927" s="580">
        <f t="shared" si="655"/>
        <v>0</v>
      </c>
    </row>
    <row r="7928" spans="28:34">
      <c r="AB7928" s="580">
        <f>HLOOKUP("*"&amp;'Output annual'!$AC$2&amp;'Output annual'!$AD$2&amp;"*Zone People Number Of Occupants [](Hourly)",'Eplus results'!$1:$1048576,ROW(),FALSE)</f>
        <v>0</v>
      </c>
      <c r="AC7928" s="580">
        <f>HLOOKUP("*"&amp;'Output annual'!$AC$2&amp;'Output annual'!$AD$2&amp;"*FangerPMV(Hourly)",'Eplus results'!$1:$1048576,ROW(),FALSE)</f>
        <v>0</v>
      </c>
      <c r="AD7928" s="580">
        <f t="shared" si="651"/>
        <v>5</v>
      </c>
      <c r="AE7928" s="580">
        <f t="shared" si="652"/>
        <v>2.5</v>
      </c>
      <c r="AF7928" s="580">
        <f t="shared" si="653"/>
        <v>2.5</v>
      </c>
      <c r="AG7928" s="580">
        <f t="shared" si="654"/>
        <v>0</v>
      </c>
      <c r="AH7928" s="580">
        <f t="shared" si="655"/>
        <v>0</v>
      </c>
    </row>
    <row r="7929" spans="28:34">
      <c r="AB7929" s="580">
        <f>HLOOKUP("*"&amp;'Output annual'!$AC$2&amp;'Output annual'!$AD$2&amp;"*Zone People Number Of Occupants [](Hourly)",'Eplus results'!$1:$1048576,ROW(),FALSE)</f>
        <v>0</v>
      </c>
      <c r="AC7929" s="580">
        <f>HLOOKUP("*"&amp;'Output annual'!$AC$2&amp;'Output annual'!$AD$2&amp;"*FangerPMV(Hourly)",'Eplus results'!$1:$1048576,ROW(),FALSE)</f>
        <v>0</v>
      </c>
      <c r="AD7929" s="580">
        <f t="shared" si="651"/>
        <v>5</v>
      </c>
      <c r="AE7929" s="580">
        <f t="shared" si="652"/>
        <v>2.5</v>
      </c>
      <c r="AF7929" s="580">
        <f t="shared" si="653"/>
        <v>2.5</v>
      </c>
      <c r="AG7929" s="580">
        <f t="shared" si="654"/>
        <v>0</v>
      </c>
      <c r="AH7929" s="580">
        <f t="shared" si="655"/>
        <v>0</v>
      </c>
    </row>
    <row r="7930" spans="28:34">
      <c r="AB7930" s="580">
        <f>HLOOKUP("*"&amp;'Output annual'!$AC$2&amp;'Output annual'!$AD$2&amp;"*Zone People Number Of Occupants [](Hourly)",'Eplus results'!$1:$1048576,ROW(),FALSE)</f>
        <v>0</v>
      </c>
      <c r="AC7930" s="580">
        <f>HLOOKUP("*"&amp;'Output annual'!$AC$2&amp;'Output annual'!$AD$2&amp;"*FangerPMV(Hourly)",'Eplus results'!$1:$1048576,ROW(),FALSE)</f>
        <v>0</v>
      </c>
      <c r="AD7930" s="580">
        <f t="shared" si="651"/>
        <v>5</v>
      </c>
      <c r="AE7930" s="580">
        <f t="shared" si="652"/>
        <v>2.5</v>
      </c>
      <c r="AF7930" s="580">
        <f t="shared" si="653"/>
        <v>2.5</v>
      </c>
      <c r="AG7930" s="580">
        <f t="shared" si="654"/>
        <v>0</v>
      </c>
      <c r="AH7930" s="580">
        <f t="shared" si="655"/>
        <v>0</v>
      </c>
    </row>
    <row r="7931" spans="28:34">
      <c r="AB7931" s="580">
        <f>HLOOKUP("*"&amp;'Output annual'!$AC$2&amp;'Output annual'!$AD$2&amp;"*Zone People Number Of Occupants [](Hourly)",'Eplus results'!$1:$1048576,ROW(),FALSE)</f>
        <v>0</v>
      </c>
      <c r="AC7931" s="580">
        <f>HLOOKUP("*"&amp;'Output annual'!$AC$2&amp;'Output annual'!$AD$2&amp;"*FangerPMV(Hourly)",'Eplus results'!$1:$1048576,ROW(),FALSE)</f>
        <v>0</v>
      </c>
      <c r="AD7931" s="580">
        <f t="shared" si="651"/>
        <v>5</v>
      </c>
      <c r="AE7931" s="580">
        <f t="shared" si="652"/>
        <v>2.5</v>
      </c>
      <c r="AF7931" s="580">
        <f t="shared" si="653"/>
        <v>2.5</v>
      </c>
      <c r="AG7931" s="580">
        <f t="shared" si="654"/>
        <v>0</v>
      </c>
      <c r="AH7931" s="580">
        <f t="shared" si="655"/>
        <v>0</v>
      </c>
    </row>
    <row r="7932" spans="28:34">
      <c r="AB7932" s="580">
        <f>HLOOKUP("*"&amp;'Output annual'!$AC$2&amp;'Output annual'!$AD$2&amp;"*Zone People Number Of Occupants [](Hourly)",'Eplus results'!$1:$1048576,ROW(),FALSE)</f>
        <v>0</v>
      </c>
      <c r="AC7932" s="580">
        <f>HLOOKUP("*"&amp;'Output annual'!$AC$2&amp;'Output annual'!$AD$2&amp;"*FangerPMV(Hourly)",'Eplus results'!$1:$1048576,ROW(),FALSE)</f>
        <v>0</v>
      </c>
      <c r="AD7932" s="580">
        <f t="shared" si="651"/>
        <v>5</v>
      </c>
      <c r="AE7932" s="580">
        <f t="shared" si="652"/>
        <v>2.5</v>
      </c>
      <c r="AF7932" s="580">
        <f t="shared" si="653"/>
        <v>2.5</v>
      </c>
      <c r="AG7932" s="580">
        <f t="shared" si="654"/>
        <v>0</v>
      </c>
      <c r="AH7932" s="580">
        <f t="shared" si="655"/>
        <v>0</v>
      </c>
    </row>
    <row r="7933" spans="28:34">
      <c r="AB7933" s="580">
        <f>HLOOKUP("*"&amp;'Output annual'!$AC$2&amp;'Output annual'!$AD$2&amp;"*Zone People Number Of Occupants [](Hourly)",'Eplus results'!$1:$1048576,ROW(),FALSE)</f>
        <v>0</v>
      </c>
      <c r="AC7933" s="580">
        <f>HLOOKUP("*"&amp;'Output annual'!$AC$2&amp;'Output annual'!$AD$2&amp;"*FangerPMV(Hourly)",'Eplus results'!$1:$1048576,ROW(),FALSE)</f>
        <v>0</v>
      </c>
      <c r="AD7933" s="580">
        <f t="shared" si="651"/>
        <v>5</v>
      </c>
      <c r="AE7933" s="580">
        <f t="shared" si="652"/>
        <v>2.5</v>
      </c>
      <c r="AF7933" s="580">
        <f t="shared" si="653"/>
        <v>2.5</v>
      </c>
      <c r="AG7933" s="580">
        <f t="shared" si="654"/>
        <v>0</v>
      </c>
      <c r="AH7933" s="580">
        <f t="shared" si="655"/>
        <v>0</v>
      </c>
    </row>
    <row r="7934" spans="28:34">
      <c r="AB7934" s="580">
        <f>HLOOKUP("*"&amp;'Output annual'!$AC$2&amp;'Output annual'!$AD$2&amp;"*Zone People Number Of Occupants [](Hourly)",'Eplus results'!$1:$1048576,ROW(),FALSE)</f>
        <v>0</v>
      </c>
      <c r="AC7934" s="580">
        <f>HLOOKUP("*"&amp;'Output annual'!$AC$2&amp;'Output annual'!$AD$2&amp;"*FangerPMV(Hourly)",'Eplus results'!$1:$1048576,ROW(),FALSE)</f>
        <v>0</v>
      </c>
      <c r="AD7934" s="580">
        <f t="shared" si="651"/>
        <v>5</v>
      </c>
      <c r="AE7934" s="580">
        <f t="shared" si="652"/>
        <v>2.5</v>
      </c>
      <c r="AF7934" s="580">
        <f t="shared" si="653"/>
        <v>2.5</v>
      </c>
      <c r="AG7934" s="580">
        <f t="shared" si="654"/>
        <v>0</v>
      </c>
      <c r="AH7934" s="580">
        <f t="shared" si="655"/>
        <v>0</v>
      </c>
    </row>
    <row r="7935" spans="28:34">
      <c r="AB7935" s="580">
        <f>HLOOKUP("*"&amp;'Output annual'!$AC$2&amp;'Output annual'!$AD$2&amp;"*Zone People Number Of Occupants [](Hourly)",'Eplus results'!$1:$1048576,ROW(),FALSE)</f>
        <v>0</v>
      </c>
      <c r="AC7935" s="580">
        <f>HLOOKUP("*"&amp;'Output annual'!$AC$2&amp;'Output annual'!$AD$2&amp;"*FangerPMV(Hourly)",'Eplus results'!$1:$1048576,ROW(),FALSE)</f>
        <v>0</v>
      </c>
      <c r="AD7935" s="580">
        <f t="shared" si="651"/>
        <v>5</v>
      </c>
      <c r="AE7935" s="580">
        <f t="shared" si="652"/>
        <v>2.5</v>
      </c>
      <c r="AF7935" s="580">
        <f t="shared" si="653"/>
        <v>2.5</v>
      </c>
      <c r="AG7935" s="580">
        <f t="shared" si="654"/>
        <v>0</v>
      </c>
      <c r="AH7935" s="580">
        <f t="shared" si="655"/>
        <v>0</v>
      </c>
    </row>
    <row r="7936" spans="28:34">
      <c r="AB7936" s="580">
        <f>HLOOKUP("*"&amp;'Output annual'!$AC$2&amp;'Output annual'!$AD$2&amp;"*Zone People Number Of Occupants [](Hourly)",'Eplus results'!$1:$1048576,ROW(),FALSE)</f>
        <v>0</v>
      </c>
      <c r="AC7936" s="580">
        <f>HLOOKUP("*"&amp;'Output annual'!$AC$2&amp;'Output annual'!$AD$2&amp;"*FangerPMV(Hourly)",'Eplus results'!$1:$1048576,ROW(),FALSE)</f>
        <v>0</v>
      </c>
      <c r="AD7936" s="580">
        <f t="shared" si="651"/>
        <v>5</v>
      </c>
      <c r="AE7936" s="580">
        <f t="shared" si="652"/>
        <v>2.5</v>
      </c>
      <c r="AF7936" s="580">
        <f t="shared" si="653"/>
        <v>2.5</v>
      </c>
      <c r="AG7936" s="580">
        <f t="shared" si="654"/>
        <v>0</v>
      </c>
      <c r="AH7936" s="580">
        <f t="shared" si="655"/>
        <v>0</v>
      </c>
    </row>
    <row r="7937" spans="28:34">
      <c r="AB7937" s="580">
        <f>HLOOKUP("*"&amp;'Output annual'!$AC$2&amp;'Output annual'!$AD$2&amp;"*Zone People Number Of Occupants [](Hourly)",'Eplus results'!$1:$1048576,ROW(),FALSE)</f>
        <v>0</v>
      </c>
      <c r="AC7937" s="580">
        <f>HLOOKUP("*"&amp;'Output annual'!$AC$2&amp;'Output annual'!$AD$2&amp;"*FangerPMV(Hourly)",'Eplus results'!$1:$1048576,ROW(),FALSE)</f>
        <v>0</v>
      </c>
      <c r="AD7937" s="580">
        <f t="shared" si="651"/>
        <v>5</v>
      </c>
      <c r="AE7937" s="580">
        <f t="shared" si="652"/>
        <v>2.5</v>
      </c>
      <c r="AF7937" s="580">
        <f t="shared" si="653"/>
        <v>2.5</v>
      </c>
      <c r="AG7937" s="580">
        <f t="shared" si="654"/>
        <v>0</v>
      </c>
      <c r="AH7937" s="580">
        <f t="shared" si="655"/>
        <v>0</v>
      </c>
    </row>
    <row r="7938" spans="28:34">
      <c r="AB7938" s="580">
        <f>HLOOKUP("*"&amp;'Output annual'!$AC$2&amp;'Output annual'!$AD$2&amp;"*Zone People Number Of Occupants [](Hourly)",'Eplus results'!$1:$1048576,ROW(),FALSE)</f>
        <v>0</v>
      </c>
      <c r="AC7938" s="580">
        <f>HLOOKUP("*"&amp;'Output annual'!$AC$2&amp;'Output annual'!$AD$2&amp;"*FangerPMV(Hourly)",'Eplus results'!$1:$1048576,ROW(),FALSE)</f>
        <v>0</v>
      </c>
      <c r="AD7938" s="580">
        <f t="shared" si="651"/>
        <v>5</v>
      </c>
      <c r="AE7938" s="580">
        <f t="shared" si="652"/>
        <v>2.5</v>
      </c>
      <c r="AF7938" s="580">
        <f t="shared" si="653"/>
        <v>2.5</v>
      </c>
      <c r="AG7938" s="580">
        <f t="shared" si="654"/>
        <v>0</v>
      </c>
      <c r="AH7938" s="580">
        <f t="shared" si="655"/>
        <v>0</v>
      </c>
    </row>
    <row r="7939" spans="28:34">
      <c r="AB7939" s="580">
        <f>HLOOKUP("*"&amp;'Output annual'!$AC$2&amp;'Output annual'!$AD$2&amp;"*Zone People Number Of Occupants [](Hourly)",'Eplus results'!$1:$1048576,ROW(),FALSE)</f>
        <v>0</v>
      </c>
      <c r="AC7939" s="580">
        <f>HLOOKUP("*"&amp;'Output annual'!$AC$2&amp;'Output annual'!$AD$2&amp;"*FangerPMV(Hourly)",'Eplus results'!$1:$1048576,ROW(),FALSE)</f>
        <v>0</v>
      </c>
      <c r="AD7939" s="580">
        <f t="shared" ref="AD7939:AD8002" si="656">100-95*EXP(-0.03353*AC7939^4-0.2179*AC7939^2)</f>
        <v>5</v>
      </c>
      <c r="AE7939" s="580">
        <f t="shared" ref="AE7939:AE8002" si="657">AD7939*(1/(1+EXP(-6.3*$AC7939)))</f>
        <v>2.5</v>
      </c>
      <c r="AF7939" s="580">
        <f t="shared" ref="AF7939:AF8002" si="658">(AD7939-AE7939)</f>
        <v>2.5</v>
      </c>
      <c r="AG7939" s="580">
        <f t="shared" ref="AG7939:AG8002" si="659">AE7939*AB7939</f>
        <v>0</v>
      </c>
      <c r="AH7939" s="580">
        <f t="shared" ref="AH7939:AH8002" si="660">AF7939*AB7939</f>
        <v>0</v>
      </c>
    </row>
    <row r="7940" spans="28:34">
      <c r="AB7940" s="580">
        <f>HLOOKUP("*"&amp;'Output annual'!$AC$2&amp;'Output annual'!$AD$2&amp;"*Zone People Number Of Occupants [](Hourly)",'Eplus results'!$1:$1048576,ROW(),FALSE)</f>
        <v>0</v>
      </c>
      <c r="AC7940" s="580">
        <f>HLOOKUP("*"&amp;'Output annual'!$AC$2&amp;'Output annual'!$AD$2&amp;"*FangerPMV(Hourly)",'Eplus results'!$1:$1048576,ROW(),FALSE)</f>
        <v>0</v>
      </c>
      <c r="AD7940" s="580">
        <f t="shared" si="656"/>
        <v>5</v>
      </c>
      <c r="AE7940" s="580">
        <f t="shared" si="657"/>
        <v>2.5</v>
      </c>
      <c r="AF7940" s="580">
        <f t="shared" si="658"/>
        <v>2.5</v>
      </c>
      <c r="AG7940" s="580">
        <f t="shared" si="659"/>
        <v>0</v>
      </c>
      <c r="AH7940" s="580">
        <f t="shared" si="660"/>
        <v>0</v>
      </c>
    </row>
    <row r="7941" spans="28:34">
      <c r="AB7941" s="580">
        <f>HLOOKUP("*"&amp;'Output annual'!$AC$2&amp;'Output annual'!$AD$2&amp;"*Zone People Number Of Occupants [](Hourly)",'Eplus results'!$1:$1048576,ROW(),FALSE)</f>
        <v>0</v>
      </c>
      <c r="AC7941" s="580">
        <f>HLOOKUP("*"&amp;'Output annual'!$AC$2&amp;'Output annual'!$AD$2&amp;"*FangerPMV(Hourly)",'Eplus results'!$1:$1048576,ROW(),FALSE)</f>
        <v>0</v>
      </c>
      <c r="AD7941" s="580">
        <f t="shared" si="656"/>
        <v>5</v>
      </c>
      <c r="AE7941" s="580">
        <f t="shared" si="657"/>
        <v>2.5</v>
      </c>
      <c r="AF7941" s="580">
        <f t="shared" si="658"/>
        <v>2.5</v>
      </c>
      <c r="AG7941" s="580">
        <f t="shared" si="659"/>
        <v>0</v>
      </c>
      <c r="AH7941" s="580">
        <f t="shared" si="660"/>
        <v>0</v>
      </c>
    </row>
    <row r="7942" spans="28:34">
      <c r="AB7942" s="580">
        <f>HLOOKUP("*"&amp;'Output annual'!$AC$2&amp;'Output annual'!$AD$2&amp;"*Zone People Number Of Occupants [](Hourly)",'Eplus results'!$1:$1048576,ROW(),FALSE)</f>
        <v>0</v>
      </c>
      <c r="AC7942" s="580">
        <f>HLOOKUP("*"&amp;'Output annual'!$AC$2&amp;'Output annual'!$AD$2&amp;"*FangerPMV(Hourly)",'Eplus results'!$1:$1048576,ROW(),FALSE)</f>
        <v>0</v>
      </c>
      <c r="AD7942" s="580">
        <f t="shared" si="656"/>
        <v>5</v>
      </c>
      <c r="AE7942" s="580">
        <f t="shared" si="657"/>
        <v>2.5</v>
      </c>
      <c r="AF7942" s="580">
        <f t="shared" si="658"/>
        <v>2.5</v>
      </c>
      <c r="AG7942" s="580">
        <f t="shared" si="659"/>
        <v>0</v>
      </c>
      <c r="AH7942" s="580">
        <f t="shared" si="660"/>
        <v>0</v>
      </c>
    </row>
    <row r="7943" spans="28:34">
      <c r="AB7943" s="580">
        <f>HLOOKUP("*"&amp;'Output annual'!$AC$2&amp;'Output annual'!$AD$2&amp;"*Zone People Number Of Occupants [](Hourly)",'Eplus results'!$1:$1048576,ROW(),FALSE)</f>
        <v>0</v>
      </c>
      <c r="AC7943" s="580">
        <f>HLOOKUP("*"&amp;'Output annual'!$AC$2&amp;'Output annual'!$AD$2&amp;"*FangerPMV(Hourly)",'Eplus results'!$1:$1048576,ROW(),FALSE)</f>
        <v>0</v>
      </c>
      <c r="AD7943" s="580">
        <f t="shared" si="656"/>
        <v>5</v>
      </c>
      <c r="AE7943" s="580">
        <f t="shared" si="657"/>
        <v>2.5</v>
      </c>
      <c r="AF7943" s="580">
        <f t="shared" si="658"/>
        <v>2.5</v>
      </c>
      <c r="AG7943" s="580">
        <f t="shared" si="659"/>
        <v>0</v>
      </c>
      <c r="AH7943" s="580">
        <f t="shared" si="660"/>
        <v>0</v>
      </c>
    </row>
    <row r="7944" spans="28:34">
      <c r="AB7944" s="580">
        <f>HLOOKUP("*"&amp;'Output annual'!$AC$2&amp;'Output annual'!$AD$2&amp;"*Zone People Number Of Occupants [](Hourly)",'Eplus results'!$1:$1048576,ROW(),FALSE)</f>
        <v>0</v>
      </c>
      <c r="AC7944" s="580">
        <f>HLOOKUP("*"&amp;'Output annual'!$AC$2&amp;'Output annual'!$AD$2&amp;"*FangerPMV(Hourly)",'Eplus results'!$1:$1048576,ROW(),FALSE)</f>
        <v>0</v>
      </c>
      <c r="AD7944" s="580">
        <f t="shared" si="656"/>
        <v>5</v>
      </c>
      <c r="AE7944" s="580">
        <f t="shared" si="657"/>
        <v>2.5</v>
      </c>
      <c r="AF7944" s="580">
        <f t="shared" si="658"/>
        <v>2.5</v>
      </c>
      <c r="AG7944" s="580">
        <f t="shared" si="659"/>
        <v>0</v>
      </c>
      <c r="AH7944" s="580">
        <f t="shared" si="660"/>
        <v>0</v>
      </c>
    </row>
    <row r="7945" spans="28:34">
      <c r="AB7945" s="580">
        <f>HLOOKUP("*"&amp;'Output annual'!$AC$2&amp;'Output annual'!$AD$2&amp;"*Zone People Number Of Occupants [](Hourly)",'Eplus results'!$1:$1048576,ROW(),FALSE)</f>
        <v>0</v>
      </c>
      <c r="AC7945" s="580">
        <f>HLOOKUP("*"&amp;'Output annual'!$AC$2&amp;'Output annual'!$AD$2&amp;"*FangerPMV(Hourly)",'Eplus results'!$1:$1048576,ROW(),FALSE)</f>
        <v>0</v>
      </c>
      <c r="AD7945" s="580">
        <f t="shared" si="656"/>
        <v>5</v>
      </c>
      <c r="AE7945" s="580">
        <f t="shared" si="657"/>
        <v>2.5</v>
      </c>
      <c r="AF7945" s="580">
        <f t="shared" si="658"/>
        <v>2.5</v>
      </c>
      <c r="AG7945" s="580">
        <f t="shared" si="659"/>
        <v>0</v>
      </c>
      <c r="AH7945" s="580">
        <f t="shared" si="660"/>
        <v>0</v>
      </c>
    </row>
    <row r="7946" spans="28:34">
      <c r="AB7946" s="580">
        <f>HLOOKUP("*"&amp;'Output annual'!$AC$2&amp;'Output annual'!$AD$2&amp;"*Zone People Number Of Occupants [](Hourly)",'Eplus results'!$1:$1048576,ROW(),FALSE)</f>
        <v>0</v>
      </c>
      <c r="AC7946" s="580">
        <f>HLOOKUP("*"&amp;'Output annual'!$AC$2&amp;'Output annual'!$AD$2&amp;"*FangerPMV(Hourly)",'Eplus results'!$1:$1048576,ROW(),FALSE)</f>
        <v>0</v>
      </c>
      <c r="AD7946" s="580">
        <f t="shared" si="656"/>
        <v>5</v>
      </c>
      <c r="AE7946" s="580">
        <f t="shared" si="657"/>
        <v>2.5</v>
      </c>
      <c r="AF7946" s="580">
        <f t="shared" si="658"/>
        <v>2.5</v>
      </c>
      <c r="AG7946" s="580">
        <f t="shared" si="659"/>
        <v>0</v>
      </c>
      <c r="AH7946" s="580">
        <f t="shared" si="660"/>
        <v>0</v>
      </c>
    </row>
    <row r="7947" spans="28:34">
      <c r="AB7947" s="580">
        <f>HLOOKUP("*"&amp;'Output annual'!$AC$2&amp;'Output annual'!$AD$2&amp;"*Zone People Number Of Occupants [](Hourly)",'Eplus results'!$1:$1048576,ROW(),FALSE)</f>
        <v>0</v>
      </c>
      <c r="AC7947" s="580">
        <f>HLOOKUP("*"&amp;'Output annual'!$AC$2&amp;'Output annual'!$AD$2&amp;"*FangerPMV(Hourly)",'Eplus results'!$1:$1048576,ROW(),FALSE)</f>
        <v>0</v>
      </c>
      <c r="AD7947" s="580">
        <f t="shared" si="656"/>
        <v>5</v>
      </c>
      <c r="AE7947" s="580">
        <f t="shared" si="657"/>
        <v>2.5</v>
      </c>
      <c r="AF7947" s="580">
        <f t="shared" si="658"/>
        <v>2.5</v>
      </c>
      <c r="AG7947" s="580">
        <f t="shared" si="659"/>
        <v>0</v>
      </c>
      <c r="AH7947" s="580">
        <f t="shared" si="660"/>
        <v>0</v>
      </c>
    </row>
    <row r="7948" spans="28:34">
      <c r="AB7948" s="580">
        <f>HLOOKUP("*"&amp;'Output annual'!$AC$2&amp;'Output annual'!$AD$2&amp;"*Zone People Number Of Occupants [](Hourly)",'Eplus results'!$1:$1048576,ROW(),FALSE)</f>
        <v>0</v>
      </c>
      <c r="AC7948" s="580">
        <f>HLOOKUP("*"&amp;'Output annual'!$AC$2&amp;'Output annual'!$AD$2&amp;"*FangerPMV(Hourly)",'Eplus results'!$1:$1048576,ROW(),FALSE)</f>
        <v>0</v>
      </c>
      <c r="AD7948" s="580">
        <f t="shared" si="656"/>
        <v>5</v>
      </c>
      <c r="AE7948" s="580">
        <f t="shared" si="657"/>
        <v>2.5</v>
      </c>
      <c r="AF7948" s="580">
        <f t="shared" si="658"/>
        <v>2.5</v>
      </c>
      <c r="AG7948" s="580">
        <f t="shared" si="659"/>
        <v>0</v>
      </c>
      <c r="AH7948" s="580">
        <f t="shared" si="660"/>
        <v>0</v>
      </c>
    </row>
    <row r="7949" spans="28:34">
      <c r="AB7949" s="580">
        <f>HLOOKUP("*"&amp;'Output annual'!$AC$2&amp;'Output annual'!$AD$2&amp;"*Zone People Number Of Occupants [](Hourly)",'Eplus results'!$1:$1048576,ROW(),FALSE)</f>
        <v>0</v>
      </c>
      <c r="AC7949" s="580">
        <f>HLOOKUP("*"&amp;'Output annual'!$AC$2&amp;'Output annual'!$AD$2&amp;"*FangerPMV(Hourly)",'Eplus results'!$1:$1048576,ROW(),FALSE)</f>
        <v>0</v>
      </c>
      <c r="AD7949" s="580">
        <f t="shared" si="656"/>
        <v>5</v>
      </c>
      <c r="AE7949" s="580">
        <f t="shared" si="657"/>
        <v>2.5</v>
      </c>
      <c r="AF7949" s="580">
        <f t="shared" si="658"/>
        <v>2.5</v>
      </c>
      <c r="AG7949" s="580">
        <f t="shared" si="659"/>
        <v>0</v>
      </c>
      <c r="AH7949" s="580">
        <f t="shared" si="660"/>
        <v>0</v>
      </c>
    </row>
    <row r="7950" spans="28:34">
      <c r="AB7950" s="580">
        <f>HLOOKUP("*"&amp;'Output annual'!$AC$2&amp;'Output annual'!$AD$2&amp;"*Zone People Number Of Occupants [](Hourly)",'Eplus results'!$1:$1048576,ROW(),FALSE)</f>
        <v>0</v>
      </c>
      <c r="AC7950" s="580">
        <f>HLOOKUP("*"&amp;'Output annual'!$AC$2&amp;'Output annual'!$AD$2&amp;"*FangerPMV(Hourly)",'Eplus results'!$1:$1048576,ROW(),FALSE)</f>
        <v>0</v>
      </c>
      <c r="AD7950" s="580">
        <f t="shared" si="656"/>
        <v>5</v>
      </c>
      <c r="AE7950" s="580">
        <f t="shared" si="657"/>
        <v>2.5</v>
      </c>
      <c r="AF7950" s="580">
        <f t="shared" si="658"/>
        <v>2.5</v>
      </c>
      <c r="AG7950" s="580">
        <f t="shared" si="659"/>
        <v>0</v>
      </c>
      <c r="AH7950" s="580">
        <f t="shared" si="660"/>
        <v>0</v>
      </c>
    </row>
    <row r="7951" spans="28:34">
      <c r="AB7951" s="580">
        <f>HLOOKUP("*"&amp;'Output annual'!$AC$2&amp;'Output annual'!$AD$2&amp;"*Zone People Number Of Occupants [](Hourly)",'Eplus results'!$1:$1048576,ROW(),FALSE)</f>
        <v>0</v>
      </c>
      <c r="AC7951" s="580">
        <f>HLOOKUP("*"&amp;'Output annual'!$AC$2&amp;'Output annual'!$AD$2&amp;"*FangerPMV(Hourly)",'Eplus results'!$1:$1048576,ROW(),FALSE)</f>
        <v>0</v>
      </c>
      <c r="AD7951" s="580">
        <f t="shared" si="656"/>
        <v>5</v>
      </c>
      <c r="AE7951" s="580">
        <f t="shared" si="657"/>
        <v>2.5</v>
      </c>
      <c r="AF7951" s="580">
        <f t="shared" si="658"/>
        <v>2.5</v>
      </c>
      <c r="AG7951" s="580">
        <f t="shared" si="659"/>
        <v>0</v>
      </c>
      <c r="AH7951" s="580">
        <f t="shared" si="660"/>
        <v>0</v>
      </c>
    </row>
    <row r="7952" spans="28:34">
      <c r="AB7952" s="580">
        <f>HLOOKUP("*"&amp;'Output annual'!$AC$2&amp;'Output annual'!$AD$2&amp;"*Zone People Number Of Occupants [](Hourly)",'Eplus results'!$1:$1048576,ROW(),FALSE)</f>
        <v>0</v>
      </c>
      <c r="AC7952" s="580">
        <f>HLOOKUP("*"&amp;'Output annual'!$AC$2&amp;'Output annual'!$AD$2&amp;"*FangerPMV(Hourly)",'Eplus results'!$1:$1048576,ROW(),FALSE)</f>
        <v>0</v>
      </c>
      <c r="AD7952" s="580">
        <f t="shared" si="656"/>
        <v>5</v>
      </c>
      <c r="AE7952" s="580">
        <f t="shared" si="657"/>
        <v>2.5</v>
      </c>
      <c r="AF7952" s="580">
        <f t="shared" si="658"/>
        <v>2.5</v>
      </c>
      <c r="AG7952" s="580">
        <f t="shared" si="659"/>
        <v>0</v>
      </c>
      <c r="AH7952" s="580">
        <f t="shared" si="660"/>
        <v>0</v>
      </c>
    </row>
    <row r="7953" spans="28:34">
      <c r="AB7953" s="580">
        <f>HLOOKUP("*"&amp;'Output annual'!$AC$2&amp;'Output annual'!$AD$2&amp;"*Zone People Number Of Occupants [](Hourly)",'Eplus results'!$1:$1048576,ROW(),FALSE)</f>
        <v>0</v>
      </c>
      <c r="AC7953" s="580">
        <f>HLOOKUP("*"&amp;'Output annual'!$AC$2&amp;'Output annual'!$AD$2&amp;"*FangerPMV(Hourly)",'Eplus results'!$1:$1048576,ROW(),FALSE)</f>
        <v>0</v>
      </c>
      <c r="AD7953" s="580">
        <f t="shared" si="656"/>
        <v>5</v>
      </c>
      <c r="AE7953" s="580">
        <f t="shared" si="657"/>
        <v>2.5</v>
      </c>
      <c r="AF7953" s="580">
        <f t="shared" si="658"/>
        <v>2.5</v>
      </c>
      <c r="AG7953" s="580">
        <f t="shared" si="659"/>
        <v>0</v>
      </c>
      <c r="AH7953" s="580">
        <f t="shared" si="660"/>
        <v>0</v>
      </c>
    </row>
    <row r="7954" spans="28:34">
      <c r="AB7954" s="580">
        <f>HLOOKUP("*"&amp;'Output annual'!$AC$2&amp;'Output annual'!$AD$2&amp;"*Zone People Number Of Occupants [](Hourly)",'Eplus results'!$1:$1048576,ROW(),FALSE)</f>
        <v>0</v>
      </c>
      <c r="AC7954" s="580">
        <f>HLOOKUP("*"&amp;'Output annual'!$AC$2&amp;'Output annual'!$AD$2&amp;"*FangerPMV(Hourly)",'Eplus results'!$1:$1048576,ROW(),FALSE)</f>
        <v>0</v>
      </c>
      <c r="AD7954" s="580">
        <f t="shared" si="656"/>
        <v>5</v>
      </c>
      <c r="AE7954" s="580">
        <f t="shared" si="657"/>
        <v>2.5</v>
      </c>
      <c r="AF7954" s="580">
        <f t="shared" si="658"/>
        <v>2.5</v>
      </c>
      <c r="AG7954" s="580">
        <f t="shared" si="659"/>
        <v>0</v>
      </c>
      <c r="AH7954" s="580">
        <f t="shared" si="660"/>
        <v>0</v>
      </c>
    </row>
    <row r="7955" spans="28:34">
      <c r="AB7955" s="580">
        <f>HLOOKUP("*"&amp;'Output annual'!$AC$2&amp;'Output annual'!$AD$2&amp;"*Zone People Number Of Occupants [](Hourly)",'Eplus results'!$1:$1048576,ROW(),FALSE)</f>
        <v>0</v>
      </c>
      <c r="AC7955" s="580">
        <f>HLOOKUP("*"&amp;'Output annual'!$AC$2&amp;'Output annual'!$AD$2&amp;"*FangerPMV(Hourly)",'Eplus results'!$1:$1048576,ROW(),FALSE)</f>
        <v>0</v>
      </c>
      <c r="AD7955" s="580">
        <f t="shared" si="656"/>
        <v>5</v>
      </c>
      <c r="AE7955" s="580">
        <f t="shared" si="657"/>
        <v>2.5</v>
      </c>
      <c r="AF7955" s="580">
        <f t="shared" si="658"/>
        <v>2.5</v>
      </c>
      <c r="AG7955" s="580">
        <f t="shared" si="659"/>
        <v>0</v>
      </c>
      <c r="AH7955" s="580">
        <f t="shared" si="660"/>
        <v>0</v>
      </c>
    </row>
    <row r="7956" spans="28:34">
      <c r="AB7956" s="580">
        <f>HLOOKUP("*"&amp;'Output annual'!$AC$2&amp;'Output annual'!$AD$2&amp;"*Zone People Number Of Occupants [](Hourly)",'Eplus results'!$1:$1048576,ROW(),FALSE)</f>
        <v>0</v>
      </c>
      <c r="AC7956" s="580">
        <f>HLOOKUP("*"&amp;'Output annual'!$AC$2&amp;'Output annual'!$AD$2&amp;"*FangerPMV(Hourly)",'Eplus results'!$1:$1048576,ROW(),FALSE)</f>
        <v>0</v>
      </c>
      <c r="AD7956" s="580">
        <f t="shared" si="656"/>
        <v>5</v>
      </c>
      <c r="AE7956" s="580">
        <f t="shared" si="657"/>
        <v>2.5</v>
      </c>
      <c r="AF7956" s="580">
        <f t="shared" si="658"/>
        <v>2.5</v>
      </c>
      <c r="AG7956" s="580">
        <f t="shared" si="659"/>
        <v>0</v>
      </c>
      <c r="AH7956" s="580">
        <f t="shared" si="660"/>
        <v>0</v>
      </c>
    </row>
    <row r="7957" spans="28:34">
      <c r="AB7957" s="580">
        <f>HLOOKUP("*"&amp;'Output annual'!$AC$2&amp;'Output annual'!$AD$2&amp;"*Zone People Number Of Occupants [](Hourly)",'Eplus results'!$1:$1048576,ROW(),FALSE)</f>
        <v>0</v>
      </c>
      <c r="AC7957" s="580">
        <f>HLOOKUP("*"&amp;'Output annual'!$AC$2&amp;'Output annual'!$AD$2&amp;"*FangerPMV(Hourly)",'Eplus results'!$1:$1048576,ROW(),FALSE)</f>
        <v>0</v>
      </c>
      <c r="AD7957" s="580">
        <f t="shared" si="656"/>
        <v>5</v>
      </c>
      <c r="AE7957" s="580">
        <f t="shared" si="657"/>
        <v>2.5</v>
      </c>
      <c r="AF7957" s="580">
        <f t="shared" si="658"/>
        <v>2.5</v>
      </c>
      <c r="AG7957" s="580">
        <f t="shared" si="659"/>
        <v>0</v>
      </c>
      <c r="AH7957" s="580">
        <f t="shared" si="660"/>
        <v>0</v>
      </c>
    </row>
    <row r="7958" spans="28:34">
      <c r="AB7958" s="580">
        <f>HLOOKUP("*"&amp;'Output annual'!$AC$2&amp;'Output annual'!$AD$2&amp;"*Zone People Number Of Occupants [](Hourly)",'Eplus results'!$1:$1048576,ROW(),FALSE)</f>
        <v>0</v>
      </c>
      <c r="AC7958" s="580">
        <f>HLOOKUP("*"&amp;'Output annual'!$AC$2&amp;'Output annual'!$AD$2&amp;"*FangerPMV(Hourly)",'Eplus results'!$1:$1048576,ROW(),FALSE)</f>
        <v>0</v>
      </c>
      <c r="AD7958" s="580">
        <f t="shared" si="656"/>
        <v>5</v>
      </c>
      <c r="AE7958" s="580">
        <f t="shared" si="657"/>
        <v>2.5</v>
      </c>
      <c r="AF7958" s="580">
        <f t="shared" si="658"/>
        <v>2.5</v>
      </c>
      <c r="AG7958" s="580">
        <f t="shared" si="659"/>
        <v>0</v>
      </c>
      <c r="AH7958" s="580">
        <f t="shared" si="660"/>
        <v>0</v>
      </c>
    </row>
    <row r="7959" spans="28:34">
      <c r="AB7959" s="580">
        <f>HLOOKUP("*"&amp;'Output annual'!$AC$2&amp;'Output annual'!$AD$2&amp;"*Zone People Number Of Occupants [](Hourly)",'Eplus results'!$1:$1048576,ROW(),FALSE)</f>
        <v>0</v>
      </c>
      <c r="AC7959" s="580">
        <f>HLOOKUP("*"&amp;'Output annual'!$AC$2&amp;'Output annual'!$AD$2&amp;"*FangerPMV(Hourly)",'Eplus results'!$1:$1048576,ROW(),FALSE)</f>
        <v>0</v>
      </c>
      <c r="AD7959" s="580">
        <f t="shared" si="656"/>
        <v>5</v>
      </c>
      <c r="AE7959" s="580">
        <f t="shared" si="657"/>
        <v>2.5</v>
      </c>
      <c r="AF7959" s="580">
        <f t="shared" si="658"/>
        <v>2.5</v>
      </c>
      <c r="AG7959" s="580">
        <f t="shared" si="659"/>
        <v>0</v>
      </c>
      <c r="AH7959" s="580">
        <f t="shared" si="660"/>
        <v>0</v>
      </c>
    </row>
    <row r="7960" spans="28:34">
      <c r="AB7960" s="580">
        <f>HLOOKUP("*"&amp;'Output annual'!$AC$2&amp;'Output annual'!$AD$2&amp;"*Zone People Number Of Occupants [](Hourly)",'Eplus results'!$1:$1048576,ROW(),FALSE)</f>
        <v>0</v>
      </c>
      <c r="AC7960" s="580">
        <f>HLOOKUP("*"&amp;'Output annual'!$AC$2&amp;'Output annual'!$AD$2&amp;"*FangerPMV(Hourly)",'Eplus results'!$1:$1048576,ROW(),FALSE)</f>
        <v>0</v>
      </c>
      <c r="AD7960" s="580">
        <f t="shared" si="656"/>
        <v>5</v>
      </c>
      <c r="AE7960" s="580">
        <f t="shared" si="657"/>
        <v>2.5</v>
      </c>
      <c r="AF7960" s="580">
        <f t="shared" si="658"/>
        <v>2.5</v>
      </c>
      <c r="AG7960" s="580">
        <f t="shared" si="659"/>
        <v>0</v>
      </c>
      <c r="AH7960" s="580">
        <f t="shared" si="660"/>
        <v>0</v>
      </c>
    </row>
    <row r="7961" spans="28:34">
      <c r="AB7961" s="580">
        <f>HLOOKUP("*"&amp;'Output annual'!$AC$2&amp;'Output annual'!$AD$2&amp;"*Zone People Number Of Occupants [](Hourly)",'Eplus results'!$1:$1048576,ROW(),FALSE)</f>
        <v>0</v>
      </c>
      <c r="AC7961" s="580">
        <f>HLOOKUP("*"&amp;'Output annual'!$AC$2&amp;'Output annual'!$AD$2&amp;"*FangerPMV(Hourly)",'Eplus results'!$1:$1048576,ROW(),FALSE)</f>
        <v>0</v>
      </c>
      <c r="AD7961" s="580">
        <f t="shared" si="656"/>
        <v>5</v>
      </c>
      <c r="AE7961" s="580">
        <f t="shared" si="657"/>
        <v>2.5</v>
      </c>
      <c r="AF7961" s="580">
        <f t="shared" si="658"/>
        <v>2.5</v>
      </c>
      <c r="AG7961" s="580">
        <f t="shared" si="659"/>
        <v>0</v>
      </c>
      <c r="AH7961" s="580">
        <f t="shared" si="660"/>
        <v>0</v>
      </c>
    </row>
    <row r="7962" spans="28:34">
      <c r="AB7962" s="580">
        <f>HLOOKUP("*"&amp;'Output annual'!$AC$2&amp;'Output annual'!$AD$2&amp;"*Zone People Number Of Occupants [](Hourly)",'Eplus results'!$1:$1048576,ROW(),FALSE)</f>
        <v>0</v>
      </c>
      <c r="AC7962" s="580">
        <f>HLOOKUP("*"&amp;'Output annual'!$AC$2&amp;'Output annual'!$AD$2&amp;"*FangerPMV(Hourly)",'Eplus results'!$1:$1048576,ROW(),FALSE)</f>
        <v>0</v>
      </c>
      <c r="AD7962" s="580">
        <f t="shared" si="656"/>
        <v>5</v>
      </c>
      <c r="AE7962" s="580">
        <f t="shared" si="657"/>
        <v>2.5</v>
      </c>
      <c r="AF7962" s="580">
        <f t="shared" si="658"/>
        <v>2.5</v>
      </c>
      <c r="AG7962" s="580">
        <f t="shared" si="659"/>
        <v>0</v>
      </c>
      <c r="AH7962" s="580">
        <f t="shared" si="660"/>
        <v>0</v>
      </c>
    </row>
    <row r="7963" spans="28:34">
      <c r="AB7963" s="580">
        <f>HLOOKUP("*"&amp;'Output annual'!$AC$2&amp;'Output annual'!$AD$2&amp;"*Zone People Number Of Occupants [](Hourly)",'Eplus results'!$1:$1048576,ROW(),FALSE)</f>
        <v>0</v>
      </c>
      <c r="AC7963" s="580">
        <f>HLOOKUP("*"&amp;'Output annual'!$AC$2&amp;'Output annual'!$AD$2&amp;"*FangerPMV(Hourly)",'Eplus results'!$1:$1048576,ROW(),FALSE)</f>
        <v>0</v>
      </c>
      <c r="AD7963" s="580">
        <f t="shared" si="656"/>
        <v>5</v>
      </c>
      <c r="AE7963" s="580">
        <f t="shared" si="657"/>
        <v>2.5</v>
      </c>
      <c r="AF7963" s="580">
        <f t="shared" si="658"/>
        <v>2.5</v>
      </c>
      <c r="AG7963" s="580">
        <f t="shared" si="659"/>
        <v>0</v>
      </c>
      <c r="AH7963" s="580">
        <f t="shared" si="660"/>
        <v>0</v>
      </c>
    </row>
    <row r="7964" spans="28:34">
      <c r="AB7964" s="580">
        <f>HLOOKUP("*"&amp;'Output annual'!$AC$2&amp;'Output annual'!$AD$2&amp;"*Zone People Number Of Occupants [](Hourly)",'Eplus results'!$1:$1048576,ROW(),FALSE)</f>
        <v>0</v>
      </c>
      <c r="AC7964" s="580">
        <f>HLOOKUP("*"&amp;'Output annual'!$AC$2&amp;'Output annual'!$AD$2&amp;"*FangerPMV(Hourly)",'Eplus results'!$1:$1048576,ROW(),FALSE)</f>
        <v>0</v>
      </c>
      <c r="AD7964" s="580">
        <f t="shared" si="656"/>
        <v>5</v>
      </c>
      <c r="AE7964" s="580">
        <f t="shared" si="657"/>
        <v>2.5</v>
      </c>
      <c r="AF7964" s="580">
        <f t="shared" si="658"/>
        <v>2.5</v>
      </c>
      <c r="AG7964" s="580">
        <f t="shared" si="659"/>
        <v>0</v>
      </c>
      <c r="AH7964" s="580">
        <f t="shared" si="660"/>
        <v>0</v>
      </c>
    </row>
    <row r="7965" spans="28:34">
      <c r="AB7965" s="580">
        <f>HLOOKUP("*"&amp;'Output annual'!$AC$2&amp;'Output annual'!$AD$2&amp;"*Zone People Number Of Occupants [](Hourly)",'Eplus results'!$1:$1048576,ROW(),FALSE)</f>
        <v>0</v>
      </c>
      <c r="AC7965" s="580">
        <f>HLOOKUP("*"&amp;'Output annual'!$AC$2&amp;'Output annual'!$AD$2&amp;"*FangerPMV(Hourly)",'Eplus results'!$1:$1048576,ROW(),FALSE)</f>
        <v>0</v>
      </c>
      <c r="AD7965" s="580">
        <f t="shared" si="656"/>
        <v>5</v>
      </c>
      <c r="AE7965" s="580">
        <f t="shared" si="657"/>
        <v>2.5</v>
      </c>
      <c r="AF7965" s="580">
        <f t="shared" si="658"/>
        <v>2.5</v>
      </c>
      <c r="AG7965" s="580">
        <f t="shared" si="659"/>
        <v>0</v>
      </c>
      <c r="AH7965" s="580">
        <f t="shared" si="660"/>
        <v>0</v>
      </c>
    </row>
    <row r="7966" spans="28:34">
      <c r="AB7966" s="580">
        <f>HLOOKUP("*"&amp;'Output annual'!$AC$2&amp;'Output annual'!$AD$2&amp;"*Zone People Number Of Occupants [](Hourly)",'Eplus results'!$1:$1048576,ROW(),FALSE)</f>
        <v>0</v>
      </c>
      <c r="AC7966" s="580">
        <f>HLOOKUP("*"&amp;'Output annual'!$AC$2&amp;'Output annual'!$AD$2&amp;"*FangerPMV(Hourly)",'Eplus results'!$1:$1048576,ROW(),FALSE)</f>
        <v>0</v>
      </c>
      <c r="AD7966" s="580">
        <f t="shared" si="656"/>
        <v>5</v>
      </c>
      <c r="AE7966" s="580">
        <f t="shared" si="657"/>
        <v>2.5</v>
      </c>
      <c r="AF7966" s="580">
        <f t="shared" si="658"/>
        <v>2.5</v>
      </c>
      <c r="AG7966" s="580">
        <f t="shared" si="659"/>
        <v>0</v>
      </c>
      <c r="AH7966" s="580">
        <f t="shared" si="660"/>
        <v>0</v>
      </c>
    </row>
    <row r="7967" spans="28:34">
      <c r="AB7967" s="580">
        <f>HLOOKUP("*"&amp;'Output annual'!$AC$2&amp;'Output annual'!$AD$2&amp;"*Zone People Number Of Occupants [](Hourly)",'Eplus results'!$1:$1048576,ROW(),FALSE)</f>
        <v>0</v>
      </c>
      <c r="AC7967" s="580">
        <f>HLOOKUP("*"&amp;'Output annual'!$AC$2&amp;'Output annual'!$AD$2&amp;"*FangerPMV(Hourly)",'Eplus results'!$1:$1048576,ROW(),FALSE)</f>
        <v>0</v>
      </c>
      <c r="AD7967" s="580">
        <f t="shared" si="656"/>
        <v>5</v>
      </c>
      <c r="AE7967" s="580">
        <f t="shared" si="657"/>
        <v>2.5</v>
      </c>
      <c r="AF7967" s="580">
        <f t="shared" si="658"/>
        <v>2.5</v>
      </c>
      <c r="AG7967" s="580">
        <f t="shared" si="659"/>
        <v>0</v>
      </c>
      <c r="AH7967" s="580">
        <f t="shared" si="660"/>
        <v>0</v>
      </c>
    </row>
    <row r="7968" spans="28:34">
      <c r="AB7968" s="580">
        <f>HLOOKUP("*"&amp;'Output annual'!$AC$2&amp;'Output annual'!$AD$2&amp;"*Zone People Number Of Occupants [](Hourly)",'Eplus results'!$1:$1048576,ROW(),FALSE)</f>
        <v>0</v>
      </c>
      <c r="AC7968" s="580">
        <f>HLOOKUP("*"&amp;'Output annual'!$AC$2&amp;'Output annual'!$AD$2&amp;"*FangerPMV(Hourly)",'Eplus results'!$1:$1048576,ROW(),FALSE)</f>
        <v>0</v>
      </c>
      <c r="AD7968" s="580">
        <f t="shared" si="656"/>
        <v>5</v>
      </c>
      <c r="AE7968" s="580">
        <f t="shared" si="657"/>
        <v>2.5</v>
      </c>
      <c r="AF7968" s="580">
        <f t="shared" si="658"/>
        <v>2.5</v>
      </c>
      <c r="AG7968" s="580">
        <f t="shared" si="659"/>
        <v>0</v>
      </c>
      <c r="AH7968" s="580">
        <f t="shared" si="660"/>
        <v>0</v>
      </c>
    </row>
    <row r="7969" spans="28:34">
      <c r="AB7969" s="580">
        <f>HLOOKUP("*"&amp;'Output annual'!$AC$2&amp;'Output annual'!$AD$2&amp;"*Zone People Number Of Occupants [](Hourly)",'Eplus results'!$1:$1048576,ROW(),FALSE)</f>
        <v>0</v>
      </c>
      <c r="AC7969" s="580">
        <f>HLOOKUP("*"&amp;'Output annual'!$AC$2&amp;'Output annual'!$AD$2&amp;"*FangerPMV(Hourly)",'Eplus results'!$1:$1048576,ROW(),FALSE)</f>
        <v>0</v>
      </c>
      <c r="AD7969" s="580">
        <f t="shared" si="656"/>
        <v>5</v>
      </c>
      <c r="AE7969" s="580">
        <f t="shared" si="657"/>
        <v>2.5</v>
      </c>
      <c r="AF7969" s="580">
        <f t="shared" si="658"/>
        <v>2.5</v>
      </c>
      <c r="AG7969" s="580">
        <f t="shared" si="659"/>
        <v>0</v>
      </c>
      <c r="AH7969" s="580">
        <f t="shared" si="660"/>
        <v>0</v>
      </c>
    </row>
    <row r="7970" spans="28:34">
      <c r="AB7970" s="580">
        <f>HLOOKUP("*"&amp;'Output annual'!$AC$2&amp;'Output annual'!$AD$2&amp;"*Zone People Number Of Occupants [](Hourly)",'Eplus results'!$1:$1048576,ROW(),FALSE)</f>
        <v>0</v>
      </c>
      <c r="AC7970" s="580">
        <f>HLOOKUP("*"&amp;'Output annual'!$AC$2&amp;'Output annual'!$AD$2&amp;"*FangerPMV(Hourly)",'Eplus results'!$1:$1048576,ROW(),FALSE)</f>
        <v>0</v>
      </c>
      <c r="AD7970" s="580">
        <f t="shared" si="656"/>
        <v>5</v>
      </c>
      <c r="AE7970" s="580">
        <f t="shared" si="657"/>
        <v>2.5</v>
      </c>
      <c r="AF7970" s="580">
        <f t="shared" si="658"/>
        <v>2.5</v>
      </c>
      <c r="AG7970" s="580">
        <f t="shared" si="659"/>
        <v>0</v>
      </c>
      <c r="AH7970" s="580">
        <f t="shared" si="660"/>
        <v>0</v>
      </c>
    </row>
    <row r="7971" spans="28:34">
      <c r="AB7971" s="580">
        <f>HLOOKUP("*"&amp;'Output annual'!$AC$2&amp;'Output annual'!$AD$2&amp;"*Zone People Number Of Occupants [](Hourly)",'Eplus results'!$1:$1048576,ROW(),FALSE)</f>
        <v>0</v>
      </c>
      <c r="AC7971" s="580">
        <f>HLOOKUP("*"&amp;'Output annual'!$AC$2&amp;'Output annual'!$AD$2&amp;"*FangerPMV(Hourly)",'Eplus results'!$1:$1048576,ROW(),FALSE)</f>
        <v>0</v>
      </c>
      <c r="AD7971" s="580">
        <f t="shared" si="656"/>
        <v>5</v>
      </c>
      <c r="AE7971" s="580">
        <f t="shared" si="657"/>
        <v>2.5</v>
      </c>
      <c r="AF7971" s="580">
        <f t="shared" si="658"/>
        <v>2.5</v>
      </c>
      <c r="AG7971" s="580">
        <f t="shared" si="659"/>
        <v>0</v>
      </c>
      <c r="AH7971" s="580">
        <f t="shared" si="660"/>
        <v>0</v>
      </c>
    </row>
    <row r="7972" spans="28:34">
      <c r="AB7972" s="580">
        <f>HLOOKUP("*"&amp;'Output annual'!$AC$2&amp;'Output annual'!$AD$2&amp;"*Zone People Number Of Occupants [](Hourly)",'Eplus results'!$1:$1048576,ROW(),FALSE)</f>
        <v>0</v>
      </c>
      <c r="AC7972" s="580">
        <f>HLOOKUP("*"&amp;'Output annual'!$AC$2&amp;'Output annual'!$AD$2&amp;"*FangerPMV(Hourly)",'Eplus results'!$1:$1048576,ROW(),FALSE)</f>
        <v>0</v>
      </c>
      <c r="AD7972" s="580">
        <f t="shared" si="656"/>
        <v>5</v>
      </c>
      <c r="AE7972" s="580">
        <f t="shared" si="657"/>
        <v>2.5</v>
      </c>
      <c r="AF7972" s="580">
        <f t="shared" si="658"/>
        <v>2.5</v>
      </c>
      <c r="AG7972" s="580">
        <f t="shared" si="659"/>
        <v>0</v>
      </c>
      <c r="AH7972" s="580">
        <f t="shared" si="660"/>
        <v>0</v>
      </c>
    </row>
    <row r="7973" spans="28:34">
      <c r="AB7973" s="580">
        <f>HLOOKUP("*"&amp;'Output annual'!$AC$2&amp;'Output annual'!$AD$2&amp;"*Zone People Number Of Occupants [](Hourly)",'Eplus results'!$1:$1048576,ROW(),FALSE)</f>
        <v>0</v>
      </c>
      <c r="AC7973" s="580">
        <f>HLOOKUP("*"&amp;'Output annual'!$AC$2&amp;'Output annual'!$AD$2&amp;"*FangerPMV(Hourly)",'Eplus results'!$1:$1048576,ROW(),FALSE)</f>
        <v>0</v>
      </c>
      <c r="AD7973" s="580">
        <f t="shared" si="656"/>
        <v>5</v>
      </c>
      <c r="AE7973" s="580">
        <f t="shared" si="657"/>
        <v>2.5</v>
      </c>
      <c r="AF7973" s="580">
        <f t="shared" si="658"/>
        <v>2.5</v>
      </c>
      <c r="AG7973" s="580">
        <f t="shared" si="659"/>
        <v>0</v>
      </c>
      <c r="AH7973" s="580">
        <f t="shared" si="660"/>
        <v>0</v>
      </c>
    </row>
    <row r="7974" spans="28:34">
      <c r="AB7974" s="580">
        <f>HLOOKUP("*"&amp;'Output annual'!$AC$2&amp;'Output annual'!$AD$2&amp;"*Zone People Number Of Occupants [](Hourly)",'Eplus results'!$1:$1048576,ROW(),FALSE)</f>
        <v>0</v>
      </c>
      <c r="AC7974" s="580">
        <f>HLOOKUP("*"&amp;'Output annual'!$AC$2&amp;'Output annual'!$AD$2&amp;"*FangerPMV(Hourly)",'Eplus results'!$1:$1048576,ROW(),FALSE)</f>
        <v>0</v>
      </c>
      <c r="AD7974" s="580">
        <f t="shared" si="656"/>
        <v>5</v>
      </c>
      <c r="AE7974" s="580">
        <f t="shared" si="657"/>
        <v>2.5</v>
      </c>
      <c r="AF7974" s="580">
        <f t="shared" si="658"/>
        <v>2.5</v>
      </c>
      <c r="AG7974" s="580">
        <f t="shared" si="659"/>
        <v>0</v>
      </c>
      <c r="AH7974" s="580">
        <f t="shared" si="660"/>
        <v>0</v>
      </c>
    </row>
    <row r="7975" spans="28:34">
      <c r="AB7975" s="580">
        <f>HLOOKUP("*"&amp;'Output annual'!$AC$2&amp;'Output annual'!$AD$2&amp;"*Zone People Number Of Occupants [](Hourly)",'Eplus results'!$1:$1048576,ROW(),FALSE)</f>
        <v>0</v>
      </c>
      <c r="AC7975" s="580">
        <f>HLOOKUP("*"&amp;'Output annual'!$AC$2&amp;'Output annual'!$AD$2&amp;"*FangerPMV(Hourly)",'Eplus results'!$1:$1048576,ROW(),FALSE)</f>
        <v>0</v>
      </c>
      <c r="AD7975" s="580">
        <f t="shared" si="656"/>
        <v>5</v>
      </c>
      <c r="AE7975" s="580">
        <f t="shared" si="657"/>
        <v>2.5</v>
      </c>
      <c r="AF7975" s="580">
        <f t="shared" si="658"/>
        <v>2.5</v>
      </c>
      <c r="AG7975" s="580">
        <f t="shared" si="659"/>
        <v>0</v>
      </c>
      <c r="AH7975" s="580">
        <f t="shared" si="660"/>
        <v>0</v>
      </c>
    </row>
    <row r="7976" spans="28:34">
      <c r="AB7976" s="580">
        <f>HLOOKUP("*"&amp;'Output annual'!$AC$2&amp;'Output annual'!$AD$2&amp;"*Zone People Number Of Occupants [](Hourly)",'Eplus results'!$1:$1048576,ROW(),FALSE)</f>
        <v>0</v>
      </c>
      <c r="AC7976" s="580">
        <f>HLOOKUP("*"&amp;'Output annual'!$AC$2&amp;'Output annual'!$AD$2&amp;"*FangerPMV(Hourly)",'Eplus results'!$1:$1048576,ROW(),FALSE)</f>
        <v>0</v>
      </c>
      <c r="AD7976" s="580">
        <f t="shared" si="656"/>
        <v>5</v>
      </c>
      <c r="AE7976" s="580">
        <f t="shared" si="657"/>
        <v>2.5</v>
      </c>
      <c r="AF7976" s="580">
        <f t="shared" si="658"/>
        <v>2.5</v>
      </c>
      <c r="AG7976" s="580">
        <f t="shared" si="659"/>
        <v>0</v>
      </c>
      <c r="AH7976" s="580">
        <f t="shared" si="660"/>
        <v>0</v>
      </c>
    </row>
    <row r="7977" spans="28:34">
      <c r="AB7977" s="580">
        <f>HLOOKUP("*"&amp;'Output annual'!$AC$2&amp;'Output annual'!$AD$2&amp;"*Zone People Number Of Occupants [](Hourly)",'Eplus results'!$1:$1048576,ROW(),FALSE)</f>
        <v>0</v>
      </c>
      <c r="AC7977" s="580">
        <f>HLOOKUP("*"&amp;'Output annual'!$AC$2&amp;'Output annual'!$AD$2&amp;"*FangerPMV(Hourly)",'Eplus results'!$1:$1048576,ROW(),FALSE)</f>
        <v>0</v>
      </c>
      <c r="AD7977" s="580">
        <f t="shared" si="656"/>
        <v>5</v>
      </c>
      <c r="AE7977" s="580">
        <f t="shared" si="657"/>
        <v>2.5</v>
      </c>
      <c r="AF7977" s="580">
        <f t="shared" si="658"/>
        <v>2.5</v>
      </c>
      <c r="AG7977" s="580">
        <f t="shared" si="659"/>
        <v>0</v>
      </c>
      <c r="AH7977" s="580">
        <f t="shared" si="660"/>
        <v>0</v>
      </c>
    </row>
    <row r="7978" spans="28:34">
      <c r="AB7978" s="580">
        <f>HLOOKUP("*"&amp;'Output annual'!$AC$2&amp;'Output annual'!$AD$2&amp;"*Zone People Number Of Occupants [](Hourly)",'Eplus results'!$1:$1048576,ROW(),FALSE)</f>
        <v>0</v>
      </c>
      <c r="AC7978" s="580">
        <f>HLOOKUP("*"&amp;'Output annual'!$AC$2&amp;'Output annual'!$AD$2&amp;"*FangerPMV(Hourly)",'Eplus results'!$1:$1048576,ROW(),FALSE)</f>
        <v>0</v>
      </c>
      <c r="AD7978" s="580">
        <f t="shared" si="656"/>
        <v>5</v>
      </c>
      <c r="AE7978" s="580">
        <f t="shared" si="657"/>
        <v>2.5</v>
      </c>
      <c r="AF7978" s="580">
        <f t="shared" si="658"/>
        <v>2.5</v>
      </c>
      <c r="AG7978" s="580">
        <f t="shared" si="659"/>
        <v>0</v>
      </c>
      <c r="AH7978" s="580">
        <f t="shared" si="660"/>
        <v>0</v>
      </c>
    </row>
    <row r="7979" spans="28:34">
      <c r="AB7979" s="580">
        <f>HLOOKUP("*"&amp;'Output annual'!$AC$2&amp;'Output annual'!$AD$2&amp;"*Zone People Number Of Occupants [](Hourly)",'Eplus results'!$1:$1048576,ROW(),FALSE)</f>
        <v>0</v>
      </c>
      <c r="AC7979" s="580">
        <f>HLOOKUP("*"&amp;'Output annual'!$AC$2&amp;'Output annual'!$AD$2&amp;"*FangerPMV(Hourly)",'Eplus results'!$1:$1048576,ROW(),FALSE)</f>
        <v>0</v>
      </c>
      <c r="AD7979" s="580">
        <f t="shared" si="656"/>
        <v>5</v>
      </c>
      <c r="AE7979" s="580">
        <f t="shared" si="657"/>
        <v>2.5</v>
      </c>
      <c r="AF7979" s="580">
        <f t="shared" si="658"/>
        <v>2.5</v>
      </c>
      <c r="AG7979" s="580">
        <f t="shared" si="659"/>
        <v>0</v>
      </c>
      <c r="AH7979" s="580">
        <f t="shared" si="660"/>
        <v>0</v>
      </c>
    </row>
    <row r="7980" spans="28:34">
      <c r="AB7980" s="580">
        <f>HLOOKUP("*"&amp;'Output annual'!$AC$2&amp;'Output annual'!$AD$2&amp;"*Zone People Number Of Occupants [](Hourly)",'Eplus results'!$1:$1048576,ROW(),FALSE)</f>
        <v>0</v>
      </c>
      <c r="AC7980" s="580">
        <f>HLOOKUP("*"&amp;'Output annual'!$AC$2&amp;'Output annual'!$AD$2&amp;"*FangerPMV(Hourly)",'Eplus results'!$1:$1048576,ROW(),FALSE)</f>
        <v>0</v>
      </c>
      <c r="AD7980" s="580">
        <f t="shared" si="656"/>
        <v>5</v>
      </c>
      <c r="AE7980" s="580">
        <f t="shared" si="657"/>
        <v>2.5</v>
      </c>
      <c r="AF7980" s="580">
        <f t="shared" si="658"/>
        <v>2.5</v>
      </c>
      <c r="AG7980" s="580">
        <f t="shared" si="659"/>
        <v>0</v>
      </c>
      <c r="AH7980" s="580">
        <f t="shared" si="660"/>
        <v>0</v>
      </c>
    </row>
    <row r="7981" spans="28:34">
      <c r="AB7981" s="580">
        <f>HLOOKUP("*"&amp;'Output annual'!$AC$2&amp;'Output annual'!$AD$2&amp;"*Zone People Number Of Occupants [](Hourly)",'Eplus results'!$1:$1048576,ROW(),FALSE)</f>
        <v>0</v>
      </c>
      <c r="AC7981" s="580">
        <f>HLOOKUP("*"&amp;'Output annual'!$AC$2&amp;'Output annual'!$AD$2&amp;"*FangerPMV(Hourly)",'Eplus results'!$1:$1048576,ROW(),FALSE)</f>
        <v>0</v>
      </c>
      <c r="AD7981" s="580">
        <f t="shared" si="656"/>
        <v>5</v>
      </c>
      <c r="AE7981" s="580">
        <f t="shared" si="657"/>
        <v>2.5</v>
      </c>
      <c r="AF7981" s="580">
        <f t="shared" si="658"/>
        <v>2.5</v>
      </c>
      <c r="AG7981" s="580">
        <f t="shared" si="659"/>
        <v>0</v>
      </c>
      <c r="AH7981" s="580">
        <f t="shared" si="660"/>
        <v>0</v>
      </c>
    </row>
    <row r="7982" spans="28:34">
      <c r="AB7982" s="580">
        <f>HLOOKUP("*"&amp;'Output annual'!$AC$2&amp;'Output annual'!$AD$2&amp;"*Zone People Number Of Occupants [](Hourly)",'Eplus results'!$1:$1048576,ROW(),FALSE)</f>
        <v>0</v>
      </c>
      <c r="AC7982" s="580">
        <f>HLOOKUP("*"&amp;'Output annual'!$AC$2&amp;'Output annual'!$AD$2&amp;"*FangerPMV(Hourly)",'Eplus results'!$1:$1048576,ROW(),FALSE)</f>
        <v>0</v>
      </c>
      <c r="AD7982" s="580">
        <f t="shared" si="656"/>
        <v>5</v>
      </c>
      <c r="AE7982" s="580">
        <f t="shared" si="657"/>
        <v>2.5</v>
      </c>
      <c r="AF7982" s="580">
        <f t="shared" si="658"/>
        <v>2.5</v>
      </c>
      <c r="AG7982" s="580">
        <f t="shared" si="659"/>
        <v>0</v>
      </c>
      <c r="AH7982" s="580">
        <f t="shared" si="660"/>
        <v>0</v>
      </c>
    </row>
    <row r="7983" spans="28:34">
      <c r="AB7983" s="580">
        <f>HLOOKUP("*"&amp;'Output annual'!$AC$2&amp;'Output annual'!$AD$2&amp;"*Zone People Number Of Occupants [](Hourly)",'Eplus results'!$1:$1048576,ROW(),FALSE)</f>
        <v>0</v>
      </c>
      <c r="AC7983" s="580">
        <f>HLOOKUP("*"&amp;'Output annual'!$AC$2&amp;'Output annual'!$AD$2&amp;"*FangerPMV(Hourly)",'Eplus results'!$1:$1048576,ROW(),FALSE)</f>
        <v>0</v>
      </c>
      <c r="AD7983" s="580">
        <f t="shared" si="656"/>
        <v>5</v>
      </c>
      <c r="AE7983" s="580">
        <f t="shared" si="657"/>
        <v>2.5</v>
      </c>
      <c r="AF7983" s="580">
        <f t="shared" si="658"/>
        <v>2.5</v>
      </c>
      <c r="AG7983" s="580">
        <f t="shared" si="659"/>
        <v>0</v>
      </c>
      <c r="AH7983" s="580">
        <f t="shared" si="660"/>
        <v>0</v>
      </c>
    </row>
    <row r="7984" spans="28:34">
      <c r="AB7984" s="580">
        <f>HLOOKUP("*"&amp;'Output annual'!$AC$2&amp;'Output annual'!$AD$2&amp;"*Zone People Number Of Occupants [](Hourly)",'Eplus results'!$1:$1048576,ROW(),FALSE)</f>
        <v>0</v>
      </c>
      <c r="AC7984" s="580">
        <f>HLOOKUP("*"&amp;'Output annual'!$AC$2&amp;'Output annual'!$AD$2&amp;"*FangerPMV(Hourly)",'Eplus results'!$1:$1048576,ROW(),FALSE)</f>
        <v>0</v>
      </c>
      <c r="AD7984" s="580">
        <f t="shared" si="656"/>
        <v>5</v>
      </c>
      <c r="AE7984" s="580">
        <f t="shared" si="657"/>
        <v>2.5</v>
      </c>
      <c r="AF7984" s="580">
        <f t="shared" si="658"/>
        <v>2.5</v>
      </c>
      <c r="AG7984" s="580">
        <f t="shared" si="659"/>
        <v>0</v>
      </c>
      <c r="AH7984" s="580">
        <f t="shared" si="660"/>
        <v>0</v>
      </c>
    </row>
    <row r="7985" spans="28:34">
      <c r="AB7985" s="580">
        <f>HLOOKUP("*"&amp;'Output annual'!$AC$2&amp;'Output annual'!$AD$2&amp;"*Zone People Number Of Occupants [](Hourly)",'Eplus results'!$1:$1048576,ROW(),FALSE)</f>
        <v>0</v>
      </c>
      <c r="AC7985" s="580">
        <f>HLOOKUP("*"&amp;'Output annual'!$AC$2&amp;'Output annual'!$AD$2&amp;"*FangerPMV(Hourly)",'Eplus results'!$1:$1048576,ROW(),FALSE)</f>
        <v>0</v>
      </c>
      <c r="AD7985" s="580">
        <f t="shared" si="656"/>
        <v>5</v>
      </c>
      <c r="AE7985" s="580">
        <f t="shared" si="657"/>
        <v>2.5</v>
      </c>
      <c r="AF7985" s="580">
        <f t="shared" si="658"/>
        <v>2.5</v>
      </c>
      <c r="AG7985" s="580">
        <f t="shared" si="659"/>
        <v>0</v>
      </c>
      <c r="AH7985" s="580">
        <f t="shared" si="660"/>
        <v>0</v>
      </c>
    </row>
    <row r="7986" spans="28:34">
      <c r="AB7986" s="580">
        <f>HLOOKUP("*"&amp;'Output annual'!$AC$2&amp;'Output annual'!$AD$2&amp;"*Zone People Number Of Occupants [](Hourly)",'Eplus results'!$1:$1048576,ROW(),FALSE)</f>
        <v>0</v>
      </c>
      <c r="AC7986" s="580">
        <f>HLOOKUP("*"&amp;'Output annual'!$AC$2&amp;'Output annual'!$AD$2&amp;"*FangerPMV(Hourly)",'Eplus results'!$1:$1048576,ROW(),FALSE)</f>
        <v>0</v>
      </c>
      <c r="AD7986" s="580">
        <f t="shared" si="656"/>
        <v>5</v>
      </c>
      <c r="AE7986" s="580">
        <f t="shared" si="657"/>
        <v>2.5</v>
      </c>
      <c r="AF7986" s="580">
        <f t="shared" si="658"/>
        <v>2.5</v>
      </c>
      <c r="AG7986" s="580">
        <f t="shared" si="659"/>
        <v>0</v>
      </c>
      <c r="AH7986" s="580">
        <f t="shared" si="660"/>
        <v>0</v>
      </c>
    </row>
    <row r="7987" spans="28:34">
      <c r="AB7987" s="580">
        <f>HLOOKUP("*"&amp;'Output annual'!$AC$2&amp;'Output annual'!$AD$2&amp;"*Zone People Number Of Occupants [](Hourly)",'Eplus results'!$1:$1048576,ROW(),FALSE)</f>
        <v>0</v>
      </c>
      <c r="AC7987" s="580">
        <f>HLOOKUP("*"&amp;'Output annual'!$AC$2&amp;'Output annual'!$AD$2&amp;"*FangerPMV(Hourly)",'Eplus results'!$1:$1048576,ROW(),FALSE)</f>
        <v>0</v>
      </c>
      <c r="AD7987" s="580">
        <f t="shared" si="656"/>
        <v>5</v>
      </c>
      <c r="AE7987" s="580">
        <f t="shared" si="657"/>
        <v>2.5</v>
      </c>
      <c r="AF7987" s="580">
        <f t="shared" si="658"/>
        <v>2.5</v>
      </c>
      <c r="AG7987" s="580">
        <f t="shared" si="659"/>
        <v>0</v>
      </c>
      <c r="AH7987" s="580">
        <f t="shared" si="660"/>
        <v>0</v>
      </c>
    </row>
    <row r="7988" spans="28:34">
      <c r="AB7988" s="580">
        <f>HLOOKUP("*"&amp;'Output annual'!$AC$2&amp;'Output annual'!$AD$2&amp;"*Zone People Number Of Occupants [](Hourly)",'Eplus results'!$1:$1048576,ROW(),FALSE)</f>
        <v>0</v>
      </c>
      <c r="AC7988" s="580">
        <f>HLOOKUP("*"&amp;'Output annual'!$AC$2&amp;'Output annual'!$AD$2&amp;"*FangerPMV(Hourly)",'Eplus results'!$1:$1048576,ROW(),FALSE)</f>
        <v>0</v>
      </c>
      <c r="AD7988" s="580">
        <f t="shared" si="656"/>
        <v>5</v>
      </c>
      <c r="AE7988" s="580">
        <f t="shared" si="657"/>
        <v>2.5</v>
      </c>
      <c r="AF7988" s="580">
        <f t="shared" si="658"/>
        <v>2.5</v>
      </c>
      <c r="AG7988" s="580">
        <f t="shared" si="659"/>
        <v>0</v>
      </c>
      <c r="AH7988" s="580">
        <f t="shared" si="660"/>
        <v>0</v>
      </c>
    </row>
    <row r="7989" spans="28:34">
      <c r="AB7989" s="580">
        <f>HLOOKUP("*"&amp;'Output annual'!$AC$2&amp;'Output annual'!$AD$2&amp;"*Zone People Number Of Occupants [](Hourly)",'Eplus results'!$1:$1048576,ROW(),FALSE)</f>
        <v>0</v>
      </c>
      <c r="AC7989" s="580">
        <f>HLOOKUP("*"&amp;'Output annual'!$AC$2&amp;'Output annual'!$AD$2&amp;"*FangerPMV(Hourly)",'Eplus results'!$1:$1048576,ROW(),FALSE)</f>
        <v>0</v>
      </c>
      <c r="AD7989" s="580">
        <f t="shared" si="656"/>
        <v>5</v>
      </c>
      <c r="AE7989" s="580">
        <f t="shared" si="657"/>
        <v>2.5</v>
      </c>
      <c r="AF7989" s="580">
        <f t="shared" si="658"/>
        <v>2.5</v>
      </c>
      <c r="AG7989" s="580">
        <f t="shared" si="659"/>
        <v>0</v>
      </c>
      <c r="AH7989" s="580">
        <f t="shared" si="660"/>
        <v>0</v>
      </c>
    </row>
    <row r="7990" spans="28:34">
      <c r="AB7990" s="580">
        <f>HLOOKUP("*"&amp;'Output annual'!$AC$2&amp;'Output annual'!$AD$2&amp;"*Zone People Number Of Occupants [](Hourly)",'Eplus results'!$1:$1048576,ROW(),FALSE)</f>
        <v>0</v>
      </c>
      <c r="AC7990" s="580">
        <f>HLOOKUP("*"&amp;'Output annual'!$AC$2&amp;'Output annual'!$AD$2&amp;"*FangerPMV(Hourly)",'Eplus results'!$1:$1048576,ROW(),FALSE)</f>
        <v>0</v>
      </c>
      <c r="AD7990" s="580">
        <f t="shared" si="656"/>
        <v>5</v>
      </c>
      <c r="AE7990" s="580">
        <f t="shared" si="657"/>
        <v>2.5</v>
      </c>
      <c r="AF7990" s="580">
        <f t="shared" si="658"/>
        <v>2.5</v>
      </c>
      <c r="AG7990" s="580">
        <f t="shared" si="659"/>
        <v>0</v>
      </c>
      <c r="AH7990" s="580">
        <f t="shared" si="660"/>
        <v>0</v>
      </c>
    </row>
    <row r="7991" spans="28:34">
      <c r="AB7991" s="580">
        <f>HLOOKUP("*"&amp;'Output annual'!$AC$2&amp;'Output annual'!$AD$2&amp;"*Zone People Number Of Occupants [](Hourly)",'Eplus results'!$1:$1048576,ROW(),FALSE)</f>
        <v>0</v>
      </c>
      <c r="AC7991" s="580">
        <f>HLOOKUP("*"&amp;'Output annual'!$AC$2&amp;'Output annual'!$AD$2&amp;"*FangerPMV(Hourly)",'Eplus results'!$1:$1048576,ROW(),FALSE)</f>
        <v>0</v>
      </c>
      <c r="AD7991" s="580">
        <f t="shared" si="656"/>
        <v>5</v>
      </c>
      <c r="AE7991" s="580">
        <f t="shared" si="657"/>
        <v>2.5</v>
      </c>
      <c r="AF7991" s="580">
        <f t="shared" si="658"/>
        <v>2.5</v>
      </c>
      <c r="AG7991" s="580">
        <f t="shared" si="659"/>
        <v>0</v>
      </c>
      <c r="AH7991" s="580">
        <f t="shared" si="660"/>
        <v>0</v>
      </c>
    </row>
    <row r="7992" spans="28:34">
      <c r="AB7992" s="580">
        <f>HLOOKUP("*"&amp;'Output annual'!$AC$2&amp;'Output annual'!$AD$2&amp;"*Zone People Number Of Occupants [](Hourly)",'Eplus results'!$1:$1048576,ROW(),FALSE)</f>
        <v>0</v>
      </c>
      <c r="AC7992" s="580">
        <f>HLOOKUP("*"&amp;'Output annual'!$AC$2&amp;'Output annual'!$AD$2&amp;"*FangerPMV(Hourly)",'Eplus results'!$1:$1048576,ROW(),FALSE)</f>
        <v>0</v>
      </c>
      <c r="AD7992" s="580">
        <f t="shared" si="656"/>
        <v>5</v>
      </c>
      <c r="AE7992" s="580">
        <f t="shared" si="657"/>
        <v>2.5</v>
      </c>
      <c r="AF7992" s="580">
        <f t="shared" si="658"/>
        <v>2.5</v>
      </c>
      <c r="AG7992" s="580">
        <f t="shared" si="659"/>
        <v>0</v>
      </c>
      <c r="AH7992" s="580">
        <f t="shared" si="660"/>
        <v>0</v>
      </c>
    </row>
    <row r="7993" spans="28:34">
      <c r="AB7993" s="580">
        <f>HLOOKUP("*"&amp;'Output annual'!$AC$2&amp;'Output annual'!$AD$2&amp;"*Zone People Number Of Occupants [](Hourly)",'Eplus results'!$1:$1048576,ROW(),FALSE)</f>
        <v>0</v>
      </c>
      <c r="AC7993" s="580">
        <f>HLOOKUP("*"&amp;'Output annual'!$AC$2&amp;'Output annual'!$AD$2&amp;"*FangerPMV(Hourly)",'Eplus results'!$1:$1048576,ROW(),FALSE)</f>
        <v>0</v>
      </c>
      <c r="AD7993" s="580">
        <f t="shared" si="656"/>
        <v>5</v>
      </c>
      <c r="AE7993" s="580">
        <f t="shared" si="657"/>
        <v>2.5</v>
      </c>
      <c r="AF7993" s="580">
        <f t="shared" si="658"/>
        <v>2.5</v>
      </c>
      <c r="AG7993" s="580">
        <f t="shared" si="659"/>
        <v>0</v>
      </c>
      <c r="AH7993" s="580">
        <f t="shared" si="660"/>
        <v>0</v>
      </c>
    </row>
    <row r="7994" spans="28:34">
      <c r="AB7994" s="580">
        <f>HLOOKUP("*"&amp;'Output annual'!$AC$2&amp;'Output annual'!$AD$2&amp;"*Zone People Number Of Occupants [](Hourly)",'Eplus results'!$1:$1048576,ROW(),FALSE)</f>
        <v>0</v>
      </c>
      <c r="AC7994" s="580">
        <f>HLOOKUP("*"&amp;'Output annual'!$AC$2&amp;'Output annual'!$AD$2&amp;"*FangerPMV(Hourly)",'Eplus results'!$1:$1048576,ROW(),FALSE)</f>
        <v>0</v>
      </c>
      <c r="AD7994" s="580">
        <f t="shared" si="656"/>
        <v>5</v>
      </c>
      <c r="AE7994" s="580">
        <f t="shared" si="657"/>
        <v>2.5</v>
      </c>
      <c r="AF7994" s="580">
        <f t="shared" si="658"/>
        <v>2.5</v>
      </c>
      <c r="AG7994" s="580">
        <f t="shared" si="659"/>
        <v>0</v>
      </c>
      <c r="AH7994" s="580">
        <f t="shared" si="660"/>
        <v>0</v>
      </c>
    </row>
    <row r="7995" spans="28:34">
      <c r="AB7995" s="580">
        <f>HLOOKUP("*"&amp;'Output annual'!$AC$2&amp;'Output annual'!$AD$2&amp;"*Zone People Number Of Occupants [](Hourly)",'Eplus results'!$1:$1048576,ROW(),FALSE)</f>
        <v>0</v>
      </c>
      <c r="AC7995" s="580">
        <f>HLOOKUP("*"&amp;'Output annual'!$AC$2&amp;'Output annual'!$AD$2&amp;"*FangerPMV(Hourly)",'Eplus results'!$1:$1048576,ROW(),FALSE)</f>
        <v>0</v>
      </c>
      <c r="AD7995" s="580">
        <f t="shared" si="656"/>
        <v>5</v>
      </c>
      <c r="AE7995" s="580">
        <f t="shared" si="657"/>
        <v>2.5</v>
      </c>
      <c r="AF7995" s="580">
        <f t="shared" si="658"/>
        <v>2.5</v>
      </c>
      <c r="AG7995" s="580">
        <f t="shared" si="659"/>
        <v>0</v>
      </c>
      <c r="AH7995" s="580">
        <f t="shared" si="660"/>
        <v>0</v>
      </c>
    </row>
    <row r="7996" spans="28:34">
      <c r="AB7996" s="580">
        <f>HLOOKUP("*"&amp;'Output annual'!$AC$2&amp;'Output annual'!$AD$2&amp;"*Zone People Number Of Occupants [](Hourly)",'Eplus results'!$1:$1048576,ROW(),FALSE)</f>
        <v>0</v>
      </c>
      <c r="AC7996" s="580">
        <f>HLOOKUP("*"&amp;'Output annual'!$AC$2&amp;'Output annual'!$AD$2&amp;"*FangerPMV(Hourly)",'Eplus results'!$1:$1048576,ROW(),FALSE)</f>
        <v>0</v>
      </c>
      <c r="AD7996" s="580">
        <f t="shared" si="656"/>
        <v>5</v>
      </c>
      <c r="AE7996" s="580">
        <f t="shared" si="657"/>
        <v>2.5</v>
      </c>
      <c r="AF7996" s="580">
        <f t="shared" si="658"/>
        <v>2.5</v>
      </c>
      <c r="AG7996" s="580">
        <f t="shared" si="659"/>
        <v>0</v>
      </c>
      <c r="AH7996" s="580">
        <f t="shared" si="660"/>
        <v>0</v>
      </c>
    </row>
    <row r="7997" spans="28:34">
      <c r="AB7997" s="580">
        <f>HLOOKUP("*"&amp;'Output annual'!$AC$2&amp;'Output annual'!$AD$2&amp;"*Zone People Number Of Occupants [](Hourly)",'Eplus results'!$1:$1048576,ROW(),FALSE)</f>
        <v>0</v>
      </c>
      <c r="AC7997" s="580">
        <f>HLOOKUP("*"&amp;'Output annual'!$AC$2&amp;'Output annual'!$AD$2&amp;"*FangerPMV(Hourly)",'Eplus results'!$1:$1048576,ROW(),FALSE)</f>
        <v>0</v>
      </c>
      <c r="AD7997" s="580">
        <f t="shared" si="656"/>
        <v>5</v>
      </c>
      <c r="AE7997" s="580">
        <f t="shared" si="657"/>
        <v>2.5</v>
      </c>
      <c r="AF7997" s="580">
        <f t="shared" si="658"/>
        <v>2.5</v>
      </c>
      <c r="AG7997" s="580">
        <f t="shared" si="659"/>
        <v>0</v>
      </c>
      <c r="AH7997" s="580">
        <f t="shared" si="660"/>
        <v>0</v>
      </c>
    </row>
    <row r="7998" spans="28:34">
      <c r="AB7998" s="580">
        <f>HLOOKUP("*"&amp;'Output annual'!$AC$2&amp;'Output annual'!$AD$2&amp;"*Zone People Number Of Occupants [](Hourly)",'Eplus results'!$1:$1048576,ROW(),FALSE)</f>
        <v>0</v>
      </c>
      <c r="AC7998" s="580">
        <f>HLOOKUP("*"&amp;'Output annual'!$AC$2&amp;'Output annual'!$AD$2&amp;"*FangerPMV(Hourly)",'Eplus results'!$1:$1048576,ROW(),FALSE)</f>
        <v>0</v>
      </c>
      <c r="AD7998" s="580">
        <f t="shared" si="656"/>
        <v>5</v>
      </c>
      <c r="AE7998" s="580">
        <f t="shared" si="657"/>
        <v>2.5</v>
      </c>
      <c r="AF7998" s="580">
        <f t="shared" si="658"/>
        <v>2.5</v>
      </c>
      <c r="AG7998" s="580">
        <f t="shared" si="659"/>
        <v>0</v>
      </c>
      <c r="AH7998" s="580">
        <f t="shared" si="660"/>
        <v>0</v>
      </c>
    </row>
    <row r="7999" spans="28:34">
      <c r="AB7999" s="580">
        <f>HLOOKUP("*"&amp;'Output annual'!$AC$2&amp;'Output annual'!$AD$2&amp;"*Zone People Number Of Occupants [](Hourly)",'Eplus results'!$1:$1048576,ROW(),FALSE)</f>
        <v>0</v>
      </c>
      <c r="AC7999" s="580">
        <f>HLOOKUP("*"&amp;'Output annual'!$AC$2&amp;'Output annual'!$AD$2&amp;"*FangerPMV(Hourly)",'Eplus results'!$1:$1048576,ROW(),FALSE)</f>
        <v>0</v>
      </c>
      <c r="AD7999" s="580">
        <f t="shared" si="656"/>
        <v>5</v>
      </c>
      <c r="AE7999" s="580">
        <f t="shared" si="657"/>
        <v>2.5</v>
      </c>
      <c r="AF7999" s="580">
        <f t="shared" si="658"/>
        <v>2.5</v>
      </c>
      <c r="AG7999" s="580">
        <f t="shared" si="659"/>
        <v>0</v>
      </c>
      <c r="AH7999" s="580">
        <f t="shared" si="660"/>
        <v>0</v>
      </c>
    </row>
    <row r="8000" spans="28:34">
      <c r="AB8000" s="580">
        <f>HLOOKUP("*"&amp;'Output annual'!$AC$2&amp;'Output annual'!$AD$2&amp;"*Zone People Number Of Occupants [](Hourly)",'Eplus results'!$1:$1048576,ROW(),FALSE)</f>
        <v>0</v>
      </c>
      <c r="AC8000" s="580">
        <f>HLOOKUP("*"&amp;'Output annual'!$AC$2&amp;'Output annual'!$AD$2&amp;"*FangerPMV(Hourly)",'Eplus results'!$1:$1048576,ROW(),FALSE)</f>
        <v>0</v>
      </c>
      <c r="AD8000" s="580">
        <f t="shared" si="656"/>
        <v>5</v>
      </c>
      <c r="AE8000" s="580">
        <f t="shared" si="657"/>
        <v>2.5</v>
      </c>
      <c r="AF8000" s="580">
        <f t="shared" si="658"/>
        <v>2.5</v>
      </c>
      <c r="AG8000" s="580">
        <f t="shared" si="659"/>
        <v>0</v>
      </c>
      <c r="AH8000" s="580">
        <f t="shared" si="660"/>
        <v>0</v>
      </c>
    </row>
    <row r="8001" spans="28:34">
      <c r="AB8001" s="580">
        <f>HLOOKUP("*"&amp;'Output annual'!$AC$2&amp;'Output annual'!$AD$2&amp;"*Zone People Number Of Occupants [](Hourly)",'Eplus results'!$1:$1048576,ROW(),FALSE)</f>
        <v>0</v>
      </c>
      <c r="AC8001" s="580">
        <f>HLOOKUP("*"&amp;'Output annual'!$AC$2&amp;'Output annual'!$AD$2&amp;"*FangerPMV(Hourly)",'Eplus results'!$1:$1048576,ROW(),FALSE)</f>
        <v>0</v>
      </c>
      <c r="AD8001" s="580">
        <f t="shared" si="656"/>
        <v>5</v>
      </c>
      <c r="AE8001" s="580">
        <f t="shared" si="657"/>
        <v>2.5</v>
      </c>
      <c r="AF8001" s="580">
        <f t="shared" si="658"/>
        <v>2.5</v>
      </c>
      <c r="AG8001" s="580">
        <f t="shared" si="659"/>
        <v>0</v>
      </c>
      <c r="AH8001" s="580">
        <f t="shared" si="660"/>
        <v>0</v>
      </c>
    </row>
    <row r="8002" spans="28:34">
      <c r="AB8002" s="580">
        <f>HLOOKUP("*"&amp;'Output annual'!$AC$2&amp;'Output annual'!$AD$2&amp;"*Zone People Number Of Occupants [](Hourly)",'Eplus results'!$1:$1048576,ROW(),FALSE)</f>
        <v>0</v>
      </c>
      <c r="AC8002" s="580">
        <f>HLOOKUP("*"&amp;'Output annual'!$AC$2&amp;'Output annual'!$AD$2&amp;"*FangerPMV(Hourly)",'Eplus results'!$1:$1048576,ROW(),FALSE)</f>
        <v>0</v>
      </c>
      <c r="AD8002" s="580">
        <f t="shared" si="656"/>
        <v>5</v>
      </c>
      <c r="AE8002" s="580">
        <f t="shared" si="657"/>
        <v>2.5</v>
      </c>
      <c r="AF8002" s="580">
        <f t="shared" si="658"/>
        <v>2.5</v>
      </c>
      <c r="AG8002" s="580">
        <f t="shared" si="659"/>
        <v>0</v>
      </c>
      <c r="AH8002" s="580">
        <f t="shared" si="660"/>
        <v>0</v>
      </c>
    </row>
    <row r="8003" spans="28:34">
      <c r="AB8003" s="580">
        <f>HLOOKUP("*"&amp;'Output annual'!$AC$2&amp;'Output annual'!$AD$2&amp;"*Zone People Number Of Occupants [](Hourly)",'Eplus results'!$1:$1048576,ROW(),FALSE)</f>
        <v>0</v>
      </c>
      <c r="AC8003" s="580">
        <f>HLOOKUP("*"&amp;'Output annual'!$AC$2&amp;'Output annual'!$AD$2&amp;"*FangerPMV(Hourly)",'Eplus results'!$1:$1048576,ROW(),FALSE)</f>
        <v>0</v>
      </c>
      <c r="AD8003" s="580">
        <f t="shared" ref="AD8003:AD8066" si="661">100-95*EXP(-0.03353*AC8003^4-0.2179*AC8003^2)</f>
        <v>5</v>
      </c>
      <c r="AE8003" s="580">
        <f t="shared" ref="AE8003:AE8066" si="662">AD8003*(1/(1+EXP(-6.3*$AC8003)))</f>
        <v>2.5</v>
      </c>
      <c r="AF8003" s="580">
        <f t="shared" ref="AF8003:AF8066" si="663">(AD8003-AE8003)</f>
        <v>2.5</v>
      </c>
      <c r="AG8003" s="580">
        <f t="shared" ref="AG8003:AG8066" si="664">AE8003*AB8003</f>
        <v>0</v>
      </c>
      <c r="AH8003" s="580">
        <f t="shared" ref="AH8003:AH8066" si="665">AF8003*AB8003</f>
        <v>0</v>
      </c>
    </row>
    <row r="8004" spans="28:34">
      <c r="AB8004" s="580">
        <f>HLOOKUP("*"&amp;'Output annual'!$AC$2&amp;'Output annual'!$AD$2&amp;"*Zone People Number Of Occupants [](Hourly)",'Eplus results'!$1:$1048576,ROW(),FALSE)</f>
        <v>0</v>
      </c>
      <c r="AC8004" s="580">
        <f>HLOOKUP("*"&amp;'Output annual'!$AC$2&amp;'Output annual'!$AD$2&amp;"*FangerPMV(Hourly)",'Eplus results'!$1:$1048576,ROW(),FALSE)</f>
        <v>0</v>
      </c>
      <c r="AD8004" s="580">
        <f t="shared" si="661"/>
        <v>5</v>
      </c>
      <c r="AE8004" s="580">
        <f t="shared" si="662"/>
        <v>2.5</v>
      </c>
      <c r="AF8004" s="580">
        <f t="shared" si="663"/>
        <v>2.5</v>
      </c>
      <c r="AG8004" s="580">
        <f t="shared" si="664"/>
        <v>0</v>
      </c>
      <c r="AH8004" s="580">
        <f t="shared" si="665"/>
        <v>0</v>
      </c>
    </row>
    <row r="8005" spans="28:34">
      <c r="AB8005" s="580">
        <f>HLOOKUP("*"&amp;'Output annual'!$AC$2&amp;'Output annual'!$AD$2&amp;"*Zone People Number Of Occupants [](Hourly)",'Eplus results'!$1:$1048576,ROW(),FALSE)</f>
        <v>0</v>
      </c>
      <c r="AC8005" s="580">
        <f>HLOOKUP("*"&amp;'Output annual'!$AC$2&amp;'Output annual'!$AD$2&amp;"*FangerPMV(Hourly)",'Eplus results'!$1:$1048576,ROW(),FALSE)</f>
        <v>0</v>
      </c>
      <c r="AD8005" s="580">
        <f t="shared" si="661"/>
        <v>5</v>
      </c>
      <c r="AE8005" s="580">
        <f t="shared" si="662"/>
        <v>2.5</v>
      </c>
      <c r="AF8005" s="580">
        <f t="shared" si="663"/>
        <v>2.5</v>
      </c>
      <c r="AG8005" s="580">
        <f t="shared" si="664"/>
        <v>0</v>
      </c>
      <c r="AH8005" s="580">
        <f t="shared" si="665"/>
        <v>0</v>
      </c>
    </row>
    <row r="8006" spans="28:34">
      <c r="AB8006" s="580">
        <f>HLOOKUP("*"&amp;'Output annual'!$AC$2&amp;'Output annual'!$AD$2&amp;"*Zone People Number Of Occupants [](Hourly)",'Eplus results'!$1:$1048576,ROW(),FALSE)</f>
        <v>0</v>
      </c>
      <c r="AC8006" s="580">
        <f>HLOOKUP("*"&amp;'Output annual'!$AC$2&amp;'Output annual'!$AD$2&amp;"*FangerPMV(Hourly)",'Eplus results'!$1:$1048576,ROW(),FALSE)</f>
        <v>0</v>
      </c>
      <c r="AD8006" s="580">
        <f t="shared" si="661"/>
        <v>5</v>
      </c>
      <c r="AE8006" s="580">
        <f t="shared" si="662"/>
        <v>2.5</v>
      </c>
      <c r="AF8006" s="580">
        <f t="shared" si="663"/>
        <v>2.5</v>
      </c>
      <c r="AG8006" s="580">
        <f t="shared" si="664"/>
        <v>0</v>
      </c>
      <c r="AH8006" s="580">
        <f t="shared" si="665"/>
        <v>0</v>
      </c>
    </row>
    <row r="8007" spans="28:34">
      <c r="AB8007" s="580">
        <f>HLOOKUP("*"&amp;'Output annual'!$AC$2&amp;'Output annual'!$AD$2&amp;"*Zone People Number Of Occupants [](Hourly)",'Eplus results'!$1:$1048576,ROW(),FALSE)</f>
        <v>0</v>
      </c>
      <c r="AC8007" s="580">
        <f>HLOOKUP("*"&amp;'Output annual'!$AC$2&amp;'Output annual'!$AD$2&amp;"*FangerPMV(Hourly)",'Eplus results'!$1:$1048576,ROW(),FALSE)</f>
        <v>0</v>
      </c>
      <c r="AD8007" s="580">
        <f t="shared" si="661"/>
        <v>5</v>
      </c>
      <c r="AE8007" s="580">
        <f t="shared" si="662"/>
        <v>2.5</v>
      </c>
      <c r="AF8007" s="580">
        <f t="shared" si="663"/>
        <v>2.5</v>
      </c>
      <c r="AG8007" s="580">
        <f t="shared" si="664"/>
        <v>0</v>
      </c>
      <c r="AH8007" s="580">
        <f t="shared" si="665"/>
        <v>0</v>
      </c>
    </row>
    <row r="8008" spans="28:34">
      <c r="AB8008" s="580">
        <f>HLOOKUP("*"&amp;'Output annual'!$AC$2&amp;'Output annual'!$AD$2&amp;"*Zone People Number Of Occupants [](Hourly)",'Eplus results'!$1:$1048576,ROW(),FALSE)</f>
        <v>0</v>
      </c>
      <c r="AC8008" s="580">
        <f>HLOOKUP("*"&amp;'Output annual'!$AC$2&amp;'Output annual'!$AD$2&amp;"*FangerPMV(Hourly)",'Eplus results'!$1:$1048576,ROW(),FALSE)</f>
        <v>0</v>
      </c>
      <c r="AD8008" s="580">
        <f t="shared" si="661"/>
        <v>5</v>
      </c>
      <c r="AE8008" s="580">
        <f t="shared" si="662"/>
        <v>2.5</v>
      </c>
      <c r="AF8008" s="580">
        <f t="shared" si="663"/>
        <v>2.5</v>
      </c>
      <c r="AG8008" s="580">
        <f t="shared" si="664"/>
        <v>0</v>
      </c>
      <c r="AH8008" s="580">
        <f t="shared" si="665"/>
        <v>0</v>
      </c>
    </row>
    <row r="8009" spans="28:34">
      <c r="AB8009" s="580">
        <f>HLOOKUP("*"&amp;'Output annual'!$AC$2&amp;'Output annual'!$AD$2&amp;"*Zone People Number Of Occupants [](Hourly)",'Eplus results'!$1:$1048576,ROW(),FALSE)</f>
        <v>0</v>
      </c>
      <c r="AC8009" s="580">
        <f>HLOOKUP("*"&amp;'Output annual'!$AC$2&amp;'Output annual'!$AD$2&amp;"*FangerPMV(Hourly)",'Eplus results'!$1:$1048576,ROW(),FALSE)</f>
        <v>0</v>
      </c>
      <c r="AD8009" s="580">
        <f t="shared" si="661"/>
        <v>5</v>
      </c>
      <c r="AE8009" s="580">
        <f t="shared" si="662"/>
        <v>2.5</v>
      </c>
      <c r="AF8009" s="580">
        <f t="shared" si="663"/>
        <v>2.5</v>
      </c>
      <c r="AG8009" s="580">
        <f t="shared" si="664"/>
        <v>0</v>
      </c>
      <c r="AH8009" s="580">
        <f t="shared" si="665"/>
        <v>0</v>
      </c>
    </row>
    <row r="8010" spans="28:34">
      <c r="AB8010" s="580">
        <f>HLOOKUP("*"&amp;'Output annual'!$AC$2&amp;'Output annual'!$AD$2&amp;"*Zone People Number Of Occupants [](Hourly)",'Eplus results'!$1:$1048576,ROW(),FALSE)</f>
        <v>0</v>
      </c>
      <c r="AC8010" s="580">
        <f>HLOOKUP("*"&amp;'Output annual'!$AC$2&amp;'Output annual'!$AD$2&amp;"*FangerPMV(Hourly)",'Eplus results'!$1:$1048576,ROW(),FALSE)</f>
        <v>0</v>
      </c>
      <c r="AD8010" s="580">
        <f t="shared" si="661"/>
        <v>5</v>
      </c>
      <c r="AE8010" s="580">
        <f t="shared" si="662"/>
        <v>2.5</v>
      </c>
      <c r="AF8010" s="580">
        <f t="shared" si="663"/>
        <v>2.5</v>
      </c>
      <c r="AG8010" s="580">
        <f t="shared" si="664"/>
        <v>0</v>
      </c>
      <c r="AH8010" s="580">
        <f t="shared" si="665"/>
        <v>0</v>
      </c>
    </row>
    <row r="8011" spans="28:34">
      <c r="AB8011" s="580">
        <f>HLOOKUP("*"&amp;'Output annual'!$AC$2&amp;'Output annual'!$AD$2&amp;"*Zone People Number Of Occupants [](Hourly)",'Eplus results'!$1:$1048576,ROW(),FALSE)</f>
        <v>0</v>
      </c>
      <c r="AC8011" s="580">
        <f>HLOOKUP("*"&amp;'Output annual'!$AC$2&amp;'Output annual'!$AD$2&amp;"*FangerPMV(Hourly)",'Eplus results'!$1:$1048576,ROW(),FALSE)</f>
        <v>0</v>
      </c>
      <c r="AD8011" s="580">
        <f t="shared" si="661"/>
        <v>5</v>
      </c>
      <c r="AE8011" s="580">
        <f t="shared" si="662"/>
        <v>2.5</v>
      </c>
      <c r="AF8011" s="580">
        <f t="shared" si="663"/>
        <v>2.5</v>
      </c>
      <c r="AG8011" s="580">
        <f t="shared" si="664"/>
        <v>0</v>
      </c>
      <c r="AH8011" s="580">
        <f t="shared" si="665"/>
        <v>0</v>
      </c>
    </row>
    <row r="8012" spans="28:34">
      <c r="AB8012" s="580">
        <f>HLOOKUP("*"&amp;'Output annual'!$AC$2&amp;'Output annual'!$AD$2&amp;"*Zone People Number Of Occupants [](Hourly)",'Eplus results'!$1:$1048576,ROW(),FALSE)</f>
        <v>0</v>
      </c>
      <c r="AC8012" s="580">
        <f>HLOOKUP("*"&amp;'Output annual'!$AC$2&amp;'Output annual'!$AD$2&amp;"*FangerPMV(Hourly)",'Eplus results'!$1:$1048576,ROW(),FALSE)</f>
        <v>0</v>
      </c>
      <c r="AD8012" s="580">
        <f t="shared" si="661"/>
        <v>5</v>
      </c>
      <c r="AE8012" s="580">
        <f t="shared" si="662"/>
        <v>2.5</v>
      </c>
      <c r="AF8012" s="580">
        <f t="shared" si="663"/>
        <v>2.5</v>
      </c>
      <c r="AG8012" s="580">
        <f t="shared" si="664"/>
        <v>0</v>
      </c>
      <c r="AH8012" s="580">
        <f t="shared" si="665"/>
        <v>0</v>
      </c>
    </row>
    <row r="8013" spans="28:34">
      <c r="AB8013" s="580">
        <f>HLOOKUP("*"&amp;'Output annual'!$AC$2&amp;'Output annual'!$AD$2&amp;"*Zone People Number Of Occupants [](Hourly)",'Eplus results'!$1:$1048576,ROW(),FALSE)</f>
        <v>0</v>
      </c>
      <c r="AC8013" s="580">
        <f>HLOOKUP("*"&amp;'Output annual'!$AC$2&amp;'Output annual'!$AD$2&amp;"*FangerPMV(Hourly)",'Eplus results'!$1:$1048576,ROW(),FALSE)</f>
        <v>0</v>
      </c>
      <c r="AD8013" s="580">
        <f t="shared" si="661"/>
        <v>5</v>
      </c>
      <c r="AE8013" s="580">
        <f t="shared" si="662"/>
        <v>2.5</v>
      </c>
      <c r="AF8013" s="580">
        <f t="shared" si="663"/>
        <v>2.5</v>
      </c>
      <c r="AG8013" s="580">
        <f t="shared" si="664"/>
        <v>0</v>
      </c>
      <c r="AH8013" s="580">
        <f t="shared" si="665"/>
        <v>0</v>
      </c>
    </row>
    <row r="8014" spans="28:34">
      <c r="AB8014" s="580">
        <f>HLOOKUP("*"&amp;'Output annual'!$AC$2&amp;'Output annual'!$AD$2&amp;"*Zone People Number Of Occupants [](Hourly)",'Eplus results'!$1:$1048576,ROW(),FALSE)</f>
        <v>0</v>
      </c>
      <c r="AC8014" s="580">
        <f>HLOOKUP("*"&amp;'Output annual'!$AC$2&amp;'Output annual'!$AD$2&amp;"*FangerPMV(Hourly)",'Eplus results'!$1:$1048576,ROW(),FALSE)</f>
        <v>0</v>
      </c>
      <c r="AD8014" s="580">
        <f t="shared" si="661"/>
        <v>5</v>
      </c>
      <c r="AE8014" s="580">
        <f t="shared" si="662"/>
        <v>2.5</v>
      </c>
      <c r="AF8014" s="580">
        <f t="shared" si="663"/>
        <v>2.5</v>
      </c>
      <c r="AG8014" s="580">
        <f t="shared" si="664"/>
        <v>0</v>
      </c>
      <c r="AH8014" s="580">
        <f t="shared" si="665"/>
        <v>0</v>
      </c>
    </row>
    <row r="8015" spans="28:34">
      <c r="AB8015" s="580">
        <f>HLOOKUP("*"&amp;'Output annual'!$AC$2&amp;'Output annual'!$AD$2&amp;"*Zone People Number Of Occupants [](Hourly)",'Eplus results'!$1:$1048576,ROW(),FALSE)</f>
        <v>0</v>
      </c>
      <c r="AC8015" s="580">
        <f>HLOOKUP("*"&amp;'Output annual'!$AC$2&amp;'Output annual'!$AD$2&amp;"*FangerPMV(Hourly)",'Eplus results'!$1:$1048576,ROW(),FALSE)</f>
        <v>0</v>
      </c>
      <c r="AD8015" s="580">
        <f t="shared" si="661"/>
        <v>5</v>
      </c>
      <c r="AE8015" s="580">
        <f t="shared" si="662"/>
        <v>2.5</v>
      </c>
      <c r="AF8015" s="580">
        <f t="shared" si="663"/>
        <v>2.5</v>
      </c>
      <c r="AG8015" s="580">
        <f t="shared" si="664"/>
        <v>0</v>
      </c>
      <c r="AH8015" s="580">
        <f t="shared" si="665"/>
        <v>0</v>
      </c>
    </row>
    <row r="8016" spans="28:34">
      <c r="AB8016" s="580">
        <f>HLOOKUP("*"&amp;'Output annual'!$AC$2&amp;'Output annual'!$AD$2&amp;"*Zone People Number Of Occupants [](Hourly)",'Eplus results'!$1:$1048576,ROW(),FALSE)</f>
        <v>0</v>
      </c>
      <c r="AC8016" s="580">
        <f>HLOOKUP("*"&amp;'Output annual'!$AC$2&amp;'Output annual'!$AD$2&amp;"*FangerPMV(Hourly)",'Eplus results'!$1:$1048576,ROW(),FALSE)</f>
        <v>0</v>
      </c>
      <c r="AD8016" s="580">
        <f t="shared" si="661"/>
        <v>5</v>
      </c>
      <c r="AE8016" s="580">
        <f t="shared" si="662"/>
        <v>2.5</v>
      </c>
      <c r="AF8016" s="580">
        <f t="shared" si="663"/>
        <v>2.5</v>
      </c>
      <c r="AG8016" s="580">
        <f t="shared" si="664"/>
        <v>0</v>
      </c>
      <c r="AH8016" s="580">
        <f t="shared" si="665"/>
        <v>0</v>
      </c>
    </row>
    <row r="8017" spans="28:34">
      <c r="AB8017" s="580">
        <f>HLOOKUP("*"&amp;'Output annual'!$AC$2&amp;'Output annual'!$AD$2&amp;"*Zone People Number Of Occupants [](Hourly)",'Eplus results'!$1:$1048576,ROW(),FALSE)</f>
        <v>0</v>
      </c>
      <c r="AC8017" s="580">
        <f>HLOOKUP("*"&amp;'Output annual'!$AC$2&amp;'Output annual'!$AD$2&amp;"*FangerPMV(Hourly)",'Eplus results'!$1:$1048576,ROW(),FALSE)</f>
        <v>0</v>
      </c>
      <c r="AD8017" s="580">
        <f t="shared" si="661"/>
        <v>5</v>
      </c>
      <c r="AE8017" s="580">
        <f t="shared" si="662"/>
        <v>2.5</v>
      </c>
      <c r="AF8017" s="580">
        <f t="shared" si="663"/>
        <v>2.5</v>
      </c>
      <c r="AG8017" s="580">
        <f t="shared" si="664"/>
        <v>0</v>
      </c>
      <c r="AH8017" s="580">
        <f t="shared" si="665"/>
        <v>0</v>
      </c>
    </row>
    <row r="8018" spans="28:34">
      <c r="AB8018" s="580">
        <f>HLOOKUP("*"&amp;'Output annual'!$AC$2&amp;'Output annual'!$AD$2&amp;"*Zone People Number Of Occupants [](Hourly)",'Eplus results'!$1:$1048576,ROW(),FALSE)</f>
        <v>0</v>
      </c>
      <c r="AC8018" s="580">
        <f>HLOOKUP("*"&amp;'Output annual'!$AC$2&amp;'Output annual'!$AD$2&amp;"*FangerPMV(Hourly)",'Eplus results'!$1:$1048576,ROW(),FALSE)</f>
        <v>0</v>
      </c>
      <c r="AD8018" s="580">
        <f t="shared" si="661"/>
        <v>5</v>
      </c>
      <c r="AE8018" s="580">
        <f t="shared" si="662"/>
        <v>2.5</v>
      </c>
      <c r="AF8018" s="580">
        <f t="shared" si="663"/>
        <v>2.5</v>
      </c>
      <c r="AG8018" s="580">
        <f t="shared" si="664"/>
        <v>0</v>
      </c>
      <c r="AH8018" s="580">
        <f t="shared" si="665"/>
        <v>0</v>
      </c>
    </row>
    <row r="8019" spans="28:34">
      <c r="AB8019" s="580">
        <f>HLOOKUP("*"&amp;'Output annual'!$AC$2&amp;'Output annual'!$AD$2&amp;"*Zone People Number Of Occupants [](Hourly)",'Eplus results'!$1:$1048576,ROW(),FALSE)</f>
        <v>0</v>
      </c>
      <c r="AC8019" s="580">
        <f>HLOOKUP("*"&amp;'Output annual'!$AC$2&amp;'Output annual'!$AD$2&amp;"*FangerPMV(Hourly)",'Eplus results'!$1:$1048576,ROW(),FALSE)</f>
        <v>0</v>
      </c>
      <c r="AD8019" s="580">
        <f t="shared" si="661"/>
        <v>5</v>
      </c>
      <c r="AE8019" s="580">
        <f t="shared" si="662"/>
        <v>2.5</v>
      </c>
      <c r="AF8019" s="580">
        <f t="shared" si="663"/>
        <v>2.5</v>
      </c>
      <c r="AG8019" s="580">
        <f t="shared" si="664"/>
        <v>0</v>
      </c>
      <c r="AH8019" s="580">
        <f t="shared" si="665"/>
        <v>0</v>
      </c>
    </row>
    <row r="8020" spans="28:34">
      <c r="AB8020" s="580">
        <f>HLOOKUP("*"&amp;'Output annual'!$AC$2&amp;'Output annual'!$AD$2&amp;"*Zone People Number Of Occupants [](Hourly)",'Eplus results'!$1:$1048576,ROW(),FALSE)</f>
        <v>0</v>
      </c>
      <c r="AC8020" s="580">
        <f>HLOOKUP("*"&amp;'Output annual'!$AC$2&amp;'Output annual'!$AD$2&amp;"*FangerPMV(Hourly)",'Eplus results'!$1:$1048576,ROW(),FALSE)</f>
        <v>0</v>
      </c>
      <c r="AD8020" s="580">
        <f t="shared" si="661"/>
        <v>5</v>
      </c>
      <c r="AE8020" s="580">
        <f t="shared" si="662"/>
        <v>2.5</v>
      </c>
      <c r="AF8020" s="580">
        <f t="shared" si="663"/>
        <v>2.5</v>
      </c>
      <c r="AG8020" s="580">
        <f t="shared" si="664"/>
        <v>0</v>
      </c>
      <c r="AH8020" s="580">
        <f t="shared" si="665"/>
        <v>0</v>
      </c>
    </row>
    <row r="8021" spans="28:34">
      <c r="AB8021" s="580">
        <f>HLOOKUP("*"&amp;'Output annual'!$AC$2&amp;'Output annual'!$AD$2&amp;"*Zone People Number Of Occupants [](Hourly)",'Eplus results'!$1:$1048576,ROW(),FALSE)</f>
        <v>0</v>
      </c>
      <c r="AC8021" s="580">
        <f>HLOOKUP("*"&amp;'Output annual'!$AC$2&amp;'Output annual'!$AD$2&amp;"*FangerPMV(Hourly)",'Eplus results'!$1:$1048576,ROW(),FALSE)</f>
        <v>0</v>
      </c>
      <c r="AD8021" s="580">
        <f t="shared" si="661"/>
        <v>5</v>
      </c>
      <c r="AE8021" s="580">
        <f t="shared" si="662"/>
        <v>2.5</v>
      </c>
      <c r="AF8021" s="580">
        <f t="shared" si="663"/>
        <v>2.5</v>
      </c>
      <c r="AG8021" s="580">
        <f t="shared" si="664"/>
        <v>0</v>
      </c>
      <c r="AH8021" s="580">
        <f t="shared" si="665"/>
        <v>0</v>
      </c>
    </row>
    <row r="8022" spans="28:34">
      <c r="AB8022" s="580">
        <f>HLOOKUP("*"&amp;'Output annual'!$AC$2&amp;'Output annual'!$AD$2&amp;"*Zone People Number Of Occupants [](Hourly)",'Eplus results'!$1:$1048576,ROW(),FALSE)</f>
        <v>0</v>
      </c>
      <c r="AC8022" s="580">
        <f>HLOOKUP("*"&amp;'Output annual'!$AC$2&amp;'Output annual'!$AD$2&amp;"*FangerPMV(Hourly)",'Eplus results'!$1:$1048576,ROW(),FALSE)</f>
        <v>0</v>
      </c>
      <c r="AD8022" s="580">
        <f t="shared" si="661"/>
        <v>5</v>
      </c>
      <c r="AE8022" s="580">
        <f t="shared" si="662"/>
        <v>2.5</v>
      </c>
      <c r="AF8022" s="580">
        <f t="shared" si="663"/>
        <v>2.5</v>
      </c>
      <c r="AG8022" s="580">
        <f t="shared" si="664"/>
        <v>0</v>
      </c>
      <c r="AH8022" s="580">
        <f t="shared" si="665"/>
        <v>0</v>
      </c>
    </row>
    <row r="8023" spans="28:34">
      <c r="AB8023" s="580">
        <f>HLOOKUP("*"&amp;'Output annual'!$AC$2&amp;'Output annual'!$AD$2&amp;"*Zone People Number Of Occupants [](Hourly)",'Eplus results'!$1:$1048576,ROW(),FALSE)</f>
        <v>0</v>
      </c>
      <c r="AC8023" s="580">
        <f>HLOOKUP("*"&amp;'Output annual'!$AC$2&amp;'Output annual'!$AD$2&amp;"*FangerPMV(Hourly)",'Eplus results'!$1:$1048576,ROW(),FALSE)</f>
        <v>0</v>
      </c>
      <c r="AD8023" s="580">
        <f t="shared" si="661"/>
        <v>5</v>
      </c>
      <c r="AE8023" s="580">
        <f t="shared" si="662"/>
        <v>2.5</v>
      </c>
      <c r="AF8023" s="580">
        <f t="shared" si="663"/>
        <v>2.5</v>
      </c>
      <c r="AG8023" s="580">
        <f t="shared" si="664"/>
        <v>0</v>
      </c>
      <c r="AH8023" s="580">
        <f t="shared" si="665"/>
        <v>0</v>
      </c>
    </row>
    <row r="8024" spans="28:34">
      <c r="AB8024" s="580">
        <f>HLOOKUP("*"&amp;'Output annual'!$AC$2&amp;'Output annual'!$AD$2&amp;"*Zone People Number Of Occupants [](Hourly)",'Eplus results'!$1:$1048576,ROW(),FALSE)</f>
        <v>0</v>
      </c>
      <c r="AC8024" s="580">
        <f>HLOOKUP("*"&amp;'Output annual'!$AC$2&amp;'Output annual'!$AD$2&amp;"*FangerPMV(Hourly)",'Eplus results'!$1:$1048576,ROW(),FALSE)</f>
        <v>0</v>
      </c>
      <c r="AD8024" s="580">
        <f t="shared" si="661"/>
        <v>5</v>
      </c>
      <c r="AE8024" s="580">
        <f t="shared" si="662"/>
        <v>2.5</v>
      </c>
      <c r="AF8024" s="580">
        <f t="shared" si="663"/>
        <v>2.5</v>
      </c>
      <c r="AG8024" s="580">
        <f t="shared" si="664"/>
        <v>0</v>
      </c>
      <c r="AH8024" s="580">
        <f t="shared" si="665"/>
        <v>0</v>
      </c>
    </row>
    <row r="8025" spans="28:34">
      <c r="AB8025" s="580">
        <f>HLOOKUP("*"&amp;'Output annual'!$AC$2&amp;'Output annual'!$AD$2&amp;"*Zone People Number Of Occupants [](Hourly)",'Eplus results'!$1:$1048576,ROW(),FALSE)</f>
        <v>0</v>
      </c>
      <c r="AC8025" s="580">
        <f>HLOOKUP("*"&amp;'Output annual'!$AC$2&amp;'Output annual'!$AD$2&amp;"*FangerPMV(Hourly)",'Eplus results'!$1:$1048576,ROW(),FALSE)</f>
        <v>0</v>
      </c>
      <c r="AD8025" s="580">
        <f t="shared" si="661"/>
        <v>5</v>
      </c>
      <c r="AE8025" s="580">
        <f t="shared" si="662"/>
        <v>2.5</v>
      </c>
      <c r="AF8025" s="580">
        <f t="shared" si="663"/>
        <v>2.5</v>
      </c>
      <c r="AG8025" s="580">
        <f t="shared" si="664"/>
        <v>0</v>
      </c>
      <c r="AH8025" s="580">
        <f t="shared" si="665"/>
        <v>0</v>
      </c>
    </row>
    <row r="8026" spans="28:34">
      <c r="AB8026" s="580">
        <f>HLOOKUP("*"&amp;'Output annual'!$AC$2&amp;'Output annual'!$AD$2&amp;"*Zone People Number Of Occupants [](Hourly)",'Eplus results'!$1:$1048576,ROW(),FALSE)</f>
        <v>0</v>
      </c>
      <c r="AC8026" s="580">
        <f>HLOOKUP("*"&amp;'Output annual'!$AC$2&amp;'Output annual'!$AD$2&amp;"*FangerPMV(Hourly)",'Eplus results'!$1:$1048576,ROW(),FALSE)</f>
        <v>0</v>
      </c>
      <c r="AD8026" s="580">
        <f t="shared" si="661"/>
        <v>5</v>
      </c>
      <c r="AE8026" s="580">
        <f t="shared" si="662"/>
        <v>2.5</v>
      </c>
      <c r="AF8026" s="580">
        <f t="shared" si="663"/>
        <v>2.5</v>
      </c>
      <c r="AG8026" s="580">
        <f t="shared" si="664"/>
        <v>0</v>
      </c>
      <c r="AH8026" s="580">
        <f t="shared" si="665"/>
        <v>0</v>
      </c>
    </row>
    <row r="8027" spans="28:34">
      <c r="AB8027" s="580">
        <f>HLOOKUP("*"&amp;'Output annual'!$AC$2&amp;'Output annual'!$AD$2&amp;"*Zone People Number Of Occupants [](Hourly)",'Eplus results'!$1:$1048576,ROW(),FALSE)</f>
        <v>0</v>
      </c>
      <c r="AC8027" s="580">
        <f>HLOOKUP("*"&amp;'Output annual'!$AC$2&amp;'Output annual'!$AD$2&amp;"*FangerPMV(Hourly)",'Eplus results'!$1:$1048576,ROW(),FALSE)</f>
        <v>0</v>
      </c>
      <c r="AD8027" s="580">
        <f t="shared" si="661"/>
        <v>5</v>
      </c>
      <c r="AE8027" s="580">
        <f t="shared" si="662"/>
        <v>2.5</v>
      </c>
      <c r="AF8027" s="580">
        <f t="shared" si="663"/>
        <v>2.5</v>
      </c>
      <c r="AG8027" s="580">
        <f t="shared" si="664"/>
        <v>0</v>
      </c>
      <c r="AH8027" s="580">
        <f t="shared" si="665"/>
        <v>0</v>
      </c>
    </row>
    <row r="8028" spans="28:34">
      <c r="AB8028" s="580">
        <f>HLOOKUP("*"&amp;'Output annual'!$AC$2&amp;'Output annual'!$AD$2&amp;"*Zone People Number Of Occupants [](Hourly)",'Eplus results'!$1:$1048576,ROW(),FALSE)</f>
        <v>0</v>
      </c>
      <c r="AC8028" s="580">
        <f>HLOOKUP("*"&amp;'Output annual'!$AC$2&amp;'Output annual'!$AD$2&amp;"*FangerPMV(Hourly)",'Eplus results'!$1:$1048576,ROW(),FALSE)</f>
        <v>0</v>
      </c>
      <c r="AD8028" s="580">
        <f t="shared" si="661"/>
        <v>5</v>
      </c>
      <c r="AE8028" s="580">
        <f t="shared" si="662"/>
        <v>2.5</v>
      </c>
      <c r="AF8028" s="580">
        <f t="shared" si="663"/>
        <v>2.5</v>
      </c>
      <c r="AG8028" s="580">
        <f t="shared" si="664"/>
        <v>0</v>
      </c>
      <c r="AH8028" s="580">
        <f t="shared" si="665"/>
        <v>0</v>
      </c>
    </row>
    <row r="8029" spans="28:34">
      <c r="AB8029" s="580">
        <f>HLOOKUP("*"&amp;'Output annual'!$AC$2&amp;'Output annual'!$AD$2&amp;"*Zone People Number Of Occupants [](Hourly)",'Eplus results'!$1:$1048576,ROW(),FALSE)</f>
        <v>0</v>
      </c>
      <c r="AC8029" s="580">
        <f>HLOOKUP("*"&amp;'Output annual'!$AC$2&amp;'Output annual'!$AD$2&amp;"*FangerPMV(Hourly)",'Eplus results'!$1:$1048576,ROW(),FALSE)</f>
        <v>0</v>
      </c>
      <c r="AD8029" s="580">
        <f t="shared" si="661"/>
        <v>5</v>
      </c>
      <c r="AE8029" s="580">
        <f t="shared" si="662"/>
        <v>2.5</v>
      </c>
      <c r="AF8029" s="580">
        <f t="shared" si="663"/>
        <v>2.5</v>
      </c>
      <c r="AG8029" s="580">
        <f t="shared" si="664"/>
        <v>0</v>
      </c>
      <c r="AH8029" s="580">
        <f t="shared" si="665"/>
        <v>0</v>
      </c>
    </row>
    <row r="8030" spans="28:34">
      <c r="AB8030" s="580">
        <f>HLOOKUP("*"&amp;'Output annual'!$AC$2&amp;'Output annual'!$AD$2&amp;"*Zone People Number Of Occupants [](Hourly)",'Eplus results'!$1:$1048576,ROW(),FALSE)</f>
        <v>0</v>
      </c>
      <c r="AC8030" s="580">
        <f>HLOOKUP("*"&amp;'Output annual'!$AC$2&amp;'Output annual'!$AD$2&amp;"*FangerPMV(Hourly)",'Eplus results'!$1:$1048576,ROW(),FALSE)</f>
        <v>0</v>
      </c>
      <c r="AD8030" s="580">
        <f t="shared" si="661"/>
        <v>5</v>
      </c>
      <c r="AE8030" s="580">
        <f t="shared" si="662"/>
        <v>2.5</v>
      </c>
      <c r="AF8030" s="580">
        <f t="shared" si="663"/>
        <v>2.5</v>
      </c>
      <c r="AG8030" s="580">
        <f t="shared" si="664"/>
        <v>0</v>
      </c>
      <c r="AH8030" s="580">
        <f t="shared" si="665"/>
        <v>0</v>
      </c>
    </row>
    <row r="8031" spans="28:34">
      <c r="AB8031" s="580">
        <f>HLOOKUP("*"&amp;'Output annual'!$AC$2&amp;'Output annual'!$AD$2&amp;"*Zone People Number Of Occupants [](Hourly)",'Eplus results'!$1:$1048576,ROW(),FALSE)</f>
        <v>0</v>
      </c>
      <c r="AC8031" s="580">
        <f>HLOOKUP("*"&amp;'Output annual'!$AC$2&amp;'Output annual'!$AD$2&amp;"*FangerPMV(Hourly)",'Eplus results'!$1:$1048576,ROW(),FALSE)</f>
        <v>0</v>
      </c>
      <c r="AD8031" s="580">
        <f t="shared" si="661"/>
        <v>5</v>
      </c>
      <c r="AE8031" s="580">
        <f t="shared" si="662"/>
        <v>2.5</v>
      </c>
      <c r="AF8031" s="580">
        <f t="shared" si="663"/>
        <v>2.5</v>
      </c>
      <c r="AG8031" s="580">
        <f t="shared" si="664"/>
        <v>0</v>
      </c>
      <c r="AH8031" s="580">
        <f t="shared" si="665"/>
        <v>0</v>
      </c>
    </row>
    <row r="8032" spans="28:34">
      <c r="AB8032" s="580">
        <f>HLOOKUP("*"&amp;'Output annual'!$AC$2&amp;'Output annual'!$AD$2&amp;"*Zone People Number Of Occupants [](Hourly)",'Eplus results'!$1:$1048576,ROW(),FALSE)</f>
        <v>0</v>
      </c>
      <c r="AC8032" s="580">
        <f>HLOOKUP("*"&amp;'Output annual'!$AC$2&amp;'Output annual'!$AD$2&amp;"*FangerPMV(Hourly)",'Eplus results'!$1:$1048576,ROW(),FALSE)</f>
        <v>0</v>
      </c>
      <c r="AD8032" s="580">
        <f t="shared" si="661"/>
        <v>5</v>
      </c>
      <c r="AE8032" s="580">
        <f t="shared" si="662"/>
        <v>2.5</v>
      </c>
      <c r="AF8032" s="580">
        <f t="shared" si="663"/>
        <v>2.5</v>
      </c>
      <c r="AG8032" s="580">
        <f t="shared" si="664"/>
        <v>0</v>
      </c>
      <c r="AH8032" s="580">
        <f t="shared" si="665"/>
        <v>0</v>
      </c>
    </row>
    <row r="8033" spans="28:34">
      <c r="AB8033" s="580">
        <f>HLOOKUP("*"&amp;'Output annual'!$AC$2&amp;'Output annual'!$AD$2&amp;"*Zone People Number Of Occupants [](Hourly)",'Eplus results'!$1:$1048576,ROW(),FALSE)</f>
        <v>0</v>
      </c>
      <c r="AC8033" s="580">
        <f>HLOOKUP("*"&amp;'Output annual'!$AC$2&amp;'Output annual'!$AD$2&amp;"*FangerPMV(Hourly)",'Eplus results'!$1:$1048576,ROW(),FALSE)</f>
        <v>0</v>
      </c>
      <c r="AD8033" s="580">
        <f t="shared" si="661"/>
        <v>5</v>
      </c>
      <c r="AE8033" s="580">
        <f t="shared" si="662"/>
        <v>2.5</v>
      </c>
      <c r="AF8033" s="580">
        <f t="shared" si="663"/>
        <v>2.5</v>
      </c>
      <c r="AG8033" s="580">
        <f t="shared" si="664"/>
        <v>0</v>
      </c>
      <c r="AH8033" s="580">
        <f t="shared" si="665"/>
        <v>0</v>
      </c>
    </row>
    <row r="8034" spans="28:34">
      <c r="AB8034" s="580">
        <f>HLOOKUP("*"&amp;'Output annual'!$AC$2&amp;'Output annual'!$AD$2&amp;"*Zone People Number Of Occupants [](Hourly)",'Eplus results'!$1:$1048576,ROW(),FALSE)</f>
        <v>0</v>
      </c>
      <c r="AC8034" s="580">
        <f>HLOOKUP("*"&amp;'Output annual'!$AC$2&amp;'Output annual'!$AD$2&amp;"*FangerPMV(Hourly)",'Eplus results'!$1:$1048576,ROW(),FALSE)</f>
        <v>0</v>
      </c>
      <c r="AD8034" s="580">
        <f t="shared" si="661"/>
        <v>5</v>
      </c>
      <c r="AE8034" s="580">
        <f t="shared" si="662"/>
        <v>2.5</v>
      </c>
      <c r="AF8034" s="580">
        <f t="shared" si="663"/>
        <v>2.5</v>
      </c>
      <c r="AG8034" s="580">
        <f t="shared" si="664"/>
        <v>0</v>
      </c>
      <c r="AH8034" s="580">
        <f t="shared" si="665"/>
        <v>0</v>
      </c>
    </row>
    <row r="8035" spans="28:34">
      <c r="AB8035" s="580">
        <f>HLOOKUP("*"&amp;'Output annual'!$AC$2&amp;'Output annual'!$AD$2&amp;"*Zone People Number Of Occupants [](Hourly)",'Eplus results'!$1:$1048576,ROW(),FALSE)</f>
        <v>0</v>
      </c>
      <c r="AC8035" s="580">
        <f>HLOOKUP("*"&amp;'Output annual'!$AC$2&amp;'Output annual'!$AD$2&amp;"*FangerPMV(Hourly)",'Eplus results'!$1:$1048576,ROW(),FALSE)</f>
        <v>0</v>
      </c>
      <c r="AD8035" s="580">
        <f t="shared" si="661"/>
        <v>5</v>
      </c>
      <c r="AE8035" s="580">
        <f t="shared" si="662"/>
        <v>2.5</v>
      </c>
      <c r="AF8035" s="580">
        <f t="shared" si="663"/>
        <v>2.5</v>
      </c>
      <c r="AG8035" s="580">
        <f t="shared" si="664"/>
        <v>0</v>
      </c>
      <c r="AH8035" s="580">
        <f t="shared" si="665"/>
        <v>0</v>
      </c>
    </row>
    <row r="8036" spans="28:34">
      <c r="AB8036" s="580">
        <f>HLOOKUP("*"&amp;'Output annual'!$AC$2&amp;'Output annual'!$AD$2&amp;"*Zone People Number Of Occupants [](Hourly)",'Eplus results'!$1:$1048576,ROW(),FALSE)</f>
        <v>0</v>
      </c>
      <c r="AC8036" s="580">
        <f>HLOOKUP("*"&amp;'Output annual'!$AC$2&amp;'Output annual'!$AD$2&amp;"*FangerPMV(Hourly)",'Eplus results'!$1:$1048576,ROW(),FALSE)</f>
        <v>0</v>
      </c>
      <c r="AD8036" s="580">
        <f t="shared" si="661"/>
        <v>5</v>
      </c>
      <c r="AE8036" s="580">
        <f t="shared" si="662"/>
        <v>2.5</v>
      </c>
      <c r="AF8036" s="580">
        <f t="shared" si="663"/>
        <v>2.5</v>
      </c>
      <c r="AG8036" s="580">
        <f t="shared" si="664"/>
        <v>0</v>
      </c>
      <c r="AH8036" s="580">
        <f t="shared" si="665"/>
        <v>0</v>
      </c>
    </row>
    <row r="8037" spans="28:34">
      <c r="AB8037" s="580">
        <f>HLOOKUP("*"&amp;'Output annual'!$AC$2&amp;'Output annual'!$AD$2&amp;"*Zone People Number Of Occupants [](Hourly)",'Eplus results'!$1:$1048576,ROW(),FALSE)</f>
        <v>0</v>
      </c>
      <c r="AC8037" s="580">
        <f>HLOOKUP("*"&amp;'Output annual'!$AC$2&amp;'Output annual'!$AD$2&amp;"*FangerPMV(Hourly)",'Eplus results'!$1:$1048576,ROW(),FALSE)</f>
        <v>0</v>
      </c>
      <c r="AD8037" s="580">
        <f t="shared" si="661"/>
        <v>5</v>
      </c>
      <c r="AE8037" s="580">
        <f t="shared" si="662"/>
        <v>2.5</v>
      </c>
      <c r="AF8037" s="580">
        <f t="shared" si="663"/>
        <v>2.5</v>
      </c>
      <c r="AG8037" s="580">
        <f t="shared" si="664"/>
        <v>0</v>
      </c>
      <c r="AH8037" s="580">
        <f t="shared" si="665"/>
        <v>0</v>
      </c>
    </row>
    <row r="8038" spans="28:34">
      <c r="AB8038" s="580">
        <f>HLOOKUP("*"&amp;'Output annual'!$AC$2&amp;'Output annual'!$AD$2&amp;"*Zone People Number Of Occupants [](Hourly)",'Eplus results'!$1:$1048576,ROW(),FALSE)</f>
        <v>0</v>
      </c>
      <c r="AC8038" s="580">
        <f>HLOOKUP("*"&amp;'Output annual'!$AC$2&amp;'Output annual'!$AD$2&amp;"*FangerPMV(Hourly)",'Eplus results'!$1:$1048576,ROW(),FALSE)</f>
        <v>0</v>
      </c>
      <c r="AD8038" s="580">
        <f t="shared" si="661"/>
        <v>5</v>
      </c>
      <c r="AE8038" s="580">
        <f t="shared" si="662"/>
        <v>2.5</v>
      </c>
      <c r="AF8038" s="580">
        <f t="shared" si="663"/>
        <v>2.5</v>
      </c>
      <c r="AG8038" s="580">
        <f t="shared" si="664"/>
        <v>0</v>
      </c>
      <c r="AH8038" s="580">
        <f t="shared" si="665"/>
        <v>0</v>
      </c>
    </row>
    <row r="8039" spans="28:34">
      <c r="AB8039" s="580">
        <f>HLOOKUP("*"&amp;'Output annual'!$AC$2&amp;'Output annual'!$AD$2&amp;"*Zone People Number Of Occupants [](Hourly)",'Eplus results'!$1:$1048576,ROW(),FALSE)</f>
        <v>0</v>
      </c>
      <c r="AC8039" s="580">
        <f>HLOOKUP("*"&amp;'Output annual'!$AC$2&amp;'Output annual'!$AD$2&amp;"*FangerPMV(Hourly)",'Eplus results'!$1:$1048576,ROW(),FALSE)</f>
        <v>0</v>
      </c>
      <c r="AD8039" s="580">
        <f t="shared" si="661"/>
        <v>5</v>
      </c>
      <c r="AE8039" s="580">
        <f t="shared" si="662"/>
        <v>2.5</v>
      </c>
      <c r="AF8039" s="580">
        <f t="shared" si="663"/>
        <v>2.5</v>
      </c>
      <c r="AG8039" s="580">
        <f t="shared" si="664"/>
        <v>0</v>
      </c>
      <c r="AH8039" s="580">
        <f t="shared" si="665"/>
        <v>0</v>
      </c>
    </row>
    <row r="8040" spans="28:34">
      <c r="AB8040" s="580">
        <f>HLOOKUP("*"&amp;'Output annual'!$AC$2&amp;'Output annual'!$AD$2&amp;"*Zone People Number Of Occupants [](Hourly)",'Eplus results'!$1:$1048576,ROW(),FALSE)</f>
        <v>0</v>
      </c>
      <c r="AC8040" s="580">
        <f>HLOOKUP("*"&amp;'Output annual'!$AC$2&amp;'Output annual'!$AD$2&amp;"*FangerPMV(Hourly)",'Eplus results'!$1:$1048576,ROW(),FALSE)</f>
        <v>0</v>
      </c>
      <c r="AD8040" s="580">
        <f t="shared" si="661"/>
        <v>5</v>
      </c>
      <c r="AE8040" s="580">
        <f t="shared" si="662"/>
        <v>2.5</v>
      </c>
      <c r="AF8040" s="580">
        <f t="shared" si="663"/>
        <v>2.5</v>
      </c>
      <c r="AG8040" s="580">
        <f t="shared" si="664"/>
        <v>0</v>
      </c>
      <c r="AH8040" s="580">
        <f t="shared" si="665"/>
        <v>0</v>
      </c>
    </row>
    <row r="8041" spans="28:34">
      <c r="AB8041" s="580">
        <f>HLOOKUP("*"&amp;'Output annual'!$AC$2&amp;'Output annual'!$AD$2&amp;"*Zone People Number Of Occupants [](Hourly)",'Eplus results'!$1:$1048576,ROW(),FALSE)</f>
        <v>0</v>
      </c>
      <c r="AC8041" s="580">
        <f>HLOOKUP("*"&amp;'Output annual'!$AC$2&amp;'Output annual'!$AD$2&amp;"*FangerPMV(Hourly)",'Eplus results'!$1:$1048576,ROW(),FALSE)</f>
        <v>0</v>
      </c>
      <c r="AD8041" s="580">
        <f t="shared" si="661"/>
        <v>5</v>
      </c>
      <c r="AE8041" s="580">
        <f t="shared" si="662"/>
        <v>2.5</v>
      </c>
      <c r="AF8041" s="580">
        <f t="shared" si="663"/>
        <v>2.5</v>
      </c>
      <c r="AG8041" s="580">
        <f t="shared" si="664"/>
        <v>0</v>
      </c>
      <c r="AH8041" s="580">
        <f t="shared" si="665"/>
        <v>0</v>
      </c>
    </row>
    <row r="8042" spans="28:34">
      <c r="AB8042" s="580">
        <f>HLOOKUP("*"&amp;'Output annual'!$AC$2&amp;'Output annual'!$AD$2&amp;"*Zone People Number Of Occupants [](Hourly)",'Eplus results'!$1:$1048576,ROW(),FALSE)</f>
        <v>0</v>
      </c>
      <c r="AC8042" s="580">
        <f>HLOOKUP("*"&amp;'Output annual'!$AC$2&amp;'Output annual'!$AD$2&amp;"*FangerPMV(Hourly)",'Eplus results'!$1:$1048576,ROW(),FALSE)</f>
        <v>0</v>
      </c>
      <c r="AD8042" s="580">
        <f t="shared" si="661"/>
        <v>5</v>
      </c>
      <c r="AE8042" s="580">
        <f t="shared" si="662"/>
        <v>2.5</v>
      </c>
      <c r="AF8042" s="580">
        <f t="shared" si="663"/>
        <v>2.5</v>
      </c>
      <c r="AG8042" s="580">
        <f t="shared" si="664"/>
        <v>0</v>
      </c>
      <c r="AH8042" s="580">
        <f t="shared" si="665"/>
        <v>0</v>
      </c>
    </row>
    <row r="8043" spans="28:34">
      <c r="AB8043" s="580">
        <f>HLOOKUP("*"&amp;'Output annual'!$AC$2&amp;'Output annual'!$AD$2&amp;"*Zone People Number Of Occupants [](Hourly)",'Eplus results'!$1:$1048576,ROW(),FALSE)</f>
        <v>0</v>
      </c>
      <c r="AC8043" s="580">
        <f>HLOOKUP("*"&amp;'Output annual'!$AC$2&amp;'Output annual'!$AD$2&amp;"*FangerPMV(Hourly)",'Eplus results'!$1:$1048576,ROW(),FALSE)</f>
        <v>0</v>
      </c>
      <c r="AD8043" s="580">
        <f t="shared" si="661"/>
        <v>5</v>
      </c>
      <c r="AE8043" s="580">
        <f t="shared" si="662"/>
        <v>2.5</v>
      </c>
      <c r="AF8043" s="580">
        <f t="shared" si="663"/>
        <v>2.5</v>
      </c>
      <c r="AG8043" s="580">
        <f t="shared" si="664"/>
        <v>0</v>
      </c>
      <c r="AH8043" s="580">
        <f t="shared" si="665"/>
        <v>0</v>
      </c>
    </row>
    <row r="8044" spans="28:34">
      <c r="AB8044" s="580">
        <f>HLOOKUP("*"&amp;'Output annual'!$AC$2&amp;'Output annual'!$AD$2&amp;"*Zone People Number Of Occupants [](Hourly)",'Eplus results'!$1:$1048576,ROW(),FALSE)</f>
        <v>0</v>
      </c>
      <c r="AC8044" s="580">
        <f>HLOOKUP("*"&amp;'Output annual'!$AC$2&amp;'Output annual'!$AD$2&amp;"*FangerPMV(Hourly)",'Eplus results'!$1:$1048576,ROW(),FALSE)</f>
        <v>0</v>
      </c>
      <c r="AD8044" s="580">
        <f t="shared" si="661"/>
        <v>5</v>
      </c>
      <c r="AE8044" s="580">
        <f t="shared" si="662"/>
        <v>2.5</v>
      </c>
      <c r="AF8044" s="580">
        <f t="shared" si="663"/>
        <v>2.5</v>
      </c>
      <c r="AG8044" s="580">
        <f t="shared" si="664"/>
        <v>0</v>
      </c>
      <c r="AH8044" s="580">
        <f t="shared" si="665"/>
        <v>0</v>
      </c>
    </row>
    <row r="8045" spans="28:34">
      <c r="AB8045" s="580">
        <f>HLOOKUP("*"&amp;'Output annual'!$AC$2&amp;'Output annual'!$AD$2&amp;"*Zone People Number Of Occupants [](Hourly)",'Eplus results'!$1:$1048576,ROW(),FALSE)</f>
        <v>0</v>
      </c>
      <c r="AC8045" s="580">
        <f>HLOOKUP("*"&amp;'Output annual'!$AC$2&amp;'Output annual'!$AD$2&amp;"*FangerPMV(Hourly)",'Eplus results'!$1:$1048576,ROW(),FALSE)</f>
        <v>0</v>
      </c>
      <c r="AD8045" s="580">
        <f t="shared" si="661"/>
        <v>5</v>
      </c>
      <c r="AE8045" s="580">
        <f t="shared" si="662"/>
        <v>2.5</v>
      </c>
      <c r="AF8045" s="580">
        <f t="shared" si="663"/>
        <v>2.5</v>
      </c>
      <c r="AG8045" s="580">
        <f t="shared" si="664"/>
        <v>0</v>
      </c>
      <c r="AH8045" s="580">
        <f t="shared" si="665"/>
        <v>0</v>
      </c>
    </row>
    <row r="8046" spans="28:34">
      <c r="AB8046" s="580">
        <f>HLOOKUP("*"&amp;'Output annual'!$AC$2&amp;'Output annual'!$AD$2&amp;"*Zone People Number Of Occupants [](Hourly)",'Eplus results'!$1:$1048576,ROW(),FALSE)</f>
        <v>0</v>
      </c>
      <c r="AC8046" s="580">
        <f>HLOOKUP("*"&amp;'Output annual'!$AC$2&amp;'Output annual'!$AD$2&amp;"*FangerPMV(Hourly)",'Eplus results'!$1:$1048576,ROW(),FALSE)</f>
        <v>0</v>
      </c>
      <c r="AD8046" s="580">
        <f t="shared" si="661"/>
        <v>5</v>
      </c>
      <c r="AE8046" s="580">
        <f t="shared" si="662"/>
        <v>2.5</v>
      </c>
      <c r="AF8046" s="580">
        <f t="shared" si="663"/>
        <v>2.5</v>
      </c>
      <c r="AG8046" s="580">
        <f t="shared" si="664"/>
        <v>0</v>
      </c>
      <c r="AH8046" s="580">
        <f t="shared" si="665"/>
        <v>0</v>
      </c>
    </row>
    <row r="8047" spans="28:34">
      <c r="AB8047" s="580">
        <f>HLOOKUP("*"&amp;'Output annual'!$AC$2&amp;'Output annual'!$AD$2&amp;"*Zone People Number Of Occupants [](Hourly)",'Eplus results'!$1:$1048576,ROW(),FALSE)</f>
        <v>0</v>
      </c>
      <c r="AC8047" s="580">
        <f>HLOOKUP("*"&amp;'Output annual'!$AC$2&amp;'Output annual'!$AD$2&amp;"*FangerPMV(Hourly)",'Eplus results'!$1:$1048576,ROW(),FALSE)</f>
        <v>0</v>
      </c>
      <c r="AD8047" s="580">
        <f t="shared" si="661"/>
        <v>5</v>
      </c>
      <c r="AE8047" s="580">
        <f t="shared" si="662"/>
        <v>2.5</v>
      </c>
      <c r="AF8047" s="580">
        <f t="shared" si="663"/>
        <v>2.5</v>
      </c>
      <c r="AG8047" s="580">
        <f t="shared" si="664"/>
        <v>0</v>
      </c>
      <c r="AH8047" s="580">
        <f t="shared" si="665"/>
        <v>0</v>
      </c>
    </row>
    <row r="8048" spans="28:34">
      <c r="AB8048" s="580">
        <f>HLOOKUP("*"&amp;'Output annual'!$AC$2&amp;'Output annual'!$AD$2&amp;"*Zone People Number Of Occupants [](Hourly)",'Eplus results'!$1:$1048576,ROW(),FALSE)</f>
        <v>0</v>
      </c>
      <c r="AC8048" s="580">
        <f>HLOOKUP("*"&amp;'Output annual'!$AC$2&amp;'Output annual'!$AD$2&amp;"*FangerPMV(Hourly)",'Eplus results'!$1:$1048576,ROW(),FALSE)</f>
        <v>0</v>
      </c>
      <c r="AD8048" s="580">
        <f t="shared" si="661"/>
        <v>5</v>
      </c>
      <c r="AE8048" s="580">
        <f t="shared" si="662"/>
        <v>2.5</v>
      </c>
      <c r="AF8048" s="580">
        <f t="shared" si="663"/>
        <v>2.5</v>
      </c>
      <c r="AG8048" s="580">
        <f t="shared" si="664"/>
        <v>0</v>
      </c>
      <c r="AH8048" s="580">
        <f t="shared" si="665"/>
        <v>0</v>
      </c>
    </row>
    <row r="8049" spans="28:34">
      <c r="AB8049" s="580">
        <f>HLOOKUP("*"&amp;'Output annual'!$AC$2&amp;'Output annual'!$AD$2&amp;"*Zone People Number Of Occupants [](Hourly)",'Eplus results'!$1:$1048576,ROW(),FALSE)</f>
        <v>0</v>
      </c>
      <c r="AC8049" s="580">
        <f>HLOOKUP("*"&amp;'Output annual'!$AC$2&amp;'Output annual'!$AD$2&amp;"*FangerPMV(Hourly)",'Eplus results'!$1:$1048576,ROW(),FALSE)</f>
        <v>0</v>
      </c>
      <c r="AD8049" s="580">
        <f t="shared" si="661"/>
        <v>5</v>
      </c>
      <c r="AE8049" s="580">
        <f t="shared" si="662"/>
        <v>2.5</v>
      </c>
      <c r="AF8049" s="580">
        <f t="shared" si="663"/>
        <v>2.5</v>
      </c>
      <c r="AG8049" s="580">
        <f t="shared" si="664"/>
        <v>0</v>
      </c>
      <c r="AH8049" s="580">
        <f t="shared" si="665"/>
        <v>0</v>
      </c>
    </row>
    <row r="8050" spans="28:34">
      <c r="AB8050" s="580">
        <f>HLOOKUP("*"&amp;'Output annual'!$AC$2&amp;'Output annual'!$AD$2&amp;"*Zone People Number Of Occupants [](Hourly)",'Eplus results'!$1:$1048576,ROW(),FALSE)</f>
        <v>0</v>
      </c>
      <c r="AC8050" s="580">
        <f>HLOOKUP("*"&amp;'Output annual'!$AC$2&amp;'Output annual'!$AD$2&amp;"*FangerPMV(Hourly)",'Eplus results'!$1:$1048576,ROW(),FALSE)</f>
        <v>0</v>
      </c>
      <c r="AD8050" s="580">
        <f t="shared" si="661"/>
        <v>5</v>
      </c>
      <c r="AE8050" s="580">
        <f t="shared" si="662"/>
        <v>2.5</v>
      </c>
      <c r="AF8050" s="580">
        <f t="shared" si="663"/>
        <v>2.5</v>
      </c>
      <c r="AG8050" s="580">
        <f t="shared" si="664"/>
        <v>0</v>
      </c>
      <c r="AH8050" s="580">
        <f t="shared" si="665"/>
        <v>0</v>
      </c>
    </row>
    <row r="8051" spans="28:34">
      <c r="AB8051" s="580">
        <f>HLOOKUP("*"&amp;'Output annual'!$AC$2&amp;'Output annual'!$AD$2&amp;"*Zone People Number Of Occupants [](Hourly)",'Eplus results'!$1:$1048576,ROW(),FALSE)</f>
        <v>0</v>
      </c>
      <c r="AC8051" s="580">
        <f>HLOOKUP("*"&amp;'Output annual'!$AC$2&amp;'Output annual'!$AD$2&amp;"*FangerPMV(Hourly)",'Eplus results'!$1:$1048576,ROW(),FALSE)</f>
        <v>0</v>
      </c>
      <c r="AD8051" s="580">
        <f t="shared" si="661"/>
        <v>5</v>
      </c>
      <c r="AE8051" s="580">
        <f t="shared" si="662"/>
        <v>2.5</v>
      </c>
      <c r="AF8051" s="580">
        <f t="shared" si="663"/>
        <v>2.5</v>
      </c>
      <c r="AG8051" s="580">
        <f t="shared" si="664"/>
        <v>0</v>
      </c>
      <c r="AH8051" s="580">
        <f t="shared" si="665"/>
        <v>0</v>
      </c>
    </row>
    <row r="8052" spans="28:34">
      <c r="AB8052" s="580">
        <f>HLOOKUP("*"&amp;'Output annual'!$AC$2&amp;'Output annual'!$AD$2&amp;"*Zone People Number Of Occupants [](Hourly)",'Eplus results'!$1:$1048576,ROW(),FALSE)</f>
        <v>0</v>
      </c>
      <c r="AC8052" s="580">
        <f>HLOOKUP("*"&amp;'Output annual'!$AC$2&amp;'Output annual'!$AD$2&amp;"*FangerPMV(Hourly)",'Eplus results'!$1:$1048576,ROW(),FALSE)</f>
        <v>0</v>
      </c>
      <c r="AD8052" s="580">
        <f t="shared" si="661"/>
        <v>5</v>
      </c>
      <c r="AE8052" s="580">
        <f t="shared" si="662"/>
        <v>2.5</v>
      </c>
      <c r="AF8052" s="580">
        <f t="shared" si="663"/>
        <v>2.5</v>
      </c>
      <c r="AG8052" s="580">
        <f t="shared" si="664"/>
        <v>0</v>
      </c>
      <c r="AH8052" s="580">
        <f t="shared" si="665"/>
        <v>0</v>
      </c>
    </row>
    <row r="8053" spans="28:34">
      <c r="AB8053" s="580">
        <f>HLOOKUP("*"&amp;'Output annual'!$AC$2&amp;'Output annual'!$AD$2&amp;"*Zone People Number Of Occupants [](Hourly)",'Eplus results'!$1:$1048576,ROW(),FALSE)</f>
        <v>0</v>
      </c>
      <c r="AC8053" s="580">
        <f>HLOOKUP("*"&amp;'Output annual'!$AC$2&amp;'Output annual'!$AD$2&amp;"*FangerPMV(Hourly)",'Eplus results'!$1:$1048576,ROW(),FALSE)</f>
        <v>0</v>
      </c>
      <c r="AD8053" s="580">
        <f t="shared" si="661"/>
        <v>5</v>
      </c>
      <c r="AE8053" s="580">
        <f t="shared" si="662"/>
        <v>2.5</v>
      </c>
      <c r="AF8053" s="580">
        <f t="shared" si="663"/>
        <v>2.5</v>
      </c>
      <c r="AG8053" s="580">
        <f t="shared" si="664"/>
        <v>0</v>
      </c>
      <c r="AH8053" s="580">
        <f t="shared" si="665"/>
        <v>0</v>
      </c>
    </row>
    <row r="8054" spans="28:34">
      <c r="AB8054" s="580">
        <f>HLOOKUP("*"&amp;'Output annual'!$AC$2&amp;'Output annual'!$AD$2&amp;"*Zone People Number Of Occupants [](Hourly)",'Eplus results'!$1:$1048576,ROW(),FALSE)</f>
        <v>0</v>
      </c>
      <c r="AC8054" s="580">
        <f>HLOOKUP("*"&amp;'Output annual'!$AC$2&amp;'Output annual'!$AD$2&amp;"*FangerPMV(Hourly)",'Eplus results'!$1:$1048576,ROW(),FALSE)</f>
        <v>0</v>
      </c>
      <c r="AD8054" s="580">
        <f t="shared" si="661"/>
        <v>5</v>
      </c>
      <c r="AE8054" s="580">
        <f t="shared" si="662"/>
        <v>2.5</v>
      </c>
      <c r="AF8054" s="580">
        <f t="shared" si="663"/>
        <v>2.5</v>
      </c>
      <c r="AG8054" s="580">
        <f t="shared" si="664"/>
        <v>0</v>
      </c>
      <c r="AH8054" s="580">
        <f t="shared" si="665"/>
        <v>0</v>
      </c>
    </row>
    <row r="8055" spans="28:34">
      <c r="AB8055" s="580">
        <f>HLOOKUP("*"&amp;'Output annual'!$AC$2&amp;'Output annual'!$AD$2&amp;"*Zone People Number Of Occupants [](Hourly)",'Eplus results'!$1:$1048576,ROW(),FALSE)</f>
        <v>0</v>
      </c>
      <c r="AC8055" s="580">
        <f>HLOOKUP("*"&amp;'Output annual'!$AC$2&amp;'Output annual'!$AD$2&amp;"*FangerPMV(Hourly)",'Eplus results'!$1:$1048576,ROW(),FALSE)</f>
        <v>0</v>
      </c>
      <c r="AD8055" s="580">
        <f t="shared" si="661"/>
        <v>5</v>
      </c>
      <c r="AE8055" s="580">
        <f t="shared" si="662"/>
        <v>2.5</v>
      </c>
      <c r="AF8055" s="580">
        <f t="shared" si="663"/>
        <v>2.5</v>
      </c>
      <c r="AG8055" s="580">
        <f t="shared" si="664"/>
        <v>0</v>
      </c>
      <c r="AH8055" s="580">
        <f t="shared" si="665"/>
        <v>0</v>
      </c>
    </row>
    <row r="8056" spans="28:34">
      <c r="AB8056" s="580">
        <f>HLOOKUP("*"&amp;'Output annual'!$AC$2&amp;'Output annual'!$AD$2&amp;"*Zone People Number Of Occupants [](Hourly)",'Eplus results'!$1:$1048576,ROW(),FALSE)</f>
        <v>0</v>
      </c>
      <c r="AC8056" s="580">
        <f>HLOOKUP("*"&amp;'Output annual'!$AC$2&amp;'Output annual'!$AD$2&amp;"*FangerPMV(Hourly)",'Eplus results'!$1:$1048576,ROW(),FALSE)</f>
        <v>0</v>
      </c>
      <c r="AD8056" s="580">
        <f t="shared" si="661"/>
        <v>5</v>
      </c>
      <c r="AE8056" s="580">
        <f t="shared" si="662"/>
        <v>2.5</v>
      </c>
      <c r="AF8056" s="580">
        <f t="shared" si="663"/>
        <v>2.5</v>
      </c>
      <c r="AG8056" s="580">
        <f t="shared" si="664"/>
        <v>0</v>
      </c>
      <c r="AH8056" s="580">
        <f t="shared" si="665"/>
        <v>0</v>
      </c>
    </row>
    <row r="8057" spans="28:34">
      <c r="AB8057" s="580">
        <f>HLOOKUP("*"&amp;'Output annual'!$AC$2&amp;'Output annual'!$AD$2&amp;"*Zone People Number Of Occupants [](Hourly)",'Eplus results'!$1:$1048576,ROW(),FALSE)</f>
        <v>0</v>
      </c>
      <c r="AC8057" s="580">
        <f>HLOOKUP("*"&amp;'Output annual'!$AC$2&amp;'Output annual'!$AD$2&amp;"*FangerPMV(Hourly)",'Eplus results'!$1:$1048576,ROW(),FALSE)</f>
        <v>0</v>
      </c>
      <c r="AD8057" s="580">
        <f t="shared" si="661"/>
        <v>5</v>
      </c>
      <c r="AE8057" s="580">
        <f t="shared" si="662"/>
        <v>2.5</v>
      </c>
      <c r="AF8057" s="580">
        <f t="shared" si="663"/>
        <v>2.5</v>
      </c>
      <c r="AG8057" s="580">
        <f t="shared" si="664"/>
        <v>0</v>
      </c>
      <c r="AH8057" s="580">
        <f t="shared" si="665"/>
        <v>0</v>
      </c>
    </row>
    <row r="8058" spans="28:34">
      <c r="AB8058" s="580">
        <f>HLOOKUP("*"&amp;'Output annual'!$AC$2&amp;'Output annual'!$AD$2&amp;"*Zone People Number Of Occupants [](Hourly)",'Eplus results'!$1:$1048576,ROW(),FALSE)</f>
        <v>0</v>
      </c>
      <c r="AC8058" s="580">
        <f>HLOOKUP("*"&amp;'Output annual'!$AC$2&amp;'Output annual'!$AD$2&amp;"*FangerPMV(Hourly)",'Eplus results'!$1:$1048576,ROW(),FALSE)</f>
        <v>0</v>
      </c>
      <c r="AD8058" s="580">
        <f t="shared" si="661"/>
        <v>5</v>
      </c>
      <c r="AE8058" s="580">
        <f t="shared" si="662"/>
        <v>2.5</v>
      </c>
      <c r="AF8058" s="580">
        <f t="shared" si="663"/>
        <v>2.5</v>
      </c>
      <c r="AG8058" s="580">
        <f t="shared" si="664"/>
        <v>0</v>
      </c>
      <c r="AH8058" s="580">
        <f t="shared" si="665"/>
        <v>0</v>
      </c>
    </row>
    <row r="8059" spans="28:34">
      <c r="AB8059" s="580">
        <f>HLOOKUP("*"&amp;'Output annual'!$AC$2&amp;'Output annual'!$AD$2&amp;"*Zone People Number Of Occupants [](Hourly)",'Eplus results'!$1:$1048576,ROW(),FALSE)</f>
        <v>0</v>
      </c>
      <c r="AC8059" s="580">
        <f>HLOOKUP("*"&amp;'Output annual'!$AC$2&amp;'Output annual'!$AD$2&amp;"*FangerPMV(Hourly)",'Eplus results'!$1:$1048576,ROW(),FALSE)</f>
        <v>0</v>
      </c>
      <c r="AD8059" s="580">
        <f t="shared" si="661"/>
        <v>5</v>
      </c>
      <c r="AE8059" s="580">
        <f t="shared" si="662"/>
        <v>2.5</v>
      </c>
      <c r="AF8059" s="580">
        <f t="shared" si="663"/>
        <v>2.5</v>
      </c>
      <c r="AG8059" s="580">
        <f t="shared" si="664"/>
        <v>0</v>
      </c>
      <c r="AH8059" s="580">
        <f t="shared" si="665"/>
        <v>0</v>
      </c>
    </row>
    <row r="8060" spans="28:34">
      <c r="AB8060" s="580">
        <f>HLOOKUP("*"&amp;'Output annual'!$AC$2&amp;'Output annual'!$AD$2&amp;"*Zone People Number Of Occupants [](Hourly)",'Eplus results'!$1:$1048576,ROW(),FALSE)</f>
        <v>0</v>
      </c>
      <c r="AC8060" s="580">
        <f>HLOOKUP("*"&amp;'Output annual'!$AC$2&amp;'Output annual'!$AD$2&amp;"*FangerPMV(Hourly)",'Eplus results'!$1:$1048576,ROW(),FALSE)</f>
        <v>0</v>
      </c>
      <c r="AD8060" s="580">
        <f t="shared" si="661"/>
        <v>5</v>
      </c>
      <c r="AE8060" s="580">
        <f t="shared" si="662"/>
        <v>2.5</v>
      </c>
      <c r="AF8060" s="580">
        <f t="shared" si="663"/>
        <v>2.5</v>
      </c>
      <c r="AG8060" s="580">
        <f t="shared" si="664"/>
        <v>0</v>
      </c>
      <c r="AH8060" s="580">
        <f t="shared" si="665"/>
        <v>0</v>
      </c>
    </row>
    <row r="8061" spans="28:34">
      <c r="AB8061" s="580">
        <f>HLOOKUP("*"&amp;'Output annual'!$AC$2&amp;'Output annual'!$AD$2&amp;"*Zone People Number Of Occupants [](Hourly)",'Eplus results'!$1:$1048576,ROW(),FALSE)</f>
        <v>0</v>
      </c>
      <c r="AC8061" s="580">
        <f>HLOOKUP("*"&amp;'Output annual'!$AC$2&amp;'Output annual'!$AD$2&amp;"*FangerPMV(Hourly)",'Eplus results'!$1:$1048576,ROW(),FALSE)</f>
        <v>0</v>
      </c>
      <c r="AD8061" s="580">
        <f t="shared" si="661"/>
        <v>5</v>
      </c>
      <c r="AE8061" s="580">
        <f t="shared" si="662"/>
        <v>2.5</v>
      </c>
      <c r="AF8061" s="580">
        <f t="shared" si="663"/>
        <v>2.5</v>
      </c>
      <c r="AG8061" s="580">
        <f t="shared" si="664"/>
        <v>0</v>
      </c>
      <c r="AH8061" s="580">
        <f t="shared" si="665"/>
        <v>0</v>
      </c>
    </row>
    <row r="8062" spans="28:34">
      <c r="AB8062" s="580">
        <f>HLOOKUP("*"&amp;'Output annual'!$AC$2&amp;'Output annual'!$AD$2&amp;"*Zone People Number Of Occupants [](Hourly)",'Eplus results'!$1:$1048576,ROW(),FALSE)</f>
        <v>0</v>
      </c>
      <c r="AC8062" s="580">
        <f>HLOOKUP("*"&amp;'Output annual'!$AC$2&amp;'Output annual'!$AD$2&amp;"*FangerPMV(Hourly)",'Eplus results'!$1:$1048576,ROW(),FALSE)</f>
        <v>0</v>
      </c>
      <c r="AD8062" s="580">
        <f t="shared" si="661"/>
        <v>5</v>
      </c>
      <c r="AE8062" s="580">
        <f t="shared" si="662"/>
        <v>2.5</v>
      </c>
      <c r="AF8062" s="580">
        <f t="shared" si="663"/>
        <v>2.5</v>
      </c>
      <c r="AG8062" s="580">
        <f t="shared" si="664"/>
        <v>0</v>
      </c>
      <c r="AH8062" s="580">
        <f t="shared" si="665"/>
        <v>0</v>
      </c>
    </row>
    <row r="8063" spans="28:34">
      <c r="AB8063" s="580">
        <f>HLOOKUP("*"&amp;'Output annual'!$AC$2&amp;'Output annual'!$AD$2&amp;"*Zone People Number Of Occupants [](Hourly)",'Eplus results'!$1:$1048576,ROW(),FALSE)</f>
        <v>0</v>
      </c>
      <c r="AC8063" s="580">
        <f>HLOOKUP("*"&amp;'Output annual'!$AC$2&amp;'Output annual'!$AD$2&amp;"*FangerPMV(Hourly)",'Eplus results'!$1:$1048576,ROW(),FALSE)</f>
        <v>0</v>
      </c>
      <c r="AD8063" s="580">
        <f t="shared" si="661"/>
        <v>5</v>
      </c>
      <c r="AE8063" s="580">
        <f t="shared" si="662"/>
        <v>2.5</v>
      </c>
      <c r="AF8063" s="580">
        <f t="shared" si="663"/>
        <v>2.5</v>
      </c>
      <c r="AG8063" s="580">
        <f t="shared" si="664"/>
        <v>0</v>
      </c>
      <c r="AH8063" s="580">
        <f t="shared" si="665"/>
        <v>0</v>
      </c>
    </row>
    <row r="8064" spans="28:34">
      <c r="AB8064" s="580">
        <f>HLOOKUP("*"&amp;'Output annual'!$AC$2&amp;'Output annual'!$AD$2&amp;"*Zone People Number Of Occupants [](Hourly)",'Eplus results'!$1:$1048576,ROW(),FALSE)</f>
        <v>0</v>
      </c>
      <c r="AC8064" s="580">
        <f>HLOOKUP("*"&amp;'Output annual'!$AC$2&amp;'Output annual'!$AD$2&amp;"*FangerPMV(Hourly)",'Eplus results'!$1:$1048576,ROW(),FALSE)</f>
        <v>0</v>
      </c>
      <c r="AD8064" s="580">
        <f t="shared" si="661"/>
        <v>5</v>
      </c>
      <c r="AE8064" s="580">
        <f t="shared" si="662"/>
        <v>2.5</v>
      </c>
      <c r="AF8064" s="580">
        <f t="shared" si="663"/>
        <v>2.5</v>
      </c>
      <c r="AG8064" s="580">
        <f t="shared" si="664"/>
        <v>0</v>
      </c>
      <c r="AH8064" s="580">
        <f t="shared" si="665"/>
        <v>0</v>
      </c>
    </row>
    <row r="8065" spans="28:34">
      <c r="AB8065" s="580">
        <f>HLOOKUP("*"&amp;'Output annual'!$AC$2&amp;'Output annual'!$AD$2&amp;"*Zone People Number Of Occupants [](Hourly)",'Eplus results'!$1:$1048576,ROW(),FALSE)</f>
        <v>0</v>
      </c>
      <c r="AC8065" s="580">
        <f>HLOOKUP("*"&amp;'Output annual'!$AC$2&amp;'Output annual'!$AD$2&amp;"*FangerPMV(Hourly)",'Eplus results'!$1:$1048576,ROW(),FALSE)</f>
        <v>0</v>
      </c>
      <c r="AD8065" s="580">
        <f t="shared" si="661"/>
        <v>5</v>
      </c>
      <c r="AE8065" s="580">
        <f t="shared" si="662"/>
        <v>2.5</v>
      </c>
      <c r="AF8065" s="580">
        <f t="shared" si="663"/>
        <v>2.5</v>
      </c>
      <c r="AG8065" s="580">
        <f t="shared" si="664"/>
        <v>0</v>
      </c>
      <c r="AH8065" s="580">
        <f t="shared" si="665"/>
        <v>0</v>
      </c>
    </row>
    <row r="8066" spans="28:34">
      <c r="AB8066" s="580">
        <f>HLOOKUP("*"&amp;'Output annual'!$AC$2&amp;'Output annual'!$AD$2&amp;"*Zone People Number Of Occupants [](Hourly)",'Eplus results'!$1:$1048576,ROW(),FALSE)</f>
        <v>0</v>
      </c>
      <c r="AC8066" s="580">
        <f>HLOOKUP("*"&amp;'Output annual'!$AC$2&amp;'Output annual'!$AD$2&amp;"*FangerPMV(Hourly)",'Eplus results'!$1:$1048576,ROW(),FALSE)</f>
        <v>0</v>
      </c>
      <c r="AD8066" s="580">
        <f t="shared" si="661"/>
        <v>5</v>
      </c>
      <c r="AE8066" s="580">
        <f t="shared" si="662"/>
        <v>2.5</v>
      </c>
      <c r="AF8066" s="580">
        <f t="shared" si="663"/>
        <v>2.5</v>
      </c>
      <c r="AG8066" s="580">
        <f t="shared" si="664"/>
        <v>0</v>
      </c>
      <c r="AH8066" s="580">
        <f t="shared" si="665"/>
        <v>0</v>
      </c>
    </row>
    <row r="8067" spans="28:34">
      <c r="AB8067" s="580">
        <f>HLOOKUP("*"&amp;'Output annual'!$AC$2&amp;'Output annual'!$AD$2&amp;"*Zone People Number Of Occupants [](Hourly)",'Eplus results'!$1:$1048576,ROW(),FALSE)</f>
        <v>0</v>
      </c>
      <c r="AC8067" s="580">
        <f>HLOOKUP("*"&amp;'Output annual'!$AC$2&amp;'Output annual'!$AD$2&amp;"*FangerPMV(Hourly)",'Eplus results'!$1:$1048576,ROW(),FALSE)</f>
        <v>0</v>
      </c>
      <c r="AD8067" s="580">
        <f t="shared" ref="AD8067:AD8130" si="666">100-95*EXP(-0.03353*AC8067^4-0.2179*AC8067^2)</f>
        <v>5</v>
      </c>
      <c r="AE8067" s="580">
        <f t="shared" ref="AE8067:AE8130" si="667">AD8067*(1/(1+EXP(-6.3*$AC8067)))</f>
        <v>2.5</v>
      </c>
      <c r="AF8067" s="580">
        <f t="shared" ref="AF8067:AF8130" si="668">(AD8067-AE8067)</f>
        <v>2.5</v>
      </c>
      <c r="AG8067" s="580">
        <f t="shared" ref="AG8067:AG8130" si="669">AE8067*AB8067</f>
        <v>0</v>
      </c>
      <c r="AH8067" s="580">
        <f t="shared" ref="AH8067:AH8130" si="670">AF8067*AB8067</f>
        <v>0</v>
      </c>
    </row>
    <row r="8068" spans="28:34">
      <c r="AB8068" s="580">
        <f>HLOOKUP("*"&amp;'Output annual'!$AC$2&amp;'Output annual'!$AD$2&amp;"*Zone People Number Of Occupants [](Hourly)",'Eplus results'!$1:$1048576,ROW(),FALSE)</f>
        <v>0</v>
      </c>
      <c r="AC8068" s="580">
        <f>HLOOKUP("*"&amp;'Output annual'!$AC$2&amp;'Output annual'!$AD$2&amp;"*FangerPMV(Hourly)",'Eplus results'!$1:$1048576,ROW(),FALSE)</f>
        <v>0</v>
      </c>
      <c r="AD8068" s="580">
        <f t="shared" si="666"/>
        <v>5</v>
      </c>
      <c r="AE8068" s="580">
        <f t="shared" si="667"/>
        <v>2.5</v>
      </c>
      <c r="AF8068" s="580">
        <f t="shared" si="668"/>
        <v>2.5</v>
      </c>
      <c r="AG8068" s="580">
        <f t="shared" si="669"/>
        <v>0</v>
      </c>
      <c r="AH8068" s="580">
        <f t="shared" si="670"/>
        <v>0</v>
      </c>
    </row>
    <row r="8069" spans="28:34">
      <c r="AB8069" s="580">
        <f>HLOOKUP("*"&amp;'Output annual'!$AC$2&amp;'Output annual'!$AD$2&amp;"*Zone People Number Of Occupants [](Hourly)",'Eplus results'!$1:$1048576,ROW(),FALSE)</f>
        <v>0</v>
      </c>
      <c r="AC8069" s="580">
        <f>HLOOKUP("*"&amp;'Output annual'!$AC$2&amp;'Output annual'!$AD$2&amp;"*FangerPMV(Hourly)",'Eplus results'!$1:$1048576,ROW(),FALSE)</f>
        <v>0</v>
      </c>
      <c r="AD8069" s="580">
        <f t="shared" si="666"/>
        <v>5</v>
      </c>
      <c r="AE8069" s="580">
        <f t="shared" si="667"/>
        <v>2.5</v>
      </c>
      <c r="AF8069" s="580">
        <f t="shared" si="668"/>
        <v>2.5</v>
      </c>
      <c r="AG8069" s="580">
        <f t="shared" si="669"/>
        <v>0</v>
      </c>
      <c r="AH8069" s="580">
        <f t="shared" si="670"/>
        <v>0</v>
      </c>
    </row>
    <row r="8070" spans="28:34">
      <c r="AB8070" s="580">
        <f>HLOOKUP("*"&amp;'Output annual'!$AC$2&amp;'Output annual'!$AD$2&amp;"*Zone People Number Of Occupants [](Hourly)",'Eplus results'!$1:$1048576,ROW(),FALSE)</f>
        <v>0</v>
      </c>
      <c r="AC8070" s="580">
        <f>HLOOKUP("*"&amp;'Output annual'!$AC$2&amp;'Output annual'!$AD$2&amp;"*FangerPMV(Hourly)",'Eplus results'!$1:$1048576,ROW(),FALSE)</f>
        <v>0</v>
      </c>
      <c r="AD8070" s="580">
        <f t="shared" si="666"/>
        <v>5</v>
      </c>
      <c r="AE8070" s="580">
        <f t="shared" si="667"/>
        <v>2.5</v>
      </c>
      <c r="AF8070" s="580">
        <f t="shared" si="668"/>
        <v>2.5</v>
      </c>
      <c r="AG8070" s="580">
        <f t="shared" si="669"/>
        <v>0</v>
      </c>
      <c r="AH8070" s="580">
        <f t="shared" si="670"/>
        <v>0</v>
      </c>
    </row>
    <row r="8071" spans="28:34">
      <c r="AB8071" s="580">
        <f>HLOOKUP("*"&amp;'Output annual'!$AC$2&amp;'Output annual'!$AD$2&amp;"*Zone People Number Of Occupants [](Hourly)",'Eplus results'!$1:$1048576,ROW(),FALSE)</f>
        <v>0</v>
      </c>
      <c r="AC8071" s="580">
        <f>HLOOKUP("*"&amp;'Output annual'!$AC$2&amp;'Output annual'!$AD$2&amp;"*FangerPMV(Hourly)",'Eplus results'!$1:$1048576,ROW(),FALSE)</f>
        <v>0</v>
      </c>
      <c r="AD8071" s="580">
        <f t="shared" si="666"/>
        <v>5</v>
      </c>
      <c r="AE8071" s="580">
        <f t="shared" si="667"/>
        <v>2.5</v>
      </c>
      <c r="AF8071" s="580">
        <f t="shared" si="668"/>
        <v>2.5</v>
      </c>
      <c r="AG8071" s="580">
        <f t="shared" si="669"/>
        <v>0</v>
      </c>
      <c r="AH8071" s="580">
        <f t="shared" si="670"/>
        <v>0</v>
      </c>
    </row>
    <row r="8072" spans="28:34">
      <c r="AB8072" s="580">
        <f>HLOOKUP("*"&amp;'Output annual'!$AC$2&amp;'Output annual'!$AD$2&amp;"*Zone People Number Of Occupants [](Hourly)",'Eplus results'!$1:$1048576,ROW(),FALSE)</f>
        <v>0</v>
      </c>
      <c r="AC8072" s="580">
        <f>HLOOKUP("*"&amp;'Output annual'!$AC$2&amp;'Output annual'!$AD$2&amp;"*FangerPMV(Hourly)",'Eplus results'!$1:$1048576,ROW(),FALSE)</f>
        <v>0</v>
      </c>
      <c r="AD8072" s="580">
        <f t="shared" si="666"/>
        <v>5</v>
      </c>
      <c r="AE8072" s="580">
        <f t="shared" si="667"/>
        <v>2.5</v>
      </c>
      <c r="AF8072" s="580">
        <f t="shared" si="668"/>
        <v>2.5</v>
      </c>
      <c r="AG8072" s="580">
        <f t="shared" si="669"/>
        <v>0</v>
      </c>
      <c r="AH8072" s="580">
        <f t="shared" si="670"/>
        <v>0</v>
      </c>
    </row>
    <row r="8073" spans="28:34">
      <c r="AB8073" s="580">
        <f>HLOOKUP("*"&amp;'Output annual'!$AC$2&amp;'Output annual'!$AD$2&amp;"*Zone People Number Of Occupants [](Hourly)",'Eplus results'!$1:$1048576,ROW(),FALSE)</f>
        <v>0</v>
      </c>
      <c r="AC8073" s="580">
        <f>HLOOKUP("*"&amp;'Output annual'!$AC$2&amp;'Output annual'!$AD$2&amp;"*FangerPMV(Hourly)",'Eplus results'!$1:$1048576,ROW(),FALSE)</f>
        <v>0</v>
      </c>
      <c r="AD8073" s="580">
        <f t="shared" si="666"/>
        <v>5</v>
      </c>
      <c r="AE8073" s="580">
        <f t="shared" si="667"/>
        <v>2.5</v>
      </c>
      <c r="AF8073" s="580">
        <f t="shared" si="668"/>
        <v>2.5</v>
      </c>
      <c r="AG8073" s="580">
        <f t="shared" si="669"/>
        <v>0</v>
      </c>
      <c r="AH8073" s="580">
        <f t="shared" si="670"/>
        <v>0</v>
      </c>
    </row>
    <row r="8074" spans="28:34">
      <c r="AB8074" s="580">
        <f>HLOOKUP("*"&amp;'Output annual'!$AC$2&amp;'Output annual'!$AD$2&amp;"*Zone People Number Of Occupants [](Hourly)",'Eplus results'!$1:$1048576,ROW(),FALSE)</f>
        <v>0</v>
      </c>
      <c r="AC8074" s="580">
        <f>HLOOKUP("*"&amp;'Output annual'!$AC$2&amp;'Output annual'!$AD$2&amp;"*FangerPMV(Hourly)",'Eplus results'!$1:$1048576,ROW(),FALSE)</f>
        <v>0</v>
      </c>
      <c r="AD8074" s="580">
        <f t="shared" si="666"/>
        <v>5</v>
      </c>
      <c r="AE8074" s="580">
        <f t="shared" si="667"/>
        <v>2.5</v>
      </c>
      <c r="AF8074" s="580">
        <f t="shared" si="668"/>
        <v>2.5</v>
      </c>
      <c r="AG8074" s="580">
        <f t="shared" si="669"/>
        <v>0</v>
      </c>
      <c r="AH8074" s="580">
        <f t="shared" si="670"/>
        <v>0</v>
      </c>
    </row>
    <row r="8075" spans="28:34">
      <c r="AB8075" s="580">
        <f>HLOOKUP("*"&amp;'Output annual'!$AC$2&amp;'Output annual'!$AD$2&amp;"*Zone People Number Of Occupants [](Hourly)",'Eplus results'!$1:$1048576,ROW(),FALSE)</f>
        <v>0</v>
      </c>
      <c r="AC8075" s="580">
        <f>HLOOKUP("*"&amp;'Output annual'!$AC$2&amp;'Output annual'!$AD$2&amp;"*FangerPMV(Hourly)",'Eplus results'!$1:$1048576,ROW(),FALSE)</f>
        <v>0</v>
      </c>
      <c r="AD8075" s="580">
        <f t="shared" si="666"/>
        <v>5</v>
      </c>
      <c r="AE8075" s="580">
        <f t="shared" si="667"/>
        <v>2.5</v>
      </c>
      <c r="AF8075" s="580">
        <f t="shared" si="668"/>
        <v>2.5</v>
      </c>
      <c r="AG8075" s="580">
        <f t="shared" si="669"/>
        <v>0</v>
      </c>
      <c r="AH8075" s="580">
        <f t="shared" si="670"/>
        <v>0</v>
      </c>
    </row>
    <row r="8076" spans="28:34">
      <c r="AB8076" s="580">
        <f>HLOOKUP("*"&amp;'Output annual'!$AC$2&amp;'Output annual'!$AD$2&amp;"*Zone People Number Of Occupants [](Hourly)",'Eplus results'!$1:$1048576,ROW(),FALSE)</f>
        <v>0</v>
      </c>
      <c r="AC8076" s="580">
        <f>HLOOKUP("*"&amp;'Output annual'!$AC$2&amp;'Output annual'!$AD$2&amp;"*FangerPMV(Hourly)",'Eplus results'!$1:$1048576,ROW(),FALSE)</f>
        <v>0</v>
      </c>
      <c r="AD8076" s="580">
        <f t="shared" si="666"/>
        <v>5</v>
      </c>
      <c r="AE8076" s="580">
        <f t="shared" si="667"/>
        <v>2.5</v>
      </c>
      <c r="AF8076" s="580">
        <f t="shared" si="668"/>
        <v>2.5</v>
      </c>
      <c r="AG8076" s="580">
        <f t="shared" si="669"/>
        <v>0</v>
      </c>
      <c r="AH8076" s="580">
        <f t="shared" si="670"/>
        <v>0</v>
      </c>
    </row>
    <row r="8077" spans="28:34">
      <c r="AB8077" s="580">
        <f>HLOOKUP("*"&amp;'Output annual'!$AC$2&amp;'Output annual'!$AD$2&amp;"*Zone People Number Of Occupants [](Hourly)",'Eplus results'!$1:$1048576,ROW(),FALSE)</f>
        <v>0</v>
      </c>
      <c r="AC8077" s="580">
        <f>HLOOKUP("*"&amp;'Output annual'!$AC$2&amp;'Output annual'!$AD$2&amp;"*FangerPMV(Hourly)",'Eplus results'!$1:$1048576,ROW(),FALSE)</f>
        <v>0</v>
      </c>
      <c r="AD8077" s="580">
        <f t="shared" si="666"/>
        <v>5</v>
      </c>
      <c r="AE8077" s="580">
        <f t="shared" si="667"/>
        <v>2.5</v>
      </c>
      <c r="AF8077" s="580">
        <f t="shared" si="668"/>
        <v>2.5</v>
      </c>
      <c r="AG8077" s="580">
        <f t="shared" si="669"/>
        <v>0</v>
      </c>
      <c r="AH8077" s="580">
        <f t="shared" si="670"/>
        <v>0</v>
      </c>
    </row>
    <row r="8078" spans="28:34">
      <c r="AB8078" s="580">
        <f>HLOOKUP("*"&amp;'Output annual'!$AC$2&amp;'Output annual'!$AD$2&amp;"*Zone People Number Of Occupants [](Hourly)",'Eplus results'!$1:$1048576,ROW(),FALSE)</f>
        <v>0</v>
      </c>
      <c r="AC8078" s="580">
        <f>HLOOKUP("*"&amp;'Output annual'!$AC$2&amp;'Output annual'!$AD$2&amp;"*FangerPMV(Hourly)",'Eplus results'!$1:$1048576,ROW(),FALSE)</f>
        <v>0</v>
      </c>
      <c r="AD8078" s="580">
        <f t="shared" si="666"/>
        <v>5</v>
      </c>
      <c r="AE8078" s="580">
        <f t="shared" si="667"/>
        <v>2.5</v>
      </c>
      <c r="AF8078" s="580">
        <f t="shared" si="668"/>
        <v>2.5</v>
      </c>
      <c r="AG8078" s="580">
        <f t="shared" si="669"/>
        <v>0</v>
      </c>
      <c r="AH8078" s="580">
        <f t="shared" si="670"/>
        <v>0</v>
      </c>
    </row>
    <row r="8079" spans="28:34">
      <c r="AB8079" s="580">
        <f>HLOOKUP("*"&amp;'Output annual'!$AC$2&amp;'Output annual'!$AD$2&amp;"*Zone People Number Of Occupants [](Hourly)",'Eplus results'!$1:$1048576,ROW(),FALSE)</f>
        <v>0</v>
      </c>
      <c r="AC8079" s="580">
        <f>HLOOKUP("*"&amp;'Output annual'!$AC$2&amp;'Output annual'!$AD$2&amp;"*FangerPMV(Hourly)",'Eplus results'!$1:$1048576,ROW(),FALSE)</f>
        <v>0</v>
      </c>
      <c r="AD8079" s="580">
        <f t="shared" si="666"/>
        <v>5</v>
      </c>
      <c r="AE8079" s="580">
        <f t="shared" si="667"/>
        <v>2.5</v>
      </c>
      <c r="AF8079" s="580">
        <f t="shared" si="668"/>
        <v>2.5</v>
      </c>
      <c r="AG8079" s="580">
        <f t="shared" si="669"/>
        <v>0</v>
      </c>
      <c r="AH8079" s="580">
        <f t="shared" si="670"/>
        <v>0</v>
      </c>
    </row>
    <row r="8080" spans="28:34">
      <c r="AB8080" s="580">
        <f>HLOOKUP("*"&amp;'Output annual'!$AC$2&amp;'Output annual'!$AD$2&amp;"*Zone People Number Of Occupants [](Hourly)",'Eplus results'!$1:$1048576,ROW(),FALSE)</f>
        <v>0</v>
      </c>
      <c r="AC8080" s="580">
        <f>HLOOKUP("*"&amp;'Output annual'!$AC$2&amp;'Output annual'!$AD$2&amp;"*FangerPMV(Hourly)",'Eplus results'!$1:$1048576,ROW(),FALSE)</f>
        <v>0</v>
      </c>
      <c r="AD8080" s="580">
        <f t="shared" si="666"/>
        <v>5</v>
      </c>
      <c r="AE8080" s="580">
        <f t="shared" si="667"/>
        <v>2.5</v>
      </c>
      <c r="AF8080" s="580">
        <f t="shared" si="668"/>
        <v>2.5</v>
      </c>
      <c r="AG8080" s="580">
        <f t="shared" si="669"/>
        <v>0</v>
      </c>
      <c r="AH8080" s="580">
        <f t="shared" si="670"/>
        <v>0</v>
      </c>
    </row>
    <row r="8081" spans="28:34">
      <c r="AB8081" s="580">
        <f>HLOOKUP("*"&amp;'Output annual'!$AC$2&amp;'Output annual'!$AD$2&amp;"*Zone People Number Of Occupants [](Hourly)",'Eplus results'!$1:$1048576,ROW(),FALSE)</f>
        <v>0</v>
      </c>
      <c r="AC8081" s="580">
        <f>HLOOKUP("*"&amp;'Output annual'!$AC$2&amp;'Output annual'!$AD$2&amp;"*FangerPMV(Hourly)",'Eplus results'!$1:$1048576,ROW(),FALSE)</f>
        <v>0</v>
      </c>
      <c r="AD8081" s="580">
        <f t="shared" si="666"/>
        <v>5</v>
      </c>
      <c r="AE8081" s="580">
        <f t="shared" si="667"/>
        <v>2.5</v>
      </c>
      <c r="AF8081" s="580">
        <f t="shared" si="668"/>
        <v>2.5</v>
      </c>
      <c r="AG8081" s="580">
        <f t="shared" si="669"/>
        <v>0</v>
      </c>
      <c r="AH8081" s="580">
        <f t="shared" si="670"/>
        <v>0</v>
      </c>
    </row>
    <row r="8082" spans="28:34">
      <c r="AB8082" s="580">
        <f>HLOOKUP("*"&amp;'Output annual'!$AC$2&amp;'Output annual'!$AD$2&amp;"*Zone People Number Of Occupants [](Hourly)",'Eplus results'!$1:$1048576,ROW(),FALSE)</f>
        <v>0</v>
      </c>
      <c r="AC8082" s="580">
        <f>HLOOKUP("*"&amp;'Output annual'!$AC$2&amp;'Output annual'!$AD$2&amp;"*FangerPMV(Hourly)",'Eplus results'!$1:$1048576,ROW(),FALSE)</f>
        <v>0</v>
      </c>
      <c r="AD8082" s="580">
        <f t="shared" si="666"/>
        <v>5</v>
      </c>
      <c r="AE8082" s="580">
        <f t="shared" si="667"/>
        <v>2.5</v>
      </c>
      <c r="AF8082" s="580">
        <f t="shared" si="668"/>
        <v>2.5</v>
      </c>
      <c r="AG8082" s="580">
        <f t="shared" si="669"/>
        <v>0</v>
      </c>
      <c r="AH8082" s="580">
        <f t="shared" si="670"/>
        <v>0</v>
      </c>
    </row>
    <row r="8083" spans="28:34">
      <c r="AB8083" s="580">
        <f>HLOOKUP("*"&amp;'Output annual'!$AC$2&amp;'Output annual'!$AD$2&amp;"*Zone People Number Of Occupants [](Hourly)",'Eplus results'!$1:$1048576,ROW(),FALSE)</f>
        <v>0</v>
      </c>
      <c r="AC8083" s="580">
        <f>HLOOKUP("*"&amp;'Output annual'!$AC$2&amp;'Output annual'!$AD$2&amp;"*FangerPMV(Hourly)",'Eplus results'!$1:$1048576,ROW(),FALSE)</f>
        <v>0</v>
      </c>
      <c r="AD8083" s="580">
        <f t="shared" si="666"/>
        <v>5</v>
      </c>
      <c r="AE8083" s="580">
        <f t="shared" si="667"/>
        <v>2.5</v>
      </c>
      <c r="AF8083" s="580">
        <f t="shared" si="668"/>
        <v>2.5</v>
      </c>
      <c r="AG8083" s="580">
        <f t="shared" si="669"/>
        <v>0</v>
      </c>
      <c r="AH8083" s="580">
        <f t="shared" si="670"/>
        <v>0</v>
      </c>
    </row>
    <row r="8084" spans="28:34">
      <c r="AB8084" s="580">
        <f>HLOOKUP("*"&amp;'Output annual'!$AC$2&amp;'Output annual'!$AD$2&amp;"*Zone People Number Of Occupants [](Hourly)",'Eplus results'!$1:$1048576,ROW(),FALSE)</f>
        <v>0</v>
      </c>
      <c r="AC8084" s="580">
        <f>HLOOKUP("*"&amp;'Output annual'!$AC$2&amp;'Output annual'!$AD$2&amp;"*FangerPMV(Hourly)",'Eplus results'!$1:$1048576,ROW(),FALSE)</f>
        <v>0</v>
      </c>
      <c r="AD8084" s="580">
        <f t="shared" si="666"/>
        <v>5</v>
      </c>
      <c r="AE8084" s="580">
        <f t="shared" si="667"/>
        <v>2.5</v>
      </c>
      <c r="AF8084" s="580">
        <f t="shared" si="668"/>
        <v>2.5</v>
      </c>
      <c r="AG8084" s="580">
        <f t="shared" si="669"/>
        <v>0</v>
      </c>
      <c r="AH8084" s="580">
        <f t="shared" si="670"/>
        <v>0</v>
      </c>
    </row>
    <row r="8085" spans="28:34">
      <c r="AB8085" s="580">
        <f>HLOOKUP("*"&amp;'Output annual'!$AC$2&amp;'Output annual'!$AD$2&amp;"*Zone People Number Of Occupants [](Hourly)",'Eplus results'!$1:$1048576,ROW(),FALSE)</f>
        <v>0</v>
      </c>
      <c r="AC8085" s="580">
        <f>HLOOKUP("*"&amp;'Output annual'!$AC$2&amp;'Output annual'!$AD$2&amp;"*FangerPMV(Hourly)",'Eplus results'!$1:$1048576,ROW(),FALSE)</f>
        <v>0</v>
      </c>
      <c r="AD8085" s="580">
        <f t="shared" si="666"/>
        <v>5</v>
      </c>
      <c r="AE8085" s="580">
        <f t="shared" si="667"/>
        <v>2.5</v>
      </c>
      <c r="AF8085" s="580">
        <f t="shared" si="668"/>
        <v>2.5</v>
      </c>
      <c r="AG8085" s="580">
        <f t="shared" si="669"/>
        <v>0</v>
      </c>
      <c r="AH8085" s="580">
        <f t="shared" si="670"/>
        <v>0</v>
      </c>
    </row>
    <row r="8086" spans="28:34">
      <c r="AB8086" s="580">
        <f>HLOOKUP("*"&amp;'Output annual'!$AC$2&amp;'Output annual'!$AD$2&amp;"*Zone People Number Of Occupants [](Hourly)",'Eplus results'!$1:$1048576,ROW(),FALSE)</f>
        <v>0</v>
      </c>
      <c r="AC8086" s="580">
        <f>HLOOKUP("*"&amp;'Output annual'!$AC$2&amp;'Output annual'!$AD$2&amp;"*FangerPMV(Hourly)",'Eplus results'!$1:$1048576,ROW(),FALSE)</f>
        <v>0</v>
      </c>
      <c r="AD8086" s="580">
        <f t="shared" si="666"/>
        <v>5</v>
      </c>
      <c r="AE8086" s="580">
        <f t="shared" si="667"/>
        <v>2.5</v>
      </c>
      <c r="AF8086" s="580">
        <f t="shared" si="668"/>
        <v>2.5</v>
      </c>
      <c r="AG8086" s="580">
        <f t="shared" si="669"/>
        <v>0</v>
      </c>
      <c r="AH8086" s="580">
        <f t="shared" si="670"/>
        <v>0</v>
      </c>
    </row>
    <row r="8087" spans="28:34">
      <c r="AB8087" s="580">
        <f>HLOOKUP("*"&amp;'Output annual'!$AC$2&amp;'Output annual'!$AD$2&amp;"*Zone People Number Of Occupants [](Hourly)",'Eplus results'!$1:$1048576,ROW(),FALSE)</f>
        <v>0</v>
      </c>
      <c r="AC8087" s="580">
        <f>HLOOKUP("*"&amp;'Output annual'!$AC$2&amp;'Output annual'!$AD$2&amp;"*FangerPMV(Hourly)",'Eplus results'!$1:$1048576,ROW(),FALSE)</f>
        <v>0</v>
      </c>
      <c r="AD8087" s="580">
        <f t="shared" si="666"/>
        <v>5</v>
      </c>
      <c r="AE8087" s="580">
        <f t="shared" si="667"/>
        <v>2.5</v>
      </c>
      <c r="AF8087" s="580">
        <f t="shared" si="668"/>
        <v>2.5</v>
      </c>
      <c r="AG8087" s="580">
        <f t="shared" si="669"/>
        <v>0</v>
      </c>
      <c r="AH8087" s="580">
        <f t="shared" si="670"/>
        <v>0</v>
      </c>
    </row>
    <row r="8088" spans="28:34">
      <c r="AB8088" s="580">
        <f>HLOOKUP("*"&amp;'Output annual'!$AC$2&amp;'Output annual'!$AD$2&amp;"*Zone People Number Of Occupants [](Hourly)",'Eplus results'!$1:$1048576,ROW(),FALSE)</f>
        <v>0</v>
      </c>
      <c r="AC8088" s="580">
        <f>HLOOKUP("*"&amp;'Output annual'!$AC$2&amp;'Output annual'!$AD$2&amp;"*FangerPMV(Hourly)",'Eplus results'!$1:$1048576,ROW(),FALSE)</f>
        <v>0</v>
      </c>
      <c r="AD8088" s="580">
        <f t="shared" si="666"/>
        <v>5</v>
      </c>
      <c r="AE8088" s="580">
        <f t="shared" si="667"/>
        <v>2.5</v>
      </c>
      <c r="AF8088" s="580">
        <f t="shared" si="668"/>
        <v>2.5</v>
      </c>
      <c r="AG8088" s="580">
        <f t="shared" si="669"/>
        <v>0</v>
      </c>
      <c r="AH8088" s="580">
        <f t="shared" si="670"/>
        <v>0</v>
      </c>
    </row>
    <row r="8089" spans="28:34">
      <c r="AB8089" s="580">
        <f>HLOOKUP("*"&amp;'Output annual'!$AC$2&amp;'Output annual'!$AD$2&amp;"*Zone People Number Of Occupants [](Hourly)",'Eplus results'!$1:$1048576,ROW(),FALSE)</f>
        <v>0</v>
      </c>
      <c r="AC8089" s="580">
        <f>HLOOKUP("*"&amp;'Output annual'!$AC$2&amp;'Output annual'!$AD$2&amp;"*FangerPMV(Hourly)",'Eplus results'!$1:$1048576,ROW(),FALSE)</f>
        <v>0</v>
      </c>
      <c r="AD8089" s="580">
        <f t="shared" si="666"/>
        <v>5</v>
      </c>
      <c r="AE8089" s="580">
        <f t="shared" si="667"/>
        <v>2.5</v>
      </c>
      <c r="AF8089" s="580">
        <f t="shared" si="668"/>
        <v>2.5</v>
      </c>
      <c r="AG8089" s="580">
        <f t="shared" si="669"/>
        <v>0</v>
      </c>
      <c r="AH8089" s="580">
        <f t="shared" si="670"/>
        <v>0</v>
      </c>
    </row>
    <row r="8090" spans="28:34">
      <c r="AB8090" s="580">
        <f>HLOOKUP("*"&amp;'Output annual'!$AC$2&amp;'Output annual'!$AD$2&amp;"*Zone People Number Of Occupants [](Hourly)",'Eplus results'!$1:$1048576,ROW(),FALSE)</f>
        <v>0</v>
      </c>
      <c r="AC8090" s="580">
        <f>HLOOKUP("*"&amp;'Output annual'!$AC$2&amp;'Output annual'!$AD$2&amp;"*FangerPMV(Hourly)",'Eplus results'!$1:$1048576,ROW(),FALSE)</f>
        <v>0</v>
      </c>
      <c r="AD8090" s="580">
        <f t="shared" si="666"/>
        <v>5</v>
      </c>
      <c r="AE8090" s="580">
        <f t="shared" si="667"/>
        <v>2.5</v>
      </c>
      <c r="AF8090" s="580">
        <f t="shared" si="668"/>
        <v>2.5</v>
      </c>
      <c r="AG8090" s="580">
        <f t="shared" si="669"/>
        <v>0</v>
      </c>
      <c r="AH8090" s="580">
        <f t="shared" si="670"/>
        <v>0</v>
      </c>
    </row>
    <row r="8091" spans="28:34">
      <c r="AB8091" s="580">
        <f>HLOOKUP("*"&amp;'Output annual'!$AC$2&amp;'Output annual'!$AD$2&amp;"*Zone People Number Of Occupants [](Hourly)",'Eplus results'!$1:$1048576,ROW(),FALSE)</f>
        <v>0</v>
      </c>
      <c r="AC8091" s="580">
        <f>HLOOKUP("*"&amp;'Output annual'!$AC$2&amp;'Output annual'!$AD$2&amp;"*FangerPMV(Hourly)",'Eplus results'!$1:$1048576,ROW(),FALSE)</f>
        <v>0</v>
      </c>
      <c r="AD8091" s="580">
        <f t="shared" si="666"/>
        <v>5</v>
      </c>
      <c r="AE8091" s="580">
        <f t="shared" si="667"/>
        <v>2.5</v>
      </c>
      <c r="AF8091" s="580">
        <f t="shared" si="668"/>
        <v>2.5</v>
      </c>
      <c r="AG8091" s="580">
        <f t="shared" si="669"/>
        <v>0</v>
      </c>
      <c r="AH8091" s="580">
        <f t="shared" si="670"/>
        <v>0</v>
      </c>
    </row>
    <row r="8092" spans="28:34">
      <c r="AB8092" s="580">
        <f>HLOOKUP("*"&amp;'Output annual'!$AC$2&amp;'Output annual'!$AD$2&amp;"*Zone People Number Of Occupants [](Hourly)",'Eplus results'!$1:$1048576,ROW(),FALSE)</f>
        <v>0</v>
      </c>
      <c r="AC8092" s="580">
        <f>HLOOKUP("*"&amp;'Output annual'!$AC$2&amp;'Output annual'!$AD$2&amp;"*FangerPMV(Hourly)",'Eplus results'!$1:$1048576,ROW(),FALSE)</f>
        <v>0</v>
      </c>
      <c r="AD8092" s="580">
        <f t="shared" si="666"/>
        <v>5</v>
      </c>
      <c r="AE8092" s="580">
        <f t="shared" si="667"/>
        <v>2.5</v>
      </c>
      <c r="AF8092" s="580">
        <f t="shared" si="668"/>
        <v>2.5</v>
      </c>
      <c r="AG8092" s="580">
        <f t="shared" si="669"/>
        <v>0</v>
      </c>
      <c r="AH8092" s="580">
        <f t="shared" si="670"/>
        <v>0</v>
      </c>
    </row>
    <row r="8093" spans="28:34">
      <c r="AB8093" s="580">
        <f>HLOOKUP("*"&amp;'Output annual'!$AC$2&amp;'Output annual'!$AD$2&amp;"*Zone People Number Of Occupants [](Hourly)",'Eplus results'!$1:$1048576,ROW(),FALSE)</f>
        <v>0</v>
      </c>
      <c r="AC8093" s="580">
        <f>HLOOKUP("*"&amp;'Output annual'!$AC$2&amp;'Output annual'!$AD$2&amp;"*FangerPMV(Hourly)",'Eplus results'!$1:$1048576,ROW(),FALSE)</f>
        <v>0</v>
      </c>
      <c r="AD8093" s="580">
        <f t="shared" si="666"/>
        <v>5</v>
      </c>
      <c r="AE8093" s="580">
        <f t="shared" si="667"/>
        <v>2.5</v>
      </c>
      <c r="AF8093" s="580">
        <f t="shared" si="668"/>
        <v>2.5</v>
      </c>
      <c r="AG8093" s="580">
        <f t="shared" si="669"/>
        <v>0</v>
      </c>
      <c r="AH8093" s="580">
        <f t="shared" si="670"/>
        <v>0</v>
      </c>
    </row>
    <row r="8094" spans="28:34">
      <c r="AB8094" s="580">
        <f>HLOOKUP("*"&amp;'Output annual'!$AC$2&amp;'Output annual'!$AD$2&amp;"*Zone People Number Of Occupants [](Hourly)",'Eplus results'!$1:$1048576,ROW(),FALSE)</f>
        <v>0</v>
      </c>
      <c r="AC8094" s="580">
        <f>HLOOKUP("*"&amp;'Output annual'!$AC$2&amp;'Output annual'!$AD$2&amp;"*FangerPMV(Hourly)",'Eplus results'!$1:$1048576,ROW(),FALSE)</f>
        <v>0</v>
      </c>
      <c r="AD8094" s="580">
        <f t="shared" si="666"/>
        <v>5</v>
      </c>
      <c r="AE8094" s="580">
        <f t="shared" si="667"/>
        <v>2.5</v>
      </c>
      <c r="AF8094" s="580">
        <f t="shared" si="668"/>
        <v>2.5</v>
      </c>
      <c r="AG8094" s="580">
        <f t="shared" si="669"/>
        <v>0</v>
      </c>
      <c r="AH8094" s="580">
        <f t="shared" si="670"/>
        <v>0</v>
      </c>
    </row>
    <row r="8095" spans="28:34">
      <c r="AB8095" s="580">
        <f>HLOOKUP("*"&amp;'Output annual'!$AC$2&amp;'Output annual'!$AD$2&amp;"*Zone People Number Of Occupants [](Hourly)",'Eplus results'!$1:$1048576,ROW(),FALSE)</f>
        <v>0</v>
      </c>
      <c r="AC8095" s="580">
        <f>HLOOKUP("*"&amp;'Output annual'!$AC$2&amp;'Output annual'!$AD$2&amp;"*FangerPMV(Hourly)",'Eplus results'!$1:$1048576,ROW(),FALSE)</f>
        <v>0</v>
      </c>
      <c r="AD8095" s="580">
        <f t="shared" si="666"/>
        <v>5</v>
      </c>
      <c r="AE8095" s="580">
        <f t="shared" si="667"/>
        <v>2.5</v>
      </c>
      <c r="AF8095" s="580">
        <f t="shared" si="668"/>
        <v>2.5</v>
      </c>
      <c r="AG8095" s="580">
        <f t="shared" si="669"/>
        <v>0</v>
      </c>
      <c r="AH8095" s="580">
        <f t="shared" si="670"/>
        <v>0</v>
      </c>
    </row>
    <row r="8096" spans="28:34">
      <c r="AB8096" s="580">
        <f>HLOOKUP("*"&amp;'Output annual'!$AC$2&amp;'Output annual'!$AD$2&amp;"*Zone People Number Of Occupants [](Hourly)",'Eplus results'!$1:$1048576,ROW(),FALSE)</f>
        <v>0</v>
      </c>
      <c r="AC8096" s="580">
        <f>HLOOKUP("*"&amp;'Output annual'!$AC$2&amp;'Output annual'!$AD$2&amp;"*FangerPMV(Hourly)",'Eplus results'!$1:$1048576,ROW(),FALSE)</f>
        <v>0</v>
      </c>
      <c r="AD8096" s="580">
        <f t="shared" si="666"/>
        <v>5</v>
      </c>
      <c r="AE8096" s="580">
        <f t="shared" si="667"/>
        <v>2.5</v>
      </c>
      <c r="AF8096" s="580">
        <f t="shared" si="668"/>
        <v>2.5</v>
      </c>
      <c r="AG8096" s="580">
        <f t="shared" si="669"/>
        <v>0</v>
      </c>
      <c r="AH8096" s="580">
        <f t="shared" si="670"/>
        <v>0</v>
      </c>
    </row>
    <row r="8097" spans="28:34">
      <c r="AB8097" s="580">
        <f>HLOOKUP("*"&amp;'Output annual'!$AC$2&amp;'Output annual'!$AD$2&amp;"*Zone People Number Of Occupants [](Hourly)",'Eplus results'!$1:$1048576,ROW(),FALSE)</f>
        <v>0</v>
      </c>
      <c r="AC8097" s="580">
        <f>HLOOKUP("*"&amp;'Output annual'!$AC$2&amp;'Output annual'!$AD$2&amp;"*FangerPMV(Hourly)",'Eplus results'!$1:$1048576,ROW(),FALSE)</f>
        <v>0</v>
      </c>
      <c r="AD8097" s="580">
        <f t="shared" si="666"/>
        <v>5</v>
      </c>
      <c r="AE8097" s="580">
        <f t="shared" si="667"/>
        <v>2.5</v>
      </c>
      <c r="AF8097" s="580">
        <f t="shared" si="668"/>
        <v>2.5</v>
      </c>
      <c r="AG8097" s="580">
        <f t="shared" si="669"/>
        <v>0</v>
      </c>
      <c r="AH8097" s="580">
        <f t="shared" si="670"/>
        <v>0</v>
      </c>
    </row>
    <row r="8098" spans="28:34">
      <c r="AB8098" s="580">
        <f>HLOOKUP("*"&amp;'Output annual'!$AC$2&amp;'Output annual'!$AD$2&amp;"*Zone People Number Of Occupants [](Hourly)",'Eplus results'!$1:$1048576,ROW(),FALSE)</f>
        <v>0</v>
      </c>
      <c r="AC8098" s="580">
        <f>HLOOKUP("*"&amp;'Output annual'!$AC$2&amp;'Output annual'!$AD$2&amp;"*FangerPMV(Hourly)",'Eplus results'!$1:$1048576,ROW(),FALSE)</f>
        <v>0</v>
      </c>
      <c r="AD8098" s="580">
        <f t="shared" si="666"/>
        <v>5</v>
      </c>
      <c r="AE8098" s="580">
        <f t="shared" si="667"/>
        <v>2.5</v>
      </c>
      <c r="AF8098" s="580">
        <f t="shared" si="668"/>
        <v>2.5</v>
      </c>
      <c r="AG8098" s="580">
        <f t="shared" si="669"/>
        <v>0</v>
      </c>
      <c r="AH8098" s="580">
        <f t="shared" si="670"/>
        <v>0</v>
      </c>
    </row>
    <row r="8099" spans="28:34">
      <c r="AB8099" s="580">
        <f>HLOOKUP("*"&amp;'Output annual'!$AC$2&amp;'Output annual'!$AD$2&amp;"*Zone People Number Of Occupants [](Hourly)",'Eplus results'!$1:$1048576,ROW(),FALSE)</f>
        <v>0</v>
      </c>
      <c r="AC8099" s="580">
        <f>HLOOKUP("*"&amp;'Output annual'!$AC$2&amp;'Output annual'!$AD$2&amp;"*FangerPMV(Hourly)",'Eplus results'!$1:$1048576,ROW(),FALSE)</f>
        <v>0</v>
      </c>
      <c r="AD8099" s="580">
        <f t="shared" si="666"/>
        <v>5</v>
      </c>
      <c r="AE8099" s="580">
        <f t="shared" si="667"/>
        <v>2.5</v>
      </c>
      <c r="AF8099" s="580">
        <f t="shared" si="668"/>
        <v>2.5</v>
      </c>
      <c r="AG8099" s="580">
        <f t="shared" si="669"/>
        <v>0</v>
      </c>
      <c r="AH8099" s="580">
        <f t="shared" si="670"/>
        <v>0</v>
      </c>
    </row>
    <row r="8100" spans="28:34">
      <c r="AB8100" s="580">
        <f>HLOOKUP("*"&amp;'Output annual'!$AC$2&amp;'Output annual'!$AD$2&amp;"*Zone People Number Of Occupants [](Hourly)",'Eplus results'!$1:$1048576,ROW(),FALSE)</f>
        <v>0</v>
      </c>
      <c r="AC8100" s="580">
        <f>HLOOKUP("*"&amp;'Output annual'!$AC$2&amp;'Output annual'!$AD$2&amp;"*FangerPMV(Hourly)",'Eplus results'!$1:$1048576,ROW(),FALSE)</f>
        <v>0</v>
      </c>
      <c r="AD8100" s="580">
        <f t="shared" si="666"/>
        <v>5</v>
      </c>
      <c r="AE8100" s="580">
        <f t="shared" si="667"/>
        <v>2.5</v>
      </c>
      <c r="AF8100" s="580">
        <f t="shared" si="668"/>
        <v>2.5</v>
      </c>
      <c r="AG8100" s="580">
        <f t="shared" si="669"/>
        <v>0</v>
      </c>
      <c r="AH8100" s="580">
        <f t="shared" si="670"/>
        <v>0</v>
      </c>
    </row>
    <row r="8101" spans="28:34">
      <c r="AB8101" s="580">
        <f>HLOOKUP("*"&amp;'Output annual'!$AC$2&amp;'Output annual'!$AD$2&amp;"*Zone People Number Of Occupants [](Hourly)",'Eplus results'!$1:$1048576,ROW(),FALSE)</f>
        <v>0</v>
      </c>
      <c r="AC8101" s="580">
        <f>HLOOKUP("*"&amp;'Output annual'!$AC$2&amp;'Output annual'!$AD$2&amp;"*FangerPMV(Hourly)",'Eplus results'!$1:$1048576,ROW(),FALSE)</f>
        <v>0</v>
      </c>
      <c r="AD8101" s="580">
        <f t="shared" si="666"/>
        <v>5</v>
      </c>
      <c r="AE8101" s="580">
        <f t="shared" si="667"/>
        <v>2.5</v>
      </c>
      <c r="AF8101" s="580">
        <f t="shared" si="668"/>
        <v>2.5</v>
      </c>
      <c r="AG8101" s="580">
        <f t="shared" si="669"/>
        <v>0</v>
      </c>
      <c r="AH8101" s="580">
        <f t="shared" si="670"/>
        <v>0</v>
      </c>
    </row>
    <row r="8102" spans="28:34">
      <c r="AB8102" s="580">
        <f>HLOOKUP("*"&amp;'Output annual'!$AC$2&amp;'Output annual'!$AD$2&amp;"*Zone People Number Of Occupants [](Hourly)",'Eplus results'!$1:$1048576,ROW(),FALSE)</f>
        <v>0</v>
      </c>
      <c r="AC8102" s="580">
        <f>HLOOKUP("*"&amp;'Output annual'!$AC$2&amp;'Output annual'!$AD$2&amp;"*FangerPMV(Hourly)",'Eplus results'!$1:$1048576,ROW(),FALSE)</f>
        <v>0</v>
      </c>
      <c r="AD8102" s="580">
        <f t="shared" si="666"/>
        <v>5</v>
      </c>
      <c r="AE8102" s="580">
        <f t="shared" si="667"/>
        <v>2.5</v>
      </c>
      <c r="AF8102" s="580">
        <f t="shared" si="668"/>
        <v>2.5</v>
      </c>
      <c r="AG8102" s="580">
        <f t="shared" si="669"/>
        <v>0</v>
      </c>
      <c r="AH8102" s="580">
        <f t="shared" si="670"/>
        <v>0</v>
      </c>
    </row>
    <row r="8103" spans="28:34">
      <c r="AB8103" s="580">
        <f>HLOOKUP("*"&amp;'Output annual'!$AC$2&amp;'Output annual'!$AD$2&amp;"*Zone People Number Of Occupants [](Hourly)",'Eplus results'!$1:$1048576,ROW(),FALSE)</f>
        <v>0</v>
      </c>
      <c r="AC8103" s="580">
        <f>HLOOKUP("*"&amp;'Output annual'!$AC$2&amp;'Output annual'!$AD$2&amp;"*FangerPMV(Hourly)",'Eplus results'!$1:$1048576,ROW(),FALSE)</f>
        <v>0</v>
      </c>
      <c r="AD8103" s="580">
        <f t="shared" si="666"/>
        <v>5</v>
      </c>
      <c r="AE8103" s="580">
        <f t="shared" si="667"/>
        <v>2.5</v>
      </c>
      <c r="AF8103" s="580">
        <f t="shared" si="668"/>
        <v>2.5</v>
      </c>
      <c r="AG8103" s="580">
        <f t="shared" si="669"/>
        <v>0</v>
      </c>
      <c r="AH8103" s="580">
        <f t="shared" si="670"/>
        <v>0</v>
      </c>
    </row>
    <row r="8104" spans="28:34">
      <c r="AB8104" s="580">
        <f>HLOOKUP("*"&amp;'Output annual'!$AC$2&amp;'Output annual'!$AD$2&amp;"*Zone People Number Of Occupants [](Hourly)",'Eplus results'!$1:$1048576,ROW(),FALSE)</f>
        <v>0</v>
      </c>
      <c r="AC8104" s="580">
        <f>HLOOKUP("*"&amp;'Output annual'!$AC$2&amp;'Output annual'!$AD$2&amp;"*FangerPMV(Hourly)",'Eplus results'!$1:$1048576,ROW(),FALSE)</f>
        <v>0</v>
      </c>
      <c r="AD8104" s="580">
        <f t="shared" si="666"/>
        <v>5</v>
      </c>
      <c r="AE8104" s="580">
        <f t="shared" si="667"/>
        <v>2.5</v>
      </c>
      <c r="AF8104" s="580">
        <f t="shared" si="668"/>
        <v>2.5</v>
      </c>
      <c r="AG8104" s="580">
        <f t="shared" si="669"/>
        <v>0</v>
      </c>
      <c r="AH8104" s="580">
        <f t="shared" si="670"/>
        <v>0</v>
      </c>
    </row>
    <row r="8105" spans="28:34">
      <c r="AB8105" s="580">
        <f>HLOOKUP("*"&amp;'Output annual'!$AC$2&amp;'Output annual'!$AD$2&amp;"*Zone People Number Of Occupants [](Hourly)",'Eplus results'!$1:$1048576,ROW(),FALSE)</f>
        <v>0</v>
      </c>
      <c r="AC8105" s="580">
        <f>HLOOKUP("*"&amp;'Output annual'!$AC$2&amp;'Output annual'!$AD$2&amp;"*FangerPMV(Hourly)",'Eplus results'!$1:$1048576,ROW(),FALSE)</f>
        <v>0</v>
      </c>
      <c r="AD8105" s="580">
        <f t="shared" si="666"/>
        <v>5</v>
      </c>
      <c r="AE8105" s="580">
        <f t="shared" si="667"/>
        <v>2.5</v>
      </c>
      <c r="AF8105" s="580">
        <f t="shared" si="668"/>
        <v>2.5</v>
      </c>
      <c r="AG8105" s="580">
        <f t="shared" si="669"/>
        <v>0</v>
      </c>
      <c r="AH8105" s="580">
        <f t="shared" si="670"/>
        <v>0</v>
      </c>
    </row>
    <row r="8106" spans="28:34">
      <c r="AB8106" s="580">
        <f>HLOOKUP("*"&amp;'Output annual'!$AC$2&amp;'Output annual'!$AD$2&amp;"*Zone People Number Of Occupants [](Hourly)",'Eplus results'!$1:$1048576,ROW(),FALSE)</f>
        <v>0</v>
      </c>
      <c r="AC8106" s="580">
        <f>HLOOKUP("*"&amp;'Output annual'!$AC$2&amp;'Output annual'!$AD$2&amp;"*FangerPMV(Hourly)",'Eplus results'!$1:$1048576,ROW(),FALSE)</f>
        <v>0</v>
      </c>
      <c r="AD8106" s="580">
        <f t="shared" si="666"/>
        <v>5</v>
      </c>
      <c r="AE8106" s="580">
        <f t="shared" si="667"/>
        <v>2.5</v>
      </c>
      <c r="AF8106" s="580">
        <f t="shared" si="668"/>
        <v>2.5</v>
      </c>
      <c r="AG8106" s="580">
        <f t="shared" si="669"/>
        <v>0</v>
      </c>
      <c r="AH8106" s="580">
        <f t="shared" si="670"/>
        <v>0</v>
      </c>
    </row>
    <row r="8107" spans="28:34">
      <c r="AB8107" s="580">
        <f>HLOOKUP("*"&amp;'Output annual'!$AC$2&amp;'Output annual'!$AD$2&amp;"*Zone People Number Of Occupants [](Hourly)",'Eplus results'!$1:$1048576,ROW(),FALSE)</f>
        <v>0</v>
      </c>
      <c r="AC8107" s="580">
        <f>HLOOKUP("*"&amp;'Output annual'!$AC$2&amp;'Output annual'!$AD$2&amp;"*FangerPMV(Hourly)",'Eplus results'!$1:$1048576,ROW(),FALSE)</f>
        <v>0</v>
      </c>
      <c r="AD8107" s="580">
        <f t="shared" si="666"/>
        <v>5</v>
      </c>
      <c r="AE8107" s="580">
        <f t="shared" si="667"/>
        <v>2.5</v>
      </c>
      <c r="AF8107" s="580">
        <f t="shared" si="668"/>
        <v>2.5</v>
      </c>
      <c r="AG8107" s="580">
        <f t="shared" si="669"/>
        <v>0</v>
      </c>
      <c r="AH8107" s="580">
        <f t="shared" si="670"/>
        <v>0</v>
      </c>
    </row>
    <row r="8108" spans="28:34">
      <c r="AB8108" s="580">
        <f>HLOOKUP("*"&amp;'Output annual'!$AC$2&amp;'Output annual'!$AD$2&amp;"*Zone People Number Of Occupants [](Hourly)",'Eplus results'!$1:$1048576,ROW(),FALSE)</f>
        <v>0</v>
      </c>
      <c r="AC8108" s="580">
        <f>HLOOKUP("*"&amp;'Output annual'!$AC$2&amp;'Output annual'!$AD$2&amp;"*FangerPMV(Hourly)",'Eplus results'!$1:$1048576,ROW(),FALSE)</f>
        <v>0</v>
      </c>
      <c r="AD8108" s="580">
        <f t="shared" si="666"/>
        <v>5</v>
      </c>
      <c r="AE8108" s="580">
        <f t="shared" si="667"/>
        <v>2.5</v>
      </c>
      <c r="AF8108" s="580">
        <f t="shared" si="668"/>
        <v>2.5</v>
      </c>
      <c r="AG8108" s="580">
        <f t="shared" si="669"/>
        <v>0</v>
      </c>
      <c r="AH8108" s="580">
        <f t="shared" si="670"/>
        <v>0</v>
      </c>
    </row>
    <row r="8109" spans="28:34">
      <c r="AB8109" s="580">
        <f>HLOOKUP("*"&amp;'Output annual'!$AC$2&amp;'Output annual'!$AD$2&amp;"*Zone People Number Of Occupants [](Hourly)",'Eplus results'!$1:$1048576,ROW(),FALSE)</f>
        <v>0</v>
      </c>
      <c r="AC8109" s="580">
        <f>HLOOKUP("*"&amp;'Output annual'!$AC$2&amp;'Output annual'!$AD$2&amp;"*FangerPMV(Hourly)",'Eplus results'!$1:$1048576,ROW(),FALSE)</f>
        <v>0</v>
      </c>
      <c r="AD8109" s="580">
        <f t="shared" si="666"/>
        <v>5</v>
      </c>
      <c r="AE8109" s="580">
        <f t="shared" si="667"/>
        <v>2.5</v>
      </c>
      <c r="AF8109" s="580">
        <f t="shared" si="668"/>
        <v>2.5</v>
      </c>
      <c r="AG8109" s="580">
        <f t="shared" si="669"/>
        <v>0</v>
      </c>
      <c r="AH8109" s="580">
        <f t="shared" si="670"/>
        <v>0</v>
      </c>
    </row>
    <row r="8110" spans="28:34">
      <c r="AB8110" s="580">
        <f>HLOOKUP("*"&amp;'Output annual'!$AC$2&amp;'Output annual'!$AD$2&amp;"*Zone People Number Of Occupants [](Hourly)",'Eplus results'!$1:$1048576,ROW(),FALSE)</f>
        <v>0</v>
      </c>
      <c r="AC8110" s="580">
        <f>HLOOKUP("*"&amp;'Output annual'!$AC$2&amp;'Output annual'!$AD$2&amp;"*FangerPMV(Hourly)",'Eplus results'!$1:$1048576,ROW(),FALSE)</f>
        <v>0</v>
      </c>
      <c r="AD8110" s="580">
        <f t="shared" si="666"/>
        <v>5</v>
      </c>
      <c r="AE8110" s="580">
        <f t="shared" si="667"/>
        <v>2.5</v>
      </c>
      <c r="AF8110" s="580">
        <f t="shared" si="668"/>
        <v>2.5</v>
      </c>
      <c r="AG8110" s="580">
        <f t="shared" si="669"/>
        <v>0</v>
      </c>
      <c r="AH8110" s="580">
        <f t="shared" si="670"/>
        <v>0</v>
      </c>
    </row>
    <row r="8111" spans="28:34">
      <c r="AB8111" s="580">
        <f>HLOOKUP("*"&amp;'Output annual'!$AC$2&amp;'Output annual'!$AD$2&amp;"*Zone People Number Of Occupants [](Hourly)",'Eplus results'!$1:$1048576,ROW(),FALSE)</f>
        <v>0</v>
      </c>
      <c r="AC8111" s="580">
        <f>HLOOKUP("*"&amp;'Output annual'!$AC$2&amp;'Output annual'!$AD$2&amp;"*FangerPMV(Hourly)",'Eplus results'!$1:$1048576,ROW(),FALSE)</f>
        <v>0</v>
      </c>
      <c r="AD8111" s="580">
        <f t="shared" si="666"/>
        <v>5</v>
      </c>
      <c r="AE8111" s="580">
        <f t="shared" si="667"/>
        <v>2.5</v>
      </c>
      <c r="AF8111" s="580">
        <f t="shared" si="668"/>
        <v>2.5</v>
      </c>
      <c r="AG8111" s="580">
        <f t="shared" si="669"/>
        <v>0</v>
      </c>
      <c r="AH8111" s="580">
        <f t="shared" si="670"/>
        <v>0</v>
      </c>
    </row>
    <row r="8112" spans="28:34">
      <c r="AB8112" s="580">
        <f>HLOOKUP("*"&amp;'Output annual'!$AC$2&amp;'Output annual'!$AD$2&amp;"*Zone People Number Of Occupants [](Hourly)",'Eplus results'!$1:$1048576,ROW(),FALSE)</f>
        <v>0</v>
      </c>
      <c r="AC8112" s="580">
        <f>HLOOKUP("*"&amp;'Output annual'!$AC$2&amp;'Output annual'!$AD$2&amp;"*FangerPMV(Hourly)",'Eplus results'!$1:$1048576,ROW(),FALSE)</f>
        <v>0</v>
      </c>
      <c r="AD8112" s="580">
        <f t="shared" si="666"/>
        <v>5</v>
      </c>
      <c r="AE8112" s="580">
        <f t="shared" si="667"/>
        <v>2.5</v>
      </c>
      <c r="AF8112" s="580">
        <f t="shared" si="668"/>
        <v>2.5</v>
      </c>
      <c r="AG8112" s="580">
        <f t="shared" si="669"/>
        <v>0</v>
      </c>
      <c r="AH8112" s="580">
        <f t="shared" si="670"/>
        <v>0</v>
      </c>
    </row>
    <row r="8113" spans="28:34">
      <c r="AB8113" s="580">
        <f>HLOOKUP("*"&amp;'Output annual'!$AC$2&amp;'Output annual'!$AD$2&amp;"*Zone People Number Of Occupants [](Hourly)",'Eplus results'!$1:$1048576,ROW(),FALSE)</f>
        <v>0</v>
      </c>
      <c r="AC8113" s="580">
        <f>HLOOKUP("*"&amp;'Output annual'!$AC$2&amp;'Output annual'!$AD$2&amp;"*FangerPMV(Hourly)",'Eplus results'!$1:$1048576,ROW(),FALSE)</f>
        <v>0</v>
      </c>
      <c r="AD8113" s="580">
        <f t="shared" si="666"/>
        <v>5</v>
      </c>
      <c r="AE8113" s="580">
        <f t="shared" si="667"/>
        <v>2.5</v>
      </c>
      <c r="AF8113" s="580">
        <f t="shared" si="668"/>
        <v>2.5</v>
      </c>
      <c r="AG8113" s="580">
        <f t="shared" si="669"/>
        <v>0</v>
      </c>
      <c r="AH8113" s="580">
        <f t="shared" si="670"/>
        <v>0</v>
      </c>
    </row>
    <row r="8114" spans="28:34">
      <c r="AB8114" s="580">
        <f>HLOOKUP("*"&amp;'Output annual'!$AC$2&amp;'Output annual'!$AD$2&amp;"*Zone People Number Of Occupants [](Hourly)",'Eplus results'!$1:$1048576,ROW(),FALSE)</f>
        <v>0</v>
      </c>
      <c r="AC8114" s="580">
        <f>HLOOKUP("*"&amp;'Output annual'!$AC$2&amp;'Output annual'!$AD$2&amp;"*FangerPMV(Hourly)",'Eplus results'!$1:$1048576,ROW(),FALSE)</f>
        <v>0</v>
      </c>
      <c r="AD8114" s="580">
        <f t="shared" si="666"/>
        <v>5</v>
      </c>
      <c r="AE8114" s="580">
        <f t="shared" si="667"/>
        <v>2.5</v>
      </c>
      <c r="AF8114" s="580">
        <f t="shared" si="668"/>
        <v>2.5</v>
      </c>
      <c r="AG8114" s="580">
        <f t="shared" si="669"/>
        <v>0</v>
      </c>
      <c r="AH8114" s="580">
        <f t="shared" si="670"/>
        <v>0</v>
      </c>
    </row>
    <row r="8115" spans="28:34">
      <c r="AB8115" s="580">
        <f>HLOOKUP("*"&amp;'Output annual'!$AC$2&amp;'Output annual'!$AD$2&amp;"*Zone People Number Of Occupants [](Hourly)",'Eplus results'!$1:$1048576,ROW(),FALSE)</f>
        <v>0</v>
      </c>
      <c r="AC8115" s="580">
        <f>HLOOKUP("*"&amp;'Output annual'!$AC$2&amp;'Output annual'!$AD$2&amp;"*FangerPMV(Hourly)",'Eplus results'!$1:$1048576,ROW(),FALSE)</f>
        <v>0</v>
      </c>
      <c r="AD8115" s="580">
        <f t="shared" si="666"/>
        <v>5</v>
      </c>
      <c r="AE8115" s="580">
        <f t="shared" si="667"/>
        <v>2.5</v>
      </c>
      <c r="AF8115" s="580">
        <f t="shared" si="668"/>
        <v>2.5</v>
      </c>
      <c r="AG8115" s="580">
        <f t="shared" si="669"/>
        <v>0</v>
      </c>
      <c r="AH8115" s="580">
        <f t="shared" si="670"/>
        <v>0</v>
      </c>
    </row>
    <row r="8116" spans="28:34">
      <c r="AB8116" s="580">
        <f>HLOOKUP("*"&amp;'Output annual'!$AC$2&amp;'Output annual'!$AD$2&amp;"*Zone People Number Of Occupants [](Hourly)",'Eplus results'!$1:$1048576,ROW(),FALSE)</f>
        <v>0</v>
      </c>
      <c r="AC8116" s="580">
        <f>HLOOKUP("*"&amp;'Output annual'!$AC$2&amp;'Output annual'!$AD$2&amp;"*FangerPMV(Hourly)",'Eplus results'!$1:$1048576,ROW(),FALSE)</f>
        <v>0</v>
      </c>
      <c r="AD8116" s="580">
        <f t="shared" si="666"/>
        <v>5</v>
      </c>
      <c r="AE8116" s="580">
        <f t="shared" si="667"/>
        <v>2.5</v>
      </c>
      <c r="AF8116" s="580">
        <f t="shared" si="668"/>
        <v>2.5</v>
      </c>
      <c r="AG8116" s="580">
        <f t="shared" si="669"/>
        <v>0</v>
      </c>
      <c r="AH8116" s="580">
        <f t="shared" si="670"/>
        <v>0</v>
      </c>
    </row>
    <row r="8117" spans="28:34">
      <c r="AB8117" s="580">
        <f>HLOOKUP("*"&amp;'Output annual'!$AC$2&amp;'Output annual'!$AD$2&amp;"*Zone People Number Of Occupants [](Hourly)",'Eplus results'!$1:$1048576,ROW(),FALSE)</f>
        <v>0</v>
      </c>
      <c r="AC8117" s="580">
        <f>HLOOKUP("*"&amp;'Output annual'!$AC$2&amp;'Output annual'!$AD$2&amp;"*FangerPMV(Hourly)",'Eplus results'!$1:$1048576,ROW(),FALSE)</f>
        <v>0</v>
      </c>
      <c r="AD8117" s="580">
        <f t="shared" si="666"/>
        <v>5</v>
      </c>
      <c r="AE8117" s="580">
        <f t="shared" si="667"/>
        <v>2.5</v>
      </c>
      <c r="AF8117" s="580">
        <f t="shared" si="668"/>
        <v>2.5</v>
      </c>
      <c r="AG8117" s="580">
        <f t="shared" si="669"/>
        <v>0</v>
      </c>
      <c r="AH8117" s="580">
        <f t="shared" si="670"/>
        <v>0</v>
      </c>
    </row>
    <row r="8118" spans="28:34">
      <c r="AB8118" s="580">
        <f>HLOOKUP("*"&amp;'Output annual'!$AC$2&amp;'Output annual'!$AD$2&amp;"*Zone People Number Of Occupants [](Hourly)",'Eplus results'!$1:$1048576,ROW(),FALSE)</f>
        <v>0</v>
      </c>
      <c r="AC8118" s="580">
        <f>HLOOKUP("*"&amp;'Output annual'!$AC$2&amp;'Output annual'!$AD$2&amp;"*FangerPMV(Hourly)",'Eplus results'!$1:$1048576,ROW(),FALSE)</f>
        <v>0</v>
      </c>
      <c r="AD8118" s="580">
        <f t="shared" si="666"/>
        <v>5</v>
      </c>
      <c r="AE8118" s="580">
        <f t="shared" si="667"/>
        <v>2.5</v>
      </c>
      <c r="AF8118" s="580">
        <f t="shared" si="668"/>
        <v>2.5</v>
      </c>
      <c r="AG8118" s="580">
        <f t="shared" si="669"/>
        <v>0</v>
      </c>
      <c r="AH8118" s="580">
        <f t="shared" si="670"/>
        <v>0</v>
      </c>
    </row>
    <row r="8119" spans="28:34">
      <c r="AB8119" s="580">
        <f>HLOOKUP("*"&amp;'Output annual'!$AC$2&amp;'Output annual'!$AD$2&amp;"*Zone People Number Of Occupants [](Hourly)",'Eplus results'!$1:$1048576,ROW(),FALSE)</f>
        <v>0</v>
      </c>
      <c r="AC8119" s="580">
        <f>HLOOKUP("*"&amp;'Output annual'!$AC$2&amp;'Output annual'!$AD$2&amp;"*FangerPMV(Hourly)",'Eplus results'!$1:$1048576,ROW(),FALSE)</f>
        <v>0</v>
      </c>
      <c r="AD8119" s="580">
        <f t="shared" si="666"/>
        <v>5</v>
      </c>
      <c r="AE8119" s="580">
        <f t="shared" si="667"/>
        <v>2.5</v>
      </c>
      <c r="AF8119" s="580">
        <f t="shared" si="668"/>
        <v>2.5</v>
      </c>
      <c r="AG8119" s="580">
        <f t="shared" si="669"/>
        <v>0</v>
      </c>
      <c r="AH8119" s="580">
        <f t="shared" si="670"/>
        <v>0</v>
      </c>
    </row>
    <row r="8120" spans="28:34">
      <c r="AB8120" s="580">
        <f>HLOOKUP("*"&amp;'Output annual'!$AC$2&amp;'Output annual'!$AD$2&amp;"*Zone People Number Of Occupants [](Hourly)",'Eplus results'!$1:$1048576,ROW(),FALSE)</f>
        <v>0</v>
      </c>
      <c r="AC8120" s="580">
        <f>HLOOKUP("*"&amp;'Output annual'!$AC$2&amp;'Output annual'!$AD$2&amp;"*FangerPMV(Hourly)",'Eplus results'!$1:$1048576,ROW(),FALSE)</f>
        <v>0</v>
      </c>
      <c r="AD8120" s="580">
        <f t="shared" si="666"/>
        <v>5</v>
      </c>
      <c r="AE8120" s="580">
        <f t="shared" si="667"/>
        <v>2.5</v>
      </c>
      <c r="AF8120" s="580">
        <f t="shared" si="668"/>
        <v>2.5</v>
      </c>
      <c r="AG8120" s="580">
        <f t="shared" si="669"/>
        <v>0</v>
      </c>
      <c r="AH8120" s="580">
        <f t="shared" si="670"/>
        <v>0</v>
      </c>
    </row>
    <row r="8121" spans="28:34">
      <c r="AB8121" s="580">
        <f>HLOOKUP("*"&amp;'Output annual'!$AC$2&amp;'Output annual'!$AD$2&amp;"*Zone People Number Of Occupants [](Hourly)",'Eplus results'!$1:$1048576,ROW(),FALSE)</f>
        <v>0</v>
      </c>
      <c r="AC8121" s="580">
        <f>HLOOKUP("*"&amp;'Output annual'!$AC$2&amp;'Output annual'!$AD$2&amp;"*FangerPMV(Hourly)",'Eplus results'!$1:$1048576,ROW(),FALSE)</f>
        <v>0</v>
      </c>
      <c r="AD8121" s="580">
        <f t="shared" si="666"/>
        <v>5</v>
      </c>
      <c r="AE8121" s="580">
        <f t="shared" si="667"/>
        <v>2.5</v>
      </c>
      <c r="AF8121" s="580">
        <f t="shared" si="668"/>
        <v>2.5</v>
      </c>
      <c r="AG8121" s="580">
        <f t="shared" si="669"/>
        <v>0</v>
      </c>
      <c r="AH8121" s="580">
        <f t="shared" si="670"/>
        <v>0</v>
      </c>
    </row>
    <row r="8122" spans="28:34">
      <c r="AB8122" s="580">
        <f>HLOOKUP("*"&amp;'Output annual'!$AC$2&amp;'Output annual'!$AD$2&amp;"*Zone People Number Of Occupants [](Hourly)",'Eplus results'!$1:$1048576,ROW(),FALSE)</f>
        <v>0</v>
      </c>
      <c r="AC8122" s="580">
        <f>HLOOKUP("*"&amp;'Output annual'!$AC$2&amp;'Output annual'!$AD$2&amp;"*FangerPMV(Hourly)",'Eplus results'!$1:$1048576,ROW(),FALSE)</f>
        <v>0</v>
      </c>
      <c r="AD8122" s="580">
        <f t="shared" si="666"/>
        <v>5</v>
      </c>
      <c r="AE8122" s="580">
        <f t="shared" si="667"/>
        <v>2.5</v>
      </c>
      <c r="AF8122" s="580">
        <f t="shared" si="668"/>
        <v>2.5</v>
      </c>
      <c r="AG8122" s="580">
        <f t="shared" si="669"/>
        <v>0</v>
      </c>
      <c r="AH8122" s="580">
        <f t="shared" si="670"/>
        <v>0</v>
      </c>
    </row>
    <row r="8123" spans="28:34">
      <c r="AB8123" s="580">
        <f>HLOOKUP("*"&amp;'Output annual'!$AC$2&amp;'Output annual'!$AD$2&amp;"*Zone People Number Of Occupants [](Hourly)",'Eplus results'!$1:$1048576,ROW(),FALSE)</f>
        <v>0</v>
      </c>
      <c r="AC8123" s="580">
        <f>HLOOKUP("*"&amp;'Output annual'!$AC$2&amp;'Output annual'!$AD$2&amp;"*FangerPMV(Hourly)",'Eplus results'!$1:$1048576,ROW(),FALSE)</f>
        <v>0</v>
      </c>
      <c r="AD8123" s="580">
        <f t="shared" si="666"/>
        <v>5</v>
      </c>
      <c r="AE8123" s="580">
        <f t="shared" si="667"/>
        <v>2.5</v>
      </c>
      <c r="AF8123" s="580">
        <f t="shared" si="668"/>
        <v>2.5</v>
      </c>
      <c r="AG8123" s="580">
        <f t="shared" si="669"/>
        <v>0</v>
      </c>
      <c r="AH8123" s="580">
        <f t="shared" si="670"/>
        <v>0</v>
      </c>
    </row>
    <row r="8124" spans="28:34">
      <c r="AB8124" s="580">
        <f>HLOOKUP("*"&amp;'Output annual'!$AC$2&amp;'Output annual'!$AD$2&amp;"*Zone People Number Of Occupants [](Hourly)",'Eplus results'!$1:$1048576,ROW(),FALSE)</f>
        <v>0</v>
      </c>
      <c r="AC8124" s="580">
        <f>HLOOKUP("*"&amp;'Output annual'!$AC$2&amp;'Output annual'!$AD$2&amp;"*FangerPMV(Hourly)",'Eplus results'!$1:$1048576,ROW(),FALSE)</f>
        <v>0</v>
      </c>
      <c r="AD8124" s="580">
        <f t="shared" si="666"/>
        <v>5</v>
      </c>
      <c r="AE8124" s="580">
        <f t="shared" si="667"/>
        <v>2.5</v>
      </c>
      <c r="AF8124" s="580">
        <f t="shared" si="668"/>
        <v>2.5</v>
      </c>
      <c r="AG8124" s="580">
        <f t="shared" si="669"/>
        <v>0</v>
      </c>
      <c r="AH8124" s="580">
        <f t="shared" si="670"/>
        <v>0</v>
      </c>
    </row>
    <row r="8125" spans="28:34">
      <c r="AB8125" s="580">
        <f>HLOOKUP("*"&amp;'Output annual'!$AC$2&amp;'Output annual'!$AD$2&amp;"*Zone People Number Of Occupants [](Hourly)",'Eplus results'!$1:$1048576,ROW(),FALSE)</f>
        <v>0</v>
      </c>
      <c r="AC8125" s="580">
        <f>HLOOKUP("*"&amp;'Output annual'!$AC$2&amp;'Output annual'!$AD$2&amp;"*FangerPMV(Hourly)",'Eplus results'!$1:$1048576,ROW(),FALSE)</f>
        <v>0</v>
      </c>
      <c r="AD8125" s="580">
        <f t="shared" si="666"/>
        <v>5</v>
      </c>
      <c r="AE8125" s="580">
        <f t="shared" si="667"/>
        <v>2.5</v>
      </c>
      <c r="AF8125" s="580">
        <f t="shared" si="668"/>
        <v>2.5</v>
      </c>
      <c r="AG8125" s="580">
        <f t="shared" si="669"/>
        <v>0</v>
      </c>
      <c r="AH8125" s="580">
        <f t="shared" si="670"/>
        <v>0</v>
      </c>
    </row>
    <row r="8126" spans="28:34">
      <c r="AB8126" s="580">
        <f>HLOOKUP("*"&amp;'Output annual'!$AC$2&amp;'Output annual'!$AD$2&amp;"*Zone People Number Of Occupants [](Hourly)",'Eplus results'!$1:$1048576,ROW(),FALSE)</f>
        <v>0</v>
      </c>
      <c r="AC8126" s="580">
        <f>HLOOKUP("*"&amp;'Output annual'!$AC$2&amp;'Output annual'!$AD$2&amp;"*FangerPMV(Hourly)",'Eplus results'!$1:$1048576,ROW(),FALSE)</f>
        <v>0</v>
      </c>
      <c r="AD8126" s="580">
        <f t="shared" si="666"/>
        <v>5</v>
      </c>
      <c r="AE8126" s="580">
        <f t="shared" si="667"/>
        <v>2.5</v>
      </c>
      <c r="AF8126" s="580">
        <f t="shared" si="668"/>
        <v>2.5</v>
      </c>
      <c r="AG8126" s="580">
        <f t="shared" si="669"/>
        <v>0</v>
      </c>
      <c r="AH8126" s="580">
        <f t="shared" si="670"/>
        <v>0</v>
      </c>
    </row>
    <row r="8127" spans="28:34">
      <c r="AB8127" s="580">
        <f>HLOOKUP("*"&amp;'Output annual'!$AC$2&amp;'Output annual'!$AD$2&amp;"*Zone People Number Of Occupants [](Hourly)",'Eplus results'!$1:$1048576,ROW(),FALSE)</f>
        <v>0</v>
      </c>
      <c r="AC8127" s="580">
        <f>HLOOKUP("*"&amp;'Output annual'!$AC$2&amp;'Output annual'!$AD$2&amp;"*FangerPMV(Hourly)",'Eplus results'!$1:$1048576,ROW(),FALSE)</f>
        <v>0</v>
      </c>
      <c r="AD8127" s="580">
        <f t="shared" si="666"/>
        <v>5</v>
      </c>
      <c r="AE8127" s="580">
        <f t="shared" si="667"/>
        <v>2.5</v>
      </c>
      <c r="AF8127" s="580">
        <f t="shared" si="668"/>
        <v>2.5</v>
      </c>
      <c r="AG8127" s="580">
        <f t="shared" si="669"/>
        <v>0</v>
      </c>
      <c r="AH8127" s="580">
        <f t="shared" si="670"/>
        <v>0</v>
      </c>
    </row>
    <row r="8128" spans="28:34">
      <c r="AB8128" s="580">
        <f>HLOOKUP("*"&amp;'Output annual'!$AC$2&amp;'Output annual'!$AD$2&amp;"*Zone People Number Of Occupants [](Hourly)",'Eplus results'!$1:$1048576,ROW(),FALSE)</f>
        <v>0</v>
      </c>
      <c r="AC8128" s="580">
        <f>HLOOKUP("*"&amp;'Output annual'!$AC$2&amp;'Output annual'!$AD$2&amp;"*FangerPMV(Hourly)",'Eplus results'!$1:$1048576,ROW(),FALSE)</f>
        <v>0</v>
      </c>
      <c r="AD8128" s="580">
        <f t="shared" si="666"/>
        <v>5</v>
      </c>
      <c r="AE8128" s="580">
        <f t="shared" si="667"/>
        <v>2.5</v>
      </c>
      <c r="AF8128" s="580">
        <f t="shared" si="668"/>
        <v>2.5</v>
      </c>
      <c r="AG8128" s="580">
        <f t="shared" si="669"/>
        <v>0</v>
      </c>
      <c r="AH8128" s="580">
        <f t="shared" si="670"/>
        <v>0</v>
      </c>
    </row>
    <row r="8129" spans="28:34">
      <c r="AB8129" s="580">
        <f>HLOOKUP("*"&amp;'Output annual'!$AC$2&amp;'Output annual'!$AD$2&amp;"*Zone People Number Of Occupants [](Hourly)",'Eplus results'!$1:$1048576,ROW(),FALSE)</f>
        <v>0</v>
      </c>
      <c r="AC8129" s="580">
        <f>HLOOKUP("*"&amp;'Output annual'!$AC$2&amp;'Output annual'!$AD$2&amp;"*FangerPMV(Hourly)",'Eplus results'!$1:$1048576,ROW(),FALSE)</f>
        <v>0</v>
      </c>
      <c r="AD8129" s="580">
        <f t="shared" si="666"/>
        <v>5</v>
      </c>
      <c r="AE8129" s="580">
        <f t="shared" si="667"/>
        <v>2.5</v>
      </c>
      <c r="AF8129" s="580">
        <f t="shared" si="668"/>
        <v>2.5</v>
      </c>
      <c r="AG8129" s="580">
        <f t="shared" si="669"/>
        <v>0</v>
      </c>
      <c r="AH8129" s="580">
        <f t="shared" si="670"/>
        <v>0</v>
      </c>
    </row>
    <row r="8130" spans="28:34">
      <c r="AB8130" s="580">
        <f>HLOOKUP("*"&amp;'Output annual'!$AC$2&amp;'Output annual'!$AD$2&amp;"*Zone People Number Of Occupants [](Hourly)",'Eplus results'!$1:$1048576,ROW(),FALSE)</f>
        <v>0</v>
      </c>
      <c r="AC8130" s="580">
        <f>HLOOKUP("*"&amp;'Output annual'!$AC$2&amp;'Output annual'!$AD$2&amp;"*FangerPMV(Hourly)",'Eplus results'!$1:$1048576,ROW(),FALSE)</f>
        <v>0</v>
      </c>
      <c r="AD8130" s="580">
        <f t="shared" si="666"/>
        <v>5</v>
      </c>
      <c r="AE8130" s="580">
        <f t="shared" si="667"/>
        <v>2.5</v>
      </c>
      <c r="AF8130" s="580">
        <f t="shared" si="668"/>
        <v>2.5</v>
      </c>
      <c r="AG8130" s="580">
        <f t="shared" si="669"/>
        <v>0</v>
      </c>
      <c r="AH8130" s="580">
        <f t="shared" si="670"/>
        <v>0</v>
      </c>
    </row>
    <row r="8131" spans="28:34">
      <c r="AB8131" s="580">
        <f>HLOOKUP("*"&amp;'Output annual'!$AC$2&amp;'Output annual'!$AD$2&amp;"*Zone People Number Of Occupants [](Hourly)",'Eplus results'!$1:$1048576,ROW(),FALSE)</f>
        <v>0</v>
      </c>
      <c r="AC8131" s="580">
        <f>HLOOKUP("*"&amp;'Output annual'!$AC$2&amp;'Output annual'!$AD$2&amp;"*FangerPMV(Hourly)",'Eplus results'!$1:$1048576,ROW(),FALSE)</f>
        <v>0</v>
      </c>
      <c r="AD8131" s="580">
        <f t="shared" ref="AD8131:AD8194" si="671">100-95*EXP(-0.03353*AC8131^4-0.2179*AC8131^2)</f>
        <v>5</v>
      </c>
      <c r="AE8131" s="580">
        <f t="shared" ref="AE8131:AE8194" si="672">AD8131*(1/(1+EXP(-6.3*$AC8131)))</f>
        <v>2.5</v>
      </c>
      <c r="AF8131" s="580">
        <f t="shared" ref="AF8131:AF8194" si="673">(AD8131-AE8131)</f>
        <v>2.5</v>
      </c>
      <c r="AG8131" s="580">
        <f t="shared" ref="AG8131:AG8194" si="674">AE8131*AB8131</f>
        <v>0</v>
      </c>
      <c r="AH8131" s="580">
        <f t="shared" ref="AH8131:AH8194" si="675">AF8131*AB8131</f>
        <v>0</v>
      </c>
    </row>
    <row r="8132" spans="28:34">
      <c r="AB8132" s="580">
        <f>HLOOKUP("*"&amp;'Output annual'!$AC$2&amp;'Output annual'!$AD$2&amp;"*Zone People Number Of Occupants [](Hourly)",'Eplus results'!$1:$1048576,ROW(),FALSE)</f>
        <v>0</v>
      </c>
      <c r="AC8132" s="580">
        <f>HLOOKUP("*"&amp;'Output annual'!$AC$2&amp;'Output annual'!$AD$2&amp;"*FangerPMV(Hourly)",'Eplus results'!$1:$1048576,ROW(),FALSE)</f>
        <v>0</v>
      </c>
      <c r="AD8132" s="580">
        <f t="shared" si="671"/>
        <v>5</v>
      </c>
      <c r="AE8132" s="580">
        <f t="shared" si="672"/>
        <v>2.5</v>
      </c>
      <c r="AF8132" s="580">
        <f t="shared" si="673"/>
        <v>2.5</v>
      </c>
      <c r="AG8132" s="580">
        <f t="shared" si="674"/>
        <v>0</v>
      </c>
      <c r="AH8132" s="580">
        <f t="shared" si="675"/>
        <v>0</v>
      </c>
    </row>
    <row r="8133" spans="28:34">
      <c r="AB8133" s="580">
        <f>HLOOKUP("*"&amp;'Output annual'!$AC$2&amp;'Output annual'!$AD$2&amp;"*Zone People Number Of Occupants [](Hourly)",'Eplus results'!$1:$1048576,ROW(),FALSE)</f>
        <v>0</v>
      </c>
      <c r="AC8133" s="580">
        <f>HLOOKUP("*"&amp;'Output annual'!$AC$2&amp;'Output annual'!$AD$2&amp;"*FangerPMV(Hourly)",'Eplus results'!$1:$1048576,ROW(),FALSE)</f>
        <v>0</v>
      </c>
      <c r="AD8133" s="580">
        <f t="shared" si="671"/>
        <v>5</v>
      </c>
      <c r="AE8133" s="580">
        <f t="shared" si="672"/>
        <v>2.5</v>
      </c>
      <c r="AF8133" s="580">
        <f t="shared" si="673"/>
        <v>2.5</v>
      </c>
      <c r="AG8133" s="580">
        <f t="shared" si="674"/>
        <v>0</v>
      </c>
      <c r="AH8133" s="580">
        <f t="shared" si="675"/>
        <v>0</v>
      </c>
    </row>
    <row r="8134" spans="28:34">
      <c r="AB8134" s="580">
        <f>HLOOKUP("*"&amp;'Output annual'!$AC$2&amp;'Output annual'!$AD$2&amp;"*Zone People Number Of Occupants [](Hourly)",'Eplus results'!$1:$1048576,ROW(),FALSE)</f>
        <v>0</v>
      </c>
      <c r="AC8134" s="580">
        <f>HLOOKUP("*"&amp;'Output annual'!$AC$2&amp;'Output annual'!$AD$2&amp;"*FangerPMV(Hourly)",'Eplus results'!$1:$1048576,ROW(),FALSE)</f>
        <v>0</v>
      </c>
      <c r="AD8134" s="580">
        <f t="shared" si="671"/>
        <v>5</v>
      </c>
      <c r="AE8134" s="580">
        <f t="shared" si="672"/>
        <v>2.5</v>
      </c>
      <c r="AF8134" s="580">
        <f t="shared" si="673"/>
        <v>2.5</v>
      </c>
      <c r="AG8134" s="580">
        <f t="shared" si="674"/>
        <v>0</v>
      </c>
      <c r="AH8134" s="580">
        <f t="shared" si="675"/>
        <v>0</v>
      </c>
    </row>
    <row r="8135" spans="28:34">
      <c r="AB8135" s="580">
        <f>HLOOKUP("*"&amp;'Output annual'!$AC$2&amp;'Output annual'!$AD$2&amp;"*Zone People Number Of Occupants [](Hourly)",'Eplus results'!$1:$1048576,ROW(),FALSE)</f>
        <v>0</v>
      </c>
      <c r="AC8135" s="580">
        <f>HLOOKUP("*"&amp;'Output annual'!$AC$2&amp;'Output annual'!$AD$2&amp;"*FangerPMV(Hourly)",'Eplus results'!$1:$1048576,ROW(),FALSE)</f>
        <v>0</v>
      </c>
      <c r="AD8135" s="580">
        <f t="shared" si="671"/>
        <v>5</v>
      </c>
      <c r="AE8135" s="580">
        <f t="shared" si="672"/>
        <v>2.5</v>
      </c>
      <c r="AF8135" s="580">
        <f t="shared" si="673"/>
        <v>2.5</v>
      </c>
      <c r="AG8135" s="580">
        <f t="shared" si="674"/>
        <v>0</v>
      </c>
      <c r="AH8135" s="580">
        <f t="shared" si="675"/>
        <v>0</v>
      </c>
    </row>
    <row r="8136" spans="28:34">
      <c r="AB8136" s="580">
        <f>HLOOKUP("*"&amp;'Output annual'!$AC$2&amp;'Output annual'!$AD$2&amp;"*Zone People Number Of Occupants [](Hourly)",'Eplus results'!$1:$1048576,ROW(),FALSE)</f>
        <v>0</v>
      </c>
      <c r="AC8136" s="580">
        <f>HLOOKUP("*"&amp;'Output annual'!$AC$2&amp;'Output annual'!$AD$2&amp;"*FangerPMV(Hourly)",'Eplus results'!$1:$1048576,ROW(),FALSE)</f>
        <v>0</v>
      </c>
      <c r="AD8136" s="580">
        <f t="shared" si="671"/>
        <v>5</v>
      </c>
      <c r="AE8136" s="580">
        <f t="shared" si="672"/>
        <v>2.5</v>
      </c>
      <c r="AF8136" s="580">
        <f t="shared" si="673"/>
        <v>2.5</v>
      </c>
      <c r="AG8136" s="580">
        <f t="shared" si="674"/>
        <v>0</v>
      </c>
      <c r="AH8136" s="580">
        <f t="shared" si="675"/>
        <v>0</v>
      </c>
    </row>
    <row r="8137" spans="28:34">
      <c r="AB8137" s="580">
        <f>HLOOKUP("*"&amp;'Output annual'!$AC$2&amp;'Output annual'!$AD$2&amp;"*Zone People Number Of Occupants [](Hourly)",'Eplus results'!$1:$1048576,ROW(),FALSE)</f>
        <v>0</v>
      </c>
      <c r="AC8137" s="580">
        <f>HLOOKUP("*"&amp;'Output annual'!$AC$2&amp;'Output annual'!$AD$2&amp;"*FangerPMV(Hourly)",'Eplus results'!$1:$1048576,ROW(),FALSE)</f>
        <v>0</v>
      </c>
      <c r="AD8137" s="580">
        <f t="shared" si="671"/>
        <v>5</v>
      </c>
      <c r="AE8137" s="580">
        <f t="shared" si="672"/>
        <v>2.5</v>
      </c>
      <c r="AF8137" s="580">
        <f t="shared" si="673"/>
        <v>2.5</v>
      </c>
      <c r="AG8137" s="580">
        <f t="shared" si="674"/>
        <v>0</v>
      </c>
      <c r="AH8137" s="580">
        <f t="shared" si="675"/>
        <v>0</v>
      </c>
    </row>
    <row r="8138" spans="28:34">
      <c r="AB8138" s="580">
        <f>HLOOKUP("*"&amp;'Output annual'!$AC$2&amp;'Output annual'!$AD$2&amp;"*Zone People Number Of Occupants [](Hourly)",'Eplus results'!$1:$1048576,ROW(),FALSE)</f>
        <v>0</v>
      </c>
      <c r="AC8138" s="580">
        <f>HLOOKUP("*"&amp;'Output annual'!$AC$2&amp;'Output annual'!$AD$2&amp;"*FangerPMV(Hourly)",'Eplus results'!$1:$1048576,ROW(),FALSE)</f>
        <v>0</v>
      </c>
      <c r="AD8138" s="580">
        <f t="shared" si="671"/>
        <v>5</v>
      </c>
      <c r="AE8138" s="580">
        <f t="shared" si="672"/>
        <v>2.5</v>
      </c>
      <c r="AF8138" s="580">
        <f t="shared" si="673"/>
        <v>2.5</v>
      </c>
      <c r="AG8138" s="580">
        <f t="shared" si="674"/>
        <v>0</v>
      </c>
      <c r="AH8138" s="580">
        <f t="shared" si="675"/>
        <v>0</v>
      </c>
    </row>
    <row r="8139" spans="28:34">
      <c r="AB8139" s="580">
        <f>HLOOKUP("*"&amp;'Output annual'!$AC$2&amp;'Output annual'!$AD$2&amp;"*Zone People Number Of Occupants [](Hourly)",'Eplus results'!$1:$1048576,ROW(),FALSE)</f>
        <v>0</v>
      </c>
      <c r="AC8139" s="580">
        <f>HLOOKUP("*"&amp;'Output annual'!$AC$2&amp;'Output annual'!$AD$2&amp;"*FangerPMV(Hourly)",'Eplus results'!$1:$1048576,ROW(),FALSE)</f>
        <v>0</v>
      </c>
      <c r="AD8139" s="580">
        <f t="shared" si="671"/>
        <v>5</v>
      </c>
      <c r="AE8139" s="580">
        <f t="shared" si="672"/>
        <v>2.5</v>
      </c>
      <c r="AF8139" s="580">
        <f t="shared" si="673"/>
        <v>2.5</v>
      </c>
      <c r="AG8139" s="580">
        <f t="shared" si="674"/>
        <v>0</v>
      </c>
      <c r="AH8139" s="580">
        <f t="shared" si="675"/>
        <v>0</v>
      </c>
    </row>
    <row r="8140" spans="28:34">
      <c r="AB8140" s="580">
        <f>HLOOKUP("*"&amp;'Output annual'!$AC$2&amp;'Output annual'!$AD$2&amp;"*Zone People Number Of Occupants [](Hourly)",'Eplus results'!$1:$1048576,ROW(),FALSE)</f>
        <v>0</v>
      </c>
      <c r="AC8140" s="580">
        <f>HLOOKUP("*"&amp;'Output annual'!$AC$2&amp;'Output annual'!$AD$2&amp;"*FangerPMV(Hourly)",'Eplus results'!$1:$1048576,ROW(),FALSE)</f>
        <v>0</v>
      </c>
      <c r="AD8140" s="580">
        <f t="shared" si="671"/>
        <v>5</v>
      </c>
      <c r="AE8140" s="580">
        <f t="shared" si="672"/>
        <v>2.5</v>
      </c>
      <c r="AF8140" s="580">
        <f t="shared" si="673"/>
        <v>2.5</v>
      </c>
      <c r="AG8140" s="580">
        <f t="shared" si="674"/>
        <v>0</v>
      </c>
      <c r="AH8140" s="580">
        <f t="shared" si="675"/>
        <v>0</v>
      </c>
    </row>
    <row r="8141" spans="28:34">
      <c r="AB8141" s="580">
        <f>HLOOKUP("*"&amp;'Output annual'!$AC$2&amp;'Output annual'!$AD$2&amp;"*Zone People Number Of Occupants [](Hourly)",'Eplus results'!$1:$1048576,ROW(),FALSE)</f>
        <v>0</v>
      </c>
      <c r="AC8141" s="580">
        <f>HLOOKUP("*"&amp;'Output annual'!$AC$2&amp;'Output annual'!$AD$2&amp;"*FangerPMV(Hourly)",'Eplus results'!$1:$1048576,ROW(),FALSE)</f>
        <v>0</v>
      </c>
      <c r="AD8141" s="580">
        <f t="shared" si="671"/>
        <v>5</v>
      </c>
      <c r="AE8141" s="580">
        <f t="shared" si="672"/>
        <v>2.5</v>
      </c>
      <c r="AF8141" s="580">
        <f t="shared" si="673"/>
        <v>2.5</v>
      </c>
      <c r="AG8141" s="580">
        <f t="shared" si="674"/>
        <v>0</v>
      </c>
      <c r="AH8141" s="580">
        <f t="shared" si="675"/>
        <v>0</v>
      </c>
    </row>
    <row r="8142" spans="28:34">
      <c r="AB8142" s="580">
        <f>HLOOKUP("*"&amp;'Output annual'!$AC$2&amp;'Output annual'!$AD$2&amp;"*Zone People Number Of Occupants [](Hourly)",'Eplus results'!$1:$1048576,ROW(),FALSE)</f>
        <v>0</v>
      </c>
      <c r="AC8142" s="580">
        <f>HLOOKUP("*"&amp;'Output annual'!$AC$2&amp;'Output annual'!$AD$2&amp;"*FangerPMV(Hourly)",'Eplus results'!$1:$1048576,ROW(),FALSE)</f>
        <v>0</v>
      </c>
      <c r="AD8142" s="580">
        <f t="shared" si="671"/>
        <v>5</v>
      </c>
      <c r="AE8142" s="580">
        <f t="shared" si="672"/>
        <v>2.5</v>
      </c>
      <c r="AF8142" s="580">
        <f t="shared" si="673"/>
        <v>2.5</v>
      </c>
      <c r="AG8142" s="580">
        <f t="shared" si="674"/>
        <v>0</v>
      </c>
      <c r="AH8142" s="580">
        <f t="shared" si="675"/>
        <v>0</v>
      </c>
    </row>
    <row r="8143" spans="28:34">
      <c r="AB8143" s="580">
        <f>HLOOKUP("*"&amp;'Output annual'!$AC$2&amp;'Output annual'!$AD$2&amp;"*Zone People Number Of Occupants [](Hourly)",'Eplus results'!$1:$1048576,ROW(),FALSE)</f>
        <v>0</v>
      </c>
      <c r="AC8143" s="580">
        <f>HLOOKUP("*"&amp;'Output annual'!$AC$2&amp;'Output annual'!$AD$2&amp;"*FangerPMV(Hourly)",'Eplus results'!$1:$1048576,ROW(),FALSE)</f>
        <v>0</v>
      </c>
      <c r="AD8143" s="580">
        <f t="shared" si="671"/>
        <v>5</v>
      </c>
      <c r="AE8143" s="580">
        <f t="shared" si="672"/>
        <v>2.5</v>
      </c>
      <c r="AF8143" s="580">
        <f t="shared" si="673"/>
        <v>2.5</v>
      </c>
      <c r="AG8143" s="580">
        <f t="shared" si="674"/>
        <v>0</v>
      </c>
      <c r="AH8143" s="580">
        <f t="shared" si="675"/>
        <v>0</v>
      </c>
    </row>
    <row r="8144" spans="28:34">
      <c r="AB8144" s="580">
        <f>HLOOKUP("*"&amp;'Output annual'!$AC$2&amp;'Output annual'!$AD$2&amp;"*Zone People Number Of Occupants [](Hourly)",'Eplus results'!$1:$1048576,ROW(),FALSE)</f>
        <v>0</v>
      </c>
      <c r="AC8144" s="580">
        <f>HLOOKUP("*"&amp;'Output annual'!$AC$2&amp;'Output annual'!$AD$2&amp;"*FangerPMV(Hourly)",'Eplus results'!$1:$1048576,ROW(),FALSE)</f>
        <v>0</v>
      </c>
      <c r="AD8144" s="580">
        <f t="shared" si="671"/>
        <v>5</v>
      </c>
      <c r="AE8144" s="580">
        <f t="shared" si="672"/>
        <v>2.5</v>
      </c>
      <c r="AF8144" s="580">
        <f t="shared" si="673"/>
        <v>2.5</v>
      </c>
      <c r="AG8144" s="580">
        <f t="shared" si="674"/>
        <v>0</v>
      </c>
      <c r="AH8144" s="580">
        <f t="shared" si="675"/>
        <v>0</v>
      </c>
    </row>
    <row r="8145" spans="28:34">
      <c r="AB8145" s="580">
        <f>HLOOKUP("*"&amp;'Output annual'!$AC$2&amp;'Output annual'!$AD$2&amp;"*Zone People Number Of Occupants [](Hourly)",'Eplus results'!$1:$1048576,ROW(),FALSE)</f>
        <v>0</v>
      </c>
      <c r="AC8145" s="580">
        <f>HLOOKUP("*"&amp;'Output annual'!$AC$2&amp;'Output annual'!$AD$2&amp;"*FangerPMV(Hourly)",'Eplus results'!$1:$1048576,ROW(),FALSE)</f>
        <v>0</v>
      </c>
      <c r="AD8145" s="580">
        <f t="shared" si="671"/>
        <v>5</v>
      </c>
      <c r="AE8145" s="580">
        <f t="shared" si="672"/>
        <v>2.5</v>
      </c>
      <c r="AF8145" s="580">
        <f t="shared" si="673"/>
        <v>2.5</v>
      </c>
      <c r="AG8145" s="580">
        <f t="shared" si="674"/>
        <v>0</v>
      </c>
      <c r="AH8145" s="580">
        <f t="shared" si="675"/>
        <v>0</v>
      </c>
    </row>
    <row r="8146" spans="28:34">
      <c r="AB8146" s="580">
        <f>HLOOKUP("*"&amp;'Output annual'!$AC$2&amp;'Output annual'!$AD$2&amp;"*Zone People Number Of Occupants [](Hourly)",'Eplus results'!$1:$1048576,ROW(),FALSE)</f>
        <v>0</v>
      </c>
      <c r="AC8146" s="580">
        <f>HLOOKUP("*"&amp;'Output annual'!$AC$2&amp;'Output annual'!$AD$2&amp;"*FangerPMV(Hourly)",'Eplus results'!$1:$1048576,ROW(),FALSE)</f>
        <v>0</v>
      </c>
      <c r="AD8146" s="580">
        <f t="shared" si="671"/>
        <v>5</v>
      </c>
      <c r="AE8146" s="580">
        <f t="shared" si="672"/>
        <v>2.5</v>
      </c>
      <c r="AF8146" s="580">
        <f t="shared" si="673"/>
        <v>2.5</v>
      </c>
      <c r="AG8146" s="580">
        <f t="shared" si="674"/>
        <v>0</v>
      </c>
      <c r="AH8146" s="580">
        <f t="shared" si="675"/>
        <v>0</v>
      </c>
    </row>
    <row r="8147" spans="28:34">
      <c r="AB8147" s="580">
        <f>HLOOKUP("*"&amp;'Output annual'!$AC$2&amp;'Output annual'!$AD$2&amp;"*Zone People Number Of Occupants [](Hourly)",'Eplus results'!$1:$1048576,ROW(),FALSE)</f>
        <v>0</v>
      </c>
      <c r="AC8147" s="580">
        <f>HLOOKUP("*"&amp;'Output annual'!$AC$2&amp;'Output annual'!$AD$2&amp;"*FangerPMV(Hourly)",'Eplus results'!$1:$1048576,ROW(),FALSE)</f>
        <v>0</v>
      </c>
      <c r="AD8147" s="580">
        <f t="shared" si="671"/>
        <v>5</v>
      </c>
      <c r="AE8147" s="580">
        <f t="shared" si="672"/>
        <v>2.5</v>
      </c>
      <c r="AF8147" s="580">
        <f t="shared" si="673"/>
        <v>2.5</v>
      </c>
      <c r="AG8147" s="580">
        <f t="shared" si="674"/>
        <v>0</v>
      </c>
      <c r="AH8147" s="580">
        <f t="shared" si="675"/>
        <v>0</v>
      </c>
    </row>
    <row r="8148" spans="28:34">
      <c r="AB8148" s="580">
        <f>HLOOKUP("*"&amp;'Output annual'!$AC$2&amp;'Output annual'!$AD$2&amp;"*Zone People Number Of Occupants [](Hourly)",'Eplus results'!$1:$1048576,ROW(),FALSE)</f>
        <v>0</v>
      </c>
      <c r="AC8148" s="580">
        <f>HLOOKUP("*"&amp;'Output annual'!$AC$2&amp;'Output annual'!$AD$2&amp;"*FangerPMV(Hourly)",'Eplus results'!$1:$1048576,ROW(),FALSE)</f>
        <v>0</v>
      </c>
      <c r="AD8148" s="580">
        <f t="shared" si="671"/>
        <v>5</v>
      </c>
      <c r="AE8148" s="580">
        <f t="shared" si="672"/>
        <v>2.5</v>
      </c>
      <c r="AF8148" s="580">
        <f t="shared" si="673"/>
        <v>2.5</v>
      </c>
      <c r="AG8148" s="580">
        <f t="shared" si="674"/>
        <v>0</v>
      </c>
      <c r="AH8148" s="580">
        <f t="shared" si="675"/>
        <v>0</v>
      </c>
    </row>
    <row r="8149" spans="28:34">
      <c r="AB8149" s="580">
        <f>HLOOKUP("*"&amp;'Output annual'!$AC$2&amp;'Output annual'!$AD$2&amp;"*Zone People Number Of Occupants [](Hourly)",'Eplus results'!$1:$1048576,ROW(),FALSE)</f>
        <v>0</v>
      </c>
      <c r="AC8149" s="580">
        <f>HLOOKUP("*"&amp;'Output annual'!$AC$2&amp;'Output annual'!$AD$2&amp;"*FangerPMV(Hourly)",'Eplus results'!$1:$1048576,ROW(),FALSE)</f>
        <v>0</v>
      </c>
      <c r="AD8149" s="580">
        <f t="shared" si="671"/>
        <v>5</v>
      </c>
      <c r="AE8149" s="580">
        <f t="shared" si="672"/>
        <v>2.5</v>
      </c>
      <c r="AF8149" s="580">
        <f t="shared" si="673"/>
        <v>2.5</v>
      </c>
      <c r="AG8149" s="580">
        <f t="shared" si="674"/>
        <v>0</v>
      </c>
      <c r="AH8149" s="580">
        <f t="shared" si="675"/>
        <v>0</v>
      </c>
    </row>
    <row r="8150" spans="28:34">
      <c r="AB8150" s="580">
        <f>HLOOKUP("*"&amp;'Output annual'!$AC$2&amp;'Output annual'!$AD$2&amp;"*Zone People Number Of Occupants [](Hourly)",'Eplus results'!$1:$1048576,ROW(),FALSE)</f>
        <v>0</v>
      </c>
      <c r="AC8150" s="580">
        <f>HLOOKUP("*"&amp;'Output annual'!$AC$2&amp;'Output annual'!$AD$2&amp;"*FangerPMV(Hourly)",'Eplus results'!$1:$1048576,ROW(),FALSE)</f>
        <v>0</v>
      </c>
      <c r="AD8150" s="580">
        <f t="shared" si="671"/>
        <v>5</v>
      </c>
      <c r="AE8150" s="580">
        <f t="shared" si="672"/>
        <v>2.5</v>
      </c>
      <c r="AF8150" s="580">
        <f t="shared" si="673"/>
        <v>2.5</v>
      </c>
      <c r="AG8150" s="580">
        <f t="shared" si="674"/>
        <v>0</v>
      </c>
      <c r="AH8150" s="580">
        <f t="shared" si="675"/>
        <v>0</v>
      </c>
    </row>
    <row r="8151" spans="28:34">
      <c r="AB8151" s="580">
        <f>HLOOKUP("*"&amp;'Output annual'!$AC$2&amp;'Output annual'!$AD$2&amp;"*Zone People Number Of Occupants [](Hourly)",'Eplus results'!$1:$1048576,ROW(),FALSE)</f>
        <v>0</v>
      </c>
      <c r="AC8151" s="580">
        <f>HLOOKUP("*"&amp;'Output annual'!$AC$2&amp;'Output annual'!$AD$2&amp;"*FangerPMV(Hourly)",'Eplus results'!$1:$1048576,ROW(),FALSE)</f>
        <v>0</v>
      </c>
      <c r="AD8151" s="580">
        <f t="shared" si="671"/>
        <v>5</v>
      </c>
      <c r="AE8151" s="580">
        <f t="shared" si="672"/>
        <v>2.5</v>
      </c>
      <c r="AF8151" s="580">
        <f t="shared" si="673"/>
        <v>2.5</v>
      </c>
      <c r="AG8151" s="580">
        <f t="shared" si="674"/>
        <v>0</v>
      </c>
      <c r="AH8151" s="580">
        <f t="shared" si="675"/>
        <v>0</v>
      </c>
    </row>
    <row r="8152" spans="28:34">
      <c r="AB8152" s="580">
        <f>HLOOKUP("*"&amp;'Output annual'!$AC$2&amp;'Output annual'!$AD$2&amp;"*Zone People Number Of Occupants [](Hourly)",'Eplus results'!$1:$1048576,ROW(),FALSE)</f>
        <v>0</v>
      </c>
      <c r="AC8152" s="580">
        <f>HLOOKUP("*"&amp;'Output annual'!$AC$2&amp;'Output annual'!$AD$2&amp;"*FangerPMV(Hourly)",'Eplus results'!$1:$1048576,ROW(),FALSE)</f>
        <v>0</v>
      </c>
      <c r="AD8152" s="580">
        <f t="shared" si="671"/>
        <v>5</v>
      </c>
      <c r="AE8152" s="580">
        <f t="shared" si="672"/>
        <v>2.5</v>
      </c>
      <c r="AF8152" s="580">
        <f t="shared" si="673"/>
        <v>2.5</v>
      </c>
      <c r="AG8152" s="580">
        <f t="shared" si="674"/>
        <v>0</v>
      </c>
      <c r="AH8152" s="580">
        <f t="shared" si="675"/>
        <v>0</v>
      </c>
    </row>
    <row r="8153" spans="28:34">
      <c r="AB8153" s="580">
        <f>HLOOKUP("*"&amp;'Output annual'!$AC$2&amp;'Output annual'!$AD$2&amp;"*Zone People Number Of Occupants [](Hourly)",'Eplus results'!$1:$1048576,ROW(),FALSE)</f>
        <v>0</v>
      </c>
      <c r="AC8153" s="580">
        <f>HLOOKUP("*"&amp;'Output annual'!$AC$2&amp;'Output annual'!$AD$2&amp;"*FangerPMV(Hourly)",'Eplus results'!$1:$1048576,ROW(),FALSE)</f>
        <v>0</v>
      </c>
      <c r="AD8153" s="580">
        <f t="shared" si="671"/>
        <v>5</v>
      </c>
      <c r="AE8153" s="580">
        <f t="shared" si="672"/>
        <v>2.5</v>
      </c>
      <c r="AF8153" s="580">
        <f t="shared" si="673"/>
        <v>2.5</v>
      </c>
      <c r="AG8153" s="580">
        <f t="shared" si="674"/>
        <v>0</v>
      </c>
      <c r="AH8153" s="580">
        <f t="shared" si="675"/>
        <v>0</v>
      </c>
    </row>
    <row r="8154" spans="28:34">
      <c r="AB8154" s="580">
        <f>HLOOKUP("*"&amp;'Output annual'!$AC$2&amp;'Output annual'!$AD$2&amp;"*Zone People Number Of Occupants [](Hourly)",'Eplus results'!$1:$1048576,ROW(),FALSE)</f>
        <v>0</v>
      </c>
      <c r="AC8154" s="580">
        <f>HLOOKUP("*"&amp;'Output annual'!$AC$2&amp;'Output annual'!$AD$2&amp;"*FangerPMV(Hourly)",'Eplus results'!$1:$1048576,ROW(),FALSE)</f>
        <v>0</v>
      </c>
      <c r="AD8154" s="580">
        <f t="shared" si="671"/>
        <v>5</v>
      </c>
      <c r="AE8154" s="580">
        <f t="shared" si="672"/>
        <v>2.5</v>
      </c>
      <c r="AF8154" s="580">
        <f t="shared" si="673"/>
        <v>2.5</v>
      </c>
      <c r="AG8154" s="580">
        <f t="shared" si="674"/>
        <v>0</v>
      </c>
      <c r="AH8154" s="580">
        <f t="shared" si="675"/>
        <v>0</v>
      </c>
    </row>
    <row r="8155" spans="28:34">
      <c r="AB8155" s="580">
        <f>HLOOKUP("*"&amp;'Output annual'!$AC$2&amp;'Output annual'!$AD$2&amp;"*Zone People Number Of Occupants [](Hourly)",'Eplus results'!$1:$1048576,ROW(),FALSE)</f>
        <v>0</v>
      </c>
      <c r="AC8155" s="580">
        <f>HLOOKUP("*"&amp;'Output annual'!$AC$2&amp;'Output annual'!$AD$2&amp;"*FangerPMV(Hourly)",'Eplus results'!$1:$1048576,ROW(),FALSE)</f>
        <v>0</v>
      </c>
      <c r="AD8155" s="580">
        <f t="shared" si="671"/>
        <v>5</v>
      </c>
      <c r="AE8155" s="580">
        <f t="shared" si="672"/>
        <v>2.5</v>
      </c>
      <c r="AF8155" s="580">
        <f t="shared" si="673"/>
        <v>2.5</v>
      </c>
      <c r="AG8155" s="580">
        <f t="shared" si="674"/>
        <v>0</v>
      </c>
      <c r="AH8155" s="580">
        <f t="shared" si="675"/>
        <v>0</v>
      </c>
    </row>
    <row r="8156" spans="28:34">
      <c r="AB8156" s="580">
        <f>HLOOKUP("*"&amp;'Output annual'!$AC$2&amp;'Output annual'!$AD$2&amp;"*Zone People Number Of Occupants [](Hourly)",'Eplus results'!$1:$1048576,ROW(),FALSE)</f>
        <v>0</v>
      </c>
      <c r="AC8156" s="580">
        <f>HLOOKUP("*"&amp;'Output annual'!$AC$2&amp;'Output annual'!$AD$2&amp;"*FangerPMV(Hourly)",'Eplus results'!$1:$1048576,ROW(),FALSE)</f>
        <v>0</v>
      </c>
      <c r="AD8156" s="580">
        <f t="shared" si="671"/>
        <v>5</v>
      </c>
      <c r="AE8156" s="580">
        <f t="shared" si="672"/>
        <v>2.5</v>
      </c>
      <c r="AF8156" s="580">
        <f t="shared" si="673"/>
        <v>2.5</v>
      </c>
      <c r="AG8156" s="580">
        <f t="shared" si="674"/>
        <v>0</v>
      </c>
      <c r="AH8156" s="580">
        <f t="shared" si="675"/>
        <v>0</v>
      </c>
    </row>
    <row r="8157" spans="28:34">
      <c r="AB8157" s="580">
        <f>HLOOKUP("*"&amp;'Output annual'!$AC$2&amp;'Output annual'!$AD$2&amp;"*Zone People Number Of Occupants [](Hourly)",'Eplus results'!$1:$1048576,ROW(),FALSE)</f>
        <v>0</v>
      </c>
      <c r="AC8157" s="580">
        <f>HLOOKUP("*"&amp;'Output annual'!$AC$2&amp;'Output annual'!$AD$2&amp;"*FangerPMV(Hourly)",'Eplus results'!$1:$1048576,ROW(),FALSE)</f>
        <v>0</v>
      </c>
      <c r="AD8157" s="580">
        <f t="shared" si="671"/>
        <v>5</v>
      </c>
      <c r="AE8157" s="580">
        <f t="shared" si="672"/>
        <v>2.5</v>
      </c>
      <c r="AF8157" s="580">
        <f t="shared" si="673"/>
        <v>2.5</v>
      </c>
      <c r="AG8157" s="580">
        <f t="shared" si="674"/>
        <v>0</v>
      </c>
      <c r="AH8157" s="580">
        <f t="shared" si="675"/>
        <v>0</v>
      </c>
    </row>
    <row r="8158" spans="28:34">
      <c r="AB8158" s="580">
        <f>HLOOKUP("*"&amp;'Output annual'!$AC$2&amp;'Output annual'!$AD$2&amp;"*Zone People Number Of Occupants [](Hourly)",'Eplus results'!$1:$1048576,ROW(),FALSE)</f>
        <v>0</v>
      </c>
      <c r="AC8158" s="580">
        <f>HLOOKUP("*"&amp;'Output annual'!$AC$2&amp;'Output annual'!$AD$2&amp;"*FangerPMV(Hourly)",'Eplus results'!$1:$1048576,ROW(),FALSE)</f>
        <v>0</v>
      </c>
      <c r="AD8158" s="580">
        <f t="shared" si="671"/>
        <v>5</v>
      </c>
      <c r="AE8158" s="580">
        <f t="shared" si="672"/>
        <v>2.5</v>
      </c>
      <c r="AF8158" s="580">
        <f t="shared" si="673"/>
        <v>2.5</v>
      </c>
      <c r="AG8158" s="580">
        <f t="shared" si="674"/>
        <v>0</v>
      </c>
      <c r="AH8158" s="580">
        <f t="shared" si="675"/>
        <v>0</v>
      </c>
    </row>
    <row r="8159" spans="28:34">
      <c r="AB8159" s="580">
        <f>HLOOKUP("*"&amp;'Output annual'!$AC$2&amp;'Output annual'!$AD$2&amp;"*Zone People Number Of Occupants [](Hourly)",'Eplus results'!$1:$1048576,ROW(),FALSE)</f>
        <v>0</v>
      </c>
      <c r="AC8159" s="580">
        <f>HLOOKUP("*"&amp;'Output annual'!$AC$2&amp;'Output annual'!$AD$2&amp;"*FangerPMV(Hourly)",'Eplus results'!$1:$1048576,ROW(),FALSE)</f>
        <v>0</v>
      </c>
      <c r="AD8159" s="580">
        <f t="shared" si="671"/>
        <v>5</v>
      </c>
      <c r="AE8159" s="580">
        <f t="shared" si="672"/>
        <v>2.5</v>
      </c>
      <c r="AF8159" s="580">
        <f t="shared" si="673"/>
        <v>2.5</v>
      </c>
      <c r="AG8159" s="580">
        <f t="shared" si="674"/>
        <v>0</v>
      </c>
      <c r="AH8159" s="580">
        <f t="shared" si="675"/>
        <v>0</v>
      </c>
    </row>
    <row r="8160" spans="28:34">
      <c r="AB8160" s="580">
        <f>HLOOKUP("*"&amp;'Output annual'!$AC$2&amp;'Output annual'!$AD$2&amp;"*Zone People Number Of Occupants [](Hourly)",'Eplus results'!$1:$1048576,ROW(),FALSE)</f>
        <v>0</v>
      </c>
      <c r="AC8160" s="580">
        <f>HLOOKUP("*"&amp;'Output annual'!$AC$2&amp;'Output annual'!$AD$2&amp;"*FangerPMV(Hourly)",'Eplus results'!$1:$1048576,ROW(),FALSE)</f>
        <v>0</v>
      </c>
      <c r="AD8160" s="580">
        <f t="shared" si="671"/>
        <v>5</v>
      </c>
      <c r="AE8160" s="580">
        <f t="shared" si="672"/>
        <v>2.5</v>
      </c>
      <c r="AF8160" s="580">
        <f t="shared" si="673"/>
        <v>2.5</v>
      </c>
      <c r="AG8160" s="580">
        <f t="shared" si="674"/>
        <v>0</v>
      </c>
      <c r="AH8160" s="580">
        <f t="shared" si="675"/>
        <v>0</v>
      </c>
    </row>
    <row r="8161" spans="28:34">
      <c r="AB8161" s="580">
        <f>HLOOKUP("*"&amp;'Output annual'!$AC$2&amp;'Output annual'!$AD$2&amp;"*Zone People Number Of Occupants [](Hourly)",'Eplus results'!$1:$1048576,ROW(),FALSE)</f>
        <v>0</v>
      </c>
      <c r="AC8161" s="580">
        <f>HLOOKUP("*"&amp;'Output annual'!$AC$2&amp;'Output annual'!$AD$2&amp;"*FangerPMV(Hourly)",'Eplus results'!$1:$1048576,ROW(),FALSE)</f>
        <v>0</v>
      </c>
      <c r="AD8161" s="580">
        <f t="shared" si="671"/>
        <v>5</v>
      </c>
      <c r="AE8161" s="580">
        <f t="shared" si="672"/>
        <v>2.5</v>
      </c>
      <c r="AF8161" s="580">
        <f t="shared" si="673"/>
        <v>2.5</v>
      </c>
      <c r="AG8161" s="580">
        <f t="shared" si="674"/>
        <v>0</v>
      </c>
      <c r="AH8161" s="580">
        <f t="shared" si="675"/>
        <v>0</v>
      </c>
    </row>
    <row r="8162" spans="28:34">
      <c r="AB8162" s="580">
        <f>HLOOKUP("*"&amp;'Output annual'!$AC$2&amp;'Output annual'!$AD$2&amp;"*Zone People Number Of Occupants [](Hourly)",'Eplus results'!$1:$1048576,ROW(),FALSE)</f>
        <v>0</v>
      </c>
      <c r="AC8162" s="580">
        <f>HLOOKUP("*"&amp;'Output annual'!$AC$2&amp;'Output annual'!$AD$2&amp;"*FangerPMV(Hourly)",'Eplus results'!$1:$1048576,ROW(),FALSE)</f>
        <v>0</v>
      </c>
      <c r="AD8162" s="580">
        <f t="shared" si="671"/>
        <v>5</v>
      </c>
      <c r="AE8162" s="580">
        <f t="shared" si="672"/>
        <v>2.5</v>
      </c>
      <c r="AF8162" s="580">
        <f t="shared" si="673"/>
        <v>2.5</v>
      </c>
      <c r="AG8162" s="580">
        <f t="shared" si="674"/>
        <v>0</v>
      </c>
      <c r="AH8162" s="580">
        <f t="shared" si="675"/>
        <v>0</v>
      </c>
    </row>
    <row r="8163" spans="28:34">
      <c r="AB8163" s="580">
        <f>HLOOKUP("*"&amp;'Output annual'!$AC$2&amp;'Output annual'!$AD$2&amp;"*Zone People Number Of Occupants [](Hourly)",'Eplus results'!$1:$1048576,ROW(),FALSE)</f>
        <v>0</v>
      </c>
      <c r="AC8163" s="580">
        <f>HLOOKUP("*"&amp;'Output annual'!$AC$2&amp;'Output annual'!$AD$2&amp;"*FangerPMV(Hourly)",'Eplus results'!$1:$1048576,ROW(),FALSE)</f>
        <v>0</v>
      </c>
      <c r="AD8163" s="580">
        <f t="shared" si="671"/>
        <v>5</v>
      </c>
      <c r="AE8163" s="580">
        <f t="shared" si="672"/>
        <v>2.5</v>
      </c>
      <c r="AF8163" s="580">
        <f t="shared" si="673"/>
        <v>2.5</v>
      </c>
      <c r="AG8163" s="580">
        <f t="shared" si="674"/>
        <v>0</v>
      </c>
      <c r="AH8163" s="580">
        <f t="shared" si="675"/>
        <v>0</v>
      </c>
    </row>
    <row r="8164" spans="28:34">
      <c r="AB8164" s="580">
        <f>HLOOKUP("*"&amp;'Output annual'!$AC$2&amp;'Output annual'!$AD$2&amp;"*Zone People Number Of Occupants [](Hourly)",'Eplus results'!$1:$1048576,ROW(),FALSE)</f>
        <v>0</v>
      </c>
      <c r="AC8164" s="580">
        <f>HLOOKUP("*"&amp;'Output annual'!$AC$2&amp;'Output annual'!$AD$2&amp;"*FangerPMV(Hourly)",'Eplus results'!$1:$1048576,ROW(),FALSE)</f>
        <v>0</v>
      </c>
      <c r="AD8164" s="580">
        <f t="shared" si="671"/>
        <v>5</v>
      </c>
      <c r="AE8164" s="580">
        <f t="shared" si="672"/>
        <v>2.5</v>
      </c>
      <c r="AF8164" s="580">
        <f t="shared" si="673"/>
        <v>2.5</v>
      </c>
      <c r="AG8164" s="580">
        <f t="shared" si="674"/>
        <v>0</v>
      </c>
      <c r="AH8164" s="580">
        <f t="shared" si="675"/>
        <v>0</v>
      </c>
    </row>
    <row r="8165" spans="28:34">
      <c r="AB8165" s="580">
        <f>HLOOKUP("*"&amp;'Output annual'!$AC$2&amp;'Output annual'!$AD$2&amp;"*Zone People Number Of Occupants [](Hourly)",'Eplus results'!$1:$1048576,ROW(),FALSE)</f>
        <v>0</v>
      </c>
      <c r="AC8165" s="580">
        <f>HLOOKUP("*"&amp;'Output annual'!$AC$2&amp;'Output annual'!$AD$2&amp;"*FangerPMV(Hourly)",'Eplus results'!$1:$1048576,ROW(),FALSE)</f>
        <v>0</v>
      </c>
      <c r="AD8165" s="580">
        <f t="shared" si="671"/>
        <v>5</v>
      </c>
      <c r="AE8165" s="580">
        <f t="shared" si="672"/>
        <v>2.5</v>
      </c>
      <c r="AF8165" s="580">
        <f t="shared" si="673"/>
        <v>2.5</v>
      </c>
      <c r="AG8165" s="580">
        <f t="shared" si="674"/>
        <v>0</v>
      </c>
      <c r="AH8165" s="580">
        <f t="shared" si="675"/>
        <v>0</v>
      </c>
    </row>
    <row r="8166" spans="28:34">
      <c r="AB8166" s="580">
        <f>HLOOKUP("*"&amp;'Output annual'!$AC$2&amp;'Output annual'!$AD$2&amp;"*Zone People Number Of Occupants [](Hourly)",'Eplus results'!$1:$1048576,ROW(),FALSE)</f>
        <v>0</v>
      </c>
      <c r="AC8166" s="580">
        <f>HLOOKUP("*"&amp;'Output annual'!$AC$2&amp;'Output annual'!$AD$2&amp;"*FangerPMV(Hourly)",'Eplus results'!$1:$1048576,ROW(),FALSE)</f>
        <v>0</v>
      </c>
      <c r="AD8166" s="580">
        <f t="shared" si="671"/>
        <v>5</v>
      </c>
      <c r="AE8166" s="580">
        <f t="shared" si="672"/>
        <v>2.5</v>
      </c>
      <c r="AF8166" s="580">
        <f t="shared" si="673"/>
        <v>2.5</v>
      </c>
      <c r="AG8166" s="580">
        <f t="shared" si="674"/>
        <v>0</v>
      </c>
      <c r="AH8166" s="580">
        <f t="shared" si="675"/>
        <v>0</v>
      </c>
    </row>
    <row r="8167" spans="28:34">
      <c r="AB8167" s="580">
        <f>HLOOKUP("*"&amp;'Output annual'!$AC$2&amp;'Output annual'!$AD$2&amp;"*Zone People Number Of Occupants [](Hourly)",'Eplus results'!$1:$1048576,ROW(),FALSE)</f>
        <v>0</v>
      </c>
      <c r="AC8167" s="580">
        <f>HLOOKUP("*"&amp;'Output annual'!$AC$2&amp;'Output annual'!$AD$2&amp;"*FangerPMV(Hourly)",'Eplus results'!$1:$1048576,ROW(),FALSE)</f>
        <v>0</v>
      </c>
      <c r="AD8167" s="580">
        <f t="shared" si="671"/>
        <v>5</v>
      </c>
      <c r="AE8167" s="580">
        <f t="shared" si="672"/>
        <v>2.5</v>
      </c>
      <c r="AF8167" s="580">
        <f t="shared" si="673"/>
        <v>2.5</v>
      </c>
      <c r="AG8167" s="580">
        <f t="shared" si="674"/>
        <v>0</v>
      </c>
      <c r="AH8167" s="580">
        <f t="shared" si="675"/>
        <v>0</v>
      </c>
    </row>
    <row r="8168" spans="28:34">
      <c r="AB8168" s="580">
        <f>HLOOKUP("*"&amp;'Output annual'!$AC$2&amp;'Output annual'!$AD$2&amp;"*Zone People Number Of Occupants [](Hourly)",'Eplus results'!$1:$1048576,ROW(),FALSE)</f>
        <v>0</v>
      </c>
      <c r="AC8168" s="580">
        <f>HLOOKUP("*"&amp;'Output annual'!$AC$2&amp;'Output annual'!$AD$2&amp;"*FangerPMV(Hourly)",'Eplus results'!$1:$1048576,ROW(),FALSE)</f>
        <v>0</v>
      </c>
      <c r="AD8168" s="580">
        <f t="shared" si="671"/>
        <v>5</v>
      </c>
      <c r="AE8168" s="580">
        <f t="shared" si="672"/>
        <v>2.5</v>
      </c>
      <c r="AF8168" s="580">
        <f t="shared" si="673"/>
        <v>2.5</v>
      </c>
      <c r="AG8168" s="580">
        <f t="shared" si="674"/>
        <v>0</v>
      </c>
      <c r="AH8168" s="580">
        <f t="shared" si="675"/>
        <v>0</v>
      </c>
    </row>
    <row r="8169" spans="28:34">
      <c r="AB8169" s="580">
        <f>HLOOKUP("*"&amp;'Output annual'!$AC$2&amp;'Output annual'!$AD$2&amp;"*Zone People Number Of Occupants [](Hourly)",'Eplus results'!$1:$1048576,ROW(),FALSE)</f>
        <v>0</v>
      </c>
      <c r="AC8169" s="580">
        <f>HLOOKUP("*"&amp;'Output annual'!$AC$2&amp;'Output annual'!$AD$2&amp;"*FangerPMV(Hourly)",'Eplus results'!$1:$1048576,ROW(),FALSE)</f>
        <v>0</v>
      </c>
      <c r="AD8169" s="580">
        <f t="shared" si="671"/>
        <v>5</v>
      </c>
      <c r="AE8169" s="580">
        <f t="shared" si="672"/>
        <v>2.5</v>
      </c>
      <c r="AF8169" s="580">
        <f t="shared" si="673"/>
        <v>2.5</v>
      </c>
      <c r="AG8169" s="580">
        <f t="shared" si="674"/>
        <v>0</v>
      </c>
      <c r="AH8169" s="580">
        <f t="shared" si="675"/>
        <v>0</v>
      </c>
    </row>
    <row r="8170" spans="28:34">
      <c r="AB8170" s="580">
        <f>HLOOKUP("*"&amp;'Output annual'!$AC$2&amp;'Output annual'!$AD$2&amp;"*Zone People Number Of Occupants [](Hourly)",'Eplus results'!$1:$1048576,ROW(),FALSE)</f>
        <v>0</v>
      </c>
      <c r="AC8170" s="580">
        <f>HLOOKUP("*"&amp;'Output annual'!$AC$2&amp;'Output annual'!$AD$2&amp;"*FangerPMV(Hourly)",'Eplus results'!$1:$1048576,ROW(),FALSE)</f>
        <v>0</v>
      </c>
      <c r="AD8170" s="580">
        <f t="shared" si="671"/>
        <v>5</v>
      </c>
      <c r="AE8170" s="580">
        <f t="shared" si="672"/>
        <v>2.5</v>
      </c>
      <c r="AF8170" s="580">
        <f t="shared" si="673"/>
        <v>2.5</v>
      </c>
      <c r="AG8170" s="580">
        <f t="shared" si="674"/>
        <v>0</v>
      </c>
      <c r="AH8170" s="580">
        <f t="shared" si="675"/>
        <v>0</v>
      </c>
    </row>
    <row r="8171" spans="28:34">
      <c r="AB8171" s="580">
        <f>HLOOKUP("*"&amp;'Output annual'!$AC$2&amp;'Output annual'!$AD$2&amp;"*Zone People Number Of Occupants [](Hourly)",'Eplus results'!$1:$1048576,ROW(),FALSE)</f>
        <v>0</v>
      </c>
      <c r="AC8171" s="580">
        <f>HLOOKUP("*"&amp;'Output annual'!$AC$2&amp;'Output annual'!$AD$2&amp;"*FangerPMV(Hourly)",'Eplus results'!$1:$1048576,ROW(),FALSE)</f>
        <v>0</v>
      </c>
      <c r="AD8171" s="580">
        <f t="shared" si="671"/>
        <v>5</v>
      </c>
      <c r="AE8171" s="580">
        <f t="shared" si="672"/>
        <v>2.5</v>
      </c>
      <c r="AF8171" s="580">
        <f t="shared" si="673"/>
        <v>2.5</v>
      </c>
      <c r="AG8171" s="580">
        <f t="shared" si="674"/>
        <v>0</v>
      </c>
      <c r="AH8171" s="580">
        <f t="shared" si="675"/>
        <v>0</v>
      </c>
    </row>
    <row r="8172" spans="28:34">
      <c r="AB8172" s="580">
        <f>HLOOKUP("*"&amp;'Output annual'!$AC$2&amp;'Output annual'!$AD$2&amp;"*Zone People Number Of Occupants [](Hourly)",'Eplus results'!$1:$1048576,ROW(),FALSE)</f>
        <v>0</v>
      </c>
      <c r="AC8172" s="580">
        <f>HLOOKUP("*"&amp;'Output annual'!$AC$2&amp;'Output annual'!$AD$2&amp;"*FangerPMV(Hourly)",'Eplus results'!$1:$1048576,ROW(),FALSE)</f>
        <v>0</v>
      </c>
      <c r="AD8172" s="580">
        <f t="shared" si="671"/>
        <v>5</v>
      </c>
      <c r="AE8172" s="580">
        <f t="shared" si="672"/>
        <v>2.5</v>
      </c>
      <c r="AF8172" s="580">
        <f t="shared" si="673"/>
        <v>2.5</v>
      </c>
      <c r="AG8172" s="580">
        <f t="shared" si="674"/>
        <v>0</v>
      </c>
      <c r="AH8172" s="580">
        <f t="shared" si="675"/>
        <v>0</v>
      </c>
    </row>
    <row r="8173" spans="28:34">
      <c r="AB8173" s="580">
        <f>HLOOKUP("*"&amp;'Output annual'!$AC$2&amp;'Output annual'!$AD$2&amp;"*Zone People Number Of Occupants [](Hourly)",'Eplus results'!$1:$1048576,ROW(),FALSE)</f>
        <v>0</v>
      </c>
      <c r="AC8173" s="580">
        <f>HLOOKUP("*"&amp;'Output annual'!$AC$2&amp;'Output annual'!$AD$2&amp;"*FangerPMV(Hourly)",'Eplus results'!$1:$1048576,ROW(),FALSE)</f>
        <v>0</v>
      </c>
      <c r="AD8173" s="580">
        <f t="shared" si="671"/>
        <v>5</v>
      </c>
      <c r="AE8173" s="580">
        <f t="shared" si="672"/>
        <v>2.5</v>
      </c>
      <c r="AF8173" s="580">
        <f t="shared" si="673"/>
        <v>2.5</v>
      </c>
      <c r="AG8173" s="580">
        <f t="shared" si="674"/>
        <v>0</v>
      </c>
      <c r="AH8173" s="580">
        <f t="shared" si="675"/>
        <v>0</v>
      </c>
    </row>
    <row r="8174" spans="28:34">
      <c r="AB8174" s="580">
        <f>HLOOKUP("*"&amp;'Output annual'!$AC$2&amp;'Output annual'!$AD$2&amp;"*Zone People Number Of Occupants [](Hourly)",'Eplus results'!$1:$1048576,ROW(),FALSE)</f>
        <v>0</v>
      </c>
      <c r="AC8174" s="580">
        <f>HLOOKUP("*"&amp;'Output annual'!$AC$2&amp;'Output annual'!$AD$2&amp;"*FangerPMV(Hourly)",'Eplus results'!$1:$1048576,ROW(),FALSE)</f>
        <v>0</v>
      </c>
      <c r="AD8174" s="580">
        <f t="shared" si="671"/>
        <v>5</v>
      </c>
      <c r="AE8174" s="580">
        <f t="shared" si="672"/>
        <v>2.5</v>
      </c>
      <c r="AF8174" s="580">
        <f t="shared" si="673"/>
        <v>2.5</v>
      </c>
      <c r="AG8174" s="580">
        <f t="shared" si="674"/>
        <v>0</v>
      </c>
      <c r="AH8174" s="580">
        <f t="shared" si="675"/>
        <v>0</v>
      </c>
    </row>
    <row r="8175" spans="28:34">
      <c r="AB8175" s="580">
        <f>HLOOKUP("*"&amp;'Output annual'!$AC$2&amp;'Output annual'!$AD$2&amp;"*Zone People Number Of Occupants [](Hourly)",'Eplus results'!$1:$1048576,ROW(),FALSE)</f>
        <v>0</v>
      </c>
      <c r="AC8175" s="580">
        <f>HLOOKUP("*"&amp;'Output annual'!$AC$2&amp;'Output annual'!$AD$2&amp;"*FangerPMV(Hourly)",'Eplus results'!$1:$1048576,ROW(),FALSE)</f>
        <v>0</v>
      </c>
      <c r="AD8175" s="580">
        <f t="shared" si="671"/>
        <v>5</v>
      </c>
      <c r="AE8175" s="580">
        <f t="shared" si="672"/>
        <v>2.5</v>
      </c>
      <c r="AF8175" s="580">
        <f t="shared" si="673"/>
        <v>2.5</v>
      </c>
      <c r="AG8175" s="580">
        <f t="shared" si="674"/>
        <v>0</v>
      </c>
      <c r="AH8175" s="580">
        <f t="shared" si="675"/>
        <v>0</v>
      </c>
    </row>
    <row r="8176" spans="28:34">
      <c r="AB8176" s="580">
        <f>HLOOKUP("*"&amp;'Output annual'!$AC$2&amp;'Output annual'!$AD$2&amp;"*Zone People Number Of Occupants [](Hourly)",'Eplus results'!$1:$1048576,ROW(),FALSE)</f>
        <v>0</v>
      </c>
      <c r="AC8176" s="580">
        <f>HLOOKUP("*"&amp;'Output annual'!$AC$2&amp;'Output annual'!$AD$2&amp;"*FangerPMV(Hourly)",'Eplus results'!$1:$1048576,ROW(),FALSE)</f>
        <v>0</v>
      </c>
      <c r="AD8176" s="580">
        <f t="shared" si="671"/>
        <v>5</v>
      </c>
      <c r="AE8176" s="580">
        <f t="shared" si="672"/>
        <v>2.5</v>
      </c>
      <c r="AF8176" s="580">
        <f t="shared" si="673"/>
        <v>2.5</v>
      </c>
      <c r="AG8176" s="580">
        <f t="shared" si="674"/>
        <v>0</v>
      </c>
      <c r="AH8176" s="580">
        <f t="shared" si="675"/>
        <v>0</v>
      </c>
    </row>
    <row r="8177" spans="28:34">
      <c r="AB8177" s="580">
        <f>HLOOKUP("*"&amp;'Output annual'!$AC$2&amp;'Output annual'!$AD$2&amp;"*Zone People Number Of Occupants [](Hourly)",'Eplus results'!$1:$1048576,ROW(),FALSE)</f>
        <v>0</v>
      </c>
      <c r="AC8177" s="580">
        <f>HLOOKUP("*"&amp;'Output annual'!$AC$2&amp;'Output annual'!$AD$2&amp;"*FangerPMV(Hourly)",'Eplus results'!$1:$1048576,ROW(),FALSE)</f>
        <v>0</v>
      </c>
      <c r="AD8177" s="580">
        <f t="shared" si="671"/>
        <v>5</v>
      </c>
      <c r="AE8177" s="580">
        <f t="shared" si="672"/>
        <v>2.5</v>
      </c>
      <c r="AF8177" s="580">
        <f t="shared" si="673"/>
        <v>2.5</v>
      </c>
      <c r="AG8177" s="580">
        <f t="shared" si="674"/>
        <v>0</v>
      </c>
      <c r="AH8177" s="580">
        <f t="shared" si="675"/>
        <v>0</v>
      </c>
    </row>
    <row r="8178" spans="28:34">
      <c r="AB8178" s="580">
        <f>HLOOKUP("*"&amp;'Output annual'!$AC$2&amp;'Output annual'!$AD$2&amp;"*Zone People Number Of Occupants [](Hourly)",'Eplus results'!$1:$1048576,ROW(),FALSE)</f>
        <v>0</v>
      </c>
      <c r="AC8178" s="580">
        <f>HLOOKUP("*"&amp;'Output annual'!$AC$2&amp;'Output annual'!$AD$2&amp;"*FangerPMV(Hourly)",'Eplus results'!$1:$1048576,ROW(),FALSE)</f>
        <v>0</v>
      </c>
      <c r="AD8178" s="580">
        <f t="shared" si="671"/>
        <v>5</v>
      </c>
      <c r="AE8178" s="580">
        <f t="shared" si="672"/>
        <v>2.5</v>
      </c>
      <c r="AF8178" s="580">
        <f t="shared" si="673"/>
        <v>2.5</v>
      </c>
      <c r="AG8178" s="580">
        <f t="shared" si="674"/>
        <v>0</v>
      </c>
      <c r="AH8178" s="580">
        <f t="shared" si="675"/>
        <v>0</v>
      </c>
    </row>
    <row r="8179" spans="28:34">
      <c r="AB8179" s="580">
        <f>HLOOKUP("*"&amp;'Output annual'!$AC$2&amp;'Output annual'!$AD$2&amp;"*Zone People Number Of Occupants [](Hourly)",'Eplus results'!$1:$1048576,ROW(),FALSE)</f>
        <v>0</v>
      </c>
      <c r="AC8179" s="580">
        <f>HLOOKUP("*"&amp;'Output annual'!$AC$2&amp;'Output annual'!$AD$2&amp;"*FangerPMV(Hourly)",'Eplus results'!$1:$1048576,ROW(),FALSE)</f>
        <v>0</v>
      </c>
      <c r="AD8179" s="580">
        <f t="shared" si="671"/>
        <v>5</v>
      </c>
      <c r="AE8179" s="580">
        <f t="shared" si="672"/>
        <v>2.5</v>
      </c>
      <c r="AF8179" s="580">
        <f t="shared" si="673"/>
        <v>2.5</v>
      </c>
      <c r="AG8179" s="580">
        <f t="shared" si="674"/>
        <v>0</v>
      </c>
      <c r="AH8179" s="580">
        <f t="shared" si="675"/>
        <v>0</v>
      </c>
    </row>
    <row r="8180" spans="28:34">
      <c r="AB8180" s="580">
        <f>HLOOKUP("*"&amp;'Output annual'!$AC$2&amp;'Output annual'!$AD$2&amp;"*Zone People Number Of Occupants [](Hourly)",'Eplus results'!$1:$1048576,ROW(),FALSE)</f>
        <v>0</v>
      </c>
      <c r="AC8180" s="580">
        <f>HLOOKUP("*"&amp;'Output annual'!$AC$2&amp;'Output annual'!$AD$2&amp;"*FangerPMV(Hourly)",'Eplus results'!$1:$1048576,ROW(),FALSE)</f>
        <v>0</v>
      </c>
      <c r="AD8180" s="580">
        <f t="shared" si="671"/>
        <v>5</v>
      </c>
      <c r="AE8180" s="580">
        <f t="shared" si="672"/>
        <v>2.5</v>
      </c>
      <c r="AF8180" s="580">
        <f t="shared" si="673"/>
        <v>2.5</v>
      </c>
      <c r="AG8180" s="580">
        <f t="shared" si="674"/>
        <v>0</v>
      </c>
      <c r="AH8180" s="580">
        <f t="shared" si="675"/>
        <v>0</v>
      </c>
    </row>
    <row r="8181" spans="28:34">
      <c r="AB8181" s="580">
        <f>HLOOKUP("*"&amp;'Output annual'!$AC$2&amp;'Output annual'!$AD$2&amp;"*Zone People Number Of Occupants [](Hourly)",'Eplus results'!$1:$1048576,ROW(),FALSE)</f>
        <v>0</v>
      </c>
      <c r="AC8181" s="580">
        <f>HLOOKUP("*"&amp;'Output annual'!$AC$2&amp;'Output annual'!$AD$2&amp;"*FangerPMV(Hourly)",'Eplus results'!$1:$1048576,ROW(),FALSE)</f>
        <v>0</v>
      </c>
      <c r="AD8181" s="580">
        <f t="shared" si="671"/>
        <v>5</v>
      </c>
      <c r="AE8181" s="580">
        <f t="shared" si="672"/>
        <v>2.5</v>
      </c>
      <c r="AF8181" s="580">
        <f t="shared" si="673"/>
        <v>2.5</v>
      </c>
      <c r="AG8181" s="580">
        <f t="shared" si="674"/>
        <v>0</v>
      </c>
      <c r="AH8181" s="580">
        <f t="shared" si="675"/>
        <v>0</v>
      </c>
    </row>
    <row r="8182" spans="28:34">
      <c r="AB8182" s="580">
        <f>HLOOKUP("*"&amp;'Output annual'!$AC$2&amp;'Output annual'!$AD$2&amp;"*Zone People Number Of Occupants [](Hourly)",'Eplus results'!$1:$1048576,ROW(),FALSE)</f>
        <v>0</v>
      </c>
      <c r="AC8182" s="580">
        <f>HLOOKUP("*"&amp;'Output annual'!$AC$2&amp;'Output annual'!$AD$2&amp;"*FangerPMV(Hourly)",'Eplus results'!$1:$1048576,ROW(),FALSE)</f>
        <v>0</v>
      </c>
      <c r="AD8182" s="580">
        <f t="shared" si="671"/>
        <v>5</v>
      </c>
      <c r="AE8182" s="580">
        <f t="shared" si="672"/>
        <v>2.5</v>
      </c>
      <c r="AF8182" s="580">
        <f t="shared" si="673"/>
        <v>2.5</v>
      </c>
      <c r="AG8182" s="580">
        <f t="shared" si="674"/>
        <v>0</v>
      </c>
      <c r="AH8182" s="580">
        <f t="shared" si="675"/>
        <v>0</v>
      </c>
    </row>
    <row r="8183" spans="28:34">
      <c r="AB8183" s="580">
        <f>HLOOKUP("*"&amp;'Output annual'!$AC$2&amp;'Output annual'!$AD$2&amp;"*Zone People Number Of Occupants [](Hourly)",'Eplus results'!$1:$1048576,ROW(),FALSE)</f>
        <v>0</v>
      </c>
      <c r="AC8183" s="580">
        <f>HLOOKUP("*"&amp;'Output annual'!$AC$2&amp;'Output annual'!$AD$2&amp;"*FangerPMV(Hourly)",'Eplus results'!$1:$1048576,ROW(),FALSE)</f>
        <v>0</v>
      </c>
      <c r="AD8183" s="580">
        <f t="shared" si="671"/>
        <v>5</v>
      </c>
      <c r="AE8183" s="580">
        <f t="shared" si="672"/>
        <v>2.5</v>
      </c>
      <c r="AF8183" s="580">
        <f t="shared" si="673"/>
        <v>2.5</v>
      </c>
      <c r="AG8183" s="580">
        <f t="shared" si="674"/>
        <v>0</v>
      </c>
      <c r="AH8183" s="580">
        <f t="shared" si="675"/>
        <v>0</v>
      </c>
    </row>
    <row r="8184" spans="28:34">
      <c r="AB8184" s="580">
        <f>HLOOKUP("*"&amp;'Output annual'!$AC$2&amp;'Output annual'!$AD$2&amp;"*Zone People Number Of Occupants [](Hourly)",'Eplus results'!$1:$1048576,ROW(),FALSE)</f>
        <v>0</v>
      </c>
      <c r="AC8184" s="580">
        <f>HLOOKUP("*"&amp;'Output annual'!$AC$2&amp;'Output annual'!$AD$2&amp;"*FangerPMV(Hourly)",'Eplus results'!$1:$1048576,ROW(),FALSE)</f>
        <v>0</v>
      </c>
      <c r="AD8184" s="580">
        <f t="shared" si="671"/>
        <v>5</v>
      </c>
      <c r="AE8184" s="580">
        <f t="shared" si="672"/>
        <v>2.5</v>
      </c>
      <c r="AF8184" s="580">
        <f t="shared" si="673"/>
        <v>2.5</v>
      </c>
      <c r="AG8184" s="580">
        <f t="shared" si="674"/>
        <v>0</v>
      </c>
      <c r="AH8184" s="580">
        <f t="shared" si="675"/>
        <v>0</v>
      </c>
    </row>
    <row r="8185" spans="28:34">
      <c r="AB8185" s="580">
        <f>HLOOKUP("*"&amp;'Output annual'!$AC$2&amp;'Output annual'!$AD$2&amp;"*Zone People Number Of Occupants [](Hourly)",'Eplus results'!$1:$1048576,ROW(),FALSE)</f>
        <v>0</v>
      </c>
      <c r="AC8185" s="580">
        <f>HLOOKUP("*"&amp;'Output annual'!$AC$2&amp;'Output annual'!$AD$2&amp;"*FangerPMV(Hourly)",'Eplus results'!$1:$1048576,ROW(),FALSE)</f>
        <v>0</v>
      </c>
      <c r="AD8185" s="580">
        <f t="shared" si="671"/>
        <v>5</v>
      </c>
      <c r="AE8185" s="580">
        <f t="shared" si="672"/>
        <v>2.5</v>
      </c>
      <c r="AF8185" s="580">
        <f t="shared" si="673"/>
        <v>2.5</v>
      </c>
      <c r="AG8185" s="580">
        <f t="shared" si="674"/>
        <v>0</v>
      </c>
      <c r="AH8185" s="580">
        <f t="shared" si="675"/>
        <v>0</v>
      </c>
    </row>
    <row r="8186" spans="28:34">
      <c r="AB8186" s="580">
        <f>HLOOKUP("*"&amp;'Output annual'!$AC$2&amp;'Output annual'!$AD$2&amp;"*Zone People Number Of Occupants [](Hourly)",'Eplus results'!$1:$1048576,ROW(),FALSE)</f>
        <v>0</v>
      </c>
      <c r="AC8186" s="580">
        <f>HLOOKUP("*"&amp;'Output annual'!$AC$2&amp;'Output annual'!$AD$2&amp;"*FangerPMV(Hourly)",'Eplus results'!$1:$1048576,ROW(),FALSE)</f>
        <v>0</v>
      </c>
      <c r="AD8186" s="580">
        <f t="shared" si="671"/>
        <v>5</v>
      </c>
      <c r="AE8186" s="580">
        <f t="shared" si="672"/>
        <v>2.5</v>
      </c>
      <c r="AF8186" s="580">
        <f t="shared" si="673"/>
        <v>2.5</v>
      </c>
      <c r="AG8186" s="580">
        <f t="shared" si="674"/>
        <v>0</v>
      </c>
      <c r="AH8186" s="580">
        <f t="shared" si="675"/>
        <v>0</v>
      </c>
    </row>
    <row r="8187" spans="28:34">
      <c r="AB8187" s="580">
        <f>HLOOKUP("*"&amp;'Output annual'!$AC$2&amp;'Output annual'!$AD$2&amp;"*Zone People Number Of Occupants [](Hourly)",'Eplus results'!$1:$1048576,ROW(),FALSE)</f>
        <v>0</v>
      </c>
      <c r="AC8187" s="580">
        <f>HLOOKUP("*"&amp;'Output annual'!$AC$2&amp;'Output annual'!$AD$2&amp;"*FangerPMV(Hourly)",'Eplus results'!$1:$1048576,ROW(),FALSE)</f>
        <v>0</v>
      </c>
      <c r="AD8187" s="580">
        <f t="shared" si="671"/>
        <v>5</v>
      </c>
      <c r="AE8187" s="580">
        <f t="shared" si="672"/>
        <v>2.5</v>
      </c>
      <c r="AF8187" s="580">
        <f t="shared" si="673"/>
        <v>2.5</v>
      </c>
      <c r="AG8187" s="580">
        <f t="shared" si="674"/>
        <v>0</v>
      </c>
      <c r="AH8187" s="580">
        <f t="shared" si="675"/>
        <v>0</v>
      </c>
    </row>
    <row r="8188" spans="28:34">
      <c r="AB8188" s="580">
        <f>HLOOKUP("*"&amp;'Output annual'!$AC$2&amp;'Output annual'!$AD$2&amp;"*Zone People Number Of Occupants [](Hourly)",'Eplus results'!$1:$1048576,ROW(),FALSE)</f>
        <v>0</v>
      </c>
      <c r="AC8188" s="580">
        <f>HLOOKUP("*"&amp;'Output annual'!$AC$2&amp;'Output annual'!$AD$2&amp;"*FangerPMV(Hourly)",'Eplus results'!$1:$1048576,ROW(),FALSE)</f>
        <v>0</v>
      </c>
      <c r="AD8188" s="580">
        <f t="shared" si="671"/>
        <v>5</v>
      </c>
      <c r="AE8188" s="580">
        <f t="shared" si="672"/>
        <v>2.5</v>
      </c>
      <c r="AF8188" s="580">
        <f t="shared" si="673"/>
        <v>2.5</v>
      </c>
      <c r="AG8188" s="580">
        <f t="shared" si="674"/>
        <v>0</v>
      </c>
      <c r="AH8188" s="580">
        <f t="shared" si="675"/>
        <v>0</v>
      </c>
    </row>
    <row r="8189" spans="28:34">
      <c r="AB8189" s="580">
        <f>HLOOKUP("*"&amp;'Output annual'!$AC$2&amp;'Output annual'!$AD$2&amp;"*Zone People Number Of Occupants [](Hourly)",'Eplus results'!$1:$1048576,ROW(),FALSE)</f>
        <v>0</v>
      </c>
      <c r="AC8189" s="580">
        <f>HLOOKUP("*"&amp;'Output annual'!$AC$2&amp;'Output annual'!$AD$2&amp;"*FangerPMV(Hourly)",'Eplus results'!$1:$1048576,ROW(),FALSE)</f>
        <v>0</v>
      </c>
      <c r="AD8189" s="580">
        <f t="shared" si="671"/>
        <v>5</v>
      </c>
      <c r="AE8189" s="580">
        <f t="shared" si="672"/>
        <v>2.5</v>
      </c>
      <c r="AF8189" s="580">
        <f t="shared" si="673"/>
        <v>2.5</v>
      </c>
      <c r="AG8189" s="580">
        <f t="shared" si="674"/>
        <v>0</v>
      </c>
      <c r="AH8189" s="580">
        <f t="shared" si="675"/>
        <v>0</v>
      </c>
    </row>
    <row r="8190" spans="28:34">
      <c r="AB8190" s="580">
        <f>HLOOKUP("*"&amp;'Output annual'!$AC$2&amp;'Output annual'!$AD$2&amp;"*Zone People Number Of Occupants [](Hourly)",'Eplus results'!$1:$1048576,ROW(),FALSE)</f>
        <v>0</v>
      </c>
      <c r="AC8190" s="580">
        <f>HLOOKUP("*"&amp;'Output annual'!$AC$2&amp;'Output annual'!$AD$2&amp;"*FangerPMV(Hourly)",'Eplus results'!$1:$1048576,ROW(),FALSE)</f>
        <v>0</v>
      </c>
      <c r="AD8190" s="580">
        <f t="shared" si="671"/>
        <v>5</v>
      </c>
      <c r="AE8190" s="580">
        <f t="shared" si="672"/>
        <v>2.5</v>
      </c>
      <c r="AF8190" s="580">
        <f t="shared" si="673"/>
        <v>2.5</v>
      </c>
      <c r="AG8190" s="580">
        <f t="shared" si="674"/>
        <v>0</v>
      </c>
      <c r="AH8190" s="580">
        <f t="shared" si="675"/>
        <v>0</v>
      </c>
    </row>
    <row r="8191" spans="28:34">
      <c r="AB8191" s="580">
        <f>HLOOKUP("*"&amp;'Output annual'!$AC$2&amp;'Output annual'!$AD$2&amp;"*Zone People Number Of Occupants [](Hourly)",'Eplus results'!$1:$1048576,ROW(),FALSE)</f>
        <v>0</v>
      </c>
      <c r="AC8191" s="580">
        <f>HLOOKUP("*"&amp;'Output annual'!$AC$2&amp;'Output annual'!$AD$2&amp;"*FangerPMV(Hourly)",'Eplus results'!$1:$1048576,ROW(),FALSE)</f>
        <v>0</v>
      </c>
      <c r="AD8191" s="580">
        <f t="shared" si="671"/>
        <v>5</v>
      </c>
      <c r="AE8191" s="580">
        <f t="shared" si="672"/>
        <v>2.5</v>
      </c>
      <c r="AF8191" s="580">
        <f t="shared" si="673"/>
        <v>2.5</v>
      </c>
      <c r="AG8191" s="580">
        <f t="shared" si="674"/>
        <v>0</v>
      </c>
      <c r="AH8191" s="580">
        <f t="shared" si="675"/>
        <v>0</v>
      </c>
    </row>
    <row r="8192" spans="28:34">
      <c r="AB8192" s="580">
        <f>HLOOKUP("*"&amp;'Output annual'!$AC$2&amp;'Output annual'!$AD$2&amp;"*Zone People Number Of Occupants [](Hourly)",'Eplus results'!$1:$1048576,ROW(),FALSE)</f>
        <v>0</v>
      </c>
      <c r="AC8192" s="580">
        <f>HLOOKUP("*"&amp;'Output annual'!$AC$2&amp;'Output annual'!$AD$2&amp;"*FangerPMV(Hourly)",'Eplus results'!$1:$1048576,ROW(),FALSE)</f>
        <v>0</v>
      </c>
      <c r="AD8192" s="580">
        <f t="shared" si="671"/>
        <v>5</v>
      </c>
      <c r="AE8192" s="580">
        <f t="shared" si="672"/>
        <v>2.5</v>
      </c>
      <c r="AF8192" s="580">
        <f t="shared" si="673"/>
        <v>2.5</v>
      </c>
      <c r="AG8192" s="580">
        <f t="shared" si="674"/>
        <v>0</v>
      </c>
      <c r="AH8192" s="580">
        <f t="shared" si="675"/>
        <v>0</v>
      </c>
    </row>
    <row r="8193" spans="28:34">
      <c r="AB8193" s="580">
        <f>HLOOKUP("*"&amp;'Output annual'!$AC$2&amp;'Output annual'!$AD$2&amp;"*Zone People Number Of Occupants [](Hourly)",'Eplus results'!$1:$1048576,ROW(),FALSE)</f>
        <v>0</v>
      </c>
      <c r="AC8193" s="580">
        <f>HLOOKUP("*"&amp;'Output annual'!$AC$2&amp;'Output annual'!$AD$2&amp;"*FangerPMV(Hourly)",'Eplus results'!$1:$1048576,ROW(),FALSE)</f>
        <v>0</v>
      </c>
      <c r="AD8193" s="580">
        <f t="shared" si="671"/>
        <v>5</v>
      </c>
      <c r="AE8193" s="580">
        <f t="shared" si="672"/>
        <v>2.5</v>
      </c>
      <c r="AF8193" s="580">
        <f t="shared" si="673"/>
        <v>2.5</v>
      </c>
      <c r="AG8193" s="580">
        <f t="shared" si="674"/>
        <v>0</v>
      </c>
      <c r="AH8193" s="580">
        <f t="shared" si="675"/>
        <v>0</v>
      </c>
    </row>
    <row r="8194" spans="28:34">
      <c r="AB8194" s="580">
        <f>HLOOKUP("*"&amp;'Output annual'!$AC$2&amp;'Output annual'!$AD$2&amp;"*Zone People Number Of Occupants [](Hourly)",'Eplus results'!$1:$1048576,ROW(),FALSE)</f>
        <v>0</v>
      </c>
      <c r="AC8194" s="580">
        <f>HLOOKUP("*"&amp;'Output annual'!$AC$2&amp;'Output annual'!$AD$2&amp;"*FangerPMV(Hourly)",'Eplus results'!$1:$1048576,ROW(),FALSE)</f>
        <v>0</v>
      </c>
      <c r="AD8194" s="580">
        <f t="shared" si="671"/>
        <v>5</v>
      </c>
      <c r="AE8194" s="580">
        <f t="shared" si="672"/>
        <v>2.5</v>
      </c>
      <c r="AF8194" s="580">
        <f t="shared" si="673"/>
        <v>2.5</v>
      </c>
      <c r="AG8194" s="580">
        <f t="shared" si="674"/>
        <v>0</v>
      </c>
      <c r="AH8194" s="580">
        <f t="shared" si="675"/>
        <v>0</v>
      </c>
    </row>
    <row r="8195" spans="28:34">
      <c r="AB8195" s="580">
        <f>HLOOKUP("*"&amp;'Output annual'!$AC$2&amp;'Output annual'!$AD$2&amp;"*Zone People Number Of Occupants [](Hourly)",'Eplus results'!$1:$1048576,ROW(),FALSE)</f>
        <v>0</v>
      </c>
      <c r="AC8195" s="580">
        <f>HLOOKUP("*"&amp;'Output annual'!$AC$2&amp;'Output annual'!$AD$2&amp;"*FangerPMV(Hourly)",'Eplus results'!$1:$1048576,ROW(),FALSE)</f>
        <v>0</v>
      </c>
      <c r="AD8195" s="580">
        <f t="shared" ref="AD8195:AD8258" si="676">100-95*EXP(-0.03353*AC8195^4-0.2179*AC8195^2)</f>
        <v>5</v>
      </c>
      <c r="AE8195" s="580">
        <f t="shared" ref="AE8195:AE8258" si="677">AD8195*(1/(1+EXP(-6.3*$AC8195)))</f>
        <v>2.5</v>
      </c>
      <c r="AF8195" s="580">
        <f t="shared" ref="AF8195:AF8258" si="678">(AD8195-AE8195)</f>
        <v>2.5</v>
      </c>
      <c r="AG8195" s="580">
        <f t="shared" ref="AG8195:AG8258" si="679">AE8195*AB8195</f>
        <v>0</v>
      </c>
      <c r="AH8195" s="580">
        <f t="shared" ref="AH8195:AH8258" si="680">AF8195*AB8195</f>
        <v>0</v>
      </c>
    </row>
    <row r="8196" spans="28:34">
      <c r="AB8196" s="580">
        <f>HLOOKUP("*"&amp;'Output annual'!$AC$2&amp;'Output annual'!$AD$2&amp;"*Zone People Number Of Occupants [](Hourly)",'Eplus results'!$1:$1048576,ROW(),FALSE)</f>
        <v>0</v>
      </c>
      <c r="AC8196" s="580">
        <f>HLOOKUP("*"&amp;'Output annual'!$AC$2&amp;'Output annual'!$AD$2&amp;"*FangerPMV(Hourly)",'Eplus results'!$1:$1048576,ROW(),FALSE)</f>
        <v>0</v>
      </c>
      <c r="AD8196" s="580">
        <f t="shared" si="676"/>
        <v>5</v>
      </c>
      <c r="AE8196" s="580">
        <f t="shared" si="677"/>
        <v>2.5</v>
      </c>
      <c r="AF8196" s="580">
        <f t="shared" si="678"/>
        <v>2.5</v>
      </c>
      <c r="AG8196" s="580">
        <f t="shared" si="679"/>
        <v>0</v>
      </c>
      <c r="AH8196" s="580">
        <f t="shared" si="680"/>
        <v>0</v>
      </c>
    </row>
    <row r="8197" spans="28:34">
      <c r="AB8197" s="580">
        <f>HLOOKUP("*"&amp;'Output annual'!$AC$2&amp;'Output annual'!$AD$2&amp;"*Zone People Number Of Occupants [](Hourly)",'Eplus results'!$1:$1048576,ROW(),FALSE)</f>
        <v>0</v>
      </c>
      <c r="AC8197" s="580">
        <f>HLOOKUP("*"&amp;'Output annual'!$AC$2&amp;'Output annual'!$AD$2&amp;"*FangerPMV(Hourly)",'Eplus results'!$1:$1048576,ROW(),FALSE)</f>
        <v>0</v>
      </c>
      <c r="AD8197" s="580">
        <f t="shared" si="676"/>
        <v>5</v>
      </c>
      <c r="AE8197" s="580">
        <f t="shared" si="677"/>
        <v>2.5</v>
      </c>
      <c r="AF8197" s="580">
        <f t="shared" si="678"/>
        <v>2.5</v>
      </c>
      <c r="AG8197" s="580">
        <f t="shared" si="679"/>
        <v>0</v>
      </c>
      <c r="AH8197" s="580">
        <f t="shared" si="680"/>
        <v>0</v>
      </c>
    </row>
    <row r="8198" spans="28:34">
      <c r="AB8198" s="580">
        <f>HLOOKUP("*"&amp;'Output annual'!$AC$2&amp;'Output annual'!$AD$2&amp;"*Zone People Number Of Occupants [](Hourly)",'Eplus results'!$1:$1048576,ROW(),FALSE)</f>
        <v>0</v>
      </c>
      <c r="AC8198" s="580">
        <f>HLOOKUP("*"&amp;'Output annual'!$AC$2&amp;'Output annual'!$AD$2&amp;"*FangerPMV(Hourly)",'Eplus results'!$1:$1048576,ROW(),FALSE)</f>
        <v>0</v>
      </c>
      <c r="AD8198" s="580">
        <f t="shared" si="676"/>
        <v>5</v>
      </c>
      <c r="AE8198" s="580">
        <f t="shared" si="677"/>
        <v>2.5</v>
      </c>
      <c r="AF8198" s="580">
        <f t="shared" si="678"/>
        <v>2.5</v>
      </c>
      <c r="AG8198" s="580">
        <f t="shared" si="679"/>
        <v>0</v>
      </c>
      <c r="AH8198" s="580">
        <f t="shared" si="680"/>
        <v>0</v>
      </c>
    </row>
    <row r="8199" spans="28:34">
      <c r="AB8199" s="580">
        <f>HLOOKUP("*"&amp;'Output annual'!$AC$2&amp;'Output annual'!$AD$2&amp;"*Zone People Number Of Occupants [](Hourly)",'Eplus results'!$1:$1048576,ROW(),FALSE)</f>
        <v>0</v>
      </c>
      <c r="AC8199" s="580">
        <f>HLOOKUP("*"&amp;'Output annual'!$AC$2&amp;'Output annual'!$AD$2&amp;"*FangerPMV(Hourly)",'Eplus results'!$1:$1048576,ROW(),FALSE)</f>
        <v>0</v>
      </c>
      <c r="AD8199" s="580">
        <f t="shared" si="676"/>
        <v>5</v>
      </c>
      <c r="AE8199" s="580">
        <f t="shared" si="677"/>
        <v>2.5</v>
      </c>
      <c r="AF8199" s="580">
        <f t="shared" si="678"/>
        <v>2.5</v>
      </c>
      <c r="AG8199" s="580">
        <f t="shared" si="679"/>
        <v>0</v>
      </c>
      <c r="AH8199" s="580">
        <f t="shared" si="680"/>
        <v>0</v>
      </c>
    </row>
    <row r="8200" spans="28:34">
      <c r="AB8200" s="580">
        <f>HLOOKUP("*"&amp;'Output annual'!$AC$2&amp;'Output annual'!$AD$2&amp;"*Zone People Number Of Occupants [](Hourly)",'Eplus results'!$1:$1048576,ROW(),FALSE)</f>
        <v>0</v>
      </c>
      <c r="AC8200" s="580">
        <f>HLOOKUP("*"&amp;'Output annual'!$AC$2&amp;'Output annual'!$AD$2&amp;"*FangerPMV(Hourly)",'Eplus results'!$1:$1048576,ROW(),FALSE)</f>
        <v>0</v>
      </c>
      <c r="AD8200" s="580">
        <f t="shared" si="676"/>
        <v>5</v>
      </c>
      <c r="AE8200" s="580">
        <f t="shared" si="677"/>
        <v>2.5</v>
      </c>
      <c r="AF8200" s="580">
        <f t="shared" si="678"/>
        <v>2.5</v>
      </c>
      <c r="AG8200" s="580">
        <f t="shared" si="679"/>
        <v>0</v>
      </c>
      <c r="AH8200" s="580">
        <f t="shared" si="680"/>
        <v>0</v>
      </c>
    </row>
    <row r="8201" spans="28:34">
      <c r="AB8201" s="580">
        <f>HLOOKUP("*"&amp;'Output annual'!$AC$2&amp;'Output annual'!$AD$2&amp;"*Zone People Number Of Occupants [](Hourly)",'Eplus results'!$1:$1048576,ROW(),FALSE)</f>
        <v>0</v>
      </c>
      <c r="AC8201" s="580">
        <f>HLOOKUP("*"&amp;'Output annual'!$AC$2&amp;'Output annual'!$AD$2&amp;"*FangerPMV(Hourly)",'Eplus results'!$1:$1048576,ROW(),FALSE)</f>
        <v>0</v>
      </c>
      <c r="AD8201" s="580">
        <f t="shared" si="676"/>
        <v>5</v>
      </c>
      <c r="AE8201" s="580">
        <f t="shared" si="677"/>
        <v>2.5</v>
      </c>
      <c r="AF8201" s="580">
        <f t="shared" si="678"/>
        <v>2.5</v>
      </c>
      <c r="AG8201" s="580">
        <f t="shared" si="679"/>
        <v>0</v>
      </c>
      <c r="AH8201" s="580">
        <f t="shared" si="680"/>
        <v>0</v>
      </c>
    </row>
    <row r="8202" spans="28:34">
      <c r="AB8202" s="580">
        <f>HLOOKUP("*"&amp;'Output annual'!$AC$2&amp;'Output annual'!$AD$2&amp;"*Zone People Number Of Occupants [](Hourly)",'Eplus results'!$1:$1048576,ROW(),FALSE)</f>
        <v>0</v>
      </c>
      <c r="AC8202" s="580">
        <f>HLOOKUP("*"&amp;'Output annual'!$AC$2&amp;'Output annual'!$AD$2&amp;"*FangerPMV(Hourly)",'Eplus results'!$1:$1048576,ROW(),FALSE)</f>
        <v>0</v>
      </c>
      <c r="AD8202" s="580">
        <f t="shared" si="676"/>
        <v>5</v>
      </c>
      <c r="AE8202" s="580">
        <f t="shared" si="677"/>
        <v>2.5</v>
      </c>
      <c r="AF8202" s="580">
        <f t="shared" si="678"/>
        <v>2.5</v>
      </c>
      <c r="AG8202" s="580">
        <f t="shared" si="679"/>
        <v>0</v>
      </c>
      <c r="AH8202" s="580">
        <f t="shared" si="680"/>
        <v>0</v>
      </c>
    </row>
    <row r="8203" spans="28:34">
      <c r="AB8203" s="580">
        <f>HLOOKUP("*"&amp;'Output annual'!$AC$2&amp;'Output annual'!$AD$2&amp;"*Zone People Number Of Occupants [](Hourly)",'Eplus results'!$1:$1048576,ROW(),FALSE)</f>
        <v>0</v>
      </c>
      <c r="AC8203" s="580">
        <f>HLOOKUP("*"&amp;'Output annual'!$AC$2&amp;'Output annual'!$AD$2&amp;"*FangerPMV(Hourly)",'Eplus results'!$1:$1048576,ROW(),FALSE)</f>
        <v>0</v>
      </c>
      <c r="AD8203" s="580">
        <f t="shared" si="676"/>
        <v>5</v>
      </c>
      <c r="AE8203" s="580">
        <f t="shared" si="677"/>
        <v>2.5</v>
      </c>
      <c r="AF8203" s="580">
        <f t="shared" si="678"/>
        <v>2.5</v>
      </c>
      <c r="AG8203" s="580">
        <f t="shared" si="679"/>
        <v>0</v>
      </c>
      <c r="AH8203" s="580">
        <f t="shared" si="680"/>
        <v>0</v>
      </c>
    </row>
    <row r="8204" spans="28:34">
      <c r="AB8204" s="580">
        <f>HLOOKUP("*"&amp;'Output annual'!$AC$2&amp;'Output annual'!$AD$2&amp;"*Zone People Number Of Occupants [](Hourly)",'Eplus results'!$1:$1048576,ROW(),FALSE)</f>
        <v>0</v>
      </c>
      <c r="AC8204" s="580">
        <f>HLOOKUP("*"&amp;'Output annual'!$AC$2&amp;'Output annual'!$AD$2&amp;"*FangerPMV(Hourly)",'Eplus results'!$1:$1048576,ROW(),FALSE)</f>
        <v>0</v>
      </c>
      <c r="AD8204" s="580">
        <f t="shared" si="676"/>
        <v>5</v>
      </c>
      <c r="AE8204" s="580">
        <f t="shared" si="677"/>
        <v>2.5</v>
      </c>
      <c r="AF8204" s="580">
        <f t="shared" si="678"/>
        <v>2.5</v>
      </c>
      <c r="AG8204" s="580">
        <f t="shared" si="679"/>
        <v>0</v>
      </c>
      <c r="AH8204" s="580">
        <f t="shared" si="680"/>
        <v>0</v>
      </c>
    </row>
    <row r="8205" spans="28:34">
      <c r="AB8205" s="580">
        <f>HLOOKUP("*"&amp;'Output annual'!$AC$2&amp;'Output annual'!$AD$2&amp;"*Zone People Number Of Occupants [](Hourly)",'Eplus results'!$1:$1048576,ROW(),FALSE)</f>
        <v>0</v>
      </c>
      <c r="AC8205" s="580">
        <f>HLOOKUP("*"&amp;'Output annual'!$AC$2&amp;'Output annual'!$AD$2&amp;"*FangerPMV(Hourly)",'Eplus results'!$1:$1048576,ROW(),FALSE)</f>
        <v>0</v>
      </c>
      <c r="AD8205" s="580">
        <f t="shared" si="676"/>
        <v>5</v>
      </c>
      <c r="AE8205" s="580">
        <f t="shared" si="677"/>
        <v>2.5</v>
      </c>
      <c r="AF8205" s="580">
        <f t="shared" si="678"/>
        <v>2.5</v>
      </c>
      <c r="AG8205" s="580">
        <f t="shared" si="679"/>
        <v>0</v>
      </c>
      <c r="AH8205" s="580">
        <f t="shared" si="680"/>
        <v>0</v>
      </c>
    </row>
    <row r="8206" spans="28:34">
      <c r="AB8206" s="580">
        <f>HLOOKUP("*"&amp;'Output annual'!$AC$2&amp;'Output annual'!$AD$2&amp;"*Zone People Number Of Occupants [](Hourly)",'Eplus results'!$1:$1048576,ROW(),FALSE)</f>
        <v>0</v>
      </c>
      <c r="AC8206" s="580">
        <f>HLOOKUP("*"&amp;'Output annual'!$AC$2&amp;'Output annual'!$AD$2&amp;"*FangerPMV(Hourly)",'Eplus results'!$1:$1048576,ROW(),FALSE)</f>
        <v>0</v>
      </c>
      <c r="AD8206" s="580">
        <f t="shared" si="676"/>
        <v>5</v>
      </c>
      <c r="AE8206" s="580">
        <f t="shared" si="677"/>
        <v>2.5</v>
      </c>
      <c r="AF8206" s="580">
        <f t="shared" si="678"/>
        <v>2.5</v>
      </c>
      <c r="AG8206" s="580">
        <f t="shared" si="679"/>
        <v>0</v>
      </c>
      <c r="AH8206" s="580">
        <f t="shared" si="680"/>
        <v>0</v>
      </c>
    </row>
    <row r="8207" spans="28:34">
      <c r="AB8207" s="580">
        <f>HLOOKUP("*"&amp;'Output annual'!$AC$2&amp;'Output annual'!$AD$2&amp;"*Zone People Number Of Occupants [](Hourly)",'Eplus results'!$1:$1048576,ROW(),FALSE)</f>
        <v>0</v>
      </c>
      <c r="AC8207" s="580">
        <f>HLOOKUP("*"&amp;'Output annual'!$AC$2&amp;'Output annual'!$AD$2&amp;"*FangerPMV(Hourly)",'Eplus results'!$1:$1048576,ROW(),FALSE)</f>
        <v>0</v>
      </c>
      <c r="AD8207" s="580">
        <f t="shared" si="676"/>
        <v>5</v>
      </c>
      <c r="AE8207" s="580">
        <f t="shared" si="677"/>
        <v>2.5</v>
      </c>
      <c r="AF8207" s="580">
        <f t="shared" si="678"/>
        <v>2.5</v>
      </c>
      <c r="AG8207" s="580">
        <f t="shared" si="679"/>
        <v>0</v>
      </c>
      <c r="AH8207" s="580">
        <f t="shared" si="680"/>
        <v>0</v>
      </c>
    </row>
    <row r="8208" spans="28:34">
      <c r="AB8208" s="580">
        <f>HLOOKUP("*"&amp;'Output annual'!$AC$2&amp;'Output annual'!$AD$2&amp;"*Zone People Number Of Occupants [](Hourly)",'Eplus results'!$1:$1048576,ROW(),FALSE)</f>
        <v>0</v>
      </c>
      <c r="AC8208" s="580">
        <f>HLOOKUP("*"&amp;'Output annual'!$AC$2&amp;'Output annual'!$AD$2&amp;"*FangerPMV(Hourly)",'Eplus results'!$1:$1048576,ROW(),FALSE)</f>
        <v>0</v>
      </c>
      <c r="AD8208" s="580">
        <f t="shared" si="676"/>
        <v>5</v>
      </c>
      <c r="AE8208" s="580">
        <f t="shared" si="677"/>
        <v>2.5</v>
      </c>
      <c r="AF8208" s="580">
        <f t="shared" si="678"/>
        <v>2.5</v>
      </c>
      <c r="AG8208" s="580">
        <f t="shared" si="679"/>
        <v>0</v>
      </c>
      <c r="AH8208" s="580">
        <f t="shared" si="680"/>
        <v>0</v>
      </c>
    </row>
    <row r="8209" spans="28:34">
      <c r="AB8209" s="580">
        <f>HLOOKUP("*"&amp;'Output annual'!$AC$2&amp;'Output annual'!$AD$2&amp;"*Zone People Number Of Occupants [](Hourly)",'Eplus results'!$1:$1048576,ROW(),FALSE)</f>
        <v>0</v>
      </c>
      <c r="AC8209" s="580">
        <f>HLOOKUP("*"&amp;'Output annual'!$AC$2&amp;'Output annual'!$AD$2&amp;"*FangerPMV(Hourly)",'Eplus results'!$1:$1048576,ROW(),FALSE)</f>
        <v>0</v>
      </c>
      <c r="AD8209" s="580">
        <f t="shared" si="676"/>
        <v>5</v>
      </c>
      <c r="AE8209" s="580">
        <f t="shared" si="677"/>
        <v>2.5</v>
      </c>
      <c r="AF8209" s="580">
        <f t="shared" si="678"/>
        <v>2.5</v>
      </c>
      <c r="AG8209" s="580">
        <f t="shared" si="679"/>
        <v>0</v>
      </c>
      <c r="AH8209" s="580">
        <f t="shared" si="680"/>
        <v>0</v>
      </c>
    </row>
    <row r="8210" spans="28:34">
      <c r="AB8210" s="580">
        <f>HLOOKUP("*"&amp;'Output annual'!$AC$2&amp;'Output annual'!$AD$2&amp;"*Zone People Number Of Occupants [](Hourly)",'Eplus results'!$1:$1048576,ROW(),FALSE)</f>
        <v>0</v>
      </c>
      <c r="AC8210" s="580">
        <f>HLOOKUP("*"&amp;'Output annual'!$AC$2&amp;'Output annual'!$AD$2&amp;"*FangerPMV(Hourly)",'Eplus results'!$1:$1048576,ROW(),FALSE)</f>
        <v>0</v>
      </c>
      <c r="AD8210" s="580">
        <f t="shared" si="676"/>
        <v>5</v>
      </c>
      <c r="AE8210" s="580">
        <f t="shared" si="677"/>
        <v>2.5</v>
      </c>
      <c r="AF8210" s="580">
        <f t="shared" si="678"/>
        <v>2.5</v>
      </c>
      <c r="AG8210" s="580">
        <f t="shared" si="679"/>
        <v>0</v>
      </c>
      <c r="AH8210" s="580">
        <f t="shared" si="680"/>
        <v>0</v>
      </c>
    </row>
    <row r="8211" spans="28:34">
      <c r="AB8211" s="580">
        <f>HLOOKUP("*"&amp;'Output annual'!$AC$2&amp;'Output annual'!$AD$2&amp;"*Zone People Number Of Occupants [](Hourly)",'Eplus results'!$1:$1048576,ROW(),FALSE)</f>
        <v>0</v>
      </c>
      <c r="AC8211" s="580">
        <f>HLOOKUP("*"&amp;'Output annual'!$AC$2&amp;'Output annual'!$AD$2&amp;"*FangerPMV(Hourly)",'Eplus results'!$1:$1048576,ROW(),FALSE)</f>
        <v>0</v>
      </c>
      <c r="AD8211" s="580">
        <f t="shared" si="676"/>
        <v>5</v>
      </c>
      <c r="AE8211" s="580">
        <f t="shared" si="677"/>
        <v>2.5</v>
      </c>
      <c r="AF8211" s="580">
        <f t="shared" si="678"/>
        <v>2.5</v>
      </c>
      <c r="AG8211" s="580">
        <f t="shared" si="679"/>
        <v>0</v>
      </c>
      <c r="AH8211" s="580">
        <f t="shared" si="680"/>
        <v>0</v>
      </c>
    </row>
    <row r="8212" spans="28:34">
      <c r="AB8212" s="580">
        <f>HLOOKUP("*"&amp;'Output annual'!$AC$2&amp;'Output annual'!$AD$2&amp;"*Zone People Number Of Occupants [](Hourly)",'Eplus results'!$1:$1048576,ROW(),FALSE)</f>
        <v>0</v>
      </c>
      <c r="AC8212" s="580">
        <f>HLOOKUP("*"&amp;'Output annual'!$AC$2&amp;'Output annual'!$AD$2&amp;"*FangerPMV(Hourly)",'Eplus results'!$1:$1048576,ROW(),FALSE)</f>
        <v>0</v>
      </c>
      <c r="AD8212" s="580">
        <f t="shared" si="676"/>
        <v>5</v>
      </c>
      <c r="AE8212" s="580">
        <f t="shared" si="677"/>
        <v>2.5</v>
      </c>
      <c r="AF8212" s="580">
        <f t="shared" si="678"/>
        <v>2.5</v>
      </c>
      <c r="AG8212" s="580">
        <f t="shared" si="679"/>
        <v>0</v>
      </c>
      <c r="AH8212" s="580">
        <f t="shared" si="680"/>
        <v>0</v>
      </c>
    </row>
    <row r="8213" spans="28:34">
      <c r="AB8213" s="580">
        <f>HLOOKUP("*"&amp;'Output annual'!$AC$2&amp;'Output annual'!$AD$2&amp;"*Zone People Number Of Occupants [](Hourly)",'Eplus results'!$1:$1048576,ROW(),FALSE)</f>
        <v>0</v>
      </c>
      <c r="AC8213" s="580">
        <f>HLOOKUP("*"&amp;'Output annual'!$AC$2&amp;'Output annual'!$AD$2&amp;"*FangerPMV(Hourly)",'Eplus results'!$1:$1048576,ROW(),FALSE)</f>
        <v>0</v>
      </c>
      <c r="AD8213" s="580">
        <f t="shared" si="676"/>
        <v>5</v>
      </c>
      <c r="AE8213" s="580">
        <f t="shared" si="677"/>
        <v>2.5</v>
      </c>
      <c r="AF8213" s="580">
        <f t="shared" si="678"/>
        <v>2.5</v>
      </c>
      <c r="AG8213" s="580">
        <f t="shared" si="679"/>
        <v>0</v>
      </c>
      <c r="AH8213" s="580">
        <f t="shared" si="680"/>
        <v>0</v>
      </c>
    </row>
    <row r="8214" spans="28:34">
      <c r="AB8214" s="580">
        <f>HLOOKUP("*"&amp;'Output annual'!$AC$2&amp;'Output annual'!$AD$2&amp;"*Zone People Number Of Occupants [](Hourly)",'Eplus results'!$1:$1048576,ROW(),FALSE)</f>
        <v>0</v>
      </c>
      <c r="AC8214" s="580">
        <f>HLOOKUP("*"&amp;'Output annual'!$AC$2&amp;'Output annual'!$AD$2&amp;"*FangerPMV(Hourly)",'Eplus results'!$1:$1048576,ROW(),FALSE)</f>
        <v>0</v>
      </c>
      <c r="AD8214" s="580">
        <f t="shared" si="676"/>
        <v>5</v>
      </c>
      <c r="AE8214" s="580">
        <f t="shared" si="677"/>
        <v>2.5</v>
      </c>
      <c r="AF8214" s="580">
        <f t="shared" si="678"/>
        <v>2.5</v>
      </c>
      <c r="AG8214" s="580">
        <f t="shared" si="679"/>
        <v>0</v>
      </c>
      <c r="AH8214" s="580">
        <f t="shared" si="680"/>
        <v>0</v>
      </c>
    </row>
    <row r="8215" spans="28:34">
      <c r="AB8215" s="580">
        <f>HLOOKUP("*"&amp;'Output annual'!$AC$2&amp;'Output annual'!$AD$2&amp;"*Zone People Number Of Occupants [](Hourly)",'Eplus results'!$1:$1048576,ROW(),FALSE)</f>
        <v>0</v>
      </c>
      <c r="AC8215" s="580">
        <f>HLOOKUP("*"&amp;'Output annual'!$AC$2&amp;'Output annual'!$AD$2&amp;"*FangerPMV(Hourly)",'Eplus results'!$1:$1048576,ROW(),FALSE)</f>
        <v>0</v>
      </c>
      <c r="AD8215" s="580">
        <f t="shared" si="676"/>
        <v>5</v>
      </c>
      <c r="AE8215" s="580">
        <f t="shared" si="677"/>
        <v>2.5</v>
      </c>
      <c r="AF8215" s="580">
        <f t="shared" si="678"/>
        <v>2.5</v>
      </c>
      <c r="AG8215" s="580">
        <f t="shared" si="679"/>
        <v>0</v>
      </c>
      <c r="AH8215" s="580">
        <f t="shared" si="680"/>
        <v>0</v>
      </c>
    </row>
    <row r="8216" spans="28:34">
      <c r="AB8216" s="580">
        <f>HLOOKUP("*"&amp;'Output annual'!$AC$2&amp;'Output annual'!$AD$2&amp;"*Zone People Number Of Occupants [](Hourly)",'Eplus results'!$1:$1048576,ROW(),FALSE)</f>
        <v>0</v>
      </c>
      <c r="AC8216" s="580">
        <f>HLOOKUP("*"&amp;'Output annual'!$AC$2&amp;'Output annual'!$AD$2&amp;"*FangerPMV(Hourly)",'Eplus results'!$1:$1048576,ROW(),FALSE)</f>
        <v>0</v>
      </c>
      <c r="AD8216" s="580">
        <f t="shared" si="676"/>
        <v>5</v>
      </c>
      <c r="AE8216" s="580">
        <f t="shared" si="677"/>
        <v>2.5</v>
      </c>
      <c r="AF8216" s="580">
        <f t="shared" si="678"/>
        <v>2.5</v>
      </c>
      <c r="AG8216" s="580">
        <f t="shared" si="679"/>
        <v>0</v>
      </c>
      <c r="AH8216" s="580">
        <f t="shared" si="680"/>
        <v>0</v>
      </c>
    </row>
    <row r="8217" spans="28:34">
      <c r="AB8217" s="580">
        <f>HLOOKUP("*"&amp;'Output annual'!$AC$2&amp;'Output annual'!$AD$2&amp;"*Zone People Number Of Occupants [](Hourly)",'Eplus results'!$1:$1048576,ROW(),FALSE)</f>
        <v>0</v>
      </c>
      <c r="AC8217" s="580">
        <f>HLOOKUP("*"&amp;'Output annual'!$AC$2&amp;'Output annual'!$AD$2&amp;"*FangerPMV(Hourly)",'Eplus results'!$1:$1048576,ROW(),FALSE)</f>
        <v>0</v>
      </c>
      <c r="AD8217" s="580">
        <f t="shared" si="676"/>
        <v>5</v>
      </c>
      <c r="AE8217" s="580">
        <f t="shared" si="677"/>
        <v>2.5</v>
      </c>
      <c r="AF8217" s="580">
        <f t="shared" si="678"/>
        <v>2.5</v>
      </c>
      <c r="AG8217" s="580">
        <f t="shared" si="679"/>
        <v>0</v>
      </c>
      <c r="AH8217" s="580">
        <f t="shared" si="680"/>
        <v>0</v>
      </c>
    </row>
    <row r="8218" spans="28:34">
      <c r="AB8218" s="580">
        <f>HLOOKUP("*"&amp;'Output annual'!$AC$2&amp;'Output annual'!$AD$2&amp;"*Zone People Number Of Occupants [](Hourly)",'Eplus results'!$1:$1048576,ROW(),FALSE)</f>
        <v>0</v>
      </c>
      <c r="AC8218" s="580">
        <f>HLOOKUP("*"&amp;'Output annual'!$AC$2&amp;'Output annual'!$AD$2&amp;"*FangerPMV(Hourly)",'Eplus results'!$1:$1048576,ROW(),FALSE)</f>
        <v>0</v>
      </c>
      <c r="AD8218" s="580">
        <f t="shared" si="676"/>
        <v>5</v>
      </c>
      <c r="AE8218" s="580">
        <f t="shared" si="677"/>
        <v>2.5</v>
      </c>
      <c r="AF8218" s="580">
        <f t="shared" si="678"/>
        <v>2.5</v>
      </c>
      <c r="AG8218" s="580">
        <f t="shared" si="679"/>
        <v>0</v>
      </c>
      <c r="AH8218" s="580">
        <f t="shared" si="680"/>
        <v>0</v>
      </c>
    </row>
    <row r="8219" spans="28:34">
      <c r="AB8219" s="580">
        <f>HLOOKUP("*"&amp;'Output annual'!$AC$2&amp;'Output annual'!$AD$2&amp;"*Zone People Number Of Occupants [](Hourly)",'Eplus results'!$1:$1048576,ROW(),FALSE)</f>
        <v>0</v>
      </c>
      <c r="AC8219" s="580">
        <f>HLOOKUP("*"&amp;'Output annual'!$AC$2&amp;'Output annual'!$AD$2&amp;"*FangerPMV(Hourly)",'Eplus results'!$1:$1048576,ROW(),FALSE)</f>
        <v>0</v>
      </c>
      <c r="AD8219" s="580">
        <f t="shared" si="676"/>
        <v>5</v>
      </c>
      <c r="AE8219" s="580">
        <f t="shared" si="677"/>
        <v>2.5</v>
      </c>
      <c r="AF8219" s="580">
        <f t="shared" si="678"/>
        <v>2.5</v>
      </c>
      <c r="AG8219" s="580">
        <f t="shared" si="679"/>
        <v>0</v>
      </c>
      <c r="AH8219" s="580">
        <f t="shared" si="680"/>
        <v>0</v>
      </c>
    </row>
    <row r="8220" spans="28:34">
      <c r="AB8220" s="580">
        <f>HLOOKUP("*"&amp;'Output annual'!$AC$2&amp;'Output annual'!$AD$2&amp;"*Zone People Number Of Occupants [](Hourly)",'Eplus results'!$1:$1048576,ROW(),FALSE)</f>
        <v>0</v>
      </c>
      <c r="AC8220" s="580">
        <f>HLOOKUP("*"&amp;'Output annual'!$AC$2&amp;'Output annual'!$AD$2&amp;"*FangerPMV(Hourly)",'Eplus results'!$1:$1048576,ROW(),FALSE)</f>
        <v>0</v>
      </c>
      <c r="AD8220" s="580">
        <f t="shared" si="676"/>
        <v>5</v>
      </c>
      <c r="AE8220" s="580">
        <f t="shared" si="677"/>
        <v>2.5</v>
      </c>
      <c r="AF8220" s="580">
        <f t="shared" si="678"/>
        <v>2.5</v>
      </c>
      <c r="AG8220" s="580">
        <f t="shared" si="679"/>
        <v>0</v>
      </c>
      <c r="AH8220" s="580">
        <f t="shared" si="680"/>
        <v>0</v>
      </c>
    </row>
    <row r="8221" spans="28:34">
      <c r="AB8221" s="580">
        <f>HLOOKUP("*"&amp;'Output annual'!$AC$2&amp;'Output annual'!$AD$2&amp;"*Zone People Number Of Occupants [](Hourly)",'Eplus results'!$1:$1048576,ROW(),FALSE)</f>
        <v>0</v>
      </c>
      <c r="AC8221" s="580">
        <f>HLOOKUP("*"&amp;'Output annual'!$AC$2&amp;'Output annual'!$AD$2&amp;"*FangerPMV(Hourly)",'Eplus results'!$1:$1048576,ROW(),FALSE)</f>
        <v>0</v>
      </c>
      <c r="AD8221" s="580">
        <f t="shared" si="676"/>
        <v>5</v>
      </c>
      <c r="AE8221" s="580">
        <f t="shared" si="677"/>
        <v>2.5</v>
      </c>
      <c r="AF8221" s="580">
        <f t="shared" si="678"/>
        <v>2.5</v>
      </c>
      <c r="AG8221" s="580">
        <f t="shared" si="679"/>
        <v>0</v>
      </c>
      <c r="AH8221" s="580">
        <f t="shared" si="680"/>
        <v>0</v>
      </c>
    </row>
    <row r="8222" spans="28:34">
      <c r="AB8222" s="580">
        <f>HLOOKUP("*"&amp;'Output annual'!$AC$2&amp;'Output annual'!$AD$2&amp;"*Zone People Number Of Occupants [](Hourly)",'Eplus results'!$1:$1048576,ROW(),FALSE)</f>
        <v>0</v>
      </c>
      <c r="AC8222" s="580">
        <f>HLOOKUP("*"&amp;'Output annual'!$AC$2&amp;'Output annual'!$AD$2&amp;"*FangerPMV(Hourly)",'Eplus results'!$1:$1048576,ROW(),FALSE)</f>
        <v>0</v>
      </c>
      <c r="AD8222" s="580">
        <f t="shared" si="676"/>
        <v>5</v>
      </c>
      <c r="AE8222" s="580">
        <f t="shared" si="677"/>
        <v>2.5</v>
      </c>
      <c r="AF8222" s="580">
        <f t="shared" si="678"/>
        <v>2.5</v>
      </c>
      <c r="AG8222" s="580">
        <f t="shared" si="679"/>
        <v>0</v>
      </c>
      <c r="AH8222" s="580">
        <f t="shared" si="680"/>
        <v>0</v>
      </c>
    </row>
    <row r="8223" spans="28:34">
      <c r="AB8223" s="580">
        <f>HLOOKUP("*"&amp;'Output annual'!$AC$2&amp;'Output annual'!$AD$2&amp;"*Zone People Number Of Occupants [](Hourly)",'Eplus results'!$1:$1048576,ROW(),FALSE)</f>
        <v>0</v>
      </c>
      <c r="AC8223" s="580">
        <f>HLOOKUP("*"&amp;'Output annual'!$AC$2&amp;'Output annual'!$AD$2&amp;"*FangerPMV(Hourly)",'Eplus results'!$1:$1048576,ROW(),FALSE)</f>
        <v>0</v>
      </c>
      <c r="AD8223" s="580">
        <f t="shared" si="676"/>
        <v>5</v>
      </c>
      <c r="AE8223" s="580">
        <f t="shared" si="677"/>
        <v>2.5</v>
      </c>
      <c r="AF8223" s="580">
        <f t="shared" si="678"/>
        <v>2.5</v>
      </c>
      <c r="AG8223" s="580">
        <f t="shared" si="679"/>
        <v>0</v>
      </c>
      <c r="AH8223" s="580">
        <f t="shared" si="680"/>
        <v>0</v>
      </c>
    </row>
    <row r="8224" spans="28:34">
      <c r="AB8224" s="580">
        <f>HLOOKUP("*"&amp;'Output annual'!$AC$2&amp;'Output annual'!$AD$2&amp;"*Zone People Number Of Occupants [](Hourly)",'Eplus results'!$1:$1048576,ROW(),FALSE)</f>
        <v>0</v>
      </c>
      <c r="AC8224" s="580">
        <f>HLOOKUP("*"&amp;'Output annual'!$AC$2&amp;'Output annual'!$AD$2&amp;"*FangerPMV(Hourly)",'Eplus results'!$1:$1048576,ROW(),FALSE)</f>
        <v>0</v>
      </c>
      <c r="AD8224" s="580">
        <f t="shared" si="676"/>
        <v>5</v>
      </c>
      <c r="AE8224" s="580">
        <f t="shared" si="677"/>
        <v>2.5</v>
      </c>
      <c r="AF8224" s="580">
        <f t="shared" si="678"/>
        <v>2.5</v>
      </c>
      <c r="AG8224" s="580">
        <f t="shared" si="679"/>
        <v>0</v>
      </c>
      <c r="AH8224" s="580">
        <f t="shared" si="680"/>
        <v>0</v>
      </c>
    </row>
    <row r="8225" spans="28:34">
      <c r="AB8225" s="580">
        <f>HLOOKUP("*"&amp;'Output annual'!$AC$2&amp;'Output annual'!$AD$2&amp;"*Zone People Number Of Occupants [](Hourly)",'Eplus results'!$1:$1048576,ROW(),FALSE)</f>
        <v>0</v>
      </c>
      <c r="AC8225" s="580">
        <f>HLOOKUP("*"&amp;'Output annual'!$AC$2&amp;'Output annual'!$AD$2&amp;"*FangerPMV(Hourly)",'Eplus results'!$1:$1048576,ROW(),FALSE)</f>
        <v>0</v>
      </c>
      <c r="AD8225" s="580">
        <f t="shared" si="676"/>
        <v>5</v>
      </c>
      <c r="AE8225" s="580">
        <f t="shared" si="677"/>
        <v>2.5</v>
      </c>
      <c r="AF8225" s="580">
        <f t="shared" si="678"/>
        <v>2.5</v>
      </c>
      <c r="AG8225" s="580">
        <f t="shared" si="679"/>
        <v>0</v>
      </c>
      <c r="AH8225" s="580">
        <f t="shared" si="680"/>
        <v>0</v>
      </c>
    </row>
    <row r="8226" spans="28:34">
      <c r="AB8226" s="580">
        <f>HLOOKUP("*"&amp;'Output annual'!$AC$2&amp;'Output annual'!$AD$2&amp;"*Zone People Number Of Occupants [](Hourly)",'Eplus results'!$1:$1048576,ROW(),FALSE)</f>
        <v>0</v>
      </c>
      <c r="AC8226" s="580">
        <f>HLOOKUP("*"&amp;'Output annual'!$AC$2&amp;'Output annual'!$AD$2&amp;"*FangerPMV(Hourly)",'Eplus results'!$1:$1048576,ROW(),FALSE)</f>
        <v>0</v>
      </c>
      <c r="AD8226" s="580">
        <f t="shared" si="676"/>
        <v>5</v>
      </c>
      <c r="AE8226" s="580">
        <f t="shared" si="677"/>
        <v>2.5</v>
      </c>
      <c r="AF8226" s="580">
        <f t="shared" si="678"/>
        <v>2.5</v>
      </c>
      <c r="AG8226" s="580">
        <f t="shared" si="679"/>
        <v>0</v>
      </c>
      <c r="AH8226" s="580">
        <f t="shared" si="680"/>
        <v>0</v>
      </c>
    </row>
    <row r="8227" spans="28:34">
      <c r="AB8227" s="580">
        <f>HLOOKUP("*"&amp;'Output annual'!$AC$2&amp;'Output annual'!$AD$2&amp;"*Zone People Number Of Occupants [](Hourly)",'Eplus results'!$1:$1048576,ROW(),FALSE)</f>
        <v>0</v>
      </c>
      <c r="AC8227" s="580">
        <f>HLOOKUP("*"&amp;'Output annual'!$AC$2&amp;'Output annual'!$AD$2&amp;"*FangerPMV(Hourly)",'Eplus results'!$1:$1048576,ROW(),FALSE)</f>
        <v>0</v>
      </c>
      <c r="AD8227" s="580">
        <f t="shared" si="676"/>
        <v>5</v>
      </c>
      <c r="AE8227" s="580">
        <f t="shared" si="677"/>
        <v>2.5</v>
      </c>
      <c r="AF8227" s="580">
        <f t="shared" si="678"/>
        <v>2.5</v>
      </c>
      <c r="AG8227" s="580">
        <f t="shared" si="679"/>
        <v>0</v>
      </c>
      <c r="AH8227" s="580">
        <f t="shared" si="680"/>
        <v>0</v>
      </c>
    </row>
    <row r="8228" spans="28:34">
      <c r="AB8228" s="580">
        <f>HLOOKUP("*"&amp;'Output annual'!$AC$2&amp;'Output annual'!$AD$2&amp;"*Zone People Number Of Occupants [](Hourly)",'Eplus results'!$1:$1048576,ROW(),FALSE)</f>
        <v>0</v>
      </c>
      <c r="AC8228" s="580">
        <f>HLOOKUP("*"&amp;'Output annual'!$AC$2&amp;'Output annual'!$AD$2&amp;"*FangerPMV(Hourly)",'Eplus results'!$1:$1048576,ROW(),FALSE)</f>
        <v>0</v>
      </c>
      <c r="AD8228" s="580">
        <f t="shared" si="676"/>
        <v>5</v>
      </c>
      <c r="AE8228" s="580">
        <f t="shared" si="677"/>
        <v>2.5</v>
      </c>
      <c r="AF8228" s="580">
        <f t="shared" si="678"/>
        <v>2.5</v>
      </c>
      <c r="AG8228" s="580">
        <f t="shared" si="679"/>
        <v>0</v>
      </c>
      <c r="AH8228" s="580">
        <f t="shared" si="680"/>
        <v>0</v>
      </c>
    </row>
    <row r="8229" spans="28:34">
      <c r="AB8229" s="580">
        <f>HLOOKUP("*"&amp;'Output annual'!$AC$2&amp;'Output annual'!$AD$2&amp;"*Zone People Number Of Occupants [](Hourly)",'Eplus results'!$1:$1048576,ROW(),FALSE)</f>
        <v>0</v>
      </c>
      <c r="AC8229" s="580">
        <f>HLOOKUP("*"&amp;'Output annual'!$AC$2&amp;'Output annual'!$AD$2&amp;"*FangerPMV(Hourly)",'Eplus results'!$1:$1048576,ROW(),FALSE)</f>
        <v>0</v>
      </c>
      <c r="AD8229" s="580">
        <f t="shared" si="676"/>
        <v>5</v>
      </c>
      <c r="AE8229" s="580">
        <f t="shared" si="677"/>
        <v>2.5</v>
      </c>
      <c r="AF8229" s="580">
        <f t="shared" si="678"/>
        <v>2.5</v>
      </c>
      <c r="AG8229" s="580">
        <f t="shared" si="679"/>
        <v>0</v>
      </c>
      <c r="AH8229" s="580">
        <f t="shared" si="680"/>
        <v>0</v>
      </c>
    </row>
    <row r="8230" spans="28:34">
      <c r="AB8230" s="580">
        <f>HLOOKUP("*"&amp;'Output annual'!$AC$2&amp;'Output annual'!$AD$2&amp;"*Zone People Number Of Occupants [](Hourly)",'Eplus results'!$1:$1048576,ROW(),FALSE)</f>
        <v>0</v>
      </c>
      <c r="AC8230" s="580">
        <f>HLOOKUP("*"&amp;'Output annual'!$AC$2&amp;'Output annual'!$AD$2&amp;"*FangerPMV(Hourly)",'Eplus results'!$1:$1048576,ROW(),FALSE)</f>
        <v>0</v>
      </c>
      <c r="AD8230" s="580">
        <f t="shared" si="676"/>
        <v>5</v>
      </c>
      <c r="AE8230" s="580">
        <f t="shared" si="677"/>
        <v>2.5</v>
      </c>
      <c r="AF8230" s="580">
        <f t="shared" si="678"/>
        <v>2.5</v>
      </c>
      <c r="AG8230" s="580">
        <f t="shared" si="679"/>
        <v>0</v>
      </c>
      <c r="AH8230" s="580">
        <f t="shared" si="680"/>
        <v>0</v>
      </c>
    </row>
    <row r="8231" spans="28:34">
      <c r="AB8231" s="580">
        <f>HLOOKUP("*"&amp;'Output annual'!$AC$2&amp;'Output annual'!$AD$2&amp;"*Zone People Number Of Occupants [](Hourly)",'Eplus results'!$1:$1048576,ROW(),FALSE)</f>
        <v>0</v>
      </c>
      <c r="AC8231" s="580">
        <f>HLOOKUP("*"&amp;'Output annual'!$AC$2&amp;'Output annual'!$AD$2&amp;"*FangerPMV(Hourly)",'Eplus results'!$1:$1048576,ROW(),FALSE)</f>
        <v>0</v>
      </c>
      <c r="AD8231" s="580">
        <f t="shared" si="676"/>
        <v>5</v>
      </c>
      <c r="AE8231" s="580">
        <f t="shared" si="677"/>
        <v>2.5</v>
      </c>
      <c r="AF8231" s="580">
        <f t="shared" si="678"/>
        <v>2.5</v>
      </c>
      <c r="AG8231" s="580">
        <f t="shared" si="679"/>
        <v>0</v>
      </c>
      <c r="AH8231" s="580">
        <f t="shared" si="680"/>
        <v>0</v>
      </c>
    </row>
    <row r="8232" spans="28:34">
      <c r="AB8232" s="580">
        <f>HLOOKUP("*"&amp;'Output annual'!$AC$2&amp;'Output annual'!$AD$2&amp;"*Zone People Number Of Occupants [](Hourly)",'Eplus results'!$1:$1048576,ROW(),FALSE)</f>
        <v>0</v>
      </c>
      <c r="AC8232" s="580">
        <f>HLOOKUP("*"&amp;'Output annual'!$AC$2&amp;'Output annual'!$AD$2&amp;"*FangerPMV(Hourly)",'Eplus results'!$1:$1048576,ROW(),FALSE)</f>
        <v>0</v>
      </c>
      <c r="AD8232" s="580">
        <f t="shared" si="676"/>
        <v>5</v>
      </c>
      <c r="AE8232" s="580">
        <f t="shared" si="677"/>
        <v>2.5</v>
      </c>
      <c r="AF8232" s="580">
        <f t="shared" si="678"/>
        <v>2.5</v>
      </c>
      <c r="AG8232" s="580">
        <f t="shared" si="679"/>
        <v>0</v>
      </c>
      <c r="AH8232" s="580">
        <f t="shared" si="680"/>
        <v>0</v>
      </c>
    </row>
    <row r="8233" spans="28:34">
      <c r="AB8233" s="580">
        <f>HLOOKUP("*"&amp;'Output annual'!$AC$2&amp;'Output annual'!$AD$2&amp;"*Zone People Number Of Occupants [](Hourly)",'Eplus results'!$1:$1048576,ROW(),FALSE)</f>
        <v>0</v>
      </c>
      <c r="AC8233" s="580">
        <f>HLOOKUP("*"&amp;'Output annual'!$AC$2&amp;'Output annual'!$AD$2&amp;"*FangerPMV(Hourly)",'Eplus results'!$1:$1048576,ROW(),FALSE)</f>
        <v>0</v>
      </c>
      <c r="AD8233" s="580">
        <f t="shared" si="676"/>
        <v>5</v>
      </c>
      <c r="AE8233" s="580">
        <f t="shared" si="677"/>
        <v>2.5</v>
      </c>
      <c r="AF8233" s="580">
        <f t="shared" si="678"/>
        <v>2.5</v>
      </c>
      <c r="AG8233" s="580">
        <f t="shared" si="679"/>
        <v>0</v>
      </c>
      <c r="AH8233" s="580">
        <f t="shared" si="680"/>
        <v>0</v>
      </c>
    </row>
    <row r="8234" spans="28:34">
      <c r="AB8234" s="580">
        <f>HLOOKUP("*"&amp;'Output annual'!$AC$2&amp;'Output annual'!$AD$2&amp;"*Zone People Number Of Occupants [](Hourly)",'Eplus results'!$1:$1048576,ROW(),FALSE)</f>
        <v>0</v>
      </c>
      <c r="AC8234" s="580">
        <f>HLOOKUP("*"&amp;'Output annual'!$AC$2&amp;'Output annual'!$AD$2&amp;"*FangerPMV(Hourly)",'Eplus results'!$1:$1048576,ROW(),FALSE)</f>
        <v>0</v>
      </c>
      <c r="AD8234" s="580">
        <f t="shared" si="676"/>
        <v>5</v>
      </c>
      <c r="AE8234" s="580">
        <f t="shared" si="677"/>
        <v>2.5</v>
      </c>
      <c r="AF8234" s="580">
        <f t="shared" si="678"/>
        <v>2.5</v>
      </c>
      <c r="AG8234" s="580">
        <f t="shared" si="679"/>
        <v>0</v>
      </c>
      <c r="AH8234" s="580">
        <f t="shared" si="680"/>
        <v>0</v>
      </c>
    </row>
    <row r="8235" spans="28:34">
      <c r="AB8235" s="580">
        <f>HLOOKUP("*"&amp;'Output annual'!$AC$2&amp;'Output annual'!$AD$2&amp;"*Zone People Number Of Occupants [](Hourly)",'Eplus results'!$1:$1048576,ROW(),FALSE)</f>
        <v>0</v>
      </c>
      <c r="AC8235" s="580">
        <f>HLOOKUP("*"&amp;'Output annual'!$AC$2&amp;'Output annual'!$AD$2&amp;"*FangerPMV(Hourly)",'Eplus results'!$1:$1048576,ROW(),FALSE)</f>
        <v>0</v>
      </c>
      <c r="AD8235" s="580">
        <f t="shared" si="676"/>
        <v>5</v>
      </c>
      <c r="AE8235" s="580">
        <f t="shared" si="677"/>
        <v>2.5</v>
      </c>
      <c r="AF8235" s="580">
        <f t="shared" si="678"/>
        <v>2.5</v>
      </c>
      <c r="AG8235" s="580">
        <f t="shared" si="679"/>
        <v>0</v>
      </c>
      <c r="AH8235" s="580">
        <f t="shared" si="680"/>
        <v>0</v>
      </c>
    </row>
    <row r="8236" spans="28:34">
      <c r="AB8236" s="580">
        <f>HLOOKUP("*"&amp;'Output annual'!$AC$2&amp;'Output annual'!$AD$2&amp;"*Zone People Number Of Occupants [](Hourly)",'Eplus results'!$1:$1048576,ROW(),FALSE)</f>
        <v>0</v>
      </c>
      <c r="AC8236" s="580">
        <f>HLOOKUP("*"&amp;'Output annual'!$AC$2&amp;'Output annual'!$AD$2&amp;"*FangerPMV(Hourly)",'Eplus results'!$1:$1048576,ROW(),FALSE)</f>
        <v>0</v>
      </c>
      <c r="AD8236" s="580">
        <f t="shared" si="676"/>
        <v>5</v>
      </c>
      <c r="AE8236" s="580">
        <f t="shared" si="677"/>
        <v>2.5</v>
      </c>
      <c r="AF8236" s="580">
        <f t="shared" si="678"/>
        <v>2.5</v>
      </c>
      <c r="AG8236" s="580">
        <f t="shared" si="679"/>
        <v>0</v>
      </c>
      <c r="AH8236" s="580">
        <f t="shared" si="680"/>
        <v>0</v>
      </c>
    </row>
    <row r="8237" spans="28:34">
      <c r="AB8237" s="580">
        <f>HLOOKUP("*"&amp;'Output annual'!$AC$2&amp;'Output annual'!$AD$2&amp;"*Zone People Number Of Occupants [](Hourly)",'Eplus results'!$1:$1048576,ROW(),FALSE)</f>
        <v>0</v>
      </c>
      <c r="AC8237" s="580">
        <f>HLOOKUP("*"&amp;'Output annual'!$AC$2&amp;'Output annual'!$AD$2&amp;"*FangerPMV(Hourly)",'Eplus results'!$1:$1048576,ROW(),FALSE)</f>
        <v>0</v>
      </c>
      <c r="AD8237" s="580">
        <f t="shared" si="676"/>
        <v>5</v>
      </c>
      <c r="AE8237" s="580">
        <f t="shared" si="677"/>
        <v>2.5</v>
      </c>
      <c r="AF8237" s="580">
        <f t="shared" si="678"/>
        <v>2.5</v>
      </c>
      <c r="AG8237" s="580">
        <f t="shared" si="679"/>
        <v>0</v>
      </c>
      <c r="AH8237" s="580">
        <f t="shared" si="680"/>
        <v>0</v>
      </c>
    </row>
    <row r="8238" spans="28:34">
      <c r="AB8238" s="580">
        <f>HLOOKUP("*"&amp;'Output annual'!$AC$2&amp;'Output annual'!$AD$2&amp;"*Zone People Number Of Occupants [](Hourly)",'Eplus results'!$1:$1048576,ROW(),FALSE)</f>
        <v>0</v>
      </c>
      <c r="AC8238" s="580">
        <f>HLOOKUP("*"&amp;'Output annual'!$AC$2&amp;'Output annual'!$AD$2&amp;"*FangerPMV(Hourly)",'Eplus results'!$1:$1048576,ROW(),FALSE)</f>
        <v>0</v>
      </c>
      <c r="AD8238" s="580">
        <f t="shared" si="676"/>
        <v>5</v>
      </c>
      <c r="AE8238" s="580">
        <f t="shared" si="677"/>
        <v>2.5</v>
      </c>
      <c r="AF8238" s="580">
        <f t="shared" si="678"/>
        <v>2.5</v>
      </c>
      <c r="AG8238" s="580">
        <f t="shared" si="679"/>
        <v>0</v>
      </c>
      <c r="AH8238" s="580">
        <f t="shared" si="680"/>
        <v>0</v>
      </c>
    </row>
    <row r="8239" spans="28:34">
      <c r="AB8239" s="580">
        <f>HLOOKUP("*"&amp;'Output annual'!$AC$2&amp;'Output annual'!$AD$2&amp;"*Zone People Number Of Occupants [](Hourly)",'Eplus results'!$1:$1048576,ROW(),FALSE)</f>
        <v>0</v>
      </c>
      <c r="AC8239" s="580">
        <f>HLOOKUP("*"&amp;'Output annual'!$AC$2&amp;'Output annual'!$AD$2&amp;"*FangerPMV(Hourly)",'Eplus results'!$1:$1048576,ROW(),FALSE)</f>
        <v>0</v>
      </c>
      <c r="AD8239" s="580">
        <f t="shared" si="676"/>
        <v>5</v>
      </c>
      <c r="AE8239" s="580">
        <f t="shared" si="677"/>
        <v>2.5</v>
      </c>
      <c r="AF8239" s="580">
        <f t="shared" si="678"/>
        <v>2.5</v>
      </c>
      <c r="AG8239" s="580">
        <f t="shared" si="679"/>
        <v>0</v>
      </c>
      <c r="AH8239" s="580">
        <f t="shared" si="680"/>
        <v>0</v>
      </c>
    </row>
    <row r="8240" spans="28:34">
      <c r="AB8240" s="580">
        <f>HLOOKUP("*"&amp;'Output annual'!$AC$2&amp;'Output annual'!$AD$2&amp;"*Zone People Number Of Occupants [](Hourly)",'Eplus results'!$1:$1048576,ROW(),FALSE)</f>
        <v>0</v>
      </c>
      <c r="AC8240" s="580">
        <f>HLOOKUP("*"&amp;'Output annual'!$AC$2&amp;'Output annual'!$AD$2&amp;"*FangerPMV(Hourly)",'Eplus results'!$1:$1048576,ROW(),FALSE)</f>
        <v>0</v>
      </c>
      <c r="AD8240" s="580">
        <f t="shared" si="676"/>
        <v>5</v>
      </c>
      <c r="AE8240" s="580">
        <f t="shared" si="677"/>
        <v>2.5</v>
      </c>
      <c r="AF8240" s="580">
        <f t="shared" si="678"/>
        <v>2.5</v>
      </c>
      <c r="AG8240" s="580">
        <f t="shared" si="679"/>
        <v>0</v>
      </c>
      <c r="AH8240" s="580">
        <f t="shared" si="680"/>
        <v>0</v>
      </c>
    </row>
    <row r="8241" spans="28:34">
      <c r="AB8241" s="580">
        <f>HLOOKUP("*"&amp;'Output annual'!$AC$2&amp;'Output annual'!$AD$2&amp;"*Zone People Number Of Occupants [](Hourly)",'Eplus results'!$1:$1048576,ROW(),FALSE)</f>
        <v>0</v>
      </c>
      <c r="AC8241" s="580">
        <f>HLOOKUP("*"&amp;'Output annual'!$AC$2&amp;'Output annual'!$AD$2&amp;"*FangerPMV(Hourly)",'Eplus results'!$1:$1048576,ROW(),FALSE)</f>
        <v>0</v>
      </c>
      <c r="AD8241" s="580">
        <f t="shared" si="676"/>
        <v>5</v>
      </c>
      <c r="AE8241" s="580">
        <f t="shared" si="677"/>
        <v>2.5</v>
      </c>
      <c r="AF8241" s="580">
        <f t="shared" si="678"/>
        <v>2.5</v>
      </c>
      <c r="AG8241" s="580">
        <f t="shared" si="679"/>
        <v>0</v>
      </c>
      <c r="AH8241" s="580">
        <f t="shared" si="680"/>
        <v>0</v>
      </c>
    </row>
    <row r="8242" spans="28:34">
      <c r="AB8242" s="580">
        <f>HLOOKUP("*"&amp;'Output annual'!$AC$2&amp;'Output annual'!$AD$2&amp;"*Zone People Number Of Occupants [](Hourly)",'Eplus results'!$1:$1048576,ROW(),FALSE)</f>
        <v>0</v>
      </c>
      <c r="AC8242" s="580">
        <f>HLOOKUP("*"&amp;'Output annual'!$AC$2&amp;'Output annual'!$AD$2&amp;"*FangerPMV(Hourly)",'Eplus results'!$1:$1048576,ROW(),FALSE)</f>
        <v>0</v>
      </c>
      <c r="AD8242" s="580">
        <f t="shared" si="676"/>
        <v>5</v>
      </c>
      <c r="AE8242" s="580">
        <f t="shared" si="677"/>
        <v>2.5</v>
      </c>
      <c r="AF8242" s="580">
        <f t="shared" si="678"/>
        <v>2.5</v>
      </c>
      <c r="AG8242" s="580">
        <f t="shared" si="679"/>
        <v>0</v>
      </c>
      <c r="AH8242" s="580">
        <f t="shared" si="680"/>
        <v>0</v>
      </c>
    </row>
    <row r="8243" spans="28:34">
      <c r="AB8243" s="580">
        <f>HLOOKUP("*"&amp;'Output annual'!$AC$2&amp;'Output annual'!$AD$2&amp;"*Zone People Number Of Occupants [](Hourly)",'Eplus results'!$1:$1048576,ROW(),FALSE)</f>
        <v>0</v>
      </c>
      <c r="AC8243" s="580">
        <f>HLOOKUP("*"&amp;'Output annual'!$AC$2&amp;'Output annual'!$AD$2&amp;"*FangerPMV(Hourly)",'Eplus results'!$1:$1048576,ROW(),FALSE)</f>
        <v>0</v>
      </c>
      <c r="AD8243" s="580">
        <f t="shared" si="676"/>
        <v>5</v>
      </c>
      <c r="AE8243" s="580">
        <f t="shared" si="677"/>
        <v>2.5</v>
      </c>
      <c r="AF8243" s="580">
        <f t="shared" si="678"/>
        <v>2.5</v>
      </c>
      <c r="AG8243" s="580">
        <f t="shared" si="679"/>
        <v>0</v>
      </c>
      <c r="AH8243" s="580">
        <f t="shared" si="680"/>
        <v>0</v>
      </c>
    </row>
    <row r="8244" spans="28:34">
      <c r="AB8244" s="580">
        <f>HLOOKUP("*"&amp;'Output annual'!$AC$2&amp;'Output annual'!$AD$2&amp;"*Zone People Number Of Occupants [](Hourly)",'Eplus results'!$1:$1048576,ROW(),FALSE)</f>
        <v>0</v>
      </c>
      <c r="AC8244" s="580">
        <f>HLOOKUP("*"&amp;'Output annual'!$AC$2&amp;'Output annual'!$AD$2&amp;"*FangerPMV(Hourly)",'Eplus results'!$1:$1048576,ROW(),FALSE)</f>
        <v>0</v>
      </c>
      <c r="AD8244" s="580">
        <f t="shared" si="676"/>
        <v>5</v>
      </c>
      <c r="AE8244" s="580">
        <f t="shared" si="677"/>
        <v>2.5</v>
      </c>
      <c r="AF8244" s="580">
        <f t="shared" si="678"/>
        <v>2.5</v>
      </c>
      <c r="AG8244" s="580">
        <f t="shared" si="679"/>
        <v>0</v>
      </c>
      <c r="AH8244" s="580">
        <f t="shared" si="680"/>
        <v>0</v>
      </c>
    </row>
    <row r="8245" spans="28:34">
      <c r="AB8245" s="580">
        <f>HLOOKUP("*"&amp;'Output annual'!$AC$2&amp;'Output annual'!$AD$2&amp;"*Zone People Number Of Occupants [](Hourly)",'Eplus results'!$1:$1048576,ROW(),FALSE)</f>
        <v>0</v>
      </c>
      <c r="AC8245" s="580">
        <f>HLOOKUP("*"&amp;'Output annual'!$AC$2&amp;'Output annual'!$AD$2&amp;"*FangerPMV(Hourly)",'Eplus results'!$1:$1048576,ROW(),FALSE)</f>
        <v>0</v>
      </c>
      <c r="AD8245" s="580">
        <f t="shared" si="676"/>
        <v>5</v>
      </c>
      <c r="AE8245" s="580">
        <f t="shared" si="677"/>
        <v>2.5</v>
      </c>
      <c r="AF8245" s="580">
        <f t="shared" si="678"/>
        <v>2.5</v>
      </c>
      <c r="AG8245" s="580">
        <f t="shared" si="679"/>
        <v>0</v>
      </c>
      <c r="AH8245" s="580">
        <f t="shared" si="680"/>
        <v>0</v>
      </c>
    </row>
    <row r="8246" spans="28:34">
      <c r="AB8246" s="580">
        <f>HLOOKUP("*"&amp;'Output annual'!$AC$2&amp;'Output annual'!$AD$2&amp;"*Zone People Number Of Occupants [](Hourly)",'Eplus results'!$1:$1048576,ROW(),FALSE)</f>
        <v>0</v>
      </c>
      <c r="AC8246" s="580">
        <f>HLOOKUP("*"&amp;'Output annual'!$AC$2&amp;'Output annual'!$AD$2&amp;"*FangerPMV(Hourly)",'Eplus results'!$1:$1048576,ROW(),FALSE)</f>
        <v>0</v>
      </c>
      <c r="AD8246" s="580">
        <f t="shared" si="676"/>
        <v>5</v>
      </c>
      <c r="AE8246" s="580">
        <f t="shared" si="677"/>
        <v>2.5</v>
      </c>
      <c r="AF8246" s="580">
        <f t="shared" si="678"/>
        <v>2.5</v>
      </c>
      <c r="AG8246" s="580">
        <f t="shared" si="679"/>
        <v>0</v>
      </c>
      <c r="AH8246" s="580">
        <f t="shared" si="680"/>
        <v>0</v>
      </c>
    </row>
    <row r="8247" spans="28:34">
      <c r="AB8247" s="580">
        <f>HLOOKUP("*"&amp;'Output annual'!$AC$2&amp;'Output annual'!$AD$2&amp;"*Zone People Number Of Occupants [](Hourly)",'Eplus results'!$1:$1048576,ROW(),FALSE)</f>
        <v>0</v>
      </c>
      <c r="AC8247" s="580">
        <f>HLOOKUP("*"&amp;'Output annual'!$AC$2&amp;'Output annual'!$AD$2&amp;"*FangerPMV(Hourly)",'Eplus results'!$1:$1048576,ROW(),FALSE)</f>
        <v>0</v>
      </c>
      <c r="AD8247" s="580">
        <f t="shared" si="676"/>
        <v>5</v>
      </c>
      <c r="AE8247" s="580">
        <f t="shared" si="677"/>
        <v>2.5</v>
      </c>
      <c r="AF8247" s="580">
        <f t="shared" si="678"/>
        <v>2.5</v>
      </c>
      <c r="AG8247" s="580">
        <f t="shared" si="679"/>
        <v>0</v>
      </c>
      <c r="AH8247" s="580">
        <f t="shared" si="680"/>
        <v>0</v>
      </c>
    </row>
    <row r="8248" spans="28:34">
      <c r="AB8248" s="580">
        <f>HLOOKUP("*"&amp;'Output annual'!$AC$2&amp;'Output annual'!$AD$2&amp;"*Zone People Number Of Occupants [](Hourly)",'Eplus results'!$1:$1048576,ROW(),FALSE)</f>
        <v>0</v>
      </c>
      <c r="AC8248" s="580">
        <f>HLOOKUP("*"&amp;'Output annual'!$AC$2&amp;'Output annual'!$AD$2&amp;"*FangerPMV(Hourly)",'Eplus results'!$1:$1048576,ROW(),FALSE)</f>
        <v>0</v>
      </c>
      <c r="AD8248" s="580">
        <f t="shared" si="676"/>
        <v>5</v>
      </c>
      <c r="AE8248" s="580">
        <f t="shared" si="677"/>
        <v>2.5</v>
      </c>
      <c r="AF8248" s="580">
        <f t="shared" si="678"/>
        <v>2.5</v>
      </c>
      <c r="AG8248" s="580">
        <f t="shared" si="679"/>
        <v>0</v>
      </c>
      <c r="AH8248" s="580">
        <f t="shared" si="680"/>
        <v>0</v>
      </c>
    </row>
    <row r="8249" spans="28:34">
      <c r="AB8249" s="580">
        <f>HLOOKUP("*"&amp;'Output annual'!$AC$2&amp;'Output annual'!$AD$2&amp;"*Zone People Number Of Occupants [](Hourly)",'Eplus results'!$1:$1048576,ROW(),FALSE)</f>
        <v>0</v>
      </c>
      <c r="AC8249" s="580">
        <f>HLOOKUP("*"&amp;'Output annual'!$AC$2&amp;'Output annual'!$AD$2&amp;"*FangerPMV(Hourly)",'Eplus results'!$1:$1048576,ROW(),FALSE)</f>
        <v>0</v>
      </c>
      <c r="AD8249" s="580">
        <f t="shared" si="676"/>
        <v>5</v>
      </c>
      <c r="AE8249" s="580">
        <f t="shared" si="677"/>
        <v>2.5</v>
      </c>
      <c r="AF8249" s="580">
        <f t="shared" si="678"/>
        <v>2.5</v>
      </c>
      <c r="AG8249" s="580">
        <f t="shared" si="679"/>
        <v>0</v>
      </c>
      <c r="AH8249" s="580">
        <f t="shared" si="680"/>
        <v>0</v>
      </c>
    </row>
    <row r="8250" spans="28:34">
      <c r="AB8250" s="580">
        <f>HLOOKUP("*"&amp;'Output annual'!$AC$2&amp;'Output annual'!$AD$2&amp;"*Zone People Number Of Occupants [](Hourly)",'Eplus results'!$1:$1048576,ROW(),FALSE)</f>
        <v>0</v>
      </c>
      <c r="AC8250" s="580">
        <f>HLOOKUP("*"&amp;'Output annual'!$AC$2&amp;'Output annual'!$AD$2&amp;"*FangerPMV(Hourly)",'Eplus results'!$1:$1048576,ROW(),FALSE)</f>
        <v>0</v>
      </c>
      <c r="AD8250" s="580">
        <f t="shared" si="676"/>
        <v>5</v>
      </c>
      <c r="AE8250" s="580">
        <f t="shared" si="677"/>
        <v>2.5</v>
      </c>
      <c r="AF8250" s="580">
        <f t="shared" si="678"/>
        <v>2.5</v>
      </c>
      <c r="AG8250" s="580">
        <f t="shared" si="679"/>
        <v>0</v>
      </c>
      <c r="AH8250" s="580">
        <f t="shared" si="680"/>
        <v>0</v>
      </c>
    </row>
    <row r="8251" spans="28:34">
      <c r="AB8251" s="580">
        <f>HLOOKUP("*"&amp;'Output annual'!$AC$2&amp;'Output annual'!$AD$2&amp;"*Zone People Number Of Occupants [](Hourly)",'Eplus results'!$1:$1048576,ROW(),FALSE)</f>
        <v>0</v>
      </c>
      <c r="AC8251" s="580">
        <f>HLOOKUP("*"&amp;'Output annual'!$AC$2&amp;'Output annual'!$AD$2&amp;"*FangerPMV(Hourly)",'Eplus results'!$1:$1048576,ROW(),FALSE)</f>
        <v>0</v>
      </c>
      <c r="AD8251" s="580">
        <f t="shared" si="676"/>
        <v>5</v>
      </c>
      <c r="AE8251" s="580">
        <f t="shared" si="677"/>
        <v>2.5</v>
      </c>
      <c r="AF8251" s="580">
        <f t="shared" si="678"/>
        <v>2.5</v>
      </c>
      <c r="AG8251" s="580">
        <f t="shared" si="679"/>
        <v>0</v>
      </c>
      <c r="AH8251" s="580">
        <f t="shared" si="680"/>
        <v>0</v>
      </c>
    </row>
    <row r="8252" spans="28:34">
      <c r="AB8252" s="580">
        <f>HLOOKUP("*"&amp;'Output annual'!$AC$2&amp;'Output annual'!$AD$2&amp;"*Zone People Number Of Occupants [](Hourly)",'Eplus results'!$1:$1048576,ROW(),FALSE)</f>
        <v>0</v>
      </c>
      <c r="AC8252" s="580">
        <f>HLOOKUP("*"&amp;'Output annual'!$AC$2&amp;'Output annual'!$AD$2&amp;"*FangerPMV(Hourly)",'Eplus results'!$1:$1048576,ROW(),FALSE)</f>
        <v>0</v>
      </c>
      <c r="AD8252" s="580">
        <f t="shared" si="676"/>
        <v>5</v>
      </c>
      <c r="AE8252" s="580">
        <f t="shared" si="677"/>
        <v>2.5</v>
      </c>
      <c r="AF8252" s="580">
        <f t="shared" si="678"/>
        <v>2.5</v>
      </c>
      <c r="AG8252" s="580">
        <f t="shared" si="679"/>
        <v>0</v>
      </c>
      <c r="AH8252" s="580">
        <f t="shared" si="680"/>
        <v>0</v>
      </c>
    </row>
    <row r="8253" spans="28:34">
      <c r="AB8253" s="580">
        <f>HLOOKUP("*"&amp;'Output annual'!$AC$2&amp;'Output annual'!$AD$2&amp;"*Zone People Number Of Occupants [](Hourly)",'Eplus results'!$1:$1048576,ROW(),FALSE)</f>
        <v>0</v>
      </c>
      <c r="AC8253" s="580">
        <f>HLOOKUP("*"&amp;'Output annual'!$AC$2&amp;'Output annual'!$AD$2&amp;"*FangerPMV(Hourly)",'Eplus results'!$1:$1048576,ROW(),FALSE)</f>
        <v>0</v>
      </c>
      <c r="AD8253" s="580">
        <f t="shared" si="676"/>
        <v>5</v>
      </c>
      <c r="AE8253" s="580">
        <f t="shared" si="677"/>
        <v>2.5</v>
      </c>
      <c r="AF8253" s="580">
        <f t="shared" si="678"/>
        <v>2.5</v>
      </c>
      <c r="AG8253" s="580">
        <f t="shared" si="679"/>
        <v>0</v>
      </c>
      <c r="AH8253" s="580">
        <f t="shared" si="680"/>
        <v>0</v>
      </c>
    </row>
    <row r="8254" spans="28:34">
      <c r="AB8254" s="580">
        <f>HLOOKUP("*"&amp;'Output annual'!$AC$2&amp;'Output annual'!$AD$2&amp;"*Zone People Number Of Occupants [](Hourly)",'Eplus results'!$1:$1048576,ROW(),FALSE)</f>
        <v>0</v>
      </c>
      <c r="AC8254" s="580">
        <f>HLOOKUP("*"&amp;'Output annual'!$AC$2&amp;'Output annual'!$AD$2&amp;"*FangerPMV(Hourly)",'Eplus results'!$1:$1048576,ROW(),FALSE)</f>
        <v>0</v>
      </c>
      <c r="AD8254" s="580">
        <f t="shared" si="676"/>
        <v>5</v>
      </c>
      <c r="AE8254" s="580">
        <f t="shared" si="677"/>
        <v>2.5</v>
      </c>
      <c r="AF8254" s="580">
        <f t="shared" si="678"/>
        <v>2.5</v>
      </c>
      <c r="AG8254" s="580">
        <f t="shared" si="679"/>
        <v>0</v>
      </c>
      <c r="AH8254" s="580">
        <f t="shared" si="680"/>
        <v>0</v>
      </c>
    </row>
    <row r="8255" spans="28:34">
      <c r="AB8255" s="580">
        <f>HLOOKUP("*"&amp;'Output annual'!$AC$2&amp;'Output annual'!$AD$2&amp;"*Zone People Number Of Occupants [](Hourly)",'Eplus results'!$1:$1048576,ROW(),FALSE)</f>
        <v>0</v>
      </c>
      <c r="AC8255" s="580">
        <f>HLOOKUP("*"&amp;'Output annual'!$AC$2&amp;'Output annual'!$AD$2&amp;"*FangerPMV(Hourly)",'Eplus results'!$1:$1048576,ROW(),FALSE)</f>
        <v>0</v>
      </c>
      <c r="AD8255" s="580">
        <f t="shared" si="676"/>
        <v>5</v>
      </c>
      <c r="AE8255" s="580">
        <f t="shared" si="677"/>
        <v>2.5</v>
      </c>
      <c r="AF8255" s="580">
        <f t="shared" si="678"/>
        <v>2.5</v>
      </c>
      <c r="AG8255" s="580">
        <f t="shared" si="679"/>
        <v>0</v>
      </c>
      <c r="AH8255" s="580">
        <f t="shared" si="680"/>
        <v>0</v>
      </c>
    </row>
    <row r="8256" spans="28:34">
      <c r="AB8256" s="580">
        <f>HLOOKUP("*"&amp;'Output annual'!$AC$2&amp;'Output annual'!$AD$2&amp;"*Zone People Number Of Occupants [](Hourly)",'Eplus results'!$1:$1048576,ROW(),FALSE)</f>
        <v>0</v>
      </c>
      <c r="AC8256" s="580">
        <f>HLOOKUP("*"&amp;'Output annual'!$AC$2&amp;'Output annual'!$AD$2&amp;"*FangerPMV(Hourly)",'Eplus results'!$1:$1048576,ROW(),FALSE)</f>
        <v>0</v>
      </c>
      <c r="AD8256" s="580">
        <f t="shared" si="676"/>
        <v>5</v>
      </c>
      <c r="AE8256" s="580">
        <f t="shared" si="677"/>
        <v>2.5</v>
      </c>
      <c r="AF8256" s="580">
        <f t="shared" si="678"/>
        <v>2.5</v>
      </c>
      <c r="AG8256" s="580">
        <f t="shared" si="679"/>
        <v>0</v>
      </c>
      <c r="AH8256" s="580">
        <f t="shared" si="680"/>
        <v>0</v>
      </c>
    </row>
    <row r="8257" spans="28:34">
      <c r="AB8257" s="580">
        <f>HLOOKUP("*"&amp;'Output annual'!$AC$2&amp;'Output annual'!$AD$2&amp;"*Zone People Number Of Occupants [](Hourly)",'Eplus results'!$1:$1048576,ROW(),FALSE)</f>
        <v>0</v>
      </c>
      <c r="AC8257" s="580">
        <f>HLOOKUP("*"&amp;'Output annual'!$AC$2&amp;'Output annual'!$AD$2&amp;"*FangerPMV(Hourly)",'Eplus results'!$1:$1048576,ROW(),FALSE)</f>
        <v>0</v>
      </c>
      <c r="AD8257" s="580">
        <f t="shared" si="676"/>
        <v>5</v>
      </c>
      <c r="AE8257" s="580">
        <f t="shared" si="677"/>
        <v>2.5</v>
      </c>
      <c r="AF8257" s="580">
        <f t="shared" si="678"/>
        <v>2.5</v>
      </c>
      <c r="AG8257" s="580">
        <f t="shared" si="679"/>
        <v>0</v>
      </c>
      <c r="AH8257" s="580">
        <f t="shared" si="680"/>
        <v>0</v>
      </c>
    </row>
    <row r="8258" spans="28:34">
      <c r="AB8258" s="580">
        <f>HLOOKUP("*"&amp;'Output annual'!$AC$2&amp;'Output annual'!$AD$2&amp;"*Zone People Number Of Occupants [](Hourly)",'Eplus results'!$1:$1048576,ROW(),FALSE)</f>
        <v>0</v>
      </c>
      <c r="AC8258" s="580">
        <f>HLOOKUP("*"&amp;'Output annual'!$AC$2&amp;'Output annual'!$AD$2&amp;"*FangerPMV(Hourly)",'Eplus results'!$1:$1048576,ROW(),FALSE)</f>
        <v>0</v>
      </c>
      <c r="AD8258" s="580">
        <f t="shared" si="676"/>
        <v>5</v>
      </c>
      <c r="AE8258" s="580">
        <f t="shared" si="677"/>
        <v>2.5</v>
      </c>
      <c r="AF8258" s="580">
        <f t="shared" si="678"/>
        <v>2.5</v>
      </c>
      <c r="AG8258" s="580">
        <f t="shared" si="679"/>
        <v>0</v>
      </c>
      <c r="AH8258" s="580">
        <f t="shared" si="680"/>
        <v>0</v>
      </c>
    </row>
    <row r="8259" spans="28:34">
      <c r="AB8259" s="580">
        <f>HLOOKUP("*"&amp;'Output annual'!$AC$2&amp;'Output annual'!$AD$2&amp;"*Zone People Number Of Occupants [](Hourly)",'Eplus results'!$1:$1048576,ROW(),FALSE)</f>
        <v>0</v>
      </c>
      <c r="AC8259" s="580">
        <f>HLOOKUP("*"&amp;'Output annual'!$AC$2&amp;'Output annual'!$AD$2&amp;"*FangerPMV(Hourly)",'Eplus results'!$1:$1048576,ROW(),FALSE)</f>
        <v>0</v>
      </c>
      <c r="AD8259" s="580">
        <f t="shared" ref="AD8259:AD8322" si="681">100-95*EXP(-0.03353*AC8259^4-0.2179*AC8259^2)</f>
        <v>5</v>
      </c>
      <c r="AE8259" s="580">
        <f t="shared" ref="AE8259:AE8322" si="682">AD8259*(1/(1+EXP(-6.3*$AC8259)))</f>
        <v>2.5</v>
      </c>
      <c r="AF8259" s="580">
        <f t="shared" ref="AF8259:AF8322" si="683">(AD8259-AE8259)</f>
        <v>2.5</v>
      </c>
      <c r="AG8259" s="580">
        <f t="shared" ref="AG8259:AG8322" si="684">AE8259*AB8259</f>
        <v>0</v>
      </c>
      <c r="AH8259" s="580">
        <f t="shared" ref="AH8259:AH8322" si="685">AF8259*AB8259</f>
        <v>0</v>
      </c>
    </row>
    <row r="8260" spans="28:34">
      <c r="AB8260" s="580">
        <f>HLOOKUP("*"&amp;'Output annual'!$AC$2&amp;'Output annual'!$AD$2&amp;"*Zone People Number Of Occupants [](Hourly)",'Eplus results'!$1:$1048576,ROW(),FALSE)</f>
        <v>0</v>
      </c>
      <c r="AC8260" s="580">
        <f>HLOOKUP("*"&amp;'Output annual'!$AC$2&amp;'Output annual'!$AD$2&amp;"*FangerPMV(Hourly)",'Eplus results'!$1:$1048576,ROW(),FALSE)</f>
        <v>0</v>
      </c>
      <c r="AD8260" s="580">
        <f t="shared" si="681"/>
        <v>5</v>
      </c>
      <c r="AE8260" s="580">
        <f t="shared" si="682"/>
        <v>2.5</v>
      </c>
      <c r="AF8260" s="580">
        <f t="shared" si="683"/>
        <v>2.5</v>
      </c>
      <c r="AG8260" s="580">
        <f t="shared" si="684"/>
        <v>0</v>
      </c>
      <c r="AH8260" s="580">
        <f t="shared" si="685"/>
        <v>0</v>
      </c>
    </row>
    <row r="8261" spans="28:34">
      <c r="AB8261" s="580">
        <f>HLOOKUP("*"&amp;'Output annual'!$AC$2&amp;'Output annual'!$AD$2&amp;"*Zone People Number Of Occupants [](Hourly)",'Eplus results'!$1:$1048576,ROW(),FALSE)</f>
        <v>0</v>
      </c>
      <c r="AC8261" s="580">
        <f>HLOOKUP("*"&amp;'Output annual'!$AC$2&amp;'Output annual'!$AD$2&amp;"*FangerPMV(Hourly)",'Eplus results'!$1:$1048576,ROW(),FALSE)</f>
        <v>0</v>
      </c>
      <c r="AD8261" s="580">
        <f t="shared" si="681"/>
        <v>5</v>
      </c>
      <c r="AE8261" s="580">
        <f t="shared" si="682"/>
        <v>2.5</v>
      </c>
      <c r="AF8261" s="580">
        <f t="shared" si="683"/>
        <v>2.5</v>
      </c>
      <c r="AG8261" s="580">
        <f t="shared" si="684"/>
        <v>0</v>
      </c>
      <c r="AH8261" s="580">
        <f t="shared" si="685"/>
        <v>0</v>
      </c>
    </row>
    <row r="8262" spans="28:34">
      <c r="AB8262" s="580">
        <f>HLOOKUP("*"&amp;'Output annual'!$AC$2&amp;'Output annual'!$AD$2&amp;"*Zone People Number Of Occupants [](Hourly)",'Eplus results'!$1:$1048576,ROW(),FALSE)</f>
        <v>0</v>
      </c>
      <c r="AC8262" s="580">
        <f>HLOOKUP("*"&amp;'Output annual'!$AC$2&amp;'Output annual'!$AD$2&amp;"*FangerPMV(Hourly)",'Eplus results'!$1:$1048576,ROW(),FALSE)</f>
        <v>0</v>
      </c>
      <c r="AD8262" s="580">
        <f t="shared" si="681"/>
        <v>5</v>
      </c>
      <c r="AE8262" s="580">
        <f t="shared" si="682"/>
        <v>2.5</v>
      </c>
      <c r="AF8262" s="580">
        <f t="shared" si="683"/>
        <v>2.5</v>
      </c>
      <c r="AG8262" s="580">
        <f t="shared" si="684"/>
        <v>0</v>
      </c>
      <c r="AH8262" s="580">
        <f t="shared" si="685"/>
        <v>0</v>
      </c>
    </row>
    <row r="8263" spans="28:34">
      <c r="AB8263" s="580">
        <f>HLOOKUP("*"&amp;'Output annual'!$AC$2&amp;'Output annual'!$AD$2&amp;"*Zone People Number Of Occupants [](Hourly)",'Eplus results'!$1:$1048576,ROW(),FALSE)</f>
        <v>0</v>
      </c>
      <c r="AC8263" s="580">
        <f>HLOOKUP("*"&amp;'Output annual'!$AC$2&amp;'Output annual'!$AD$2&amp;"*FangerPMV(Hourly)",'Eplus results'!$1:$1048576,ROW(),FALSE)</f>
        <v>0</v>
      </c>
      <c r="AD8263" s="580">
        <f t="shared" si="681"/>
        <v>5</v>
      </c>
      <c r="AE8263" s="580">
        <f t="shared" si="682"/>
        <v>2.5</v>
      </c>
      <c r="AF8263" s="580">
        <f t="shared" si="683"/>
        <v>2.5</v>
      </c>
      <c r="AG8263" s="580">
        <f t="shared" si="684"/>
        <v>0</v>
      </c>
      <c r="AH8263" s="580">
        <f t="shared" si="685"/>
        <v>0</v>
      </c>
    </row>
    <row r="8264" spans="28:34">
      <c r="AB8264" s="580">
        <f>HLOOKUP("*"&amp;'Output annual'!$AC$2&amp;'Output annual'!$AD$2&amp;"*Zone People Number Of Occupants [](Hourly)",'Eplus results'!$1:$1048576,ROW(),FALSE)</f>
        <v>0</v>
      </c>
      <c r="AC8264" s="580">
        <f>HLOOKUP("*"&amp;'Output annual'!$AC$2&amp;'Output annual'!$AD$2&amp;"*FangerPMV(Hourly)",'Eplus results'!$1:$1048576,ROW(),FALSE)</f>
        <v>0</v>
      </c>
      <c r="AD8264" s="580">
        <f t="shared" si="681"/>
        <v>5</v>
      </c>
      <c r="AE8264" s="580">
        <f t="shared" si="682"/>
        <v>2.5</v>
      </c>
      <c r="AF8264" s="580">
        <f t="shared" si="683"/>
        <v>2.5</v>
      </c>
      <c r="AG8264" s="580">
        <f t="shared" si="684"/>
        <v>0</v>
      </c>
      <c r="AH8264" s="580">
        <f t="shared" si="685"/>
        <v>0</v>
      </c>
    </row>
    <row r="8265" spans="28:34">
      <c r="AB8265" s="580">
        <f>HLOOKUP("*"&amp;'Output annual'!$AC$2&amp;'Output annual'!$AD$2&amp;"*Zone People Number Of Occupants [](Hourly)",'Eplus results'!$1:$1048576,ROW(),FALSE)</f>
        <v>0</v>
      </c>
      <c r="AC8265" s="580">
        <f>HLOOKUP("*"&amp;'Output annual'!$AC$2&amp;'Output annual'!$AD$2&amp;"*FangerPMV(Hourly)",'Eplus results'!$1:$1048576,ROW(),FALSE)</f>
        <v>0</v>
      </c>
      <c r="AD8265" s="580">
        <f t="shared" si="681"/>
        <v>5</v>
      </c>
      <c r="AE8265" s="580">
        <f t="shared" si="682"/>
        <v>2.5</v>
      </c>
      <c r="AF8265" s="580">
        <f t="shared" si="683"/>
        <v>2.5</v>
      </c>
      <c r="AG8265" s="580">
        <f t="shared" si="684"/>
        <v>0</v>
      </c>
      <c r="AH8265" s="580">
        <f t="shared" si="685"/>
        <v>0</v>
      </c>
    </row>
    <row r="8266" spans="28:34">
      <c r="AB8266" s="580">
        <f>HLOOKUP("*"&amp;'Output annual'!$AC$2&amp;'Output annual'!$AD$2&amp;"*Zone People Number Of Occupants [](Hourly)",'Eplus results'!$1:$1048576,ROW(),FALSE)</f>
        <v>0</v>
      </c>
      <c r="AC8266" s="580">
        <f>HLOOKUP("*"&amp;'Output annual'!$AC$2&amp;'Output annual'!$AD$2&amp;"*FangerPMV(Hourly)",'Eplus results'!$1:$1048576,ROW(),FALSE)</f>
        <v>0</v>
      </c>
      <c r="AD8266" s="580">
        <f t="shared" si="681"/>
        <v>5</v>
      </c>
      <c r="AE8266" s="580">
        <f t="shared" si="682"/>
        <v>2.5</v>
      </c>
      <c r="AF8266" s="580">
        <f t="shared" si="683"/>
        <v>2.5</v>
      </c>
      <c r="AG8266" s="580">
        <f t="shared" si="684"/>
        <v>0</v>
      </c>
      <c r="AH8266" s="580">
        <f t="shared" si="685"/>
        <v>0</v>
      </c>
    </row>
    <row r="8267" spans="28:34">
      <c r="AB8267" s="580">
        <f>HLOOKUP("*"&amp;'Output annual'!$AC$2&amp;'Output annual'!$AD$2&amp;"*Zone People Number Of Occupants [](Hourly)",'Eplus results'!$1:$1048576,ROW(),FALSE)</f>
        <v>0</v>
      </c>
      <c r="AC8267" s="580">
        <f>HLOOKUP("*"&amp;'Output annual'!$AC$2&amp;'Output annual'!$AD$2&amp;"*FangerPMV(Hourly)",'Eplus results'!$1:$1048576,ROW(),FALSE)</f>
        <v>0</v>
      </c>
      <c r="AD8267" s="580">
        <f t="shared" si="681"/>
        <v>5</v>
      </c>
      <c r="AE8267" s="580">
        <f t="shared" si="682"/>
        <v>2.5</v>
      </c>
      <c r="AF8267" s="580">
        <f t="shared" si="683"/>
        <v>2.5</v>
      </c>
      <c r="AG8267" s="580">
        <f t="shared" si="684"/>
        <v>0</v>
      </c>
      <c r="AH8267" s="580">
        <f t="shared" si="685"/>
        <v>0</v>
      </c>
    </row>
    <row r="8268" spans="28:34">
      <c r="AB8268" s="580">
        <f>HLOOKUP("*"&amp;'Output annual'!$AC$2&amp;'Output annual'!$AD$2&amp;"*Zone People Number Of Occupants [](Hourly)",'Eplus results'!$1:$1048576,ROW(),FALSE)</f>
        <v>0</v>
      </c>
      <c r="AC8268" s="580">
        <f>HLOOKUP("*"&amp;'Output annual'!$AC$2&amp;'Output annual'!$AD$2&amp;"*FangerPMV(Hourly)",'Eplus results'!$1:$1048576,ROW(),FALSE)</f>
        <v>0</v>
      </c>
      <c r="AD8268" s="580">
        <f t="shared" si="681"/>
        <v>5</v>
      </c>
      <c r="AE8268" s="580">
        <f t="shared" si="682"/>
        <v>2.5</v>
      </c>
      <c r="AF8268" s="580">
        <f t="shared" si="683"/>
        <v>2.5</v>
      </c>
      <c r="AG8268" s="580">
        <f t="shared" si="684"/>
        <v>0</v>
      </c>
      <c r="AH8268" s="580">
        <f t="shared" si="685"/>
        <v>0</v>
      </c>
    </row>
    <row r="8269" spans="28:34">
      <c r="AB8269" s="580">
        <f>HLOOKUP("*"&amp;'Output annual'!$AC$2&amp;'Output annual'!$AD$2&amp;"*Zone People Number Of Occupants [](Hourly)",'Eplus results'!$1:$1048576,ROW(),FALSE)</f>
        <v>0</v>
      </c>
      <c r="AC8269" s="580">
        <f>HLOOKUP("*"&amp;'Output annual'!$AC$2&amp;'Output annual'!$AD$2&amp;"*FangerPMV(Hourly)",'Eplus results'!$1:$1048576,ROW(),FALSE)</f>
        <v>0</v>
      </c>
      <c r="AD8269" s="580">
        <f t="shared" si="681"/>
        <v>5</v>
      </c>
      <c r="AE8269" s="580">
        <f t="shared" si="682"/>
        <v>2.5</v>
      </c>
      <c r="AF8269" s="580">
        <f t="shared" si="683"/>
        <v>2.5</v>
      </c>
      <c r="AG8269" s="580">
        <f t="shared" si="684"/>
        <v>0</v>
      </c>
      <c r="AH8269" s="580">
        <f t="shared" si="685"/>
        <v>0</v>
      </c>
    </row>
    <row r="8270" spans="28:34">
      <c r="AB8270" s="580">
        <f>HLOOKUP("*"&amp;'Output annual'!$AC$2&amp;'Output annual'!$AD$2&amp;"*Zone People Number Of Occupants [](Hourly)",'Eplus results'!$1:$1048576,ROW(),FALSE)</f>
        <v>0</v>
      </c>
      <c r="AC8270" s="580">
        <f>HLOOKUP("*"&amp;'Output annual'!$AC$2&amp;'Output annual'!$AD$2&amp;"*FangerPMV(Hourly)",'Eplus results'!$1:$1048576,ROW(),FALSE)</f>
        <v>0</v>
      </c>
      <c r="AD8270" s="580">
        <f t="shared" si="681"/>
        <v>5</v>
      </c>
      <c r="AE8270" s="580">
        <f t="shared" si="682"/>
        <v>2.5</v>
      </c>
      <c r="AF8270" s="580">
        <f t="shared" si="683"/>
        <v>2.5</v>
      </c>
      <c r="AG8270" s="580">
        <f t="shared" si="684"/>
        <v>0</v>
      </c>
      <c r="AH8270" s="580">
        <f t="shared" si="685"/>
        <v>0</v>
      </c>
    </row>
    <row r="8271" spans="28:34">
      <c r="AB8271" s="580">
        <f>HLOOKUP("*"&amp;'Output annual'!$AC$2&amp;'Output annual'!$AD$2&amp;"*Zone People Number Of Occupants [](Hourly)",'Eplus results'!$1:$1048576,ROW(),FALSE)</f>
        <v>0</v>
      </c>
      <c r="AC8271" s="580">
        <f>HLOOKUP("*"&amp;'Output annual'!$AC$2&amp;'Output annual'!$AD$2&amp;"*FangerPMV(Hourly)",'Eplus results'!$1:$1048576,ROW(),FALSE)</f>
        <v>0</v>
      </c>
      <c r="AD8271" s="580">
        <f t="shared" si="681"/>
        <v>5</v>
      </c>
      <c r="AE8271" s="580">
        <f t="shared" si="682"/>
        <v>2.5</v>
      </c>
      <c r="AF8271" s="580">
        <f t="shared" si="683"/>
        <v>2.5</v>
      </c>
      <c r="AG8271" s="580">
        <f t="shared" si="684"/>
        <v>0</v>
      </c>
      <c r="AH8271" s="580">
        <f t="shared" si="685"/>
        <v>0</v>
      </c>
    </row>
    <row r="8272" spans="28:34">
      <c r="AB8272" s="580">
        <f>HLOOKUP("*"&amp;'Output annual'!$AC$2&amp;'Output annual'!$AD$2&amp;"*Zone People Number Of Occupants [](Hourly)",'Eplus results'!$1:$1048576,ROW(),FALSE)</f>
        <v>0</v>
      </c>
      <c r="AC8272" s="580">
        <f>HLOOKUP("*"&amp;'Output annual'!$AC$2&amp;'Output annual'!$AD$2&amp;"*FangerPMV(Hourly)",'Eplus results'!$1:$1048576,ROW(),FALSE)</f>
        <v>0</v>
      </c>
      <c r="AD8272" s="580">
        <f t="shared" si="681"/>
        <v>5</v>
      </c>
      <c r="AE8272" s="580">
        <f t="shared" si="682"/>
        <v>2.5</v>
      </c>
      <c r="AF8272" s="580">
        <f t="shared" si="683"/>
        <v>2.5</v>
      </c>
      <c r="AG8272" s="580">
        <f t="shared" si="684"/>
        <v>0</v>
      </c>
      <c r="AH8272" s="580">
        <f t="shared" si="685"/>
        <v>0</v>
      </c>
    </row>
    <row r="8273" spans="28:34">
      <c r="AB8273" s="580">
        <f>HLOOKUP("*"&amp;'Output annual'!$AC$2&amp;'Output annual'!$AD$2&amp;"*Zone People Number Of Occupants [](Hourly)",'Eplus results'!$1:$1048576,ROW(),FALSE)</f>
        <v>0</v>
      </c>
      <c r="AC8273" s="580">
        <f>HLOOKUP("*"&amp;'Output annual'!$AC$2&amp;'Output annual'!$AD$2&amp;"*FangerPMV(Hourly)",'Eplus results'!$1:$1048576,ROW(),FALSE)</f>
        <v>0</v>
      </c>
      <c r="AD8273" s="580">
        <f t="shared" si="681"/>
        <v>5</v>
      </c>
      <c r="AE8273" s="580">
        <f t="shared" si="682"/>
        <v>2.5</v>
      </c>
      <c r="AF8273" s="580">
        <f t="shared" si="683"/>
        <v>2.5</v>
      </c>
      <c r="AG8273" s="580">
        <f t="shared" si="684"/>
        <v>0</v>
      </c>
      <c r="AH8273" s="580">
        <f t="shared" si="685"/>
        <v>0</v>
      </c>
    </row>
    <row r="8274" spans="28:34">
      <c r="AB8274" s="580">
        <f>HLOOKUP("*"&amp;'Output annual'!$AC$2&amp;'Output annual'!$AD$2&amp;"*Zone People Number Of Occupants [](Hourly)",'Eplus results'!$1:$1048576,ROW(),FALSE)</f>
        <v>0</v>
      </c>
      <c r="AC8274" s="580">
        <f>HLOOKUP("*"&amp;'Output annual'!$AC$2&amp;'Output annual'!$AD$2&amp;"*FangerPMV(Hourly)",'Eplus results'!$1:$1048576,ROW(),FALSE)</f>
        <v>0</v>
      </c>
      <c r="AD8274" s="580">
        <f t="shared" si="681"/>
        <v>5</v>
      </c>
      <c r="AE8274" s="580">
        <f t="shared" si="682"/>
        <v>2.5</v>
      </c>
      <c r="AF8274" s="580">
        <f t="shared" si="683"/>
        <v>2.5</v>
      </c>
      <c r="AG8274" s="580">
        <f t="shared" si="684"/>
        <v>0</v>
      </c>
      <c r="AH8274" s="580">
        <f t="shared" si="685"/>
        <v>0</v>
      </c>
    </row>
    <row r="8275" spans="28:34">
      <c r="AB8275" s="580">
        <f>HLOOKUP("*"&amp;'Output annual'!$AC$2&amp;'Output annual'!$AD$2&amp;"*Zone People Number Of Occupants [](Hourly)",'Eplus results'!$1:$1048576,ROW(),FALSE)</f>
        <v>0</v>
      </c>
      <c r="AC8275" s="580">
        <f>HLOOKUP("*"&amp;'Output annual'!$AC$2&amp;'Output annual'!$AD$2&amp;"*FangerPMV(Hourly)",'Eplus results'!$1:$1048576,ROW(),FALSE)</f>
        <v>0</v>
      </c>
      <c r="AD8275" s="580">
        <f t="shared" si="681"/>
        <v>5</v>
      </c>
      <c r="AE8275" s="580">
        <f t="shared" si="682"/>
        <v>2.5</v>
      </c>
      <c r="AF8275" s="580">
        <f t="shared" si="683"/>
        <v>2.5</v>
      </c>
      <c r="AG8275" s="580">
        <f t="shared" si="684"/>
        <v>0</v>
      </c>
      <c r="AH8275" s="580">
        <f t="shared" si="685"/>
        <v>0</v>
      </c>
    </row>
    <row r="8276" spans="28:34">
      <c r="AB8276" s="580">
        <f>HLOOKUP("*"&amp;'Output annual'!$AC$2&amp;'Output annual'!$AD$2&amp;"*Zone People Number Of Occupants [](Hourly)",'Eplus results'!$1:$1048576,ROW(),FALSE)</f>
        <v>0</v>
      </c>
      <c r="AC8276" s="580">
        <f>HLOOKUP("*"&amp;'Output annual'!$AC$2&amp;'Output annual'!$AD$2&amp;"*FangerPMV(Hourly)",'Eplus results'!$1:$1048576,ROW(),FALSE)</f>
        <v>0</v>
      </c>
      <c r="AD8276" s="580">
        <f t="shared" si="681"/>
        <v>5</v>
      </c>
      <c r="AE8276" s="580">
        <f t="shared" si="682"/>
        <v>2.5</v>
      </c>
      <c r="AF8276" s="580">
        <f t="shared" si="683"/>
        <v>2.5</v>
      </c>
      <c r="AG8276" s="580">
        <f t="shared" si="684"/>
        <v>0</v>
      </c>
      <c r="AH8276" s="580">
        <f t="shared" si="685"/>
        <v>0</v>
      </c>
    </row>
    <row r="8277" spans="28:34">
      <c r="AB8277" s="580">
        <f>HLOOKUP("*"&amp;'Output annual'!$AC$2&amp;'Output annual'!$AD$2&amp;"*Zone People Number Of Occupants [](Hourly)",'Eplus results'!$1:$1048576,ROW(),FALSE)</f>
        <v>0</v>
      </c>
      <c r="AC8277" s="580">
        <f>HLOOKUP("*"&amp;'Output annual'!$AC$2&amp;'Output annual'!$AD$2&amp;"*FangerPMV(Hourly)",'Eplus results'!$1:$1048576,ROW(),FALSE)</f>
        <v>0</v>
      </c>
      <c r="AD8277" s="580">
        <f t="shared" si="681"/>
        <v>5</v>
      </c>
      <c r="AE8277" s="580">
        <f t="shared" si="682"/>
        <v>2.5</v>
      </c>
      <c r="AF8277" s="580">
        <f t="shared" si="683"/>
        <v>2.5</v>
      </c>
      <c r="AG8277" s="580">
        <f t="shared" si="684"/>
        <v>0</v>
      </c>
      <c r="AH8277" s="580">
        <f t="shared" si="685"/>
        <v>0</v>
      </c>
    </row>
    <row r="8278" spans="28:34">
      <c r="AB8278" s="580">
        <f>HLOOKUP("*"&amp;'Output annual'!$AC$2&amp;'Output annual'!$AD$2&amp;"*Zone People Number Of Occupants [](Hourly)",'Eplus results'!$1:$1048576,ROW(),FALSE)</f>
        <v>0</v>
      </c>
      <c r="AC8278" s="580">
        <f>HLOOKUP("*"&amp;'Output annual'!$AC$2&amp;'Output annual'!$AD$2&amp;"*FangerPMV(Hourly)",'Eplus results'!$1:$1048576,ROW(),FALSE)</f>
        <v>0</v>
      </c>
      <c r="AD8278" s="580">
        <f t="shared" si="681"/>
        <v>5</v>
      </c>
      <c r="AE8278" s="580">
        <f t="shared" si="682"/>
        <v>2.5</v>
      </c>
      <c r="AF8278" s="580">
        <f t="shared" si="683"/>
        <v>2.5</v>
      </c>
      <c r="AG8278" s="580">
        <f t="shared" si="684"/>
        <v>0</v>
      </c>
      <c r="AH8278" s="580">
        <f t="shared" si="685"/>
        <v>0</v>
      </c>
    </row>
    <row r="8279" spans="28:34">
      <c r="AB8279" s="580">
        <f>HLOOKUP("*"&amp;'Output annual'!$AC$2&amp;'Output annual'!$AD$2&amp;"*Zone People Number Of Occupants [](Hourly)",'Eplus results'!$1:$1048576,ROW(),FALSE)</f>
        <v>0</v>
      </c>
      <c r="AC8279" s="580">
        <f>HLOOKUP("*"&amp;'Output annual'!$AC$2&amp;'Output annual'!$AD$2&amp;"*FangerPMV(Hourly)",'Eplus results'!$1:$1048576,ROW(),FALSE)</f>
        <v>0</v>
      </c>
      <c r="AD8279" s="580">
        <f t="shared" si="681"/>
        <v>5</v>
      </c>
      <c r="AE8279" s="580">
        <f t="shared" si="682"/>
        <v>2.5</v>
      </c>
      <c r="AF8279" s="580">
        <f t="shared" si="683"/>
        <v>2.5</v>
      </c>
      <c r="AG8279" s="580">
        <f t="shared" si="684"/>
        <v>0</v>
      </c>
      <c r="AH8279" s="580">
        <f t="shared" si="685"/>
        <v>0</v>
      </c>
    </row>
    <row r="8280" spans="28:34">
      <c r="AB8280" s="580">
        <f>HLOOKUP("*"&amp;'Output annual'!$AC$2&amp;'Output annual'!$AD$2&amp;"*Zone People Number Of Occupants [](Hourly)",'Eplus results'!$1:$1048576,ROW(),FALSE)</f>
        <v>0</v>
      </c>
      <c r="AC8280" s="580">
        <f>HLOOKUP("*"&amp;'Output annual'!$AC$2&amp;'Output annual'!$AD$2&amp;"*FangerPMV(Hourly)",'Eplus results'!$1:$1048576,ROW(),FALSE)</f>
        <v>0</v>
      </c>
      <c r="AD8280" s="580">
        <f t="shared" si="681"/>
        <v>5</v>
      </c>
      <c r="AE8280" s="580">
        <f t="shared" si="682"/>
        <v>2.5</v>
      </c>
      <c r="AF8280" s="580">
        <f t="shared" si="683"/>
        <v>2.5</v>
      </c>
      <c r="AG8280" s="580">
        <f t="shared" si="684"/>
        <v>0</v>
      </c>
      <c r="AH8280" s="580">
        <f t="shared" si="685"/>
        <v>0</v>
      </c>
    </row>
    <row r="8281" spans="28:34">
      <c r="AB8281" s="580">
        <f>HLOOKUP("*"&amp;'Output annual'!$AC$2&amp;'Output annual'!$AD$2&amp;"*Zone People Number Of Occupants [](Hourly)",'Eplus results'!$1:$1048576,ROW(),FALSE)</f>
        <v>0</v>
      </c>
      <c r="AC8281" s="580">
        <f>HLOOKUP("*"&amp;'Output annual'!$AC$2&amp;'Output annual'!$AD$2&amp;"*FangerPMV(Hourly)",'Eplus results'!$1:$1048576,ROW(),FALSE)</f>
        <v>0</v>
      </c>
      <c r="AD8281" s="580">
        <f t="shared" si="681"/>
        <v>5</v>
      </c>
      <c r="AE8281" s="580">
        <f t="shared" si="682"/>
        <v>2.5</v>
      </c>
      <c r="AF8281" s="580">
        <f t="shared" si="683"/>
        <v>2.5</v>
      </c>
      <c r="AG8281" s="580">
        <f t="shared" si="684"/>
        <v>0</v>
      </c>
      <c r="AH8281" s="580">
        <f t="shared" si="685"/>
        <v>0</v>
      </c>
    </row>
    <row r="8282" spans="28:34">
      <c r="AB8282" s="580">
        <f>HLOOKUP("*"&amp;'Output annual'!$AC$2&amp;'Output annual'!$AD$2&amp;"*Zone People Number Of Occupants [](Hourly)",'Eplus results'!$1:$1048576,ROW(),FALSE)</f>
        <v>0</v>
      </c>
      <c r="AC8282" s="580">
        <f>HLOOKUP("*"&amp;'Output annual'!$AC$2&amp;'Output annual'!$AD$2&amp;"*FangerPMV(Hourly)",'Eplus results'!$1:$1048576,ROW(),FALSE)</f>
        <v>0</v>
      </c>
      <c r="AD8282" s="580">
        <f t="shared" si="681"/>
        <v>5</v>
      </c>
      <c r="AE8282" s="580">
        <f t="shared" si="682"/>
        <v>2.5</v>
      </c>
      <c r="AF8282" s="580">
        <f t="shared" si="683"/>
        <v>2.5</v>
      </c>
      <c r="AG8282" s="580">
        <f t="shared" si="684"/>
        <v>0</v>
      </c>
      <c r="AH8282" s="580">
        <f t="shared" si="685"/>
        <v>0</v>
      </c>
    </row>
    <row r="8283" spans="28:34">
      <c r="AB8283" s="580">
        <f>HLOOKUP("*"&amp;'Output annual'!$AC$2&amp;'Output annual'!$AD$2&amp;"*Zone People Number Of Occupants [](Hourly)",'Eplus results'!$1:$1048576,ROW(),FALSE)</f>
        <v>0</v>
      </c>
      <c r="AC8283" s="580">
        <f>HLOOKUP("*"&amp;'Output annual'!$AC$2&amp;'Output annual'!$AD$2&amp;"*FangerPMV(Hourly)",'Eplus results'!$1:$1048576,ROW(),FALSE)</f>
        <v>0</v>
      </c>
      <c r="AD8283" s="580">
        <f t="shared" si="681"/>
        <v>5</v>
      </c>
      <c r="AE8283" s="580">
        <f t="shared" si="682"/>
        <v>2.5</v>
      </c>
      <c r="AF8283" s="580">
        <f t="shared" si="683"/>
        <v>2.5</v>
      </c>
      <c r="AG8283" s="580">
        <f t="shared" si="684"/>
        <v>0</v>
      </c>
      <c r="AH8283" s="580">
        <f t="shared" si="685"/>
        <v>0</v>
      </c>
    </row>
    <row r="8284" spans="28:34">
      <c r="AB8284" s="580">
        <f>HLOOKUP("*"&amp;'Output annual'!$AC$2&amp;'Output annual'!$AD$2&amp;"*Zone People Number Of Occupants [](Hourly)",'Eplus results'!$1:$1048576,ROW(),FALSE)</f>
        <v>0</v>
      </c>
      <c r="AC8284" s="580">
        <f>HLOOKUP("*"&amp;'Output annual'!$AC$2&amp;'Output annual'!$AD$2&amp;"*FangerPMV(Hourly)",'Eplus results'!$1:$1048576,ROW(),FALSE)</f>
        <v>0</v>
      </c>
      <c r="AD8284" s="580">
        <f t="shared" si="681"/>
        <v>5</v>
      </c>
      <c r="AE8284" s="580">
        <f t="shared" si="682"/>
        <v>2.5</v>
      </c>
      <c r="AF8284" s="580">
        <f t="shared" si="683"/>
        <v>2.5</v>
      </c>
      <c r="AG8284" s="580">
        <f t="shared" si="684"/>
        <v>0</v>
      </c>
      <c r="AH8284" s="580">
        <f t="shared" si="685"/>
        <v>0</v>
      </c>
    </row>
    <row r="8285" spans="28:34">
      <c r="AB8285" s="580">
        <f>HLOOKUP("*"&amp;'Output annual'!$AC$2&amp;'Output annual'!$AD$2&amp;"*Zone People Number Of Occupants [](Hourly)",'Eplus results'!$1:$1048576,ROW(),FALSE)</f>
        <v>0</v>
      </c>
      <c r="AC8285" s="580">
        <f>HLOOKUP("*"&amp;'Output annual'!$AC$2&amp;'Output annual'!$AD$2&amp;"*FangerPMV(Hourly)",'Eplus results'!$1:$1048576,ROW(),FALSE)</f>
        <v>0</v>
      </c>
      <c r="AD8285" s="580">
        <f t="shared" si="681"/>
        <v>5</v>
      </c>
      <c r="AE8285" s="580">
        <f t="shared" si="682"/>
        <v>2.5</v>
      </c>
      <c r="AF8285" s="580">
        <f t="shared" si="683"/>
        <v>2.5</v>
      </c>
      <c r="AG8285" s="580">
        <f t="shared" si="684"/>
        <v>0</v>
      </c>
      <c r="AH8285" s="580">
        <f t="shared" si="685"/>
        <v>0</v>
      </c>
    </row>
    <row r="8286" spans="28:34">
      <c r="AB8286" s="580">
        <f>HLOOKUP("*"&amp;'Output annual'!$AC$2&amp;'Output annual'!$AD$2&amp;"*Zone People Number Of Occupants [](Hourly)",'Eplus results'!$1:$1048576,ROW(),FALSE)</f>
        <v>0</v>
      </c>
      <c r="AC8286" s="580">
        <f>HLOOKUP("*"&amp;'Output annual'!$AC$2&amp;'Output annual'!$AD$2&amp;"*FangerPMV(Hourly)",'Eplus results'!$1:$1048576,ROW(),FALSE)</f>
        <v>0</v>
      </c>
      <c r="AD8286" s="580">
        <f t="shared" si="681"/>
        <v>5</v>
      </c>
      <c r="AE8286" s="580">
        <f t="shared" si="682"/>
        <v>2.5</v>
      </c>
      <c r="AF8286" s="580">
        <f t="shared" si="683"/>
        <v>2.5</v>
      </c>
      <c r="AG8286" s="580">
        <f t="shared" si="684"/>
        <v>0</v>
      </c>
      <c r="AH8286" s="580">
        <f t="shared" si="685"/>
        <v>0</v>
      </c>
    </row>
    <row r="8287" spans="28:34">
      <c r="AB8287" s="580">
        <f>HLOOKUP("*"&amp;'Output annual'!$AC$2&amp;'Output annual'!$AD$2&amp;"*Zone People Number Of Occupants [](Hourly)",'Eplus results'!$1:$1048576,ROW(),FALSE)</f>
        <v>0</v>
      </c>
      <c r="AC8287" s="580">
        <f>HLOOKUP("*"&amp;'Output annual'!$AC$2&amp;'Output annual'!$AD$2&amp;"*FangerPMV(Hourly)",'Eplus results'!$1:$1048576,ROW(),FALSE)</f>
        <v>0</v>
      </c>
      <c r="AD8287" s="580">
        <f t="shared" si="681"/>
        <v>5</v>
      </c>
      <c r="AE8287" s="580">
        <f t="shared" si="682"/>
        <v>2.5</v>
      </c>
      <c r="AF8287" s="580">
        <f t="shared" si="683"/>
        <v>2.5</v>
      </c>
      <c r="AG8287" s="580">
        <f t="shared" si="684"/>
        <v>0</v>
      </c>
      <c r="AH8287" s="580">
        <f t="shared" si="685"/>
        <v>0</v>
      </c>
    </row>
    <row r="8288" spans="28:34">
      <c r="AB8288" s="580">
        <f>HLOOKUP("*"&amp;'Output annual'!$AC$2&amp;'Output annual'!$AD$2&amp;"*Zone People Number Of Occupants [](Hourly)",'Eplus results'!$1:$1048576,ROW(),FALSE)</f>
        <v>0</v>
      </c>
      <c r="AC8288" s="580">
        <f>HLOOKUP("*"&amp;'Output annual'!$AC$2&amp;'Output annual'!$AD$2&amp;"*FangerPMV(Hourly)",'Eplus results'!$1:$1048576,ROW(),FALSE)</f>
        <v>0</v>
      </c>
      <c r="AD8288" s="580">
        <f t="shared" si="681"/>
        <v>5</v>
      </c>
      <c r="AE8288" s="580">
        <f t="shared" si="682"/>
        <v>2.5</v>
      </c>
      <c r="AF8288" s="580">
        <f t="shared" si="683"/>
        <v>2.5</v>
      </c>
      <c r="AG8288" s="580">
        <f t="shared" si="684"/>
        <v>0</v>
      </c>
      <c r="AH8288" s="580">
        <f t="shared" si="685"/>
        <v>0</v>
      </c>
    </row>
    <row r="8289" spans="28:34">
      <c r="AB8289" s="580">
        <f>HLOOKUP("*"&amp;'Output annual'!$AC$2&amp;'Output annual'!$AD$2&amp;"*Zone People Number Of Occupants [](Hourly)",'Eplus results'!$1:$1048576,ROW(),FALSE)</f>
        <v>0</v>
      </c>
      <c r="AC8289" s="580">
        <f>HLOOKUP("*"&amp;'Output annual'!$AC$2&amp;'Output annual'!$AD$2&amp;"*FangerPMV(Hourly)",'Eplus results'!$1:$1048576,ROW(),FALSE)</f>
        <v>0</v>
      </c>
      <c r="AD8289" s="580">
        <f t="shared" si="681"/>
        <v>5</v>
      </c>
      <c r="AE8289" s="580">
        <f t="shared" si="682"/>
        <v>2.5</v>
      </c>
      <c r="AF8289" s="580">
        <f t="shared" si="683"/>
        <v>2.5</v>
      </c>
      <c r="AG8289" s="580">
        <f t="shared" si="684"/>
        <v>0</v>
      </c>
      <c r="AH8289" s="580">
        <f t="shared" si="685"/>
        <v>0</v>
      </c>
    </row>
    <row r="8290" spans="28:34">
      <c r="AB8290" s="580">
        <f>HLOOKUP("*"&amp;'Output annual'!$AC$2&amp;'Output annual'!$AD$2&amp;"*Zone People Number Of Occupants [](Hourly)",'Eplus results'!$1:$1048576,ROW(),FALSE)</f>
        <v>0</v>
      </c>
      <c r="AC8290" s="580">
        <f>HLOOKUP("*"&amp;'Output annual'!$AC$2&amp;'Output annual'!$AD$2&amp;"*FangerPMV(Hourly)",'Eplus results'!$1:$1048576,ROW(),FALSE)</f>
        <v>0</v>
      </c>
      <c r="AD8290" s="580">
        <f t="shared" si="681"/>
        <v>5</v>
      </c>
      <c r="AE8290" s="580">
        <f t="shared" si="682"/>
        <v>2.5</v>
      </c>
      <c r="AF8290" s="580">
        <f t="shared" si="683"/>
        <v>2.5</v>
      </c>
      <c r="AG8290" s="580">
        <f t="shared" si="684"/>
        <v>0</v>
      </c>
      <c r="AH8290" s="580">
        <f t="shared" si="685"/>
        <v>0</v>
      </c>
    </row>
    <row r="8291" spans="28:34">
      <c r="AB8291" s="580">
        <f>HLOOKUP("*"&amp;'Output annual'!$AC$2&amp;'Output annual'!$AD$2&amp;"*Zone People Number Of Occupants [](Hourly)",'Eplus results'!$1:$1048576,ROW(),FALSE)</f>
        <v>0</v>
      </c>
      <c r="AC8291" s="580">
        <f>HLOOKUP("*"&amp;'Output annual'!$AC$2&amp;'Output annual'!$AD$2&amp;"*FangerPMV(Hourly)",'Eplus results'!$1:$1048576,ROW(),FALSE)</f>
        <v>0</v>
      </c>
      <c r="AD8291" s="580">
        <f t="shared" si="681"/>
        <v>5</v>
      </c>
      <c r="AE8291" s="580">
        <f t="shared" si="682"/>
        <v>2.5</v>
      </c>
      <c r="AF8291" s="580">
        <f t="shared" si="683"/>
        <v>2.5</v>
      </c>
      <c r="AG8291" s="580">
        <f t="shared" si="684"/>
        <v>0</v>
      </c>
      <c r="AH8291" s="580">
        <f t="shared" si="685"/>
        <v>0</v>
      </c>
    </row>
    <row r="8292" spans="28:34">
      <c r="AB8292" s="580">
        <f>HLOOKUP("*"&amp;'Output annual'!$AC$2&amp;'Output annual'!$AD$2&amp;"*Zone People Number Of Occupants [](Hourly)",'Eplus results'!$1:$1048576,ROW(),FALSE)</f>
        <v>0</v>
      </c>
      <c r="AC8292" s="580">
        <f>HLOOKUP("*"&amp;'Output annual'!$AC$2&amp;'Output annual'!$AD$2&amp;"*FangerPMV(Hourly)",'Eplus results'!$1:$1048576,ROW(),FALSE)</f>
        <v>0</v>
      </c>
      <c r="AD8292" s="580">
        <f t="shared" si="681"/>
        <v>5</v>
      </c>
      <c r="AE8292" s="580">
        <f t="shared" si="682"/>
        <v>2.5</v>
      </c>
      <c r="AF8292" s="580">
        <f t="shared" si="683"/>
        <v>2.5</v>
      </c>
      <c r="AG8292" s="580">
        <f t="shared" si="684"/>
        <v>0</v>
      </c>
      <c r="AH8292" s="580">
        <f t="shared" si="685"/>
        <v>0</v>
      </c>
    </row>
    <row r="8293" spans="28:34">
      <c r="AB8293" s="580">
        <f>HLOOKUP("*"&amp;'Output annual'!$AC$2&amp;'Output annual'!$AD$2&amp;"*Zone People Number Of Occupants [](Hourly)",'Eplus results'!$1:$1048576,ROW(),FALSE)</f>
        <v>0</v>
      </c>
      <c r="AC8293" s="580">
        <f>HLOOKUP("*"&amp;'Output annual'!$AC$2&amp;'Output annual'!$AD$2&amp;"*FangerPMV(Hourly)",'Eplus results'!$1:$1048576,ROW(),FALSE)</f>
        <v>0</v>
      </c>
      <c r="AD8293" s="580">
        <f t="shared" si="681"/>
        <v>5</v>
      </c>
      <c r="AE8293" s="580">
        <f t="shared" si="682"/>
        <v>2.5</v>
      </c>
      <c r="AF8293" s="580">
        <f t="shared" si="683"/>
        <v>2.5</v>
      </c>
      <c r="AG8293" s="580">
        <f t="shared" si="684"/>
        <v>0</v>
      </c>
      <c r="AH8293" s="580">
        <f t="shared" si="685"/>
        <v>0</v>
      </c>
    </row>
    <row r="8294" spans="28:34">
      <c r="AB8294" s="580">
        <f>HLOOKUP("*"&amp;'Output annual'!$AC$2&amp;'Output annual'!$AD$2&amp;"*Zone People Number Of Occupants [](Hourly)",'Eplus results'!$1:$1048576,ROW(),FALSE)</f>
        <v>0</v>
      </c>
      <c r="AC8294" s="580">
        <f>HLOOKUP("*"&amp;'Output annual'!$AC$2&amp;'Output annual'!$AD$2&amp;"*FangerPMV(Hourly)",'Eplus results'!$1:$1048576,ROW(),FALSE)</f>
        <v>0</v>
      </c>
      <c r="AD8294" s="580">
        <f t="shared" si="681"/>
        <v>5</v>
      </c>
      <c r="AE8294" s="580">
        <f t="shared" si="682"/>
        <v>2.5</v>
      </c>
      <c r="AF8294" s="580">
        <f t="shared" si="683"/>
        <v>2.5</v>
      </c>
      <c r="AG8294" s="580">
        <f t="shared" si="684"/>
        <v>0</v>
      </c>
      <c r="AH8294" s="580">
        <f t="shared" si="685"/>
        <v>0</v>
      </c>
    </row>
    <row r="8295" spans="28:34">
      <c r="AB8295" s="580">
        <f>HLOOKUP("*"&amp;'Output annual'!$AC$2&amp;'Output annual'!$AD$2&amp;"*Zone People Number Of Occupants [](Hourly)",'Eplus results'!$1:$1048576,ROW(),FALSE)</f>
        <v>0</v>
      </c>
      <c r="AC8295" s="580">
        <f>HLOOKUP("*"&amp;'Output annual'!$AC$2&amp;'Output annual'!$AD$2&amp;"*FangerPMV(Hourly)",'Eplus results'!$1:$1048576,ROW(),FALSE)</f>
        <v>0</v>
      </c>
      <c r="AD8295" s="580">
        <f t="shared" si="681"/>
        <v>5</v>
      </c>
      <c r="AE8295" s="580">
        <f t="shared" si="682"/>
        <v>2.5</v>
      </c>
      <c r="AF8295" s="580">
        <f t="shared" si="683"/>
        <v>2.5</v>
      </c>
      <c r="AG8295" s="580">
        <f t="shared" si="684"/>
        <v>0</v>
      </c>
      <c r="AH8295" s="580">
        <f t="shared" si="685"/>
        <v>0</v>
      </c>
    </row>
    <row r="8296" spans="28:34">
      <c r="AB8296" s="580">
        <f>HLOOKUP("*"&amp;'Output annual'!$AC$2&amp;'Output annual'!$AD$2&amp;"*Zone People Number Of Occupants [](Hourly)",'Eplus results'!$1:$1048576,ROW(),FALSE)</f>
        <v>0</v>
      </c>
      <c r="AC8296" s="580">
        <f>HLOOKUP("*"&amp;'Output annual'!$AC$2&amp;'Output annual'!$AD$2&amp;"*FangerPMV(Hourly)",'Eplus results'!$1:$1048576,ROW(),FALSE)</f>
        <v>0</v>
      </c>
      <c r="AD8296" s="580">
        <f t="shared" si="681"/>
        <v>5</v>
      </c>
      <c r="AE8296" s="580">
        <f t="shared" si="682"/>
        <v>2.5</v>
      </c>
      <c r="AF8296" s="580">
        <f t="shared" si="683"/>
        <v>2.5</v>
      </c>
      <c r="AG8296" s="580">
        <f t="shared" si="684"/>
        <v>0</v>
      </c>
      <c r="AH8296" s="580">
        <f t="shared" si="685"/>
        <v>0</v>
      </c>
    </row>
    <row r="8297" spans="28:34">
      <c r="AB8297" s="580">
        <f>HLOOKUP("*"&amp;'Output annual'!$AC$2&amp;'Output annual'!$AD$2&amp;"*Zone People Number Of Occupants [](Hourly)",'Eplus results'!$1:$1048576,ROW(),FALSE)</f>
        <v>0</v>
      </c>
      <c r="AC8297" s="580">
        <f>HLOOKUP("*"&amp;'Output annual'!$AC$2&amp;'Output annual'!$AD$2&amp;"*FangerPMV(Hourly)",'Eplus results'!$1:$1048576,ROW(),FALSE)</f>
        <v>0</v>
      </c>
      <c r="AD8297" s="580">
        <f t="shared" si="681"/>
        <v>5</v>
      </c>
      <c r="AE8297" s="580">
        <f t="shared" si="682"/>
        <v>2.5</v>
      </c>
      <c r="AF8297" s="580">
        <f t="shared" si="683"/>
        <v>2.5</v>
      </c>
      <c r="AG8297" s="580">
        <f t="shared" si="684"/>
        <v>0</v>
      </c>
      <c r="AH8297" s="580">
        <f t="shared" si="685"/>
        <v>0</v>
      </c>
    </row>
    <row r="8298" spans="28:34">
      <c r="AB8298" s="580">
        <f>HLOOKUP("*"&amp;'Output annual'!$AC$2&amp;'Output annual'!$AD$2&amp;"*Zone People Number Of Occupants [](Hourly)",'Eplus results'!$1:$1048576,ROW(),FALSE)</f>
        <v>0</v>
      </c>
      <c r="AC8298" s="580">
        <f>HLOOKUP("*"&amp;'Output annual'!$AC$2&amp;'Output annual'!$AD$2&amp;"*FangerPMV(Hourly)",'Eplus results'!$1:$1048576,ROW(),FALSE)</f>
        <v>0</v>
      </c>
      <c r="AD8298" s="580">
        <f t="shared" si="681"/>
        <v>5</v>
      </c>
      <c r="AE8298" s="580">
        <f t="shared" si="682"/>
        <v>2.5</v>
      </c>
      <c r="AF8298" s="580">
        <f t="shared" si="683"/>
        <v>2.5</v>
      </c>
      <c r="AG8298" s="580">
        <f t="shared" si="684"/>
        <v>0</v>
      </c>
      <c r="AH8298" s="580">
        <f t="shared" si="685"/>
        <v>0</v>
      </c>
    </row>
    <row r="8299" spans="28:34">
      <c r="AB8299" s="580">
        <f>HLOOKUP("*"&amp;'Output annual'!$AC$2&amp;'Output annual'!$AD$2&amp;"*Zone People Number Of Occupants [](Hourly)",'Eplus results'!$1:$1048576,ROW(),FALSE)</f>
        <v>0</v>
      </c>
      <c r="AC8299" s="580">
        <f>HLOOKUP("*"&amp;'Output annual'!$AC$2&amp;'Output annual'!$AD$2&amp;"*FangerPMV(Hourly)",'Eplus results'!$1:$1048576,ROW(),FALSE)</f>
        <v>0</v>
      </c>
      <c r="AD8299" s="580">
        <f t="shared" si="681"/>
        <v>5</v>
      </c>
      <c r="AE8299" s="580">
        <f t="shared" si="682"/>
        <v>2.5</v>
      </c>
      <c r="AF8299" s="580">
        <f t="shared" si="683"/>
        <v>2.5</v>
      </c>
      <c r="AG8299" s="580">
        <f t="shared" si="684"/>
        <v>0</v>
      </c>
      <c r="AH8299" s="580">
        <f t="shared" si="685"/>
        <v>0</v>
      </c>
    </row>
    <row r="8300" spans="28:34">
      <c r="AB8300" s="580">
        <f>HLOOKUP("*"&amp;'Output annual'!$AC$2&amp;'Output annual'!$AD$2&amp;"*Zone People Number Of Occupants [](Hourly)",'Eplus results'!$1:$1048576,ROW(),FALSE)</f>
        <v>0</v>
      </c>
      <c r="AC8300" s="580">
        <f>HLOOKUP("*"&amp;'Output annual'!$AC$2&amp;'Output annual'!$AD$2&amp;"*FangerPMV(Hourly)",'Eplus results'!$1:$1048576,ROW(),FALSE)</f>
        <v>0</v>
      </c>
      <c r="AD8300" s="580">
        <f t="shared" si="681"/>
        <v>5</v>
      </c>
      <c r="AE8300" s="580">
        <f t="shared" si="682"/>
        <v>2.5</v>
      </c>
      <c r="AF8300" s="580">
        <f t="shared" si="683"/>
        <v>2.5</v>
      </c>
      <c r="AG8300" s="580">
        <f t="shared" si="684"/>
        <v>0</v>
      </c>
      <c r="AH8300" s="580">
        <f t="shared" si="685"/>
        <v>0</v>
      </c>
    </row>
    <row r="8301" spans="28:34">
      <c r="AB8301" s="580">
        <f>HLOOKUP("*"&amp;'Output annual'!$AC$2&amp;'Output annual'!$AD$2&amp;"*Zone People Number Of Occupants [](Hourly)",'Eplus results'!$1:$1048576,ROW(),FALSE)</f>
        <v>0</v>
      </c>
      <c r="AC8301" s="580">
        <f>HLOOKUP("*"&amp;'Output annual'!$AC$2&amp;'Output annual'!$AD$2&amp;"*FangerPMV(Hourly)",'Eplus results'!$1:$1048576,ROW(),FALSE)</f>
        <v>0</v>
      </c>
      <c r="AD8301" s="580">
        <f t="shared" si="681"/>
        <v>5</v>
      </c>
      <c r="AE8301" s="580">
        <f t="shared" si="682"/>
        <v>2.5</v>
      </c>
      <c r="AF8301" s="580">
        <f t="shared" si="683"/>
        <v>2.5</v>
      </c>
      <c r="AG8301" s="580">
        <f t="shared" si="684"/>
        <v>0</v>
      </c>
      <c r="AH8301" s="580">
        <f t="shared" si="685"/>
        <v>0</v>
      </c>
    </row>
    <row r="8302" spans="28:34">
      <c r="AB8302" s="580">
        <f>HLOOKUP("*"&amp;'Output annual'!$AC$2&amp;'Output annual'!$AD$2&amp;"*Zone People Number Of Occupants [](Hourly)",'Eplus results'!$1:$1048576,ROW(),FALSE)</f>
        <v>0</v>
      </c>
      <c r="AC8302" s="580">
        <f>HLOOKUP("*"&amp;'Output annual'!$AC$2&amp;'Output annual'!$AD$2&amp;"*FangerPMV(Hourly)",'Eplus results'!$1:$1048576,ROW(),FALSE)</f>
        <v>0</v>
      </c>
      <c r="AD8302" s="580">
        <f t="shared" si="681"/>
        <v>5</v>
      </c>
      <c r="AE8302" s="580">
        <f t="shared" si="682"/>
        <v>2.5</v>
      </c>
      <c r="AF8302" s="580">
        <f t="shared" si="683"/>
        <v>2.5</v>
      </c>
      <c r="AG8302" s="580">
        <f t="shared" si="684"/>
        <v>0</v>
      </c>
      <c r="AH8302" s="580">
        <f t="shared" si="685"/>
        <v>0</v>
      </c>
    </row>
    <row r="8303" spans="28:34">
      <c r="AB8303" s="580">
        <f>HLOOKUP("*"&amp;'Output annual'!$AC$2&amp;'Output annual'!$AD$2&amp;"*Zone People Number Of Occupants [](Hourly)",'Eplus results'!$1:$1048576,ROW(),FALSE)</f>
        <v>0</v>
      </c>
      <c r="AC8303" s="580">
        <f>HLOOKUP("*"&amp;'Output annual'!$AC$2&amp;'Output annual'!$AD$2&amp;"*FangerPMV(Hourly)",'Eplus results'!$1:$1048576,ROW(),FALSE)</f>
        <v>0</v>
      </c>
      <c r="AD8303" s="580">
        <f t="shared" si="681"/>
        <v>5</v>
      </c>
      <c r="AE8303" s="580">
        <f t="shared" si="682"/>
        <v>2.5</v>
      </c>
      <c r="AF8303" s="580">
        <f t="shared" si="683"/>
        <v>2.5</v>
      </c>
      <c r="AG8303" s="580">
        <f t="shared" si="684"/>
        <v>0</v>
      </c>
      <c r="AH8303" s="580">
        <f t="shared" si="685"/>
        <v>0</v>
      </c>
    </row>
    <row r="8304" spans="28:34">
      <c r="AB8304" s="580">
        <f>HLOOKUP("*"&amp;'Output annual'!$AC$2&amp;'Output annual'!$AD$2&amp;"*Zone People Number Of Occupants [](Hourly)",'Eplus results'!$1:$1048576,ROW(),FALSE)</f>
        <v>0</v>
      </c>
      <c r="AC8304" s="580">
        <f>HLOOKUP("*"&amp;'Output annual'!$AC$2&amp;'Output annual'!$AD$2&amp;"*FangerPMV(Hourly)",'Eplus results'!$1:$1048576,ROW(),FALSE)</f>
        <v>0</v>
      </c>
      <c r="AD8304" s="580">
        <f t="shared" si="681"/>
        <v>5</v>
      </c>
      <c r="AE8304" s="580">
        <f t="shared" si="682"/>
        <v>2.5</v>
      </c>
      <c r="AF8304" s="580">
        <f t="shared" si="683"/>
        <v>2.5</v>
      </c>
      <c r="AG8304" s="580">
        <f t="shared" si="684"/>
        <v>0</v>
      </c>
      <c r="AH8304" s="580">
        <f t="shared" si="685"/>
        <v>0</v>
      </c>
    </row>
    <row r="8305" spans="28:34">
      <c r="AB8305" s="580">
        <f>HLOOKUP("*"&amp;'Output annual'!$AC$2&amp;'Output annual'!$AD$2&amp;"*Zone People Number Of Occupants [](Hourly)",'Eplus results'!$1:$1048576,ROW(),FALSE)</f>
        <v>0</v>
      </c>
      <c r="AC8305" s="580">
        <f>HLOOKUP("*"&amp;'Output annual'!$AC$2&amp;'Output annual'!$AD$2&amp;"*FangerPMV(Hourly)",'Eplus results'!$1:$1048576,ROW(),FALSE)</f>
        <v>0</v>
      </c>
      <c r="AD8305" s="580">
        <f t="shared" si="681"/>
        <v>5</v>
      </c>
      <c r="AE8305" s="580">
        <f t="shared" si="682"/>
        <v>2.5</v>
      </c>
      <c r="AF8305" s="580">
        <f t="shared" si="683"/>
        <v>2.5</v>
      </c>
      <c r="AG8305" s="580">
        <f t="shared" si="684"/>
        <v>0</v>
      </c>
      <c r="AH8305" s="580">
        <f t="shared" si="685"/>
        <v>0</v>
      </c>
    </row>
    <row r="8306" spans="28:34">
      <c r="AB8306" s="580">
        <f>HLOOKUP("*"&amp;'Output annual'!$AC$2&amp;'Output annual'!$AD$2&amp;"*Zone People Number Of Occupants [](Hourly)",'Eplus results'!$1:$1048576,ROW(),FALSE)</f>
        <v>0</v>
      </c>
      <c r="AC8306" s="580">
        <f>HLOOKUP("*"&amp;'Output annual'!$AC$2&amp;'Output annual'!$AD$2&amp;"*FangerPMV(Hourly)",'Eplus results'!$1:$1048576,ROW(),FALSE)</f>
        <v>0</v>
      </c>
      <c r="AD8306" s="580">
        <f t="shared" si="681"/>
        <v>5</v>
      </c>
      <c r="AE8306" s="580">
        <f t="shared" si="682"/>
        <v>2.5</v>
      </c>
      <c r="AF8306" s="580">
        <f t="shared" si="683"/>
        <v>2.5</v>
      </c>
      <c r="AG8306" s="580">
        <f t="shared" si="684"/>
        <v>0</v>
      </c>
      <c r="AH8306" s="580">
        <f t="shared" si="685"/>
        <v>0</v>
      </c>
    </row>
    <row r="8307" spans="28:34">
      <c r="AB8307" s="580">
        <f>HLOOKUP("*"&amp;'Output annual'!$AC$2&amp;'Output annual'!$AD$2&amp;"*Zone People Number Of Occupants [](Hourly)",'Eplus results'!$1:$1048576,ROW(),FALSE)</f>
        <v>0</v>
      </c>
      <c r="AC8307" s="580">
        <f>HLOOKUP("*"&amp;'Output annual'!$AC$2&amp;'Output annual'!$AD$2&amp;"*FangerPMV(Hourly)",'Eplus results'!$1:$1048576,ROW(),FALSE)</f>
        <v>0</v>
      </c>
      <c r="AD8307" s="580">
        <f t="shared" si="681"/>
        <v>5</v>
      </c>
      <c r="AE8307" s="580">
        <f t="shared" si="682"/>
        <v>2.5</v>
      </c>
      <c r="AF8307" s="580">
        <f t="shared" si="683"/>
        <v>2.5</v>
      </c>
      <c r="AG8307" s="580">
        <f t="shared" si="684"/>
        <v>0</v>
      </c>
      <c r="AH8307" s="580">
        <f t="shared" si="685"/>
        <v>0</v>
      </c>
    </row>
    <row r="8308" spans="28:34">
      <c r="AB8308" s="580">
        <f>HLOOKUP("*"&amp;'Output annual'!$AC$2&amp;'Output annual'!$AD$2&amp;"*Zone People Number Of Occupants [](Hourly)",'Eplus results'!$1:$1048576,ROW(),FALSE)</f>
        <v>0</v>
      </c>
      <c r="AC8308" s="580">
        <f>HLOOKUP("*"&amp;'Output annual'!$AC$2&amp;'Output annual'!$AD$2&amp;"*FangerPMV(Hourly)",'Eplus results'!$1:$1048576,ROW(),FALSE)</f>
        <v>0</v>
      </c>
      <c r="AD8308" s="580">
        <f t="shared" si="681"/>
        <v>5</v>
      </c>
      <c r="AE8308" s="580">
        <f t="shared" si="682"/>
        <v>2.5</v>
      </c>
      <c r="AF8308" s="580">
        <f t="shared" si="683"/>
        <v>2.5</v>
      </c>
      <c r="AG8308" s="580">
        <f t="shared" si="684"/>
        <v>0</v>
      </c>
      <c r="AH8308" s="580">
        <f t="shared" si="685"/>
        <v>0</v>
      </c>
    </row>
    <row r="8309" spans="28:34">
      <c r="AB8309" s="580">
        <f>HLOOKUP("*"&amp;'Output annual'!$AC$2&amp;'Output annual'!$AD$2&amp;"*Zone People Number Of Occupants [](Hourly)",'Eplus results'!$1:$1048576,ROW(),FALSE)</f>
        <v>0</v>
      </c>
      <c r="AC8309" s="580">
        <f>HLOOKUP("*"&amp;'Output annual'!$AC$2&amp;'Output annual'!$AD$2&amp;"*FangerPMV(Hourly)",'Eplus results'!$1:$1048576,ROW(),FALSE)</f>
        <v>0</v>
      </c>
      <c r="AD8309" s="580">
        <f t="shared" si="681"/>
        <v>5</v>
      </c>
      <c r="AE8309" s="580">
        <f t="shared" si="682"/>
        <v>2.5</v>
      </c>
      <c r="AF8309" s="580">
        <f t="shared" si="683"/>
        <v>2.5</v>
      </c>
      <c r="AG8309" s="580">
        <f t="shared" si="684"/>
        <v>0</v>
      </c>
      <c r="AH8309" s="580">
        <f t="shared" si="685"/>
        <v>0</v>
      </c>
    </row>
    <row r="8310" spans="28:34">
      <c r="AB8310" s="580">
        <f>HLOOKUP("*"&amp;'Output annual'!$AC$2&amp;'Output annual'!$AD$2&amp;"*Zone People Number Of Occupants [](Hourly)",'Eplus results'!$1:$1048576,ROW(),FALSE)</f>
        <v>0</v>
      </c>
      <c r="AC8310" s="580">
        <f>HLOOKUP("*"&amp;'Output annual'!$AC$2&amp;'Output annual'!$AD$2&amp;"*FangerPMV(Hourly)",'Eplus results'!$1:$1048576,ROW(),FALSE)</f>
        <v>0</v>
      </c>
      <c r="AD8310" s="580">
        <f t="shared" si="681"/>
        <v>5</v>
      </c>
      <c r="AE8310" s="580">
        <f t="shared" si="682"/>
        <v>2.5</v>
      </c>
      <c r="AF8310" s="580">
        <f t="shared" si="683"/>
        <v>2.5</v>
      </c>
      <c r="AG8310" s="580">
        <f t="shared" si="684"/>
        <v>0</v>
      </c>
      <c r="AH8310" s="580">
        <f t="shared" si="685"/>
        <v>0</v>
      </c>
    </row>
    <row r="8311" spans="28:34">
      <c r="AB8311" s="580">
        <f>HLOOKUP("*"&amp;'Output annual'!$AC$2&amp;'Output annual'!$AD$2&amp;"*Zone People Number Of Occupants [](Hourly)",'Eplus results'!$1:$1048576,ROW(),FALSE)</f>
        <v>0</v>
      </c>
      <c r="AC8311" s="580">
        <f>HLOOKUP("*"&amp;'Output annual'!$AC$2&amp;'Output annual'!$AD$2&amp;"*FangerPMV(Hourly)",'Eplus results'!$1:$1048576,ROW(),FALSE)</f>
        <v>0</v>
      </c>
      <c r="AD8311" s="580">
        <f t="shared" si="681"/>
        <v>5</v>
      </c>
      <c r="AE8311" s="580">
        <f t="shared" si="682"/>
        <v>2.5</v>
      </c>
      <c r="AF8311" s="580">
        <f t="shared" si="683"/>
        <v>2.5</v>
      </c>
      <c r="AG8311" s="580">
        <f t="shared" si="684"/>
        <v>0</v>
      </c>
      <c r="AH8311" s="580">
        <f t="shared" si="685"/>
        <v>0</v>
      </c>
    </row>
    <row r="8312" spans="28:34">
      <c r="AB8312" s="580">
        <f>HLOOKUP("*"&amp;'Output annual'!$AC$2&amp;'Output annual'!$AD$2&amp;"*Zone People Number Of Occupants [](Hourly)",'Eplus results'!$1:$1048576,ROW(),FALSE)</f>
        <v>0</v>
      </c>
      <c r="AC8312" s="580">
        <f>HLOOKUP("*"&amp;'Output annual'!$AC$2&amp;'Output annual'!$AD$2&amp;"*FangerPMV(Hourly)",'Eplus results'!$1:$1048576,ROW(),FALSE)</f>
        <v>0</v>
      </c>
      <c r="AD8312" s="580">
        <f t="shared" si="681"/>
        <v>5</v>
      </c>
      <c r="AE8312" s="580">
        <f t="shared" si="682"/>
        <v>2.5</v>
      </c>
      <c r="AF8312" s="580">
        <f t="shared" si="683"/>
        <v>2.5</v>
      </c>
      <c r="AG8312" s="580">
        <f t="shared" si="684"/>
        <v>0</v>
      </c>
      <c r="AH8312" s="580">
        <f t="shared" si="685"/>
        <v>0</v>
      </c>
    </row>
    <row r="8313" spans="28:34">
      <c r="AB8313" s="580">
        <f>HLOOKUP("*"&amp;'Output annual'!$AC$2&amp;'Output annual'!$AD$2&amp;"*Zone People Number Of Occupants [](Hourly)",'Eplus results'!$1:$1048576,ROW(),FALSE)</f>
        <v>0</v>
      </c>
      <c r="AC8313" s="580">
        <f>HLOOKUP("*"&amp;'Output annual'!$AC$2&amp;'Output annual'!$AD$2&amp;"*FangerPMV(Hourly)",'Eplus results'!$1:$1048576,ROW(),FALSE)</f>
        <v>0</v>
      </c>
      <c r="AD8313" s="580">
        <f t="shared" si="681"/>
        <v>5</v>
      </c>
      <c r="AE8313" s="580">
        <f t="shared" si="682"/>
        <v>2.5</v>
      </c>
      <c r="AF8313" s="580">
        <f t="shared" si="683"/>
        <v>2.5</v>
      </c>
      <c r="AG8313" s="580">
        <f t="shared" si="684"/>
        <v>0</v>
      </c>
      <c r="AH8313" s="580">
        <f t="shared" si="685"/>
        <v>0</v>
      </c>
    </row>
    <row r="8314" spans="28:34">
      <c r="AB8314" s="580">
        <f>HLOOKUP("*"&amp;'Output annual'!$AC$2&amp;'Output annual'!$AD$2&amp;"*Zone People Number Of Occupants [](Hourly)",'Eplus results'!$1:$1048576,ROW(),FALSE)</f>
        <v>0</v>
      </c>
      <c r="AC8314" s="580">
        <f>HLOOKUP("*"&amp;'Output annual'!$AC$2&amp;'Output annual'!$AD$2&amp;"*FangerPMV(Hourly)",'Eplus results'!$1:$1048576,ROW(),FALSE)</f>
        <v>0</v>
      </c>
      <c r="AD8314" s="580">
        <f t="shared" si="681"/>
        <v>5</v>
      </c>
      <c r="AE8314" s="580">
        <f t="shared" si="682"/>
        <v>2.5</v>
      </c>
      <c r="AF8314" s="580">
        <f t="shared" si="683"/>
        <v>2.5</v>
      </c>
      <c r="AG8314" s="580">
        <f t="shared" si="684"/>
        <v>0</v>
      </c>
      <c r="AH8314" s="580">
        <f t="shared" si="685"/>
        <v>0</v>
      </c>
    </row>
    <row r="8315" spans="28:34">
      <c r="AB8315" s="580">
        <f>HLOOKUP("*"&amp;'Output annual'!$AC$2&amp;'Output annual'!$AD$2&amp;"*Zone People Number Of Occupants [](Hourly)",'Eplus results'!$1:$1048576,ROW(),FALSE)</f>
        <v>0</v>
      </c>
      <c r="AC8315" s="580">
        <f>HLOOKUP("*"&amp;'Output annual'!$AC$2&amp;'Output annual'!$AD$2&amp;"*FangerPMV(Hourly)",'Eplus results'!$1:$1048576,ROW(),FALSE)</f>
        <v>0</v>
      </c>
      <c r="AD8315" s="580">
        <f t="shared" si="681"/>
        <v>5</v>
      </c>
      <c r="AE8315" s="580">
        <f t="shared" si="682"/>
        <v>2.5</v>
      </c>
      <c r="AF8315" s="580">
        <f t="shared" si="683"/>
        <v>2.5</v>
      </c>
      <c r="AG8315" s="580">
        <f t="shared" si="684"/>
        <v>0</v>
      </c>
      <c r="AH8315" s="580">
        <f t="shared" si="685"/>
        <v>0</v>
      </c>
    </row>
    <row r="8316" spans="28:34">
      <c r="AB8316" s="580">
        <f>HLOOKUP("*"&amp;'Output annual'!$AC$2&amp;'Output annual'!$AD$2&amp;"*Zone People Number Of Occupants [](Hourly)",'Eplus results'!$1:$1048576,ROW(),FALSE)</f>
        <v>0</v>
      </c>
      <c r="AC8316" s="580">
        <f>HLOOKUP("*"&amp;'Output annual'!$AC$2&amp;'Output annual'!$AD$2&amp;"*FangerPMV(Hourly)",'Eplus results'!$1:$1048576,ROW(),FALSE)</f>
        <v>0</v>
      </c>
      <c r="AD8316" s="580">
        <f t="shared" si="681"/>
        <v>5</v>
      </c>
      <c r="AE8316" s="580">
        <f t="shared" si="682"/>
        <v>2.5</v>
      </c>
      <c r="AF8316" s="580">
        <f t="shared" si="683"/>
        <v>2.5</v>
      </c>
      <c r="AG8316" s="580">
        <f t="shared" si="684"/>
        <v>0</v>
      </c>
      <c r="AH8316" s="580">
        <f t="shared" si="685"/>
        <v>0</v>
      </c>
    </row>
    <row r="8317" spans="28:34">
      <c r="AB8317" s="580">
        <f>HLOOKUP("*"&amp;'Output annual'!$AC$2&amp;'Output annual'!$AD$2&amp;"*Zone People Number Of Occupants [](Hourly)",'Eplus results'!$1:$1048576,ROW(),FALSE)</f>
        <v>0</v>
      </c>
      <c r="AC8317" s="580">
        <f>HLOOKUP("*"&amp;'Output annual'!$AC$2&amp;'Output annual'!$AD$2&amp;"*FangerPMV(Hourly)",'Eplus results'!$1:$1048576,ROW(),FALSE)</f>
        <v>0</v>
      </c>
      <c r="AD8317" s="580">
        <f t="shared" si="681"/>
        <v>5</v>
      </c>
      <c r="AE8317" s="580">
        <f t="shared" si="682"/>
        <v>2.5</v>
      </c>
      <c r="AF8317" s="580">
        <f t="shared" si="683"/>
        <v>2.5</v>
      </c>
      <c r="AG8317" s="580">
        <f t="shared" si="684"/>
        <v>0</v>
      </c>
      <c r="AH8317" s="580">
        <f t="shared" si="685"/>
        <v>0</v>
      </c>
    </row>
    <row r="8318" spans="28:34">
      <c r="AB8318" s="580">
        <f>HLOOKUP("*"&amp;'Output annual'!$AC$2&amp;'Output annual'!$AD$2&amp;"*Zone People Number Of Occupants [](Hourly)",'Eplus results'!$1:$1048576,ROW(),FALSE)</f>
        <v>0</v>
      </c>
      <c r="AC8318" s="580">
        <f>HLOOKUP("*"&amp;'Output annual'!$AC$2&amp;'Output annual'!$AD$2&amp;"*FangerPMV(Hourly)",'Eplus results'!$1:$1048576,ROW(),FALSE)</f>
        <v>0</v>
      </c>
      <c r="AD8318" s="580">
        <f t="shared" si="681"/>
        <v>5</v>
      </c>
      <c r="AE8318" s="580">
        <f t="shared" si="682"/>
        <v>2.5</v>
      </c>
      <c r="AF8318" s="580">
        <f t="shared" si="683"/>
        <v>2.5</v>
      </c>
      <c r="AG8318" s="580">
        <f t="shared" si="684"/>
        <v>0</v>
      </c>
      <c r="AH8318" s="580">
        <f t="shared" si="685"/>
        <v>0</v>
      </c>
    </row>
    <row r="8319" spans="28:34">
      <c r="AB8319" s="580">
        <f>HLOOKUP("*"&amp;'Output annual'!$AC$2&amp;'Output annual'!$AD$2&amp;"*Zone People Number Of Occupants [](Hourly)",'Eplus results'!$1:$1048576,ROW(),FALSE)</f>
        <v>0</v>
      </c>
      <c r="AC8319" s="580">
        <f>HLOOKUP("*"&amp;'Output annual'!$AC$2&amp;'Output annual'!$AD$2&amp;"*FangerPMV(Hourly)",'Eplus results'!$1:$1048576,ROW(),FALSE)</f>
        <v>0</v>
      </c>
      <c r="AD8319" s="580">
        <f t="shared" si="681"/>
        <v>5</v>
      </c>
      <c r="AE8319" s="580">
        <f t="shared" si="682"/>
        <v>2.5</v>
      </c>
      <c r="AF8319" s="580">
        <f t="shared" si="683"/>
        <v>2.5</v>
      </c>
      <c r="AG8319" s="580">
        <f t="shared" si="684"/>
        <v>0</v>
      </c>
      <c r="AH8319" s="580">
        <f t="shared" si="685"/>
        <v>0</v>
      </c>
    </row>
    <row r="8320" spans="28:34">
      <c r="AB8320" s="580">
        <f>HLOOKUP("*"&amp;'Output annual'!$AC$2&amp;'Output annual'!$AD$2&amp;"*Zone People Number Of Occupants [](Hourly)",'Eplus results'!$1:$1048576,ROW(),FALSE)</f>
        <v>0</v>
      </c>
      <c r="AC8320" s="580">
        <f>HLOOKUP("*"&amp;'Output annual'!$AC$2&amp;'Output annual'!$AD$2&amp;"*FangerPMV(Hourly)",'Eplus results'!$1:$1048576,ROW(),FALSE)</f>
        <v>0</v>
      </c>
      <c r="AD8320" s="580">
        <f t="shared" si="681"/>
        <v>5</v>
      </c>
      <c r="AE8320" s="580">
        <f t="shared" si="682"/>
        <v>2.5</v>
      </c>
      <c r="AF8320" s="580">
        <f t="shared" si="683"/>
        <v>2.5</v>
      </c>
      <c r="AG8320" s="580">
        <f t="shared" si="684"/>
        <v>0</v>
      </c>
      <c r="AH8320" s="580">
        <f t="shared" si="685"/>
        <v>0</v>
      </c>
    </row>
    <row r="8321" spans="28:34">
      <c r="AB8321" s="580">
        <f>HLOOKUP("*"&amp;'Output annual'!$AC$2&amp;'Output annual'!$AD$2&amp;"*Zone People Number Of Occupants [](Hourly)",'Eplus results'!$1:$1048576,ROW(),FALSE)</f>
        <v>0</v>
      </c>
      <c r="AC8321" s="580">
        <f>HLOOKUP("*"&amp;'Output annual'!$AC$2&amp;'Output annual'!$AD$2&amp;"*FangerPMV(Hourly)",'Eplus results'!$1:$1048576,ROW(),FALSE)</f>
        <v>0</v>
      </c>
      <c r="AD8321" s="580">
        <f t="shared" si="681"/>
        <v>5</v>
      </c>
      <c r="AE8321" s="580">
        <f t="shared" si="682"/>
        <v>2.5</v>
      </c>
      <c r="AF8321" s="580">
        <f t="shared" si="683"/>
        <v>2.5</v>
      </c>
      <c r="AG8321" s="580">
        <f t="shared" si="684"/>
        <v>0</v>
      </c>
      <c r="AH8321" s="580">
        <f t="shared" si="685"/>
        <v>0</v>
      </c>
    </row>
    <row r="8322" spans="28:34">
      <c r="AB8322" s="580">
        <f>HLOOKUP("*"&amp;'Output annual'!$AC$2&amp;'Output annual'!$AD$2&amp;"*Zone People Number Of Occupants [](Hourly)",'Eplus results'!$1:$1048576,ROW(),FALSE)</f>
        <v>0</v>
      </c>
      <c r="AC8322" s="580">
        <f>HLOOKUP("*"&amp;'Output annual'!$AC$2&amp;'Output annual'!$AD$2&amp;"*FangerPMV(Hourly)",'Eplus results'!$1:$1048576,ROW(),FALSE)</f>
        <v>0</v>
      </c>
      <c r="AD8322" s="580">
        <f t="shared" si="681"/>
        <v>5</v>
      </c>
      <c r="AE8322" s="580">
        <f t="shared" si="682"/>
        <v>2.5</v>
      </c>
      <c r="AF8322" s="580">
        <f t="shared" si="683"/>
        <v>2.5</v>
      </c>
      <c r="AG8322" s="580">
        <f t="shared" si="684"/>
        <v>0</v>
      </c>
      <c r="AH8322" s="580">
        <f t="shared" si="685"/>
        <v>0</v>
      </c>
    </row>
    <row r="8323" spans="28:34">
      <c r="AB8323" s="580">
        <f>HLOOKUP("*"&amp;'Output annual'!$AC$2&amp;'Output annual'!$AD$2&amp;"*Zone People Number Of Occupants [](Hourly)",'Eplus results'!$1:$1048576,ROW(),FALSE)</f>
        <v>0</v>
      </c>
      <c r="AC8323" s="580">
        <f>HLOOKUP("*"&amp;'Output annual'!$AC$2&amp;'Output annual'!$AD$2&amp;"*FangerPMV(Hourly)",'Eplus results'!$1:$1048576,ROW(),FALSE)</f>
        <v>0</v>
      </c>
      <c r="AD8323" s="580">
        <f t="shared" ref="AD8323:AD8386" si="686">100-95*EXP(-0.03353*AC8323^4-0.2179*AC8323^2)</f>
        <v>5</v>
      </c>
      <c r="AE8323" s="580">
        <f t="shared" ref="AE8323:AE8386" si="687">AD8323*(1/(1+EXP(-6.3*$AC8323)))</f>
        <v>2.5</v>
      </c>
      <c r="AF8323" s="580">
        <f t="shared" ref="AF8323:AF8386" si="688">(AD8323-AE8323)</f>
        <v>2.5</v>
      </c>
      <c r="AG8323" s="580">
        <f t="shared" ref="AG8323:AG8386" si="689">AE8323*AB8323</f>
        <v>0</v>
      </c>
      <c r="AH8323" s="580">
        <f t="shared" ref="AH8323:AH8386" si="690">AF8323*AB8323</f>
        <v>0</v>
      </c>
    </row>
    <row r="8324" spans="28:34">
      <c r="AB8324" s="580">
        <f>HLOOKUP("*"&amp;'Output annual'!$AC$2&amp;'Output annual'!$AD$2&amp;"*Zone People Number Of Occupants [](Hourly)",'Eplus results'!$1:$1048576,ROW(),FALSE)</f>
        <v>0</v>
      </c>
      <c r="AC8324" s="580">
        <f>HLOOKUP("*"&amp;'Output annual'!$AC$2&amp;'Output annual'!$AD$2&amp;"*FangerPMV(Hourly)",'Eplus results'!$1:$1048576,ROW(),FALSE)</f>
        <v>0</v>
      </c>
      <c r="AD8324" s="580">
        <f t="shared" si="686"/>
        <v>5</v>
      </c>
      <c r="AE8324" s="580">
        <f t="shared" si="687"/>
        <v>2.5</v>
      </c>
      <c r="AF8324" s="580">
        <f t="shared" si="688"/>
        <v>2.5</v>
      </c>
      <c r="AG8324" s="580">
        <f t="shared" si="689"/>
        <v>0</v>
      </c>
      <c r="AH8324" s="580">
        <f t="shared" si="690"/>
        <v>0</v>
      </c>
    </row>
    <row r="8325" spans="28:34">
      <c r="AB8325" s="580">
        <f>HLOOKUP("*"&amp;'Output annual'!$AC$2&amp;'Output annual'!$AD$2&amp;"*Zone People Number Of Occupants [](Hourly)",'Eplus results'!$1:$1048576,ROW(),FALSE)</f>
        <v>0</v>
      </c>
      <c r="AC8325" s="580">
        <f>HLOOKUP("*"&amp;'Output annual'!$AC$2&amp;'Output annual'!$AD$2&amp;"*FangerPMV(Hourly)",'Eplus results'!$1:$1048576,ROW(),FALSE)</f>
        <v>0</v>
      </c>
      <c r="AD8325" s="580">
        <f t="shared" si="686"/>
        <v>5</v>
      </c>
      <c r="AE8325" s="580">
        <f t="shared" si="687"/>
        <v>2.5</v>
      </c>
      <c r="AF8325" s="580">
        <f t="shared" si="688"/>
        <v>2.5</v>
      </c>
      <c r="AG8325" s="580">
        <f t="shared" si="689"/>
        <v>0</v>
      </c>
      <c r="AH8325" s="580">
        <f t="shared" si="690"/>
        <v>0</v>
      </c>
    </row>
    <row r="8326" spans="28:34">
      <c r="AB8326" s="580">
        <f>HLOOKUP("*"&amp;'Output annual'!$AC$2&amp;'Output annual'!$AD$2&amp;"*Zone People Number Of Occupants [](Hourly)",'Eplus results'!$1:$1048576,ROW(),FALSE)</f>
        <v>0</v>
      </c>
      <c r="AC8326" s="580">
        <f>HLOOKUP("*"&amp;'Output annual'!$AC$2&amp;'Output annual'!$AD$2&amp;"*FangerPMV(Hourly)",'Eplus results'!$1:$1048576,ROW(),FALSE)</f>
        <v>0</v>
      </c>
      <c r="AD8326" s="580">
        <f t="shared" si="686"/>
        <v>5</v>
      </c>
      <c r="AE8326" s="580">
        <f t="shared" si="687"/>
        <v>2.5</v>
      </c>
      <c r="AF8326" s="580">
        <f t="shared" si="688"/>
        <v>2.5</v>
      </c>
      <c r="AG8326" s="580">
        <f t="shared" si="689"/>
        <v>0</v>
      </c>
      <c r="AH8326" s="580">
        <f t="shared" si="690"/>
        <v>0</v>
      </c>
    </row>
    <row r="8327" spans="28:34">
      <c r="AB8327" s="580">
        <f>HLOOKUP("*"&amp;'Output annual'!$AC$2&amp;'Output annual'!$AD$2&amp;"*Zone People Number Of Occupants [](Hourly)",'Eplus results'!$1:$1048576,ROW(),FALSE)</f>
        <v>0</v>
      </c>
      <c r="AC8327" s="580">
        <f>HLOOKUP("*"&amp;'Output annual'!$AC$2&amp;'Output annual'!$AD$2&amp;"*FangerPMV(Hourly)",'Eplus results'!$1:$1048576,ROW(),FALSE)</f>
        <v>0</v>
      </c>
      <c r="AD8327" s="580">
        <f t="shared" si="686"/>
        <v>5</v>
      </c>
      <c r="AE8327" s="580">
        <f t="shared" si="687"/>
        <v>2.5</v>
      </c>
      <c r="AF8327" s="580">
        <f t="shared" si="688"/>
        <v>2.5</v>
      </c>
      <c r="AG8327" s="580">
        <f t="shared" si="689"/>
        <v>0</v>
      </c>
      <c r="AH8327" s="580">
        <f t="shared" si="690"/>
        <v>0</v>
      </c>
    </row>
    <row r="8328" spans="28:34">
      <c r="AB8328" s="580">
        <f>HLOOKUP("*"&amp;'Output annual'!$AC$2&amp;'Output annual'!$AD$2&amp;"*Zone People Number Of Occupants [](Hourly)",'Eplus results'!$1:$1048576,ROW(),FALSE)</f>
        <v>0</v>
      </c>
      <c r="AC8328" s="580">
        <f>HLOOKUP("*"&amp;'Output annual'!$AC$2&amp;'Output annual'!$AD$2&amp;"*FangerPMV(Hourly)",'Eplus results'!$1:$1048576,ROW(),FALSE)</f>
        <v>0</v>
      </c>
      <c r="AD8328" s="580">
        <f t="shared" si="686"/>
        <v>5</v>
      </c>
      <c r="AE8328" s="580">
        <f t="shared" si="687"/>
        <v>2.5</v>
      </c>
      <c r="AF8328" s="580">
        <f t="shared" si="688"/>
        <v>2.5</v>
      </c>
      <c r="AG8328" s="580">
        <f t="shared" si="689"/>
        <v>0</v>
      </c>
      <c r="AH8328" s="580">
        <f t="shared" si="690"/>
        <v>0</v>
      </c>
    </row>
    <row r="8329" spans="28:34">
      <c r="AB8329" s="580">
        <f>HLOOKUP("*"&amp;'Output annual'!$AC$2&amp;'Output annual'!$AD$2&amp;"*Zone People Number Of Occupants [](Hourly)",'Eplus results'!$1:$1048576,ROW(),FALSE)</f>
        <v>0</v>
      </c>
      <c r="AC8329" s="580">
        <f>HLOOKUP("*"&amp;'Output annual'!$AC$2&amp;'Output annual'!$AD$2&amp;"*FangerPMV(Hourly)",'Eplus results'!$1:$1048576,ROW(),FALSE)</f>
        <v>0</v>
      </c>
      <c r="AD8329" s="580">
        <f t="shared" si="686"/>
        <v>5</v>
      </c>
      <c r="AE8329" s="580">
        <f t="shared" si="687"/>
        <v>2.5</v>
      </c>
      <c r="AF8329" s="580">
        <f t="shared" si="688"/>
        <v>2.5</v>
      </c>
      <c r="AG8329" s="580">
        <f t="shared" si="689"/>
        <v>0</v>
      </c>
      <c r="AH8329" s="580">
        <f t="shared" si="690"/>
        <v>0</v>
      </c>
    </row>
    <row r="8330" spans="28:34">
      <c r="AB8330" s="580">
        <f>HLOOKUP("*"&amp;'Output annual'!$AC$2&amp;'Output annual'!$AD$2&amp;"*Zone People Number Of Occupants [](Hourly)",'Eplus results'!$1:$1048576,ROW(),FALSE)</f>
        <v>0</v>
      </c>
      <c r="AC8330" s="580">
        <f>HLOOKUP("*"&amp;'Output annual'!$AC$2&amp;'Output annual'!$AD$2&amp;"*FangerPMV(Hourly)",'Eplus results'!$1:$1048576,ROW(),FALSE)</f>
        <v>0</v>
      </c>
      <c r="AD8330" s="580">
        <f t="shared" si="686"/>
        <v>5</v>
      </c>
      <c r="AE8330" s="580">
        <f t="shared" si="687"/>
        <v>2.5</v>
      </c>
      <c r="AF8330" s="580">
        <f t="shared" si="688"/>
        <v>2.5</v>
      </c>
      <c r="AG8330" s="580">
        <f t="shared" si="689"/>
        <v>0</v>
      </c>
      <c r="AH8330" s="580">
        <f t="shared" si="690"/>
        <v>0</v>
      </c>
    </row>
    <row r="8331" spans="28:34">
      <c r="AB8331" s="580">
        <f>HLOOKUP("*"&amp;'Output annual'!$AC$2&amp;'Output annual'!$AD$2&amp;"*Zone People Number Of Occupants [](Hourly)",'Eplus results'!$1:$1048576,ROW(),FALSE)</f>
        <v>0</v>
      </c>
      <c r="AC8331" s="580">
        <f>HLOOKUP("*"&amp;'Output annual'!$AC$2&amp;'Output annual'!$AD$2&amp;"*FangerPMV(Hourly)",'Eplus results'!$1:$1048576,ROW(),FALSE)</f>
        <v>0</v>
      </c>
      <c r="AD8331" s="580">
        <f t="shared" si="686"/>
        <v>5</v>
      </c>
      <c r="AE8331" s="580">
        <f t="shared" si="687"/>
        <v>2.5</v>
      </c>
      <c r="AF8331" s="580">
        <f t="shared" si="688"/>
        <v>2.5</v>
      </c>
      <c r="AG8331" s="580">
        <f t="shared" si="689"/>
        <v>0</v>
      </c>
      <c r="AH8331" s="580">
        <f t="shared" si="690"/>
        <v>0</v>
      </c>
    </row>
    <row r="8332" spans="28:34">
      <c r="AB8332" s="580">
        <f>HLOOKUP("*"&amp;'Output annual'!$AC$2&amp;'Output annual'!$AD$2&amp;"*Zone People Number Of Occupants [](Hourly)",'Eplus results'!$1:$1048576,ROW(),FALSE)</f>
        <v>0</v>
      </c>
      <c r="AC8332" s="580">
        <f>HLOOKUP("*"&amp;'Output annual'!$AC$2&amp;'Output annual'!$AD$2&amp;"*FangerPMV(Hourly)",'Eplus results'!$1:$1048576,ROW(),FALSE)</f>
        <v>0</v>
      </c>
      <c r="AD8332" s="580">
        <f t="shared" si="686"/>
        <v>5</v>
      </c>
      <c r="AE8332" s="580">
        <f t="shared" si="687"/>
        <v>2.5</v>
      </c>
      <c r="AF8332" s="580">
        <f t="shared" si="688"/>
        <v>2.5</v>
      </c>
      <c r="AG8332" s="580">
        <f t="shared" si="689"/>
        <v>0</v>
      </c>
      <c r="AH8332" s="580">
        <f t="shared" si="690"/>
        <v>0</v>
      </c>
    </row>
    <row r="8333" spans="28:34">
      <c r="AB8333" s="580">
        <f>HLOOKUP("*"&amp;'Output annual'!$AC$2&amp;'Output annual'!$AD$2&amp;"*Zone People Number Of Occupants [](Hourly)",'Eplus results'!$1:$1048576,ROW(),FALSE)</f>
        <v>0</v>
      </c>
      <c r="AC8333" s="580">
        <f>HLOOKUP("*"&amp;'Output annual'!$AC$2&amp;'Output annual'!$AD$2&amp;"*FangerPMV(Hourly)",'Eplus results'!$1:$1048576,ROW(),FALSE)</f>
        <v>0</v>
      </c>
      <c r="AD8333" s="580">
        <f t="shared" si="686"/>
        <v>5</v>
      </c>
      <c r="AE8333" s="580">
        <f t="shared" si="687"/>
        <v>2.5</v>
      </c>
      <c r="AF8333" s="580">
        <f t="shared" si="688"/>
        <v>2.5</v>
      </c>
      <c r="AG8333" s="580">
        <f t="shared" si="689"/>
        <v>0</v>
      </c>
      <c r="AH8333" s="580">
        <f t="shared" si="690"/>
        <v>0</v>
      </c>
    </row>
    <row r="8334" spans="28:34">
      <c r="AB8334" s="580">
        <f>HLOOKUP("*"&amp;'Output annual'!$AC$2&amp;'Output annual'!$AD$2&amp;"*Zone People Number Of Occupants [](Hourly)",'Eplus results'!$1:$1048576,ROW(),FALSE)</f>
        <v>0</v>
      </c>
      <c r="AC8334" s="580">
        <f>HLOOKUP("*"&amp;'Output annual'!$AC$2&amp;'Output annual'!$AD$2&amp;"*FangerPMV(Hourly)",'Eplus results'!$1:$1048576,ROW(),FALSE)</f>
        <v>0</v>
      </c>
      <c r="AD8334" s="580">
        <f t="shared" si="686"/>
        <v>5</v>
      </c>
      <c r="AE8334" s="580">
        <f t="shared" si="687"/>
        <v>2.5</v>
      </c>
      <c r="AF8334" s="580">
        <f t="shared" si="688"/>
        <v>2.5</v>
      </c>
      <c r="AG8334" s="580">
        <f t="shared" si="689"/>
        <v>0</v>
      </c>
      <c r="AH8334" s="580">
        <f t="shared" si="690"/>
        <v>0</v>
      </c>
    </row>
    <row r="8335" spans="28:34">
      <c r="AB8335" s="580">
        <f>HLOOKUP("*"&amp;'Output annual'!$AC$2&amp;'Output annual'!$AD$2&amp;"*Zone People Number Of Occupants [](Hourly)",'Eplus results'!$1:$1048576,ROW(),FALSE)</f>
        <v>0</v>
      </c>
      <c r="AC8335" s="580">
        <f>HLOOKUP("*"&amp;'Output annual'!$AC$2&amp;'Output annual'!$AD$2&amp;"*FangerPMV(Hourly)",'Eplus results'!$1:$1048576,ROW(),FALSE)</f>
        <v>0</v>
      </c>
      <c r="AD8335" s="580">
        <f t="shared" si="686"/>
        <v>5</v>
      </c>
      <c r="AE8335" s="580">
        <f t="shared" si="687"/>
        <v>2.5</v>
      </c>
      <c r="AF8335" s="580">
        <f t="shared" si="688"/>
        <v>2.5</v>
      </c>
      <c r="AG8335" s="580">
        <f t="shared" si="689"/>
        <v>0</v>
      </c>
      <c r="AH8335" s="580">
        <f t="shared" si="690"/>
        <v>0</v>
      </c>
    </row>
    <row r="8336" spans="28:34">
      <c r="AB8336" s="580">
        <f>HLOOKUP("*"&amp;'Output annual'!$AC$2&amp;'Output annual'!$AD$2&amp;"*Zone People Number Of Occupants [](Hourly)",'Eplus results'!$1:$1048576,ROW(),FALSE)</f>
        <v>0</v>
      </c>
      <c r="AC8336" s="580">
        <f>HLOOKUP("*"&amp;'Output annual'!$AC$2&amp;'Output annual'!$AD$2&amp;"*FangerPMV(Hourly)",'Eplus results'!$1:$1048576,ROW(),FALSE)</f>
        <v>0</v>
      </c>
      <c r="AD8336" s="580">
        <f t="shared" si="686"/>
        <v>5</v>
      </c>
      <c r="AE8336" s="580">
        <f t="shared" si="687"/>
        <v>2.5</v>
      </c>
      <c r="AF8336" s="580">
        <f t="shared" si="688"/>
        <v>2.5</v>
      </c>
      <c r="AG8336" s="580">
        <f t="shared" si="689"/>
        <v>0</v>
      </c>
      <c r="AH8336" s="580">
        <f t="shared" si="690"/>
        <v>0</v>
      </c>
    </row>
    <row r="8337" spans="28:34">
      <c r="AB8337" s="580">
        <f>HLOOKUP("*"&amp;'Output annual'!$AC$2&amp;'Output annual'!$AD$2&amp;"*Zone People Number Of Occupants [](Hourly)",'Eplus results'!$1:$1048576,ROW(),FALSE)</f>
        <v>0</v>
      </c>
      <c r="AC8337" s="580">
        <f>HLOOKUP("*"&amp;'Output annual'!$AC$2&amp;'Output annual'!$AD$2&amp;"*FangerPMV(Hourly)",'Eplus results'!$1:$1048576,ROW(),FALSE)</f>
        <v>0</v>
      </c>
      <c r="AD8337" s="580">
        <f t="shared" si="686"/>
        <v>5</v>
      </c>
      <c r="AE8337" s="580">
        <f t="shared" si="687"/>
        <v>2.5</v>
      </c>
      <c r="AF8337" s="580">
        <f t="shared" si="688"/>
        <v>2.5</v>
      </c>
      <c r="AG8337" s="580">
        <f t="shared" si="689"/>
        <v>0</v>
      </c>
      <c r="AH8337" s="580">
        <f t="shared" si="690"/>
        <v>0</v>
      </c>
    </row>
    <row r="8338" spans="28:34">
      <c r="AB8338" s="580">
        <f>HLOOKUP("*"&amp;'Output annual'!$AC$2&amp;'Output annual'!$AD$2&amp;"*Zone People Number Of Occupants [](Hourly)",'Eplus results'!$1:$1048576,ROW(),FALSE)</f>
        <v>0</v>
      </c>
      <c r="AC8338" s="580">
        <f>HLOOKUP("*"&amp;'Output annual'!$AC$2&amp;'Output annual'!$AD$2&amp;"*FangerPMV(Hourly)",'Eplus results'!$1:$1048576,ROW(),FALSE)</f>
        <v>0</v>
      </c>
      <c r="AD8338" s="580">
        <f t="shared" si="686"/>
        <v>5</v>
      </c>
      <c r="AE8338" s="580">
        <f t="shared" si="687"/>
        <v>2.5</v>
      </c>
      <c r="AF8338" s="580">
        <f t="shared" si="688"/>
        <v>2.5</v>
      </c>
      <c r="AG8338" s="580">
        <f t="shared" si="689"/>
        <v>0</v>
      </c>
      <c r="AH8338" s="580">
        <f t="shared" si="690"/>
        <v>0</v>
      </c>
    </row>
    <row r="8339" spans="28:34">
      <c r="AB8339" s="580">
        <f>HLOOKUP("*"&amp;'Output annual'!$AC$2&amp;'Output annual'!$AD$2&amp;"*Zone People Number Of Occupants [](Hourly)",'Eplus results'!$1:$1048576,ROW(),FALSE)</f>
        <v>0</v>
      </c>
      <c r="AC8339" s="580">
        <f>HLOOKUP("*"&amp;'Output annual'!$AC$2&amp;'Output annual'!$AD$2&amp;"*FangerPMV(Hourly)",'Eplus results'!$1:$1048576,ROW(),FALSE)</f>
        <v>0</v>
      </c>
      <c r="AD8339" s="580">
        <f t="shared" si="686"/>
        <v>5</v>
      </c>
      <c r="AE8339" s="580">
        <f t="shared" si="687"/>
        <v>2.5</v>
      </c>
      <c r="AF8339" s="580">
        <f t="shared" si="688"/>
        <v>2.5</v>
      </c>
      <c r="AG8339" s="580">
        <f t="shared" si="689"/>
        <v>0</v>
      </c>
      <c r="AH8339" s="580">
        <f t="shared" si="690"/>
        <v>0</v>
      </c>
    </row>
    <row r="8340" spans="28:34">
      <c r="AB8340" s="580">
        <f>HLOOKUP("*"&amp;'Output annual'!$AC$2&amp;'Output annual'!$AD$2&amp;"*Zone People Number Of Occupants [](Hourly)",'Eplus results'!$1:$1048576,ROW(),FALSE)</f>
        <v>0</v>
      </c>
      <c r="AC8340" s="580">
        <f>HLOOKUP("*"&amp;'Output annual'!$AC$2&amp;'Output annual'!$AD$2&amp;"*FangerPMV(Hourly)",'Eplus results'!$1:$1048576,ROW(),FALSE)</f>
        <v>0</v>
      </c>
      <c r="AD8340" s="580">
        <f t="shared" si="686"/>
        <v>5</v>
      </c>
      <c r="AE8340" s="580">
        <f t="shared" si="687"/>
        <v>2.5</v>
      </c>
      <c r="AF8340" s="580">
        <f t="shared" si="688"/>
        <v>2.5</v>
      </c>
      <c r="AG8340" s="580">
        <f t="shared" si="689"/>
        <v>0</v>
      </c>
      <c r="AH8340" s="580">
        <f t="shared" si="690"/>
        <v>0</v>
      </c>
    </row>
    <row r="8341" spans="28:34">
      <c r="AB8341" s="580">
        <f>HLOOKUP("*"&amp;'Output annual'!$AC$2&amp;'Output annual'!$AD$2&amp;"*Zone People Number Of Occupants [](Hourly)",'Eplus results'!$1:$1048576,ROW(),FALSE)</f>
        <v>0</v>
      </c>
      <c r="AC8341" s="580">
        <f>HLOOKUP("*"&amp;'Output annual'!$AC$2&amp;'Output annual'!$AD$2&amp;"*FangerPMV(Hourly)",'Eplus results'!$1:$1048576,ROW(),FALSE)</f>
        <v>0</v>
      </c>
      <c r="AD8341" s="580">
        <f t="shared" si="686"/>
        <v>5</v>
      </c>
      <c r="AE8341" s="580">
        <f t="shared" si="687"/>
        <v>2.5</v>
      </c>
      <c r="AF8341" s="580">
        <f t="shared" si="688"/>
        <v>2.5</v>
      </c>
      <c r="AG8341" s="580">
        <f t="shared" si="689"/>
        <v>0</v>
      </c>
      <c r="AH8341" s="580">
        <f t="shared" si="690"/>
        <v>0</v>
      </c>
    </row>
    <row r="8342" spans="28:34">
      <c r="AB8342" s="580">
        <f>HLOOKUP("*"&amp;'Output annual'!$AC$2&amp;'Output annual'!$AD$2&amp;"*Zone People Number Of Occupants [](Hourly)",'Eplus results'!$1:$1048576,ROW(),FALSE)</f>
        <v>0</v>
      </c>
      <c r="AC8342" s="580">
        <f>HLOOKUP("*"&amp;'Output annual'!$AC$2&amp;'Output annual'!$AD$2&amp;"*FangerPMV(Hourly)",'Eplus results'!$1:$1048576,ROW(),FALSE)</f>
        <v>0</v>
      </c>
      <c r="AD8342" s="580">
        <f t="shared" si="686"/>
        <v>5</v>
      </c>
      <c r="AE8342" s="580">
        <f t="shared" si="687"/>
        <v>2.5</v>
      </c>
      <c r="AF8342" s="580">
        <f t="shared" si="688"/>
        <v>2.5</v>
      </c>
      <c r="AG8342" s="580">
        <f t="shared" si="689"/>
        <v>0</v>
      </c>
      <c r="AH8342" s="580">
        <f t="shared" si="690"/>
        <v>0</v>
      </c>
    </row>
    <row r="8343" spans="28:34">
      <c r="AB8343" s="580">
        <f>HLOOKUP("*"&amp;'Output annual'!$AC$2&amp;'Output annual'!$AD$2&amp;"*Zone People Number Of Occupants [](Hourly)",'Eplus results'!$1:$1048576,ROW(),FALSE)</f>
        <v>0</v>
      </c>
      <c r="AC8343" s="580">
        <f>HLOOKUP("*"&amp;'Output annual'!$AC$2&amp;'Output annual'!$AD$2&amp;"*FangerPMV(Hourly)",'Eplus results'!$1:$1048576,ROW(),FALSE)</f>
        <v>0</v>
      </c>
      <c r="AD8343" s="580">
        <f t="shared" si="686"/>
        <v>5</v>
      </c>
      <c r="AE8343" s="580">
        <f t="shared" si="687"/>
        <v>2.5</v>
      </c>
      <c r="AF8343" s="580">
        <f t="shared" si="688"/>
        <v>2.5</v>
      </c>
      <c r="AG8343" s="580">
        <f t="shared" si="689"/>
        <v>0</v>
      </c>
      <c r="AH8343" s="580">
        <f t="shared" si="690"/>
        <v>0</v>
      </c>
    </row>
    <row r="8344" spans="28:34">
      <c r="AB8344" s="580">
        <f>HLOOKUP("*"&amp;'Output annual'!$AC$2&amp;'Output annual'!$AD$2&amp;"*Zone People Number Of Occupants [](Hourly)",'Eplus results'!$1:$1048576,ROW(),FALSE)</f>
        <v>0</v>
      </c>
      <c r="AC8344" s="580">
        <f>HLOOKUP("*"&amp;'Output annual'!$AC$2&amp;'Output annual'!$AD$2&amp;"*FangerPMV(Hourly)",'Eplus results'!$1:$1048576,ROW(),FALSE)</f>
        <v>0</v>
      </c>
      <c r="AD8344" s="580">
        <f t="shared" si="686"/>
        <v>5</v>
      </c>
      <c r="AE8344" s="580">
        <f t="shared" si="687"/>
        <v>2.5</v>
      </c>
      <c r="AF8344" s="580">
        <f t="shared" si="688"/>
        <v>2.5</v>
      </c>
      <c r="AG8344" s="580">
        <f t="shared" si="689"/>
        <v>0</v>
      </c>
      <c r="AH8344" s="580">
        <f t="shared" si="690"/>
        <v>0</v>
      </c>
    </row>
    <row r="8345" spans="28:34">
      <c r="AB8345" s="580">
        <f>HLOOKUP("*"&amp;'Output annual'!$AC$2&amp;'Output annual'!$AD$2&amp;"*Zone People Number Of Occupants [](Hourly)",'Eplus results'!$1:$1048576,ROW(),FALSE)</f>
        <v>0</v>
      </c>
      <c r="AC8345" s="580">
        <f>HLOOKUP("*"&amp;'Output annual'!$AC$2&amp;'Output annual'!$AD$2&amp;"*FangerPMV(Hourly)",'Eplus results'!$1:$1048576,ROW(),FALSE)</f>
        <v>0</v>
      </c>
      <c r="AD8345" s="580">
        <f t="shared" si="686"/>
        <v>5</v>
      </c>
      <c r="AE8345" s="580">
        <f t="shared" si="687"/>
        <v>2.5</v>
      </c>
      <c r="AF8345" s="580">
        <f t="shared" si="688"/>
        <v>2.5</v>
      </c>
      <c r="AG8345" s="580">
        <f t="shared" si="689"/>
        <v>0</v>
      </c>
      <c r="AH8345" s="580">
        <f t="shared" si="690"/>
        <v>0</v>
      </c>
    </row>
    <row r="8346" spans="28:34">
      <c r="AB8346" s="580">
        <f>HLOOKUP("*"&amp;'Output annual'!$AC$2&amp;'Output annual'!$AD$2&amp;"*Zone People Number Of Occupants [](Hourly)",'Eplus results'!$1:$1048576,ROW(),FALSE)</f>
        <v>0</v>
      </c>
      <c r="AC8346" s="580">
        <f>HLOOKUP("*"&amp;'Output annual'!$AC$2&amp;'Output annual'!$AD$2&amp;"*FangerPMV(Hourly)",'Eplus results'!$1:$1048576,ROW(),FALSE)</f>
        <v>0</v>
      </c>
      <c r="AD8346" s="580">
        <f t="shared" si="686"/>
        <v>5</v>
      </c>
      <c r="AE8346" s="580">
        <f t="shared" si="687"/>
        <v>2.5</v>
      </c>
      <c r="AF8346" s="580">
        <f t="shared" si="688"/>
        <v>2.5</v>
      </c>
      <c r="AG8346" s="580">
        <f t="shared" si="689"/>
        <v>0</v>
      </c>
      <c r="AH8346" s="580">
        <f t="shared" si="690"/>
        <v>0</v>
      </c>
    </row>
    <row r="8347" spans="28:34">
      <c r="AB8347" s="580">
        <f>HLOOKUP("*"&amp;'Output annual'!$AC$2&amp;'Output annual'!$AD$2&amp;"*Zone People Number Of Occupants [](Hourly)",'Eplus results'!$1:$1048576,ROW(),FALSE)</f>
        <v>0</v>
      </c>
      <c r="AC8347" s="580">
        <f>HLOOKUP("*"&amp;'Output annual'!$AC$2&amp;'Output annual'!$AD$2&amp;"*FangerPMV(Hourly)",'Eplus results'!$1:$1048576,ROW(),FALSE)</f>
        <v>0</v>
      </c>
      <c r="AD8347" s="580">
        <f t="shared" si="686"/>
        <v>5</v>
      </c>
      <c r="AE8347" s="580">
        <f t="shared" si="687"/>
        <v>2.5</v>
      </c>
      <c r="AF8347" s="580">
        <f t="shared" si="688"/>
        <v>2.5</v>
      </c>
      <c r="AG8347" s="580">
        <f t="shared" si="689"/>
        <v>0</v>
      </c>
      <c r="AH8347" s="580">
        <f t="shared" si="690"/>
        <v>0</v>
      </c>
    </row>
    <row r="8348" spans="28:34">
      <c r="AB8348" s="580">
        <f>HLOOKUP("*"&amp;'Output annual'!$AC$2&amp;'Output annual'!$AD$2&amp;"*Zone People Number Of Occupants [](Hourly)",'Eplus results'!$1:$1048576,ROW(),FALSE)</f>
        <v>0</v>
      </c>
      <c r="AC8348" s="580">
        <f>HLOOKUP("*"&amp;'Output annual'!$AC$2&amp;'Output annual'!$AD$2&amp;"*FangerPMV(Hourly)",'Eplus results'!$1:$1048576,ROW(),FALSE)</f>
        <v>0</v>
      </c>
      <c r="AD8348" s="580">
        <f t="shared" si="686"/>
        <v>5</v>
      </c>
      <c r="AE8348" s="580">
        <f t="shared" si="687"/>
        <v>2.5</v>
      </c>
      <c r="AF8348" s="580">
        <f t="shared" si="688"/>
        <v>2.5</v>
      </c>
      <c r="AG8348" s="580">
        <f t="shared" si="689"/>
        <v>0</v>
      </c>
      <c r="AH8348" s="580">
        <f t="shared" si="690"/>
        <v>0</v>
      </c>
    </row>
    <row r="8349" spans="28:34">
      <c r="AB8349" s="580">
        <f>HLOOKUP("*"&amp;'Output annual'!$AC$2&amp;'Output annual'!$AD$2&amp;"*Zone People Number Of Occupants [](Hourly)",'Eplus results'!$1:$1048576,ROW(),FALSE)</f>
        <v>0</v>
      </c>
      <c r="AC8349" s="580">
        <f>HLOOKUP("*"&amp;'Output annual'!$AC$2&amp;'Output annual'!$AD$2&amp;"*FangerPMV(Hourly)",'Eplus results'!$1:$1048576,ROW(),FALSE)</f>
        <v>0</v>
      </c>
      <c r="AD8349" s="580">
        <f t="shared" si="686"/>
        <v>5</v>
      </c>
      <c r="AE8349" s="580">
        <f t="shared" si="687"/>
        <v>2.5</v>
      </c>
      <c r="AF8349" s="580">
        <f t="shared" si="688"/>
        <v>2.5</v>
      </c>
      <c r="AG8349" s="580">
        <f t="shared" si="689"/>
        <v>0</v>
      </c>
      <c r="AH8349" s="580">
        <f t="shared" si="690"/>
        <v>0</v>
      </c>
    </row>
    <row r="8350" spans="28:34">
      <c r="AB8350" s="580">
        <f>HLOOKUP("*"&amp;'Output annual'!$AC$2&amp;'Output annual'!$AD$2&amp;"*Zone People Number Of Occupants [](Hourly)",'Eplus results'!$1:$1048576,ROW(),FALSE)</f>
        <v>0</v>
      </c>
      <c r="AC8350" s="580">
        <f>HLOOKUP("*"&amp;'Output annual'!$AC$2&amp;'Output annual'!$AD$2&amp;"*FangerPMV(Hourly)",'Eplus results'!$1:$1048576,ROW(),FALSE)</f>
        <v>0</v>
      </c>
      <c r="AD8350" s="580">
        <f t="shared" si="686"/>
        <v>5</v>
      </c>
      <c r="AE8350" s="580">
        <f t="shared" si="687"/>
        <v>2.5</v>
      </c>
      <c r="AF8350" s="580">
        <f t="shared" si="688"/>
        <v>2.5</v>
      </c>
      <c r="AG8350" s="580">
        <f t="shared" si="689"/>
        <v>0</v>
      </c>
      <c r="AH8350" s="580">
        <f t="shared" si="690"/>
        <v>0</v>
      </c>
    </row>
    <row r="8351" spans="28:34">
      <c r="AB8351" s="580">
        <f>HLOOKUP("*"&amp;'Output annual'!$AC$2&amp;'Output annual'!$AD$2&amp;"*Zone People Number Of Occupants [](Hourly)",'Eplus results'!$1:$1048576,ROW(),FALSE)</f>
        <v>0</v>
      </c>
      <c r="AC8351" s="580">
        <f>HLOOKUP("*"&amp;'Output annual'!$AC$2&amp;'Output annual'!$AD$2&amp;"*FangerPMV(Hourly)",'Eplus results'!$1:$1048576,ROW(),FALSE)</f>
        <v>0</v>
      </c>
      <c r="AD8351" s="580">
        <f t="shared" si="686"/>
        <v>5</v>
      </c>
      <c r="AE8351" s="580">
        <f t="shared" si="687"/>
        <v>2.5</v>
      </c>
      <c r="AF8351" s="580">
        <f t="shared" si="688"/>
        <v>2.5</v>
      </c>
      <c r="AG8351" s="580">
        <f t="shared" si="689"/>
        <v>0</v>
      </c>
      <c r="AH8351" s="580">
        <f t="shared" si="690"/>
        <v>0</v>
      </c>
    </row>
    <row r="8352" spans="28:34">
      <c r="AB8352" s="580">
        <f>HLOOKUP("*"&amp;'Output annual'!$AC$2&amp;'Output annual'!$AD$2&amp;"*Zone People Number Of Occupants [](Hourly)",'Eplus results'!$1:$1048576,ROW(),FALSE)</f>
        <v>0</v>
      </c>
      <c r="AC8352" s="580">
        <f>HLOOKUP("*"&amp;'Output annual'!$AC$2&amp;'Output annual'!$AD$2&amp;"*FangerPMV(Hourly)",'Eplus results'!$1:$1048576,ROW(),FALSE)</f>
        <v>0</v>
      </c>
      <c r="AD8352" s="580">
        <f t="shared" si="686"/>
        <v>5</v>
      </c>
      <c r="AE8352" s="580">
        <f t="shared" si="687"/>
        <v>2.5</v>
      </c>
      <c r="AF8352" s="580">
        <f t="shared" si="688"/>
        <v>2.5</v>
      </c>
      <c r="AG8352" s="580">
        <f t="shared" si="689"/>
        <v>0</v>
      </c>
      <c r="AH8352" s="580">
        <f t="shared" si="690"/>
        <v>0</v>
      </c>
    </row>
    <row r="8353" spans="28:34">
      <c r="AB8353" s="580">
        <f>HLOOKUP("*"&amp;'Output annual'!$AC$2&amp;'Output annual'!$AD$2&amp;"*Zone People Number Of Occupants [](Hourly)",'Eplus results'!$1:$1048576,ROW(),FALSE)</f>
        <v>0</v>
      </c>
      <c r="AC8353" s="580">
        <f>HLOOKUP("*"&amp;'Output annual'!$AC$2&amp;'Output annual'!$AD$2&amp;"*FangerPMV(Hourly)",'Eplus results'!$1:$1048576,ROW(),FALSE)</f>
        <v>0</v>
      </c>
      <c r="AD8353" s="580">
        <f t="shared" si="686"/>
        <v>5</v>
      </c>
      <c r="AE8353" s="580">
        <f t="shared" si="687"/>
        <v>2.5</v>
      </c>
      <c r="AF8353" s="580">
        <f t="shared" si="688"/>
        <v>2.5</v>
      </c>
      <c r="AG8353" s="580">
        <f t="shared" si="689"/>
        <v>0</v>
      </c>
      <c r="AH8353" s="580">
        <f t="shared" si="690"/>
        <v>0</v>
      </c>
    </row>
    <row r="8354" spans="28:34">
      <c r="AB8354" s="580">
        <f>HLOOKUP("*"&amp;'Output annual'!$AC$2&amp;'Output annual'!$AD$2&amp;"*Zone People Number Of Occupants [](Hourly)",'Eplus results'!$1:$1048576,ROW(),FALSE)</f>
        <v>0</v>
      </c>
      <c r="AC8354" s="580">
        <f>HLOOKUP("*"&amp;'Output annual'!$AC$2&amp;'Output annual'!$AD$2&amp;"*FangerPMV(Hourly)",'Eplus results'!$1:$1048576,ROW(),FALSE)</f>
        <v>0</v>
      </c>
      <c r="AD8354" s="580">
        <f t="shared" si="686"/>
        <v>5</v>
      </c>
      <c r="AE8354" s="580">
        <f t="shared" si="687"/>
        <v>2.5</v>
      </c>
      <c r="AF8354" s="580">
        <f t="shared" si="688"/>
        <v>2.5</v>
      </c>
      <c r="AG8354" s="580">
        <f t="shared" si="689"/>
        <v>0</v>
      </c>
      <c r="AH8354" s="580">
        <f t="shared" si="690"/>
        <v>0</v>
      </c>
    </row>
    <row r="8355" spans="28:34">
      <c r="AB8355" s="580">
        <f>HLOOKUP("*"&amp;'Output annual'!$AC$2&amp;'Output annual'!$AD$2&amp;"*Zone People Number Of Occupants [](Hourly)",'Eplus results'!$1:$1048576,ROW(),FALSE)</f>
        <v>0</v>
      </c>
      <c r="AC8355" s="580">
        <f>HLOOKUP("*"&amp;'Output annual'!$AC$2&amp;'Output annual'!$AD$2&amp;"*FangerPMV(Hourly)",'Eplus results'!$1:$1048576,ROW(),FALSE)</f>
        <v>0</v>
      </c>
      <c r="AD8355" s="580">
        <f t="shared" si="686"/>
        <v>5</v>
      </c>
      <c r="AE8355" s="580">
        <f t="shared" si="687"/>
        <v>2.5</v>
      </c>
      <c r="AF8355" s="580">
        <f t="shared" si="688"/>
        <v>2.5</v>
      </c>
      <c r="AG8355" s="580">
        <f t="shared" si="689"/>
        <v>0</v>
      </c>
      <c r="AH8355" s="580">
        <f t="shared" si="690"/>
        <v>0</v>
      </c>
    </row>
    <row r="8356" spans="28:34">
      <c r="AB8356" s="580">
        <f>HLOOKUP("*"&amp;'Output annual'!$AC$2&amp;'Output annual'!$AD$2&amp;"*Zone People Number Of Occupants [](Hourly)",'Eplus results'!$1:$1048576,ROW(),FALSE)</f>
        <v>0</v>
      </c>
      <c r="AC8356" s="580">
        <f>HLOOKUP("*"&amp;'Output annual'!$AC$2&amp;'Output annual'!$AD$2&amp;"*FangerPMV(Hourly)",'Eplus results'!$1:$1048576,ROW(),FALSE)</f>
        <v>0</v>
      </c>
      <c r="AD8356" s="580">
        <f t="shared" si="686"/>
        <v>5</v>
      </c>
      <c r="AE8356" s="580">
        <f t="shared" si="687"/>
        <v>2.5</v>
      </c>
      <c r="AF8356" s="580">
        <f t="shared" si="688"/>
        <v>2.5</v>
      </c>
      <c r="AG8356" s="580">
        <f t="shared" si="689"/>
        <v>0</v>
      </c>
      <c r="AH8356" s="580">
        <f t="shared" si="690"/>
        <v>0</v>
      </c>
    </row>
    <row r="8357" spans="28:34">
      <c r="AB8357" s="580">
        <f>HLOOKUP("*"&amp;'Output annual'!$AC$2&amp;'Output annual'!$AD$2&amp;"*Zone People Number Of Occupants [](Hourly)",'Eplus results'!$1:$1048576,ROW(),FALSE)</f>
        <v>0</v>
      </c>
      <c r="AC8357" s="580">
        <f>HLOOKUP("*"&amp;'Output annual'!$AC$2&amp;'Output annual'!$AD$2&amp;"*FangerPMV(Hourly)",'Eplus results'!$1:$1048576,ROW(),FALSE)</f>
        <v>0</v>
      </c>
      <c r="AD8357" s="580">
        <f t="shared" si="686"/>
        <v>5</v>
      </c>
      <c r="AE8357" s="580">
        <f t="shared" si="687"/>
        <v>2.5</v>
      </c>
      <c r="AF8357" s="580">
        <f t="shared" si="688"/>
        <v>2.5</v>
      </c>
      <c r="AG8357" s="580">
        <f t="shared" si="689"/>
        <v>0</v>
      </c>
      <c r="AH8357" s="580">
        <f t="shared" si="690"/>
        <v>0</v>
      </c>
    </row>
    <row r="8358" spans="28:34">
      <c r="AB8358" s="580">
        <f>HLOOKUP("*"&amp;'Output annual'!$AC$2&amp;'Output annual'!$AD$2&amp;"*Zone People Number Of Occupants [](Hourly)",'Eplus results'!$1:$1048576,ROW(),FALSE)</f>
        <v>0</v>
      </c>
      <c r="AC8358" s="580">
        <f>HLOOKUP("*"&amp;'Output annual'!$AC$2&amp;'Output annual'!$AD$2&amp;"*FangerPMV(Hourly)",'Eplus results'!$1:$1048576,ROW(),FALSE)</f>
        <v>0</v>
      </c>
      <c r="AD8358" s="580">
        <f t="shared" si="686"/>
        <v>5</v>
      </c>
      <c r="AE8358" s="580">
        <f t="shared" si="687"/>
        <v>2.5</v>
      </c>
      <c r="AF8358" s="580">
        <f t="shared" si="688"/>
        <v>2.5</v>
      </c>
      <c r="AG8358" s="580">
        <f t="shared" si="689"/>
        <v>0</v>
      </c>
      <c r="AH8358" s="580">
        <f t="shared" si="690"/>
        <v>0</v>
      </c>
    </row>
    <row r="8359" spans="28:34">
      <c r="AB8359" s="580">
        <f>HLOOKUP("*"&amp;'Output annual'!$AC$2&amp;'Output annual'!$AD$2&amp;"*Zone People Number Of Occupants [](Hourly)",'Eplus results'!$1:$1048576,ROW(),FALSE)</f>
        <v>0</v>
      </c>
      <c r="AC8359" s="580">
        <f>HLOOKUP("*"&amp;'Output annual'!$AC$2&amp;'Output annual'!$AD$2&amp;"*FangerPMV(Hourly)",'Eplus results'!$1:$1048576,ROW(),FALSE)</f>
        <v>0</v>
      </c>
      <c r="AD8359" s="580">
        <f t="shared" si="686"/>
        <v>5</v>
      </c>
      <c r="AE8359" s="580">
        <f t="shared" si="687"/>
        <v>2.5</v>
      </c>
      <c r="AF8359" s="580">
        <f t="shared" si="688"/>
        <v>2.5</v>
      </c>
      <c r="AG8359" s="580">
        <f t="shared" si="689"/>
        <v>0</v>
      </c>
      <c r="AH8359" s="580">
        <f t="shared" si="690"/>
        <v>0</v>
      </c>
    </row>
    <row r="8360" spans="28:34">
      <c r="AB8360" s="580">
        <f>HLOOKUP("*"&amp;'Output annual'!$AC$2&amp;'Output annual'!$AD$2&amp;"*Zone People Number Of Occupants [](Hourly)",'Eplus results'!$1:$1048576,ROW(),FALSE)</f>
        <v>0</v>
      </c>
      <c r="AC8360" s="580">
        <f>HLOOKUP("*"&amp;'Output annual'!$AC$2&amp;'Output annual'!$AD$2&amp;"*FangerPMV(Hourly)",'Eplus results'!$1:$1048576,ROW(),FALSE)</f>
        <v>0</v>
      </c>
      <c r="AD8360" s="580">
        <f t="shared" si="686"/>
        <v>5</v>
      </c>
      <c r="AE8360" s="580">
        <f t="shared" si="687"/>
        <v>2.5</v>
      </c>
      <c r="AF8360" s="580">
        <f t="shared" si="688"/>
        <v>2.5</v>
      </c>
      <c r="AG8360" s="580">
        <f t="shared" si="689"/>
        <v>0</v>
      </c>
      <c r="AH8360" s="580">
        <f t="shared" si="690"/>
        <v>0</v>
      </c>
    </row>
    <row r="8361" spans="28:34">
      <c r="AB8361" s="580">
        <f>HLOOKUP("*"&amp;'Output annual'!$AC$2&amp;'Output annual'!$AD$2&amp;"*Zone People Number Of Occupants [](Hourly)",'Eplus results'!$1:$1048576,ROW(),FALSE)</f>
        <v>0</v>
      </c>
      <c r="AC8361" s="580">
        <f>HLOOKUP("*"&amp;'Output annual'!$AC$2&amp;'Output annual'!$AD$2&amp;"*FangerPMV(Hourly)",'Eplus results'!$1:$1048576,ROW(),FALSE)</f>
        <v>0</v>
      </c>
      <c r="AD8361" s="580">
        <f t="shared" si="686"/>
        <v>5</v>
      </c>
      <c r="AE8361" s="580">
        <f t="shared" si="687"/>
        <v>2.5</v>
      </c>
      <c r="AF8361" s="580">
        <f t="shared" si="688"/>
        <v>2.5</v>
      </c>
      <c r="AG8361" s="580">
        <f t="shared" si="689"/>
        <v>0</v>
      </c>
      <c r="AH8361" s="580">
        <f t="shared" si="690"/>
        <v>0</v>
      </c>
    </row>
    <row r="8362" spans="28:34">
      <c r="AB8362" s="580">
        <f>HLOOKUP("*"&amp;'Output annual'!$AC$2&amp;'Output annual'!$AD$2&amp;"*Zone People Number Of Occupants [](Hourly)",'Eplus results'!$1:$1048576,ROW(),FALSE)</f>
        <v>0</v>
      </c>
      <c r="AC8362" s="580">
        <f>HLOOKUP("*"&amp;'Output annual'!$AC$2&amp;'Output annual'!$AD$2&amp;"*FangerPMV(Hourly)",'Eplus results'!$1:$1048576,ROW(),FALSE)</f>
        <v>0</v>
      </c>
      <c r="AD8362" s="580">
        <f t="shared" si="686"/>
        <v>5</v>
      </c>
      <c r="AE8362" s="580">
        <f t="shared" si="687"/>
        <v>2.5</v>
      </c>
      <c r="AF8362" s="580">
        <f t="shared" si="688"/>
        <v>2.5</v>
      </c>
      <c r="AG8362" s="580">
        <f t="shared" si="689"/>
        <v>0</v>
      </c>
      <c r="AH8362" s="580">
        <f t="shared" si="690"/>
        <v>0</v>
      </c>
    </row>
    <row r="8363" spans="28:34">
      <c r="AB8363" s="580">
        <f>HLOOKUP("*"&amp;'Output annual'!$AC$2&amp;'Output annual'!$AD$2&amp;"*Zone People Number Of Occupants [](Hourly)",'Eplus results'!$1:$1048576,ROW(),FALSE)</f>
        <v>0</v>
      </c>
      <c r="AC8363" s="580">
        <f>HLOOKUP("*"&amp;'Output annual'!$AC$2&amp;'Output annual'!$AD$2&amp;"*FangerPMV(Hourly)",'Eplus results'!$1:$1048576,ROW(),FALSE)</f>
        <v>0</v>
      </c>
      <c r="AD8363" s="580">
        <f t="shared" si="686"/>
        <v>5</v>
      </c>
      <c r="AE8363" s="580">
        <f t="shared" si="687"/>
        <v>2.5</v>
      </c>
      <c r="AF8363" s="580">
        <f t="shared" si="688"/>
        <v>2.5</v>
      </c>
      <c r="AG8363" s="580">
        <f t="shared" si="689"/>
        <v>0</v>
      </c>
      <c r="AH8363" s="580">
        <f t="shared" si="690"/>
        <v>0</v>
      </c>
    </row>
    <row r="8364" spans="28:34">
      <c r="AB8364" s="580">
        <f>HLOOKUP("*"&amp;'Output annual'!$AC$2&amp;'Output annual'!$AD$2&amp;"*Zone People Number Of Occupants [](Hourly)",'Eplus results'!$1:$1048576,ROW(),FALSE)</f>
        <v>0</v>
      </c>
      <c r="AC8364" s="580">
        <f>HLOOKUP("*"&amp;'Output annual'!$AC$2&amp;'Output annual'!$AD$2&amp;"*FangerPMV(Hourly)",'Eplus results'!$1:$1048576,ROW(),FALSE)</f>
        <v>0</v>
      </c>
      <c r="AD8364" s="580">
        <f t="shared" si="686"/>
        <v>5</v>
      </c>
      <c r="AE8364" s="580">
        <f t="shared" si="687"/>
        <v>2.5</v>
      </c>
      <c r="AF8364" s="580">
        <f t="shared" si="688"/>
        <v>2.5</v>
      </c>
      <c r="AG8364" s="580">
        <f t="shared" si="689"/>
        <v>0</v>
      </c>
      <c r="AH8364" s="580">
        <f t="shared" si="690"/>
        <v>0</v>
      </c>
    </row>
    <row r="8365" spans="28:34">
      <c r="AB8365" s="580">
        <f>HLOOKUP("*"&amp;'Output annual'!$AC$2&amp;'Output annual'!$AD$2&amp;"*Zone People Number Of Occupants [](Hourly)",'Eplus results'!$1:$1048576,ROW(),FALSE)</f>
        <v>0</v>
      </c>
      <c r="AC8365" s="580">
        <f>HLOOKUP("*"&amp;'Output annual'!$AC$2&amp;'Output annual'!$AD$2&amp;"*FangerPMV(Hourly)",'Eplus results'!$1:$1048576,ROW(),FALSE)</f>
        <v>0</v>
      </c>
      <c r="AD8365" s="580">
        <f t="shared" si="686"/>
        <v>5</v>
      </c>
      <c r="AE8365" s="580">
        <f t="shared" si="687"/>
        <v>2.5</v>
      </c>
      <c r="AF8365" s="580">
        <f t="shared" si="688"/>
        <v>2.5</v>
      </c>
      <c r="AG8365" s="580">
        <f t="shared" si="689"/>
        <v>0</v>
      </c>
      <c r="AH8365" s="580">
        <f t="shared" si="690"/>
        <v>0</v>
      </c>
    </row>
    <row r="8366" spans="28:34">
      <c r="AB8366" s="580">
        <f>HLOOKUP("*"&amp;'Output annual'!$AC$2&amp;'Output annual'!$AD$2&amp;"*Zone People Number Of Occupants [](Hourly)",'Eplus results'!$1:$1048576,ROW(),FALSE)</f>
        <v>0</v>
      </c>
      <c r="AC8366" s="580">
        <f>HLOOKUP("*"&amp;'Output annual'!$AC$2&amp;'Output annual'!$AD$2&amp;"*FangerPMV(Hourly)",'Eplus results'!$1:$1048576,ROW(),FALSE)</f>
        <v>0</v>
      </c>
      <c r="AD8366" s="580">
        <f t="shared" si="686"/>
        <v>5</v>
      </c>
      <c r="AE8366" s="580">
        <f t="shared" si="687"/>
        <v>2.5</v>
      </c>
      <c r="AF8366" s="580">
        <f t="shared" si="688"/>
        <v>2.5</v>
      </c>
      <c r="AG8366" s="580">
        <f t="shared" si="689"/>
        <v>0</v>
      </c>
      <c r="AH8366" s="580">
        <f t="shared" si="690"/>
        <v>0</v>
      </c>
    </row>
    <row r="8367" spans="28:34">
      <c r="AB8367" s="580">
        <f>HLOOKUP("*"&amp;'Output annual'!$AC$2&amp;'Output annual'!$AD$2&amp;"*Zone People Number Of Occupants [](Hourly)",'Eplus results'!$1:$1048576,ROW(),FALSE)</f>
        <v>0</v>
      </c>
      <c r="AC8367" s="580">
        <f>HLOOKUP("*"&amp;'Output annual'!$AC$2&amp;'Output annual'!$AD$2&amp;"*FangerPMV(Hourly)",'Eplus results'!$1:$1048576,ROW(),FALSE)</f>
        <v>0</v>
      </c>
      <c r="AD8367" s="580">
        <f t="shared" si="686"/>
        <v>5</v>
      </c>
      <c r="AE8367" s="580">
        <f t="shared" si="687"/>
        <v>2.5</v>
      </c>
      <c r="AF8367" s="580">
        <f t="shared" si="688"/>
        <v>2.5</v>
      </c>
      <c r="AG8367" s="580">
        <f t="shared" si="689"/>
        <v>0</v>
      </c>
      <c r="AH8367" s="580">
        <f t="shared" si="690"/>
        <v>0</v>
      </c>
    </row>
    <row r="8368" spans="28:34">
      <c r="AB8368" s="580">
        <f>HLOOKUP("*"&amp;'Output annual'!$AC$2&amp;'Output annual'!$AD$2&amp;"*Zone People Number Of Occupants [](Hourly)",'Eplus results'!$1:$1048576,ROW(),FALSE)</f>
        <v>0</v>
      </c>
      <c r="AC8368" s="580">
        <f>HLOOKUP("*"&amp;'Output annual'!$AC$2&amp;'Output annual'!$AD$2&amp;"*FangerPMV(Hourly)",'Eplus results'!$1:$1048576,ROW(),FALSE)</f>
        <v>0</v>
      </c>
      <c r="AD8368" s="580">
        <f t="shared" si="686"/>
        <v>5</v>
      </c>
      <c r="AE8368" s="580">
        <f t="shared" si="687"/>
        <v>2.5</v>
      </c>
      <c r="AF8368" s="580">
        <f t="shared" si="688"/>
        <v>2.5</v>
      </c>
      <c r="AG8368" s="580">
        <f t="shared" si="689"/>
        <v>0</v>
      </c>
      <c r="AH8368" s="580">
        <f t="shared" si="690"/>
        <v>0</v>
      </c>
    </row>
    <row r="8369" spans="28:34">
      <c r="AB8369" s="580">
        <f>HLOOKUP("*"&amp;'Output annual'!$AC$2&amp;'Output annual'!$AD$2&amp;"*Zone People Number Of Occupants [](Hourly)",'Eplus results'!$1:$1048576,ROW(),FALSE)</f>
        <v>0</v>
      </c>
      <c r="AC8369" s="580">
        <f>HLOOKUP("*"&amp;'Output annual'!$AC$2&amp;'Output annual'!$AD$2&amp;"*FangerPMV(Hourly)",'Eplus results'!$1:$1048576,ROW(),FALSE)</f>
        <v>0</v>
      </c>
      <c r="AD8369" s="580">
        <f t="shared" si="686"/>
        <v>5</v>
      </c>
      <c r="AE8369" s="580">
        <f t="shared" si="687"/>
        <v>2.5</v>
      </c>
      <c r="AF8369" s="580">
        <f t="shared" si="688"/>
        <v>2.5</v>
      </c>
      <c r="AG8369" s="580">
        <f t="shared" si="689"/>
        <v>0</v>
      </c>
      <c r="AH8369" s="580">
        <f t="shared" si="690"/>
        <v>0</v>
      </c>
    </row>
    <row r="8370" spans="28:34">
      <c r="AB8370" s="580">
        <f>HLOOKUP("*"&amp;'Output annual'!$AC$2&amp;'Output annual'!$AD$2&amp;"*Zone People Number Of Occupants [](Hourly)",'Eplus results'!$1:$1048576,ROW(),FALSE)</f>
        <v>0</v>
      </c>
      <c r="AC8370" s="580">
        <f>HLOOKUP("*"&amp;'Output annual'!$AC$2&amp;'Output annual'!$AD$2&amp;"*FangerPMV(Hourly)",'Eplus results'!$1:$1048576,ROW(),FALSE)</f>
        <v>0</v>
      </c>
      <c r="AD8370" s="580">
        <f t="shared" si="686"/>
        <v>5</v>
      </c>
      <c r="AE8370" s="580">
        <f t="shared" si="687"/>
        <v>2.5</v>
      </c>
      <c r="AF8370" s="580">
        <f t="shared" si="688"/>
        <v>2.5</v>
      </c>
      <c r="AG8370" s="580">
        <f t="shared" si="689"/>
        <v>0</v>
      </c>
      <c r="AH8370" s="580">
        <f t="shared" si="690"/>
        <v>0</v>
      </c>
    </row>
    <row r="8371" spans="28:34">
      <c r="AB8371" s="580">
        <f>HLOOKUP("*"&amp;'Output annual'!$AC$2&amp;'Output annual'!$AD$2&amp;"*Zone People Number Of Occupants [](Hourly)",'Eplus results'!$1:$1048576,ROW(),FALSE)</f>
        <v>0</v>
      </c>
      <c r="AC8371" s="580">
        <f>HLOOKUP("*"&amp;'Output annual'!$AC$2&amp;'Output annual'!$AD$2&amp;"*FangerPMV(Hourly)",'Eplus results'!$1:$1048576,ROW(),FALSE)</f>
        <v>0</v>
      </c>
      <c r="AD8371" s="580">
        <f t="shared" si="686"/>
        <v>5</v>
      </c>
      <c r="AE8371" s="580">
        <f t="shared" si="687"/>
        <v>2.5</v>
      </c>
      <c r="AF8371" s="580">
        <f t="shared" si="688"/>
        <v>2.5</v>
      </c>
      <c r="AG8371" s="580">
        <f t="shared" si="689"/>
        <v>0</v>
      </c>
      <c r="AH8371" s="580">
        <f t="shared" si="690"/>
        <v>0</v>
      </c>
    </row>
    <row r="8372" spans="28:34">
      <c r="AB8372" s="580">
        <f>HLOOKUP("*"&amp;'Output annual'!$AC$2&amp;'Output annual'!$AD$2&amp;"*Zone People Number Of Occupants [](Hourly)",'Eplus results'!$1:$1048576,ROW(),FALSE)</f>
        <v>0</v>
      </c>
      <c r="AC8372" s="580">
        <f>HLOOKUP("*"&amp;'Output annual'!$AC$2&amp;'Output annual'!$AD$2&amp;"*FangerPMV(Hourly)",'Eplus results'!$1:$1048576,ROW(),FALSE)</f>
        <v>0</v>
      </c>
      <c r="AD8372" s="580">
        <f t="shared" si="686"/>
        <v>5</v>
      </c>
      <c r="AE8372" s="580">
        <f t="shared" si="687"/>
        <v>2.5</v>
      </c>
      <c r="AF8372" s="580">
        <f t="shared" si="688"/>
        <v>2.5</v>
      </c>
      <c r="AG8372" s="580">
        <f t="shared" si="689"/>
        <v>0</v>
      </c>
      <c r="AH8372" s="580">
        <f t="shared" si="690"/>
        <v>0</v>
      </c>
    </row>
    <row r="8373" spans="28:34">
      <c r="AB8373" s="580">
        <f>HLOOKUP("*"&amp;'Output annual'!$AC$2&amp;'Output annual'!$AD$2&amp;"*Zone People Number Of Occupants [](Hourly)",'Eplus results'!$1:$1048576,ROW(),FALSE)</f>
        <v>0</v>
      </c>
      <c r="AC8373" s="580">
        <f>HLOOKUP("*"&amp;'Output annual'!$AC$2&amp;'Output annual'!$AD$2&amp;"*FangerPMV(Hourly)",'Eplus results'!$1:$1048576,ROW(),FALSE)</f>
        <v>0</v>
      </c>
      <c r="AD8373" s="580">
        <f t="shared" si="686"/>
        <v>5</v>
      </c>
      <c r="AE8373" s="580">
        <f t="shared" si="687"/>
        <v>2.5</v>
      </c>
      <c r="AF8373" s="580">
        <f t="shared" si="688"/>
        <v>2.5</v>
      </c>
      <c r="AG8373" s="580">
        <f t="shared" si="689"/>
        <v>0</v>
      </c>
      <c r="AH8373" s="580">
        <f t="shared" si="690"/>
        <v>0</v>
      </c>
    </row>
    <row r="8374" spans="28:34">
      <c r="AB8374" s="580">
        <f>HLOOKUP("*"&amp;'Output annual'!$AC$2&amp;'Output annual'!$AD$2&amp;"*Zone People Number Of Occupants [](Hourly)",'Eplus results'!$1:$1048576,ROW(),FALSE)</f>
        <v>0</v>
      </c>
      <c r="AC8374" s="580">
        <f>HLOOKUP("*"&amp;'Output annual'!$AC$2&amp;'Output annual'!$AD$2&amp;"*FangerPMV(Hourly)",'Eplus results'!$1:$1048576,ROW(),FALSE)</f>
        <v>0</v>
      </c>
      <c r="AD8374" s="580">
        <f t="shared" si="686"/>
        <v>5</v>
      </c>
      <c r="AE8374" s="580">
        <f t="shared" si="687"/>
        <v>2.5</v>
      </c>
      <c r="AF8374" s="580">
        <f t="shared" si="688"/>
        <v>2.5</v>
      </c>
      <c r="AG8374" s="580">
        <f t="shared" si="689"/>
        <v>0</v>
      </c>
      <c r="AH8374" s="580">
        <f t="shared" si="690"/>
        <v>0</v>
      </c>
    </row>
    <row r="8375" spans="28:34">
      <c r="AB8375" s="580">
        <f>HLOOKUP("*"&amp;'Output annual'!$AC$2&amp;'Output annual'!$AD$2&amp;"*Zone People Number Of Occupants [](Hourly)",'Eplus results'!$1:$1048576,ROW(),FALSE)</f>
        <v>0</v>
      </c>
      <c r="AC8375" s="580">
        <f>HLOOKUP("*"&amp;'Output annual'!$AC$2&amp;'Output annual'!$AD$2&amp;"*FangerPMV(Hourly)",'Eplus results'!$1:$1048576,ROW(),FALSE)</f>
        <v>0</v>
      </c>
      <c r="AD8375" s="580">
        <f t="shared" si="686"/>
        <v>5</v>
      </c>
      <c r="AE8375" s="580">
        <f t="shared" si="687"/>
        <v>2.5</v>
      </c>
      <c r="AF8375" s="580">
        <f t="shared" si="688"/>
        <v>2.5</v>
      </c>
      <c r="AG8375" s="580">
        <f t="shared" si="689"/>
        <v>0</v>
      </c>
      <c r="AH8375" s="580">
        <f t="shared" si="690"/>
        <v>0</v>
      </c>
    </row>
    <row r="8376" spans="28:34">
      <c r="AB8376" s="580">
        <f>HLOOKUP("*"&amp;'Output annual'!$AC$2&amp;'Output annual'!$AD$2&amp;"*Zone People Number Of Occupants [](Hourly)",'Eplus results'!$1:$1048576,ROW(),FALSE)</f>
        <v>0</v>
      </c>
      <c r="AC8376" s="580">
        <f>HLOOKUP("*"&amp;'Output annual'!$AC$2&amp;'Output annual'!$AD$2&amp;"*FangerPMV(Hourly)",'Eplus results'!$1:$1048576,ROW(),FALSE)</f>
        <v>0</v>
      </c>
      <c r="AD8376" s="580">
        <f t="shared" si="686"/>
        <v>5</v>
      </c>
      <c r="AE8376" s="580">
        <f t="shared" si="687"/>
        <v>2.5</v>
      </c>
      <c r="AF8376" s="580">
        <f t="shared" si="688"/>
        <v>2.5</v>
      </c>
      <c r="AG8376" s="580">
        <f t="shared" si="689"/>
        <v>0</v>
      </c>
      <c r="AH8376" s="580">
        <f t="shared" si="690"/>
        <v>0</v>
      </c>
    </row>
    <row r="8377" spans="28:34">
      <c r="AB8377" s="580">
        <f>HLOOKUP("*"&amp;'Output annual'!$AC$2&amp;'Output annual'!$AD$2&amp;"*Zone People Number Of Occupants [](Hourly)",'Eplus results'!$1:$1048576,ROW(),FALSE)</f>
        <v>0</v>
      </c>
      <c r="AC8377" s="580">
        <f>HLOOKUP("*"&amp;'Output annual'!$AC$2&amp;'Output annual'!$AD$2&amp;"*FangerPMV(Hourly)",'Eplus results'!$1:$1048576,ROW(),FALSE)</f>
        <v>0</v>
      </c>
      <c r="AD8377" s="580">
        <f t="shared" si="686"/>
        <v>5</v>
      </c>
      <c r="AE8377" s="580">
        <f t="shared" si="687"/>
        <v>2.5</v>
      </c>
      <c r="AF8377" s="580">
        <f t="shared" si="688"/>
        <v>2.5</v>
      </c>
      <c r="AG8377" s="580">
        <f t="shared" si="689"/>
        <v>0</v>
      </c>
      <c r="AH8377" s="580">
        <f t="shared" si="690"/>
        <v>0</v>
      </c>
    </row>
    <row r="8378" spans="28:34">
      <c r="AB8378" s="580">
        <f>HLOOKUP("*"&amp;'Output annual'!$AC$2&amp;'Output annual'!$AD$2&amp;"*Zone People Number Of Occupants [](Hourly)",'Eplus results'!$1:$1048576,ROW(),FALSE)</f>
        <v>0</v>
      </c>
      <c r="AC8378" s="580">
        <f>HLOOKUP("*"&amp;'Output annual'!$AC$2&amp;'Output annual'!$AD$2&amp;"*FangerPMV(Hourly)",'Eplus results'!$1:$1048576,ROW(),FALSE)</f>
        <v>0</v>
      </c>
      <c r="AD8378" s="580">
        <f t="shared" si="686"/>
        <v>5</v>
      </c>
      <c r="AE8378" s="580">
        <f t="shared" si="687"/>
        <v>2.5</v>
      </c>
      <c r="AF8378" s="580">
        <f t="shared" si="688"/>
        <v>2.5</v>
      </c>
      <c r="AG8378" s="580">
        <f t="shared" si="689"/>
        <v>0</v>
      </c>
      <c r="AH8378" s="580">
        <f t="shared" si="690"/>
        <v>0</v>
      </c>
    </row>
    <row r="8379" spans="28:34">
      <c r="AB8379" s="580">
        <f>HLOOKUP("*"&amp;'Output annual'!$AC$2&amp;'Output annual'!$AD$2&amp;"*Zone People Number Of Occupants [](Hourly)",'Eplus results'!$1:$1048576,ROW(),FALSE)</f>
        <v>0</v>
      </c>
      <c r="AC8379" s="580">
        <f>HLOOKUP("*"&amp;'Output annual'!$AC$2&amp;'Output annual'!$AD$2&amp;"*FangerPMV(Hourly)",'Eplus results'!$1:$1048576,ROW(),FALSE)</f>
        <v>0</v>
      </c>
      <c r="AD8379" s="580">
        <f t="shared" si="686"/>
        <v>5</v>
      </c>
      <c r="AE8379" s="580">
        <f t="shared" si="687"/>
        <v>2.5</v>
      </c>
      <c r="AF8379" s="580">
        <f t="shared" si="688"/>
        <v>2.5</v>
      </c>
      <c r="AG8379" s="580">
        <f t="shared" si="689"/>
        <v>0</v>
      </c>
      <c r="AH8379" s="580">
        <f t="shared" si="690"/>
        <v>0</v>
      </c>
    </row>
    <row r="8380" spans="28:34">
      <c r="AB8380" s="580">
        <f>HLOOKUP("*"&amp;'Output annual'!$AC$2&amp;'Output annual'!$AD$2&amp;"*Zone People Number Of Occupants [](Hourly)",'Eplus results'!$1:$1048576,ROW(),FALSE)</f>
        <v>0</v>
      </c>
      <c r="AC8380" s="580">
        <f>HLOOKUP("*"&amp;'Output annual'!$AC$2&amp;'Output annual'!$AD$2&amp;"*FangerPMV(Hourly)",'Eplus results'!$1:$1048576,ROW(),FALSE)</f>
        <v>0</v>
      </c>
      <c r="AD8380" s="580">
        <f t="shared" si="686"/>
        <v>5</v>
      </c>
      <c r="AE8380" s="580">
        <f t="shared" si="687"/>
        <v>2.5</v>
      </c>
      <c r="AF8380" s="580">
        <f t="shared" si="688"/>
        <v>2.5</v>
      </c>
      <c r="AG8380" s="580">
        <f t="shared" si="689"/>
        <v>0</v>
      </c>
      <c r="AH8380" s="580">
        <f t="shared" si="690"/>
        <v>0</v>
      </c>
    </row>
    <row r="8381" spans="28:34">
      <c r="AB8381" s="580">
        <f>HLOOKUP("*"&amp;'Output annual'!$AC$2&amp;'Output annual'!$AD$2&amp;"*Zone People Number Of Occupants [](Hourly)",'Eplus results'!$1:$1048576,ROW(),FALSE)</f>
        <v>0</v>
      </c>
      <c r="AC8381" s="580">
        <f>HLOOKUP("*"&amp;'Output annual'!$AC$2&amp;'Output annual'!$AD$2&amp;"*FangerPMV(Hourly)",'Eplus results'!$1:$1048576,ROW(),FALSE)</f>
        <v>0</v>
      </c>
      <c r="AD8381" s="580">
        <f t="shared" si="686"/>
        <v>5</v>
      </c>
      <c r="AE8381" s="580">
        <f t="shared" si="687"/>
        <v>2.5</v>
      </c>
      <c r="AF8381" s="580">
        <f t="shared" si="688"/>
        <v>2.5</v>
      </c>
      <c r="AG8381" s="580">
        <f t="shared" si="689"/>
        <v>0</v>
      </c>
      <c r="AH8381" s="580">
        <f t="shared" si="690"/>
        <v>0</v>
      </c>
    </row>
    <row r="8382" spans="28:34">
      <c r="AB8382" s="580">
        <f>HLOOKUP("*"&amp;'Output annual'!$AC$2&amp;'Output annual'!$AD$2&amp;"*Zone People Number Of Occupants [](Hourly)",'Eplus results'!$1:$1048576,ROW(),FALSE)</f>
        <v>0</v>
      </c>
      <c r="AC8382" s="580">
        <f>HLOOKUP("*"&amp;'Output annual'!$AC$2&amp;'Output annual'!$AD$2&amp;"*FangerPMV(Hourly)",'Eplus results'!$1:$1048576,ROW(),FALSE)</f>
        <v>0</v>
      </c>
      <c r="AD8382" s="580">
        <f t="shared" si="686"/>
        <v>5</v>
      </c>
      <c r="AE8382" s="580">
        <f t="shared" si="687"/>
        <v>2.5</v>
      </c>
      <c r="AF8382" s="580">
        <f t="shared" si="688"/>
        <v>2.5</v>
      </c>
      <c r="AG8382" s="580">
        <f t="shared" si="689"/>
        <v>0</v>
      </c>
      <c r="AH8382" s="580">
        <f t="shared" si="690"/>
        <v>0</v>
      </c>
    </row>
    <row r="8383" spans="28:34">
      <c r="AB8383" s="580">
        <f>HLOOKUP("*"&amp;'Output annual'!$AC$2&amp;'Output annual'!$AD$2&amp;"*Zone People Number Of Occupants [](Hourly)",'Eplus results'!$1:$1048576,ROW(),FALSE)</f>
        <v>0</v>
      </c>
      <c r="AC8383" s="580">
        <f>HLOOKUP("*"&amp;'Output annual'!$AC$2&amp;'Output annual'!$AD$2&amp;"*FangerPMV(Hourly)",'Eplus results'!$1:$1048576,ROW(),FALSE)</f>
        <v>0</v>
      </c>
      <c r="AD8383" s="580">
        <f t="shared" si="686"/>
        <v>5</v>
      </c>
      <c r="AE8383" s="580">
        <f t="shared" si="687"/>
        <v>2.5</v>
      </c>
      <c r="AF8383" s="580">
        <f t="shared" si="688"/>
        <v>2.5</v>
      </c>
      <c r="AG8383" s="580">
        <f t="shared" si="689"/>
        <v>0</v>
      </c>
      <c r="AH8383" s="580">
        <f t="shared" si="690"/>
        <v>0</v>
      </c>
    </row>
    <row r="8384" spans="28:34">
      <c r="AB8384" s="580">
        <f>HLOOKUP("*"&amp;'Output annual'!$AC$2&amp;'Output annual'!$AD$2&amp;"*Zone People Number Of Occupants [](Hourly)",'Eplus results'!$1:$1048576,ROW(),FALSE)</f>
        <v>0</v>
      </c>
      <c r="AC8384" s="580">
        <f>HLOOKUP("*"&amp;'Output annual'!$AC$2&amp;'Output annual'!$AD$2&amp;"*FangerPMV(Hourly)",'Eplus results'!$1:$1048576,ROW(),FALSE)</f>
        <v>0</v>
      </c>
      <c r="AD8384" s="580">
        <f t="shared" si="686"/>
        <v>5</v>
      </c>
      <c r="AE8384" s="580">
        <f t="shared" si="687"/>
        <v>2.5</v>
      </c>
      <c r="AF8384" s="580">
        <f t="shared" si="688"/>
        <v>2.5</v>
      </c>
      <c r="AG8384" s="580">
        <f t="shared" si="689"/>
        <v>0</v>
      </c>
      <c r="AH8384" s="580">
        <f t="shared" si="690"/>
        <v>0</v>
      </c>
    </row>
    <row r="8385" spans="28:34">
      <c r="AB8385" s="580">
        <f>HLOOKUP("*"&amp;'Output annual'!$AC$2&amp;'Output annual'!$AD$2&amp;"*Zone People Number Of Occupants [](Hourly)",'Eplus results'!$1:$1048576,ROW(),FALSE)</f>
        <v>0</v>
      </c>
      <c r="AC8385" s="580">
        <f>HLOOKUP("*"&amp;'Output annual'!$AC$2&amp;'Output annual'!$AD$2&amp;"*FangerPMV(Hourly)",'Eplus results'!$1:$1048576,ROW(),FALSE)</f>
        <v>0</v>
      </c>
      <c r="AD8385" s="580">
        <f t="shared" si="686"/>
        <v>5</v>
      </c>
      <c r="AE8385" s="580">
        <f t="shared" si="687"/>
        <v>2.5</v>
      </c>
      <c r="AF8385" s="580">
        <f t="shared" si="688"/>
        <v>2.5</v>
      </c>
      <c r="AG8385" s="580">
        <f t="shared" si="689"/>
        <v>0</v>
      </c>
      <c r="AH8385" s="580">
        <f t="shared" si="690"/>
        <v>0</v>
      </c>
    </row>
    <row r="8386" spans="28:34">
      <c r="AB8386" s="580">
        <f>HLOOKUP("*"&amp;'Output annual'!$AC$2&amp;'Output annual'!$AD$2&amp;"*Zone People Number Of Occupants [](Hourly)",'Eplus results'!$1:$1048576,ROW(),FALSE)</f>
        <v>0</v>
      </c>
      <c r="AC8386" s="580">
        <f>HLOOKUP("*"&amp;'Output annual'!$AC$2&amp;'Output annual'!$AD$2&amp;"*FangerPMV(Hourly)",'Eplus results'!$1:$1048576,ROW(),FALSE)</f>
        <v>0</v>
      </c>
      <c r="AD8386" s="580">
        <f t="shared" si="686"/>
        <v>5</v>
      </c>
      <c r="AE8386" s="580">
        <f t="shared" si="687"/>
        <v>2.5</v>
      </c>
      <c r="AF8386" s="580">
        <f t="shared" si="688"/>
        <v>2.5</v>
      </c>
      <c r="AG8386" s="580">
        <f t="shared" si="689"/>
        <v>0</v>
      </c>
      <c r="AH8386" s="580">
        <f t="shared" si="690"/>
        <v>0</v>
      </c>
    </row>
    <row r="8387" spans="28:34">
      <c r="AB8387" s="580">
        <f>HLOOKUP("*"&amp;'Output annual'!$AC$2&amp;'Output annual'!$AD$2&amp;"*Zone People Number Of Occupants [](Hourly)",'Eplus results'!$1:$1048576,ROW(),FALSE)</f>
        <v>0</v>
      </c>
      <c r="AC8387" s="580">
        <f>HLOOKUP("*"&amp;'Output annual'!$AC$2&amp;'Output annual'!$AD$2&amp;"*FangerPMV(Hourly)",'Eplus results'!$1:$1048576,ROW(),FALSE)</f>
        <v>0</v>
      </c>
      <c r="AD8387" s="580">
        <f t="shared" ref="AD8387:AD8450" si="691">100-95*EXP(-0.03353*AC8387^4-0.2179*AC8387^2)</f>
        <v>5</v>
      </c>
      <c r="AE8387" s="580">
        <f t="shared" ref="AE8387:AE8450" si="692">AD8387*(1/(1+EXP(-6.3*$AC8387)))</f>
        <v>2.5</v>
      </c>
      <c r="AF8387" s="580">
        <f t="shared" ref="AF8387:AF8450" si="693">(AD8387-AE8387)</f>
        <v>2.5</v>
      </c>
      <c r="AG8387" s="580">
        <f t="shared" ref="AG8387:AG8450" si="694">AE8387*AB8387</f>
        <v>0</v>
      </c>
      <c r="AH8387" s="580">
        <f t="shared" ref="AH8387:AH8450" si="695">AF8387*AB8387</f>
        <v>0</v>
      </c>
    </row>
    <row r="8388" spans="28:34">
      <c r="AB8388" s="580">
        <f>HLOOKUP("*"&amp;'Output annual'!$AC$2&amp;'Output annual'!$AD$2&amp;"*Zone People Number Of Occupants [](Hourly)",'Eplus results'!$1:$1048576,ROW(),FALSE)</f>
        <v>0</v>
      </c>
      <c r="AC8388" s="580">
        <f>HLOOKUP("*"&amp;'Output annual'!$AC$2&amp;'Output annual'!$AD$2&amp;"*FangerPMV(Hourly)",'Eplus results'!$1:$1048576,ROW(),FALSE)</f>
        <v>0</v>
      </c>
      <c r="AD8388" s="580">
        <f t="shared" si="691"/>
        <v>5</v>
      </c>
      <c r="AE8388" s="580">
        <f t="shared" si="692"/>
        <v>2.5</v>
      </c>
      <c r="AF8388" s="580">
        <f t="shared" si="693"/>
        <v>2.5</v>
      </c>
      <c r="AG8388" s="580">
        <f t="shared" si="694"/>
        <v>0</v>
      </c>
      <c r="AH8388" s="580">
        <f t="shared" si="695"/>
        <v>0</v>
      </c>
    </row>
    <row r="8389" spans="28:34">
      <c r="AB8389" s="580">
        <f>HLOOKUP("*"&amp;'Output annual'!$AC$2&amp;'Output annual'!$AD$2&amp;"*Zone People Number Of Occupants [](Hourly)",'Eplus results'!$1:$1048576,ROW(),FALSE)</f>
        <v>0</v>
      </c>
      <c r="AC8389" s="580">
        <f>HLOOKUP("*"&amp;'Output annual'!$AC$2&amp;'Output annual'!$AD$2&amp;"*FangerPMV(Hourly)",'Eplus results'!$1:$1048576,ROW(),FALSE)</f>
        <v>0</v>
      </c>
      <c r="AD8389" s="580">
        <f t="shared" si="691"/>
        <v>5</v>
      </c>
      <c r="AE8389" s="580">
        <f t="shared" si="692"/>
        <v>2.5</v>
      </c>
      <c r="AF8389" s="580">
        <f t="shared" si="693"/>
        <v>2.5</v>
      </c>
      <c r="AG8389" s="580">
        <f t="shared" si="694"/>
        <v>0</v>
      </c>
      <c r="AH8389" s="580">
        <f t="shared" si="695"/>
        <v>0</v>
      </c>
    </row>
    <row r="8390" spans="28:34">
      <c r="AB8390" s="580">
        <f>HLOOKUP("*"&amp;'Output annual'!$AC$2&amp;'Output annual'!$AD$2&amp;"*Zone People Number Of Occupants [](Hourly)",'Eplus results'!$1:$1048576,ROW(),FALSE)</f>
        <v>0</v>
      </c>
      <c r="AC8390" s="580">
        <f>HLOOKUP("*"&amp;'Output annual'!$AC$2&amp;'Output annual'!$AD$2&amp;"*FangerPMV(Hourly)",'Eplus results'!$1:$1048576,ROW(),FALSE)</f>
        <v>0</v>
      </c>
      <c r="AD8390" s="580">
        <f t="shared" si="691"/>
        <v>5</v>
      </c>
      <c r="AE8390" s="580">
        <f t="shared" si="692"/>
        <v>2.5</v>
      </c>
      <c r="AF8390" s="580">
        <f t="shared" si="693"/>
        <v>2.5</v>
      </c>
      <c r="AG8390" s="580">
        <f t="shared" si="694"/>
        <v>0</v>
      </c>
      <c r="AH8390" s="580">
        <f t="shared" si="695"/>
        <v>0</v>
      </c>
    </row>
    <row r="8391" spans="28:34">
      <c r="AB8391" s="580">
        <f>HLOOKUP("*"&amp;'Output annual'!$AC$2&amp;'Output annual'!$AD$2&amp;"*Zone People Number Of Occupants [](Hourly)",'Eplus results'!$1:$1048576,ROW(),FALSE)</f>
        <v>0</v>
      </c>
      <c r="AC8391" s="580">
        <f>HLOOKUP("*"&amp;'Output annual'!$AC$2&amp;'Output annual'!$AD$2&amp;"*FangerPMV(Hourly)",'Eplus results'!$1:$1048576,ROW(),FALSE)</f>
        <v>0</v>
      </c>
      <c r="AD8391" s="580">
        <f t="shared" si="691"/>
        <v>5</v>
      </c>
      <c r="AE8391" s="580">
        <f t="shared" si="692"/>
        <v>2.5</v>
      </c>
      <c r="AF8391" s="580">
        <f t="shared" si="693"/>
        <v>2.5</v>
      </c>
      <c r="AG8391" s="580">
        <f t="shared" si="694"/>
        <v>0</v>
      </c>
      <c r="AH8391" s="580">
        <f t="shared" si="695"/>
        <v>0</v>
      </c>
    </row>
    <row r="8392" spans="28:34">
      <c r="AB8392" s="580">
        <f>HLOOKUP("*"&amp;'Output annual'!$AC$2&amp;'Output annual'!$AD$2&amp;"*Zone People Number Of Occupants [](Hourly)",'Eplus results'!$1:$1048576,ROW(),FALSE)</f>
        <v>0</v>
      </c>
      <c r="AC8392" s="580">
        <f>HLOOKUP("*"&amp;'Output annual'!$AC$2&amp;'Output annual'!$AD$2&amp;"*FangerPMV(Hourly)",'Eplus results'!$1:$1048576,ROW(),FALSE)</f>
        <v>0</v>
      </c>
      <c r="AD8392" s="580">
        <f t="shared" si="691"/>
        <v>5</v>
      </c>
      <c r="AE8392" s="580">
        <f t="shared" si="692"/>
        <v>2.5</v>
      </c>
      <c r="AF8392" s="580">
        <f t="shared" si="693"/>
        <v>2.5</v>
      </c>
      <c r="AG8392" s="580">
        <f t="shared" si="694"/>
        <v>0</v>
      </c>
      <c r="AH8392" s="580">
        <f t="shared" si="695"/>
        <v>0</v>
      </c>
    </row>
    <row r="8393" spans="28:34">
      <c r="AB8393" s="580">
        <f>HLOOKUP("*"&amp;'Output annual'!$AC$2&amp;'Output annual'!$AD$2&amp;"*Zone People Number Of Occupants [](Hourly)",'Eplus results'!$1:$1048576,ROW(),FALSE)</f>
        <v>0</v>
      </c>
      <c r="AC8393" s="580">
        <f>HLOOKUP("*"&amp;'Output annual'!$AC$2&amp;'Output annual'!$AD$2&amp;"*FangerPMV(Hourly)",'Eplus results'!$1:$1048576,ROW(),FALSE)</f>
        <v>0</v>
      </c>
      <c r="AD8393" s="580">
        <f t="shared" si="691"/>
        <v>5</v>
      </c>
      <c r="AE8393" s="580">
        <f t="shared" si="692"/>
        <v>2.5</v>
      </c>
      <c r="AF8393" s="580">
        <f t="shared" si="693"/>
        <v>2.5</v>
      </c>
      <c r="AG8393" s="580">
        <f t="shared" si="694"/>
        <v>0</v>
      </c>
      <c r="AH8393" s="580">
        <f t="shared" si="695"/>
        <v>0</v>
      </c>
    </row>
    <row r="8394" spans="28:34">
      <c r="AB8394" s="580">
        <f>HLOOKUP("*"&amp;'Output annual'!$AC$2&amp;'Output annual'!$AD$2&amp;"*Zone People Number Of Occupants [](Hourly)",'Eplus results'!$1:$1048576,ROW(),FALSE)</f>
        <v>0</v>
      </c>
      <c r="AC8394" s="580">
        <f>HLOOKUP("*"&amp;'Output annual'!$AC$2&amp;'Output annual'!$AD$2&amp;"*FangerPMV(Hourly)",'Eplus results'!$1:$1048576,ROW(),FALSE)</f>
        <v>0</v>
      </c>
      <c r="AD8394" s="580">
        <f t="shared" si="691"/>
        <v>5</v>
      </c>
      <c r="AE8394" s="580">
        <f t="shared" si="692"/>
        <v>2.5</v>
      </c>
      <c r="AF8394" s="580">
        <f t="shared" si="693"/>
        <v>2.5</v>
      </c>
      <c r="AG8394" s="580">
        <f t="shared" si="694"/>
        <v>0</v>
      </c>
      <c r="AH8394" s="580">
        <f t="shared" si="695"/>
        <v>0</v>
      </c>
    </row>
    <row r="8395" spans="28:34">
      <c r="AB8395" s="580">
        <f>HLOOKUP("*"&amp;'Output annual'!$AC$2&amp;'Output annual'!$AD$2&amp;"*Zone People Number Of Occupants [](Hourly)",'Eplus results'!$1:$1048576,ROW(),FALSE)</f>
        <v>0</v>
      </c>
      <c r="AC8395" s="580">
        <f>HLOOKUP("*"&amp;'Output annual'!$AC$2&amp;'Output annual'!$AD$2&amp;"*FangerPMV(Hourly)",'Eplus results'!$1:$1048576,ROW(),FALSE)</f>
        <v>0</v>
      </c>
      <c r="AD8395" s="580">
        <f t="shared" si="691"/>
        <v>5</v>
      </c>
      <c r="AE8395" s="580">
        <f t="shared" si="692"/>
        <v>2.5</v>
      </c>
      <c r="AF8395" s="580">
        <f t="shared" si="693"/>
        <v>2.5</v>
      </c>
      <c r="AG8395" s="580">
        <f t="shared" si="694"/>
        <v>0</v>
      </c>
      <c r="AH8395" s="580">
        <f t="shared" si="695"/>
        <v>0</v>
      </c>
    </row>
    <row r="8396" spans="28:34">
      <c r="AB8396" s="580">
        <f>HLOOKUP("*"&amp;'Output annual'!$AC$2&amp;'Output annual'!$AD$2&amp;"*Zone People Number Of Occupants [](Hourly)",'Eplus results'!$1:$1048576,ROW(),FALSE)</f>
        <v>0</v>
      </c>
      <c r="AC8396" s="580">
        <f>HLOOKUP("*"&amp;'Output annual'!$AC$2&amp;'Output annual'!$AD$2&amp;"*FangerPMV(Hourly)",'Eplus results'!$1:$1048576,ROW(),FALSE)</f>
        <v>0</v>
      </c>
      <c r="AD8396" s="580">
        <f t="shared" si="691"/>
        <v>5</v>
      </c>
      <c r="AE8396" s="580">
        <f t="shared" si="692"/>
        <v>2.5</v>
      </c>
      <c r="AF8396" s="580">
        <f t="shared" si="693"/>
        <v>2.5</v>
      </c>
      <c r="AG8396" s="580">
        <f t="shared" si="694"/>
        <v>0</v>
      </c>
      <c r="AH8396" s="580">
        <f t="shared" si="695"/>
        <v>0</v>
      </c>
    </row>
    <row r="8397" spans="28:34">
      <c r="AB8397" s="580">
        <f>HLOOKUP("*"&amp;'Output annual'!$AC$2&amp;'Output annual'!$AD$2&amp;"*Zone People Number Of Occupants [](Hourly)",'Eplus results'!$1:$1048576,ROW(),FALSE)</f>
        <v>0</v>
      </c>
      <c r="AC8397" s="580">
        <f>HLOOKUP("*"&amp;'Output annual'!$AC$2&amp;'Output annual'!$AD$2&amp;"*FangerPMV(Hourly)",'Eplus results'!$1:$1048576,ROW(),FALSE)</f>
        <v>0</v>
      </c>
      <c r="AD8397" s="580">
        <f t="shared" si="691"/>
        <v>5</v>
      </c>
      <c r="AE8397" s="580">
        <f t="shared" si="692"/>
        <v>2.5</v>
      </c>
      <c r="AF8397" s="580">
        <f t="shared" si="693"/>
        <v>2.5</v>
      </c>
      <c r="AG8397" s="580">
        <f t="shared" si="694"/>
        <v>0</v>
      </c>
      <c r="AH8397" s="580">
        <f t="shared" si="695"/>
        <v>0</v>
      </c>
    </row>
    <row r="8398" spans="28:34">
      <c r="AB8398" s="580">
        <f>HLOOKUP("*"&amp;'Output annual'!$AC$2&amp;'Output annual'!$AD$2&amp;"*Zone People Number Of Occupants [](Hourly)",'Eplus results'!$1:$1048576,ROW(),FALSE)</f>
        <v>0</v>
      </c>
      <c r="AC8398" s="580">
        <f>HLOOKUP("*"&amp;'Output annual'!$AC$2&amp;'Output annual'!$AD$2&amp;"*FangerPMV(Hourly)",'Eplus results'!$1:$1048576,ROW(),FALSE)</f>
        <v>0</v>
      </c>
      <c r="AD8398" s="580">
        <f t="shared" si="691"/>
        <v>5</v>
      </c>
      <c r="AE8398" s="580">
        <f t="shared" si="692"/>
        <v>2.5</v>
      </c>
      <c r="AF8398" s="580">
        <f t="shared" si="693"/>
        <v>2.5</v>
      </c>
      <c r="AG8398" s="580">
        <f t="shared" si="694"/>
        <v>0</v>
      </c>
      <c r="AH8398" s="580">
        <f t="shared" si="695"/>
        <v>0</v>
      </c>
    </row>
    <row r="8399" spans="28:34">
      <c r="AB8399" s="580">
        <f>HLOOKUP("*"&amp;'Output annual'!$AC$2&amp;'Output annual'!$AD$2&amp;"*Zone People Number Of Occupants [](Hourly)",'Eplus results'!$1:$1048576,ROW(),FALSE)</f>
        <v>0</v>
      </c>
      <c r="AC8399" s="580">
        <f>HLOOKUP("*"&amp;'Output annual'!$AC$2&amp;'Output annual'!$AD$2&amp;"*FangerPMV(Hourly)",'Eplus results'!$1:$1048576,ROW(),FALSE)</f>
        <v>0</v>
      </c>
      <c r="AD8399" s="580">
        <f t="shared" si="691"/>
        <v>5</v>
      </c>
      <c r="AE8399" s="580">
        <f t="shared" si="692"/>
        <v>2.5</v>
      </c>
      <c r="AF8399" s="580">
        <f t="shared" si="693"/>
        <v>2.5</v>
      </c>
      <c r="AG8399" s="580">
        <f t="shared" si="694"/>
        <v>0</v>
      </c>
      <c r="AH8399" s="580">
        <f t="shared" si="695"/>
        <v>0</v>
      </c>
    </row>
    <row r="8400" spans="28:34">
      <c r="AB8400" s="580">
        <f>HLOOKUP("*"&amp;'Output annual'!$AC$2&amp;'Output annual'!$AD$2&amp;"*Zone People Number Of Occupants [](Hourly)",'Eplus results'!$1:$1048576,ROW(),FALSE)</f>
        <v>0</v>
      </c>
      <c r="AC8400" s="580">
        <f>HLOOKUP("*"&amp;'Output annual'!$AC$2&amp;'Output annual'!$AD$2&amp;"*FangerPMV(Hourly)",'Eplus results'!$1:$1048576,ROW(),FALSE)</f>
        <v>0</v>
      </c>
      <c r="AD8400" s="580">
        <f t="shared" si="691"/>
        <v>5</v>
      </c>
      <c r="AE8400" s="580">
        <f t="shared" si="692"/>
        <v>2.5</v>
      </c>
      <c r="AF8400" s="580">
        <f t="shared" si="693"/>
        <v>2.5</v>
      </c>
      <c r="AG8400" s="580">
        <f t="shared" si="694"/>
        <v>0</v>
      </c>
      <c r="AH8400" s="580">
        <f t="shared" si="695"/>
        <v>0</v>
      </c>
    </row>
    <row r="8401" spans="28:34">
      <c r="AB8401" s="580">
        <f>HLOOKUP("*"&amp;'Output annual'!$AC$2&amp;'Output annual'!$AD$2&amp;"*Zone People Number Of Occupants [](Hourly)",'Eplus results'!$1:$1048576,ROW(),FALSE)</f>
        <v>0</v>
      </c>
      <c r="AC8401" s="580">
        <f>HLOOKUP("*"&amp;'Output annual'!$AC$2&amp;'Output annual'!$AD$2&amp;"*FangerPMV(Hourly)",'Eplus results'!$1:$1048576,ROW(),FALSE)</f>
        <v>0</v>
      </c>
      <c r="AD8401" s="580">
        <f t="shared" si="691"/>
        <v>5</v>
      </c>
      <c r="AE8401" s="580">
        <f t="shared" si="692"/>
        <v>2.5</v>
      </c>
      <c r="AF8401" s="580">
        <f t="shared" si="693"/>
        <v>2.5</v>
      </c>
      <c r="AG8401" s="580">
        <f t="shared" si="694"/>
        <v>0</v>
      </c>
      <c r="AH8401" s="580">
        <f t="shared" si="695"/>
        <v>0</v>
      </c>
    </row>
    <row r="8402" spans="28:34">
      <c r="AB8402" s="580">
        <f>HLOOKUP("*"&amp;'Output annual'!$AC$2&amp;'Output annual'!$AD$2&amp;"*Zone People Number Of Occupants [](Hourly)",'Eplus results'!$1:$1048576,ROW(),FALSE)</f>
        <v>0</v>
      </c>
      <c r="AC8402" s="580">
        <f>HLOOKUP("*"&amp;'Output annual'!$AC$2&amp;'Output annual'!$AD$2&amp;"*FangerPMV(Hourly)",'Eplus results'!$1:$1048576,ROW(),FALSE)</f>
        <v>0</v>
      </c>
      <c r="AD8402" s="580">
        <f t="shared" si="691"/>
        <v>5</v>
      </c>
      <c r="AE8402" s="580">
        <f t="shared" si="692"/>
        <v>2.5</v>
      </c>
      <c r="AF8402" s="580">
        <f t="shared" si="693"/>
        <v>2.5</v>
      </c>
      <c r="AG8402" s="580">
        <f t="shared" si="694"/>
        <v>0</v>
      </c>
      <c r="AH8402" s="580">
        <f t="shared" si="695"/>
        <v>0</v>
      </c>
    </row>
    <row r="8403" spans="28:34">
      <c r="AB8403" s="580">
        <f>HLOOKUP("*"&amp;'Output annual'!$AC$2&amp;'Output annual'!$AD$2&amp;"*Zone People Number Of Occupants [](Hourly)",'Eplus results'!$1:$1048576,ROW(),FALSE)</f>
        <v>0</v>
      </c>
      <c r="AC8403" s="580">
        <f>HLOOKUP("*"&amp;'Output annual'!$AC$2&amp;'Output annual'!$AD$2&amp;"*FangerPMV(Hourly)",'Eplus results'!$1:$1048576,ROW(),FALSE)</f>
        <v>0</v>
      </c>
      <c r="AD8403" s="580">
        <f t="shared" si="691"/>
        <v>5</v>
      </c>
      <c r="AE8403" s="580">
        <f t="shared" si="692"/>
        <v>2.5</v>
      </c>
      <c r="AF8403" s="580">
        <f t="shared" si="693"/>
        <v>2.5</v>
      </c>
      <c r="AG8403" s="580">
        <f t="shared" si="694"/>
        <v>0</v>
      </c>
      <c r="AH8403" s="580">
        <f t="shared" si="695"/>
        <v>0</v>
      </c>
    </row>
    <row r="8404" spans="28:34">
      <c r="AB8404" s="580">
        <f>HLOOKUP("*"&amp;'Output annual'!$AC$2&amp;'Output annual'!$AD$2&amp;"*Zone People Number Of Occupants [](Hourly)",'Eplus results'!$1:$1048576,ROW(),FALSE)</f>
        <v>0</v>
      </c>
      <c r="AC8404" s="580">
        <f>HLOOKUP("*"&amp;'Output annual'!$AC$2&amp;'Output annual'!$AD$2&amp;"*FangerPMV(Hourly)",'Eplus results'!$1:$1048576,ROW(),FALSE)</f>
        <v>0</v>
      </c>
      <c r="AD8404" s="580">
        <f t="shared" si="691"/>
        <v>5</v>
      </c>
      <c r="AE8404" s="580">
        <f t="shared" si="692"/>
        <v>2.5</v>
      </c>
      <c r="AF8404" s="580">
        <f t="shared" si="693"/>
        <v>2.5</v>
      </c>
      <c r="AG8404" s="580">
        <f t="shared" si="694"/>
        <v>0</v>
      </c>
      <c r="AH8404" s="580">
        <f t="shared" si="695"/>
        <v>0</v>
      </c>
    </row>
    <row r="8405" spans="28:34">
      <c r="AB8405" s="580">
        <f>HLOOKUP("*"&amp;'Output annual'!$AC$2&amp;'Output annual'!$AD$2&amp;"*Zone People Number Of Occupants [](Hourly)",'Eplus results'!$1:$1048576,ROW(),FALSE)</f>
        <v>0</v>
      </c>
      <c r="AC8405" s="580">
        <f>HLOOKUP("*"&amp;'Output annual'!$AC$2&amp;'Output annual'!$AD$2&amp;"*FangerPMV(Hourly)",'Eplus results'!$1:$1048576,ROW(),FALSE)</f>
        <v>0</v>
      </c>
      <c r="AD8405" s="580">
        <f t="shared" si="691"/>
        <v>5</v>
      </c>
      <c r="AE8405" s="580">
        <f t="shared" si="692"/>
        <v>2.5</v>
      </c>
      <c r="AF8405" s="580">
        <f t="shared" si="693"/>
        <v>2.5</v>
      </c>
      <c r="AG8405" s="580">
        <f t="shared" si="694"/>
        <v>0</v>
      </c>
      <c r="AH8405" s="580">
        <f t="shared" si="695"/>
        <v>0</v>
      </c>
    </row>
    <row r="8406" spans="28:34">
      <c r="AB8406" s="580">
        <f>HLOOKUP("*"&amp;'Output annual'!$AC$2&amp;'Output annual'!$AD$2&amp;"*Zone People Number Of Occupants [](Hourly)",'Eplus results'!$1:$1048576,ROW(),FALSE)</f>
        <v>0</v>
      </c>
      <c r="AC8406" s="580">
        <f>HLOOKUP("*"&amp;'Output annual'!$AC$2&amp;'Output annual'!$AD$2&amp;"*FangerPMV(Hourly)",'Eplus results'!$1:$1048576,ROW(),FALSE)</f>
        <v>0</v>
      </c>
      <c r="AD8406" s="580">
        <f t="shared" si="691"/>
        <v>5</v>
      </c>
      <c r="AE8406" s="580">
        <f t="shared" si="692"/>
        <v>2.5</v>
      </c>
      <c r="AF8406" s="580">
        <f t="shared" si="693"/>
        <v>2.5</v>
      </c>
      <c r="AG8406" s="580">
        <f t="shared" si="694"/>
        <v>0</v>
      </c>
      <c r="AH8406" s="580">
        <f t="shared" si="695"/>
        <v>0</v>
      </c>
    </row>
    <row r="8407" spans="28:34">
      <c r="AB8407" s="580">
        <f>HLOOKUP("*"&amp;'Output annual'!$AC$2&amp;'Output annual'!$AD$2&amp;"*Zone People Number Of Occupants [](Hourly)",'Eplus results'!$1:$1048576,ROW(),FALSE)</f>
        <v>0</v>
      </c>
      <c r="AC8407" s="580">
        <f>HLOOKUP("*"&amp;'Output annual'!$AC$2&amp;'Output annual'!$AD$2&amp;"*FangerPMV(Hourly)",'Eplus results'!$1:$1048576,ROW(),FALSE)</f>
        <v>0</v>
      </c>
      <c r="AD8407" s="580">
        <f t="shared" si="691"/>
        <v>5</v>
      </c>
      <c r="AE8407" s="580">
        <f t="shared" si="692"/>
        <v>2.5</v>
      </c>
      <c r="AF8407" s="580">
        <f t="shared" si="693"/>
        <v>2.5</v>
      </c>
      <c r="AG8407" s="580">
        <f t="shared" si="694"/>
        <v>0</v>
      </c>
      <c r="AH8407" s="580">
        <f t="shared" si="695"/>
        <v>0</v>
      </c>
    </row>
    <row r="8408" spans="28:34">
      <c r="AB8408" s="580">
        <f>HLOOKUP("*"&amp;'Output annual'!$AC$2&amp;'Output annual'!$AD$2&amp;"*Zone People Number Of Occupants [](Hourly)",'Eplus results'!$1:$1048576,ROW(),FALSE)</f>
        <v>0</v>
      </c>
      <c r="AC8408" s="580">
        <f>HLOOKUP("*"&amp;'Output annual'!$AC$2&amp;'Output annual'!$AD$2&amp;"*FangerPMV(Hourly)",'Eplus results'!$1:$1048576,ROW(),FALSE)</f>
        <v>0</v>
      </c>
      <c r="AD8408" s="580">
        <f t="shared" si="691"/>
        <v>5</v>
      </c>
      <c r="AE8408" s="580">
        <f t="shared" si="692"/>
        <v>2.5</v>
      </c>
      <c r="AF8408" s="580">
        <f t="shared" si="693"/>
        <v>2.5</v>
      </c>
      <c r="AG8408" s="580">
        <f t="shared" si="694"/>
        <v>0</v>
      </c>
      <c r="AH8408" s="580">
        <f t="shared" si="695"/>
        <v>0</v>
      </c>
    </row>
    <row r="8409" spans="28:34">
      <c r="AB8409" s="580">
        <f>HLOOKUP("*"&amp;'Output annual'!$AC$2&amp;'Output annual'!$AD$2&amp;"*Zone People Number Of Occupants [](Hourly)",'Eplus results'!$1:$1048576,ROW(),FALSE)</f>
        <v>0</v>
      </c>
      <c r="AC8409" s="580">
        <f>HLOOKUP("*"&amp;'Output annual'!$AC$2&amp;'Output annual'!$AD$2&amp;"*FangerPMV(Hourly)",'Eplus results'!$1:$1048576,ROW(),FALSE)</f>
        <v>0</v>
      </c>
      <c r="AD8409" s="580">
        <f t="shared" si="691"/>
        <v>5</v>
      </c>
      <c r="AE8409" s="580">
        <f t="shared" si="692"/>
        <v>2.5</v>
      </c>
      <c r="AF8409" s="580">
        <f t="shared" si="693"/>
        <v>2.5</v>
      </c>
      <c r="AG8409" s="580">
        <f t="shared" si="694"/>
        <v>0</v>
      </c>
      <c r="AH8409" s="580">
        <f t="shared" si="695"/>
        <v>0</v>
      </c>
    </row>
    <row r="8410" spans="28:34">
      <c r="AB8410" s="580">
        <f>HLOOKUP("*"&amp;'Output annual'!$AC$2&amp;'Output annual'!$AD$2&amp;"*Zone People Number Of Occupants [](Hourly)",'Eplus results'!$1:$1048576,ROW(),FALSE)</f>
        <v>0</v>
      </c>
      <c r="AC8410" s="580">
        <f>HLOOKUP("*"&amp;'Output annual'!$AC$2&amp;'Output annual'!$AD$2&amp;"*FangerPMV(Hourly)",'Eplus results'!$1:$1048576,ROW(),FALSE)</f>
        <v>0</v>
      </c>
      <c r="AD8410" s="580">
        <f t="shared" si="691"/>
        <v>5</v>
      </c>
      <c r="AE8410" s="580">
        <f t="shared" si="692"/>
        <v>2.5</v>
      </c>
      <c r="AF8410" s="580">
        <f t="shared" si="693"/>
        <v>2.5</v>
      </c>
      <c r="AG8410" s="580">
        <f t="shared" si="694"/>
        <v>0</v>
      </c>
      <c r="AH8410" s="580">
        <f t="shared" si="695"/>
        <v>0</v>
      </c>
    </row>
    <row r="8411" spans="28:34">
      <c r="AB8411" s="580">
        <f>HLOOKUP("*"&amp;'Output annual'!$AC$2&amp;'Output annual'!$AD$2&amp;"*Zone People Number Of Occupants [](Hourly)",'Eplus results'!$1:$1048576,ROW(),FALSE)</f>
        <v>0</v>
      </c>
      <c r="AC8411" s="580">
        <f>HLOOKUP("*"&amp;'Output annual'!$AC$2&amp;'Output annual'!$AD$2&amp;"*FangerPMV(Hourly)",'Eplus results'!$1:$1048576,ROW(),FALSE)</f>
        <v>0</v>
      </c>
      <c r="AD8411" s="580">
        <f t="shared" si="691"/>
        <v>5</v>
      </c>
      <c r="AE8411" s="580">
        <f t="shared" si="692"/>
        <v>2.5</v>
      </c>
      <c r="AF8411" s="580">
        <f t="shared" si="693"/>
        <v>2.5</v>
      </c>
      <c r="AG8411" s="580">
        <f t="shared" si="694"/>
        <v>0</v>
      </c>
      <c r="AH8411" s="580">
        <f t="shared" si="695"/>
        <v>0</v>
      </c>
    </row>
    <row r="8412" spans="28:34">
      <c r="AB8412" s="580">
        <f>HLOOKUP("*"&amp;'Output annual'!$AC$2&amp;'Output annual'!$AD$2&amp;"*Zone People Number Of Occupants [](Hourly)",'Eplus results'!$1:$1048576,ROW(),FALSE)</f>
        <v>0</v>
      </c>
      <c r="AC8412" s="580">
        <f>HLOOKUP("*"&amp;'Output annual'!$AC$2&amp;'Output annual'!$AD$2&amp;"*FangerPMV(Hourly)",'Eplus results'!$1:$1048576,ROW(),FALSE)</f>
        <v>0</v>
      </c>
      <c r="AD8412" s="580">
        <f t="shared" si="691"/>
        <v>5</v>
      </c>
      <c r="AE8412" s="580">
        <f t="shared" si="692"/>
        <v>2.5</v>
      </c>
      <c r="AF8412" s="580">
        <f t="shared" si="693"/>
        <v>2.5</v>
      </c>
      <c r="AG8412" s="580">
        <f t="shared" si="694"/>
        <v>0</v>
      </c>
      <c r="AH8412" s="580">
        <f t="shared" si="695"/>
        <v>0</v>
      </c>
    </row>
    <row r="8413" spans="28:34">
      <c r="AB8413" s="580">
        <f>HLOOKUP("*"&amp;'Output annual'!$AC$2&amp;'Output annual'!$AD$2&amp;"*Zone People Number Of Occupants [](Hourly)",'Eplus results'!$1:$1048576,ROW(),FALSE)</f>
        <v>0</v>
      </c>
      <c r="AC8413" s="580">
        <f>HLOOKUP("*"&amp;'Output annual'!$AC$2&amp;'Output annual'!$AD$2&amp;"*FangerPMV(Hourly)",'Eplus results'!$1:$1048576,ROW(),FALSE)</f>
        <v>0</v>
      </c>
      <c r="AD8413" s="580">
        <f t="shared" si="691"/>
        <v>5</v>
      </c>
      <c r="AE8413" s="580">
        <f t="shared" si="692"/>
        <v>2.5</v>
      </c>
      <c r="AF8413" s="580">
        <f t="shared" si="693"/>
        <v>2.5</v>
      </c>
      <c r="AG8413" s="580">
        <f t="shared" si="694"/>
        <v>0</v>
      </c>
      <c r="AH8413" s="580">
        <f t="shared" si="695"/>
        <v>0</v>
      </c>
    </row>
    <row r="8414" spans="28:34">
      <c r="AB8414" s="580">
        <f>HLOOKUP("*"&amp;'Output annual'!$AC$2&amp;'Output annual'!$AD$2&amp;"*Zone People Number Of Occupants [](Hourly)",'Eplus results'!$1:$1048576,ROW(),FALSE)</f>
        <v>0</v>
      </c>
      <c r="AC8414" s="580">
        <f>HLOOKUP("*"&amp;'Output annual'!$AC$2&amp;'Output annual'!$AD$2&amp;"*FangerPMV(Hourly)",'Eplus results'!$1:$1048576,ROW(),FALSE)</f>
        <v>0</v>
      </c>
      <c r="AD8414" s="580">
        <f t="shared" si="691"/>
        <v>5</v>
      </c>
      <c r="AE8414" s="580">
        <f t="shared" si="692"/>
        <v>2.5</v>
      </c>
      <c r="AF8414" s="580">
        <f t="shared" si="693"/>
        <v>2.5</v>
      </c>
      <c r="AG8414" s="580">
        <f t="shared" si="694"/>
        <v>0</v>
      </c>
      <c r="AH8414" s="580">
        <f t="shared" si="695"/>
        <v>0</v>
      </c>
    </row>
    <row r="8415" spans="28:34">
      <c r="AB8415" s="580">
        <f>HLOOKUP("*"&amp;'Output annual'!$AC$2&amp;'Output annual'!$AD$2&amp;"*Zone People Number Of Occupants [](Hourly)",'Eplus results'!$1:$1048576,ROW(),FALSE)</f>
        <v>0</v>
      </c>
      <c r="AC8415" s="580">
        <f>HLOOKUP("*"&amp;'Output annual'!$AC$2&amp;'Output annual'!$AD$2&amp;"*FangerPMV(Hourly)",'Eplus results'!$1:$1048576,ROW(),FALSE)</f>
        <v>0</v>
      </c>
      <c r="AD8415" s="580">
        <f t="shared" si="691"/>
        <v>5</v>
      </c>
      <c r="AE8415" s="580">
        <f t="shared" si="692"/>
        <v>2.5</v>
      </c>
      <c r="AF8415" s="580">
        <f t="shared" si="693"/>
        <v>2.5</v>
      </c>
      <c r="AG8415" s="580">
        <f t="shared" si="694"/>
        <v>0</v>
      </c>
      <c r="AH8415" s="580">
        <f t="shared" si="695"/>
        <v>0</v>
      </c>
    </row>
    <row r="8416" spans="28:34">
      <c r="AB8416" s="580">
        <f>HLOOKUP("*"&amp;'Output annual'!$AC$2&amp;'Output annual'!$AD$2&amp;"*Zone People Number Of Occupants [](Hourly)",'Eplus results'!$1:$1048576,ROW(),FALSE)</f>
        <v>0</v>
      </c>
      <c r="AC8416" s="580">
        <f>HLOOKUP("*"&amp;'Output annual'!$AC$2&amp;'Output annual'!$AD$2&amp;"*FangerPMV(Hourly)",'Eplus results'!$1:$1048576,ROW(),FALSE)</f>
        <v>0</v>
      </c>
      <c r="AD8416" s="580">
        <f t="shared" si="691"/>
        <v>5</v>
      </c>
      <c r="AE8416" s="580">
        <f t="shared" si="692"/>
        <v>2.5</v>
      </c>
      <c r="AF8416" s="580">
        <f t="shared" si="693"/>
        <v>2.5</v>
      </c>
      <c r="AG8416" s="580">
        <f t="shared" si="694"/>
        <v>0</v>
      </c>
      <c r="AH8416" s="580">
        <f t="shared" si="695"/>
        <v>0</v>
      </c>
    </row>
    <row r="8417" spans="28:34">
      <c r="AB8417" s="580">
        <f>HLOOKUP("*"&amp;'Output annual'!$AC$2&amp;'Output annual'!$AD$2&amp;"*Zone People Number Of Occupants [](Hourly)",'Eplus results'!$1:$1048576,ROW(),FALSE)</f>
        <v>0</v>
      </c>
      <c r="AC8417" s="580">
        <f>HLOOKUP("*"&amp;'Output annual'!$AC$2&amp;'Output annual'!$AD$2&amp;"*FangerPMV(Hourly)",'Eplus results'!$1:$1048576,ROW(),FALSE)</f>
        <v>0</v>
      </c>
      <c r="AD8417" s="580">
        <f t="shared" si="691"/>
        <v>5</v>
      </c>
      <c r="AE8417" s="580">
        <f t="shared" si="692"/>
        <v>2.5</v>
      </c>
      <c r="AF8417" s="580">
        <f t="shared" si="693"/>
        <v>2.5</v>
      </c>
      <c r="AG8417" s="580">
        <f t="shared" si="694"/>
        <v>0</v>
      </c>
      <c r="AH8417" s="580">
        <f t="shared" si="695"/>
        <v>0</v>
      </c>
    </row>
    <row r="8418" spans="28:34">
      <c r="AB8418" s="580">
        <f>HLOOKUP("*"&amp;'Output annual'!$AC$2&amp;'Output annual'!$AD$2&amp;"*Zone People Number Of Occupants [](Hourly)",'Eplus results'!$1:$1048576,ROW(),FALSE)</f>
        <v>0</v>
      </c>
      <c r="AC8418" s="580">
        <f>HLOOKUP("*"&amp;'Output annual'!$AC$2&amp;'Output annual'!$AD$2&amp;"*FangerPMV(Hourly)",'Eplus results'!$1:$1048576,ROW(),FALSE)</f>
        <v>0</v>
      </c>
      <c r="AD8418" s="580">
        <f t="shared" si="691"/>
        <v>5</v>
      </c>
      <c r="AE8418" s="580">
        <f t="shared" si="692"/>
        <v>2.5</v>
      </c>
      <c r="AF8418" s="580">
        <f t="shared" si="693"/>
        <v>2.5</v>
      </c>
      <c r="AG8418" s="580">
        <f t="shared" si="694"/>
        <v>0</v>
      </c>
      <c r="AH8418" s="580">
        <f t="shared" si="695"/>
        <v>0</v>
      </c>
    </row>
    <row r="8419" spans="28:34">
      <c r="AB8419" s="580">
        <f>HLOOKUP("*"&amp;'Output annual'!$AC$2&amp;'Output annual'!$AD$2&amp;"*Zone People Number Of Occupants [](Hourly)",'Eplus results'!$1:$1048576,ROW(),FALSE)</f>
        <v>0</v>
      </c>
      <c r="AC8419" s="580">
        <f>HLOOKUP("*"&amp;'Output annual'!$AC$2&amp;'Output annual'!$AD$2&amp;"*FangerPMV(Hourly)",'Eplus results'!$1:$1048576,ROW(),FALSE)</f>
        <v>0</v>
      </c>
      <c r="AD8419" s="580">
        <f t="shared" si="691"/>
        <v>5</v>
      </c>
      <c r="AE8419" s="580">
        <f t="shared" si="692"/>
        <v>2.5</v>
      </c>
      <c r="AF8419" s="580">
        <f t="shared" si="693"/>
        <v>2.5</v>
      </c>
      <c r="AG8419" s="580">
        <f t="shared" si="694"/>
        <v>0</v>
      </c>
      <c r="AH8419" s="580">
        <f t="shared" si="695"/>
        <v>0</v>
      </c>
    </row>
    <row r="8420" spans="28:34">
      <c r="AB8420" s="580">
        <f>HLOOKUP("*"&amp;'Output annual'!$AC$2&amp;'Output annual'!$AD$2&amp;"*Zone People Number Of Occupants [](Hourly)",'Eplus results'!$1:$1048576,ROW(),FALSE)</f>
        <v>0</v>
      </c>
      <c r="AC8420" s="580">
        <f>HLOOKUP("*"&amp;'Output annual'!$AC$2&amp;'Output annual'!$AD$2&amp;"*FangerPMV(Hourly)",'Eplus results'!$1:$1048576,ROW(),FALSE)</f>
        <v>0</v>
      </c>
      <c r="AD8420" s="580">
        <f t="shared" si="691"/>
        <v>5</v>
      </c>
      <c r="AE8420" s="580">
        <f t="shared" si="692"/>
        <v>2.5</v>
      </c>
      <c r="AF8420" s="580">
        <f t="shared" si="693"/>
        <v>2.5</v>
      </c>
      <c r="AG8420" s="580">
        <f t="shared" si="694"/>
        <v>0</v>
      </c>
      <c r="AH8420" s="580">
        <f t="shared" si="695"/>
        <v>0</v>
      </c>
    </row>
    <row r="8421" spans="28:34">
      <c r="AB8421" s="580">
        <f>HLOOKUP("*"&amp;'Output annual'!$AC$2&amp;'Output annual'!$AD$2&amp;"*Zone People Number Of Occupants [](Hourly)",'Eplus results'!$1:$1048576,ROW(),FALSE)</f>
        <v>0</v>
      </c>
      <c r="AC8421" s="580">
        <f>HLOOKUP("*"&amp;'Output annual'!$AC$2&amp;'Output annual'!$AD$2&amp;"*FangerPMV(Hourly)",'Eplus results'!$1:$1048576,ROW(),FALSE)</f>
        <v>0</v>
      </c>
      <c r="AD8421" s="580">
        <f t="shared" si="691"/>
        <v>5</v>
      </c>
      <c r="AE8421" s="580">
        <f t="shared" si="692"/>
        <v>2.5</v>
      </c>
      <c r="AF8421" s="580">
        <f t="shared" si="693"/>
        <v>2.5</v>
      </c>
      <c r="AG8421" s="580">
        <f t="shared" si="694"/>
        <v>0</v>
      </c>
      <c r="AH8421" s="580">
        <f t="shared" si="695"/>
        <v>0</v>
      </c>
    </row>
    <row r="8422" spans="28:34">
      <c r="AB8422" s="580">
        <f>HLOOKUP("*"&amp;'Output annual'!$AC$2&amp;'Output annual'!$AD$2&amp;"*Zone People Number Of Occupants [](Hourly)",'Eplus results'!$1:$1048576,ROW(),FALSE)</f>
        <v>0</v>
      </c>
      <c r="AC8422" s="580">
        <f>HLOOKUP("*"&amp;'Output annual'!$AC$2&amp;'Output annual'!$AD$2&amp;"*FangerPMV(Hourly)",'Eplus results'!$1:$1048576,ROW(),FALSE)</f>
        <v>0</v>
      </c>
      <c r="AD8422" s="580">
        <f t="shared" si="691"/>
        <v>5</v>
      </c>
      <c r="AE8422" s="580">
        <f t="shared" si="692"/>
        <v>2.5</v>
      </c>
      <c r="AF8422" s="580">
        <f t="shared" si="693"/>
        <v>2.5</v>
      </c>
      <c r="AG8422" s="580">
        <f t="shared" si="694"/>
        <v>0</v>
      </c>
      <c r="AH8422" s="580">
        <f t="shared" si="695"/>
        <v>0</v>
      </c>
    </row>
    <row r="8423" spans="28:34">
      <c r="AB8423" s="580">
        <f>HLOOKUP("*"&amp;'Output annual'!$AC$2&amp;'Output annual'!$AD$2&amp;"*Zone People Number Of Occupants [](Hourly)",'Eplus results'!$1:$1048576,ROW(),FALSE)</f>
        <v>0</v>
      </c>
      <c r="AC8423" s="580">
        <f>HLOOKUP("*"&amp;'Output annual'!$AC$2&amp;'Output annual'!$AD$2&amp;"*FangerPMV(Hourly)",'Eplus results'!$1:$1048576,ROW(),FALSE)</f>
        <v>0</v>
      </c>
      <c r="AD8423" s="580">
        <f t="shared" si="691"/>
        <v>5</v>
      </c>
      <c r="AE8423" s="580">
        <f t="shared" si="692"/>
        <v>2.5</v>
      </c>
      <c r="AF8423" s="580">
        <f t="shared" si="693"/>
        <v>2.5</v>
      </c>
      <c r="AG8423" s="580">
        <f t="shared" si="694"/>
        <v>0</v>
      </c>
      <c r="AH8423" s="580">
        <f t="shared" si="695"/>
        <v>0</v>
      </c>
    </row>
    <row r="8424" spans="28:34">
      <c r="AB8424" s="580">
        <f>HLOOKUP("*"&amp;'Output annual'!$AC$2&amp;'Output annual'!$AD$2&amp;"*Zone People Number Of Occupants [](Hourly)",'Eplus results'!$1:$1048576,ROW(),FALSE)</f>
        <v>0</v>
      </c>
      <c r="AC8424" s="580">
        <f>HLOOKUP("*"&amp;'Output annual'!$AC$2&amp;'Output annual'!$AD$2&amp;"*FangerPMV(Hourly)",'Eplus results'!$1:$1048576,ROW(),FALSE)</f>
        <v>0</v>
      </c>
      <c r="AD8424" s="580">
        <f t="shared" si="691"/>
        <v>5</v>
      </c>
      <c r="AE8424" s="580">
        <f t="shared" si="692"/>
        <v>2.5</v>
      </c>
      <c r="AF8424" s="580">
        <f t="shared" si="693"/>
        <v>2.5</v>
      </c>
      <c r="AG8424" s="580">
        <f t="shared" si="694"/>
        <v>0</v>
      </c>
      <c r="AH8424" s="580">
        <f t="shared" si="695"/>
        <v>0</v>
      </c>
    </row>
    <row r="8425" spans="28:34">
      <c r="AB8425" s="580">
        <f>HLOOKUP("*"&amp;'Output annual'!$AC$2&amp;'Output annual'!$AD$2&amp;"*Zone People Number Of Occupants [](Hourly)",'Eplus results'!$1:$1048576,ROW(),FALSE)</f>
        <v>0</v>
      </c>
      <c r="AC8425" s="580">
        <f>HLOOKUP("*"&amp;'Output annual'!$AC$2&amp;'Output annual'!$AD$2&amp;"*FangerPMV(Hourly)",'Eplus results'!$1:$1048576,ROW(),FALSE)</f>
        <v>0</v>
      </c>
      <c r="AD8425" s="580">
        <f t="shared" si="691"/>
        <v>5</v>
      </c>
      <c r="AE8425" s="580">
        <f t="shared" si="692"/>
        <v>2.5</v>
      </c>
      <c r="AF8425" s="580">
        <f t="shared" si="693"/>
        <v>2.5</v>
      </c>
      <c r="AG8425" s="580">
        <f t="shared" si="694"/>
        <v>0</v>
      </c>
      <c r="AH8425" s="580">
        <f t="shared" si="695"/>
        <v>0</v>
      </c>
    </row>
    <row r="8426" spans="28:34">
      <c r="AB8426" s="580">
        <f>HLOOKUP("*"&amp;'Output annual'!$AC$2&amp;'Output annual'!$AD$2&amp;"*Zone People Number Of Occupants [](Hourly)",'Eplus results'!$1:$1048576,ROW(),FALSE)</f>
        <v>0</v>
      </c>
      <c r="AC8426" s="580">
        <f>HLOOKUP("*"&amp;'Output annual'!$AC$2&amp;'Output annual'!$AD$2&amp;"*FangerPMV(Hourly)",'Eplus results'!$1:$1048576,ROW(),FALSE)</f>
        <v>0</v>
      </c>
      <c r="AD8426" s="580">
        <f t="shared" si="691"/>
        <v>5</v>
      </c>
      <c r="AE8426" s="580">
        <f t="shared" si="692"/>
        <v>2.5</v>
      </c>
      <c r="AF8426" s="580">
        <f t="shared" si="693"/>
        <v>2.5</v>
      </c>
      <c r="AG8426" s="580">
        <f t="shared" si="694"/>
        <v>0</v>
      </c>
      <c r="AH8426" s="580">
        <f t="shared" si="695"/>
        <v>0</v>
      </c>
    </row>
    <row r="8427" spans="28:34">
      <c r="AB8427" s="580">
        <f>HLOOKUP("*"&amp;'Output annual'!$AC$2&amp;'Output annual'!$AD$2&amp;"*Zone People Number Of Occupants [](Hourly)",'Eplus results'!$1:$1048576,ROW(),FALSE)</f>
        <v>0</v>
      </c>
      <c r="AC8427" s="580">
        <f>HLOOKUP("*"&amp;'Output annual'!$AC$2&amp;'Output annual'!$AD$2&amp;"*FangerPMV(Hourly)",'Eplus results'!$1:$1048576,ROW(),FALSE)</f>
        <v>0</v>
      </c>
      <c r="AD8427" s="580">
        <f t="shared" si="691"/>
        <v>5</v>
      </c>
      <c r="AE8427" s="580">
        <f t="shared" si="692"/>
        <v>2.5</v>
      </c>
      <c r="AF8427" s="580">
        <f t="shared" si="693"/>
        <v>2.5</v>
      </c>
      <c r="AG8427" s="580">
        <f t="shared" si="694"/>
        <v>0</v>
      </c>
      <c r="AH8427" s="580">
        <f t="shared" si="695"/>
        <v>0</v>
      </c>
    </row>
    <row r="8428" spans="28:34">
      <c r="AB8428" s="580">
        <f>HLOOKUP("*"&amp;'Output annual'!$AC$2&amp;'Output annual'!$AD$2&amp;"*Zone People Number Of Occupants [](Hourly)",'Eplus results'!$1:$1048576,ROW(),FALSE)</f>
        <v>0</v>
      </c>
      <c r="AC8428" s="580">
        <f>HLOOKUP("*"&amp;'Output annual'!$AC$2&amp;'Output annual'!$AD$2&amp;"*FangerPMV(Hourly)",'Eplus results'!$1:$1048576,ROW(),FALSE)</f>
        <v>0</v>
      </c>
      <c r="AD8428" s="580">
        <f t="shared" si="691"/>
        <v>5</v>
      </c>
      <c r="AE8428" s="580">
        <f t="shared" si="692"/>
        <v>2.5</v>
      </c>
      <c r="AF8428" s="580">
        <f t="shared" si="693"/>
        <v>2.5</v>
      </c>
      <c r="AG8428" s="580">
        <f t="shared" si="694"/>
        <v>0</v>
      </c>
      <c r="AH8428" s="580">
        <f t="shared" si="695"/>
        <v>0</v>
      </c>
    </row>
    <row r="8429" spans="28:34">
      <c r="AB8429" s="580">
        <f>HLOOKUP("*"&amp;'Output annual'!$AC$2&amp;'Output annual'!$AD$2&amp;"*Zone People Number Of Occupants [](Hourly)",'Eplus results'!$1:$1048576,ROW(),FALSE)</f>
        <v>0</v>
      </c>
      <c r="AC8429" s="580">
        <f>HLOOKUP("*"&amp;'Output annual'!$AC$2&amp;'Output annual'!$AD$2&amp;"*FangerPMV(Hourly)",'Eplus results'!$1:$1048576,ROW(),FALSE)</f>
        <v>0</v>
      </c>
      <c r="AD8429" s="580">
        <f t="shared" si="691"/>
        <v>5</v>
      </c>
      <c r="AE8429" s="580">
        <f t="shared" si="692"/>
        <v>2.5</v>
      </c>
      <c r="AF8429" s="580">
        <f t="shared" si="693"/>
        <v>2.5</v>
      </c>
      <c r="AG8429" s="580">
        <f t="shared" si="694"/>
        <v>0</v>
      </c>
      <c r="AH8429" s="580">
        <f t="shared" si="695"/>
        <v>0</v>
      </c>
    </row>
    <row r="8430" spans="28:34">
      <c r="AB8430" s="580">
        <f>HLOOKUP("*"&amp;'Output annual'!$AC$2&amp;'Output annual'!$AD$2&amp;"*Zone People Number Of Occupants [](Hourly)",'Eplus results'!$1:$1048576,ROW(),FALSE)</f>
        <v>0</v>
      </c>
      <c r="AC8430" s="580">
        <f>HLOOKUP("*"&amp;'Output annual'!$AC$2&amp;'Output annual'!$AD$2&amp;"*FangerPMV(Hourly)",'Eplus results'!$1:$1048576,ROW(),FALSE)</f>
        <v>0</v>
      </c>
      <c r="AD8430" s="580">
        <f t="shared" si="691"/>
        <v>5</v>
      </c>
      <c r="AE8430" s="580">
        <f t="shared" si="692"/>
        <v>2.5</v>
      </c>
      <c r="AF8430" s="580">
        <f t="shared" si="693"/>
        <v>2.5</v>
      </c>
      <c r="AG8430" s="580">
        <f t="shared" si="694"/>
        <v>0</v>
      </c>
      <c r="AH8430" s="580">
        <f t="shared" si="695"/>
        <v>0</v>
      </c>
    </row>
    <row r="8431" spans="28:34">
      <c r="AB8431" s="580">
        <f>HLOOKUP("*"&amp;'Output annual'!$AC$2&amp;'Output annual'!$AD$2&amp;"*Zone People Number Of Occupants [](Hourly)",'Eplus results'!$1:$1048576,ROW(),FALSE)</f>
        <v>0</v>
      </c>
      <c r="AC8431" s="580">
        <f>HLOOKUP("*"&amp;'Output annual'!$AC$2&amp;'Output annual'!$AD$2&amp;"*FangerPMV(Hourly)",'Eplus results'!$1:$1048576,ROW(),FALSE)</f>
        <v>0</v>
      </c>
      <c r="AD8431" s="580">
        <f t="shared" si="691"/>
        <v>5</v>
      </c>
      <c r="AE8431" s="580">
        <f t="shared" si="692"/>
        <v>2.5</v>
      </c>
      <c r="AF8431" s="580">
        <f t="shared" si="693"/>
        <v>2.5</v>
      </c>
      <c r="AG8431" s="580">
        <f t="shared" si="694"/>
        <v>0</v>
      </c>
      <c r="AH8431" s="580">
        <f t="shared" si="695"/>
        <v>0</v>
      </c>
    </row>
    <row r="8432" spans="28:34">
      <c r="AB8432" s="580">
        <f>HLOOKUP("*"&amp;'Output annual'!$AC$2&amp;'Output annual'!$AD$2&amp;"*Zone People Number Of Occupants [](Hourly)",'Eplus results'!$1:$1048576,ROW(),FALSE)</f>
        <v>0</v>
      </c>
      <c r="AC8432" s="580">
        <f>HLOOKUP("*"&amp;'Output annual'!$AC$2&amp;'Output annual'!$AD$2&amp;"*FangerPMV(Hourly)",'Eplus results'!$1:$1048576,ROW(),FALSE)</f>
        <v>0</v>
      </c>
      <c r="AD8432" s="580">
        <f t="shared" si="691"/>
        <v>5</v>
      </c>
      <c r="AE8432" s="580">
        <f t="shared" si="692"/>
        <v>2.5</v>
      </c>
      <c r="AF8432" s="580">
        <f t="shared" si="693"/>
        <v>2.5</v>
      </c>
      <c r="AG8432" s="580">
        <f t="shared" si="694"/>
        <v>0</v>
      </c>
      <c r="AH8432" s="580">
        <f t="shared" si="695"/>
        <v>0</v>
      </c>
    </row>
    <row r="8433" spans="28:34">
      <c r="AB8433" s="580">
        <f>HLOOKUP("*"&amp;'Output annual'!$AC$2&amp;'Output annual'!$AD$2&amp;"*Zone People Number Of Occupants [](Hourly)",'Eplus results'!$1:$1048576,ROW(),FALSE)</f>
        <v>0</v>
      </c>
      <c r="AC8433" s="580">
        <f>HLOOKUP("*"&amp;'Output annual'!$AC$2&amp;'Output annual'!$AD$2&amp;"*FangerPMV(Hourly)",'Eplus results'!$1:$1048576,ROW(),FALSE)</f>
        <v>0</v>
      </c>
      <c r="AD8433" s="580">
        <f t="shared" si="691"/>
        <v>5</v>
      </c>
      <c r="AE8433" s="580">
        <f t="shared" si="692"/>
        <v>2.5</v>
      </c>
      <c r="AF8433" s="580">
        <f t="shared" si="693"/>
        <v>2.5</v>
      </c>
      <c r="AG8433" s="580">
        <f t="shared" si="694"/>
        <v>0</v>
      </c>
      <c r="AH8433" s="580">
        <f t="shared" si="695"/>
        <v>0</v>
      </c>
    </row>
    <row r="8434" spans="28:34">
      <c r="AB8434" s="580">
        <f>HLOOKUP("*"&amp;'Output annual'!$AC$2&amp;'Output annual'!$AD$2&amp;"*Zone People Number Of Occupants [](Hourly)",'Eplus results'!$1:$1048576,ROW(),FALSE)</f>
        <v>0</v>
      </c>
      <c r="AC8434" s="580">
        <f>HLOOKUP("*"&amp;'Output annual'!$AC$2&amp;'Output annual'!$AD$2&amp;"*FangerPMV(Hourly)",'Eplus results'!$1:$1048576,ROW(),FALSE)</f>
        <v>0</v>
      </c>
      <c r="AD8434" s="580">
        <f t="shared" si="691"/>
        <v>5</v>
      </c>
      <c r="AE8434" s="580">
        <f t="shared" si="692"/>
        <v>2.5</v>
      </c>
      <c r="AF8434" s="580">
        <f t="shared" si="693"/>
        <v>2.5</v>
      </c>
      <c r="AG8434" s="580">
        <f t="shared" si="694"/>
        <v>0</v>
      </c>
      <c r="AH8434" s="580">
        <f t="shared" si="695"/>
        <v>0</v>
      </c>
    </row>
    <row r="8435" spans="28:34">
      <c r="AB8435" s="580">
        <f>HLOOKUP("*"&amp;'Output annual'!$AC$2&amp;'Output annual'!$AD$2&amp;"*Zone People Number Of Occupants [](Hourly)",'Eplus results'!$1:$1048576,ROW(),FALSE)</f>
        <v>0</v>
      </c>
      <c r="AC8435" s="580">
        <f>HLOOKUP("*"&amp;'Output annual'!$AC$2&amp;'Output annual'!$AD$2&amp;"*FangerPMV(Hourly)",'Eplus results'!$1:$1048576,ROW(),FALSE)</f>
        <v>0</v>
      </c>
      <c r="AD8435" s="580">
        <f t="shared" si="691"/>
        <v>5</v>
      </c>
      <c r="AE8435" s="580">
        <f t="shared" si="692"/>
        <v>2.5</v>
      </c>
      <c r="AF8435" s="580">
        <f t="shared" si="693"/>
        <v>2.5</v>
      </c>
      <c r="AG8435" s="580">
        <f t="shared" si="694"/>
        <v>0</v>
      </c>
      <c r="AH8435" s="580">
        <f t="shared" si="695"/>
        <v>0</v>
      </c>
    </row>
    <row r="8436" spans="28:34">
      <c r="AB8436" s="580">
        <f>HLOOKUP("*"&amp;'Output annual'!$AC$2&amp;'Output annual'!$AD$2&amp;"*Zone People Number Of Occupants [](Hourly)",'Eplus results'!$1:$1048576,ROW(),FALSE)</f>
        <v>0</v>
      </c>
      <c r="AC8436" s="580">
        <f>HLOOKUP("*"&amp;'Output annual'!$AC$2&amp;'Output annual'!$AD$2&amp;"*FangerPMV(Hourly)",'Eplus results'!$1:$1048576,ROW(),FALSE)</f>
        <v>0</v>
      </c>
      <c r="AD8436" s="580">
        <f t="shared" si="691"/>
        <v>5</v>
      </c>
      <c r="AE8436" s="580">
        <f t="shared" si="692"/>
        <v>2.5</v>
      </c>
      <c r="AF8436" s="580">
        <f t="shared" si="693"/>
        <v>2.5</v>
      </c>
      <c r="AG8436" s="580">
        <f t="shared" si="694"/>
        <v>0</v>
      </c>
      <c r="AH8436" s="580">
        <f t="shared" si="695"/>
        <v>0</v>
      </c>
    </row>
    <row r="8437" spans="28:34">
      <c r="AB8437" s="580">
        <f>HLOOKUP("*"&amp;'Output annual'!$AC$2&amp;'Output annual'!$AD$2&amp;"*Zone People Number Of Occupants [](Hourly)",'Eplus results'!$1:$1048576,ROW(),FALSE)</f>
        <v>0</v>
      </c>
      <c r="AC8437" s="580">
        <f>HLOOKUP("*"&amp;'Output annual'!$AC$2&amp;'Output annual'!$AD$2&amp;"*FangerPMV(Hourly)",'Eplus results'!$1:$1048576,ROW(),FALSE)</f>
        <v>0</v>
      </c>
      <c r="AD8437" s="580">
        <f t="shared" si="691"/>
        <v>5</v>
      </c>
      <c r="AE8437" s="580">
        <f t="shared" si="692"/>
        <v>2.5</v>
      </c>
      <c r="AF8437" s="580">
        <f t="shared" si="693"/>
        <v>2.5</v>
      </c>
      <c r="AG8437" s="580">
        <f t="shared" si="694"/>
        <v>0</v>
      </c>
      <c r="AH8437" s="580">
        <f t="shared" si="695"/>
        <v>0</v>
      </c>
    </row>
    <row r="8438" spans="28:34">
      <c r="AB8438" s="580">
        <f>HLOOKUP("*"&amp;'Output annual'!$AC$2&amp;'Output annual'!$AD$2&amp;"*Zone People Number Of Occupants [](Hourly)",'Eplus results'!$1:$1048576,ROW(),FALSE)</f>
        <v>0</v>
      </c>
      <c r="AC8438" s="580">
        <f>HLOOKUP("*"&amp;'Output annual'!$AC$2&amp;'Output annual'!$AD$2&amp;"*FangerPMV(Hourly)",'Eplus results'!$1:$1048576,ROW(),FALSE)</f>
        <v>0</v>
      </c>
      <c r="AD8438" s="580">
        <f t="shared" si="691"/>
        <v>5</v>
      </c>
      <c r="AE8438" s="580">
        <f t="shared" si="692"/>
        <v>2.5</v>
      </c>
      <c r="AF8438" s="580">
        <f t="shared" si="693"/>
        <v>2.5</v>
      </c>
      <c r="AG8438" s="580">
        <f t="shared" si="694"/>
        <v>0</v>
      </c>
      <c r="AH8438" s="580">
        <f t="shared" si="695"/>
        <v>0</v>
      </c>
    </row>
    <row r="8439" spans="28:34">
      <c r="AB8439" s="580">
        <f>HLOOKUP("*"&amp;'Output annual'!$AC$2&amp;'Output annual'!$AD$2&amp;"*Zone People Number Of Occupants [](Hourly)",'Eplus results'!$1:$1048576,ROW(),FALSE)</f>
        <v>0</v>
      </c>
      <c r="AC8439" s="580">
        <f>HLOOKUP("*"&amp;'Output annual'!$AC$2&amp;'Output annual'!$AD$2&amp;"*FangerPMV(Hourly)",'Eplus results'!$1:$1048576,ROW(),FALSE)</f>
        <v>0</v>
      </c>
      <c r="AD8439" s="580">
        <f t="shared" si="691"/>
        <v>5</v>
      </c>
      <c r="AE8439" s="580">
        <f t="shared" si="692"/>
        <v>2.5</v>
      </c>
      <c r="AF8439" s="580">
        <f t="shared" si="693"/>
        <v>2.5</v>
      </c>
      <c r="AG8439" s="580">
        <f t="shared" si="694"/>
        <v>0</v>
      </c>
      <c r="AH8439" s="580">
        <f t="shared" si="695"/>
        <v>0</v>
      </c>
    </row>
    <row r="8440" spans="28:34">
      <c r="AB8440" s="580">
        <f>HLOOKUP("*"&amp;'Output annual'!$AC$2&amp;'Output annual'!$AD$2&amp;"*Zone People Number Of Occupants [](Hourly)",'Eplus results'!$1:$1048576,ROW(),FALSE)</f>
        <v>0</v>
      </c>
      <c r="AC8440" s="580">
        <f>HLOOKUP("*"&amp;'Output annual'!$AC$2&amp;'Output annual'!$AD$2&amp;"*FangerPMV(Hourly)",'Eplus results'!$1:$1048576,ROW(),FALSE)</f>
        <v>0</v>
      </c>
      <c r="AD8440" s="580">
        <f t="shared" si="691"/>
        <v>5</v>
      </c>
      <c r="AE8440" s="580">
        <f t="shared" si="692"/>
        <v>2.5</v>
      </c>
      <c r="AF8440" s="580">
        <f t="shared" si="693"/>
        <v>2.5</v>
      </c>
      <c r="AG8440" s="580">
        <f t="shared" si="694"/>
        <v>0</v>
      </c>
      <c r="AH8440" s="580">
        <f t="shared" si="695"/>
        <v>0</v>
      </c>
    </row>
    <row r="8441" spans="28:34">
      <c r="AB8441" s="580">
        <f>HLOOKUP("*"&amp;'Output annual'!$AC$2&amp;'Output annual'!$AD$2&amp;"*Zone People Number Of Occupants [](Hourly)",'Eplus results'!$1:$1048576,ROW(),FALSE)</f>
        <v>0</v>
      </c>
      <c r="AC8441" s="580">
        <f>HLOOKUP("*"&amp;'Output annual'!$AC$2&amp;'Output annual'!$AD$2&amp;"*FangerPMV(Hourly)",'Eplus results'!$1:$1048576,ROW(),FALSE)</f>
        <v>0</v>
      </c>
      <c r="AD8441" s="580">
        <f t="shared" si="691"/>
        <v>5</v>
      </c>
      <c r="AE8441" s="580">
        <f t="shared" si="692"/>
        <v>2.5</v>
      </c>
      <c r="AF8441" s="580">
        <f t="shared" si="693"/>
        <v>2.5</v>
      </c>
      <c r="AG8441" s="580">
        <f t="shared" si="694"/>
        <v>0</v>
      </c>
      <c r="AH8441" s="580">
        <f t="shared" si="695"/>
        <v>0</v>
      </c>
    </row>
    <row r="8442" spans="28:34">
      <c r="AB8442" s="580">
        <f>HLOOKUP("*"&amp;'Output annual'!$AC$2&amp;'Output annual'!$AD$2&amp;"*Zone People Number Of Occupants [](Hourly)",'Eplus results'!$1:$1048576,ROW(),FALSE)</f>
        <v>0</v>
      </c>
      <c r="AC8442" s="580">
        <f>HLOOKUP("*"&amp;'Output annual'!$AC$2&amp;'Output annual'!$AD$2&amp;"*FangerPMV(Hourly)",'Eplus results'!$1:$1048576,ROW(),FALSE)</f>
        <v>0</v>
      </c>
      <c r="AD8442" s="580">
        <f t="shared" si="691"/>
        <v>5</v>
      </c>
      <c r="AE8442" s="580">
        <f t="shared" si="692"/>
        <v>2.5</v>
      </c>
      <c r="AF8442" s="580">
        <f t="shared" si="693"/>
        <v>2.5</v>
      </c>
      <c r="AG8442" s="580">
        <f t="shared" si="694"/>
        <v>0</v>
      </c>
      <c r="AH8442" s="580">
        <f t="shared" si="695"/>
        <v>0</v>
      </c>
    </row>
    <row r="8443" spans="28:34">
      <c r="AB8443" s="580">
        <f>HLOOKUP("*"&amp;'Output annual'!$AC$2&amp;'Output annual'!$AD$2&amp;"*Zone People Number Of Occupants [](Hourly)",'Eplus results'!$1:$1048576,ROW(),FALSE)</f>
        <v>0</v>
      </c>
      <c r="AC8443" s="580">
        <f>HLOOKUP("*"&amp;'Output annual'!$AC$2&amp;'Output annual'!$AD$2&amp;"*FangerPMV(Hourly)",'Eplus results'!$1:$1048576,ROW(),FALSE)</f>
        <v>0</v>
      </c>
      <c r="AD8443" s="580">
        <f t="shared" si="691"/>
        <v>5</v>
      </c>
      <c r="AE8443" s="580">
        <f t="shared" si="692"/>
        <v>2.5</v>
      </c>
      <c r="AF8443" s="580">
        <f t="shared" si="693"/>
        <v>2.5</v>
      </c>
      <c r="AG8443" s="580">
        <f t="shared" si="694"/>
        <v>0</v>
      </c>
      <c r="AH8443" s="580">
        <f t="shared" si="695"/>
        <v>0</v>
      </c>
    </row>
    <row r="8444" spans="28:34">
      <c r="AB8444" s="580">
        <f>HLOOKUP("*"&amp;'Output annual'!$AC$2&amp;'Output annual'!$AD$2&amp;"*Zone People Number Of Occupants [](Hourly)",'Eplus results'!$1:$1048576,ROW(),FALSE)</f>
        <v>0</v>
      </c>
      <c r="AC8444" s="580">
        <f>HLOOKUP("*"&amp;'Output annual'!$AC$2&amp;'Output annual'!$AD$2&amp;"*FangerPMV(Hourly)",'Eplus results'!$1:$1048576,ROW(),FALSE)</f>
        <v>0</v>
      </c>
      <c r="AD8444" s="580">
        <f t="shared" si="691"/>
        <v>5</v>
      </c>
      <c r="AE8444" s="580">
        <f t="shared" si="692"/>
        <v>2.5</v>
      </c>
      <c r="AF8444" s="580">
        <f t="shared" si="693"/>
        <v>2.5</v>
      </c>
      <c r="AG8444" s="580">
        <f t="shared" si="694"/>
        <v>0</v>
      </c>
      <c r="AH8444" s="580">
        <f t="shared" si="695"/>
        <v>0</v>
      </c>
    </row>
    <row r="8445" spans="28:34">
      <c r="AB8445" s="580">
        <f>HLOOKUP("*"&amp;'Output annual'!$AC$2&amp;'Output annual'!$AD$2&amp;"*Zone People Number Of Occupants [](Hourly)",'Eplus results'!$1:$1048576,ROW(),FALSE)</f>
        <v>0</v>
      </c>
      <c r="AC8445" s="580">
        <f>HLOOKUP("*"&amp;'Output annual'!$AC$2&amp;'Output annual'!$AD$2&amp;"*FangerPMV(Hourly)",'Eplus results'!$1:$1048576,ROW(),FALSE)</f>
        <v>0</v>
      </c>
      <c r="AD8445" s="580">
        <f t="shared" si="691"/>
        <v>5</v>
      </c>
      <c r="AE8445" s="580">
        <f t="shared" si="692"/>
        <v>2.5</v>
      </c>
      <c r="AF8445" s="580">
        <f t="shared" si="693"/>
        <v>2.5</v>
      </c>
      <c r="AG8445" s="580">
        <f t="shared" si="694"/>
        <v>0</v>
      </c>
      <c r="AH8445" s="580">
        <f t="shared" si="695"/>
        <v>0</v>
      </c>
    </row>
    <row r="8446" spans="28:34">
      <c r="AB8446" s="580">
        <f>HLOOKUP("*"&amp;'Output annual'!$AC$2&amp;'Output annual'!$AD$2&amp;"*Zone People Number Of Occupants [](Hourly)",'Eplus results'!$1:$1048576,ROW(),FALSE)</f>
        <v>0</v>
      </c>
      <c r="AC8446" s="580">
        <f>HLOOKUP("*"&amp;'Output annual'!$AC$2&amp;'Output annual'!$AD$2&amp;"*FangerPMV(Hourly)",'Eplus results'!$1:$1048576,ROW(),FALSE)</f>
        <v>0</v>
      </c>
      <c r="AD8446" s="580">
        <f t="shared" si="691"/>
        <v>5</v>
      </c>
      <c r="AE8446" s="580">
        <f t="shared" si="692"/>
        <v>2.5</v>
      </c>
      <c r="AF8446" s="580">
        <f t="shared" si="693"/>
        <v>2.5</v>
      </c>
      <c r="AG8446" s="580">
        <f t="shared" si="694"/>
        <v>0</v>
      </c>
      <c r="AH8446" s="580">
        <f t="shared" si="695"/>
        <v>0</v>
      </c>
    </row>
    <row r="8447" spans="28:34">
      <c r="AB8447" s="580">
        <f>HLOOKUP("*"&amp;'Output annual'!$AC$2&amp;'Output annual'!$AD$2&amp;"*Zone People Number Of Occupants [](Hourly)",'Eplus results'!$1:$1048576,ROW(),FALSE)</f>
        <v>0</v>
      </c>
      <c r="AC8447" s="580">
        <f>HLOOKUP("*"&amp;'Output annual'!$AC$2&amp;'Output annual'!$AD$2&amp;"*FangerPMV(Hourly)",'Eplus results'!$1:$1048576,ROW(),FALSE)</f>
        <v>0</v>
      </c>
      <c r="AD8447" s="580">
        <f t="shared" si="691"/>
        <v>5</v>
      </c>
      <c r="AE8447" s="580">
        <f t="shared" si="692"/>
        <v>2.5</v>
      </c>
      <c r="AF8447" s="580">
        <f t="shared" si="693"/>
        <v>2.5</v>
      </c>
      <c r="AG8447" s="580">
        <f t="shared" si="694"/>
        <v>0</v>
      </c>
      <c r="AH8447" s="580">
        <f t="shared" si="695"/>
        <v>0</v>
      </c>
    </row>
    <row r="8448" spans="28:34">
      <c r="AB8448" s="580">
        <f>HLOOKUP("*"&amp;'Output annual'!$AC$2&amp;'Output annual'!$AD$2&amp;"*Zone People Number Of Occupants [](Hourly)",'Eplus results'!$1:$1048576,ROW(),FALSE)</f>
        <v>0</v>
      </c>
      <c r="AC8448" s="580">
        <f>HLOOKUP("*"&amp;'Output annual'!$AC$2&amp;'Output annual'!$AD$2&amp;"*FangerPMV(Hourly)",'Eplus results'!$1:$1048576,ROW(),FALSE)</f>
        <v>0</v>
      </c>
      <c r="AD8448" s="580">
        <f t="shared" si="691"/>
        <v>5</v>
      </c>
      <c r="AE8448" s="580">
        <f t="shared" si="692"/>
        <v>2.5</v>
      </c>
      <c r="AF8448" s="580">
        <f t="shared" si="693"/>
        <v>2.5</v>
      </c>
      <c r="AG8448" s="580">
        <f t="shared" si="694"/>
        <v>0</v>
      </c>
      <c r="AH8448" s="580">
        <f t="shared" si="695"/>
        <v>0</v>
      </c>
    </row>
    <row r="8449" spans="28:34">
      <c r="AB8449" s="580">
        <f>HLOOKUP("*"&amp;'Output annual'!$AC$2&amp;'Output annual'!$AD$2&amp;"*Zone People Number Of Occupants [](Hourly)",'Eplus results'!$1:$1048576,ROW(),FALSE)</f>
        <v>0</v>
      </c>
      <c r="AC8449" s="580">
        <f>HLOOKUP("*"&amp;'Output annual'!$AC$2&amp;'Output annual'!$AD$2&amp;"*FangerPMV(Hourly)",'Eplus results'!$1:$1048576,ROW(),FALSE)</f>
        <v>0</v>
      </c>
      <c r="AD8449" s="580">
        <f t="shared" si="691"/>
        <v>5</v>
      </c>
      <c r="AE8449" s="580">
        <f t="shared" si="692"/>
        <v>2.5</v>
      </c>
      <c r="AF8449" s="580">
        <f t="shared" si="693"/>
        <v>2.5</v>
      </c>
      <c r="AG8449" s="580">
        <f t="shared" si="694"/>
        <v>0</v>
      </c>
      <c r="AH8449" s="580">
        <f t="shared" si="695"/>
        <v>0</v>
      </c>
    </row>
    <row r="8450" spans="28:34">
      <c r="AB8450" s="580">
        <f>HLOOKUP("*"&amp;'Output annual'!$AC$2&amp;'Output annual'!$AD$2&amp;"*Zone People Number Of Occupants [](Hourly)",'Eplus results'!$1:$1048576,ROW(),FALSE)</f>
        <v>0</v>
      </c>
      <c r="AC8450" s="580">
        <f>HLOOKUP("*"&amp;'Output annual'!$AC$2&amp;'Output annual'!$AD$2&amp;"*FangerPMV(Hourly)",'Eplus results'!$1:$1048576,ROW(),FALSE)</f>
        <v>0</v>
      </c>
      <c r="AD8450" s="580">
        <f t="shared" si="691"/>
        <v>5</v>
      </c>
      <c r="AE8450" s="580">
        <f t="shared" si="692"/>
        <v>2.5</v>
      </c>
      <c r="AF8450" s="580">
        <f t="shared" si="693"/>
        <v>2.5</v>
      </c>
      <c r="AG8450" s="580">
        <f t="shared" si="694"/>
        <v>0</v>
      </c>
      <c r="AH8450" s="580">
        <f t="shared" si="695"/>
        <v>0</v>
      </c>
    </row>
    <row r="8451" spans="28:34">
      <c r="AB8451" s="580">
        <f>HLOOKUP("*"&amp;'Output annual'!$AC$2&amp;'Output annual'!$AD$2&amp;"*Zone People Number Of Occupants [](Hourly)",'Eplus results'!$1:$1048576,ROW(),FALSE)</f>
        <v>0</v>
      </c>
      <c r="AC8451" s="580">
        <f>HLOOKUP("*"&amp;'Output annual'!$AC$2&amp;'Output annual'!$AD$2&amp;"*FangerPMV(Hourly)",'Eplus results'!$1:$1048576,ROW(),FALSE)</f>
        <v>0</v>
      </c>
      <c r="AD8451" s="580">
        <f t="shared" ref="AD8451:AD8514" si="696">100-95*EXP(-0.03353*AC8451^4-0.2179*AC8451^2)</f>
        <v>5</v>
      </c>
      <c r="AE8451" s="580">
        <f t="shared" ref="AE8451:AE8514" si="697">AD8451*(1/(1+EXP(-6.3*$AC8451)))</f>
        <v>2.5</v>
      </c>
      <c r="AF8451" s="580">
        <f t="shared" ref="AF8451:AF8514" si="698">(AD8451-AE8451)</f>
        <v>2.5</v>
      </c>
      <c r="AG8451" s="580">
        <f t="shared" ref="AG8451:AG8514" si="699">AE8451*AB8451</f>
        <v>0</v>
      </c>
      <c r="AH8451" s="580">
        <f t="shared" ref="AH8451:AH8514" si="700">AF8451*AB8451</f>
        <v>0</v>
      </c>
    </row>
    <row r="8452" spans="28:34">
      <c r="AB8452" s="580">
        <f>HLOOKUP("*"&amp;'Output annual'!$AC$2&amp;'Output annual'!$AD$2&amp;"*Zone People Number Of Occupants [](Hourly)",'Eplus results'!$1:$1048576,ROW(),FALSE)</f>
        <v>0</v>
      </c>
      <c r="AC8452" s="580">
        <f>HLOOKUP("*"&amp;'Output annual'!$AC$2&amp;'Output annual'!$AD$2&amp;"*FangerPMV(Hourly)",'Eplus results'!$1:$1048576,ROW(),FALSE)</f>
        <v>0</v>
      </c>
      <c r="AD8452" s="580">
        <f t="shared" si="696"/>
        <v>5</v>
      </c>
      <c r="AE8452" s="580">
        <f t="shared" si="697"/>
        <v>2.5</v>
      </c>
      <c r="AF8452" s="580">
        <f t="shared" si="698"/>
        <v>2.5</v>
      </c>
      <c r="AG8452" s="580">
        <f t="shared" si="699"/>
        <v>0</v>
      </c>
      <c r="AH8452" s="580">
        <f t="shared" si="700"/>
        <v>0</v>
      </c>
    </row>
    <row r="8453" spans="28:34">
      <c r="AB8453" s="580">
        <f>HLOOKUP("*"&amp;'Output annual'!$AC$2&amp;'Output annual'!$AD$2&amp;"*Zone People Number Of Occupants [](Hourly)",'Eplus results'!$1:$1048576,ROW(),FALSE)</f>
        <v>0</v>
      </c>
      <c r="AC8453" s="580">
        <f>HLOOKUP("*"&amp;'Output annual'!$AC$2&amp;'Output annual'!$AD$2&amp;"*FangerPMV(Hourly)",'Eplus results'!$1:$1048576,ROW(),FALSE)</f>
        <v>0</v>
      </c>
      <c r="AD8453" s="580">
        <f t="shared" si="696"/>
        <v>5</v>
      </c>
      <c r="AE8453" s="580">
        <f t="shared" si="697"/>
        <v>2.5</v>
      </c>
      <c r="AF8453" s="580">
        <f t="shared" si="698"/>
        <v>2.5</v>
      </c>
      <c r="AG8453" s="580">
        <f t="shared" si="699"/>
        <v>0</v>
      </c>
      <c r="AH8453" s="580">
        <f t="shared" si="700"/>
        <v>0</v>
      </c>
    </row>
    <row r="8454" spans="28:34">
      <c r="AB8454" s="580">
        <f>HLOOKUP("*"&amp;'Output annual'!$AC$2&amp;'Output annual'!$AD$2&amp;"*Zone People Number Of Occupants [](Hourly)",'Eplus results'!$1:$1048576,ROW(),FALSE)</f>
        <v>0</v>
      </c>
      <c r="AC8454" s="580">
        <f>HLOOKUP("*"&amp;'Output annual'!$AC$2&amp;'Output annual'!$AD$2&amp;"*FangerPMV(Hourly)",'Eplus results'!$1:$1048576,ROW(),FALSE)</f>
        <v>0</v>
      </c>
      <c r="AD8454" s="580">
        <f t="shared" si="696"/>
        <v>5</v>
      </c>
      <c r="AE8454" s="580">
        <f t="shared" si="697"/>
        <v>2.5</v>
      </c>
      <c r="AF8454" s="580">
        <f t="shared" si="698"/>
        <v>2.5</v>
      </c>
      <c r="AG8454" s="580">
        <f t="shared" si="699"/>
        <v>0</v>
      </c>
      <c r="AH8454" s="580">
        <f t="shared" si="700"/>
        <v>0</v>
      </c>
    </row>
    <row r="8455" spans="28:34">
      <c r="AB8455" s="580">
        <f>HLOOKUP("*"&amp;'Output annual'!$AC$2&amp;'Output annual'!$AD$2&amp;"*Zone People Number Of Occupants [](Hourly)",'Eplus results'!$1:$1048576,ROW(),FALSE)</f>
        <v>0</v>
      </c>
      <c r="AC8455" s="580">
        <f>HLOOKUP("*"&amp;'Output annual'!$AC$2&amp;'Output annual'!$AD$2&amp;"*FangerPMV(Hourly)",'Eplus results'!$1:$1048576,ROW(),FALSE)</f>
        <v>0</v>
      </c>
      <c r="AD8455" s="580">
        <f t="shared" si="696"/>
        <v>5</v>
      </c>
      <c r="AE8455" s="580">
        <f t="shared" si="697"/>
        <v>2.5</v>
      </c>
      <c r="AF8455" s="580">
        <f t="shared" si="698"/>
        <v>2.5</v>
      </c>
      <c r="AG8455" s="580">
        <f t="shared" si="699"/>
        <v>0</v>
      </c>
      <c r="AH8455" s="580">
        <f t="shared" si="700"/>
        <v>0</v>
      </c>
    </row>
    <row r="8456" spans="28:34">
      <c r="AB8456" s="580">
        <f>HLOOKUP("*"&amp;'Output annual'!$AC$2&amp;'Output annual'!$AD$2&amp;"*Zone People Number Of Occupants [](Hourly)",'Eplus results'!$1:$1048576,ROW(),FALSE)</f>
        <v>0</v>
      </c>
      <c r="AC8456" s="580">
        <f>HLOOKUP("*"&amp;'Output annual'!$AC$2&amp;'Output annual'!$AD$2&amp;"*FangerPMV(Hourly)",'Eplus results'!$1:$1048576,ROW(),FALSE)</f>
        <v>0</v>
      </c>
      <c r="AD8456" s="580">
        <f t="shared" si="696"/>
        <v>5</v>
      </c>
      <c r="AE8456" s="580">
        <f t="shared" si="697"/>
        <v>2.5</v>
      </c>
      <c r="AF8456" s="580">
        <f t="shared" si="698"/>
        <v>2.5</v>
      </c>
      <c r="AG8456" s="580">
        <f t="shared" si="699"/>
        <v>0</v>
      </c>
      <c r="AH8456" s="580">
        <f t="shared" si="700"/>
        <v>0</v>
      </c>
    </row>
    <row r="8457" spans="28:34">
      <c r="AB8457" s="580">
        <f>HLOOKUP("*"&amp;'Output annual'!$AC$2&amp;'Output annual'!$AD$2&amp;"*Zone People Number Of Occupants [](Hourly)",'Eplus results'!$1:$1048576,ROW(),FALSE)</f>
        <v>0</v>
      </c>
      <c r="AC8457" s="580">
        <f>HLOOKUP("*"&amp;'Output annual'!$AC$2&amp;'Output annual'!$AD$2&amp;"*FangerPMV(Hourly)",'Eplus results'!$1:$1048576,ROW(),FALSE)</f>
        <v>0</v>
      </c>
      <c r="AD8457" s="580">
        <f t="shared" si="696"/>
        <v>5</v>
      </c>
      <c r="AE8457" s="580">
        <f t="shared" si="697"/>
        <v>2.5</v>
      </c>
      <c r="AF8457" s="580">
        <f t="shared" si="698"/>
        <v>2.5</v>
      </c>
      <c r="AG8457" s="580">
        <f t="shared" si="699"/>
        <v>0</v>
      </c>
      <c r="AH8457" s="580">
        <f t="shared" si="700"/>
        <v>0</v>
      </c>
    </row>
    <row r="8458" spans="28:34">
      <c r="AB8458" s="580">
        <f>HLOOKUP("*"&amp;'Output annual'!$AC$2&amp;'Output annual'!$AD$2&amp;"*Zone People Number Of Occupants [](Hourly)",'Eplus results'!$1:$1048576,ROW(),FALSE)</f>
        <v>0</v>
      </c>
      <c r="AC8458" s="580">
        <f>HLOOKUP("*"&amp;'Output annual'!$AC$2&amp;'Output annual'!$AD$2&amp;"*FangerPMV(Hourly)",'Eplus results'!$1:$1048576,ROW(),FALSE)</f>
        <v>0</v>
      </c>
      <c r="AD8458" s="580">
        <f t="shared" si="696"/>
        <v>5</v>
      </c>
      <c r="AE8458" s="580">
        <f t="shared" si="697"/>
        <v>2.5</v>
      </c>
      <c r="AF8458" s="580">
        <f t="shared" si="698"/>
        <v>2.5</v>
      </c>
      <c r="AG8458" s="580">
        <f t="shared" si="699"/>
        <v>0</v>
      </c>
      <c r="AH8458" s="580">
        <f t="shared" si="700"/>
        <v>0</v>
      </c>
    </row>
    <row r="8459" spans="28:34">
      <c r="AB8459" s="580">
        <f>HLOOKUP("*"&amp;'Output annual'!$AC$2&amp;'Output annual'!$AD$2&amp;"*Zone People Number Of Occupants [](Hourly)",'Eplus results'!$1:$1048576,ROW(),FALSE)</f>
        <v>0</v>
      </c>
      <c r="AC8459" s="580">
        <f>HLOOKUP("*"&amp;'Output annual'!$AC$2&amp;'Output annual'!$AD$2&amp;"*FangerPMV(Hourly)",'Eplus results'!$1:$1048576,ROW(),FALSE)</f>
        <v>0</v>
      </c>
      <c r="AD8459" s="580">
        <f t="shared" si="696"/>
        <v>5</v>
      </c>
      <c r="AE8459" s="580">
        <f t="shared" si="697"/>
        <v>2.5</v>
      </c>
      <c r="AF8459" s="580">
        <f t="shared" si="698"/>
        <v>2.5</v>
      </c>
      <c r="AG8459" s="580">
        <f t="shared" si="699"/>
        <v>0</v>
      </c>
      <c r="AH8459" s="580">
        <f t="shared" si="700"/>
        <v>0</v>
      </c>
    </row>
    <row r="8460" spans="28:34">
      <c r="AB8460" s="580">
        <f>HLOOKUP("*"&amp;'Output annual'!$AC$2&amp;'Output annual'!$AD$2&amp;"*Zone People Number Of Occupants [](Hourly)",'Eplus results'!$1:$1048576,ROW(),FALSE)</f>
        <v>0</v>
      </c>
      <c r="AC8460" s="580">
        <f>HLOOKUP("*"&amp;'Output annual'!$AC$2&amp;'Output annual'!$AD$2&amp;"*FangerPMV(Hourly)",'Eplus results'!$1:$1048576,ROW(),FALSE)</f>
        <v>0</v>
      </c>
      <c r="AD8460" s="580">
        <f t="shared" si="696"/>
        <v>5</v>
      </c>
      <c r="AE8460" s="580">
        <f t="shared" si="697"/>
        <v>2.5</v>
      </c>
      <c r="AF8460" s="580">
        <f t="shared" si="698"/>
        <v>2.5</v>
      </c>
      <c r="AG8460" s="580">
        <f t="shared" si="699"/>
        <v>0</v>
      </c>
      <c r="AH8460" s="580">
        <f t="shared" si="700"/>
        <v>0</v>
      </c>
    </row>
    <row r="8461" spans="28:34">
      <c r="AB8461" s="580">
        <f>HLOOKUP("*"&amp;'Output annual'!$AC$2&amp;'Output annual'!$AD$2&amp;"*Zone People Number Of Occupants [](Hourly)",'Eplus results'!$1:$1048576,ROW(),FALSE)</f>
        <v>0</v>
      </c>
      <c r="AC8461" s="580">
        <f>HLOOKUP("*"&amp;'Output annual'!$AC$2&amp;'Output annual'!$AD$2&amp;"*FangerPMV(Hourly)",'Eplus results'!$1:$1048576,ROW(),FALSE)</f>
        <v>0</v>
      </c>
      <c r="AD8461" s="580">
        <f t="shared" si="696"/>
        <v>5</v>
      </c>
      <c r="AE8461" s="580">
        <f t="shared" si="697"/>
        <v>2.5</v>
      </c>
      <c r="AF8461" s="580">
        <f t="shared" si="698"/>
        <v>2.5</v>
      </c>
      <c r="AG8461" s="580">
        <f t="shared" si="699"/>
        <v>0</v>
      </c>
      <c r="AH8461" s="580">
        <f t="shared" si="700"/>
        <v>0</v>
      </c>
    </row>
    <row r="8462" spans="28:34">
      <c r="AB8462" s="580">
        <f>HLOOKUP("*"&amp;'Output annual'!$AC$2&amp;'Output annual'!$AD$2&amp;"*Zone People Number Of Occupants [](Hourly)",'Eplus results'!$1:$1048576,ROW(),FALSE)</f>
        <v>0</v>
      </c>
      <c r="AC8462" s="580">
        <f>HLOOKUP("*"&amp;'Output annual'!$AC$2&amp;'Output annual'!$AD$2&amp;"*FangerPMV(Hourly)",'Eplus results'!$1:$1048576,ROW(),FALSE)</f>
        <v>0</v>
      </c>
      <c r="AD8462" s="580">
        <f t="shared" si="696"/>
        <v>5</v>
      </c>
      <c r="AE8462" s="580">
        <f t="shared" si="697"/>
        <v>2.5</v>
      </c>
      <c r="AF8462" s="580">
        <f t="shared" si="698"/>
        <v>2.5</v>
      </c>
      <c r="AG8462" s="580">
        <f t="shared" si="699"/>
        <v>0</v>
      </c>
      <c r="AH8462" s="580">
        <f t="shared" si="700"/>
        <v>0</v>
      </c>
    </row>
    <row r="8463" spans="28:34">
      <c r="AB8463" s="580">
        <f>HLOOKUP("*"&amp;'Output annual'!$AC$2&amp;'Output annual'!$AD$2&amp;"*Zone People Number Of Occupants [](Hourly)",'Eplus results'!$1:$1048576,ROW(),FALSE)</f>
        <v>0</v>
      </c>
      <c r="AC8463" s="580">
        <f>HLOOKUP("*"&amp;'Output annual'!$AC$2&amp;'Output annual'!$AD$2&amp;"*FangerPMV(Hourly)",'Eplus results'!$1:$1048576,ROW(),FALSE)</f>
        <v>0</v>
      </c>
      <c r="AD8463" s="580">
        <f t="shared" si="696"/>
        <v>5</v>
      </c>
      <c r="AE8463" s="580">
        <f t="shared" si="697"/>
        <v>2.5</v>
      </c>
      <c r="AF8463" s="580">
        <f t="shared" si="698"/>
        <v>2.5</v>
      </c>
      <c r="AG8463" s="580">
        <f t="shared" si="699"/>
        <v>0</v>
      </c>
      <c r="AH8463" s="580">
        <f t="shared" si="700"/>
        <v>0</v>
      </c>
    </row>
    <row r="8464" spans="28:34">
      <c r="AB8464" s="580">
        <f>HLOOKUP("*"&amp;'Output annual'!$AC$2&amp;'Output annual'!$AD$2&amp;"*Zone People Number Of Occupants [](Hourly)",'Eplus results'!$1:$1048576,ROW(),FALSE)</f>
        <v>0</v>
      </c>
      <c r="AC8464" s="580">
        <f>HLOOKUP("*"&amp;'Output annual'!$AC$2&amp;'Output annual'!$AD$2&amp;"*FangerPMV(Hourly)",'Eplus results'!$1:$1048576,ROW(),FALSE)</f>
        <v>0</v>
      </c>
      <c r="AD8464" s="580">
        <f t="shared" si="696"/>
        <v>5</v>
      </c>
      <c r="AE8464" s="580">
        <f t="shared" si="697"/>
        <v>2.5</v>
      </c>
      <c r="AF8464" s="580">
        <f t="shared" si="698"/>
        <v>2.5</v>
      </c>
      <c r="AG8464" s="580">
        <f t="shared" si="699"/>
        <v>0</v>
      </c>
      <c r="AH8464" s="580">
        <f t="shared" si="700"/>
        <v>0</v>
      </c>
    </row>
    <row r="8465" spans="28:34">
      <c r="AB8465" s="580">
        <f>HLOOKUP("*"&amp;'Output annual'!$AC$2&amp;'Output annual'!$AD$2&amp;"*Zone People Number Of Occupants [](Hourly)",'Eplus results'!$1:$1048576,ROW(),FALSE)</f>
        <v>0</v>
      </c>
      <c r="AC8465" s="580">
        <f>HLOOKUP("*"&amp;'Output annual'!$AC$2&amp;'Output annual'!$AD$2&amp;"*FangerPMV(Hourly)",'Eplus results'!$1:$1048576,ROW(),FALSE)</f>
        <v>0</v>
      </c>
      <c r="AD8465" s="580">
        <f t="shared" si="696"/>
        <v>5</v>
      </c>
      <c r="AE8465" s="580">
        <f t="shared" si="697"/>
        <v>2.5</v>
      </c>
      <c r="AF8465" s="580">
        <f t="shared" si="698"/>
        <v>2.5</v>
      </c>
      <c r="AG8465" s="580">
        <f t="shared" si="699"/>
        <v>0</v>
      </c>
      <c r="AH8465" s="580">
        <f t="shared" si="700"/>
        <v>0</v>
      </c>
    </row>
    <row r="8466" spans="28:34">
      <c r="AB8466" s="580">
        <f>HLOOKUP("*"&amp;'Output annual'!$AC$2&amp;'Output annual'!$AD$2&amp;"*Zone People Number Of Occupants [](Hourly)",'Eplus results'!$1:$1048576,ROW(),FALSE)</f>
        <v>0</v>
      </c>
      <c r="AC8466" s="580">
        <f>HLOOKUP("*"&amp;'Output annual'!$AC$2&amp;'Output annual'!$AD$2&amp;"*FangerPMV(Hourly)",'Eplus results'!$1:$1048576,ROW(),FALSE)</f>
        <v>0</v>
      </c>
      <c r="AD8466" s="580">
        <f t="shared" si="696"/>
        <v>5</v>
      </c>
      <c r="AE8466" s="580">
        <f t="shared" si="697"/>
        <v>2.5</v>
      </c>
      <c r="AF8466" s="580">
        <f t="shared" si="698"/>
        <v>2.5</v>
      </c>
      <c r="AG8466" s="580">
        <f t="shared" si="699"/>
        <v>0</v>
      </c>
      <c r="AH8466" s="580">
        <f t="shared" si="700"/>
        <v>0</v>
      </c>
    </row>
    <row r="8467" spans="28:34">
      <c r="AB8467" s="580">
        <f>HLOOKUP("*"&amp;'Output annual'!$AC$2&amp;'Output annual'!$AD$2&amp;"*Zone People Number Of Occupants [](Hourly)",'Eplus results'!$1:$1048576,ROW(),FALSE)</f>
        <v>0</v>
      </c>
      <c r="AC8467" s="580">
        <f>HLOOKUP("*"&amp;'Output annual'!$AC$2&amp;'Output annual'!$AD$2&amp;"*FangerPMV(Hourly)",'Eplus results'!$1:$1048576,ROW(),FALSE)</f>
        <v>0</v>
      </c>
      <c r="AD8467" s="580">
        <f t="shared" si="696"/>
        <v>5</v>
      </c>
      <c r="AE8467" s="580">
        <f t="shared" si="697"/>
        <v>2.5</v>
      </c>
      <c r="AF8467" s="580">
        <f t="shared" si="698"/>
        <v>2.5</v>
      </c>
      <c r="AG8467" s="580">
        <f t="shared" si="699"/>
        <v>0</v>
      </c>
      <c r="AH8467" s="580">
        <f t="shared" si="700"/>
        <v>0</v>
      </c>
    </row>
    <row r="8468" spans="28:34">
      <c r="AB8468" s="580">
        <f>HLOOKUP("*"&amp;'Output annual'!$AC$2&amp;'Output annual'!$AD$2&amp;"*Zone People Number Of Occupants [](Hourly)",'Eplus results'!$1:$1048576,ROW(),FALSE)</f>
        <v>0</v>
      </c>
      <c r="AC8468" s="580">
        <f>HLOOKUP("*"&amp;'Output annual'!$AC$2&amp;'Output annual'!$AD$2&amp;"*FangerPMV(Hourly)",'Eplus results'!$1:$1048576,ROW(),FALSE)</f>
        <v>0</v>
      </c>
      <c r="AD8468" s="580">
        <f t="shared" si="696"/>
        <v>5</v>
      </c>
      <c r="AE8468" s="580">
        <f t="shared" si="697"/>
        <v>2.5</v>
      </c>
      <c r="AF8468" s="580">
        <f t="shared" si="698"/>
        <v>2.5</v>
      </c>
      <c r="AG8468" s="580">
        <f t="shared" si="699"/>
        <v>0</v>
      </c>
      <c r="AH8468" s="580">
        <f t="shared" si="700"/>
        <v>0</v>
      </c>
    </row>
    <row r="8469" spans="28:34">
      <c r="AB8469" s="580">
        <f>HLOOKUP("*"&amp;'Output annual'!$AC$2&amp;'Output annual'!$AD$2&amp;"*Zone People Number Of Occupants [](Hourly)",'Eplus results'!$1:$1048576,ROW(),FALSE)</f>
        <v>0</v>
      </c>
      <c r="AC8469" s="580">
        <f>HLOOKUP("*"&amp;'Output annual'!$AC$2&amp;'Output annual'!$AD$2&amp;"*FangerPMV(Hourly)",'Eplus results'!$1:$1048576,ROW(),FALSE)</f>
        <v>0</v>
      </c>
      <c r="AD8469" s="580">
        <f t="shared" si="696"/>
        <v>5</v>
      </c>
      <c r="AE8469" s="580">
        <f t="shared" si="697"/>
        <v>2.5</v>
      </c>
      <c r="AF8469" s="580">
        <f t="shared" si="698"/>
        <v>2.5</v>
      </c>
      <c r="AG8469" s="580">
        <f t="shared" si="699"/>
        <v>0</v>
      </c>
      <c r="AH8469" s="580">
        <f t="shared" si="700"/>
        <v>0</v>
      </c>
    </row>
    <row r="8470" spans="28:34">
      <c r="AB8470" s="580">
        <f>HLOOKUP("*"&amp;'Output annual'!$AC$2&amp;'Output annual'!$AD$2&amp;"*Zone People Number Of Occupants [](Hourly)",'Eplus results'!$1:$1048576,ROW(),FALSE)</f>
        <v>0</v>
      </c>
      <c r="AC8470" s="580">
        <f>HLOOKUP("*"&amp;'Output annual'!$AC$2&amp;'Output annual'!$AD$2&amp;"*FangerPMV(Hourly)",'Eplus results'!$1:$1048576,ROW(),FALSE)</f>
        <v>0</v>
      </c>
      <c r="AD8470" s="580">
        <f t="shared" si="696"/>
        <v>5</v>
      </c>
      <c r="AE8470" s="580">
        <f t="shared" si="697"/>
        <v>2.5</v>
      </c>
      <c r="AF8470" s="580">
        <f t="shared" si="698"/>
        <v>2.5</v>
      </c>
      <c r="AG8470" s="580">
        <f t="shared" si="699"/>
        <v>0</v>
      </c>
      <c r="AH8470" s="580">
        <f t="shared" si="700"/>
        <v>0</v>
      </c>
    </row>
    <row r="8471" spans="28:34">
      <c r="AB8471" s="580">
        <f>HLOOKUP("*"&amp;'Output annual'!$AC$2&amp;'Output annual'!$AD$2&amp;"*Zone People Number Of Occupants [](Hourly)",'Eplus results'!$1:$1048576,ROW(),FALSE)</f>
        <v>0</v>
      </c>
      <c r="AC8471" s="580">
        <f>HLOOKUP("*"&amp;'Output annual'!$AC$2&amp;'Output annual'!$AD$2&amp;"*FangerPMV(Hourly)",'Eplus results'!$1:$1048576,ROW(),FALSE)</f>
        <v>0</v>
      </c>
      <c r="AD8471" s="580">
        <f t="shared" si="696"/>
        <v>5</v>
      </c>
      <c r="AE8471" s="580">
        <f t="shared" si="697"/>
        <v>2.5</v>
      </c>
      <c r="AF8471" s="580">
        <f t="shared" si="698"/>
        <v>2.5</v>
      </c>
      <c r="AG8471" s="580">
        <f t="shared" si="699"/>
        <v>0</v>
      </c>
      <c r="AH8471" s="580">
        <f t="shared" si="700"/>
        <v>0</v>
      </c>
    </row>
    <row r="8472" spans="28:34">
      <c r="AB8472" s="580">
        <f>HLOOKUP("*"&amp;'Output annual'!$AC$2&amp;'Output annual'!$AD$2&amp;"*Zone People Number Of Occupants [](Hourly)",'Eplus results'!$1:$1048576,ROW(),FALSE)</f>
        <v>0</v>
      </c>
      <c r="AC8472" s="580">
        <f>HLOOKUP("*"&amp;'Output annual'!$AC$2&amp;'Output annual'!$AD$2&amp;"*FangerPMV(Hourly)",'Eplus results'!$1:$1048576,ROW(),FALSE)</f>
        <v>0</v>
      </c>
      <c r="AD8472" s="580">
        <f t="shared" si="696"/>
        <v>5</v>
      </c>
      <c r="AE8472" s="580">
        <f t="shared" si="697"/>
        <v>2.5</v>
      </c>
      <c r="AF8472" s="580">
        <f t="shared" si="698"/>
        <v>2.5</v>
      </c>
      <c r="AG8472" s="580">
        <f t="shared" si="699"/>
        <v>0</v>
      </c>
      <c r="AH8472" s="580">
        <f t="shared" si="700"/>
        <v>0</v>
      </c>
    </row>
    <row r="8473" spans="28:34">
      <c r="AB8473" s="580">
        <f>HLOOKUP("*"&amp;'Output annual'!$AC$2&amp;'Output annual'!$AD$2&amp;"*Zone People Number Of Occupants [](Hourly)",'Eplus results'!$1:$1048576,ROW(),FALSE)</f>
        <v>0</v>
      </c>
      <c r="AC8473" s="580">
        <f>HLOOKUP("*"&amp;'Output annual'!$AC$2&amp;'Output annual'!$AD$2&amp;"*FangerPMV(Hourly)",'Eplus results'!$1:$1048576,ROW(),FALSE)</f>
        <v>0</v>
      </c>
      <c r="AD8473" s="580">
        <f t="shared" si="696"/>
        <v>5</v>
      </c>
      <c r="AE8473" s="580">
        <f t="shared" si="697"/>
        <v>2.5</v>
      </c>
      <c r="AF8473" s="580">
        <f t="shared" si="698"/>
        <v>2.5</v>
      </c>
      <c r="AG8473" s="580">
        <f t="shared" si="699"/>
        <v>0</v>
      </c>
      <c r="AH8473" s="580">
        <f t="shared" si="700"/>
        <v>0</v>
      </c>
    </row>
    <row r="8474" spans="28:34">
      <c r="AB8474" s="580">
        <f>HLOOKUP("*"&amp;'Output annual'!$AC$2&amp;'Output annual'!$AD$2&amp;"*Zone People Number Of Occupants [](Hourly)",'Eplus results'!$1:$1048576,ROW(),FALSE)</f>
        <v>0</v>
      </c>
      <c r="AC8474" s="580">
        <f>HLOOKUP("*"&amp;'Output annual'!$AC$2&amp;'Output annual'!$AD$2&amp;"*FangerPMV(Hourly)",'Eplus results'!$1:$1048576,ROW(),FALSE)</f>
        <v>0</v>
      </c>
      <c r="AD8474" s="580">
        <f t="shared" si="696"/>
        <v>5</v>
      </c>
      <c r="AE8474" s="580">
        <f t="shared" si="697"/>
        <v>2.5</v>
      </c>
      <c r="AF8474" s="580">
        <f t="shared" si="698"/>
        <v>2.5</v>
      </c>
      <c r="AG8474" s="580">
        <f t="shared" si="699"/>
        <v>0</v>
      </c>
      <c r="AH8474" s="580">
        <f t="shared" si="700"/>
        <v>0</v>
      </c>
    </row>
    <row r="8475" spans="28:34">
      <c r="AB8475" s="580">
        <f>HLOOKUP("*"&amp;'Output annual'!$AC$2&amp;'Output annual'!$AD$2&amp;"*Zone People Number Of Occupants [](Hourly)",'Eplus results'!$1:$1048576,ROW(),FALSE)</f>
        <v>0</v>
      </c>
      <c r="AC8475" s="580">
        <f>HLOOKUP("*"&amp;'Output annual'!$AC$2&amp;'Output annual'!$AD$2&amp;"*FangerPMV(Hourly)",'Eplus results'!$1:$1048576,ROW(),FALSE)</f>
        <v>0</v>
      </c>
      <c r="AD8475" s="580">
        <f t="shared" si="696"/>
        <v>5</v>
      </c>
      <c r="AE8475" s="580">
        <f t="shared" si="697"/>
        <v>2.5</v>
      </c>
      <c r="AF8475" s="580">
        <f t="shared" si="698"/>
        <v>2.5</v>
      </c>
      <c r="AG8475" s="580">
        <f t="shared" si="699"/>
        <v>0</v>
      </c>
      <c r="AH8475" s="580">
        <f t="shared" si="700"/>
        <v>0</v>
      </c>
    </row>
    <row r="8476" spans="28:34">
      <c r="AB8476" s="580">
        <f>HLOOKUP("*"&amp;'Output annual'!$AC$2&amp;'Output annual'!$AD$2&amp;"*Zone People Number Of Occupants [](Hourly)",'Eplus results'!$1:$1048576,ROW(),FALSE)</f>
        <v>0</v>
      </c>
      <c r="AC8476" s="580">
        <f>HLOOKUP("*"&amp;'Output annual'!$AC$2&amp;'Output annual'!$AD$2&amp;"*FangerPMV(Hourly)",'Eplus results'!$1:$1048576,ROW(),FALSE)</f>
        <v>0</v>
      </c>
      <c r="AD8476" s="580">
        <f t="shared" si="696"/>
        <v>5</v>
      </c>
      <c r="AE8476" s="580">
        <f t="shared" si="697"/>
        <v>2.5</v>
      </c>
      <c r="AF8476" s="580">
        <f t="shared" si="698"/>
        <v>2.5</v>
      </c>
      <c r="AG8476" s="580">
        <f t="shared" si="699"/>
        <v>0</v>
      </c>
      <c r="AH8476" s="580">
        <f t="shared" si="700"/>
        <v>0</v>
      </c>
    </row>
    <row r="8477" spans="28:34">
      <c r="AB8477" s="580">
        <f>HLOOKUP("*"&amp;'Output annual'!$AC$2&amp;'Output annual'!$AD$2&amp;"*Zone People Number Of Occupants [](Hourly)",'Eplus results'!$1:$1048576,ROW(),FALSE)</f>
        <v>0</v>
      </c>
      <c r="AC8477" s="580">
        <f>HLOOKUP("*"&amp;'Output annual'!$AC$2&amp;'Output annual'!$AD$2&amp;"*FangerPMV(Hourly)",'Eplus results'!$1:$1048576,ROW(),FALSE)</f>
        <v>0</v>
      </c>
      <c r="AD8477" s="580">
        <f t="shared" si="696"/>
        <v>5</v>
      </c>
      <c r="AE8477" s="580">
        <f t="shared" si="697"/>
        <v>2.5</v>
      </c>
      <c r="AF8477" s="580">
        <f t="shared" si="698"/>
        <v>2.5</v>
      </c>
      <c r="AG8477" s="580">
        <f t="shared" si="699"/>
        <v>0</v>
      </c>
      <c r="AH8477" s="580">
        <f t="shared" si="700"/>
        <v>0</v>
      </c>
    </row>
    <row r="8478" spans="28:34">
      <c r="AB8478" s="580">
        <f>HLOOKUP("*"&amp;'Output annual'!$AC$2&amp;'Output annual'!$AD$2&amp;"*Zone People Number Of Occupants [](Hourly)",'Eplus results'!$1:$1048576,ROW(),FALSE)</f>
        <v>0</v>
      </c>
      <c r="AC8478" s="580">
        <f>HLOOKUP("*"&amp;'Output annual'!$AC$2&amp;'Output annual'!$AD$2&amp;"*FangerPMV(Hourly)",'Eplus results'!$1:$1048576,ROW(),FALSE)</f>
        <v>0</v>
      </c>
      <c r="AD8478" s="580">
        <f t="shared" si="696"/>
        <v>5</v>
      </c>
      <c r="AE8478" s="580">
        <f t="shared" si="697"/>
        <v>2.5</v>
      </c>
      <c r="AF8478" s="580">
        <f t="shared" si="698"/>
        <v>2.5</v>
      </c>
      <c r="AG8478" s="580">
        <f t="shared" si="699"/>
        <v>0</v>
      </c>
      <c r="AH8478" s="580">
        <f t="shared" si="700"/>
        <v>0</v>
      </c>
    </row>
    <row r="8479" spans="28:34">
      <c r="AB8479" s="580">
        <f>HLOOKUP("*"&amp;'Output annual'!$AC$2&amp;'Output annual'!$AD$2&amp;"*Zone People Number Of Occupants [](Hourly)",'Eplus results'!$1:$1048576,ROW(),FALSE)</f>
        <v>0</v>
      </c>
      <c r="AC8479" s="580">
        <f>HLOOKUP("*"&amp;'Output annual'!$AC$2&amp;'Output annual'!$AD$2&amp;"*FangerPMV(Hourly)",'Eplus results'!$1:$1048576,ROW(),FALSE)</f>
        <v>0</v>
      </c>
      <c r="AD8479" s="580">
        <f t="shared" si="696"/>
        <v>5</v>
      </c>
      <c r="AE8479" s="580">
        <f t="shared" si="697"/>
        <v>2.5</v>
      </c>
      <c r="AF8479" s="580">
        <f t="shared" si="698"/>
        <v>2.5</v>
      </c>
      <c r="AG8479" s="580">
        <f t="shared" si="699"/>
        <v>0</v>
      </c>
      <c r="AH8479" s="580">
        <f t="shared" si="700"/>
        <v>0</v>
      </c>
    </row>
    <row r="8480" spans="28:34">
      <c r="AB8480" s="580">
        <f>HLOOKUP("*"&amp;'Output annual'!$AC$2&amp;'Output annual'!$AD$2&amp;"*Zone People Number Of Occupants [](Hourly)",'Eplus results'!$1:$1048576,ROW(),FALSE)</f>
        <v>0</v>
      </c>
      <c r="AC8480" s="580">
        <f>HLOOKUP("*"&amp;'Output annual'!$AC$2&amp;'Output annual'!$AD$2&amp;"*FangerPMV(Hourly)",'Eplus results'!$1:$1048576,ROW(),FALSE)</f>
        <v>0</v>
      </c>
      <c r="AD8480" s="580">
        <f t="shared" si="696"/>
        <v>5</v>
      </c>
      <c r="AE8480" s="580">
        <f t="shared" si="697"/>
        <v>2.5</v>
      </c>
      <c r="AF8480" s="580">
        <f t="shared" si="698"/>
        <v>2.5</v>
      </c>
      <c r="AG8480" s="580">
        <f t="shared" si="699"/>
        <v>0</v>
      </c>
      <c r="AH8480" s="580">
        <f t="shared" si="700"/>
        <v>0</v>
      </c>
    </row>
    <row r="8481" spans="28:34">
      <c r="AB8481" s="580">
        <f>HLOOKUP("*"&amp;'Output annual'!$AC$2&amp;'Output annual'!$AD$2&amp;"*Zone People Number Of Occupants [](Hourly)",'Eplus results'!$1:$1048576,ROW(),FALSE)</f>
        <v>0</v>
      </c>
      <c r="AC8481" s="580">
        <f>HLOOKUP("*"&amp;'Output annual'!$AC$2&amp;'Output annual'!$AD$2&amp;"*FangerPMV(Hourly)",'Eplus results'!$1:$1048576,ROW(),FALSE)</f>
        <v>0</v>
      </c>
      <c r="AD8481" s="580">
        <f t="shared" si="696"/>
        <v>5</v>
      </c>
      <c r="AE8481" s="580">
        <f t="shared" si="697"/>
        <v>2.5</v>
      </c>
      <c r="AF8481" s="580">
        <f t="shared" si="698"/>
        <v>2.5</v>
      </c>
      <c r="AG8481" s="580">
        <f t="shared" si="699"/>
        <v>0</v>
      </c>
      <c r="AH8481" s="580">
        <f t="shared" si="700"/>
        <v>0</v>
      </c>
    </row>
    <row r="8482" spans="28:34">
      <c r="AB8482" s="580">
        <f>HLOOKUP("*"&amp;'Output annual'!$AC$2&amp;'Output annual'!$AD$2&amp;"*Zone People Number Of Occupants [](Hourly)",'Eplus results'!$1:$1048576,ROW(),FALSE)</f>
        <v>0</v>
      </c>
      <c r="AC8482" s="580">
        <f>HLOOKUP("*"&amp;'Output annual'!$AC$2&amp;'Output annual'!$AD$2&amp;"*FangerPMV(Hourly)",'Eplus results'!$1:$1048576,ROW(),FALSE)</f>
        <v>0</v>
      </c>
      <c r="AD8482" s="580">
        <f t="shared" si="696"/>
        <v>5</v>
      </c>
      <c r="AE8482" s="580">
        <f t="shared" si="697"/>
        <v>2.5</v>
      </c>
      <c r="AF8482" s="580">
        <f t="shared" si="698"/>
        <v>2.5</v>
      </c>
      <c r="AG8482" s="580">
        <f t="shared" si="699"/>
        <v>0</v>
      </c>
      <c r="AH8482" s="580">
        <f t="shared" si="700"/>
        <v>0</v>
      </c>
    </row>
    <row r="8483" spans="28:34">
      <c r="AB8483" s="580">
        <f>HLOOKUP("*"&amp;'Output annual'!$AC$2&amp;'Output annual'!$AD$2&amp;"*Zone People Number Of Occupants [](Hourly)",'Eplus results'!$1:$1048576,ROW(),FALSE)</f>
        <v>0</v>
      </c>
      <c r="AC8483" s="580">
        <f>HLOOKUP("*"&amp;'Output annual'!$AC$2&amp;'Output annual'!$AD$2&amp;"*FangerPMV(Hourly)",'Eplus results'!$1:$1048576,ROW(),FALSE)</f>
        <v>0</v>
      </c>
      <c r="AD8483" s="580">
        <f t="shared" si="696"/>
        <v>5</v>
      </c>
      <c r="AE8483" s="580">
        <f t="shared" si="697"/>
        <v>2.5</v>
      </c>
      <c r="AF8483" s="580">
        <f t="shared" si="698"/>
        <v>2.5</v>
      </c>
      <c r="AG8483" s="580">
        <f t="shared" si="699"/>
        <v>0</v>
      </c>
      <c r="AH8483" s="580">
        <f t="shared" si="700"/>
        <v>0</v>
      </c>
    </row>
    <row r="8484" spans="28:34">
      <c r="AB8484" s="580">
        <f>HLOOKUP("*"&amp;'Output annual'!$AC$2&amp;'Output annual'!$AD$2&amp;"*Zone People Number Of Occupants [](Hourly)",'Eplus results'!$1:$1048576,ROW(),FALSE)</f>
        <v>0</v>
      </c>
      <c r="AC8484" s="580">
        <f>HLOOKUP("*"&amp;'Output annual'!$AC$2&amp;'Output annual'!$AD$2&amp;"*FangerPMV(Hourly)",'Eplus results'!$1:$1048576,ROW(),FALSE)</f>
        <v>0</v>
      </c>
      <c r="AD8484" s="580">
        <f t="shared" si="696"/>
        <v>5</v>
      </c>
      <c r="AE8484" s="580">
        <f t="shared" si="697"/>
        <v>2.5</v>
      </c>
      <c r="AF8484" s="580">
        <f t="shared" si="698"/>
        <v>2.5</v>
      </c>
      <c r="AG8484" s="580">
        <f t="shared" si="699"/>
        <v>0</v>
      </c>
      <c r="AH8484" s="580">
        <f t="shared" si="700"/>
        <v>0</v>
      </c>
    </row>
    <row r="8485" spans="28:34">
      <c r="AB8485" s="580">
        <f>HLOOKUP("*"&amp;'Output annual'!$AC$2&amp;'Output annual'!$AD$2&amp;"*Zone People Number Of Occupants [](Hourly)",'Eplus results'!$1:$1048576,ROW(),FALSE)</f>
        <v>0</v>
      </c>
      <c r="AC8485" s="580">
        <f>HLOOKUP("*"&amp;'Output annual'!$AC$2&amp;'Output annual'!$AD$2&amp;"*FangerPMV(Hourly)",'Eplus results'!$1:$1048576,ROW(),FALSE)</f>
        <v>0</v>
      </c>
      <c r="AD8485" s="580">
        <f t="shared" si="696"/>
        <v>5</v>
      </c>
      <c r="AE8485" s="580">
        <f t="shared" si="697"/>
        <v>2.5</v>
      </c>
      <c r="AF8485" s="580">
        <f t="shared" si="698"/>
        <v>2.5</v>
      </c>
      <c r="AG8485" s="580">
        <f t="shared" si="699"/>
        <v>0</v>
      </c>
      <c r="AH8485" s="580">
        <f t="shared" si="700"/>
        <v>0</v>
      </c>
    </row>
    <row r="8486" spans="28:34">
      <c r="AB8486" s="580">
        <f>HLOOKUP("*"&amp;'Output annual'!$AC$2&amp;'Output annual'!$AD$2&amp;"*Zone People Number Of Occupants [](Hourly)",'Eplus results'!$1:$1048576,ROW(),FALSE)</f>
        <v>0</v>
      </c>
      <c r="AC8486" s="580">
        <f>HLOOKUP("*"&amp;'Output annual'!$AC$2&amp;'Output annual'!$AD$2&amp;"*FangerPMV(Hourly)",'Eplus results'!$1:$1048576,ROW(),FALSE)</f>
        <v>0</v>
      </c>
      <c r="AD8486" s="580">
        <f t="shared" si="696"/>
        <v>5</v>
      </c>
      <c r="AE8486" s="580">
        <f t="shared" si="697"/>
        <v>2.5</v>
      </c>
      <c r="AF8486" s="580">
        <f t="shared" si="698"/>
        <v>2.5</v>
      </c>
      <c r="AG8486" s="580">
        <f t="shared" si="699"/>
        <v>0</v>
      </c>
      <c r="AH8486" s="580">
        <f t="shared" si="700"/>
        <v>0</v>
      </c>
    </row>
    <row r="8487" spans="28:34">
      <c r="AB8487" s="580">
        <f>HLOOKUP("*"&amp;'Output annual'!$AC$2&amp;'Output annual'!$AD$2&amp;"*Zone People Number Of Occupants [](Hourly)",'Eplus results'!$1:$1048576,ROW(),FALSE)</f>
        <v>0</v>
      </c>
      <c r="AC8487" s="580">
        <f>HLOOKUP("*"&amp;'Output annual'!$AC$2&amp;'Output annual'!$AD$2&amp;"*FangerPMV(Hourly)",'Eplus results'!$1:$1048576,ROW(),FALSE)</f>
        <v>0</v>
      </c>
      <c r="AD8487" s="580">
        <f t="shared" si="696"/>
        <v>5</v>
      </c>
      <c r="AE8487" s="580">
        <f t="shared" si="697"/>
        <v>2.5</v>
      </c>
      <c r="AF8487" s="580">
        <f t="shared" si="698"/>
        <v>2.5</v>
      </c>
      <c r="AG8487" s="580">
        <f t="shared" si="699"/>
        <v>0</v>
      </c>
      <c r="AH8487" s="580">
        <f t="shared" si="700"/>
        <v>0</v>
      </c>
    </row>
    <row r="8488" spans="28:34">
      <c r="AB8488" s="580">
        <f>HLOOKUP("*"&amp;'Output annual'!$AC$2&amp;'Output annual'!$AD$2&amp;"*Zone People Number Of Occupants [](Hourly)",'Eplus results'!$1:$1048576,ROW(),FALSE)</f>
        <v>0</v>
      </c>
      <c r="AC8488" s="580">
        <f>HLOOKUP("*"&amp;'Output annual'!$AC$2&amp;'Output annual'!$AD$2&amp;"*FangerPMV(Hourly)",'Eplus results'!$1:$1048576,ROW(),FALSE)</f>
        <v>0</v>
      </c>
      <c r="AD8488" s="580">
        <f t="shared" si="696"/>
        <v>5</v>
      </c>
      <c r="AE8488" s="580">
        <f t="shared" si="697"/>
        <v>2.5</v>
      </c>
      <c r="AF8488" s="580">
        <f t="shared" si="698"/>
        <v>2.5</v>
      </c>
      <c r="AG8488" s="580">
        <f t="shared" si="699"/>
        <v>0</v>
      </c>
      <c r="AH8488" s="580">
        <f t="shared" si="700"/>
        <v>0</v>
      </c>
    </row>
    <row r="8489" spans="28:34">
      <c r="AB8489" s="580">
        <f>HLOOKUP("*"&amp;'Output annual'!$AC$2&amp;'Output annual'!$AD$2&amp;"*Zone People Number Of Occupants [](Hourly)",'Eplus results'!$1:$1048576,ROW(),FALSE)</f>
        <v>0</v>
      </c>
      <c r="AC8489" s="580">
        <f>HLOOKUP("*"&amp;'Output annual'!$AC$2&amp;'Output annual'!$AD$2&amp;"*FangerPMV(Hourly)",'Eplus results'!$1:$1048576,ROW(),FALSE)</f>
        <v>0</v>
      </c>
      <c r="AD8489" s="580">
        <f t="shared" si="696"/>
        <v>5</v>
      </c>
      <c r="AE8489" s="580">
        <f t="shared" si="697"/>
        <v>2.5</v>
      </c>
      <c r="AF8489" s="580">
        <f t="shared" si="698"/>
        <v>2.5</v>
      </c>
      <c r="AG8489" s="580">
        <f t="shared" si="699"/>
        <v>0</v>
      </c>
      <c r="AH8489" s="580">
        <f t="shared" si="700"/>
        <v>0</v>
      </c>
    </row>
    <row r="8490" spans="28:34">
      <c r="AB8490" s="580">
        <f>HLOOKUP("*"&amp;'Output annual'!$AC$2&amp;'Output annual'!$AD$2&amp;"*Zone People Number Of Occupants [](Hourly)",'Eplus results'!$1:$1048576,ROW(),FALSE)</f>
        <v>0</v>
      </c>
      <c r="AC8490" s="580">
        <f>HLOOKUP("*"&amp;'Output annual'!$AC$2&amp;'Output annual'!$AD$2&amp;"*FangerPMV(Hourly)",'Eplus results'!$1:$1048576,ROW(),FALSE)</f>
        <v>0</v>
      </c>
      <c r="AD8490" s="580">
        <f t="shared" si="696"/>
        <v>5</v>
      </c>
      <c r="AE8490" s="580">
        <f t="shared" si="697"/>
        <v>2.5</v>
      </c>
      <c r="AF8490" s="580">
        <f t="shared" si="698"/>
        <v>2.5</v>
      </c>
      <c r="AG8490" s="580">
        <f t="shared" si="699"/>
        <v>0</v>
      </c>
      <c r="AH8490" s="580">
        <f t="shared" si="700"/>
        <v>0</v>
      </c>
    </row>
    <row r="8491" spans="28:34">
      <c r="AB8491" s="580">
        <f>HLOOKUP("*"&amp;'Output annual'!$AC$2&amp;'Output annual'!$AD$2&amp;"*Zone People Number Of Occupants [](Hourly)",'Eplus results'!$1:$1048576,ROW(),FALSE)</f>
        <v>0</v>
      </c>
      <c r="AC8491" s="580">
        <f>HLOOKUP("*"&amp;'Output annual'!$AC$2&amp;'Output annual'!$AD$2&amp;"*FangerPMV(Hourly)",'Eplus results'!$1:$1048576,ROW(),FALSE)</f>
        <v>0</v>
      </c>
      <c r="AD8491" s="580">
        <f t="shared" si="696"/>
        <v>5</v>
      </c>
      <c r="AE8491" s="580">
        <f t="shared" si="697"/>
        <v>2.5</v>
      </c>
      <c r="AF8491" s="580">
        <f t="shared" si="698"/>
        <v>2.5</v>
      </c>
      <c r="AG8491" s="580">
        <f t="shared" si="699"/>
        <v>0</v>
      </c>
      <c r="AH8491" s="580">
        <f t="shared" si="700"/>
        <v>0</v>
      </c>
    </row>
    <row r="8492" spans="28:34">
      <c r="AB8492" s="580">
        <f>HLOOKUP("*"&amp;'Output annual'!$AC$2&amp;'Output annual'!$AD$2&amp;"*Zone People Number Of Occupants [](Hourly)",'Eplus results'!$1:$1048576,ROW(),FALSE)</f>
        <v>0</v>
      </c>
      <c r="AC8492" s="580">
        <f>HLOOKUP("*"&amp;'Output annual'!$AC$2&amp;'Output annual'!$AD$2&amp;"*FangerPMV(Hourly)",'Eplus results'!$1:$1048576,ROW(),FALSE)</f>
        <v>0</v>
      </c>
      <c r="AD8492" s="580">
        <f t="shared" si="696"/>
        <v>5</v>
      </c>
      <c r="AE8492" s="580">
        <f t="shared" si="697"/>
        <v>2.5</v>
      </c>
      <c r="AF8492" s="580">
        <f t="shared" si="698"/>
        <v>2.5</v>
      </c>
      <c r="AG8492" s="580">
        <f t="shared" si="699"/>
        <v>0</v>
      </c>
      <c r="AH8492" s="580">
        <f t="shared" si="700"/>
        <v>0</v>
      </c>
    </row>
    <row r="8493" spans="28:34">
      <c r="AB8493" s="580">
        <f>HLOOKUP("*"&amp;'Output annual'!$AC$2&amp;'Output annual'!$AD$2&amp;"*Zone People Number Of Occupants [](Hourly)",'Eplus results'!$1:$1048576,ROW(),FALSE)</f>
        <v>0</v>
      </c>
      <c r="AC8493" s="580">
        <f>HLOOKUP("*"&amp;'Output annual'!$AC$2&amp;'Output annual'!$AD$2&amp;"*FangerPMV(Hourly)",'Eplus results'!$1:$1048576,ROW(),FALSE)</f>
        <v>0</v>
      </c>
      <c r="AD8493" s="580">
        <f t="shared" si="696"/>
        <v>5</v>
      </c>
      <c r="AE8493" s="580">
        <f t="shared" si="697"/>
        <v>2.5</v>
      </c>
      <c r="AF8493" s="580">
        <f t="shared" si="698"/>
        <v>2.5</v>
      </c>
      <c r="AG8493" s="580">
        <f t="shared" si="699"/>
        <v>0</v>
      </c>
      <c r="AH8493" s="580">
        <f t="shared" si="700"/>
        <v>0</v>
      </c>
    </row>
    <row r="8494" spans="28:34">
      <c r="AB8494" s="580">
        <f>HLOOKUP("*"&amp;'Output annual'!$AC$2&amp;'Output annual'!$AD$2&amp;"*Zone People Number Of Occupants [](Hourly)",'Eplus results'!$1:$1048576,ROW(),FALSE)</f>
        <v>0</v>
      </c>
      <c r="AC8494" s="580">
        <f>HLOOKUP("*"&amp;'Output annual'!$AC$2&amp;'Output annual'!$AD$2&amp;"*FangerPMV(Hourly)",'Eplus results'!$1:$1048576,ROW(),FALSE)</f>
        <v>0</v>
      </c>
      <c r="AD8494" s="580">
        <f t="shared" si="696"/>
        <v>5</v>
      </c>
      <c r="AE8494" s="580">
        <f t="shared" si="697"/>
        <v>2.5</v>
      </c>
      <c r="AF8494" s="580">
        <f t="shared" si="698"/>
        <v>2.5</v>
      </c>
      <c r="AG8494" s="580">
        <f t="shared" si="699"/>
        <v>0</v>
      </c>
      <c r="AH8494" s="580">
        <f t="shared" si="700"/>
        <v>0</v>
      </c>
    </row>
    <row r="8495" spans="28:34">
      <c r="AB8495" s="580">
        <f>HLOOKUP("*"&amp;'Output annual'!$AC$2&amp;'Output annual'!$AD$2&amp;"*Zone People Number Of Occupants [](Hourly)",'Eplus results'!$1:$1048576,ROW(),FALSE)</f>
        <v>0</v>
      </c>
      <c r="AC8495" s="580">
        <f>HLOOKUP("*"&amp;'Output annual'!$AC$2&amp;'Output annual'!$AD$2&amp;"*FangerPMV(Hourly)",'Eplus results'!$1:$1048576,ROW(),FALSE)</f>
        <v>0</v>
      </c>
      <c r="AD8495" s="580">
        <f t="shared" si="696"/>
        <v>5</v>
      </c>
      <c r="AE8495" s="580">
        <f t="shared" si="697"/>
        <v>2.5</v>
      </c>
      <c r="AF8495" s="580">
        <f t="shared" si="698"/>
        <v>2.5</v>
      </c>
      <c r="AG8495" s="580">
        <f t="shared" si="699"/>
        <v>0</v>
      </c>
      <c r="AH8495" s="580">
        <f t="shared" si="700"/>
        <v>0</v>
      </c>
    </row>
    <row r="8496" spans="28:34">
      <c r="AB8496" s="580">
        <f>HLOOKUP("*"&amp;'Output annual'!$AC$2&amp;'Output annual'!$AD$2&amp;"*Zone People Number Of Occupants [](Hourly)",'Eplus results'!$1:$1048576,ROW(),FALSE)</f>
        <v>0</v>
      </c>
      <c r="AC8496" s="580">
        <f>HLOOKUP("*"&amp;'Output annual'!$AC$2&amp;'Output annual'!$AD$2&amp;"*FangerPMV(Hourly)",'Eplus results'!$1:$1048576,ROW(),FALSE)</f>
        <v>0</v>
      </c>
      <c r="AD8496" s="580">
        <f t="shared" si="696"/>
        <v>5</v>
      </c>
      <c r="AE8496" s="580">
        <f t="shared" si="697"/>
        <v>2.5</v>
      </c>
      <c r="AF8496" s="580">
        <f t="shared" si="698"/>
        <v>2.5</v>
      </c>
      <c r="AG8496" s="580">
        <f t="shared" si="699"/>
        <v>0</v>
      </c>
      <c r="AH8496" s="580">
        <f t="shared" si="700"/>
        <v>0</v>
      </c>
    </row>
    <row r="8497" spans="28:34">
      <c r="AB8497" s="580">
        <f>HLOOKUP("*"&amp;'Output annual'!$AC$2&amp;'Output annual'!$AD$2&amp;"*Zone People Number Of Occupants [](Hourly)",'Eplus results'!$1:$1048576,ROW(),FALSE)</f>
        <v>0</v>
      </c>
      <c r="AC8497" s="580">
        <f>HLOOKUP("*"&amp;'Output annual'!$AC$2&amp;'Output annual'!$AD$2&amp;"*FangerPMV(Hourly)",'Eplus results'!$1:$1048576,ROW(),FALSE)</f>
        <v>0</v>
      </c>
      <c r="AD8497" s="580">
        <f t="shared" si="696"/>
        <v>5</v>
      </c>
      <c r="AE8497" s="580">
        <f t="shared" si="697"/>
        <v>2.5</v>
      </c>
      <c r="AF8497" s="580">
        <f t="shared" si="698"/>
        <v>2.5</v>
      </c>
      <c r="AG8497" s="580">
        <f t="shared" si="699"/>
        <v>0</v>
      </c>
      <c r="AH8497" s="580">
        <f t="shared" si="700"/>
        <v>0</v>
      </c>
    </row>
    <row r="8498" spans="28:34">
      <c r="AB8498" s="580">
        <f>HLOOKUP("*"&amp;'Output annual'!$AC$2&amp;'Output annual'!$AD$2&amp;"*Zone People Number Of Occupants [](Hourly)",'Eplus results'!$1:$1048576,ROW(),FALSE)</f>
        <v>0</v>
      </c>
      <c r="AC8498" s="580">
        <f>HLOOKUP("*"&amp;'Output annual'!$AC$2&amp;'Output annual'!$AD$2&amp;"*FangerPMV(Hourly)",'Eplus results'!$1:$1048576,ROW(),FALSE)</f>
        <v>0</v>
      </c>
      <c r="AD8498" s="580">
        <f t="shared" si="696"/>
        <v>5</v>
      </c>
      <c r="AE8498" s="580">
        <f t="shared" si="697"/>
        <v>2.5</v>
      </c>
      <c r="AF8498" s="580">
        <f t="shared" si="698"/>
        <v>2.5</v>
      </c>
      <c r="AG8498" s="580">
        <f t="shared" si="699"/>
        <v>0</v>
      </c>
      <c r="AH8498" s="580">
        <f t="shared" si="700"/>
        <v>0</v>
      </c>
    </row>
    <row r="8499" spans="28:34">
      <c r="AB8499" s="580">
        <f>HLOOKUP("*"&amp;'Output annual'!$AC$2&amp;'Output annual'!$AD$2&amp;"*Zone People Number Of Occupants [](Hourly)",'Eplus results'!$1:$1048576,ROW(),FALSE)</f>
        <v>0</v>
      </c>
      <c r="AC8499" s="580">
        <f>HLOOKUP("*"&amp;'Output annual'!$AC$2&amp;'Output annual'!$AD$2&amp;"*FangerPMV(Hourly)",'Eplus results'!$1:$1048576,ROW(),FALSE)</f>
        <v>0</v>
      </c>
      <c r="AD8499" s="580">
        <f t="shared" si="696"/>
        <v>5</v>
      </c>
      <c r="AE8499" s="580">
        <f t="shared" si="697"/>
        <v>2.5</v>
      </c>
      <c r="AF8499" s="580">
        <f t="shared" si="698"/>
        <v>2.5</v>
      </c>
      <c r="AG8499" s="580">
        <f t="shared" si="699"/>
        <v>0</v>
      </c>
      <c r="AH8499" s="580">
        <f t="shared" si="700"/>
        <v>0</v>
      </c>
    </row>
    <row r="8500" spans="28:34">
      <c r="AB8500" s="580">
        <f>HLOOKUP("*"&amp;'Output annual'!$AC$2&amp;'Output annual'!$AD$2&amp;"*Zone People Number Of Occupants [](Hourly)",'Eplus results'!$1:$1048576,ROW(),FALSE)</f>
        <v>0</v>
      </c>
      <c r="AC8500" s="580">
        <f>HLOOKUP("*"&amp;'Output annual'!$AC$2&amp;'Output annual'!$AD$2&amp;"*FangerPMV(Hourly)",'Eplus results'!$1:$1048576,ROW(),FALSE)</f>
        <v>0</v>
      </c>
      <c r="AD8500" s="580">
        <f t="shared" si="696"/>
        <v>5</v>
      </c>
      <c r="AE8500" s="580">
        <f t="shared" si="697"/>
        <v>2.5</v>
      </c>
      <c r="AF8500" s="580">
        <f t="shared" si="698"/>
        <v>2.5</v>
      </c>
      <c r="AG8500" s="580">
        <f t="shared" si="699"/>
        <v>0</v>
      </c>
      <c r="AH8500" s="580">
        <f t="shared" si="700"/>
        <v>0</v>
      </c>
    </row>
    <row r="8501" spans="28:34">
      <c r="AB8501" s="580">
        <f>HLOOKUP("*"&amp;'Output annual'!$AC$2&amp;'Output annual'!$AD$2&amp;"*Zone People Number Of Occupants [](Hourly)",'Eplus results'!$1:$1048576,ROW(),FALSE)</f>
        <v>0</v>
      </c>
      <c r="AC8501" s="580">
        <f>HLOOKUP("*"&amp;'Output annual'!$AC$2&amp;'Output annual'!$AD$2&amp;"*FangerPMV(Hourly)",'Eplus results'!$1:$1048576,ROW(),FALSE)</f>
        <v>0</v>
      </c>
      <c r="AD8501" s="580">
        <f t="shared" si="696"/>
        <v>5</v>
      </c>
      <c r="AE8501" s="580">
        <f t="shared" si="697"/>
        <v>2.5</v>
      </c>
      <c r="AF8501" s="580">
        <f t="shared" si="698"/>
        <v>2.5</v>
      </c>
      <c r="AG8501" s="580">
        <f t="shared" si="699"/>
        <v>0</v>
      </c>
      <c r="AH8501" s="580">
        <f t="shared" si="700"/>
        <v>0</v>
      </c>
    </row>
    <row r="8502" spans="28:34">
      <c r="AB8502" s="580">
        <f>HLOOKUP("*"&amp;'Output annual'!$AC$2&amp;'Output annual'!$AD$2&amp;"*Zone People Number Of Occupants [](Hourly)",'Eplus results'!$1:$1048576,ROW(),FALSE)</f>
        <v>0</v>
      </c>
      <c r="AC8502" s="580">
        <f>HLOOKUP("*"&amp;'Output annual'!$AC$2&amp;'Output annual'!$AD$2&amp;"*FangerPMV(Hourly)",'Eplus results'!$1:$1048576,ROW(),FALSE)</f>
        <v>0</v>
      </c>
      <c r="AD8502" s="580">
        <f t="shared" si="696"/>
        <v>5</v>
      </c>
      <c r="AE8502" s="580">
        <f t="shared" si="697"/>
        <v>2.5</v>
      </c>
      <c r="AF8502" s="580">
        <f t="shared" si="698"/>
        <v>2.5</v>
      </c>
      <c r="AG8502" s="580">
        <f t="shared" si="699"/>
        <v>0</v>
      </c>
      <c r="AH8502" s="580">
        <f t="shared" si="700"/>
        <v>0</v>
      </c>
    </row>
    <row r="8503" spans="28:34">
      <c r="AB8503" s="580">
        <f>HLOOKUP("*"&amp;'Output annual'!$AC$2&amp;'Output annual'!$AD$2&amp;"*Zone People Number Of Occupants [](Hourly)",'Eplus results'!$1:$1048576,ROW(),FALSE)</f>
        <v>0</v>
      </c>
      <c r="AC8503" s="580">
        <f>HLOOKUP("*"&amp;'Output annual'!$AC$2&amp;'Output annual'!$AD$2&amp;"*FangerPMV(Hourly)",'Eplus results'!$1:$1048576,ROW(),FALSE)</f>
        <v>0</v>
      </c>
      <c r="AD8503" s="580">
        <f t="shared" si="696"/>
        <v>5</v>
      </c>
      <c r="AE8503" s="580">
        <f t="shared" si="697"/>
        <v>2.5</v>
      </c>
      <c r="AF8503" s="580">
        <f t="shared" si="698"/>
        <v>2.5</v>
      </c>
      <c r="AG8503" s="580">
        <f t="shared" si="699"/>
        <v>0</v>
      </c>
      <c r="AH8503" s="580">
        <f t="shared" si="700"/>
        <v>0</v>
      </c>
    </row>
    <row r="8504" spans="28:34">
      <c r="AB8504" s="580">
        <f>HLOOKUP("*"&amp;'Output annual'!$AC$2&amp;'Output annual'!$AD$2&amp;"*Zone People Number Of Occupants [](Hourly)",'Eplus results'!$1:$1048576,ROW(),FALSE)</f>
        <v>0</v>
      </c>
      <c r="AC8504" s="580">
        <f>HLOOKUP("*"&amp;'Output annual'!$AC$2&amp;'Output annual'!$AD$2&amp;"*FangerPMV(Hourly)",'Eplus results'!$1:$1048576,ROW(),FALSE)</f>
        <v>0</v>
      </c>
      <c r="AD8504" s="580">
        <f t="shared" si="696"/>
        <v>5</v>
      </c>
      <c r="AE8504" s="580">
        <f t="shared" si="697"/>
        <v>2.5</v>
      </c>
      <c r="AF8504" s="580">
        <f t="shared" si="698"/>
        <v>2.5</v>
      </c>
      <c r="AG8504" s="580">
        <f t="shared" si="699"/>
        <v>0</v>
      </c>
      <c r="AH8504" s="580">
        <f t="shared" si="700"/>
        <v>0</v>
      </c>
    </row>
    <row r="8505" spans="28:34">
      <c r="AB8505" s="580">
        <f>HLOOKUP("*"&amp;'Output annual'!$AC$2&amp;'Output annual'!$AD$2&amp;"*Zone People Number Of Occupants [](Hourly)",'Eplus results'!$1:$1048576,ROW(),FALSE)</f>
        <v>0</v>
      </c>
      <c r="AC8505" s="580">
        <f>HLOOKUP("*"&amp;'Output annual'!$AC$2&amp;'Output annual'!$AD$2&amp;"*FangerPMV(Hourly)",'Eplus results'!$1:$1048576,ROW(),FALSE)</f>
        <v>0</v>
      </c>
      <c r="AD8505" s="580">
        <f t="shared" si="696"/>
        <v>5</v>
      </c>
      <c r="AE8505" s="580">
        <f t="shared" si="697"/>
        <v>2.5</v>
      </c>
      <c r="AF8505" s="580">
        <f t="shared" si="698"/>
        <v>2.5</v>
      </c>
      <c r="AG8505" s="580">
        <f t="shared" si="699"/>
        <v>0</v>
      </c>
      <c r="AH8505" s="580">
        <f t="shared" si="700"/>
        <v>0</v>
      </c>
    </row>
    <row r="8506" spans="28:34">
      <c r="AB8506" s="580">
        <f>HLOOKUP("*"&amp;'Output annual'!$AC$2&amp;'Output annual'!$AD$2&amp;"*Zone People Number Of Occupants [](Hourly)",'Eplus results'!$1:$1048576,ROW(),FALSE)</f>
        <v>0</v>
      </c>
      <c r="AC8506" s="580">
        <f>HLOOKUP("*"&amp;'Output annual'!$AC$2&amp;'Output annual'!$AD$2&amp;"*FangerPMV(Hourly)",'Eplus results'!$1:$1048576,ROW(),FALSE)</f>
        <v>0</v>
      </c>
      <c r="AD8506" s="580">
        <f t="shared" si="696"/>
        <v>5</v>
      </c>
      <c r="AE8506" s="580">
        <f t="shared" si="697"/>
        <v>2.5</v>
      </c>
      <c r="AF8506" s="580">
        <f t="shared" si="698"/>
        <v>2.5</v>
      </c>
      <c r="AG8506" s="580">
        <f t="shared" si="699"/>
        <v>0</v>
      </c>
      <c r="AH8506" s="580">
        <f t="shared" si="700"/>
        <v>0</v>
      </c>
    </row>
    <row r="8507" spans="28:34">
      <c r="AB8507" s="580">
        <f>HLOOKUP("*"&amp;'Output annual'!$AC$2&amp;'Output annual'!$AD$2&amp;"*Zone People Number Of Occupants [](Hourly)",'Eplus results'!$1:$1048576,ROW(),FALSE)</f>
        <v>0</v>
      </c>
      <c r="AC8507" s="580">
        <f>HLOOKUP("*"&amp;'Output annual'!$AC$2&amp;'Output annual'!$AD$2&amp;"*FangerPMV(Hourly)",'Eplus results'!$1:$1048576,ROW(),FALSE)</f>
        <v>0</v>
      </c>
      <c r="AD8507" s="580">
        <f t="shared" si="696"/>
        <v>5</v>
      </c>
      <c r="AE8507" s="580">
        <f t="shared" si="697"/>
        <v>2.5</v>
      </c>
      <c r="AF8507" s="580">
        <f t="shared" si="698"/>
        <v>2.5</v>
      </c>
      <c r="AG8507" s="580">
        <f t="shared" si="699"/>
        <v>0</v>
      </c>
      <c r="AH8507" s="580">
        <f t="shared" si="700"/>
        <v>0</v>
      </c>
    </row>
    <row r="8508" spans="28:34">
      <c r="AB8508" s="580">
        <f>HLOOKUP("*"&amp;'Output annual'!$AC$2&amp;'Output annual'!$AD$2&amp;"*Zone People Number Of Occupants [](Hourly)",'Eplus results'!$1:$1048576,ROW(),FALSE)</f>
        <v>0</v>
      </c>
      <c r="AC8508" s="580">
        <f>HLOOKUP("*"&amp;'Output annual'!$AC$2&amp;'Output annual'!$AD$2&amp;"*FangerPMV(Hourly)",'Eplus results'!$1:$1048576,ROW(),FALSE)</f>
        <v>0</v>
      </c>
      <c r="AD8508" s="580">
        <f t="shared" si="696"/>
        <v>5</v>
      </c>
      <c r="AE8508" s="580">
        <f t="shared" si="697"/>
        <v>2.5</v>
      </c>
      <c r="AF8508" s="580">
        <f t="shared" si="698"/>
        <v>2.5</v>
      </c>
      <c r="AG8508" s="580">
        <f t="shared" si="699"/>
        <v>0</v>
      </c>
      <c r="AH8508" s="580">
        <f t="shared" si="700"/>
        <v>0</v>
      </c>
    </row>
    <row r="8509" spans="28:34">
      <c r="AB8509" s="580">
        <f>HLOOKUP("*"&amp;'Output annual'!$AC$2&amp;'Output annual'!$AD$2&amp;"*Zone People Number Of Occupants [](Hourly)",'Eplus results'!$1:$1048576,ROW(),FALSE)</f>
        <v>0</v>
      </c>
      <c r="AC8509" s="580">
        <f>HLOOKUP("*"&amp;'Output annual'!$AC$2&amp;'Output annual'!$AD$2&amp;"*FangerPMV(Hourly)",'Eplus results'!$1:$1048576,ROW(),FALSE)</f>
        <v>0</v>
      </c>
      <c r="AD8509" s="580">
        <f t="shared" si="696"/>
        <v>5</v>
      </c>
      <c r="AE8509" s="580">
        <f t="shared" si="697"/>
        <v>2.5</v>
      </c>
      <c r="AF8509" s="580">
        <f t="shared" si="698"/>
        <v>2.5</v>
      </c>
      <c r="AG8509" s="580">
        <f t="shared" si="699"/>
        <v>0</v>
      </c>
      <c r="AH8509" s="580">
        <f t="shared" si="700"/>
        <v>0</v>
      </c>
    </row>
    <row r="8510" spans="28:34">
      <c r="AB8510" s="580">
        <f>HLOOKUP("*"&amp;'Output annual'!$AC$2&amp;'Output annual'!$AD$2&amp;"*Zone People Number Of Occupants [](Hourly)",'Eplus results'!$1:$1048576,ROW(),FALSE)</f>
        <v>0</v>
      </c>
      <c r="AC8510" s="580">
        <f>HLOOKUP("*"&amp;'Output annual'!$AC$2&amp;'Output annual'!$AD$2&amp;"*FangerPMV(Hourly)",'Eplus results'!$1:$1048576,ROW(),FALSE)</f>
        <v>0</v>
      </c>
      <c r="AD8510" s="580">
        <f t="shared" si="696"/>
        <v>5</v>
      </c>
      <c r="AE8510" s="580">
        <f t="shared" si="697"/>
        <v>2.5</v>
      </c>
      <c r="AF8510" s="580">
        <f t="shared" si="698"/>
        <v>2.5</v>
      </c>
      <c r="AG8510" s="580">
        <f t="shared" si="699"/>
        <v>0</v>
      </c>
      <c r="AH8510" s="580">
        <f t="shared" si="700"/>
        <v>0</v>
      </c>
    </row>
    <row r="8511" spans="28:34">
      <c r="AB8511" s="580">
        <f>HLOOKUP("*"&amp;'Output annual'!$AC$2&amp;'Output annual'!$AD$2&amp;"*Zone People Number Of Occupants [](Hourly)",'Eplus results'!$1:$1048576,ROW(),FALSE)</f>
        <v>0</v>
      </c>
      <c r="AC8511" s="580">
        <f>HLOOKUP("*"&amp;'Output annual'!$AC$2&amp;'Output annual'!$AD$2&amp;"*FangerPMV(Hourly)",'Eplus results'!$1:$1048576,ROW(),FALSE)</f>
        <v>0</v>
      </c>
      <c r="AD8511" s="580">
        <f t="shared" si="696"/>
        <v>5</v>
      </c>
      <c r="AE8511" s="580">
        <f t="shared" si="697"/>
        <v>2.5</v>
      </c>
      <c r="AF8511" s="580">
        <f t="shared" si="698"/>
        <v>2.5</v>
      </c>
      <c r="AG8511" s="580">
        <f t="shared" si="699"/>
        <v>0</v>
      </c>
      <c r="AH8511" s="580">
        <f t="shared" si="700"/>
        <v>0</v>
      </c>
    </row>
    <row r="8512" spans="28:34">
      <c r="AB8512" s="580">
        <f>HLOOKUP("*"&amp;'Output annual'!$AC$2&amp;'Output annual'!$AD$2&amp;"*Zone People Number Of Occupants [](Hourly)",'Eplus results'!$1:$1048576,ROW(),FALSE)</f>
        <v>0</v>
      </c>
      <c r="AC8512" s="580">
        <f>HLOOKUP("*"&amp;'Output annual'!$AC$2&amp;'Output annual'!$AD$2&amp;"*FangerPMV(Hourly)",'Eplus results'!$1:$1048576,ROW(),FALSE)</f>
        <v>0</v>
      </c>
      <c r="AD8512" s="580">
        <f t="shared" si="696"/>
        <v>5</v>
      </c>
      <c r="AE8512" s="580">
        <f t="shared" si="697"/>
        <v>2.5</v>
      </c>
      <c r="AF8512" s="580">
        <f t="shared" si="698"/>
        <v>2.5</v>
      </c>
      <c r="AG8512" s="580">
        <f t="shared" si="699"/>
        <v>0</v>
      </c>
      <c r="AH8512" s="580">
        <f t="shared" si="700"/>
        <v>0</v>
      </c>
    </row>
    <row r="8513" spans="28:34">
      <c r="AB8513" s="580">
        <f>HLOOKUP("*"&amp;'Output annual'!$AC$2&amp;'Output annual'!$AD$2&amp;"*Zone People Number Of Occupants [](Hourly)",'Eplus results'!$1:$1048576,ROW(),FALSE)</f>
        <v>0</v>
      </c>
      <c r="AC8513" s="580">
        <f>HLOOKUP("*"&amp;'Output annual'!$AC$2&amp;'Output annual'!$AD$2&amp;"*FangerPMV(Hourly)",'Eplus results'!$1:$1048576,ROW(),FALSE)</f>
        <v>0</v>
      </c>
      <c r="AD8513" s="580">
        <f t="shared" si="696"/>
        <v>5</v>
      </c>
      <c r="AE8513" s="580">
        <f t="shared" si="697"/>
        <v>2.5</v>
      </c>
      <c r="AF8513" s="580">
        <f t="shared" si="698"/>
        <v>2.5</v>
      </c>
      <c r="AG8513" s="580">
        <f t="shared" si="699"/>
        <v>0</v>
      </c>
      <c r="AH8513" s="580">
        <f t="shared" si="700"/>
        <v>0</v>
      </c>
    </row>
    <row r="8514" spans="28:34">
      <c r="AB8514" s="580">
        <f>HLOOKUP("*"&amp;'Output annual'!$AC$2&amp;'Output annual'!$AD$2&amp;"*Zone People Number Of Occupants [](Hourly)",'Eplus results'!$1:$1048576,ROW(),FALSE)</f>
        <v>0</v>
      </c>
      <c r="AC8514" s="580">
        <f>HLOOKUP("*"&amp;'Output annual'!$AC$2&amp;'Output annual'!$AD$2&amp;"*FangerPMV(Hourly)",'Eplus results'!$1:$1048576,ROW(),FALSE)</f>
        <v>0</v>
      </c>
      <c r="AD8514" s="580">
        <f t="shared" si="696"/>
        <v>5</v>
      </c>
      <c r="AE8514" s="580">
        <f t="shared" si="697"/>
        <v>2.5</v>
      </c>
      <c r="AF8514" s="580">
        <f t="shared" si="698"/>
        <v>2.5</v>
      </c>
      <c r="AG8514" s="580">
        <f t="shared" si="699"/>
        <v>0</v>
      </c>
      <c r="AH8514" s="580">
        <f t="shared" si="700"/>
        <v>0</v>
      </c>
    </row>
    <row r="8515" spans="28:34">
      <c r="AB8515" s="580">
        <f>HLOOKUP("*"&amp;'Output annual'!$AC$2&amp;'Output annual'!$AD$2&amp;"*Zone People Number Of Occupants [](Hourly)",'Eplus results'!$1:$1048576,ROW(),FALSE)</f>
        <v>0</v>
      </c>
      <c r="AC8515" s="580">
        <f>HLOOKUP("*"&amp;'Output annual'!$AC$2&amp;'Output annual'!$AD$2&amp;"*FangerPMV(Hourly)",'Eplus results'!$1:$1048576,ROW(),FALSE)</f>
        <v>0</v>
      </c>
      <c r="AD8515" s="580">
        <f t="shared" ref="AD8515:AD8578" si="701">100-95*EXP(-0.03353*AC8515^4-0.2179*AC8515^2)</f>
        <v>5</v>
      </c>
      <c r="AE8515" s="580">
        <f t="shared" ref="AE8515:AE8578" si="702">AD8515*(1/(1+EXP(-6.3*$AC8515)))</f>
        <v>2.5</v>
      </c>
      <c r="AF8515" s="580">
        <f t="shared" ref="AF8515:AF8578" si="703">(AD8515-AE8515)</f>
        <v>2.5</v>
      </c>
      <c r="AG8515" s="580">
        <f t="shared" ref="AG8515:AG8578" si="704">AE8515*AB8515</f>
        <v>0</v>
      </c>
      <c r="AH8515" s="580">
        <f t="shared" ref="AH8515:AH8578" si="705">AF8515*AB8515</f>
        <v>0</v>
      </c>
    </row>
    <row r="8516" spans="28:34">
      <c r="AB8516" s="580">
        <f>HLOOKUP("*"&amp;'Output annual'!$AC$2&amp;'Output annual'!$AD$2&amp;"*Zone People Number Of Occupants [](Hourly)",'Eplus results'!$1:$1048576,ROW(),FALSE)</f>
        <v>0</v>
      </c>
      <c r="AC8516" s="580">
        <f>HLOOKUP("*"&amp;'Output annual'!$AC$2&amp;'Output annual'!$AD$2&amp;"*FangerPMV(Hourly)",'Eplus results'!$1:$1048576,ROW(),FALSE)</f>
        <v>0</v>
      </c>
      <c r="AD8516" s="580">
        <f t="shared" si="701"/>
        <v>5</v>
      </c>
      <c r="AE8516" s="580">
        <f t="shared" si="702"/>
        <v>2.5</v>
      </c>
      <c r="AF8516" s="580">
        <f t="shared" si="703"/>
        <v>2.5</v>
      </c>
      <c r="AG8516" s="580">
        <f t="shared" si="704"/>
        <v>0</v>
      </c>
      <c r="AH8516" s="580">
        <f t="shared" si="705"/>
        <v>0</v>
      </c>
    </row>
    <row r="8517" spans="28:34">
      <c r="AB8517" s="580">
        <f>HLOOKUP("*"&amp;'Output annual'!$AC$2&amp;'Output annual'!$AD$2&amp;"*Zone People Number Of Occupants [](Hourly)",'Eplus results'!$1:$1048576,ROW(),FALSE)</f>
        <v>0</v>
      </c>
      <c r="AC8517" s="580">
        <f>HLOOKUP("*"&amp;'Output annual'!$AC$2&amp;'Output annual'!$AD$2&amp;"*FangerPMV(Hourly)",'Eplus results'!$1:$1048576,ROW(),FALSE)</f>
        <v>0</v>
      </c>
      <c r="AD8517" s="580">
        <f t="shared" si="701"/>
        <v>5</v>
      </c>
      <c r="AE8517" s="580">
        <f t="shared" si="702"/>
        <v>2.5</v>
      </c>
      <c r="AF8517" s="580">
        <f t="shared" si="703"/>
        <v>2.5</v>
      </c>
      <c r="AG8517" s="580">
        <f t="shared" si="704"/>
        <v>0</v>
      </c>
      <c r="AH8517" s="580">
        <f t="shared" si="705"/>
        <v>0</v>
      </c>
    </row>
    <row r="8518" spans="28:34">
      <c r="AB8518" s="580">
        <f>HLOOKUP("*"&amp;'Output annual'!$AC$2&amp;'Output annual'!$AD$2&amp;"*Zone People Number Of Occupants [](Hourly)",'Eplus results'!$1:$1048576,ROW(),FALSE)</f>
        <v>0</v>
      </c>
      <c r="AC8518" s="580">
        <f>HLOOKUP("*"&amp;'Output annual'!$AC$2&amp;'Output annual'!$AD$2&amp;"*FangerPMV(Hourly)",'Eplus results'!$1:$1048576,ROW(),FALSE)</f>
        <v>0</v>
      </c>
      <c r="AD8518" s="580">
        <f t="shared" si="701"/>
        <v>5</v>
      </c>
      <c r="AE8518" s="580">
        <f t="shared" si="702"/>
        <v>2.5</v>
      </c>
      <c r="AF8518" s="580">
        <f t="shared" si="703"/>
        <v>2.5</v>
      </c>
      <c r="AG8518" s="580">
        <f t="shared" si="704"/>
        <v>0</v>
      </c>
      <c r="AH8518" s="580">
        <f t="shared" si="705"/>
        <v>0</v>
      </c>
    </row>
    <row r="8519" spans="28:34">
      <c r="AB8519" s="580">
        <f>HLOOKUP("*"&amp;'Output annual'!$AC$2&amp;'Output annual'!$AD$2&amp;"*Zone People Number Of Occupants [](Hourly)",'Eplus results'!$1:$1048576,ROW(),FALSE)</f>
        <v>0</v>
      </c>
      <c r="AC8519" s="580">
        <f>HLOOKUP("*"&amp;'Output annual'!$AC$2&amp;'Output annual'!$AD$2&amp;"*FangerPMV(Hourly)",'Eplus results'!$1:$1048576,ROW(),FALSE)</f>
        <v>0</v>
      </c>
      <c r="AD8519" s="580">
        <f t="shared" si="701"/>
        <v>5</v>
      </c>
      <c r="AE8519" s="580">
        <f t="shared" si="702"/>
        <v>2.5</v>
      </c>
      <c r="AF8519" s="580">
        <f t="shared" si="703"/>
        <v>2.5</v>
      </c>
      <c r="AG8519" s="580">
        <f t="shared" si="704"/>
        <v>0</v>
      </c>
      <c r="AH8519" s="580">
        <f t="shared" si="705"/>
        <v>0</v>
      </c>
    </row>
    <row r="8520" spans="28:34">
      <c r="AB8520" s="580">
        <f>HLOOKUP("*"&amp;'Output annual'!$AC$2&amp;'Output annual'!$AD$2&amp;"*Zone People Number Of Occupants [](Hourly)",'Eplus results'!$1:$1048576,ROW(),FALSE)</f>
        <v>0</v>
      </c>
      <c r="AC8520" s="580">
        <f>HLOOKUP("*"&amp;'Output annual'!$AC$2&amp;'Output annual'!$AD$2&amp;"*FangerPMV(Hourly)",'Eplus results'!$1:$1048576,ROW(),FALSE)</f>
        <v>0</v>
      </c>
      <c r="AD8520" s="580">
        <f t="shared" si="701"/>
        <v>5</v>
      </c>
      <c r="AE8520" s="580">
        <f t="shared" si="702"/>
        <v>2.5</v>
      </c>
      <c r="AF8520" s="580">
        <f t="shared" si="703"/>
        <v>2.5</v>
      </c>
      <c r="AG8520" s="580">
        <f t="shared" si="704"/>
        <v>0</v>
      </c>
      <c r="AH8520" s="580">
        <f t="shared" si="705"/>
        <v>0</v>
      </c>
    </row>
    <row r="8521" spans="28:34">
      <c r="AB8521" s="580">
        <f>HLOOKUP("*"&amp;'Output annual'!$AC$2&amp;'Output annual'!$AD$2&amp;"*Zone People Number Of Occupants [](Hourly)",'Eplus results'!$1:$1048576,ROW(),FALSE)</f>
        <v>0</v>
      </c>
      <c r="AC8521" s="580">
        <f>HLOOKUP("*"&amp;'Output annual'!$AC$2&amp;'Output annual'!$AD$2&amp;"*FangerPMV(Hourly)",'Eplus results'!$1:$1048576,ROW(),FALSE)</f>
        <v>0</v>
      </c>
      <c r="AD8521" s="580">
        <f t="shared" si="701"/>
        <v>5</v>
      </c>
      <c r="AE8521" s="580">
        <f t="shared" si="702"/>
        <v>2.5</v>
      </c>
      <c r="AF8521" s="580">
        <f t="shared" si="703"/>
        <v>2.5</v>
      </c>
      <c r="AG8521" s="580">
        <f t="shared" si="704"/>
        <v>0</v>
      </c>
      <c r="AH8521" s="580">
        <f t="shared" si="705"/>
        <v>0</v>
      </c>
    </row>
    <row r="8522" spans="28:34">
      <c r="AB8522" s="580">
        <f>HLOOKUP("*"&amp;'Output annual'!$AC$2&amp;'Output annual'!$AD$2&amp;"*Zone People Number Of Occupants [](Hourly)",'Eplus results'!$1:$1048576,ROW(),FALSE)</f>
        <v>0</v>
      </c>
      <c r="AC8522" s="580">
        <f>HLOOKUP("*"&amp;'Output annual'!$AC$2&amp;'Output annual'!$AD$2&amp;"*FangerPMV(Hourly)",'Eplus results'!$1:$1048576,ROW(),FALSE)</f>
        <v>0</v>
      </c>
      <c r="AD8522" s="580">
        <f t="shared" si="701"/>
        <v>5</v>
      </c>
      <c r="AE8522" s="580">
        <f t="shared" si="702"/>
        <v>2.5</v>
      </c>
      <c r="AF8522" s="580">
        <f t="shared" si="703"/>
        <v>2.5</v>
      </c>
      <c r="AG8522" s="580">
        <f t="shared" si="704"/>
        <v>0</v>
      </c>
      <c r="AH8522" s="580">
        <f t="shared" si="705"/>
        <v>0</v>
      </c>
    </row>
    <row r="8523" spans="28:34">
      <c r="AB8523" s="580">
        <f>HLOOKUP("*"&amp;'Output annual'!$AC$2&amp;'Output annual'!$AD$2&amp;"*Zone People Number Of Occupants [](Hourly)",'Eplus results'!$1:$1048576,ROW(),FALSE)</f>
        <v>0</v>
      </c>
      <c r="AC8523" s="580">
        <f>HLOOKUP("*"&amp;'Output annual'!$AC$2&amp;'Output annual'!$AD$2&amp;"*FangerPMV(Hourly)",'Eplus results'!$1:$1048576,ROW(),FALSE)</f>
        <v>0</v>
      </c>
      <c r="AD8523" s="580">
        <f t="shared" si="701"/>
        <v>5</v>
      </c>
      <c r="AE8523" s="580">
        <f t="shared" si="702"/>
        <v>2.5</v>
      </c>
      <c r="AF8523" s="580">
        <f t="shared" si="703"/>
        <v>2.5</v>
      </c>
      <c r="AG8523" s="580">
        <f t="shared" si="704"/>
        <v>0</v>
      </c>
      <c r="AH8523" s="580">
        <f t="shared" si="705"/>
        <v>0</v>
      </c>
    </row>
    <row r="8524" spans="28:34">
      <c r="AB8524" s="580">
        <f>HLOOKUP("*"&amp;'Output annual'!$AC$2&amp;'Output annual'!$AD$2&amp;"*Zone People Number Of Occupants [](Hourly)",'Eplus results'!$1:$1048576,ROW(),FALSE)</f>
        <v>0</v>
      </c>
      <c r="AC8524" s="580">
        <f>HLOOKUP("*"&amp;'Output annual'!$AC$2&amp;'Output annual'!$AD$2&amp;"*FangerPMV(Hourly)",'Eplus results'!$1:$1048576,ROW(),FALSE)</f>
        <v>0</v>
      </c>
      <c r="AD8524" s="580">
        <f t="shared" si="701"/>
        <v>5</v>
      </c>
      <c r="AE8524" s="580">
        <f t="shared" si="702"/>
        <v>2.5</v>
      </c>
      <c r="AF8524" s="580">
        <f t="shared" si="703"/>
        <v>2.5</v>
      </c>
      <c r="AG8524" s="580">
        <f t="shared" si="704"/>
        <v>0</v>
      </c>
      <c r="AH8524" s="580">
        <f t="shared" si="705"/>
        <v>0</v>
      </c>
    </row>
    <row r="8525" spans="28:34">
      <c r="AB8525" s="580">
        <f>HLOOKUP("*"&amp;'Output annual'!$AC$2&amp;'Output annual'!$AD$2&amp;"*Zone People Number Of Occupants [](Hourly)",'Eplus results'!$1:$1048576,ROW(),FALSE)</f>
        <v>0</v>
      </c>
      <c r="AC8525" s="580">
        <f>HLOOKUP("*"&amp;'Output annual'!$AC$2&amp;'Output annual'!$AD$2&amp;"*FangerPMV(Hourly)",'Eplus results'!$1:$1048576,ROW(),FALSE)</f>
        <v>0</v>
      </c>
      <c r="AD8525" s="580">
        <f t="shared" si="701"/>
        <v>5</v>
      </c>
      <c r="AE8525" s="580">
        <f t="shared" si="702"/>
        <v>2.5</v>
      </c>
      <c r="AF8525" s="580">
        <f t="shared" si="703"/>
        <v>2.5</v>
      </c>
      <c r="AG8525" s="580">
        <f t="shared" si="704"/>
        <v>0</v>
      </c>
      <c r="AH8525" s="580">
        <f t="shared" si="705"/>
        <v>0</v>
      </c>
    </row>
    <row r="8526" spans="28:34">
      <c r="AB8526" s="580">
        <f>HLOOKUP("*"&amp;'Output annual'!$AC$2&amp;'Output annual'!$AD$2&amp;"*Zone People Number Of Occupants [](Hourly)",'Eplus results'!$1:$1048576,ROW(),FALSE)</f>
        <v>0</v>
      </c>
      <c r="AC8526" s="580">
        <f>HLOOKUP("*"&amp;'Output annual'!$AC$2&amp;'Output annual'!$AD$2&amp;"*FangerPMV(Hourly)",'Eplus results'!$1:$1048576,ROW(),FALSE)</f>
        <v>0</v>
      </c>
      <c r="AD8526" s="580">
        <f t="shared" si="701"/>
        <v>5</v>
      </c>
      <c r="AE8526" s="580">
        <f t="shared" si="702"/>
        <v>2.5</v>
      </c>
      <c r="AF8526" s="580">
        <f t="shared" si="703"/>
        <v>2.5</v>
      </c>
      <c r="AG8526" s="580">
        <f t="shared" si="704"/>
        <v>0</v>
      </c>
      <c r="AH8526" s="580">
        <f t="shared" si="705"/>
        <v>0</v>
      </c>
    </row>
    <row r="8527" spans="28:34">
      <c r="AB8527" s="580">
        <f>HLOOKUP("*"&amp;'Output annual'!$AC$2&amp;'Output annual'!$AD$2&amp;"*Zone People Number Of Occupants [](Hourly)",'Eplus results'!$1:$1048576,ROW(),FALSE)</f>
        <v>0</v>
      </c>
      <c r="AC8527" s="580">
        <f>HLOOKUP("*"&amp;'Output annual'!$AC$2&amp;'Output annual'!$AD$2&amp;"*FangerPMV(Hourly)",'Eplus results'!$1:$1048576,ROW(),FALSE)</f>
        <v>0</v>
      </c>
      <c r="AD8527" s="580">
        <f t="shared" si="701"/>
        <v>5</v>
      </c>
      <c r="AE8527" s="580">
        <f t="shared" si="702"/>
        <v>2.5</v>
      </c>
      <c r="AF8527" s="580">
        <f t="shared" si="703"/>
        <v>2.5</v>
      </c>
      <c r="AG8527" s="580">
        <f t="shared" si="704"/>
        <v>0</v>
      </c>
      <c r="AH8527" s="580">
        <f t="shared" si="705"/>
        <v>0</v>
      </c>
    </row>
    <row r="8528" spans="28:34">
      <c r="AB8528" s="580">
        <f>HLOOKUP("*"&amp;'Output annual'!$AC$2&amp;'Output annual'!$AD$2&amp;"*Zone People Number Of Occupants [](Hourly)",'Eplus results'!$1:$1048576,ROW(),FALSE)</f>
        <v>0</v>
      </c>
      <c r="AC8528" s="580">
        <f>HLOOKUP("*"&amp;'Output annual'!$AC$2&amp;'Output annual'!$AD$2&amp;"*FangerPMV(Hourly)",'Eplus results'!$1:$1048576,ROW(),FALSE)</f>
        <v>0</v>
      </c>
      <c r="AD8528" s="580">
        <f t="shared" si="701"/>
        <v>5</v>
      </c>
      <c r="AE8528" s="580">
        <f t="shared" si="702"/>
        <v>2.5</v>
      </c>
      <c r="AF8528" s="580">
        <f t="shared" si="703"/>
        <v>2.5</v>
      </c>
      <c r="AG8528" s="580">
        <f t="shared" si="704"/>
        <v>0</v>
      </c>
      <c r="AH8528" s="580">
        <f t="shared" si="705"/>
        <v>0</v>
      </c>
    </row>
    <row r="8529" spans="28:34">
      <c r="AB8529" s="580">
        <f>HLOOKUP("*"&amp;'Output annual'!$AC$2&amp;'Output annual'!$AD$2&amp;"*Zone People Number Of Occupants [](Hourly)",'Eplus results'!$1:$1048576,ROW(),FALSE)</f>
        <v>0</v>
      </c>
      <c r="AC8529" s="580">
        <f>HLOOKUP("*"&amp;'Output annual'!$AC$2&amp;'Output annual'!$AD$2&amp;"*FangerPMV(Hourly)",'Eplus results'!$1:$1048576,ROW(),FALSE)</f>
        <v>0</v>
      </c>
      <c r="AD8529" s="580">
        <f t="shared" si="701"/>
        <v>5</v>
      </c>
      <c r="AE8529" s="580">
        <f t="shared" si="702"/>
        <v>2.5</v>
      </c>
      <c r="AF8529" s="580">
        <f t="shared" si="703"/>
        <v>2.5</v>
      </c>
      <c r="AG8529" s="580">
        <f t="shared" si="704"/>
        <v>0</v>
      </c>
      <c r="AH8529" s="580">
        <f t="shared" si="705"/>
        <v>0</v>
      </c>
    </row>
    <row r="8530" spans="28:34">
      <c r="AB8530" s="580">
        <f>HLOOKUP("*"&amp;'Output annual'!$AC$2&amp;'Output annual'!$AD$2&amp;"*Zone People Number Of Occupants [](Hourly)",'Eplus results'!$1:$1048576,ROW(),FALSE)</f>
        <v>0</v>
      </c>
      <c r="AC8530" s="580">
        <f>HLOOKUP("*"&amp;'Output annual'!$AC$2&amp;'Output annual'!$AD$2&amp;"*FangerPMV(Hourly)",'Eplus results'!$1:$1048576,ROW(),FALSE)</f>
        <v>0</v>
      </c>
      <c r="AD8530" s="580">
        <f t="shared" si="701"/>
        <v>5</v>
      </c>
      <c r="AE8530" s="580">
        <f t="shared" si="702"/>
        <v>2.5</v>
      </c>
      <c r="AF8530" s="580">
        <f t="shared" si="703"/>
        <v>2.5</v>
      </c>
      <c r="AG8530" s="580">
        <f t="shared" si="704"/>
        <v>0</v>
      </c>
      <c r="AH8530" s="580">
        <f t="shared" si="705"/>
        <v>0</v>
      </c>
    </row>
    <row r="8531" spans="28:34">
      <c r="AB8531" s="580">
        <f>HLOOKUP("*"&amp;'Output annual'!$AC$2&amp;'Output annual'!$AD$2&amp;"*Zone People Number Of Occupants [](Hourly)",'Eplus results'!$1:$1048576,ROW(),FALSE)</f>
        <v>0</v>
      </c>
      <c r="AC8531" s="580">
        <f>HLOOKUP("*"&amp;'Output annual'!$AC$2&amp;'Output annual'!$AD$2&amp;"*FangerPMV(Hourly)",'Eplus results'!$1:$1048576,ROW(),FALSE)</f>
        <v>0</v>
      </c>
      <c r="AD8531" s="580">
        <f t="shared" si="701"/>
        <v>5</v>
      </c>
      <c r="AE8531" s="580">
        <f t="shared" si="702"/>
        <v>2.5</v>
      </c>
      <c r="AF8531" s="580">
        <f t="shared" si="703"/>
        <v>2.5</v>
      </c>
      <c r="AG8531" s="580">
        <f t="shared" si="704"/>
        <v>0</v>
      </c>
      <c r="AH8531" s="580">
        <f t="shared" si="705"/>
        <v>0</v>
      </c>
    </row>
    <row r="8532" spans="28:34">
      <c r="AB8532" s="580">
        <f>HLOOKUP("*"&amp;'Output annual'!$AC$2&amp;'Output annual'!$AD$2&amp;"*Zone People Number Of Occupants [](Hourly)",'Eplus results'!$1:$1048576,ROW(),FALSE)</f>
        <v>0</v>
      </c>
      <c r="AC8532" s="580">
        <f>HLOOKUP("*"&amp;'Output annual'!$AC$2&amp;'Output annual'!$AD$2&amp;"*FangerPMV(Hourly)",'Eplus results'!$1:$1048576,ROW(),FALSE)</f>
        <v>0</v>
      </c>
      <c r="AD8532" s="580">
        <f t="shared" si="701"/>
        <v>5</v>
      </c>
      <c r="AE8532" s="580">
        <f t="shared" si="702"/>
        <v>2.5</v>
      </c>
      <c r="AF8532" s="580">
        <f t="shared" si="703"/>
        <v>2.5</v>
      </c>
      <c r="AG8532" s="580">
        <f t="shared" si="704"/>
        <v>0</v>
      </c>
      <c r="AH8532" s="580">
        <f t="shared" si="705"/>
        <v>0</v>
      </c>
    </row>
    <row r="8533" spans="28:34">
      <c r="AB8533" s="580">
        <f>HLOOKUP("*"&amp;'Output annual'!$AC$2&amp;'Output annual'!$AD$2&amp;"*Zone People Number Of Occupants [](Hourly)",'Eplus results'!$1:$1048576,ROW(),FALSE)</f>
        <v>0</v>
      </c>
      <c r="AC8533" s="580">
        <f>HLOOKUP("*"&amp;'Output annual'!$AC$2&amp;'Output annual'!$AD$2&amp;"*FangerPMV(Hourly)",'Eplus results'!$1:$1048576,ROW(),FALSE)</f>
        <v>0</v>
      </c>
      <c r="AD8533" s="580">
        <f t="shared" si="701"/>
        <v>5</v>
      </c>
      <c r="AE8533" s="580">
        <f t="shared" si="702"/>
        <v>2.5</v>
      </c>
      <c r="AF8533" s="580">
        <f t="shared" si="703"/>
        <v>2.5</v>
      </c>
      <c r="AG8533" s="580">
        <f t="shared" si="704"/>
        <v>0</v>
      </c>
      <c r="AH8533" s="580">
        <f t="shared" si="705"/>
        <v>0</v>
      </c>
    </row>
    <row r="8534" spans="28:34">
      <c r="AB8534" s="580">
        <f>HLOOKUP("*"&amp;'Output annual'!$AC$2&amp;'Output annual'!$AD$2&amp;"*Zone People Number Of Occupants [](Hourly)",'Eplus results'!$1:$1048576,ROW(),FALSE)</f>
        <v>0</v>
      </c>
      <c r="AC8534" s="580">
        <f>HLOOKUP("*"&amp;'Output annual'!$AC$2&amp;'Output annual'!$AD$2&amp;"*FangerPMV(Hourly)",'Eplus results'!$1:$1048576,ROW(),FALSE)</f>
        <v>0</v>
      </c>
      <c r="AD8534" s="580">
        <f t="shared" si="701"/>
        <v>5</v>
      </c>
      <c r="AE8534" s="580">
        <f t="shared" si="702"/>
        <v>2.5</v>
      </c>
      <c r="AF8534" s="580">
        <f t="shared" si="703"/>
        <v>2.5</v>
      </c>
      <c r="AG8534" s="580">
        <f t="shared" si="704"/>
        <v>0</v>
      </c>
      <c r="AH8534" s="580">
        <f t="shared" si="705"/>
        <v>0</v>
      </c>
    </row>
    <row r="8535" spans="28:34">
      <c r="AB8535" s="580">
        <f>HLOOKUP("*"&amp;'Output annual'!$AC$2&amp;'Output annual'!$AD$2&amp;"*Zone People Number Of Occupants [](Hourly)",'Eplus results'!$1:$1048576,ROW(),FALSE)</f>
        <v>0</v>
      </c>
      <c r="AC8535" s="580">
        <f>HLOOKUP("*"&amp;'Output annual'!$AC$2&amp;'Output annual'!$AD$2&amp;"*FangerPMV(Hourly)",'Eplus results'!$1:$1048576,ROW(),FALSE)</f>
        <v>0</v>
      </c>
      <c r="AD8535" s="580">
        <f t="shared" si="701"/>
        <v>5</v>
      </c>
      <c r="AE8535" s="580">
        <f t="shared" si="702"/>
        <v>2.5</v>
      </c>
      <c r="AF8535" s="580">
        <f t="shared" si="703"/>
        <v>2.5</v>
      </c>
      <c r="AG8535" s="580">
        <f t="shared" si="704"/>
        <v>0</v>
      </c>
      <c r="AH8535" s="580">
        <f t="shared" si="705"/>
        <v>0</v>
      </c>
    </row>
    <row r="8536" spans="28:34">
      <c r="AB8536" s="580">
        <f>HLOOKUP("*"&amp;'Output annual'!$AC$2&amp;'Output annual'!$AD$2&amp;"*Zone People Number Of Occupants [](Hourly)",'Eplus results'!$1:$1048576,ROW(),FALSE)</f>
        <v>0</v>
      </c>
      <c r="AC8536" s="580">
        <f>HLOOKUP("*"&amp;'Output annual'!$AC$2&amp;'Output annual'!$AD$2&amp;"*FangerPMV(Hourly)",'Eplus results'!$1:$1048576,ROW(),FALSE)</f>
        <v>0</v>
      </c>
      <c r="AD8536" s="580">
        <f t="shared" si="701"/>
        <v>5</v>
      </c>
      <c r="AE8536" s="580">
        <f t="shared" si="702"/>
        <v>2.5</v>
      </c>
      <c r="AF8536" s="580">
        <f t="shared" si="703"/>
        <v>2.5</v>
      </c>
      <c r="AG8536" s="580">
        <f t="shared" si="704"/>
        <v>0</v>
      </c>
      <c r="AH8536" s="580">
        <f t="shared" si="705"/>
        <v>0</v>
      </c>
    </row>
    <row r="8537" spans="28:34">
      <c r="AB8537" s="580">
        <f>HLOOKUP("*"&amp;'Output annual'!$AC$2&amp;'Output annual'!$AD$2&amp;"*Zone People Number Of Occupants [](Hourly)",'Eplus results'!$1:$1048576,ROW(),FALSE)</f>
        <v>0</v>
      </c>
      <c r="AC8537" s="580">
        <f>HLOOKUP("*"&amp;'Output annual'!$AC$2&amp;'Output annual'!$AD$2&amp;"*FangerPMV(Hourly)",'Eplus results'!$1:$1048576,ROW(),FALSE)</f>
        <v>0</v>
      </c>
      <c r="AD8537" s="580">
        <f t="shared" si="701"/>
        <v>5</v>
      </c>
      <c r="AE8537" s="580">
        <f t="shared" si="702"/>
        <v>2.5</v>
      </c>
      <c r="AF8537" s="580">
        <f t="shared" si="703"/>
        <v>2.5</v>
      </c>
      <c r="AG8537" s="580">
        <f t="shared" si="704"/>
        <v>0</v>
      </c>
      <c r="AH8537" s="580">
        <f t="shared" si="705"/>
        <v>0</v>
      </c>
    </row>
    <row r="8538" spans="28:34">
      <c r="AB8538" s="580">
        <f>HLOOKUP("*"&amp;'Output annual'!$AC$2&amp;'Output annual'!$AD$2&amp;"*Zone People Number Of Occupants [](Hourly)",'Eplus results'!$1:$1048576,ROW(),FALSE)</f>
        <v>0</v>
      </c>
      <c r="AC8538" s="580">
        <f>HLOOKUP("*"&amp;'Output annual'!$AC$2&amp;'Output annual'!$AD$2&amp;"*FangerPMV(Hourly)",'Eplus results'!$1:$1048576,ROW(),FALSE)</f>
        <v>0</v>
      </c>
      <c r="AD8538" s="580">
        <f t="shared" si="701"/>
        <v>5</v>
      </c>
      <c r="AE8538" s="580">
        <f t="shared" si="702"/>
        <v>2.5</v>
      </c>
      <c r="AF8538" s="580">
        <f t="shared" si="703"/>
        <v>2.5</v>
      </c>
      <c r="AG8538" s="580">
        <f t="shared" si="704"/>
        <v>0</v>
      </c>
      <c r="AH8538" s="580">
        <f t="shared" si="705"/>
        <v>0</v>
      </c>
    </row>
    <row r="8539" spans="28:34">
      <c r="AB8539" s="580">
        <f>HLOOKUP("*"&amp;'Output annual'!$AC$2&amp;'Output annual'!$AD$2&amp;"*Zone People Number Of Occupants [](Hourly)",'Eplus results'!$1:$1048576,ROW(),FALSE)</f>
        <v>0</v>
      </c>
      <c r="AC8539" s="580">
        <f>HLOOKUP("*"&amp;'Output annual'!$AC$2&amp;'Output annual'!$AD$2&amp;"*FangerPMV(Hourly)",'Eplus results'!$1:$1048576,ROW(),FALSE)</f>
        <v>0</v>
      </c>
      <c r="AD8539" s="580">
        <f t="shared" si="701"/>
        <v>5</v>
      </c>
      <c r="AE8539" s="580">
        <f t="shared" si="702"/>
        <v>2.5</v>
      </c>
      <c r="AF8539" s="580">
        <f t="shared" si="703"/>
        <v>2.5</v>
      </c>
      <c r="AG8539" s="580">
        <f t="shared" si="704"/>
        <v>0</v>
      </c>
      <c r="AH8539" s="580">
        <f t="shared" si="705"/>
        <v>0</v>
      </c>
    </row>
    <row r="8540" spans="28:34">
      <c r="AB8540" s="580">
        <f>HLOOKUP("*"&amp;'Output annual'!$AC$2&amp;'Output annual'!$AD$2&amp;"*Zone People Number Of Occupants [](Hourly)",'Eplus results'!$1:$1048576,ROW(),FALSE)</f>
        <v>0</v>
      </c>
      <c r="AC8540" s="580">
        <f>HLOOKUP("*"&amp;'Output annual'!$AC$2&amp;'Output annual'!$AD$2&amp;"*FangerPMV(Hourly)",'Eplus results'!$1:$1048576,ROW(),FALSE)</f>
        <v>0</v>
      </c>
      <c r="AD8540" s="580">
        <f t="shared" si="701"/>
        <v>5</v>
      </c>
      <c r="AE8540" s="580">
        <f t="shared" si="702"/>
        <v>2.5</v>
      </c>
      <c r="AF8540" s="580">
        <f t="shared" si="703"/>
        <v>2.5</v>
      </c>
      <c r="AG8540" s="580">
        <f t="shared" si="704"/>
        <v>0</v>
      </c>
      <c r="AH8540" s="580">
        <f t="shared" si="705"/>
        <v>0</v>
      </c>
    </row>
    <row r="8541" spans="28:34">
      <c r="AB8541" s="580">
        <f>HLOOKUP("*"&amp;'Output annual'!$AC$2&amp;'Output annual'!$AD$2&amp;"*Zone People Number Of Occupants [](Hourly)",'Eplus results'!$1:$1048576,ROW(),FALSE)</f>
        <v>0</v>
      </c>
      <c r="AC8541" s="580">
        <f>HLOOKUP("*"&amp;'Output annual'!$AC$2&amp;'Output annual'!$AD$2&amp;"*FangerPMV(Hourly)",'Eplus results'!$1:$1048576,ROW(),FALSE)</f>
        <v>0</v>
      </c>
      <c r="AD8541" s="580">
        <f t="shared" si="701"/>
        <v>5</v>
      </c>
      <c r="AE8541" s="580">
        <f t="shared" si="702"/>
        <v>2.5</v>
      </c>
      <c r="AF8541" s="580">
        <f t="shared" si="703"/>
        <v>2.5</v>
      </c>
      <c r="AG8541" s="580">
        <f t="shared" si="704"/>
        <v>0</v>
      </c>
      <c r="AH8541" s="580">
        <f t="shared" si="705"/>
        <v>0</v>
      </c>
    </row>
    <row r="8542" spans="28:34">
      <c r="AB8542" s="580">
        <f>HLOOKUP("*"&amp;'Output annual'!$AC$2&amp;'Output annual'!$AD$2&amp;"*Zone People Number Of Occupants [](Hourly)",'Eplus results'!$1:$1048576,ROW(),FALSE)</f>
        <v>0</v>
      </c>
      <c r="AC8542" s="580">
        <f>HLOOKUP("*"&amp;'Output annual'!$AC$2&amp;'Output annual'!$AD$2&amp;"*FangerPMV(Hourly)",'Eplus results'!$1:$1048576,ROW(),FALSE)</f>
        <v>0</v>
      </c>
      <c r="AD8542" s="580">
        <f t="shared" si="701"/>
        <v>5</v>
      </c>
      <c r="AE8542" s="580">
        <f t="shared" si="702"/>
        <v>2.5</v>
      </c>
      <c r="AF8542" s="580">
        <f t="shared" si="703"/>
        <v>2.5</v>
      </c>
      <c r="AG8542" s="580">
        <f t="shared" si="704"/>
        <v>0</v>
      </c>
      <c r="AH8542" s="580">
        <f t="shared" si="705"/>
        <v>0</v>
      </c>
    </row>
    <row r="8543" spans="28:34">
      <c r="AB8543" s="580">
        <f>HLOOKUP("*"&amp;'Output annual'!$AC$2&amp;'Output annual'!$AD$2&amp;"*Zone People Number Of Occupants [](Hourly)",'Eplus results'!$1:$1048576,ROW(),FALSE)</f>
        <v>0</v>
      </c>
      <c r="AC8543" s="580">
        <f>HLOOKUP("*"&amp;'Output annual'!$AC$2&amp;'Output annual'!$AD$2&amp;"*FangerPMV(Hourly)",'Eplus results'!$1:$1048576,ROW(),FALSE)</f>
        <v>0</v>
      </c>
      <c r="AD8543" s="580">
        <f t="shared" si="701"/>
        <v>5</v>
      </c>
      <c r="AE8543" s="580">
        <f t="shared" si="702"/>
        <v>2.5</v>
      </c>
      <c r="AF8543" s="580">
        <f t="shared" si="703"/>
        <v>2.5</v>
      </c>
      <c r="AG8543" s="580">
        <f t="shared" si="704"/>
        <v>0</v>
      </c>
      <c r="AH8543" s="580">
        <f t="shared" si="705"/>
        <v>0</v>
      </c>
    </row>
    <row r="8544" spans="28:34">
      <c r="AB8544" s="580">
        <f>HLOOKUP("*"&amp;'Output annual'!$AC$2&amp;'Output annual'!$AD$2&amp;"*Zone People Number Of Occupants [](Hourly)",'Eplus results'!$1:$1048576,ROW(),FALSE)</f>
        <v>0</v>
      </c>
      <c r="AC8544" s="580">
        <f>HLOOKUP("*"&amp;'Output annual'!$AC$2&amp;'Output annual'!$AD$2&amp;"*FangerPMV(Hourly)",'Eplus results'!$1:$1048576,ROW(),FALSE)</f>
        <v>0</v>
      </c>
      <c r="AD8544" s="580">
        <f t="shared" si="701"/>
        <v>5</v>
      </c>
      <c r="AE8544" s="580">
        <f t="shared" si="702"/>
        <v>2.5</v>
      </c>
      <c r="AF8544" s="580">
        <f t="shared" si="703"/>
        <v>2.5</v>
      </c>
      <c r="AG8544" s="580">
        <f t="shared" si="704"/>
        <v>0</v>
      </c>
      <c r="AH8544" s="580">
        <f t="shared" si="705"/>
        <v>0</v>
      </c>
    </row>
    <row r="8545" spans="28:34">
      <c r="AB8545" s="580">
        <f>HLOOKUP("*"&amp;'Output annual'!$AC$2&amp;'Output annual'!$AD$2&amp;"*Zone People Number Of Occupants [](Hourly)",'Eplus results'!$1:$1048576,ROW(),FALSE)</f>
        <v>0</v>
      </c>
      <c r="AC8545" s="580">
        <f>HLOOKUP("*"&amp;'Output annual'!$AC$2&amp;'Output annual'!$AD$2&amp;"*FangerPMV(Hourly)",'Eplus results'!$1:$1048576,ROW(),FALSE)</f>
        <v>0</v>
      </c>
      <c r="AD8545" s="580">
        <f t="shared" si="701"/>
        <v>5</v>
      </c>
      <c r="AE8545" s="580">
        <f t="shared" si="702"/>
        <v>2.5</v>
      </c>
      <c r="AF8545" s="580">
        <f t="shared" si="703"/>
        <v>2.5</v>
      </c>
      <c r="AG8545" s="580">
        <f t="shared" si="704"/>
        <v>0</v>
      </c>
      <c r="AH8545" s="580">
        <f t="shared" si="705"/>
        <v>0</v>
      </c>
    </row>
    <row r="8546" spans="28:34">
      <c r="AB8546" s="580">
        <f>HLOOKUP("*"&amp;'Output annual'!$AC$2&amp;'Output annual'!$AD$2&amp;"*Zone People Number Of Occupants [](Hourly)",'Eplus results'!$1:$1048576,ROW(),FALSE)</f>
        <v>0</v>
      </c>
      <c r="AC8546" s="580">
        <f>HLOOKUP("*"&amp;'Output annual'!$AC$2&amp;'Output annual'!$AD$2&amp;"*FangerPMV(Hourly)",'Eplus results'!$1:$1048576,ROW(),FALSE)</f>
        <v>0</v>
      </c>
      <c r="AD8546" s="580">
        <f t="shared" si="701"/>
        <v>5</v>
      </c>
      <c r="AE8546" s="580">
        <f t="shared" si="702"/>
        <v>2.5</v>
      </c>
      <c r="AF8546" s="580">
        <f t="shared" si="703"/>
        <v>2.5</v>
      </c>
      <c r="AG8546" s="580">
        <f t="shared" si="704"/>
        <v>0</v>
      </c>
      <c r="AH8546" s="580">
        <f t="shared" si="705"/>
        <v>0</v>
      </c>
    </row>
    <row r="8547" spans="28:34">
      <c r="AB8547" s="580">
        <f>HLOOKUP("*"&amp;'Output annual'!$AC$2&amp;'Output annual'!$AD$2&amp;"*Zone People Number Of Occupants [](Hourly)",'Eplus results'!$1:$1048576,ROW(),FALSE)</f>
        <v>0</v>
      </c>
      <c r="AC8547" s="580">
        <f>HLOOKUP("*"&amp;'Output annual'!$AC$2&amp;'Output annual'!$AD$2&amp;"*FangerPMV(Hourly)",'Eplus results'!$1:$1048576,ROW(),FALSE)</f>
        <v>0</v>
      </c>
      <c r="AD8547" s="580">
        <f t="shared" si="701"/>
        <v>5</v>
      </c>
      <c r="AE8547" s="580">
        <f t="shared" si="702"/>
        <v>2.5</v>
      </c>
      <c r="AF8547" s="580">
        <f t="shared" si="703"/>
        <v>2.5</v>
      </c>
      <c r="AG8547" s="580">
        <f t="shared" si="704"/>
        <v>0</v>
      </c>
      <c r="AH8547" s="580">
        <f t="shared" si="705"/>
        <v>0</v>
      </c>
    </row>
    <row r="8548" spans="28:34">
      <c r="AB8548" s="580">
        <f>HLOOKUP("*"&amp;'Output annual'!$AC$2&amp;'Output annual'!$AD$2&amp;"*Zone People Number Of Occupants [](Hourly)",'Eplus results'!$1:$1048576,ROW(),FALSE)</f>
        <v>0</v>
      </c>
      <c r="AC8548" s="580">
        <f>HLOOKUP("*"&amp;'Output annual'!$AC$2&amp;'Output annual'!$AD$2&amp;"*FangerPMV(Hourly)",'Eplus results'!$1:$1048576,ROW(),FALSE)</f>
        <v>0</v>
      </c>
      <c r="AD8548" s="580">
        <f t="shared" si="701"/>
        <v>5</v>
      </c>
      <c r="AE8548" s="580">
        <f t="shared" si="702"/>
        <v>2.5</v>
      </c>
      <c r="AF8548" s="580">
        <f t="shared" si="703"/>
        <v>2.5</v>
      </c>
      <c r="AG8548" s="580">
        <f t="shared" si="704"/>
        <v>0</v>
      </c>
      <c r="AH8548" s="580">
        <f t="shared" si="705"/>
        <v>0</v>
      </c>
    </row>
    <row r="8549" spans="28:34">
      <c r="AB8549" s="580">
        <f>HLOOKUP("*"&amp;'Output annual'!$AC$2&amp;'Output annual'!$AD$2&amp;"*Zone People Number Of Occupants [](Hourly)",'Eplus results'!$1:$1048576,ROW(),FALSE)</f>
        <v>0</v>
      </c>
      <c r="AC8549" s="580">
        <f>HLOOKUP("*"&amp;'Output annual'!$AC$2&amp;'Output annual'!$AD$2&amp;"*FangerPMV(Hourly)",'Eplus results'!$1:$1048576,ROW(),FALSE)</f>
        <v>0</v>
      </c>
      <c r="AD8549" s="580">
        <f t="shared" si="701"/>
        <v>5</v>
      </c>
      <c r="AE8549" s="580">
        <f t="shared" si="702"/>
        <v>2.5</v>
      </c>
      <c r="AF8549" s="580">
        <f t="shared" si="703"/>
        <v>2.5</v>
      </c>
      <c r="AG8549" s="580">
        <f t="shared" si="704"/>
        <v>0</v>
      </c>
      <c r="AH8549" s="580">
        <f t="shared" si="705"/>
        <v>0</v>
      </c>
    </row>
    <row r="8550" spans="28:34">
      <c r="AB8550" s="580">
        <f>HLOOKUP("*"&amp;'Output annual'!$AC$2&amp;'Output annual'!$AD$2&amp;"*Zone People Number Of Occupants [](Hourly)",'Eplus results'!$1:$1048576,ROW(),FALSE)</f>
        <v>0</v>
      </c>
      <c r="AC8550" s="580">
        <f>HLOOKUP("*"&amp;'Output annual'!$AC$2&amp;'Output annual'!$AD$2&amp;"*FangerPMV(Hourly)",'Eplus results'!$1:$1048576,ROW(),FALSE)</f>
        <v>0</v>
      </c>
      <c r="AD8550" s="580">
        <f t="shared" si="701"/>
        <v>5</v>
      </c>
      <c r="AE8550" s="580">
        <f t="shared" si="702"/>
        <v>2.5</v>
      </c>
      <c r="AF8550" s="580">
        <f t="shared" si="703"/>
        <v>2.5</v>
      </c>
      <c r="AG8550" s="580">
        <f t="shared" si="704"/>
        <v>0</v>
      </c>
      <c r="AH8550" s="580">
        <f t="shared" si="705"/>
        <v>0</v>
      </c>
    </row>
    <row r="8551" spans="28:34">
      <c r="AB8551" s="580">
        <f>HLOOKUP("*"&amp;'Output annual'!$AC$2&amp;'Output annual'!$AD$2&amp;"*Zone People Number Of Occupants [](Hourly)",'Eplus results'!$1:$1048576,ROW(),FALSE)</f>
        <v>0</v>
      </c>
      <c r="AC8551" s="580">
        <f>HLOOKUP("*"&amp;'Output annual'!$AC$2&amp;'Output annual'!$AD$2&amp;"*FangerPMV(Hourly)",'Eplus results'!$1:$1048576,ROW(),FALSE)</f>
        <v>0</v>
      </c>
      <c r="AD8551" s="580">
        <f t="shared" si="701"/>
        <v>5</v>
      </c>
      <c r="AE8551" s="580">
        <f t="shared" si="702"/>
        <v>2.5</v>
      </c>
      <c r="AF8551" s="580">
        <f t="shared" si="703"/>
        <v>2.5</v>
      </c>
      <c r="AG8551" s="580">
        <f t="shared" si="704"/>
        <v>0</v>
      </c>
      <c r="AH8551" s="580">
        <f t="shared" si="705"/>
        <v>0</v>
      </c>
    </row>
    <row r="8552" spans="28:34">
      <c r="AB8552" s="580">
        <f>HLOOKUP("*"&amp;'Output annual'!$AC$2&amp;'Output annual'!$AD$2&amp;"*Zone People Number Of Occupants [](Hourly)",'Eplus results'!$1:$1048576,ROW(),FALSE)</f>
        <v>0</v>
      </c>
      <c r="AC8552" s="580">
        <f>HLOOKUP("*"&amp;'Output annual'!$AC$2&amp;'Output annual'!$AD$2&amp;"*FangerPMV(Hourly)",'Eplus results'!$1:$1048576,ROW(),FALSE)</f>
        <v>0</v>
      </c>
      <c r="AD8552" s="580">
        <f t="shared" si="701"/>
        <v>5</v>
      </c>
      <c r="AE8552" s="580">
        <f t="shared" si="702"/>
        <v>2.5</v>
      </c>
      <c r="AF8552" s="580">
        <f t="shared" si="703"/>
        <v>2.5</v>
      </c>
      <c r="AG8552" s="580">
        <f t="shared" si="704"/>
        <v>0</v>
      </c>
      <c r="AH8552" s="580">
        <f t="shared" si="705"/>
        <v>0</v>
      </c>
    </row>
    <row r="8553" spans="28:34">
      <c r="AB8553" s="580">
        <f>HLOOKUP("*"&amp;'Output annual'!$AC$2&amp;'Output annual'!$AD$2&amp;"*Zone People Number Of Occupants [](Hourly)",'Eplus results'!$1:$1048576,ROW(),FALSE)</f>
        <v>0</v>
      </c>
      <c r="AC8553" s="580">
        <f>HLOOKUP("*"&amp;'Output annual'!$AC$2&amp;'Output annual'!$AD$2&amp;"*FangerPMV(Hourly)",'Eplus results'!$1:$1048576,ROW(),FALSE)</f>
        <v>0</v>
      </c>
      <c r="AD8553" s="580">
        <f t="shared" si="701"/>
        <v>5</v>
      </c>
      <c r="AE8553" s="580">
        <f t="shared" si="702"/>
        <v>2.5</v>
      </c>
      <c r="AF8553" s="580">
        <f t="shared" si="703"/>
        <v>2.5</v>
      </c>
      <c r="AG8553" s="580">
        <f t="shared" si="704"/>
        <v>0</v>
      </c>
      <c r="AH8553" s="580">
        <f t="shared" si="705"/>
        <v>0</v>
      </c>
    </row>
    <row r="8554" spans="28:34">
      <c r="AB8554" s="580">
        <f>HLOOKUP("*"&amp;'Output annual'!$AC$2&amp;'Output annual'!$AD$2&amp;"*Zone People Number Of Occupants [](Hourly)",'Eplus results'!$1:$1048576,ROW(),FALSE)</f>
        <v>0</v>
      </c>
      <c r="AC8554" s="580">
        <f>HLOOKUP("*"&amp;'Output annual'!$AC$2&amp;'Output annual'!$AD$2&amp;"*FangerPMV(Hourly)",'Eplus results'!$1:$1048576,ROW(),FALSE)</f>
        <v>0</v>
      </c>
      <c r="AD8554" s="580">
        <f t="shared" si="701"/>
        <v>5</v>
      </c>
      <c r="AE8554" s="580">
        <f t="shared" si="702"/>
        <v>2.5</v>
      </c>
      <c r="AF8554" s="580">
        <f t="shared" si="703"/>
        <v>2.5</v>
      </c>
      <c r="AG8554" s="580">
        <f t="shared" si="704"/>
        <v>0</v>
      </c>
      <c r="AH8554" s="580">
        <f t="shared" si="705"/>
        <v>0</v>
      </c>
    </row>
    <row r="8555" spans="28:34">
      <c r="AB8555" s="580">
        <f>HLOOKUP("*"&amp;'Output annual'!$AC$2&amp;'Output annual'!$AD$2&amp;"*Zone People Number Of Occupants [](Hourly)",'Eplus results'!$1:$1048576,ROW(),FALSE)</f>
        <v>0</v>
      </c>
      <c r="AC8555" s="580">
        <f>HLOOKUP("*"&amp;'Output annual'!$AC$2&amp;'Output annual'!$AD$2&amp;"*FangerPMV(Hourly)",'Eplus results'!$1:$1048576,ROW(),FALSE)</f>
        <v>0</v>
      </c>
      <c r="AD8555" s="580">
        <f t="shared" si="701"/>
        <v>5</v>
      </c>
      <c r="AE8555" s="580">
        <f t="shared" si="702"/>
        <v>2.5</v>
      </c>
      <c r="AF8555" s="580">
        <f t="shared" si="703"/>
        <v>2.5</v>
      </c>
      <c r="AG8555" s="580">
        <f t="shared" si="704"/>
        <v>0</v>
      </c>
      <c r="AH8555" s="580">
        <f t="shared" si="705"/>
        <v>0</v>
      </c>
    </row>
    <row r="8556" spans="28:34">
      <c r="AB8556" s="580">
        <f>HLOOKUP("*"&amp;'Output annual'!$AC$2&amp;'Output annual'!$AD$2&amp;"*Zone People Number Of Occupants [](Hourly)",'Eplus results'!$1:$1048576,ROW(),FALSE)</f>
        <v>0</v>
      </c>
      <c r="AC8556" s="580">
        <f>HLOOKUP("*"&amp;'Output annual'!$AC$2&amp;'Output annual'!$AD$2&amp;"*FangerPMV(Hourly)",'Eplus results'!$1:$1048576,ROW(),FALSE)</f>
        <v>0</v>
      </c>
      <c r="AD8556" s="580">
        <f t="shared" si="701"/>
        <v>5</v>
      </c>
      <c r="AE8556" s="580">
        <f t="shared" si="702"/>
        <v>2.5</v>
      </c>
      <c r="AF8556" s="580">
        <f t="shared" si="703"/>
        <v>2.5</v>
      </c>
      <c r="AG8556" s="580">
        <f t="shared" si="704"/>
        <v>0</v>
      </c>
      <c r="AH8556" s="580">
        <f t="shared" si="705"/>
        <v>0</v>
      </c>
    </row>
    <row r="8557" spans="28:34">
      <c r="AB8557" s="580">
        <f>HLOOKUP("*"&amp;'Output annual'!$AC$2&amp;'Output annual'!$AD$2&amp;"*Zone People Number Of Occupants [](Hourly)",'Eplus results'!$1:$1048576,ROW(),FALSE)</f>
        <v>0</v>
      </c>
      <c r="AC8557" s="580">
        <f>HLOOKUP("*"&amp;'Output annual'!$AC$2&amp;'Output annual'!$AD$2&amp;"*FangerPMV(Hourly)",'Eplus results'!$1:$1048576,ROW(),FALSE)</f>
        <v>0</v>
      </c>
      <c r="AD8557" s="580">
        <f t="shared" si="701"/>
        <v>5</v>
      </c>
      <c r="AE8557" s="580">
        <f t="shared" si="702"/>
        <v>2.5</v>
      </c>
      <c r="AF8557" s="580">
        <f t="shared" si="703"/>
        <v>2.5</v>
      </c>
      <c r="AG8557" s="580">
        <f t="shared" si="704"/>
        <v>0</v>
      </c>
      <c r="AH8557" s="580">
        <f t="shared" si="705"/>
        <v>0</v>
      </c>
    </row>
    <row r="8558" spans="28:34">
      <c r="AB8558" s="580">
        <f>HLOOKUP("*"&amp;'Output annual'!$AC$2&amp;'Output annual'!$AD$2&amp;"*Zone People Number Of Occupants [](Hourly)",'Eplus results'!$1:$1048576,ROW(),FALSE)</f>
        <v>0</v>
      </c>
      <c r="AC8558" s="580">
        <f>HLOOKUP("*"&amp;'Output annual'!$AC$2&amp;'Output annual'!$AD$2&amp;"*FangerPMV(Hourly)",'Eplus results'!$1:$1048576,ROW(),FALSE)</f>
        <v>0</v>
      </c>
      <c r="AD8558" s="580">
        <f t="shared" si="701"/>
        <v>5</v>
      </c>
      <c r="AE8558" s="580">
        <f t="shared" si="702"/>
        <v>2.5</v>
      </c>
      <c r="AF8558" s="580">
        <f t="shared" si="703"/>
        <v>2.5</v>
      </c>
      <c r="AG8558" s="580">
        <f t="shared" si="704"/>
        <v>0</v>
      </c>
      <c r="AH8558" s="580">
        <f t="shared" si="705"/>
        <v>0</v>
      </c>
    </row>
    <row r="8559" spans="28:34">
      <c r="AB8559" s="580">
        <f>HLOOKUP("*"&amp;'Output annual'!$AC$2&amp;'Output annual'!$AD$2&amp;"*Zone People Number Of Occupants [](Hourly)",'Eplus results'!$1:$1048576,ROW(),FALSE)</f>
        <v>0</v>
      </c>
      <c r="AC8559" s="580">
        <f>HLOOKUP("*"&amp;'Output annual'!$AC$2&amp;'Output annual'!$AD$2&amp;"*FangerPMV(Hourly)",'Eplus results'!$1:$1048576,ROW(),FALSE)</f>
        <v>0</v>
      </c>
      <c r="AD8559" s="580">
        <f t="shared" si="701"/>
        <v>5</v>
      </c>
      <c r="AE8559" s="580">
        <f t="shared" si="702"/>
        <v>2.5</v>
      </c>
      <c r="AF8559" s="580">
        <f t="shared" si="703"/>
        <v>2.5</v>
      </c>
      <c r="AG8559" s="580">
        <f t="shared" si="704"/>
        <v>0</v>
      </c>
      <c r="AH8559" s="580">
        <f t="shared" si="705"/>
        <v>0</v>
      </c>
    </row>
    <row r="8560" spans="28:34">
      <c r="AB8560" s="580">
        <f>HLOOKUP("*"&amp;'Output annual'!$AC$2&amp;'Output annual'!$AD$2&amp;"*Zone People Number Of Occupants [](Hourly)",'Eplus results'!$1:$1048576,ROW(),FALSE)</f>
        <v>0</v>
      </c>
      <c r="AC8560" s="580">
        <f>HLOOKUP("*"&amp;'Output annual'!$AC$2&amp;'Output annual'!$AD$2&amp;"*FangerPMV(Hourly)",'Eplus results'!$1:$1048576,ROW(),FALSE)</f>
        <v>0</v>
      </c>
      <c r="AD8560" s="580">
        <f t="shared" si="701"/>
        <v>5</v>
      </c>
      <c r="AE8560" s="580">
        <f t="shared" si="702"/>
        <v>2.5</v>
      </c>
      <c r="AF8560" s="580">
        <f t="shared" si="703"/>
        <v>2.5</v>
      </c>
      <c r="AG8560" s="580">
        <f t="shared" si="704"/>
        <v>0</v>
      </c>
      <c r="AH8560" s="580">
        <f t="shared" si="705"/>
        <v>0</v>
      </c>
    </row>
    <row r="8561" spans="28:34">
      <c r="AB8561" s="580">
        <f>HLOOKUP("*"&amp;'Output annual'!$AC$2&amp;'Output annual'!$AD$2&amp;"*Zone People Number Of Occupants [](Hourly)",'Eplus results'!$1:$1048576,ROW(),FALSE)</f>
        <v>0</v>
      </c>
      <c r="AC8561" s="580">
        <f>HLOOKUP("*"&amp;'Output annual'!$AC$2&amp;'Output annual'!$AD$2&amp;"*FangerPMV(Hourly)",'Eplus results'!$1:$1048576,ROW(),FALSE)</f>
        <v>0</v>
      </c>
      <c r="AD8561" s="580">
        <f t="shared" si="701"/>
        <v>5</v>
      </c>
      <c r="AE8561" s="580">
        <f t="shared" si="702"/>
        <v>2.5</v>
      </c>
      <c r="AF8561" s="580">
        <f t="shared" si="703"/>
        <v>2.5</v>
      </c>
      <c r="AG8561" s="580">
        <f t="shared" si="704"/>
        <v>0</v>
      </c>
      <c r="AH8561" s="580">
        <f t="shared" si="705"/>
        <v>0</v>
      </c>
    </row>
    <row r="8562" spans="28:34">
      <c r="AB8562" s="580">
        <f>HLOOKUP("*"&amp;'Output annual'!$AC$2&amp;'Output annual'!$AD$2&amp;"*Zone People Number Of Occupants [](Hourly)",'Eplus results'!$1:$1048576,ROW(),FALSE)</f>
        <v>0</v>
      </c>
      <c r="AC8562" s="580">
        <f>HLOOKUP("*"&amp;'Output annual'!$AC$2&amp;'Output annual'!$AD$2&amp;"*FangerPMV(Hourly)",'Eplus results'!$1:$1048576,ROW(),FALSE)</f>
        <v>0</v>
      </c>
      <c r="AD8562" s="580">
        <f t="shared" si="701"/>
        <v>5</v>
      </c>
      <c r="AE8562" s="580">
        <f t="shared" si="702"/>
        <v>2.5</v>
      </c>
      <c r="AF8562" s="580">
        <f t="shared" si="703"/>
        <v>2.5</v>
      </c>
      <c r="AG8562" s="580">
        <f t="shared" si="704"/>
        <v>0</v>
      </c>
      <c r="AH8562" s="580">
        <f t="shared" si="705"/>
        <v>0</v>
      </c>
    </row>
    <row r="8563" spans="28:34">
      <c r="AB8563" s="580">
        <f>HLOOKUP("*"&amp;'Output annual'!$AC$2&amp;'Output annual'!$AD$2&amp;"*Zone People Number Of Occupants [](Hourly)",'Eplus results'!$1:$1048576,ROW(),FALSE)</f>
        <v>0</v>
      </c>
      <c r="AC8563" s="580">
        <f>HLOOKUP("*"&amp;'Output annual'!$AC$2&amp;'Output annual'!$AD$2&amp;"*FangerPMV(Hourly)",'Eplus results'!$1:$1048576,ROW(),FALSE)</f>
        <v>0</v>
      </c>
      <c r="AD8563" s="580">
        <f t="shared" si="701"/>
        <v>5</v>
      </c>
      <c r="AE8563" s="580">
        <f t="shared" si="702"/>
        <v>2.5</v>
      </c>
      <c r="AF8563" s="580">
        <f t="shared" si="703"/>
        <v>2.5</v>
      </c>
      <c r="AG8563" s="580">
        <f t="shared" si="704"/>
        <v>0</v>
      </c>
      <c r="AH8563" s="580">
        <f t="shared" si="705"/>
        <v>0</v>
      </c>
    </row>
    <row r="8564" spans="28:34">
      <c r="AB8564" s="580">
        <f>HLOOKUP("*"&amp;'Output annual'!$AC$2&amp;'Output annual'!$AD$2&amp;"*Zone People Number Of Occupants [](Hourly)",'Eplus results'!$1:$1048576,ROW(),FALSE)</f>
        <v>0</v>
      </c>
      <c r="AC8564" s="580">
        <f>HLOOKUP("*"&amp;'Output annual'!$AC$2&amp;'Output annual'!$AD$2&amp;"*FangerPMV(Hourly)",'Eplus results'!$1:$1048576,ROW(),FALSE)</f>
        <v>0</v>
      </c>
      <c r="AD8564" s="580">
        <f t="shared" si="701"/>
        <v>5</v>
      </c>
      <c r="AE8564" s="580">
        <f t="shared" si="702"/>
        <v>2.5</v>
      </c>
      <c r="AF8564" s="580">
        <f t="shared" si="703"/>
        <v>2.5</v>
      </c>
      <c r="AG8564" s="580">
        <f t="shared" si="704"/>
        <v>0</v>
      </c>
      <c r="AH8564" s="580">
        <f t="shared" si="705"/>
        <v>0</v>
      </c>
    </row>
    <row r="8565" spans="28:34">
      <c r="AB8565" s="580">
        <f>HLOOKUP("*"&amp;'Output annual'!$AC$2&amp;'Output annual'!$AD$2&amp;"*Zone People Number Of Occupants [](Hourly)",'Eplus results'!$1:$1048576,ROW(),FALSE)</f>
        <v>0</v>
      </c>
      <c r="AC8565" s="580">
        <f>HLOOKUP("*"&amp;'Output annual'!$AC$2&amp;'Output annual'!$AD$2&amp;"*FangerPMV(Hourly)",'Eplus results'!$1:$1048576,ROW(),FALSE)</f>
        <v>0</v>
      </c>
      <c r="AD8565" s="580">
        <f t="shared" si="701"/>
        <v>5</v>
      </c>
      <c r="AE8565" s="580">
        <f t="shared" si="702"/>
        <v>2.5</v>
      </c>
      <c r="AF8565" s="580">
        <f t="shared" si="703"/>
        <v>2.5</v>
      </c>
      <c r="AG8565" s="580">
        <f t="shared" si="704"/>
        <v>0</v>
      </c>
      <c r="AH8565" s="580">
        <f t="shared" si="705"/>
        <v>0</v>
      </c>
    </row>
    <row r="8566" spans="28:34">
      <c r="AB8566" s="580">
        <f>HLOOKUP("*"&amp;'Output annual'!$AC$2&amp;'Output annual'!$AD$2&amp;"*Zone People Number Of Occupants [](Hourly)",'Eplus results'!$1:$1048576,ROW(),FALSE)</f>
        <v>0</v>
      </c>
      <c r="AC8566" s="580">
        <f>HLOOKUP("*"&amp;'Output annual'!$AC$2&amp;'Output annual'!$AD$2&amp;"*FangerPMV(Hourly)",'Eplus results'!$1:$1048576,ROW(),FALSE)</f>
        <v>0</v>
      </c>
      <c r="AD8566" s="580">
        <f t="shared" si="701"/>
        <v>5</v>
      </c>
      <c r="AE8566" s="580">
        <f t="shared" si="702"/>
        <v>2.5</v>
      </c>
      <c r="AF8566" s="580">
        <f t="shared" si="703"/>
        <v>2.5</v>
      </c>
      <c r="AG8566" s="580">
        <f t="shared" si="704"/>
        <v>0</v>
      </c>
      <c r="AH8566" s="580">
        <f t="shared" si="705"/>
        <v>0</v>
      </c>
    </row>
    <row r="8567" spans="28:34">
      <c r="AB8567" s="580">
        <f>HLOOKUP("*"&amp;'Output annual'!$AC$2&amp;'Output annual'!$AD$2&amp;"*Zone People Number Of Occupants [](Hourly)",'Eplus results'!$1:$1048576,ROW(),FALSE)</f>
        <v>0</v>
      </c>
      <c r="AC8567" s="580">
        <f>HLOOKUP("*"&amp;'Output annual'!$AC$2&amp;'Output annual'!$AD$2&amp;"*FangerPMV(Hourly)",'Eplus results'!$1:$1048576,ROW(),FALSE)</f>
        <v>0</v>
      </c>
      <c r="AD8567" s="580">
        <f t="shared" si="701"/>
        <v>5</v>
      </c>
      <c r="AE8567" s="580">
        <f t="shared" si="702"/>
        <v>2.5</v>
      </c>
      <c r="AF8567" s="580">
        <f t="shared" si="703"/>
        <v>2.5</v>
      </c>
      <c r="AG8567" s="580">
        <f t="shared" si="704"/>
        <v>0</v>
      </c>
      <c r="AH8567" s="580">
        <f t="shared" si="705"/>
        <v>0</v>
      </c>
    </row>
    <row r="8568" spans="28:34">
      <c r="AB8568" s="580">
        <f>HLOOKUP("*"&amp;'Output annual'!$AC$2&amp;'Output annual'!$AD$2&amp;"*Zone People Number Of Occupants [](Hourly)",'Eplus results'!$1:$1048576,ROW(),FALSE)</f>
        <v>0</v>
      </c>
      <c r="AC8568" s="580">
        <f>HLOOKUP("*"&amp;'Output annual'!$AC$2&amp;'Output annual'!$AD$2&amp;"*FangerPMV(Hourly)",'Eplus results'!$1:$1048576,ROW(),FALSE)</f>
        <v>0</v>
      </c>
      <c r="AD8568" s="580">
        <f t="shared" si="701"/>
        <v>5</v>
      </c>
      <c r="AE8568" s="580">
        <f t="shared" si="702"/>
        <v>2.5</v>
      </c>
      <c r="AF8568" s="580">
        <f t="shared" si="703"/>
        <v>2.5</v>
      </c>
      <c r="AG8568" s="580">
        <f t="shared" si="704"/>
        <v>0</v>
      </c>
      <c r="AH8568" s="580">
        <f t="shared" si="705"/>
        <v>0</v>
      </c>
    </row>
    <row r="8569" spans="28:34">
      <c r="AB8569" s="580">
        <f>HLOOKUP("*"&amp;'Output annual'!$AC$2&amp;'Output annual'!$AD$2&amp;"*Zone People Number Of Occupants [](Hourly)",'Eplus results'!$1:$1048576,ROW(),FALSE)</f>
        <v>0</v>
      </c>
      <c r="AC8569" s="580">
        <f>HLOOKUP("*"&amp;'Output annual'!$AC$2&amp;'Output annual'!$AD$2&amp;"*FangerPMV(Hourly)",'Eplus results'!$1:$1048576,ROW(),FALSE)</f>
        <v>0</v>
      </c>
      <c r="AD8569" s="580">
        <f t="shared" si="701"/>
        <v>5</v>
      </c>
      <c r="AE8569" s="580">
        <f t="shared" si="702"/>
        <v>2.5</v>
      </c>
      <c r="AF8569" s="580">
        <f t="shared" si="703"/>
        <v>2.5</v>
      </c>
      <c r="AG8569" s="580">
        <f t="shared" si="704"/>
        <v>0</v>
      </c>
      <c r="AH8569" s="580">
        <f t="shared" si="705"/>
        <v>0</v>
      </c>
    </row>
    <row r="8570" spans="28:34">
      <c r="AB8570" s="580">
        <f>HLOOKUP("*"&amp;'Output annual'!$AC$2&amp;'Output annual'!$AD$2&amp;"*Zone People Number Of Occupants [](Hourly)",'Eplus results'!$1:$1048576,ROW(),FALSE)</f>
        <v>0</v>
      </c>
      <c r="AC8570" s="580">
        <f>HLOOKUP("*"&amp;'Output annual'!$AC$2&amp;'Output annual'!$AD$2&amp;"*FangerPMV(Hourly)",'Eplus results'!$1:$1048576,ROW(),FALSE)</f>
        <v>0</v>
      </c>
      <c r="AD8570" s="580">
        <f t="shared" si="701"/>
        <v>5</v>
      </c>
      <c r="AE8570" s="580">
        <f t="shared" si="702"/>
        <v>2.5</v>
      </c>
      <c r="AF8570" s="580">
        <f t="shared" si="703"/>
        <v>2.5</v>
      </c>
      <c r="AG8570" s="580">
        <f t="shared" si="704"/>
        <v>0</v>
      </c>
      <c r="AH8570" s="580">
        <f t="shared" si="705"/>
        <v>0</v>
      </c>
    </row>
    <row r="8571" spans="28:34">
      <c r="AB8571" s="580">
        <f>HLOOKUP("*"&amp;'Output annual'!$AC$2&amp;'Output annual'!$AD$2&amp;"*Zone People Number Of Occupants [](Hourly)",'Eplus results'!$1:$1048576,ROW(),FALSE)</f>
        <v>0</v>
      </c>
      <c r="AC8571" s="580">
        <f>HLOOKUP("*"&amp;'Output annual'!$AC$2&amp;'Output annual'!$AD$2&amp;"*FangerPMV(Hourly)",'Eplus results'!$1:$1048576,ROW(),FALSE)</f>
        <v>0</v>
      </c>
      <c r="AD8571" s="580">
        <f t="shared" si="701"/>
        <v>5</v>
      </c>
      <c r="AE8571" s="580">
        <f t="shared" si="702"/>
        <v>2.5</v>
      </c>
      <c r="AF8571" s="580">
        <f t="shared" si="703"/>
        <v>2.5</v>
      </c>
      <c r="AG8571" s="580">
        <f t="shared" si="704"/>
        <v>0</v>
      </c>
      <c r="AH8571" s="580">
        <f t="shared" si="705"/>
        <v>0</v>
      </c>
    </row>
    <row r="8572" spans="28:34">
      <c r="AB8572" s="580">
        <f>HLOOKUP("*"&amp;'Output annual'!$AC$2&amp;'Output annual'!$AD$2&amp;"*Zone People Number Of Occupants [](Hourly)",'Eplus results'!$1:$1048576,ROW(),FALSE)</f>
        <v>0</v>
      </c>
      <c r="AC8572" s="580">
        <f>HLOOKUP("*"&amp;'Output annual'!$AC$2&amp;'Output annual'!$AD$2&amp;"*FangerPMV(Hourly)",'Eplus results'!$1:$1048576,ROW(),FALSE)</f>
        <v>0</v>
      </c>
      <c r="AD8572" s="580">
        <f t="shared" si="701"/>
        <v>5</v>
      </c>
      <c r="AE8572" s="580">
        <f t="shared" si="702"/>
        <v>2.5</v>
      </c>
      <c r="AF8572" s="580">
        <f t="shared" si="703"/>
        <v>2.5</v>
      </c>
      <c r="AG8572" s="580">
        <f t="shared" si="704"/>
        <v>0</v>
      </c>
      <c r="AH8572" s="580">
        <f t="shared" si="705"/>
        <v>0</v>
      </c>
    </row>
    <row r="8573" spans="28:34">
      <c r="AB8573" s="580">
        <f>HLOOKUP("*"&amp;'Output annual'!$AC$2&amp;'Output annual'!$AD$2&amp;"*Zone People Number Of Occupants [](Hourly)",'Eplus results'!$1:$1048576,ROW(),FALSE)</f>
        <v>0</v>
      </c>
      <c r="AC8573" s="580">
        <f>HLOOKUP("*"&amp;'Output annual'!$AC$2&amp;'Output annual'!$AD$2&amp;"*FangerPMV(Hourly)",'Eplus results'!$1:$1048576,ROW(),FALSE)</f>
        <v>0</v>
      </c>
      <c r="AD8573" s="580">
        <f t="shared" si="701"/>
        <v>5</v>
      </c>
      <c r="AE8573" s="580">
        <f t="shared" si="702"/>
        <v>2.5</v>
      </c>
      <c r="AF8573" s="580">
        <f t="shared" si="703"/>
        <v>2.5</v>
      </c>
      <c r="AG8573" s="580">
        <f t="shared" si="704"/>
        <v>0</v>
      </c>
      <c r="AH8573" s="580">
        <f t="shared" si="705"/>
        <v>0</v>
      </c>
    </row>
    <row r="8574" spans="28:34">
      <c r="AB8574" s="580">
        <f>HLOOKUP("*"&amp;'Output annual'!$AC$2&amp;'Output annual'!$AD$2&amp;"*Zone People Number Of Occupants [](Hourly)",'Eplus results'!$1:$1048576,ROW(),FALSE)</f>
        <v>0</v>
      </c>
      <c r="AC8574" s="580">
        <f>HLOOKUP("*"&amp;'Output annual'!$AC$2&amp;'Output annual'!$AD$2&amp;"*FangerPMV(Hourly)",'Eplus results'!$1:$1048576,ROW(),FALSE)</f>
        <v>0</v>
      </c>
      <c r="AD8574" s="580">
        <f t="shared" si="701"/>
        <v>5</v>
      </c>
      <c r="AE8574" s="580">
        <f t="shared" si="702"/>
        <v>2.5</v>
      </c>
      <c r="AF8574" s="580">
        <f t="shared" si="703"/>
        <v>2.5</v>
      </c>
      <c r="AG8574" s="580">
        <f t="shared" si="704"/>
        <v>0</v>
      </c>
      <c r="AH8574" s="580">
        <f t="shared" si="705"/>
        <v>0</v>
      </c>
    </row>
    <row r="8575" spans="28:34">
      <c r="AB8575" s="580">
        <f>HLOOKUP("*"&amp;'Output annual'!$AC$2&amp;'Output annual'!$AD$2&amp;"*Zone People Number Of Occupants [](Hourly)",'Eplus results'!$1:$1048576,ROW(),FALSE)</f>
        <v>0</v>
      </c>
      <c r="AC8575" s="580">
        <f>HLOOKUP("*"&amp;'Output annual'!$AC$2&amp;'Output annual'!$AD$2&amp;"*FangerPMV(Hourly)",'Eplus results'!$1:$1048576,ROW(),FALSE)</f>
        <v>0</v>
      </c>
      <c r="AD8575" s="580">
        <f t="shared" si="701"/>
        <v>5</v>
      </c>
      <c r="AE8575" s="580">
        <f t="shared" si="702"/>
        <v>2.5</v>
      </c>
      <c r="AF8575" s="580">
        <f t="shared" si="703"/>
        <v>2.5</v>
      </c>
      <c r="AG8575" s="580">
        <f t="shared" si="704"/>
        <v>0</v>
      </c>
      <c r="AH8575" s="580">
        <f t="shared" si="705"/>
        <v>0</v>
      </c>
    </row>
    <row r="8576" spans="28:34">
      <c r="AB8576" s="580">
        <f>HLOOKUP("*"&amp;'Output annual'!$AC$2&amp;'Output annual'!$AD$2&amp;"*Zone People Number Of Occupants [](Hourly)",'Eplus results'!$1:$1048576,ROW(),FALSE)</f>
        <v>0</v>
      </c>
      <c r="AC8576" s="580">
        <f>HLOOKUP("*"&amp;'Output annual'!$AC$2&amp;'Output annual'!$AD$2&amp;"*FangerPMV(Hourly)",'Eplus results'!$1:$1048576,ROW(),FALSE)</f>
        <v>0</v>
      </c>
      <c r="AD8576" s="580">
        <f t="shared" si="701"/>
        <v>5</v>
      </c>
      <c r="AE8576" s="580">
        <f t="shared" si="702"/>
        <v>2.5</v>
      </c>
      <c r="AF8576" s="580">
        <f t="shared" si="703"/>
        <v>2.5</v>
      </c>
      <c r="AG8576" s="580">
        <f t="shared" si="704"/>
        <v>0</v>
      </c>
      <c r="AH8576" s="580">
        <f t="shared" si="705"/>
        <v>0</v>
      </c>
    </row>
    <row r="8577" spans="28:34">
      <c r="AB8577" s="580">
        <f>HLOOKUP("*"&amp;'Output annual'!$AC$2&amp;'Output annual'!$AD$2&amp;"*Zone People Number Of Occupants [](Hourly)",'Eplus results'!$1:$1048576,ROW(),FALSE)</f>
        <v>0</v>
      </c>
      <c r="AC8577" s="580">
        <f>HLOOKUP("*"&amp;'Output annual'!$AC$2&amp;'Output annual'!$AD$2&amp;"*FangerPMV(Hourly)",'Eplus results'!$1:$1048576,ROW(),FALSE)</f>
        <v>0</v>
      </c>
      <c r="AD8577" s="580">
        <f t="shared" si="701"/>
        <v>5</v>
      </c>
      <c r="AE8577" s="580">
        <f t="shared" si="702"/>
        <v>2.5</v>
      </c>
      <c r="AF8577" s="580">
        <f t="shared" si="703"/>
        <v>2.5</v>
      </c>
      <c r="AG8577" s="580">
        <f t="shared" si="704"/>
        <v>0</v>
      </c>
      <c r="AH8577" s="580">
        <f t="shared" si="705"/>
        <v>0</v>
      </c>
    </row>
    <row r="8578" spans="28:34">
      <c r="AB8578" s="580">
        <f>HLOOKUP("*"&amp;'Output annual'!$AC$2&amp;'Output annual'!$AD$2&amp;"*Zone People Number Of Occupants [](Hourly)",'Eplus results'!$1:$1048576,ROW(),FALSE)</f>
        <v>0</v>
      </c>
      <c r="AC8578" s="580">
        <f>HLOOKUP("*"&amp;'Output annual'!$AC$2&amp;'Output annual'!$AD$2&amp;"*FangerPMV(Hourly)",'Eplus results'!$1:$1048576,ROW(),FALSE)</f>
        <v>0</v>
      </c>
      <c r="AD8578" s="580">
        <f t="shared" si="701"/>
        <v>5</v>
      </c>
      <c r="AE8578" s="580">
        <f t="shared" si="702"/>
        <v>2.5</v>
      </c>
      <c r="AF8578" s="580">
        <f t="shared" si="703"/>
        <v>2.5</v>
      </c>
      <c r="AG8578" s="580">
        <f t="shared" si="704"/>
        <v>0</v>
      </c>
      <c r="AH8578" s="580">
        <f t="shared" si="705"/>
        <v>0</v>
      </c>
    </row>
    <row r="8579" spans="28:34">
      <c r="AB8579" s="580">
        <f>HLOOKUP("*"&amp;'Output annual'!$AC$2&amp;'Output annual'!$AD$2&amp;"*Zone People Number Of Occupants [](Hourly)",'Eplus results'!$1:$1048576,ROW(),FALSE)</f>
        <v>0</v>
      </c>
      <c r="AC8579" s="580">
        <f>HLOOKUP("*"&amp;'Output annual'!$AC$2&amp;'Output annual'!$AD$2&amp;"*FangerPMV(Hourly)",'Eplus results'!$1:$1048576,ROW(),FALSE)</f>
        <v>0</v>
      </c>
      <c r="AD8579" s="580">
        <f t="shared" ref="AD8579:AD8642" si="706">100-95*EXP(-0.03353*AC8579^4-0.2179*AC8579^2)</f>
        <v>5</v>
      </c>
      <c r="AE8579" s="580">
        <f t="shared" ref="AE8579:AE8642" si="707">AD8579*(1/(1+EXP(-6.3*$AC8579)))</f>
        <v>2.5</v>
      </c>
      <c r="AF8579" s="580">
        <f t="shared" ref="AF8579:AF8642" si="708">(AD8579-AE8579)</f>
        <v>2.5</v>
      </c>
      <c r="AG8579" s="580">
        <f t="shared" ref="AG8579:AG8642" si="709">AE8579*AB8579</f>
        <v>0</v>
      </c>
      <c r="AH8579" s="580">
        <f t="shared" ref="AH8579:AH8642" si="710">AF8579*AB8579</f>
        <v>0</v>
      </c>
    </row>
    <row r="8580" spans="28:34">
      <c r="AB8580" s="580">
        <f>HLOOKUP("*"&amp;'Output annual'!$AC$2&amp;'Output annual'!$AD$2&amp;"*Zone People Number Of Occupants [](Hourly)",'Eplus results'!$1:$1048576,ROW(),FALSE)</f>
        <v>0</v>
      </c>
      <c r="AC8580" s="580">
        <f>HLOOKUP("*"&amp;'Output annual'!$AC$2&amp;'Output annual'!$AD$2&amp;"*FangerPMV(Hourly)",'Eplus results'!$1:$1048576,ROW(),FALSE)</f>
        <v>0</v>
      </c>
      <c r="AD8580" s="580">
        <f t="shared" si="706"/>
        <v>5</v>
      </c>
      <c r="AE8580" s="580">
        <f t="shared" si="707"/>
        <v>2.5</v>
      </c>
      <c r="AF8580" s="580">
        <f t="shared" si="708"/>
        <v>2.5</v>
      </c>
      <c r="AG8580" s="580">
        <f t="shared" si="709"/>
        <v>0</v>
      </c>
      <c r="AH8580" s="580">
        <f t="shared" si="710"/>
        <v>0</v>
      </c>
    </row>
    <row r="8581" spans="28:34">
      <c r="AB8581" s="580">
        <f>HLOOKUP("*"&amp;'Output annual'!$AC$2&amp;'Output annual'!$AD$2&amp;"*Zone People Number Of Occupants [](Hourly)",'Eplus results'!$1:$1048576,ROW(),FALSE)</f>
        <v>0</v>
      </c>
      <c r="AC8581" s="580">
        <f>HLOOKUP("*"&amp;'Output annual'!$AC$2&amp;'Output annual'!$AD$2&amp;"*FangerPMV(Hourly)",'Eplus results'!$1:$1048576,ROW(),FALSE)</f>
        <v>0</v>
      </c>
      <c r="AD8581" s="580">
        <f t="shared" si="706"/>
        <v>5</v>
      </c>
      <c r="AE8581" s="580">
        <f t="shared" si="707"/>
        <v>2.5</v>
      </c>
      <c r="AF8581" s="580">
        <f t="shared" si="708"/>
        <v>2.5</v>
      </c>
      <c r="AG8581" s="580">
        <f t="shared" si="709"/>
        <v>0</v>
      </c>
      <c r="AH8581" s="580">
        <f t="shared" si="710"/>
        <v>0</v>
      </c>
    </row>
    <row r="8582" spans="28:34">
      <c r="AB8582" s="580">
        <f>HLOOKUP("*"&amp;'Output annual'!$AC$2&amp;'Output annual'!$AD$2&amp;"*Zone People Number Of Occupants [](Hourly)",'Eplus results'!$1:$1048576,ROW(),FALSE)</f>
        <v>0</v>
      </c>
      <c r="AC8582" s="580">
        <f>HLOOKUP("*"&amp;'Output annual'!$AC$2&amp;'Output annual'!$AD$2&amp;"*FangerPMV(Hourly)",'Eplus results'!$1:$1048576,ROW(),FALSE)</f>
        <v>0</v>
      </c>
      <c r="AD8582" s="580">
        <f t="shared" si="706"/>
        <v>5</v>
      </c>
      <c r="AE8582" s="580">
        <f t="shared" si="707"/>
        <v>2.5</v>
      </c>
      <c r="AF8582" s="580">
        <f t="shared" si="708"/>
        <v>2.5</v>
      </c>
      <c r="AG8582" s="580">
        <f t="shared" si="709"/>
        <v>0</v>
      </c>
      <c r="AH8582" s="580">
        <f t="shared" si="710"/>
        <v>0</v>
      </c>
    </row>
    <row r="8583" spans="28:34">
      <c r="AB8583" s="580">
        <f>HLOOKUP("*"&amp;'Output annual'!$AC$2&amp;'Output annual'!$AD$2&amp;"*Zone People Number Of Occupants [](Hourly)",'Eplus results'!$1:$1048576,ROW(),FALSE)</f>
        <v>0</v>
      </c>
      <c r="AC8583" s="580">
        <f>HLOOKUP("*"&amp;'Output annual'!$AC$2&amp;'Output annual'!$AD$2&amp;"*FangerPMV(Hourly)",'Eplus results'!$1:$1048576,ROW(),FALSE)</f>
        <v>0</v>
      </c>
      <c r="AD8583" s="580">
        <f t="shared" si="706"/>
        <v>5</v>
      </c>
      <c r="AE8583" s="580">
        <f t="shared" si="707"/>
        <v>2.5</v>
      </c>
      <c r="AF8583" s="580">
        <f t="shared" si="708"/>
        <v>2.5</v>
      </c>
      <c r="AG8583" s="580">
        <f t="shared" si="709"/>
        <v>0</v>
      </c>
      <c r="AH8583" s="580">
        <f t="shared" si="710"/>
        <v>0</v>
      </c>
    </row>
    <row r="8584" spans="28:34">
      <c r="AB8584" s="580">
        <f>HLOOKUP("*"&amp;'Output annual'!$AC$2&amp;'Output annual'!$AD$2&amp;"*Zone People Number Of Occupants [](Hourly)",'Eplus results'!$1:$1048576,ROW(),FALSE)</f>
        <v>0</v>
      </c>
      <c r="AC8584" s="580">
        <f>HLOOKUP("*"&amp;'Output annual'!$AC$2&amp;'Output annual'!$AD$2&amp;"*FangerPMV(Hourly)",'Eplus results'!$1:$1048576,ROW(),FALSE)</f>
        <v>0</v>
      </c>
      <c r="AD8584" s="580">
        <f t="shared" si="706"/>
        <v>5</v>
      </c>
      <c r="AE8584" s="580">
        <f t="shared" si="707"/>
        <v>2.5</v>
      </c>
      <c r="AF8584" s="580">
        <f t="shared" si="708"/>
        <v>2.5</v>
      </c>
      <c r="AG8584" s="580">
        <f t="shared" si="709"/>
        <v>0</v>
      </c>
      <c r="AH8584" s="580">
        <f t="shared" si="710"/>
        <v>0</v>
      </c>
    </row>
    <row r="8585" spans="28:34">
      <c r="AB8585" s="580">
        <f>HLOOKUP("*"&amp;'Output annual'!$AC$2&amp;'Output annual'!$AD$2&amp;"*Zone People Number Of Occupants [](Hourly)",'Eplus results'!$1:$1048576,ROW(),FALSE)</f>
        <v>0</v>
      </c>
      <c r="AC8585" s="580">
        <f>HLOOKUP("*"&amp;'Output annual'!$AC$2&amp;'Output annual'!$AD$2&amp;"*FangerPMV(Hourly)",'Eplus results'!$1:$1048576,ROW(),FALSE)</f>
        <v>0</v>
      </c>
      <c r="AD8585" s="580">
        <f t="shared" si="706"/>
        <v>5</v>
      </c>
      <c r="AE8585" s="580">
        <f t="shared" si="707"/>
        <v>2.5</v>
      </c>
      <c r="AF8585" s="580">
        <f t="shared" si="708"/>
        <v>2.5</v>
      </c>
      <c r="AG8585" s="580">
        <f t="shared" si="709"/>
        <v>0</v>
      </c>
      <c r="AH8585" s="580">
        <f t="shared" si="710"/>
        <v>0</v>
      </c>
    </row>
    <row r="8586" spans="28:34">
      <c r="AB8586" s="580">
        <f>HLOOKUP("*"&amp;'Output annual'!$AC$2&amp;'Output annual'!$AD$2&amp;"*Zone People Number Of Occupants [](Hourly)",'Eplus results'!$1:$1048576,ROW(),FALSE)</f>
        <v>0</v>
      </c>
      <c r="AC8586" s="580">
        <f>HLOOKUP("*"&amp;'Output annual'!$AC$2&amp;'Output annual'!$AD$2&amp;"*FangerPMV(Hourly)",'Eplus results'!$1:$1048576,ROW(),FALSE)</f>
        <v>0</v>
      </c>
      <c r="AD8586" s="580">
        <f t="shared" si="706"/>
        <v>5</v>
      </c>
      <c r="AE8586" s="580">
        <f t="shared" si="707"/>
        <v>2.5</v>
      </c>
      <c r="AF8586" s="580">
        <f t="shared" si="708"/>
        <v>2.5</v>
      </c>
      <c r="AG8586" s="580">
        <f t="shared" si="709"/>
        <v>0</v>
      </c>
      <c r="AH8586" s="580">
        <f t="shared" si="710"/>
        <v>0</v>
      </c>
    </row>
    <row r="8587" spans="28:34">
      <c r="AB8587" s="580">
        <f>HLOOKUP("*"&amp;'Output annual'!$AC$2&amp;'Output annual'!$AD$2&amp;"*Zone People Number Of Occupants [](Hourly)",'Eplus results'!$1:$1048576,ROW(),FALSE)</f>
        <v>0</v>
      </c>
      <c r="AC8587" s="580">
        <f>HLOOKUP("*"&amp;'Output annual'!$AC$2&amp;'Output annual'!$AD$2&amp;"*FangerPMV(Hourly)",'Eplus results'!$1:$1048576,ROW(),FALSE)</f>
        <v>0</v>
      </c>
      <c r="AD8587" s="580">
        <f t="shared" si="706"/>
        <v>5</v>
      </c>
      <c r="AE8587" s="580">
        <f t="shared" si="707"/>
        <v>2.5</v>
      </c>
      <c r="AF8587" s="580">
        <f t="shared" si="708"/>
        <v>2.5</v>
      </c>
      <c r="AG8587" s="580">
        <f t="shared" si="709"/>
        <v>0</v>
      </c>
      <c r="AH8587" s="580">
        <f t="shared" si="710"/>
        <v>0</v>
      </c>
    </row>
    <row r="8588" spans="28:34">
      <c r="AB8588" s="580">
        <f>HLOOKUP("*"&amp;'Output annual'!$AC$2&amp;'Output annual'!$AD$2&amp;"*Zone People Number Of Occupants [](Hourly)",'Eplus results'!$1:$1048576,ROW(),FALSE)</f>
        <v>0</v>
      </c>
      <c r="AC8588" s="580">
        <f>HLOOKUP("*"&amp;'Output annual'!$AC$2&amp;'Output annual'!$AD$2&amp;"*FangerPMV(Hourly)",'Eplus results'!$1:$1048576,ROW(),FALSE)</f>
        <v>0</v>
      </c>
      <c r="AD8588" s="580">
        <f t="shared" si="706"/>
        <v>5</v>
      </c>
      <c r="AE8588" s="580">
        <f t="shared" si="707"/>
        <v>2.5</v>
      </c>
      <c r="AF8588" s="580">
        <f t="shared" si="708"/>
        <v>2.5</v>
      </c>
      <c r="AG8588" s="580">
        <f t="shared" si="709"/>
        <v>0</v>
      </c>
      <c r="AH8588" s="580">
        <f t="shared" si="710"/>
        <v>0</v>
      </c>
    </row>
    <row r="8589" spans="28:34">
      <c r="AB8589" s="580">
        <f>HLOOKUP("*"&amp;'Output annual'!$AC$2&amp;'Output annual'!$AD$2&amp;"*Zone People Number Of Occupants [](Hourly)",'Eplus results'!$1:$1048576,ROW(),FALSE)</f>
        <v>0</v>
      </c>
      <c r="AC8589" s="580">
        <f>HLOOKUP("*"&amp;'Output annual'!$AC$2&amp;'Output annual'!$AD$2&amp;"*FangerPMV(Hourly)",'Eplus results'!$1:$1048576,ROW(),FALSE)</f>
        <v>0</v>
      </c>
      <c r="AD8589" s="580">
        <f t="shared" si="706"/>
        <v>5</v>
      </c>
      <c r="AE8589" s="580">
        <f t="shared" si="707"/>
        <v>2.5</v>
      </c>
      <c r="AF8589" s="580">
        <f t="shared" si="708"/>
        <v>2.5</v>
      </c>
      <c r="AG8589" s="580">
        <f t="shared" si="709"/>
        <v>0</v>
      </c>
      <c r="AH8589" s="580">
        <f t="shared" si="710"/>
        <v>0</v>
      </c>
    </row>
    <row r="8590" spans="28:34">
      <c r="AB8590" s="580">
        <f>HLOOKUP("*"&amp;'Output annual'!$AC$2&amp;'Output annual'!$AD$2&amp;"*Zone People Number Of Occupants [](Hourly)",'Eplus results'!$1:$1048576,ROW(),FALSE)</f>
        <v>0</v>
      </c>
      <c r="AC8590" s="580">
        <f>HLOOKUP("*"&amp;'Output annual'!$AC$2&amp;'Output annual'!$AD$2&amp;"*FangerPMV(Hourly)",'Eplus results'!$1:$1048576,ROW(),FALSE)</f>
        <v>0</v>
      </c>
      <c r="AD8590" s="580">
        <f t="shared" si="706"/>
        <v>5</v>
      </c>
      <c r="AE8590" s="580">
        <f t="shared" si="707"/>
        <v>2.5</v>
      </c>
      <c r="AF8590" s="580">
        <f t="shared" si="708"/>
        <v>2.5</v>
      </c>
      <c r="AG8590" s="580">
        <f t="shared" si="709"/>
        <v>0</v>
      </c>
      <c r="AH8590" s="580">
        <f t="shared" si="710"/>
        <v>0</v>
      </c>
    </row>
    <row r="8591" spans="28:34">
      <c r="AB8591" s="580">
        <f>HLOOKUP("*"&amp;'Output annual'!$AC$2&amp;'Output annual'!$AD$2&amp;"*Zone People Number Of Occupants [](Hourly)",'Eplus results'!$1:$1048576,ROW(),FALSE)</f>
        <v>0</v>
      </c>
      <c r="AC8591" s="580">
        <f>HLOOKUP("*"&amp;'Output annual'!$AC$2&amp;'Output annual'!$AD$2&amp;"*FangerPMV(Hourly)",'Eplus results'!$1:$1048576,ROW(),FALSE)</f>
        <v>0</v>
      </c>
      <c r="AD8591" s="580">
        <f t="shared" si="706"/>
        <v>5</v>
      </c>
      <c r="AE8591" s="580">
        <f t="shared" si="707"/>
        <v>2.5</v>
      </c>
      <c r="AF8591" s="580">
        <f t="shared" si="708"/>
        <v>2.5</v>
      </c>
      <c r="AG8591" s="580">
        <f t="shared" si="709"/>
        <v>0</v>
      </c>
      <c r="AH8591" s="580">
        <f t="shared" si="710"/>
        <v>0</v>
      </c>
    </row>
    <row r="8592" spans="28:34">
      <c r="AB8592" s="580">
        <f>HLOOKUP("*"&amp;'Output annual'!$AC$2&amp;'Output annual'!$AD$2&amp;"*Zone People Number Of Occupants [](Hourly)",'Eplus results'!$1:$1048576,ROW(),FALSE)</f>
        <v>0</v>
      </c>
      <c r="AC8592" s="580">
        <f>HLOOKUP("*"&amp;'Output annual'!$AC$2&amp;'Output annual'!$AD$2&amp;"*FangerPMV(Hourly)",'Eplus results'!$1:$1048576,ROW(),FALSE)</f>
        <v>0</v>
      </c>
      <c r="AD8592" s="580">
        <f t="shared" si="706"/>
        <v>5</v>
      </c>
      <c r="AE8592" s="580">
        <f t="shared" si="707"/>
        <v>2.5</v>
      </c>
      <c r="AF8592" s="580">
        <f t="shared" si="708"/>
        <v>2.5</v>
      </c>
      <c r="AG8592" s="580">
        <f t="shared" si="709"/>
        <v>0</v>
      </c>
      <c r="AH8592" s="580">
        <f t="shared" si="710"/>
        <v>0</v>
      </c>
    </row>
    <row r="8593" spans="28:34">
      <c r="AB8593" s="580">
        <f>HLOOKUP("*"&amp;'Output annual'!$AC$2&amp;'Output annual'!$AD$2&amp;"*Zone People Number Of Occupants [](Hourly)",'Eplus results'!$1:$1048576,ROW(),FALSE)</f>
        <v>0</v>
      </c>
      <c r="AC8593" s="580">
        <f>HLOOKUP("*"&amp;'Output annual'!$AC$2&amp;'Output annual'!$AD$2&amp;"*FangerPMV(Hourly)",'Eplus results'!$1:$1048576,ROW(),FALSE)</f>
        <v>0</v>
      </c>
      <c r="AD8593" s="580">
        <f t="shared" si="706"/>
        <v>5</v>
      </c>
      <c r="AE8593" s="580">
        <f t="shared" si="707"/>
        <v>2.5</v>
      </c>
      <c r="AF8593" s="580">
        <f t="shared" si="708"/>
        <v>2.5</v>
      </c>
      <c r="AG8593" s="580">
        <f t="shared" si="709"/>
        <v>0</v>
      </c>
      <c r="AH8593" s="580">
        <f t="shared" si="710"/>
        <v>0</v>
      </c>
    </row>
    <row r="8594" spans="28:34">
      <c r="AB8594" s="580">
        <f>HLOOKUP("*"&amp;'Output annual'!$AC$2&amp;'Output annual'!$AD$2&amp;"*Zone People Number Of Occupants [](Hourly)",'Eplus results'!$1:$1048576,ROW(),FALSE)</f>
        <v>0</v>
      </c>
      <c r="AC8594" s="580">
        <f>HLOOKUP("*"&amp;'Output annual'!$AC$2&amp;'Output annual'!$AD$2&amp;"*FangerPMV(Hourly)",'Eplus results'!$1:$1048576,ROW(),FALSE)</f>
        <v>0</v>
      </c>
      <c r="AD8594" s="580">
        <f t="shared" si="706"/>
        <v>5</v>
      </c>
      <c r="AE8594" s="580">
        <f t="shared" si="707"/>
        <v>2.5</v>
      </c>
      <c r="AF8594" s="580">
        <f t="shared" si="708"/>
        <v>2.5</v>
      </c>
      <c r="AG8594" s="580">
        <f t="shared" si="709"/>
        <v>0</v>
      </c>
      <c r="AH8594" s="580">
        <f t="shared" si="710"/>
        <v>0</v>
      </c>
    </row>
    <row r="8595" spans="28:34">
      <c r="AB8595" s="580">
        <f>HLOOKUP("*"&amp;'Output annual'!$AC$2&amp;'Output annual'!$AD$2&amp;"*Zone People Number Of Occupants [](Hourly)",'Eplus results'!$1:$1048576,ROW(),FALSE)</f>
        <v>0</v>
      </c>
      <c r="AC8595" s="580">
        <f>HLOOKUP("*"&amp;'Output annual'!$AC$2&amp;'Output annual'!$AD$2&amp;"*FangerPMV(Hourly)",'Eplus results'!$1:$1048576,ROW(),FALSE)</f>
        <v>0</v>
      </c>
      <c r="AD8595" s="580">
        <f t="shared" si="706"/>
        <v>5</v>
      </c>
      <c r="AE8595" s="580">
        <f t="shared" si="707"/>
        <v>2.5</v>
      </c>
      <c r="AF8595" s="580">
        <f t="shared" si="708"/>
        <v>2.5</v>
      </c>
      <c r="AG8595" s="580">
        <f t="shared" si="709"/>
        <v>0</v>
      </c>
      <c r="AH8595" s="580">
        <f t="shared" si="710"/>
        <v>0</v>
      </c>
    </row>
    <row r="8596" spans="28:34">
      <c r="AB8596" s="580">
        <f>HLOOKUP("*"&amp;'Output annual'!$AC$2&amp;'Output annual'!$AD$2&amp;"*Zone People Number Of Occupants [](Hourly)",'Eplus results'!$1:$1048576,ROW(),FALSE)</f>
        <v>0</v>
      </c>
      <c r="AC8596" s="580">
        <f>HLOOKUP("*"&amp;'Output annual'!$AC$2&amp;'Output annual'!$AD$2&amp;"*FangerPMV(Hourly)",'Eplus results'!$1:$1048576,ROW(),FALSE)</f>
        <v>0</v>
      </c>
      <c r="AD8596" s="580">
        <f t="shared" si="706"/>
        <v>5</v>
      </c>
      <c r="AE8596" s="580">
        <f t="shared" si="707"/>
        <v>2.5</v>
      </c>
      <c r="AF8596" s="580">
        <f t="shared" si="708"/>
        <v>2.5</v>
      </c>
      <c r="AG8596" s="580">
        <f t="shared" si="709"/>
        <v>0</v>
      </c>
      <c r="AH8596" s="580">
        <f t="shared" si="710"/>
        <v>0</v>
      </c>
    </row>
    <row r="8597" spans="28:34">
      <c r="AB8597" s="580">
        <f>HLOOKUP("*"&amp;'Output annual'!$AC$2&amp;'Output annual'!$AD$2&amp;"*Zone People Number Of Occupants [](Hourly)",'Eplus results'!$1:$1048576,ROW(),FALSE)</f>
        <v>0</v>
      </c>
      <c r="AC8597" s="580">
        <f>HLOOKUP("*"&amp;'Output annual'!$AC$2&amp;'Output annual'!$AD$2&amp;"*FangerPMV(Hourly)",'Eplus results'!$1:$1048576,ROW(),FALSE)</f>
        <v>0</v>
      </c>
      <c r="AD8597" s="580">
        <f t="shared" si="706"/>
        <v>5</v>
      </c>
      <c r="AE8597" s="580">
        <f t="shared" si="707"/>
        <v>2.5</v>
      </c>
      <c r="AF8597" s="580">
        <f t="shared" si="708"/>
        <v>2.5</v>
      </c>
      <c r="AG8597" s="580">
        <f t="shared" si="709"/>
        <v>0</v>
      </c>
      <c r="AH8597" s="580">
        <f t="shared" si="710"/>
        <v>0</v>
      </c>
    </row>
    <row r="8598" spans="28:34">
      <c r="AB8598" s="580">
        <f>HLOOKUP("*"&amp;'Output annual'!$AC$2&amp;'Output annual'!$AD$2&amp;"*Zone People Number Of Occupants [](Hourly)",'Eplus results'!$1:$1048576,ROW(),FALSE)</f>
        <v>0</v>
      </c>
      <c r="AC8598" s="580">
        <f>HLOOKUP("*"&amp;'Output annual'!$AC$2&amp;'Output annual'!$AD$2&amp;"*FangerPMV(Hourly)",'Eplus results'!$1:$1048576,ROW(),FALSE)</f>
        <v>0</v>
      </c>
      <c r="AD8598" s="580">
        <f t="shared" si="706"/>
        <v>5</v>
      </c>
      <c r="AE8598" s="580">
        <f t="shared" si="707"/>
        <v>2.5</v>
      </c>
      <c r="AF8598" s="580">
        <f t="shared" si="708"/>
        <v>2.5</v>
      </c>
      <c r="AG8598" s="580">
        <f t="shared" si="709"/>
        <v>0</v>
      </c>
      <c r="AH8598" s="580">
        <f t="shared" si="710"/>
        <v>0</v>
      </c>
    </row>
    <row r="8599" spans="28:34">
      <c r="AB8599" s="580">
        <f>HLOOKUP("*"&amp;'Output annual'!$AC$2&amp;'Output annual'!$AD$2&amp;"*Zone People Number Of Occupants [](Hourly)",'Eplus results'!$1:$1048576,ROW(),FALSE)</f>
        <v>0</v>
      </c>
      <c r="AC8599" s="580">
        <f>HLOOKUP("*"&amp;'Output annual'!$AC$2&amp;'Output annual'!$AD$2&amp;"*FangerPMV(Hourly)",'Eplus results'!$1:$1048576,ROW(),FALSE)</f>
        <v>0</v>
      </c>
      <c r="AD8599" s="580">
        <f t="shared" si="706"/>
        <v>5</v>
      </c>
      <c r="AE8599" s="580">
        <f t="shared" si="707"/>
        <v>2.5</v>
      </c>
      <c r="AF8599" s="580">
        <f t="shared" si="708"/>
        <v>2.5</v>
      </c>
      <c r="AG8599" s="580">
        <f t="shared" si="709"/>
        <v>0</v>
      </c>
      <c r="AH8599" s="580">
        <f t="shared" si="710"/>
        <v>0</v>
      </c>
    </row>
    <row r="8600" spans="28:34">
      <c r="AB8600" s="580">
        <f>HLOOKUP("*"&amp;'Output annual'!$AC$2&amp;'Output annual'!$AD$2&amp;"*Zone People Number Of Occupants [](Hourly)",'Eplus results'!$1:$1048576,ROW(),FALSE)</f>
        <v>0</v>
      </c>
      <c r="AC8600" s="580">
        <f>HLOOKUP("*"&amp;'Output annual'!$AC$2&amp;'Output annual'!$AD$2&amp;"*FangerPMV(Hourly)",'Eplus results'!$1:$1048576,ROW(),FALSE)</f>
        <v>0</v>
      </c>
      <c r="AD8600" s="580">
        <f t="shared" si="706"/>
        <v>5</v>
      </c>
      <c r="AE8600" s="580">
        <f t="shared" si="707"/>
        <v>2.5</v>
      </c>
      <c r="AF8600" s="580">
        <f t="shared" si="708"/>
        <v>2.5</v>
      </c>
      <c r="AG8600" s="580">
        <f t="shared" si="709"/>
        <v>0</v>
      </c>
      <c r="AH8600" s="580">
        <f t="shared" si="710"/>
        <v>0</v>
      </c>
    </row>
    <row r="8601" spans="28:34">
      <c r="AB8601" s="580">
        <f>HLOOKUP("*"&amp;'Output annual'!$AC$2&amp;'Output annual'!$AD$2&amp;"*Zone People Number Of Occupants [](Hourly)",'Eplus results'!$1:$1048576,ROW(),FALSE)</f>
        <v>0</v>
      </c>
      <c r="AC8601" s="580">
        <f>HLOOKUP("*"&amp;'Output annual'!$AC$2&amp;'Output annual'!$AD$2&amp;"*FangerPMV(Hourly)",'Eplus results'!$1:$1048576,ROW(),FALSE)</f>
        <v>0</v>
      </c>
      <c r="AD8601" s="580">
        <f t="shared" si="706"/>
        <v>5</v>
      </c>
      <c r="AE8601" s="580">
        <f t="shared" si="707"/>
        <v>2.5</v>
      </c>
      <c r="AF8601" s="580">
        <f t="shared" si="708"/>
        <v>2.5</v>
      </c>
      <c r="AG8601" s="580">
        <f t="shared" si="709"/>
        <v>0</v>
      </c>
      <c r="AH8601" s="580">
        <f t="shared" si="710"/>
        <v>0</v>
      </c>
    </row>
    <row r="8602" spans="28:34">
      <c r="AB8602" s="580">
        <f>HLOOKUP("*"&amp;'Output annual'!$AC$2&amp;'Output annual'!$AD$2&amp;"*Zone People Number Of Occupants [](Hourly)",'Eplus results'!$1:$1048576,ROW(),FALSE)</f>
        <v>0</v>
      </c>
      <c r="AC8602" s="580">
        <f>HLOOKUP("*"&amp;'Output annual'!$AC$2&amp;'Output annual'!$AD$2&amp;"*FangerPMV(Hourly)",'Eplus results'!$1:$1048576,ROW(),FALSE)</f>
        <v>0</v>
      </c>
      <c r="AD8602" s="580">
        <f t="shared" si="706"/>
        <v>5</v>
      </c>
      <c r="AE8602" s="580">
        <f t="shared" si="707"/>
        <v>2.5</v>
      </c>
      <c r="AF8602" s="580">
        <f t="shared" si="708"/>
        <v>2.5</v>
      </c>
      <c r="AG8602" s="580">
        <f t="shared" si="709"/>
        <v>0</v>
      </c>
      <c r="AH8602" s="580">
        <f t="shared" si="710"/>
        <v>0</v>
      </c>
    </row>
    <row r="8603" spans="28:34">
      <c r="AB8603" s="580">
        <f>HLOOKUP("*"&amp;'Output annual'!$AC$2&amp;'Output annual'!$AD$2&amp;"*Zone People Number Of Occupants [](Hourly)",'Eplus results'!$1:$1048576,ROW(),FALSE)</f>
        <v>0</v>
      </c>
      <c r="AC8603" s="580">
        <f>HLOOKUP("*"&amp;'Output annual'!$AC$2&amp;'Output annual'!$AD$2&amp;"*FangerPMV(Hourly)",'Eplus results'!$1:$1048576,ROW(),FALSE)</f>
        <v>0</v>
      </c>
      <c r="AD8603" s="580">
        <f t="shared" si="706"/>
        <v>5</v>
      </c>
      <c r="AE8603" s="580">
        <f t="shared" si="707"/>
        <v>2.5</v>
      </c>
      <c r="AF8603" s="580">
        <f t="shared" si="708"/>
        <v>2.5</v>
      </c>
      <c r="AG8603" s="580">
        <f t="shared" si="709"/>
        <v>0</v>
      </c>
      <c r="AH8603" s="580">
        <f t="shared" si="710"/>
        <v>0</v>
      </c>
    </row>
    <row r="8604" spans="28:34">
      <c r="AB8604" s="580">
        <f>HLOOKUP("*"&amp;'Output annual'!$AC$2&amp;'Output annual'!$AD$2&amp;"*Zone People Number Of Occupants [](Hourly)",'Eplus results'!$1:$1048576,ROW(),FALSE)</f>
        <v>0</v>
      </c>
      <c r="AC8604" s="580">
        <f>HLOOKUP("*"&amp;'Output annual'!$AC$2&amp;'Output annual'!$AD$2&amp;"*FangerPMV(Hourly)",'Eplus results'!$1:$1048576,ROW(),FALSE)</f>
        <v>0</v>
      </c>
      <c r="AD8604" s="580">
        <f t="shared" si="706"/>
        <v>5</v>
      </c>
      <c r="AE8604" s="580">
        <f t="shared" si="707"/>
        <v>2.5</v>
      </c>
      <c r="AF8604" s="580">
        <f t="shared" si="708"/>
        <v>2.5</v>
      </c>
      <c r="AG8604" s="580">
        <f t="shared" si="709"/>
        <v>0</v>
      </c>
      <c r="AH8604" s="580">
        <f t="shared" si="710"/>
        <v>0</v>
      </c>
    </row>
    <row r="8605" spans="28:34">
      <c r="AB8605" s="580">
        <f>HLOOKUP("*"&amp;'Output annual'!$AC$2&amp;'Output annual'!$AD$2&amp;"*Zone People Number Of Occupants [](Hourly)",'Eplus results'!$1:$1048576,ROW(),FALSE)</f>
        <v>0</v>
      </c>
      <c r="AC8605" s="580">
        <f>HLOOKUP("*"&amp;'Output annual'!$AC$2&amp;'Output annual'!$AD$2&amp;"*FangerPMV(Hourly)",'Eplus results'!$1:$1048576,ROW(),FALSE)</f>
        <v>0</v>
      </c>
      <c r="AD8605" s="580">
        <f t="shared" si="706"/>
        <v>5</v>
      </c>
      <c r="AE8605" s="580">
        <f t="shared" si="707"/>
        <v>2.5</v>
      </c>
      <c r="AF8605" s="580">
        <f t="shared" si="708"/>
        <v>2.5</v>
      </c>
      <c r="AG8605" s="580">
        <f t="shared" si="709"/>
        <v>0</v>
      </c>
      <c r="AH8605" s="580">
        <f t="shared" si="710"/>
        <v>0</v>
      </c>
    </row>
    <row r="8606" spans="28:34">
      <c r="AB8606" s="580">
        <f>HLOOKUP("*"&amp;'Output annual'!$AC$2&amp;'Output annual'!$AD$2&amp;"*Zone People Number Of Occupants [](Hourly)",'Eplus results'!$1:$1048576,ROW(),FALSE)</f>
        <v>0</v>
      </c>
      <c r="AC8606" s="580">
        <f>HLOOKUP("*"&amp;'Output annual'!$AC$2&amp;'Output annual'!$AD$2&amp;"*FangerPMV(Hourly)",'Eplus results'!$1:$1048576,ROW(),FALSE)</f>
        <v>0</v>
      </c>
      <c r="AD8606" s="580">
        <f t="shared" si="706"/>
        <v>5</v>
      </c>
      <c r="AE8606" s="580">
        <f t="shared" si="707"/>
        <v>2.5</v>
      </c>
      <c r="AF8606" s="580">
        <f t="shared" si="708"/>
        <v>2.5</v>
      </c>
      <c r="AG8606" s="580">
        <f t="shared" si="709"/>
        <v>0</v>
      </c>
      <c r="AH8606" s="580">
        <f t="shared" si="710"/>
        <v>0</v>
      </c>
    </row>
    <row r="8607" spans="28:34">
      <c r="AB8607" s="580">
        <f>HLOOKUP("*"&amp;'Output annual'!$AC$2&amp;'Output annual'!$AD$2&amp;"*Zone People Number Of Occupants [](Hourly)",'Eplus results'!$1:$1048576,ROW(),FALSE)</f>
        <v>0</v>
      </c>
      <c r="AC8607" s="580">
        <f>HLOOKUP("*"&amp;'Output annual'!$AC$2&amp;'Output annual'!$AD$2&amp;"*FangerPMV(Hourly)",'Eplus results'!$1:$1048576,ROW(),FALSE)</f>
        <v>0</v>
      </c>
      <c r="AD8607" s="580">
        <f t="shared" si="706"/>
        <v>5</v>
      </c>
      <c r="AE8607" s="580">
        <f t="shared" si="707"/>
        <v>2.5</v>
      </c>
      <c r="AF8607" s="580">
        <f t="shared" si="708"/>
        <v>2.5</v>
      </c>
      <c r="AG8607" s="580">
        <f t="shared" si="709"/>
        <v>0</v>
      </c>
      <c r="AH8607" s="580">
        <f t="shared" si="710"/>
        <v>0</v>
      </c>
    </row>
    <row r="8608" spans="28:34">
      <c r="AB8608" s="580">
        <f>HLOOKUP("*"&amp;'Output annual'!$AC$2&amp;'Output annual'!$AD$2&amp;"*Zone People Number Of Occupants [](Hourly)",'Eplus results'!$1:$1048576,ROW(),FALSE)</f>
        <v>0</v>
      </c>
      <c r="AC8608" s="580">
        <f>HLOOKUP("*"&amp;'Output annual'!$AC$2&amp;'Output annual'!$AD$2&amp;"*FangerPMV(Hourly)",'Eplus results'!$1:$1048576,ROW(),FALSE)</f>
        <v>0</v>
      </c>
      <c r="AD8608" s="580">
        <f t="shared" si="706"/>
        <v>5</v>
      </c>
      <c r="AE8608" s="580">
        <f t="shared" si="707"/>
        <v>2.5</v>
      </c>
      <c r="AF8608" s="580">
        <f t="shared" si="708"/>
        <v>2.5</v>
      </c>
      <c r="AG8608" s="580">
        <f t="shared" si="709"/>
        <v>0</v>
      </c>
      <c r="AH8608" s="580">
        <f t="shared" si="710"/>
        <v>0</v>
      </c>
    </row>
    <row r="8609" spans="28:34">
      <c r="AB8609" s="580">
        <f>HLOOKUP("*"&amp;'Output annual'!$AC$2&amp;'Output annual'!$AD$2&amp;"*Zone People Number Of Occupants [](Hourly)",'Eplus results'!$1:$1048576,ROW(),FALSE)</f>
        <v>0</v>
      </c>
      <c r="AC8609" s="580">
        <f>HLOOKUP("*"&amp;'Output annual'!$AC$2&amp;'Output annual'!$AD$2&amp;"*FangerPMV(Hourly)",'Eplus results'!$1:$1048576,ROW(),FALSE)</f>
        <v>0</v>
      </c>
      <c r="AD8609" s="580">
        <f t="shared" si="706"/>
        <v>5</v>
      </c>
      <c r="AE8609" s="580">
        <f t="shared" si="707"/>
        <v>2.5</v>
      </c>
      <c r="AF8609" s="580">
        <f t="shared" si="708"/>
        <v>2.5</v>
      </c>
      <c r="AG8609" s="580">
        <f t="shared" si="709"/>
        <v>0</v>
      </c>
      <c r="AH8609" s="580">
        <f t="shared" si="710"/>
        <v>0</v>
      </c>
    </row>
    <row r="8610" spans="28:34">
      <c r="AB8610" s="580">
        <f>HLOOKUP("*"&amp;'Output annual'!$AC$2&amp;'Output annual'!$AD$2&amp;"*Zone People Number Of Occupants [](Hourly)",'Eplus results'!$1:$1048576,ROW(),FALSE)</f>
        <v>0</v>
      </c>
      <c r="AC8610" s="580">
        <f>HLOOKUP("*"&amp;'Output annual'!$AC$2&amp;'Output annual'!$AD$2&amp;"*FangerPMV(Hourly)",'Eplus results'!$1:$1048576,ROW(),FALSE)</f>
        <v>0</v>
      </c>
      <c r="AD8610" s="580">
        <f t="shared" si="706"/>
        <v>5</v>
      </c>
      <c r="AE8610" s="580">
        <f t="shared" si="707"/>
        <v>2.5</v>
      </c>
      <c r="AF8610" s="580">
        <f t="shared" si="708"/>
        <v>2.5</v>
      </c>
      <c r="AG8610" s="580">
        <f t="shared" si="709"/>
        <v>0</v>
      </c>
      <c r="AH8610" s="580">
        <f t="shared" si="710"/>
        <v>0</v>
      </c>
    </row>
    <row r="8611" spans="28:34">
      <c r="AB8611" s="580">
        <f>HLOOKUP("*"&amp;'Output annual'!$AC$2&amp;'Output annual'!$AD$2&amp;"*Zone People Number Of Occupants [](Hourly)",'Eplus results'!$1:$1048576,ROW(),FALSE)</f>
        <v>0</v>
      </c>
      <c r="AC8611" s="580">
        <f>HLOOKUP("*"&amp;'Output annual'!$AC$2&amp;'Output annual'!$AD$2&amp;"*FangerPMV(Hourly)",'Eplus results'!$1:$1048576,ROW(),FALSE)</f>
        <v>0</v>
      </c>
      <c r="AD8611" s="580">
        <f t="shared" si="706"/>
        <v>5</v>
      </c>
      <c r="AE8611" s="580">
        <f t="shared" si="707"/>
        <v>2.5</v>
      </c>
      <c r="AF8611" s="580">
        <f t="shared" si="708"/>
        <v>2.5</v>
      </c>
      <c r="AG8611" s="580">
        <f t="shared" si="709"/>
        <v>0</v>
      </c>
      <c r="AH8611" s="580">
        <f t="shared" si="710"/>
        <v>0</v>
      </c>
    </row>
    <row r="8612" spans="28:34">
      <c r="AB8612" s="580">
        <f>HLOOKUP("*"&amp;'Output annual'!$AC$2&amp;'Output annual'!$AD$2&amp;"*Zone People Number Of Occupants [](Hourly)",'Eplus results'!$1:$1048576,ROW(),FALSE)</f>
        <v>0</v>
      </c>
      <c r="AC8612" s="580">
        <f>HLOOKUP("*"&amp;'Output annual'!$AC$2&amp;'Output annual'!$AD$2&amp;"*FangerPMV(Hourly)",'Eplus results'!$1:$1048576,ROW(),FALSE)</f>
        <v>0</v>
      </c>
      <c r="AD8612" s="580">
        <f t="shared" si="706"/>
        <v>5</v>
      </c>
      <c r="AE8612" s="580">
        <f t="shared" si="707"/>
        <v>2.5</v>
      </c>
      <c r="AF8612" s="580">
        <f t="shared" si="708"/>
        <v>2.5</v>
      </c>
      <c r="AG8612" s="580">
        <f t="shared" si="709"/>
        <v>0</v>
      </c>
      <c r="AH8612" s="580">
        <f t="shared" si="710"/>
        <v>0</v>
      </c>
    </row>
    <row r="8613" spans="28:34">
      <c r="AB8613" s="580">
        <f>HLOOKUP("*"&amp;'Output annual'!$AC$2&amp;'Output annual'!$AD$2&amp;"*Zone People Number Of Occupants [](Hourly)",'Eplus results'!$1:$1048576,ROW(),FALSE)</f>
        <v>0</v>
      </c>
      <c r="AC8613" s="580">
        <f>HLOOKUP("*"&amp;'Output annual'!$AC$2&amp;'Output annual'!$AD$2&amp;"*FangerPMV(Hourly)",'Eplus results'!$1:$1048576,ROW(),FALSE)</f>
        <v>0</v>
      </c>
      <c r="AD8613" s="580">
        <f t="shared" si="706"/>
        <v>5</v>
      </c>
      <c r="AE8613" s="580">
        <f t="shared" si="707"/>
        <v>2.5</v>
      </c>
      <c r="AF8613" s="580">
        <f t="shared" si="708"/>
        <v>2.5</v>
      </c>
      <c r="AG8613" s="580">
        <f t="shared" si="709"/>
        <v>0</v>
      </c>
      <c r="AH8613" s="580">
        <f t="shared" si="710"/>
        <v>0</v>
      </c>
    </row>
    <row r="8614" spans="28:34">
      <c r="AB8614" s="580">
        <f>HLOOKUP("*"&amp;'Output annual'!$AC$2&amp;'Output annual'!$AD$2&amp;"*Zone People Number Of Occupants [](Hourly)",'Eplus results'!$1:$1048576,ROW(),FALSE)</f>
        <v>0</v>
      </c>
      <c r="AC8614" s="580">
        <f>HLOOKUP("*"&amp;'Output annual'!$AC$2&amp;'Output annual'!$AD$2&amp;"*FangerPMV(Hourly)",'Eplus results'!$1:$1048576,ROW(),FALSE)</f>
        <v>0</v>
      </c>
      <c r="AD8614" s="580">
        <f t="shared" si="706"/>
        <v>5</v>
      </c>
      <c r="AE8614" s="580">
        <f t="shared" si="707"/>
        <v>2.5</v>
      </c>
      <c r="AF8614" s="580">
        <f t="shared" si="708"/>
        <v>2.5</v>
      </c>
      <c r="AG8614" s="580">
        <f t="shared" si="709"/>
        <v>0</v>
      </c>
      <c r="AH8614" s="580">
        <f t="shared" si="710"/>
        <v>0</v>
      </c>
    </row>
    <row r="8615" spans="28:34">
      <c r="AB8615" s="580">
        <f>HLOOKUP("*"&amp;'Output annual'!$AC$2&amp;'Output annual'!$AD$2&amp;"*Zone People Number Of Occupants [](Hourly)",'Eplus results'!$1:$1048576,ROW(),FALSE)</f>
        <v>0</v>
      </c>
      <c r="AC8615" s="580">
        <f>HLOOKUP("*"&amp;'Output annual'!$AC$2&amp;'Output annual'!$AD$2&amp;"*FangerPMV(Hourly)",'Eplus results'!$1:$1048576,ROW(),FALSE)</f>
        <v>0</v>
      </c>
      <c r="AD8615" s="580">
        <f t="shared" si="706"/>
        <v>5</v>
      </c>
      <c r="AE8615" s="580">
        <f t="shared" si="707"/>
        <v>2.5</v>
      </c>
      <c r="AF8615" s="580">
        <f t="shared" si="708"/>
        <v>2.5</v>
      </c>
      <c r="AG8615" s="580">
        <f t="shared" si="709"/>
        <v>0</v>
      </c>
      <c r="AH8615" s="580">
        <f t="shared" si="710"/>
        <v>0</v>
      </c>
    </row>
    <row r="8616" spans="28:34">
      <c r="AB8616" s="580">
        <f>HLOOKUP("*"&amp;'Output annual'!$AC$2&amp;'Output annual'!$AD$2&amp;"*Zone People Number Of Occupants [](Hourly)",'Eplus results'!$1:$1048576,ROW(),FALSE)</f>
        <v>0</v>
      </c>
      <c r="AC8616" s="580">
        <f>HLOOKUP("*"&amp;'Output annual'!$AC$2&amp;'Output annual'!$AD$2&amp;"*FangerPMV(Hourly)",'Eplus results'!$1:$1048576,ROW(),FALSE)</f>
        <v>0</v>
      </c>
      <c r="AD8616" s="580">
        <f t="shared" si="706"/>
        <v>5</v>
      </c>
      <c r="AE8616" s="580">
        <f t="shared" si="707"/>
        <v>2.5</v>
      </c>
      <c r="AF8616" s="580">
        <f t="shared" si="708"/>
        <v>2.5</v>
      </c>
      <c r="AG8616" s="580">
        <f t="shared" si="709"/>
        <v>0</v>
      </c>
      <c r="AH8616" s="580">
        <f t="shared" si="710"/>
        <v>0</v>
      </c>
    </row>
    <row r="8617" spans="28:34">
      <c r="AB8617" s="580">
        <f>HLOOKUP("*"&amp;'Output annual'!$AC$2&amp;'Output annual'!$AD$2&amp;"*Zone People Number Of Occupants [](Hourly)",'Eplus results'!$1:$1048576,ROW(),FALSE)</f>
        <v>0</v>
      </c>
      <c r="AC8617" s="580">
        <f>HLOOKUP("*"&amp;'Output annual'!$AC$2&amp;'Output annual'!$AD$2&amp;"*FangerPMV(Hourly)",'Eplus results'!$1:$1048576,ROW(),FALSE)</f>
        <v>0</v>
      </c>
      <c r="AD8617" s="580">
        <f t="shared" si="706"/>
        <v>5</v>
      </c>
      <c r="AE8617" s="580">
        <f t="shared" si="707"/>
        <v>2.5</v>
      </c>
      <c r="AF8617" s="580">
        <f t="shared" si="708"/>
        <v>2.5</v>
      </c>
      <c r="AG8617" s="580">
        <f t="shared" si="709"/>
        <v>0</v>
      </c>
      <c r="AH8617" s="580">
        <f t="shared" si="710"/>
        <v>0</v>
      </c>
    </row>
    <row r="8618" spans="28:34">
      <c r="AB8618" s="580">
        <f>HLOOKUP("*"&amp;'Output annual'!$AC$2&amp;'Output annual'!$AD$2&amp;"*Zone People Number Of Occupants [](Hourly)",'Eplus results'!$1:$1048576,ROW(),FALSE)</f>
        <v>0</v>
      </c>
      <c r="AC8618" s="580">
        <f>HLOOKUP("*"&amp;'Output annual'!$AC$2&amp;'Output annual'!$AD$2&amp;"*FangerPMV(Hourly)",'Eplus results'!$1:$1048576,ROW(),FALSE)</f>
        <v>0</v>
      </c>
      <c r="AD8618" s="580">
        <f t="shared" si="706"/>
        <v>5</v>
      </c>
      <c r="AE8618" s="580">
        <f t="shared" si="707"/>
        <v>2.5</v>
      </c>
      <c r="AF8618" s="580">
        <f t="shared" si="708"/>
        <v>2.5</v>
      </c>
      <c r="AG8618" s="580">
        <f t="shared" si="709"/>
        <v>0</v>
      </c>
      <c r="AH8618" s="580">
        <f t="shared" si="710"/>
        <v>0</v>
      </c>
    </row>
    <row r="8619" spans="28:34">
      <c r="AB8619" s="580">
        <f>HLOOKUP("*"&amp;'Output annual'!$AC$2&amp;'Output annual'!$AD$2&amp;"*Zone People Number Of Occupants [](Hourly)",'Eplus results'!$1:$1048576,ROW(),FALSE)</f>
        <v>0</v>
      </c>
      <c r="AC8619" s="580">
        <f>HLOOKUP("*"&amp;'Output annual'!$AC$2&amp;'Output annual'!$AD$2&amp;"*FangerPMV(Hourly)",'Eplus results'!$1:$1048576,ROW(),FALSE)</f>
        <v>0</v>
      </c>
      <c r="AD8619" s="580">
        <f t="shared" si="706"/>
        <v>5</v>
      </c>
      <c r="AE8619" s="580">
        <f t="shared" si="707"/>
        <v>2.5</v>
      </c>
      <c r="AF8619" s="580">
        <f t="shared" si="708"/>
        <v>2.5</v>
      </c>
      <c r="AG8619" s="580">
        <f t="shared" si="709"/>
        <v>0</v>
      </c>
      <c r="AH8619" s="580">
        <f t="shared" si="710"/>
        <v>0</v>
      </c>
    </row>
    <row r="8620" spans="28:34">
      <c r="AB8620" s="580">
        <f>HLOOKUP("*"&amp;'Output annual'!$AC$2&amp;'Output annual'!$AD$2&amp;"*Zone People Number Of Occupants [](Hourly)",'Eplus results'!$1:$1048576,ROW(),FALSE)</f>
        <v>0</v>
      </c>
      <c r="AC8620" s="580">
        <f>HLOOKUP("*"&amp;'Output annual'!$AC$2&amp;'Output annual'!$AD$2&amp;"*FangerPMV(Hourly)",'Eplus results'!$1:$1048576,ROW(),FALSE)</f>
        <v>0</v>
      </c>
      <c r="AD8620" s="580">
        <f t="shared" si="706"/>
        <v>5</v>
      </c>
      <c r="AE8620" s="580">
        <f t="shared" si="707"/>
        <v>2.5</v>
      </c>
      <c r="AF8620" s="580">
        <f t="shared" si="708"/>
        <v>2.5</v>
      </c>
      <c r="AG8620" s="580">
        <f t="shared" si="709"/>
        <v>0</v>
      </c>
      <c r="AH8620" s="580">
        <f t="shared" si="710"/>
        <v>0</v>
      </c>
    </row>
    <row r="8621" spans="28:34">
      <c r="AB8621" s="580">
        <f>HLOOKUP("*"&amp;'Output annual'!$AC$2&amp;'Output annual'!$AD$2&amp;"*Zone People Number Of Occupants [](Hourly)",'Eplus results'!$1:$1048576,ROW(),FALSE)</f>
        <v>0</v>
      </c>
      <c r="AC8621" s="580">
        <f>HLOOKUP("*"&amp;'Output annual'!$AC$2&amp;'Output annual'!$AD$2&amp;"*FangerPMV(Hourly)",'Eplus results'!$1:$1048576,ROW(),FALSE)</f>
        <v>0</v>
      </c>
      <c r="AD8621" s="580">
        <f t="shared" si="706"/>
        <v>5</v>
      </c>
      <c r="AE8621" s="580">
        <f t="shared" si="707"/>
        <v>2.5</v>
      </c>
      <c r="AF8621" s="580">
        <f t="shared" si="708"/>
        <v>2.5</v>
      </c>
      <c r="AG8621" s="580">
        <f t="shared" si="709"/>
        <v>0</v>
      </c>
      <c r="AH8621" s="580">
        <f t="shared" si="710"/>
        <v>0</v>
      </c>
    </row>
    <row r="8622" spans="28:34">
      <c r="AB8622" s="580">
        <f>HLOOKUP("*"&amp;'Output annual'!$AC$2&amp;'Output annual'!$AD$2&amp;"*Zone People Number Of Occupants [](Hourly)",'Eplus results'!$1:$1048576,ROW(),FALSE)</f>
        <v>0</v>
      </c>
      <c r="AC8622" s="580">
        <f>HLOOKUP("*"&amp;'Output annual'!$AC$2&amp;'Output annual'!$AD$2&amp;"*FangerPMV(Hourly)",'Eplus results'!$1:$1048576,ROW(),FALSE)</f>
        <v>0</v>
      </c>
      <c r="AD8622" s="580">
        <f t="shared" si="706"/>
        <v>5</v>
      </c>
      <c r="AE8622" s="580">
        <f t="shared" si="707"/>
        <v>2.5</v>
      </c>
      <c r="AF8622" s="580">
        <f t="shared" si="708"/>
        <v>2.5</v>
      </c>
      <c r="AG8622" s="580">
        <f t="shared" si="709"/>
        <v>0</v>
      </c>
      <c r="AH8622" s="580">
        <f t="shared" si="710"/>
        <v>0</v>
      </c>
    </row>
    <row r="8623" spans="28:34">
      <c r="AB8623" s="580">
        <f>HLOOKUP("*"&amp;'Output annual'!$AC$2&amp;'Output annual'!$AD$2&amp;"*Zone People Number Of Occupants [](Hourly)",'Eplus results'!$1:$1048576,ROW(),FALSE)</f>
        <v>0</v>
      </c>
      <c r="AC8623" s="580">
        <f>HLOOKUP("*"&amp;'Output annual'!$AC$2&amp;'Output annual'!$AD$2&amp;"*FangerPMV(Hourly)",'Eplus results'!$1:$1048576,ROW(),FALSE)</f>
        <v>0</v>
      </c>
      <c r="AD8623" s="580">
        <f t="shared" si="706"/>
        <v>5</v>
      </c>
      <c r="AE8623" s="580">
        <f t="shared" si="707"/>
        <v>2.5</v>
      </c>
      <c r="AF8623" s="580">
        <f t="shared" si="708"/>
        <v>2.5</v>
      </c>
      <c r="AG8623" s="580">
        <f t="shared" si="709"/>
        <v>0</v>
      </c>
      <c r="AH8623" s="580">
        <f t="shared" si="710"/>
        <v>0</v>
      </c>
    </row>
    <row r="8624" spans="28:34">
      <c r="AB8624" s="580">
        <f>HLOOKUP("*"&amp;'Output annual'!$AC$2&amp;'Output annual'!$AD$2&amp;"*Zone People Number Of Occupants [](Hourly)",'Eplus results'!$1:$1048576,ROW(),FALSE)</f>
        <v>0</v>
      </c>
      <c r="AC8624" s="580">
        <f>HLOOKUP("*"&amp;'Output annual'!$AC$2&amp;'Output annual'!$AD$2&amp;"*FangerPMV(Hourly)",'Eplus results'!$1:$1048576,ROW(),FALSE)</f>
        <v>0</v>
      </c>
      <c r="AD8624" s="580">
        <f t="shared" si="706"/>
        <v>5</v>
      </c>
      <c r="AE8624" s="580">
        <f t="shared" si="707"/>
        <v>2.5</v>
      </c>
      <c r="AF8624" s="580">
        <f t="shared" si="708"/>
        <v>2.5</v>
      </c>
      <c r="AG8624" s="580">
        <f t="shared" si="709"/>
        <v>0</v>
      </c>
      <c r="AH8624" s="580">
        <f t="shared" si="710"/>
        <v>0</v>
      </c>
    </row>
    <row r="8625" spans="28:34">
      <c r="AB8625" s="580">
        <f>HLOOKUP("*"&amp;'Output annual'!$AC$2&amp;'Output annual'!$AD$2&amp;"*Zone People Number Of Occupants [](Hourly)",'Eplus results'!$1:$1048576,ROW(),FALSE)</f>
        <v>0</v>
      </c>
      <c r="AC8625" s="580">
        <f>HLOOKUP("*"&amp;'Output annual'!$AC$2&amp;'Output annual'!$AD$2&amp;"*FangerPMV(Hourly)",'Eplus results'!$1:$1048576,ROW(),FALSE)</f>
        <v>0</v>
      </c>
      <c r="AD8625" s="580">
        <f t="shared" si="706"/>
        <v>5</v>
      </c>
      <c r="AE8625" s="580">
        <f t="shared" si="707"/>
        <v>2.5</v>
      </c>
      <c r="AF8625" s="580">
        <f t="shared" si="708"/>
        <v>2.5</v>
      </c>
      <c r="AG8625" s="580">
        <f t="shared" si="709"/>
        <v>0</v>
      </c>
      <c r="AH8625" s="580">
        <f t="shared" si="710"/>
        <v>0</v>
      </c>
    </row>
    <row r="8626" spans="28:34">
      <c r="AB8626" s="580">
        <f>HLOOKUP("*"&amp;'Output annual'!$AC$2&amp;'Output annual'!$AD$2&amp;"*Zone People Number Of Occupants [](Hourly)",'Eplus results'!$1:$1048576,ROW(),FALSE)</f>
        <v>0</v>
      </c>
      <c r="AC8626" s="580">
        <f>HLOOKUP("*"&amp;'Output annual'!$AC$2&amp;'Output annual'!$AD$2&amp;"*FangerPMV(Hourly)",'Eplus results'!$1:$1048576,ROW(),FALSE)</f>
        <v>0</v>
      </c>
      <c r="AD8626" s="580">
        <f t="shared" si="706"/>
        <v>5</v>
      </c>
      <c r="AE8626" s="580">
        <f t="shared" si="707"/>
        <v>2.5</v>
      </c>
      <c r="AF8626" s="580">
        <f t="shared" si="708"/>
        <v>2.5</v>
      </c>
      <c r="AG8626" s="580">
        <f t="shared" si="709"/>
        <v>0</v>
      </c>
      <c r="AH8626" s="580">
        <f t="shared" si="710"/>
        <v>0</v>
      </c>
    </row>
    <row r="8627" spans="28:34">
      <c r="AB8627" s="580">
        <f>HLOOKUP("*"&amp;'Output annual'!$AC$2&amp;'Output annual'!$AD$2&amp;"*Zone People Number Of Occupants [](Hourly)",'Eplus results'!$1:$1048576,ROW(),FALSE)</f>
        <v>0</v>
      </c>
      <c r="AC8627" s="580">
        <f>HLOOKUP("*"&amp;'Output annual'!$AC$2&amp;'Output annual'!$AD$2&amp;"*FangerPMV(Hourly)",'Eplus results'!$1:$1048576,ROW(),FALSE)</f>
        <v>0</v>
      </c>
      <c r="AD8627" s="580">
        <f t="shared" si="706"/>
        <v>5</v>
      </c>
      <c r="AE8627" s="580">
        <f t="shared" si="707"/>
        <v>2.5</v>
      </c>
      <c r="AF8627" s="580">
        <f t="shared" si="708"/>
        <v>2.5</v>
      </c>
      <c r="AG8627" s="580">
        <f t="shared" si="709"/>
        <v>0</v>
      </c>
      <c r="AH8627" s="580">
        <f t="shared" si="710"/>
        <v>0</v>
      </c>
    </row>
    <row r="8628" spans="28:34">
      <c r="AB8628" s="580">
        <f>HLOOKUP("*"&amp;'Output annual'!$AC$2&amp;'Output annual'!$AD$2&amp;"*Zone People Number Of Occupants [](Hourly)",'Eplus results'!$1:$1048576,ROW(),FALSE)</f>
        <v>0</v>
      </c>
      <c r="AC8628" s="580">
        <f>HLOOKUP("*"&amp;'Output annual'!$AC$2&amp;'Output annual'!$AD$2&amp;"*FangerPMV(Hourly)",'Eplus results'!$1:$1048576,ROW(),FALSE)</f>
        <v>0</v>
      </c>
      <c r="AD8628" s="580">
        <f t="shared" si="706"/>
        <v>5</v>
      </c>
      <c r="AE8628" s="580">
        <f t="shared" si="707"/>
        <v>2.5</v>
      </c>
      <c r="AF8628" s="580">
        <f t="shared" si="708"/>
        <v>2.5</v>
      </c>
      <c r="AG8628" s="580">
        <f t="shared" si="709"/>
        <v>0</v>
      </c>
      <c r="AH8628" s="580">
        <f t="shared" si="710"/>
        <v>0</v>
      </c>
    </row>
    <row r="8629" spans="28:34">
      <c r="AB8629" s="580">
        <f>HLOOKUP("*"&amp;'Output annual'!$AC$2&amp;'Output annual'!$AD$2&amp;"*Zone People Number Of Occupants [](Hourly)",'Eplus results'!$1:$1048576,ROW(),FALSE)</f>
        <v>0</v>
      </c>
      <c r="AC8629" s="580">
        <f>HLOOKUP("*"&amp;'Output annual'!$AC$2&amp;'Output annual'!$AD$2&amp;"*FangerPMV(Hourly)",'Eplus results'!$1:$1048576,ROW(),FALSE)</f>
        <v>0</v>
      </c>
      <c r="AD8629" s="580">
        <f t="shared" si="706"/>
        <v>5</v>
      </c>
      <c r="AE8629" s="580">
        <f t="shared" si="707"/>
        <v>2.5</v>
      </c>
      <c r="AF8629" s="580">
        <f t="shared" si="708"/>
        <v>2.5</v>
      </c>
      <c r="AG8629" s="580">
        <f t="shared" si="709"/>
        <v>0</v>
      </c>
      <c r="AH8629" s="580">
        <f t="shared" si="710"/>
        <v>0</v>
      </c>
    </row>
    <row r="8630" spans="28:34">
      <c r="AB8630" s="580">
        <f>HLOOKUP("*"&amp;'Output annual'!$AC$2&amp;'Output annual'!$AD$2&amp;"*Zone People Number Of Occupants [](Hourly)",'Eplus results'!$1:$1048576,ROW(),FALSE)</f>
        <v>0</v>
      </c>
      <c r="AC8630" s="580">
        <f>HLOOKUP("*"&amp;'Output annual'!$AC$2&amp;'Output annual'!$AD$2&amp;"*FangerPMV(Hourly)",'Eplus results'!$1:$1048576,ROW(),FALSE)</f>
        <v>0</v>
      </c>
      <c r="AD8630" s="580">
        <f t="shared" si="706"/>
        <v>5</v>
      </c>
      <c r="AE8630" s="580">
        <f t="shared" si="707"/>
        <v>2.5</v>
      </c>
      <c r="AF8630" s="580">
        <f t="shared" si="708"/>
        <v>2.5</v>
      </c>
      <c r="AG8630" s="580">
        <f t="shared" si="709"/>
        <v>0</v>
      </c>
      <c r="AH8630" s="580">
        <f t="shared" si="710"/>
        <v>0</v>
      </c>
    </row>
    <row r="8631" spans="28:34">
      <c r="AB8631" s="580">
        <f>HLOOKUP("*"&amp;'Output annual'!$AC$2&amp;'Output annual'!$AD$2&amp;"*Zone People Number Of Occupants [](Hourly)",'Eplus results'!$1:$1048576,ROW(),FALSE)</f>
        <v>0</v>
      </c>
      <c r="AC8631" s="580">
        <f>HLOOKUP("*"&amp;'Output annual'!$AC$2&amp;'Output annual'!$AD$2&amp;"*FangerPMV(Hourly)",'Eplus results'!$1:$1048576,ROW(),FALSE)</f>
        <v>0</v>
      </c>
      <c r="AD8631" s="580">
        <f t="shared" si="706"/>
        <v>5</v>
      </c>
      <c r="AE8631" s="580">
        <f t="shared" si="707"/>
        <v>2.5</v>
      </c>
      <c r="AF8631" s="580">
        <f t="shared" si="708"/>
        <v>2.5</v>
      </c>
      <c r="AG8631" s="580">
        <f t="shared" si="709"/>
        <v>0</v>
      </c>
      <c r="AH8631" s="580">
        <f t="shared" si="710"/>
        <v>0</v>
      </c>
    </row>
    <row r="8632" spans="28:34">
      <c r="AB8632" s="580">
        <f>HLOOKUP("*"&amp;'Output annual'!$AC$2&amp;'Output annual'!$AD$2&amp;"*Zone People Number Of Occupants [](Hourly)",'Eplus results'!$1:$1048576,ROW(),FALSE)</f>
        <v>0</v>
      </c>
      <c r="AC8632" s="580">
        <f>HLOOKUP("*"&amp;'Output annual'!$AC$2&amp;'Output annual'!$AD$2&amp;"*FangerPMV(Hourly)",'Eplus results'!$1:$1048576,ROW(),FALSE)</f>
        <v>0</v>
      </c>
      <c r="AD8632" s="580">
        <f t="shared" si="706"/>
        <v>5</v>
      </c>
      <c r="AE8632" s="580">
        <f t="shared" si="707"/>
        <v>2.5</v>
      </c>
      <c r="AF8632" s="580">
        <f t="shared" si="708"/>
        <v>2.5</v>
      </c>
      <c r="AG8632" s="580">
        <f t="shared" si="709"/>
        <v>0</v>
      </c>
      <c r="AH8632" s="580">
        <f t="shared" si="710"/>
        <v>0</v>
      </c>
    </row>
    <row r="8633" spans="28:34">
      <c r="AB8633" s="580">
        <f>HLOOKUP("*"&amp;'Output annual'!$AC$2&amp;'Output annual'!$AD$2&amp;"*Zone People Number Of Occupants [](Hourly)",'Eplus results'!$1:$1048576,ROW(),FALSE)</f>
        <v>0</v>
      </c>
      <c r="AC8633" s="580">
        <f>HLOOKUP("*"&amp;'Output annual'!$AC$2&amp;'Output annual'!$AD$2&amp;"*FangerPMV(Hourly)",'Eplus results'!$1:$1048576,ROW(),FALSE)</f>
        <v>0</v>
      </c>
      <c r="AD8633" s="580">
        <f t="shared" si="706"/>
        <v>5</v>
      </c>
      <c r="AE8633" s="580">
        <f t="shared" si="707"/>
        <v>2.5</v>
      </c>
      <c r="AF8633" s="580">
        <f t="shared" si="708"/>
        <v>2.5</v>
      </c>
      <c r="AG8633" s="580">
        <f t="shared" si="709"/>
        <v>0</v>
      </c>
      <c r="AH8633" s="580">
        <f t="shared" si="710"/>
        <v>0</v>
      </c>
    </row>
    <row r="8634" spans="28:34">
      <c r="AB8634" s="580">
        <f>HLOOKUP("*"&amp;'Output annual'!$AC$2&amp;'Output annual'!$AD$2&amp;"*Zone People Number Of Occupants [](Hourly)",'Eplus results'!$1:$1048576,ROW(),FALSE)</f>
        <v>0</v>
      </c>
      <c r="AC8634" s="580">
        <f>HLOOKUP("*"&amp;'Output annual'!$AC$2&amp;'Output annual'!$AD$2&amp;"*FangerPMV(Hourly)",'Eplus results'!$1:$1048576,ROW(),FALSE)</f>
        <v>0</v>
      </c>
      <c r="AD8634" s="580">
        <f t="shared" si="706"/>
        <v>5</v>
      </c>
      <c r="AE8634" s="580">
        <f t="shared" si="707"/>
        <v>2.5</v>
      </c>
      <c r="AF8634" s="580">
        <f t="shared" si="708"/>
        <v>2.5</v>
      </c>
      <c r="AG8634" s="580">
        <f t="shared" si="709"/>
        <v>0</v>
      </c>
      <c r="AH8634" s="580">
        <f t="shared" si="710"/>
        <v>0</v>
      </c>
    </row>
    <row r="8635" spans="28:34">
      <c r="AB8635" s="580">
        <f>HLOOKUP("*"&amp;'Output annual'!$AC$2&amp;'Output annual'!$AD$2&amp;"*Zone People Number Of Occupants [](Hourly)",'Eplus results'!$1:$1048576,ROW(),FALSE)</f>
        <v>0</v>
      </c>
      <c r="AC8635" s="580">
        <f>HLOOKUP("*"&amp;'Output annual'!$AC$2&amp;'Output annual'!$AD$2&amp;"*FangerPMV(Hourly)",'Eplus results'!$1:$1048576,ROW(),FALSE)</f>
        <v>0</v>
      </c>
      <c r="AD8635" s="580">
        <f t="shared" si="706"/>
        <v>5</v>
      </c>
      <c r="AE8635" s="580">
        <f t="shared" si="707"/>
        <v>2.5</v>
      </c>
      <c r="AF8635" s="580">
        <f t="shared" si="708"/>
        <v>2.5</v>
      </c>
      <c r="AG8635" s="580">
        <f t="shared" si="709"/>
        <v>0</v>
      </c>
      <c r="AH8635" s="580">
        <f t="shared" si="710"/>
        <v>0</v>
      </c>
    </row>
    <row r="8636" spans="28:34">
      <c r="AB8636" s="580">
        <f>HLOOKUP("*"&amp;'Output annual'!$AC$2&amp;'Output annual'!$AD$2&amp;"*Zone People Number Of Occupants [](Hourly)",'Eplus results'!$1:$1048576,ROW(),FALSE)</f>
        <v>0</v>
      </c>
      <c r="AC8636" s="580">
        <f>HLOOKUP("*"&amp;'Output annual'!$AC$2&amp;'Output annual'!$AD$2&amp;"*FangerPMV(Hourly)",'Eplus results'!$1:$1048576,ROW(),FALSE)</f>
        <v>0</v>
      </c>
      <c r="AD8636" s="580">
        <f t="shared" si="706"/>
        <v>5</v>
      </c>
      <c r="AE8636" s="580">
        <f t="shared" si="707"/>
        <v>2.5</v>
      </c>
      <c r="AF8636" s="580">
        <f t="shared" si="708"/>
        <v>2.5</v>
      </c>
      <c r="AG8636" s="580">
        <f t="shared" si="709"/>
        <v>0</v>
      </c>
      <c r="AH8636" s="580">
        <f t="shared" si="710"/>
        <v>0</v>
      </c>
    </row>
    <row r="8637" spans="28:34">
      <c r="AB8637" s="580">
        <f>HLOOKUP("*"&amp;'Output annual'!$AC$2&amp;'Output annual'!$AD$2&amp;"*Zone People Number Of Occupants [](Hourly)",'Eplus results'!$1:$1048576,ROW(),FALSE)</f>
        <v>0</v>
      </c>
      <c r="AC8637" s="580">
        <f>HLOOKUP("*"&amp;'Output annual'!$AC$2&amp;'Output annual'!$AD$2&amp;"*FangerPMV(Hourly)",'Eplus results'!$1:$1048576,ROW(),FALSE)</f>
        <v>0</v>
      </c>
      <c r="AD8637" s="580">
        <f t="shared" si="706"/>
        <v>5</v>
      </c>
      <c r="AE8637" s="580">
        <f t="shared" si="707"/>
        <v>2.5</v>
      </c>
      <c r="AF8637" s="580">
        <f t="shared" si="708"/>
        <v>2.5</v>
      </c>
      <c r="AG8637" s="580">
        <f t="shared" si="709"/>
        <v>0</v>
      </c>
      <c r="AH8637" s="580">
        <f t="shared" si="710"/>
        <v>0</v>
      </c>
    </row>
    <row r="8638" spans="28:34">
      <c r="AB8638" s="580">
        <f>HLOOKUP("*"&amp;'Output annual'!$AC$2&amp;'Output annual'!$AD$2&amp;"*Zone People Number Of Occupants [](Hourly)",'Eplus results'!$1:$1048576,ROW(),FALSE)</f>
        <v>0</v>
      </c>
      <c r="AC8638" s="580">
        <f>HLOOKUP("*"&amp;'Output annual'!$AC$2&amp;'Output annual'!$AD$2&amp;"*FangerPMV(Hourly)",'Eplus results'!$1:$1048576,ROW(),FALSE)</f>
        <v>0</v>
      </c>
      <c r="AD8638" s="580">
        <f t="shared" si="706"/>
        <v>5</v>
      </c>
      <c r="AE8638" s="580">
        <f t="shared" si="707"/>
        <v>2.5</v>
      </c>
      <c r="AF8638" s="580">
        <f t="shared" si="708"/>
        <v>2.5</v>
      </c>
      <c r="AG8638" s="580">
        <f t="shared" si="709"/>
        <v>0</v>
      </c>
      <c r="AH8638" s="580">
        <f t="shared" si="710"/>
        <v>0</v>
      </c>
    </row>
    <row r="8639" spans="28:34">
      <c r="AB8639" s="580">
        <f>HLOOKUP("*"&amp;'Output annual'!$AC$2&amp;'Output annual'!$AD$2&amp;"*Zone People Number Of Occupants [](Hourly)",'Eplus results'!$1:$1048576,ROW(),FALSE)</f>
        <v>0</v>
      </c>
      <c r="AC8639" s="580">
        <f>HLOOKUP("*"&amp;'Output annual'!$AC$2&amp;'Output annual'!$AD$2&amp;"*FangerPMV(Hourly)",'Eplus results'!$1:$1048576,ROW(),FALSE)</f>
        <v>0</v>
      </c>
      <c r="AD8639" s="580">
        <f t="shared" si="706"/>
        <v>5</v>
      </c>
      <c r="AE8639" s="580">
        <f t="shared" si="707"/>
        <v>2.5</v>
      </c>
      <c r="AF8639" s="580">
        <f t="shared" si="708"/>
        <v>2.5</v>
      </c>
      <c r="AG8639" s="580">
        <f t="shared" si="709"/>
        <v>0</v>
      </c>
      <c r="AH8639" s="580">
        <f t="shared" si="710"/>
        <v>0</v>
      </c>
    </row>
    <row r="8640" spans="28:34">
      <c r="AB8640" s="580">
        <f>HLOOKUP("*"&amp;'Output annual'!$AC$2&amp;'Output annual'!$AD$2&amp;"*Zone People Number Of Occupants [](Hourly)",'Eplus results'!$1:$1048576,ROW(),FALSE)</f>
        <v>0</v>
      </c>
      <c r="AC8640" s="580">
        <f>HLOOKUP("*"&amp;'Output annual'!$AC$2&amp;'Output annual'!$AD$2&amp;"*FangerPMV(Hourly)",'Eplus results'!$1:$1048576,ROW(),FALSE)</f>
        <v>0</v>
      </c>
      <c r="AD8640" s="580">
        <f t="shared" si="706"/>
        <v>5</v>
      </c>
      <c r="AE8640" s="580">
        <f t="shared" si="707"/>
        <v>2.5</v>
      </c>
      <c r="AF8640" s="580">
        <f t="shared" si="708"/>
        <v>2.5</v>
      </c>
      <c r="AG8640" s="580">
        <f t="shared" si="709"/>
        <v>0</v>
      </c>
      <c r="AH8640" s="580">
        <f t="shared" si="710"/>
        <v>0</v>
      </c>
    </row>
    <row r="8641" spans="28:34">
      <c r="AB8641" s="580">
        <f>HLOOKUP("*"&amp;'Output annual'!$AC$2&amp;'Output annual'!$AD$2&amp;"*Zone People Number Of Occupants [](Hourly)",'Eplus results'!$1:$1048576,ROW(),FALSE)</f>
        <v>0</v>
      </c>
      <c r="AC8641" s="580">
        <f>HLOOKUP("*"&amp;'Output annual'!$AC$2&amp;'Output annual'!$AD$2&amp;"*FangerPMV(Hourly)",'Eplus results'!$1:$1048576,ROW(),FALSE)</f>
        <v>0</v>
      </c>
      <c r="AD8641" s="580">
        <f t="shared" si="706"/>
        <v>5</v>
      </c>
      <c r="AE8641" s="580">
        <f t="shared" si="707"/>
        <v>2.5</v>
      </c>
      <c r="AF8641" s="580">
        <f t="shared" si="708"/>
        <v>2.5</v>
      </c>
      <c r="AG8641" s="580">
        <f t="shared" si="709"/>
        <v>0</v>
      </c>
      <c r="AH8641" s="580">
        <f t="shared" si="710"/>
        <v>0</v>
      </c>
    </row>
    <row r="8642" spans="28:34">
      <c r="AB8642" s="580">
        <f>HLOOKUP("*"&amp;'Output annual'!$AC$2&amp;'Output annual'!$AD$2&amp;"*Zone People Number Of Occupants [](Hourly)",'Eplus results'!$1:$1048576,ROW(),FALSE)</f>
        <v>0</v>
      </c>
      <c r="AC8642" s="580">
        <f>HLOOKUP("*"&amp;'Output annual'!$AC$2&amp;'Output annual'!$AD$2&amp;"*FangerPMV(Hourly)",'Eplus results'!$1:$1048576,ROW(),FALSE)</f>
        <v>0</v>
      </c>
      <c r="AD8642" s="580">
        <f t="shared" si="706"/>
        <v>5</v>
      </c>
      <c r="AE8642" s="580">
        <f t="shared" si="707"/>
        <v>2.5</v>
      </c>
      <c r="AF8642" s="580">
        <f t="shared" si="708"/>
        <v>2.5</v>
      </c>
      <c r="AG8642" s="580">
        <f t="shared" si="709"/>
        <v>0</v>
      </c>
      <c r="AH8642" s="580">
        <f t="shared" si="710"/>
        <v>0</v>
      </c>
    </row>
    <row r="8643" spans="28:34">
      <c r="AB8643" s="580">
        <f>HLOOKUP("*"&amp;'Output annual'!$AC$2&amp;'Output annual'!$AD$2&amp;"*Zone People Number Of Occupants [](Hourly)",'Eplus results'!$1:$1048576,ROW(),FALSE)</f>
        <v>0</v>
      </c>
      <c r="AC8643" s="580">
        <f>HLOOKUP("*"&amp;'Output annual'!$AC$2&amp;'Output annual'!$AD$2&amp;"*FangerPMV(Hourly)",'Eplus results'!$1:$1048576,ROW(),FALSE)</f>
        <v>0</v>
      </c>
      <c r="AD8643" s="580">
        <f t="shared" ref="AD8643:AD8706" si="711">100-95*EXP(-0.03353*AC8643^4-0.2179*AC8643^2)</f>
        <v>5</v>
      </c>
      <c r="AE8643" s="580">
        <f t="shared" ref="AE8643:AE8706" si="712">AD8643*(1/(1+EXP(-6.3*$AC8643)))</f>
        <v>2.5</v>
      </c>
      <c r="AF8643" s="580">
        <f t="shared" ref="AF8643:AF8706" si="713">(AD8643-AE8643)</f>
        <v>2.5</v>
      </c>
      <c r="AG8643" s="580">
        <f t="shared" ref="AG8643:AG8706" si="714">AE8643*AB8643</f>
        <v>0</v>
      </c>
      <c r="AH8643" s="580">
        <f t="shared" ref="AH8643:AH8706" si="715">AF8643*AB8643</f>
        <v>0</v>
      </c>
    </row>
    <row r="8644" spans="28:34">
      <c r="AB8644" s="580">
        <f>HLOOKUP("*"&amp;'Output annual'!$AC$2&amp;'Output annual'!$AD$2&amp;"*Zone People Number Of Occupants [](Hourly)",'Eplus results'!$1:$1048576,ROW(),FALSE)</f>
        <v>0</v>
      </c>
      <c r="AC8644" s="580">
        <f>HLOOKUP("*"&amp;'Output annual'!$AC$2&amp;'Output annual'!$AD$2&amp;"*FangerPMV(Hourly)",'Eplus results'!$1:$1048576,ROW(),FALSE)</f>
        <v>0</v>
      </c>
      <c r="AD8644" s="580">
        <f t="shared" si="711"/>
        <v>5</v>
      </c>
      <c r="AE8644" s="580">
        <f t="shared" si="712"/>
        <v>2.5</v>
      </c>
      <c r="AF8644" s="580">
        <f t="shared" si="713"/>
        <v>2.5</v>
      </c>
      <c r="AG8644" s="580">
        <f t="shared" si="714"/>
        <v>0</v>
      </c>
      <c r="AH8644" s="580">
        <f t="shared" si="715"/>
        <v>0</v>
      </c>
    </row>
    <row r="8645" spans="28:34">
      <c r="AB8645" s="580">
        <f>HLOOKUP("*"&amp;'Output annual'!$AC$2&amp;'Output annual'!$AD$2&amp;"*Zone People Number Of Occupants [](Hourly)",'Eplus results'!$1:$1048576,ROW(),FALSE)</f>
        <v>0</v>
      </c>
      <c r="AC8645" s="580">
        <f>HLOOKUP("*"&amp;'Output annual'!$AC$2&amp;'Output annual'!$AD$2&amp;"*FangerPMV(Hourly)",'Eplus results'!$1:$1048576,ROW(),FALSE)</f>
        <v>0</v>
      </c>
      <c r="AD8645" s="580">
        <f t="shared" si="711"/>
        <v>5</v>
      </c>
      <c r="AE8645" s="580">
        <f t="shared" si="712"/>
        <v>2.5</v>
      </c>
      <c r="AF8645" s="580">
        <f t="shared" si="713"/>
        <v>2.5</v>
      </c>
      <c r="AG8645" s="580">
        <f t="shared" si="714"/>
        <v>0</v>
      </c>
      <c r="AH8645" s="580">
        <f t="shared" si="715"/>
        <v>0</v>
      </c>
    </row>
    <row r="8646" spans="28:34">
      <c r="AB8646" s="580">
        <f>HLOOKUP("*"&amp;'Output annual'!$AC$2&amp;'Output annual'!$AD$2&amp;"*Zone People Number Of Occupants [](Hourly)",'Eplus results'!$1:$1048576,ROW(),FALSE)</f>
        <v>0</v>
      </c>
      <c r="AC8646" s="580">
        <f>HLOOKUP("*"&amp;'Output annual'!$AC$2&amp;'Output annual'!$AD$2&amp;"*FangerPMV(Hourly)",'Eplus results'!$1:$1048576,ROW(),FALSE)</f>
        <v>0</v>
      </c>
      <c r="AD8646" s="580">
        <f t="shared" si="711"/>
        <v>5</v>
      </c>
      <c r="AE8646" s="580">
        <f t="shared" si="712"/>
        <v>2.5</v>
      </c>
      <c r="AF8646" s="580">
        <f t="shared" si="713"/>
        <v>2.5</v>
      </c>
      <c r="AG8646" s="580">
        <f t="shared" si="714"/>
        <v>0</v>
      </c>
      <c r="AH8646" s="580">
        <f t="shared" si="715"/>
        <v>0</v>
      </c>
    </row>
    <row r="8647" spans="28:34">
      <c r="AB8647" s="580">
        <f>HLOOKUP("*"&amp;'Output annual'!$AC$2&amp;'Output annual'!$AD$2&amp;"*Zone People Number Of Occupants [](Hourly)",'Eplus results'!$1:$1048576,ROW(),FALSE)</f>
        <v>0</v>
      </c>
      <c r="AC8647" s="580">
        <f>HLOOKUP("*"&amp;'Output annual'!$AC$2&amp;'Output annual'!$AD$2&amp;"*FangerPMV(Hourly)",'Eplus results'!$1:$1048576,ROW(),FALSE)</f>
        <v>0</v>
      </c>
      <c r="AD8647" s="580">
        <f t="shared" si="711"/>
        <v>5</v>
      </c>
      <c r="AE8647" s="580">
        <f t="shared" si="712"/>
        <v>2.5</v>
      </c>
      <c r="AF8647" s="580">
        <f t="shared" si="713"/>
        <v>2.5</v>
      </c>
      <c r="AG8647" s="580">
        <f t="shared" si="714"/>
        <v>0</v>
      </c>
      <c r="AH8647" s="580">
        <f t="shared" si="715"/>
        <v>0</v>
      </c>
    </row>
    <row r="8648" spans="28:34">
      <c r="AB8648" s="580">
        <f>HLOOKUP("*"&amp;'Output annual'!$AC$2&amp;'Output annual'!$AD$2&amp;"*Zone People Number Of Occupants [](Hourly)",'Eplus results'!$1:$1048576,ROW(),FALSE)</f>
        <v>0</v>
      </c>
      <c r="AC8648" s="580">
        <f>HLOOKUP("*"&amp;'Output annual'!$AC$2&amp;'Output annual'!$AD$2&amp;"*FangerPMV(Hourly)",'Eplus results'!$1:$1048576,ROW(),FALSE)</f>
        <v>0</v>
      </c>
      <c r="AD8648" s="580">
        <f t="shared" si="711"/>
        <v>5</v>
      </c>
      <c r="AE8648" s="580">
        <f t="shared" si="712"/>
        <v>2.5</v>
      </c>
      <c r="AF8648" s="580">
        <f t="shared" si="713"/>
        <v>2.5</v>
      </c>
      <c r="AG8648" s="580">
        <f t="shared" si="714"/>
        <v>0</v>
      </c>
      <c r="AH8648" s="580">
        <f t="shared" si="715"/>
        <v>0</v>
      </c>
    </row>
    <row r="8649" spans="28:34">
      <c r="AB8649" s="580">
        <f>HLOOKUP("*"&amp;'Output annual'!$AC$2&amp;'Output annual'!$AD$2&amp;"*Zone People Number Of Occupants [](Hourly)",'Eplus results'!$1:$1048576,ROW(),FALSE)</f>
        <v>0</v>
      </c>
      <c r="AC8649" s="580">
        <f>HLOOKUP("*"&amp;'Output annual'!$AC$2&amp;'Output annual'!$AD$2&amp;"*FangerPMV(Hourly)",'Eplus results'!$1:$1048576,ROW(),FALSE)</f>
        <v>0</v>
      </c>
      <c r="AD8649" s="580">
        <f t="shared" si="711"/>
        <v>5</v>
      </c>
      <c r="AE8649" s="580">
        <f t="shared" si="712"/>
        <v>2.5</v>
      </c>
      <c r="AF8649" s="580">
        <f t="shared" si="713"/>
        <v>2.5</v>
      </c>
      <c r="AG8649" s="580">
        <f t="shared" si="714"/>
        <v>0</v>
      </c>
      <c r="AH8649" s="580">
        <f t="shared" si="715"/>
        <v>0</v>
      </c>
    </row>
    <row r="8650" spans="28:34">
      <c r="AB8650" s="580">
        <f>HLOOKUP("*"&amp;'Output annual'!$AC$2&amp;'Output annual'!$AD$2&amp;"*Zone People Number Of Occupants [](Hourly)",'Eplus results'!$1:$1048576,ROW(),FALSE)</f>
        <v>0</v>
      </c>
      <c r="AC8650" s="580">
        <f>HLOOKUP("*"&amp;'Output annual'!$AC$2&amp;'Output annual'!$AD$2&amp;"*FangerPMV(Hourly)",'Eplus results'!$1:$1048576,ROW(),FALSE)</f>
        <v>0</v>
      </c>
      <c r="AD8650" s="580">
        <f t="shared" si="711"/>
        <v>5</v>
      </c>
      <c r="AE8650" s="580">
        <f t="shared" si="712"/>
        <v>2.5</v>
      </c>
      <c r="AF8650" s="580">
        <f t="shared" si="713"/>
        <v>2.5</v>
      </c>
      <c r="AG8650" s="580">
        <f t="shared" si="714"/>
        <v>0</v>
      </c>
      <c r="AH8650" s="580">
        <f t="shared" si="715"/>
        <v>0</v>
      </c>
    </row>
    <row r="8651" spans="28:34">
      <c r="AB8651" s="580">
        <f>HLOOKUP("*"&amp;'Output annual'!$AC$2&amp;'Output annual'!$AD$2&amp;"*Zone People Number Of Occupants [](Hourly)",'Eplus results'!$1:$1048576,ROW(),FALSE)</f>
        <v>0</v>
      </c>
      <c r="AC8651" s="580">
        <f>HLOOKUP("*"&amp;'Output annual'!$AC$2&amp;'Output annual'!$AD$2&amp;"*FangerPMV(Hourly)",'Eplus results'!$1:$1048576,ROW(),FALSE)</f>
        <v>0</v>
      </c>
      <c r="AD8651" s="580">
        <f t="shared" si="711"/>
        <v>5</v>
      </c>
      <c r="AE8651" s="580">
        <f t="shared" si="712"/>
        <v>2.5</v>
      </c>
      <c r="AF8651" s="580">
        <f t="shared" si="713"/>
        <v>2.5</v>
      </c>
      <c r="AG8651" s="580">
        <f t="shared" si="714"/>
        <v>0</v>
      </c>
      <c r="AH8651" s="580">
        <f t="shared" si="715"/>
        <v>0</v>
      </c>
    </row>
    <row r="8652" spans="28:34">
      <c r="AB8652" s="580">
        <f>HLOOKUP("*"&amp;'Output annual'!$AC$2&amp;'Output annual'!$AD$2&amp;"*Zone People Number Of Occupants [](Hourly)",'Eplus results'!$1:$1048576,ROW(),FALSE)</f>
        <v>0</v>
      </c>
      <c r="AC8652" s="580">
        <f>HLOOKUP("*"&amp;'Output annual'!$AC$2&amp;'Output annual'!$AD$2&amp;"*FangerPMV(Hourly)",'Eplus results'!$1:$1048576,ROW(),FALSE)</f>
        <v>0</v>
      </c>
      <c r="AD8652" s="580">
        <f t="shared" si="711"/>
        <v>5</v>
      </c>
      <c r="AE8652" s="580">
        <f t="shared" si="712"/>
        <v>2.5</v>
      </c>
      <c r="AF8652" s="580">
        <f t="shared" si="713"/>
        <v>2.5</v>
      </c>
      <c r="AG8652" s="580">
        <f t="shared" si="714"/>
        <v>0</v>
      </c>
      <c r="AH8652" s="580">
        <f t="shared" si="715"/>
        <v>0</v>
      </c>
    </row>
    <row r="8653" spans="28:34">
      <c r="AB8653" s="580">
        <f>HLOOKUP("*"&amp;'Output annual'!$AC$2&amp;'Output annual'!$AD$2&amp;"*Zone People Number Of Occupants [](Hourly)",'Eplus results'!$1:$1048576,ROW(),FALSE)</f>
        <v>0</v>
      </c>
      <c r="AC8653" s="580">
        <f>HLOOKUP("*"&amp;'Output annual'!$AC$2&amp;'Output annual'!$AD$2&amp;"*FangerPMV(Hourly)",'Eplus results'!$1:$1048576,ROW(),FALSE)</f>
        <v>0</v>
      </c>
      <c r="AD8653" s="580">
        <f t="shared" si="711"/>
        <v>5</v>
      </c>
      <c r="AE8653" s="580">
        <f t="shared" si="712"/>
        <v>2.5</v>
      </c>
      <c r="AF8653" s="580">
        <f t="shared" si="713"/>
        <v>2.5</v>
      </c>
      <c r="AG8653" s="580">
        <f t="shared" si="714"/>
        <v>0</v>
      </c>
      <c r="AH8653" s="580">
        <f t="shared" si="715"/>
        <v>0</v>
      </c>
    </row>
    <row r="8654" spans="28:34">
      <c r="AB8654" s="580">
        <f>HLOOKUP("*"&amp;'Output annual'!$AC$2&amp;'Output annual'!$AD$2&amp;"*Zone People Number Of Occupants [](Hourly)",'Eplus results'!$1:$1048576,ROW(),FALSE)</f>
        <v>0</v>
      </c>
      <c r="AC8654" s="580">
        <f>HLOOKUP("*"&amp;'Output annual'!$AC$2&amp;'Output annual'!$AD$2&amp;"*FangerPMV(Hourly)",'Eplus results'!$1:$1048576,ROW(),FALSE)</f>
        <v>0</v>
      </c>
      <c r="AD8654" s="580">
        <f t="shared" si="711"/>
        <v>5</v>
      </c>
      <c r="AE8654" s="580">
        <f t="shared" si="712"/>
        <v>2.5</v>
      </c>
      <c r="AF8654" s="580">
        <f t="shared" si="713"/>
        <v>2.5</v>
      </c>
      <c r="AG8654" s="580">
        <f t="shared" si="714"/>
        <v>0</v>
      </c>
      <c r="AH8654" s="580">
        <f t="shared" si="715"/>
        <v>0</v>
      </c>
    </row>
    <row r="8655" spans="28:34">
      <c r="AB8655" s="580">
        <f>HLOOKUP("*"&amp;'Output annual'!$AC$2&amp;'Output annual'!$AD$2&amp;"*Zone People Number Of Occupants [](Hourly)",'Eplus results'!$1:$1048576,ROW(),FALSE)</f>
        <v>0</v>
      </c>
      <c r="AC8655" s="580">
        <f>HLOOKUP("*"&amp;'Output annual'!$AC$2&amp;'Output annual'!$AD$2&amp;"*FangerPMV(Hourly)",'Eplus results'!$1:$1048576,ROW(),FALSE)</f>
        <v>0</v>
      </c>
      <c r="AD8655" s="580">
        <f t="shared" si="711"/>
        <v>5</v>
      </c>
      <c r="AE8655" s="580">
        <f t="shared" si="712"/>
        <v>2.5</v>
      </c>
      <c r="AF8655" s="580">
        <f t="shared" si="713"/>
        <v>2.5</v>
      </c>
      <c r="AG8655" s="580">
        <f t="shared" si="714"/>
        <v>0</v>
      </c>
      <c r="AH8655" s="580">
        <f t="shared" si="715"/>
        <v>0</v>
      </c>
    </row>
    <row r="8656" spans="28:34">
      <c r="AB8656" s="580">
        <f>HLOOKUP("*"&amp;'Output annual'!$AC$2&amp;'Output annual'!$AD$2&amp;"*Zone People Number Of Occupants [](Hourly)",'Eplus results'!$1:$1048576,ROW(),FALSE)</f>
        <v>0</v>
      </c>
      <c r="AC8656" s="580">
        <f>HLOOKUP("*"&amp;'Output annual'!$AC$2&amp;'Output annual'!$AD$2&amp;"*FangerPMV(Hourly)",'Eplus results'!$1:$1048576,ROW(),FALSE)</f>
        <v>0</v>
      </c>
      <c r="AD8656" s="580">
        <f t="shared" si="711"/>
        <v>5</v>
      </c>
      <c r="AE8656" s="580">
        <f t="shared" si="712"/>
        <v>2.5</v>
      </c>
      <c r="AF8656" s="580">
        <f t="shared" si="713"/>
        <v>2.5</v>
      </c>
      <c r="AG8656" s="580">
        <f t="shared" si="714"/>
        <v>0</v>
      </c>
      <c r="AH8656" s="580">
        <f t="shared" si="715"/>
        <v>0</v>
      </c>
    </row>
    <row r="8657" spans="28:34">
      <c r="AB8657" s="580">
        <f>HLOOKUP("*"&amp;'Output annual'!$AC$2&amp;'Output annual'!$AD$2&amp;"*Zone People Number Of Occupants [](Hourly)",'Eplus results'!$1:$1048576,ROW(),FALSE)</f>
        <v>0</v>
      </c>
      <c r="AC8657" s="580">
        <f>HLOOKUP("*"&amp;'Output annual'!$AC$2&amp;'Output annual'!$AD$2&amp;"*FangerPMV(Hourly)",'Eplus results'!$1:$1048576,ROW(),FALSE)</f>
        <v>0</v>
      </c>
      <c r="AD8657" s="580">
        <f t="shared" si="711"/>
        <v>5</v>
      </c>
      <c r="AE8657" s="580">
        <f t="shared" si="712"/>
        <v>2.5</v>
      </c>
      <c r="AF8657" s="580">
        <f t="shared" si="713"/>
        <v>2.5</v>
      </c>
      <c r="AG8657" s="580">
        <f t="shared" si="714"/>
        <v>0</v>
      </c>
      <c r="AH8657" s="580">
        <f t="shared" si="715"/>
        <v>0</v>
      </c>
    </row>
    <row r="8658" spans="28:34">
      <c r="AB8658" s="580">
        <f>HLOOKUP("*"&amp;'Output annual'!$AC$2&amp;'Output annual'!$AD$2&amp;"*Zone People Number Of Occupants [](Hourly)",'Eplus results'!$1:$1048576,ROW(),FALSE)</f>
        <v>0</v>
      </c>
      <c r="AC8658" s="580">
        <f>HLOOKUP("*"&amp;'Output annual'!$AC$2&amp;'Output annual'!$AD$2&amp;"*FangerPMV(Hourly)",'Eplus results'!$1:$1048576,ROW(),FALSE)</f>
        <v>0</v>
      </c>
      <c r="AD8658" s="580">
        <f t="shared" si="711"/>
        <v>5</v>
      </c>
      <c r="AE8658" s="580">
        <f t="shared" si="712"/>
        <v>2.5</v>
      </c>
      <c r="AF8658" s="580">
        <f t="shared" si="713"/>
        <v>2.5</v>
      </c>
      <c r="AG8658" s="580">
        <f t="shared" si="714"/>
        <v>0</v>
      </c>
      <c r="AH8658" s="580">
        <f t="shared" si="715"/>
        <v>0</v>
      </c>
    </row>
    <row r="8659" spans="28:34">
      <c r="AB8659" s="580">
        <f>HLOOKUP("*"&amp;'Output annual'!$AC$2&amp;'Output annual'!$AD$2&amp;"*Zone People Number Of Occupants [](Hourly)",'Eplus results'!$1:$1048576,ROW(),FALSE)</f>
        <v>0</v>
      </c>
      <c r="AC8659" s="580">
        <f>HLOOKUP("*"&amp;'Output annual'!$AC$2&amp;'Output annual'!$AD$2&amp;"*FangerPMV(Hourly)",'Eplus results'!$1:$1048576,ROW(),FALSE)</f>
        <v>0</v>
      </c>
      <c r="AD8659" s="580">
        <f t="shared" si="711"/>
        <v>5</v>
      </c>
      <c r="AE8659" s="580">
        <f t="shared" si="712"/>
        <v>2.5</v>
      </c>
      <c r="AF8659" s="580">
        <f t="shared" si="713"/>
        <v>2.5</v>
      </c>
      <c r="AG8659" s="580">
        <f t="shared" si="714"/>
        <v>0</v>
      </c>
      <c r="AH8659" s="580">
        <f t="shared" si="715"/>
        <v>0</v>
      </c>
    </row>
    <row r="8660" spans="28:34">
      <c r="AB8660" s="580">
        <f>HLOOKUP("*"&amp;'Output annual'!$AC$2&amp;'Output annual'!$AD$2&amp;"*Zone People Number Of Occupants [](Hourly)",'Eplus results'!$1:$1048576,ROW(),FALSE)</f>
        <v>0</v>
      </c>
      <c r="AC8660" s="580">
        <f>HLOOKUP("*"&amp;'Output annual'!$AC$2&amp;'Output annual'!$AD$2&amp;"*FangerPMV(Hourly)",'Eplus results'!$1:$1048576,ROW(),FALSE)</f>
        <v>0</v>
      </c>
      <c r="AD8660" s="580">
        <f t="shared" si="711"/>
        <v>5</v>
      </c>
      <c r="AE8660" s="580">
        <f t="shared" si="712"/>
        <v>2.5</v>
      </c>
      <c r="AF8660" s="580">
        <f t="shared" si="713"/>
        <v>2.5</v>
      </c>
      <c r="AG8660" s="580">
        <f t="shared" si="714"/>
        <v>0</v>
      </c>
      <c r="AH8660" s="580">
        <f t="shared" si="715"/>
        <v>0</v>
      </c>
    </row>
    <row r="8661" spans="28:34">
      <c r="AB8661" s="580">
        <f>HLOOKUP("*"&amp;'Output annual'!$AC$2&amp;'Output annual'!$AD$2&amp;"*Zone People Number Of Occupants [](Hourly)",'Eplus results'!$1:$1048576,ROW(),FALSE)</f>
        <v>0</v>
      </c>
      <c r="AC8661" s="580">
        <f>HLOOKUP("*"&amp;'Output annual'!$AC$2&amp;'Output annual'!$AD$2&amp;"*FangerPMV(Hourly)",'Eplus results'!$1:$1048576,ROW(),FALSE)</f>
        <v>0</v>
      </c>
      <c r="AD8661" s="580">
        <f t="shared" si="711"/>
        <v>5</v>
      </c>
      <c r="AE8661" s="580">
        <f t="shared" si="712"/>
        <v>2.5</v>
      </c>
      <c r="AF8661" s="580">
        <f t="shared" si="713"/>
        <v>2.5</v>
      </c>
      <c r="AG8661" s="580">
        <f t="shared" si="714"/>
        <v>0</v>
      </c>
      <c r="AH8661" s="580">
        <f t="shared" si="715"/>
        <v>0</v>
      </c>
    </row>
    <row r="8662" spans="28:34">
      <c r="AB8662" s="580">
        <f>HLOOKUP("*"&amp;'Output annual'!$AC$2&amp;'Output annual'!$AD$2&amp;"*Zone People Number Of Occupants [](Hourly)",'Eplus results'!$1:$1048576,ROW(),FALSE)</f>
        <v>0</v>
      </c>
      <c r="AC8662" s="580">
        <f>HLOOKUP("*"&amp;'Output annual'!$AC$2&amp;'Output annual'!$AD$2&amp;"*FangerPMV(Hourly)",'Eplus results'!$1:$1048576,ROW(),FALSE)</f>
        <v>0</v>
      </c>
      <c r="AD8662" s="580">
        <f t="shared" si="711"/>
        <v>5</v>
      </c>
      <c r="AE8662" s="580">
        <f t="shared" si="712"/>
        <v>2.5</v>
      </c>
      <c r="AF8662" s="580">
        <f t="shared" si="713"/>
        <v>2.5</v>
      </c>
      <c r="AG8662" s="580">
        <f t="shared" si="714"/>
        <v>0</v>
      </c>
      <c r="AH8662" s="580">
        <f t="shared" si="715"/>
        <v>0</v>
      </c>
    </row>
    <row r="8663" spans="28:34">
      <c r="AB8663" s="580">
        <f>HLOOKUP("*"&amp;'Output annual'!$AC$2&amp;'Output annual'!$AD$2&amp;"*Zone People Number Of Occupants [](Hourly)",'Eplus results'!$1:$1048576,ROW(),FALSE)</f>
        <v>0</v>
      </c>
      <c r="AC8663" s="580">
        <f>HLOOKUP("*"&amp;'Output annual'!$AC$2&amp;'Output annual'!$AD$2&amp;"*FangerPMV(Hourly)",'Eplus results'!$1:$1048576,ROW(),FALSE)</f>
        <v>0</v>
      </c>
      <c r="AD8663" s="580">
        <f t="shared" si="711"/>
        <v>5</v>
      </c>
      <c r="AE8663" s="580">
        <f t="shared" si="712"/>
        <v>2.5</v>
      </c>
      <c r="AF8663" s="580">
        <f t="shared" si="713"/>
        <v>2.5</v>
      </c>
      <c r="AG8663" s="580">
        <f t="shared" si="714"/>
        <v>0</v>
      </c>
      <c r="AH8663" s="580">
        <f t="shared" si="715"/>
        <v>0</v>
      </c>
    </row>
    <row r="8664" spans="28:34">
      <c r="AB8664" s="580">
        <f>HLOOKUP("*"&amp;'Output annual'!$AC$2&amp;'Output annual'!$AD$2&amp;"*Zone People Number Of Occupants [](Hourly)",'Eplus results'!$1:$1048576,ROW(),FALSE)</f>
        <v>0</v>
      </c>
      <c r="AC8664" s="580">
        <f>HLOOKUP("*"&amp;'Output annual'!$AC$2&amp;'Output annual'!$AD$2&amp;"*FangerPMV(Hourly)",'Eplus results'!$1:$1048576,ROW(),FALSE)</f>
        <v>0</v>
      </c>
      <c r="AD8664" s="580">
        <f t="shared" si="711"/>
        <v>5</v>
      </c>
      <c r="AE8664" s="580">
        <f t="shared" si="712"/>
        <v>2.5</v>
      </c>
      <c r="AF8664" s="580">
        <f t="shared" si="713"/>
        <v>2.5</v>
      </c>
      <c r="AG8664" s="580">
        <f t="shared" si="714"/>
        <v>0</v>
      </c>
      <c r="AH8664" s="580">
        <f t="shared" si="715"/>
        <v>0</v>
      </c>
    </row>
    <row r="8665" spans="28:34">
      <c r="AB8665" s="580">
        <f>HLOOKUP("*"&amp;'Output annual'!$AC$2&amp;'Output annual'!$AD$2&amp;"*Zone People Number Of Occupants [](Hourly)",'Eplus results'!$1:$1048576,ROW(),FALSE)</f>
        <v>0</v>
      </c>
      <c r="AC8665" s="580">
        <f>HLOOKUP("*"&amp;'Output annual'!$AC$2&amp;'Output annual'!$AD$2&amp;"*FangerPMV(Hourly)",'Eplus results'!$1:$1048576,ROW(),FALSE)</f>
        <v>0</v>
      </c>
      <c r="AD8665" s="580">
        <f t="shared" si="711"/>
        <v>5</v>
      </c>
      <c r="AE8665" s="580">
        <f t="shared" si="712"/>
        <v>2.5</v>
      </c>
      <c r="AF8665" s="580">
        <f t="shared" si="713"/>
        <v>2.5</v>
      </c>
      <c r="AG8665" s="580">
        <f t="shared" si="714"/>
        <v>0</v>
      </c>
      <c r="AH8665" s="580">
        <f t="shared" si="715"/>
        <v>0</v>
      </c>
    </row>
    <row r="8666" spans="28:34">
      <c r="AB8666" s="580">
        <f>HLOOKUP("*"&amp;'Output annual'!$AC$2&amp;'Output annual'!$AD$2&amp;"*Zone People Number Of Occupants [](Hourly)",'Eplus results'!$1:$1048576,ROW(),FALSE)</f>
        <v>0</v>
      </c>
      <c r="AC8666" s="580">
        <f>HLOOKUP("*"&amp;'Output annual'!$AC$2&amp;'Output annual'!$AD$2&amp;"*FangerPMV(Hourly)",'Eplus results'!$1:$1048576,ROW(),FALSE)</f>
        <v>0</v>
      </c>
      <c r="AD8666" s="580">
        <f t="shared" si="711"/>
        <v>5</v>
      </c>
      <c r="AE8666" s="580">
        <f t="shared" si="712"/>
        <v>2.5</v>
      </c>
      <c r="AF8666" s="580">
        <f t="shared" si="713"/>
        <v>2.5</v>
      </c>
      <c r="AG8666" s="580">
        <f t="shared" si="714"/>
        <v>0</v>
      </c>
      <c r="AH8666" s="580">
        <f t="shared" si="715"/>
        <v>0</v>
      </c>
    </row>
    <row r="8667" spans="28:34">
      <c r="AB8667" s="580">
        <f>HLOOKUP("*"&amp;'Output annual'!$AC$2&amp;'Output annual'!$AD$2&amp;"*Zone People Number Of Occupants [](Hourly)",'Eplus results'!$1:$1048576,ROW(),FALSE)</f>
        <v>0</v>
      </c>
      <c r="AC8667" s="580">
        <f>HLOOKUP("*"&amp;'Output annual'!$AC$2&amp;'Output annual'!$AD$2&amp;"*FangerPMV(Hourly)",'Eplus results'!$1:$1048576,ROW(),FALSE)</f>
        <v>0</v>
      </c>
      <c r="AD8667" s="580">
        <f t="shared" si="711"/>
        <v>5</v>
      </c>
      <c r="AE8667" s="580">
        <f t="shared" si="712"/>
        <v>2.5</v>
      </c>
      <c r="AF8667" s="580">
        <f t="shared" si="713"/>
        <v>2.5</v>
      </c>
      <c r="AG8667" s="580">
        <f t="shared" si="714"/>
        <v>0</v>
      </c>
      <c r="AH8667" s="580">
        <f t="shared" si="715"/>
        <v>0</v>
      </c>
    </row>
    <row r="8668" spans="28:34">
      <c r="AB8668" s="580">
        <f>HLOOKUP("*"&amp;'Output annual'!$AC$2&amp;'Output annual'!$AD$2&amp;"*Zone People Number Of Occupants [](Hourly)",'Eplus results'!$1:$1048576,ROW(),FALSE)</f>
        <v>0</v>
      </c>
      <c r="AC8668" s="580">
        <f>HLOOKUP("*"&amp;'Output annual'!$AC$2&amp;'Output annual'!$AD$2&amp;"*FangerPMV(Hourly)",'Eplus results'!$1:$1048576,ROW(),FALSE)</f>
        <v>0</v>
      </c>
      <c r="AD8668" s="580">
        <f t="shared" si="711"/>
        <v>5</v>
      </c>
      <c r="AE8668" s="580">
        <f t="shared" si="712"/>
        <v>2.5</v>
      </c>
      <c r="AF8668" s="580">
        <f t="shared" si="713"/>
        <v>2.5</v>
      </c>
      <c r="AG8668" s="580">
        <f t="shared" si="714"/>
        <v>0</v>
      </c>
      <c r="AH8668" s="580">
        <f t="shared" si="715"/>
        <v>0</v>
      </c>
    </row>
    <row r="8669" spans="28:34">
      <c r="AB8669" s="580">
        <f>HLOOKUP("*"&amp;'Output annual'!$AC$2&amp;'Output annual'!$AD$2&amp;"*Zone People Number Of Occupants [](Hourly)",'Eplus results'!$1:$1048576,ROW(),FALSE)</f>
        <v>0</v>
      </c>
      <c r="AC8669" s="580">
        <f>HLOOKUP("*"&amp;'Output annual'!$AC$2&amp;'Output annual'!$AD$2&amp;"*FangerPMV(Hourly)",'Eplus results'!$1:$1048576,ROW(),FALSE)</f>
        <v>0</v>
      </c>
      <c r="AD8669" s="580">
        <f t="shared" si="711"/>
        <v>5</v>
      </c>
      <c r="AE8669" s="580">
        <f t="shared" si="712"/>
        <v>2.5</v>
      </c>
      <c r="AF8669" s="580">
        <f t="shared" si="713"/>
        <v>2.5</v>
      </c>
      <c r="AG8669" s="580">
        <f t="shared" si="714"/>
        <v>0</v>
      </c>
      <c r="AH8669" s="580">
        <f t="shared" si="715"/>
        <v>0</v>
      </c>
    </row>
    <row r="8670" spans="28:34">
      <c r="AB8670" s="580">
        <f>HLOOKUP("*"&amp;'Output annual'!$AC$2&amp;'Output annual'!$AD$2&amp;"*Zone People Number Of Occupants [](Hourly)",'Eplus results'!$1:$1048576,ROW(),FALSE)</f>
        <v>0</v>
      </c>
      <c r="AC8670" s="580">
        <f>HLOOKUP("*"&amp;'Output annual'!$AC$2&amp;'Output annual'!$AD$2&amp;"*FangerPMV(Hourly)",'Eplus results'!$1:$1048576,ROW(),FALSE)</f>
        <v>0</v>
      </c>
      <c r="AD8670" s="580">
        <f t="shared" si="711"/>
        <v>5</v>
      </c>
      <c r="AE8670" s="580">
        <f t="shared" si="712"/>
        <v>2.5</v>
      </c>
      <c r="AF8670" s="580">
        <f t="shared" si="713"/>
        <v>2.5</v>
      </c>
      <c r="AG8670" s="580">
        <f t="shared" si="714"/>
        <v>0</v>
      </c>
      <c r="AH8670" s="580">
        <f t="shared" si="715"/>
        <v>0</v>
      </c>
    </row>
    <row r="8671" spans="28:34">
      <c r="AB8671" s="580">
        <f>HLOOKUP("*"&amp;'Output annual'!$AC$2&amp;'Output annual'!$AD$2&amp;"*Zone People Number Of Occupants [](Hourly)",'Eplus results'!$1:$1048576,ROW(),FALSE)</f>
        <v>0</v>
      </c>
      <c r="AC8671" s="580">
        <f>HLOOKUP("*"&amp;'Output annual'!$AC$2&amp;'Output annual'!$AD$2&amp;"*FangerPMV(Hourly)",'Eplus results'!$1:$1048576,ROW(),FALSE)</f>
        <v>0</v>
      </c>
      <c r="AD8671" s="580">
        <f t="shared" si="711"/>
        <v>5</v>
      </c>
      <c r="AE8671" s="580">
        <f t="shared" si="712"/>
        <v>2.5</v>
      </c>
      <c r="AF8671" s="580">
        <f t="shared" si="713"/>
        <v>2.5</v>
      </c>
      <c r="AG8671" s="580">
        <f t="shared" si="714"/>
        <v>0</v>
      </c>
      <c r="AH8671" s="580">
        <f t="shared" si="715"/>
        <v>0</v>
      </c>
    </row>
    <row r="8672" spans="28:34">
      <c r="AB8672" s="580">
        <f>HLOOKUP("*"&amp;'Output annual'!$AC$2&amp;'Output annual'!$AD$2&amp;"*Zone People Number Of Occupants [](Hourly)",'Eplus results'!$1:$1048576,ROW(),FALSE)</f>
        <v>0</v>
      </c>
      <c r="AC8672" s="580">
        <f>HLOOKUP("*"&amp;'Output annual'!$AC$2&amp;'Output annual'!$AD$2&amp;"*FangerPMV(Hourly)",'Eplus results'!$1:$1048576,ROW(),FALSE)</f>
        <v>0</v>
      </c>
      <c r="AD8672" s="580">
        <f t="shared" si="711"/>
        <v>5</v>
      </c>
      <c r="AE8672" s="580">
        <f t="shared" si="712"/>
        <v>2.5</v>
      </c>
      <c r="AF8672" s="580">
        <f t="shared" si="713"/>
        <v>2.5</v>
      </c>
      <c r="AG8672" s="580">
        <f t="shared" si="714"/>
        <v>0</v>
      </c>
      <c r="AH8672" s="580">
        <f t="shared" si="715"/>
        <v>0</v>
      </c>
    </row>
    <row r="8673" spans="28:34">
      <c r="AB8673" s="580">
        <f>HLOOKUP("*"&amp;'Output annual'!$AC$2&amp;'Output annual'!$AD$2&amp;"*Zone People Number Of Occupants [](Hourly)",'Eplus results'!$1:$1048576,ROW(),FALSE)</f>
        <v>0</v>
      </c>
      <c r="AC8673" s="580">
        <f>HLOOKUP("*"&amp;'Output annual'!$AC$2&amp;'Output annual'!$AD$2&amp;"*FangerPMV(Hourly)",'Eplus results'!$1:$1048576,ROW(),FALSE)</f>
        <v>0</v>
      </c>
      <c r="AD8673" s="580">
        <f t="shared" si="711"/>
        <v>5</v>
      </c>
      <c r="AE8673" s="580">
        <f t="shared" si="712"/>
        <v>2.5</v>
      </c>
      <c r="AF8673" s="580">
        <f t="shared" si="713"/>
        <v>2.5</v>
      </c>
      <c r="AG8673" s="580">
        <f t="shared" si="714"/>
        <v>0</v>
      </c>
      <c r="AH8673" s="580">
        <f t="shared" si="715"/>
        <v>0</v>
      </c>
    </row>
    <row r="8674" spans="28:34">
      <c r="AB8674" s="580">
        <f>HLOOKUP("*"&amp;'Output annual'!$AC$2&amp;'Output annual'!$AD$2&amp;"*Zone People Number Of Occupants [](Hourly)",'Eplus results'!$1:$1048576,ROW(),FALSE)</f>
        <v>0</v>
      </c>
      <c r="AC8674" s="580">
        <f>HLOOKUP("*"&amp;'Output annual'!$AC$2&amp;'Output annual'!$AD$2&amp;"*FangerPMV(Hourly)",'Eplus results'!$1:$1048576,ROW(),FALSE)</f>
        <v>0</v>
      </c>
      <c r="AD8674" s="580">
        <f t="shared" si="711"/>
        <v>5</v>
      </c>
      <c r="AE8674" s="580">
        <f t="shared" si="712"/>
        <v>2.5</v>
      </c>
      <c r="AF8674" s="580">
        <f t="shared" si="713"/>
        <v>2.5</v>
      </c>
      <c r="AG8674" s="580">
        <f t="shared" si="714"/>
        <v>0</v>
      </c>
      <c r="AH8674" s="580">
        <f t="shared" si="715"/>
        <v>0</v>
      </c>
    </row>
    <row r="8675" spans="28:34">
      <c r="AB8675" s="580">
        <f>HLOOKUP("*"&amp;'Output annual'!$AC$2&amp;'Output annual'!$AD$2&amp;"*Zone People Number Of Occupants [](Hourly)",'Eplus results'!$1:$1048576,ROW(),FALSE)</f>
        <v>0</v>
      </c>
      <c r="AC8675" s="580">
        <f>HLOOKUP("*"&amp;'Output annual'!$AC$2&amp;'Output annual'!$AD$2&amp;"*FangerPMV(Hourly)",'Eplus results'!$1:$1048576,ROW(),FALSE)</f>
        <v>0</v>
      </c>
      <c r="AD8675" s="580">
        <f t="shared" si="711"/>
        <v>5</v>
      </c>
      <c r="AE8675" s="580">
        <f t="shared" si="712"/>
        <v>2.5</v>
      </c>
      <c r="AF8675" s="580">
        <f t="shared" si="713"/>
        <v>2.5</v>
      </c>
      <c r="AG8675" s="580">
        <f t="shared" si="714"/>
        <v>0</v>
      </c>
      <c r="AH8675" s="580">
        <f t="shared" si="715"/>
        <v>0</v>
      </c>
    </row>
    <row r="8676" spans="28:34">
      <c r="AB8676" s="580">
        <f>HLOOKUP("*"&amp;'Output annual'!$AC$2&amp;'Output annual'!$AD$2&amp;"*Zone People Number Of Occupants [](Hourly)",'Eplus results'!$1:$1048576,ROW(),FALSE)</f>
        <v>0</v>
      </c>
      <c r="AC8676" s="580">
        <f>HLOOKUP("*"&amp;'Output annual'!$AC$2&amp;'Output annual'!$AD$2&amp;"*FangerPMV(Hourly)",'Eplus results'!$1:$1048576,ROW(),FALSE)</f>
        <v>0</v>
      </c>
      <c r="AD8676" s="580">
        <f t="shared" si="711"/>
        <v>5</v>
      </c>
      <c r="AE8676" s="580">
        <f t="shared" si="712"/>
        <v>2.5</v>
      </c>
      <c r="AF8676" s="580">
        <f t="shared" si="713"/>
        <v>2.5</v>
      </c>
      <c r="AG8676" s="580">
        <f t="shared" si="714"/>
        <v>0</v>
      </c>
      <c r="AH8676" s="580">
        <f t="shared" si="715"/>
        <v>0</v>
      </c>
    </row>
    <row r="8677" spans="28:34">
      <c r="AB8677" s="580">
        <f>HLOOKUP("*"&amp;'Output annual'!$AC$2&amp;'Output annual'!$AD$2&amp;"*Zone People Number Of Occupants [](Hourly)",'Eplus results'!$1:$1048576,ROW(),FALSE)</f>
        <v>0</v>
      </c>
      <c r="AC8677" s="580">
        <f>HLOOKUP("*"&amp;'Output annual'!$AC$2&amp;'Output annual'!$AD$2&amp;"*FangerPMV(Hourly)",'Eplus results'!$1:$1048576,ROW(),FALSE)</f>
        <v>0</v>
      </c>
      <c r="AD8677" s="580">
        <f t="shared" si="711"/>
        <v>5</v>
      </c>
      <c r="AE8677" s="580">
        <f t="shared" si="712"/>
        <v>2.5</v>
      </c>
      <c r="AF8677" s="580">
        <f t="shared" si="713"/>
        <v>2.5</v>
      </c>
      <c r="AG8677" s="580">
        <f t="shared" si="714"/>
        <v>0</v>
      </c>
      <c r="AH8677" s="580">
        <f t="shared" si="715"/>
        <v>0</v>
      </c>
    </row>
    <row r="8678" spans="28:34">
      <c r="AB8678" s="580">
        <f>HLOOKUP("*"&amp;'Output annual'!$AC$2&amp;'Output annual'!$AD$2&amp;"*Zone People Number Of Occupants [](Hourly)",'Eplus results'!$1:$1048576,ROW(),FALSE)</f>
        <v>0</v>
      </c>
      <c r="AC8678" s="580">
        <f>HLOOKUP("*"&amp;'Output annual'!$AC$2&amp;'Output annual'!$AD$2&amp;"*FangerPMV(Hourly)",'Eplus results'!$1:$1048576,ROW(),FALSE)</f>
        <v>0</v>
      </c>
      <c r="AD8678" s="580">
        <f t="shared" si="711"/>
        <v>5</v>
      </c>
      <c r="AE8678" s="580">
        <f t="shared" si="712"/>
        <v>2.5</v>
      </c>
      <c r="AF8678" s="580">
        <f t="shared" si="713"/>
        <v>2.5</v>
      </c>
      <c r="AG8678" s="580">
        <f t="shared" si="714"/>
        <v>0</v>
      </c>
      <c r="AH8678" s="580">
        <f t="shared" si="715"/>
        <v>0</v>
      </c>
    </row>
    <row r="8679" spans="28:34">
      <c r="AB8679" s="580">
        <f>HLOOKUP("*"&amp;'Output annual'!$AC$2&amp;'Output annual'!$AD$2&amp;"*Zone People Number Of Occupants [](Hourly)",'Eplus results'!$1:$1048576,ROW(),FALSE)</f>
        <v>0</v>
      </c>
      <c r="AC8679" s="580">
        <f>HLOOKUP("*"&amp;'Output annual'!$AC$2&amp;'Output annual'!$AD$2&amp;"*FangerPMV(Hourly)",'Eplus results'!$1:$1048576,ROW(),FALSE)</f>
        <v>0</v>
      </c>
      <c r="AD8679" s="580">
        <f t="shared" si="711"/>
        <v>5</v>
      </c>
      <c r="AE8679" s="580">
        <f t="shared" si="712"/>
        <v>2.5</v>
      </c>
      <c r="AF8679" s="580">
        <f t="shared" si="713"/>
        <v>2.5</v>
      </c>
      <c r="AG8679" s="580">
        <f t="shared" si="714"/>
        <v>0</v>
      </c>
      <c r="AH8679" s="580">
        <f t="shared" si="715"/>
        <v>0</v>
      </c>
    </row>
    <row r="8680" spans="28:34">
      <c r="AB8680" s="580">
        <f>HLOOKUP("*"&amp;'Output annual'!$AC$2&amp;'Output annual'!$AD$2&amp;"*Zone People Number Of Occupants [](Hourly)",'Eplus results'!$1:$1048576,ROW(),FALSE)</f>
        <v>0</v>
      </c>
      <c r="AC8680" s="580">
        <f>HLOOKUP("*"&amp;'Output annual'!$AC$2&amp;'Output annual'!$AD$2&amp;"*FangerPMV(Hourly)",'Eplus results'!$1:$1048576,ROW(),FALSE)</f>
        <v>0</v>
      </c>
      <c r="AD8680" s="580">
        <f t="shared" si="711"/>
        <v>5</v>
      </c>
      <c r="AE8680" s="580">
        <f t="shared" si="712"/>
        <v>2.5</v>
      </c>
      <c r="AF8680" s="580">
        <f t="shared" si="713"/>
        <v>2.5</v>
      </c>
      <c r="AG8680" s="580">
        <f t="shared" si="714"/>
        <v>0</v>
      </c>
      <c r="AH8680" s="580">
        <f t="shared" si="715"/>
        <v>0</v>
      </c>
    </row>
    <row r="8681" spans="28:34">
      <c r="AB8681" s="580">
        <f>HLOOKUP("*"&amp;'Output annual'!$AC$2&amp;'Output annual'!$AD$2&amp;"*Zone People Number Of Occupants [](Hourly)",'Eplus results'!$1:$1048576,ROW(),FALSE)</f>
        <v>0</v>
      </c>
      <c r="AC8681" s="580">
        <f>HLOOKUP("*"&amp;'Output annual'!$AC$2&amp;'Output annual'!$AD$2&amp;"*FangerPMV(Hourly)",'Eplus results'!$1:$1048576,ROW(),FALSE)</f>
        <v>0</v>
      </c>
      <c r="AD8681" s="580">
        <f t="shared" si="711"/>
        <v>5</v>
      </c>
      <c r="AE8681" s="580">
        <f t="shared" si="712"/>
        <v>2.5</v>
      </c>
      <c r="AF8681" s="580">
        <f t="shared" si="713"/>
        <v>2.5</v>
      </c>
      <c r="AG8681" s="580">
        <f t="shared" si="714"/>
        <v>0</v>
      </c>
      <c r="AH8681" s="580">
        <f t="shared" si="715"/>
        <v>0</v>
      </c>
    </row>
    <row r="8682" spans="28:34">
      <c r="AB8682" s="580">
        <f>HLOOKUP("*"&amp;'Output annual'!$AC$2&amp;'Output annual'!$AD$2&amp;"*Zone People Number Of Occupants [](Hourly)",'Eplus results'!$1:$1048576,ROW(),FALSE)</f>
        <v>0</v>
      </c>
      <c r="AC8682" s="580">
        <f>HLOOKUP("*"&amp;'Output annual'!$AC$2&amp;'Output annual'!$AD$2&amp;"*FangerPMV(Hourly)",'Eplus results'!$1:$1048576,ROW(),FALSE)</f>
        <v>0</v>
      </c>
      <c r="AD8682" s="580">
        <f t="shared" si="711"/>
        <v>5</v>
      </c>
      <c r="AE8682" s="580">
        <f t="shared" si="712"/>
        <v>2.5</v>
      </c>
      <c r="AF8682" s="580">
        <f t="shared" si="713"/>
        <v>2.5</v>
      </c>
      <c r="AG8682" s="580">
        <f t="shared" si="714"/>
        <v>0</v>
      </c>
      <c r="AH8682" s="580">
        <f t="shared" si="715"/>
        <v>0</v>
      </c>
    </row>
    <row r="8683" spans="28:34">
      <c r="AB8683" s="580">
        <f>HLOOKUP("*"&amp;'Output annual'!$AC$2&amp;'Output annual'!$AD$2&amp;"*Zone People Number Of Occupants [](Hourly)",'Eplus results'!$1:$1048576,ROW(),FALSE)</f>
        <v>0</v>
      </c>
      <c r="AC8683" s="580">
        <f>HLOOKUP("*"&amp;'Output annual'!$AC$2&amp;'Output annual'!$AD$2&amp;"*FangerPMV(Hourly)",'Eplus results'!$1:$1048576,ROW(),FALSE)</f>
        <v>0</v>
      </c>
      <c r="AD8683" s="580">
        <f t="shared" si="711"/>
        <v>5</v>
      </c>
      <c r="AE8683" s="580">
        <f t="shared" si="712"/>
        <v>2.5</v>
      </c>
      <c r="AF8683" s="580">
        <f t="shared" si="713"/>
        <v>2.5</v>
      </c>
      <c r="AG8683" s="580">
        <f t="shared" si="714"/>
        <v>0</v>
      </c>
      <c r="AH8683" s="580">
        <f t="shared" si="715"/>
        <v>0</v>
      </c>
    </row>
    <row r="8684" spans="28:34">
      <c r="AB8684" s="580">
        <f>HLOOKUP("*"&amp;'Output annual'!$AC$2&amp;'Output annual'!$AD$2&amp;"*Zone People Number Of Occupants [](Hourly)",'Eplus results'!$1:$1048576,ROW(),FALSE)</f>
        <v>0</v>
      </c>
      <c r="AC8684" s="580">
        <f>HLOOKUP("*"&amp;'Output annual'!$AC$2&amp;'Output annual'!$AD$2&amp;"*FangerPMV(Hourly)",'Eplus results'!$1:$1048576,ROW(),FALSE)</f>
        <v>0</v>
      </c>
      <c r="AD8684" s="580">
        <f t="shared" si="711"/>
        <v>5</v>
      </c>
      <c r="AE8684" s="580">
        <f t="shared" si="712"/>
        <v>2.5</v>
      </c>
      <c r="AF8684" s="580">
        <f t="shared" si="713"/>
        <v>2.5</v>
      </c>
      <c r="AG8684" s="580">
        <f t="shared" si="714"/>
        <v>0</v>
      </c>
      <c r="AH8684" s="580">
        <f t="shared" si="715"/>
        <v>0</v>
      </c>
    </row>
    <row r="8685" spans="28:34">
      <c r="AB8685" s="580">
        <f>HLOOKUP("*"&amp;'Output annual'!$AC$2&amp;'Output annual'!$AD$2&amp;"*Zone People Number Of Occupants [](Hourly)",'Eplus results'!$1:$1048576,ROW(),FALSE)</f>
        <v>0</v>
      </c>
      <c r="AC8685" s="580">
        <f>HLOOKUP("*"&amp;'Output annual'!$AC$2&amp;'Output annual'!$AD$2&amp;"*FangerPMV(Hourly)",'Eplus results'!$1:$1048576,ROW(),FALSE)</f>
        <v>0</v>
      </c>
      <c r="AD8685" s="580">
        <f t="shared" si="711"/>
        <v>5</v>
      </c>
      <c r="AE8685" s="580">
        <f t="shared" si="712"/>
        <v>2.5</v>
      </c>
      <c r="AF8685" s="580">
        <f t="shared" si="713"/>
        <v>2.5</v>
      </c>
      <c r="AG8685" s="580">
        <f t="shared" si="714"/>
        <v>0</v>
      </c>
      <c r="AH8685" s="580">
        <f t="shared" si="715"/>
        <v>0</v>
      </c>
    </row>
    <row r="8686" spans="28:34">
      <c r="AB8686" s="580">
        <f>HLOOKUP("*"&amp;'Output annual'!$AC$2&amp;'Output annual'!$AD$2&amp;"*Zone People Number Of Occupants [](Hourly)",'Eplus results'!$1:$1048576,ROW(),FALSE)</f>
        <v>0</v>
      </c>
      <c r="AC8686" s="580">
        <f>HLOOKUP("*"&amp;'Output annual'!$AC$2&amp;'Output annual'!$AD$2&amp;"*FangerPMV(Hourly)",'Eplus results'!$1:$1048576,ROW(),FALSE)</f>
        <v>0</v>
      </c>
      <c r="AD8686" s="580">
        <f t="shared" si="711"/>
        <v>5</v>
      </c>
      <c r="AE8686" s="580">
        <f t="shared" si="712"/>
        <v>2.5</v>
      </c>
      <c r="AF8686" s="580">
        <f t="shared" si="713"/>
        <v>2.5</v>
      </c>
      <c r="AG8686" s="580">
        <f t="shared" si="714"/>
        <v>0</v>
      </c>
      <c r="AH8686" s="580">
        <f t="shared" si="715"/>
        <v>0</v>
      </c>
    </row>
    <row r="8687" spans="28:34">
      <c r="AB8687" s="580">
        <f>HLOOKUP("*"&amp;'Output annual'!$AC$2&amp;'Output annual'!$AD$2&amp;"*Zone People Number Of Occupants [](Hourly)",'Eplus results'!$1:$1048576,ROW(),FALSE)</f>
        <v>0</v>
      </c>
      <c r="AC8687" s="580">
        <f>HLOOKUP("*"&amp;'Output annual'!$AC$2&amp;'Output annual'!$AD$2&amp;"*FangerPMV(Hourly)",'Eplus results'!$1:$1048576,ROW(),FALSE)</f>
        <v>0</v>
      </c>
      <c r="AD8687" s="580">
        <f t="shared" si="711"/>
        <v>5</v>
      </c>
      <c r="AE8687" s="580">
        <f t="shared" si="712"/>
        <v>2.5</v>
      </c>
      <c r="AF8687" s="580">
        <f t="shared" si="713"/>
        <v>2.5</v>
      </c>
      <c r="AG8687" s="580">
        <f t="shared" si="714"/>
        <v>0</v>
      </c>
      <c r="AH8687" s="580">
        <f t="shared" si="715"/>
        <v>0</v>
      </c>
    </row>
    <row r="8688" spans="28:34">
      <c r="AB8688" s="580">
        <f>HLOOKUP("*"&amp;'Output annual'!$AC$2&amp;'Output annual'!$AD$2&amp;"*Zone People Number Of Occupants [](Hourly)",'Eplus results'!$1:$1048576,ROW(),FALSE)</f>
        <v>0</v>
      </c>
      <c r="AC8688" s="580">
        <f>HLOOKUP("*"&amp;'Output annual'!$AC$2&amp;'Output annual'!$AD$2&amp;"*FangerPMV(Hourly)",'Eplus results'!$1:$1048576,ROW(),FALSE)</f>
        <v>0</v>
      </c>
      <c r="AD8688" s="580">
        <f t="shared" si="711"/>
        <v>5</v>
      </c>
      <c r="AE8688" s="580">
        <f t="shared" si="712"/>
        <v>2.5</v>
      </c>
      <c r="AF8688" s="580">
        <f t="shared" si="713"/>
        <v>2.5</v>
      </c>
      <c r="AG8688" s="580">
        <f t="shared" si="714"/>
        <v>0</v>
      </c>
      <c r="AH8688" s="580">
        <f t="shared" si="715"/>
        <v>0</v>
      </c>
    </row>
    <row r="8689" spans="28:34">
      <c r="AB8689" s="580">
        <f>HLOOKUP("*"&amp;'Output annual'!$AC$2&amp;'Output annual'!$AD$2&amp;"*Zone People Number Of Occupants [](Hourly)",'Eplus results'!$1:$1048576,ROW(),FALSE)</f>
        <v>0</v>
      </c>
      <c r="AC8689" s="580">
        <f>HLOOKUP("*"&amp;'Output annual'!$AC$2&amp;'Output annual'!$AD$2&amp;"*FangerPMV(Hourly)",'Eplus results'!$1:$1048576,ROW(),FALSE)</f>
        <v>0</v>
      </c>
      <c r="AD8689" s="580">
        <f t="shared" si="711"/>
        <v>5</v>
      </c>
      <c r="AE8689" s="580">
        <f t="shared" si="712"/>
        <v>2.5</v>
      </c>
      <c r="AF8689" s="580">
        <f t="shared" si="713"/>
        <v>2.5</v>
      </c>
      <c r="AG8689" s="580">
        <f t="shared" si="714"/>
        <v>0</v>
      </c>
      <c r="AH8689" s="580">
        <f t="shared" si="715"/>
        <v>0</v>
      </c>
    </row>
    <row r="8690" spans="28:34">
      <c r="AB8690" s="580">
        <f>HLOOKUP("*"&amp;'Output annual'!$AC$2&amp;'Output annual'!$AD$2&amp;"*Zone People Number Of Occupants [](Hourly)",'Eplus results'!$1:$1048576,ROW(),FALSE)</f>
        <v>0</v>
      </c>
      <c r="AC8690" s="580">
        <f>HLOOKUP("*"&amp;'Output annual'!$AC$2&amp;'Output annual'!$AD$2&amp;"*FangerPMV(Hourly)",'Eplus results'!$1:$1048576,ROW(),FALSE)</f>
        <v>0</v>
      </c>
      <c r="AD8690" s="580">
        <f t="shared" si="711"/>
        <v>5</v>
      </c>
      <c r="AE8690" s="580">
        <f t="shared" si="712"/>
        <v>2.5</v>
      </c>
      <c r="AF8690" s="580">
        <f t="shared" si="713"/>
        <v>2.5</v>
      </c>
      <c r="AG8690" s="580">
        <f t="shared" si="714"/>
        <v>0</v>
      </c>
      <c r="AH8690" s="580">
        <f t="shared" si="715"/>
        <v>0</v>
      </c>
    </row>
    <row r="8691" spans="28:34">
      <c r="AB8691" s="580">
        <f>HLOOKUP("*"&amp;'Output annual'!$AC$2&amp;'Output annual'!$AD$2&amp;"*Zone People Number Of Occupants [](Hourly)",'Eplus results'!$1:$1048576,ROW(),FALSE)</f>
        <v>0</v>
      </c>
      <c r="AC8691" s="580">
        <f>HLOOKUP("*"&amp;'Output annual'!$AC$2&amp;'Output annual'!$AD$2&amp;"*FangerPMV(Hourly)",'Eplus results'!$1:$1048576,ROW(),FALSE)</f>
        <v>0</v>
      </c>
      <c r="AD8691" s="580">
        <f t="shared" si="711"/>
        <v>5</v>
      </c>
      <c r="AE8691" s="580">
        <f t="shared" si="712"/>
        <v>2.5</v>
      </c>
      <c r="AF8691" s="580">
        <f t="shared" si="713"/>
        <v>2.5</v>
      </c>
      <c r="AG8691" s="580">
        <f t="shared" si="714"/>
        <v>0</v>
      </c>
      <c r="AH8691" s="580">
        <f t="shared" si="715"/>
        <v>0</v>
      </c>
    </row>
    <row r="8692" spans="28:34">
      <c r="AB8692" s="580">
        <f>HLOOKUP("*"&amp;'Output annual'!$AC$2&amp;'Output annual'!$AD$2&amp;"*Zone People Number Of Occupants [](Hourly)",'Eplus results'!$1:$1048576,ROW(),FALSE)</f>
        <v>0</v>
      </c>
      <c r="AC8692" s="580">
        <f>HLOOKUP("*"&amp;'Output annual'!$AC$2&amp;'Output annual'!$AD$2&amp;"*FangerPMV(Hourly)",'Eplus results'!$1:$1048576,ROW(),FALSE)</f>
        <v>0</v>
      </c>
      <c r="AD8692" s="580">
        <f t="shared" si="711"/>
        <v>5</v>
      </c>
      <c r="AE8692" s="580">
        <f t="shared" si="712"/>
        <v>2.5</v>
      </c>
      <c r="AF8692" s="580">
        <f t="shared" si="713"/>
        <v>2.5</v>
      </c>
      <c r="AG8692" s="580">
        <f t="shared" si="714"/>
        <v>0</v>
      </c>
      <c r="AH8692" s="580">
        <f t="shared" si="715"/>
        <v>0</v>
      </c>
    </row>
    <row r="8693" spans="28:34">
      <c r="AB8693" s="580">
        <f>HLOOKUP("*"&amp;'Output annual'!$AC$2&amp;'Output annual'!$AD$2&amp;"*Zone People Number Of Occupants [](Hourly)",'Eplus results'!$1:$1048576,ROW(),FALSE)</f>
        <v>0</v>
      </c>
      <c r="AC8693" s="580">
        <f>HLOOKUP("*"&amp;'Output annual'!$AC$2&amp;'Output annual'!$AD$2&amp;"*FangerPMV(Hourly)",'Eplus results'!$1:$1048576,ROW(),FALSE)</f>
        <v>0</v>
      </c>
      <c r="AD8693" s="580">
        <f t="shared" si="711"/>
        <v>5</v>
      </c>
      <c r="AE8693" s="580">
        <f t="shared" si="712"/>
        <v>2.5</v>
      </c>
      <c r="AF8693" s="580">
        <f t="shared" si="713"/>
        <v>2.5</v>
      </c>
      <c r="AG8693" s="580">
        <f t="shared" si="714"/>
        <v>0</v>
      </c>
      <c r="AH8693" s="580">
        <f t="shared" si="715"/>
        <v>0</v>
      </c>
    </row>
    <row r="8694" spans="28:34">
      <c r="AB8694" s="580">
        <f>HLOOKUP("*"&amp;'Output annual'!$AC$2&amp;'Output annual'!$AD$2&amp;"*Zone People Number Of Occupants [](Hourly)",'Eplus results'!$1:$1048576,ROW(),FALSE)</f>
        <v>0</v>
      </c>
      <c r="AC8694" s="580">
        <f>HLOOKUP("*"&amp;'Output annual'!$AC$2&amp;'Output annual'!$AD$2&amp;"*FangerPMV(Hourly)",'Eplus results'!$1:$1048576,ROW(),FALSE)</f>
        <v>0</v>
      </c>
      <c r="AD8694" s="580">
        <f t="shared" si="711"/>
        <v>5</v>
      </c>
      <c r="AE8694" s="580">
        <f t="shared" si="712"/>
        <v>2.5</v>
      </c>
      <c r="AF8694" s="580">
        <f t="shared" si="713"/>
        <v>2.5</v>
      </c>
      <c r="AG8694" s="580">
        <f t="shared" si="714"/>
        <v>0</v>
      </c>
      <c r="AH8694" s="580">
        <f t="shared" si="715"/>
        <v>0</v>
      </c>
    </row>
    <row r="8695" spans="28:34">
      <c r="AB8695" s="580">
        <f>HLOOKUP("*"&amp;'Output annual'!$AC$2&amp;'Output annual'!$AD$2&amp;"*Zone People Number Of Occupants [](Hourly)",'Eplus results'!$1:$1048576,ROW(),FALSE)</f>
        <v>0</v>
      </c>
      <c r="AC8695" s="580">
        <f>HLOOKUP("*"&amp;'Output annual'!$AC$2&amp;'Output annual'!$AD$2&amp;"*FangerPMV(Hourly)",'Eplus results'!$1:$1048576,ROW(),FALSE)</f>
        <v>0</v>
      </c>
      <c r="AD8695" s="580">
        <f t="shared" si="711"/>
        <v>5</v>
      </c>
      <c r="AE8695" s="580">
        <f t="shared" si="712"/>
        <v>2.5</v>
      </c>
      <c r="AF8695" s="580">
        <f t="shared" si="713"/>
        <v>2.5</v>
      </c>
      <c r="AG8695" s="580">
        <f t="shared" si="714"/>
        <v>0</v>
      </c>
      <c r="AH8695" s="580">
        <f t="shared" si="715"/>
        <v>0</v>
      </c>
    </row>
    <row r="8696" spans="28:34">
      <c r="AB8696" s="580">
        <f>HLOOKUP("*"&amp;'Output annual'!$AC$2&amp;'Output annual'!$AD$2&amp;"*Zone People Number Of Occupants [](Hourly)",'Eplus results'!$1:$1048576,ROW(),FALSE)</f>
        <v>0</v>
      </c>
      <c r="AC8696" s="580">
        <f>HLOOKUP("*"&amp;'Output annual'!$AC$2&amp;'Output annual'!$AD$2&amp;"*FangerPMV(Hourly)",'Eplus results'!$1:$1048576,ROW(),FALSE)</f>
        <v>0</v>
      </c>
      <c r="AD8696" s="580">
        <f t="shared" si="711"/>
        <v>5</v>
      </c>
      <c r="AE8696" s="580">
        <f t="shared" si="712"/>
        <v>2.5</v>
      </c>
      <c r="AF8696" s="580">
        <f t="shared" si="713"/>
        <v>2.5</v>
      </c>
      <c r="AG8696" s="580">
        <f t="shared" si="714"/>
        <v>0</v>
      </c>
      <c r="AH8696" s="580">
        <f t="shared" si="715"/>
        <v>0</v>
      </c>
    </row>
    <row r="8697" spans="28:34">
      <c r="AB8697" s="580">
        <f>HLOOKUP("*"&amp;'Output annual'!$AC$2&amp;'Output annual'!$AD$2&amp;"*Zone People Number Of Occupants [](Hourly)",'Eplus results'!$1:$1048576,ROW(),FALSE)</f>
        <v>0</v>
      </c>
      <c r="AC8697" s="580">
        <f>HLOOKUP("*"&amp;'Output annual'!$AC$2&amp;'Output annual'!$AD$2&amp;"*FangerPMV(Hourly)",'Eplus results'!$1:$1048576,ROW(),FALSE)</f>
        <v>0</v>
      </c>
      <c r="AD8697" s="580">
        <f t="shared" si="711"/>
        <v>5</v>
      </c>
      <c r="AE8697" s="580">
        <f t="shared" si="712"/>
        <v>2.5</v>
      </c>
      <c r="AF8697" s="580">
        <f t="shared" si="713"/>
        <v>2.5</v>
      </c>
      <c r="AG8697" s="580">
        <f t="shared" si="714"/>
        <v>0</v>
      </c>
      <c r="AH8697" s="580">
        <f t="shared" si="715"/>
        <v>0</v>
      </c>
    </row>
    <row r="8698" spans="28:34">
      <c r="AB8698" s="580">
        <f>HLOOKUP("*"&amp;'Output annual'!$AC$2&amp;'Output annual'!$AD$2&amp;"*Zone People Number Of Occupants [](Hourly)",'Eplus results'!$1:$1048576,ROW(),FALSE)</f>
        <v>0</v>
      </c>
      <c r="AC8698" s="580">
        <f>HLOOKUP("*"&amp;'Output annual'!$AC$2&amp;'Output annual'!$AD$2&amp;"*FangerPMV(Hourly)",'Eplus results'!$1:$1048576,ROW(),FALSE)</f>
        <v>0</v>
      </c>
      <c r="AD8698" s="580">
        <f t="shared" si="711"/>
        <v>5</v>
      </c>
      <c r="AE8698" s="580">
        <f t="shared" si="712"/>
        <v>2.5</v>
      </c>
      <c r="AF8698" s="580">
        <f t="shared" si="713"/>
        <v>2.5</v>
      </c>
      <c r="AG8698" s="580">
        <f t="shared" si="714"/>
        <v>0</v>
      </c>
      <c r="AH8698" s="580">
        <f t="shared" si="715"/>
        <v>0</v>
      </c>
    </row>
    <row r="8699" spans="28:34">
      <c r="AB8699" s="580">
        <f>HLOOKUP("*"&amp;'Output annual'!$AC$2&amp;'Output annual'!$AD$2&amp;"*Zone People Number Of Occupants [](Hourly)",'Eplus results'!$1:$1048576,ROW(),FALSE)</f>
        <v>0</v>
      </c>
      <c r="AC8699" s="580">
        <f>HLOOKUP("*"&amp;'Output annual'!$AC$2&amp;'Output annual'!$AD$2&amp;"*FangerPMV(Hourly)",'Eplus results'!$1:$1048576,ROW(),FALSE)</f>
        <v>0</v>
      </c>
      <c r="AD8699" s="580">
        <f t="shared" si="711"/>
        <v>5</v>
      </c>
      <c r="AE8699" s="580">
        <f t="shared" si="712"/>
        <v>2.5</v>
      </c>
      <c r="AF8699" s="580">
        <f t="shared" si="713"/>
        <v>2.5</v>
      </c>
      <c r="AG8699" s="580">
        <f t="shared" si="714"/>
        <v>0</v>
      </c>
      <c r="AH8699" s="580">
        <f t="shared" si="715"/>
        <v>0</v>
      </c>
    </row>
    <row r="8700" spans="28:34">
      <c r="AB8700" s="580">
        <f>HLOOKUP("*"&amp;'Output annual'!$AC$2&amp;'Output annual'!$AD$2&amp;"*Zone People Number Of Occupants [](Hourly)",'Eplus results'!$1:$1048576,ROW(),FALSE)</f>
        <v>0</v>
      </c>
      <c r="AC8700" s="580">
        <f>HLOOKUP("*"&amp;'Output annual'!$AC$2&amp;'Output annual'!$AD$2&amp;"*FangerPMV(Hourly)",'Eplus results'!$1:$1048576,ROW(),FALSE)</f>
        <v>0</v>
      </c>
      <c r="AD8700" s="580">
        <f t="shared" si="711"/>
        <v>5</v>
      </c>
      <c r="AE8700" s="580">
        <f t="shared" si="712"/>
        <v>2.5</v>
      </c>
      <c r="AF8700" s="580">
        <f t="shared" si="713"/>
        <v>2.5</v>
      </c>
      <c r="AG8700" s="580">
        <f t="shared" si="714"/>
        <v>0</v>
      </c>
      <c r="AH8700" s="580">
        <f t="shared" si="715"/>
        <v>0</v>
      </c>
    </row>
    <row r="8701" spans="28:34">
      <c r="AB8701" s="580">
        <f>HLOOKUP("*"&amp;'Output annual'!$AC$2&amp;'Output annual'!$AD$2&amp;"*Zone People Number Of Occupants [](Hourly)",'Eplus results'!$1:$1048576,ROW(),FALSE)</f>
        <v>0</v>
      </c>
      <c r="AC8701" s="580">
        <f>HLOOKUP("*"&amp;'Output annual'!$AC$2&amp;'Output annual'!$AD$2&amp;"*FangerPMV(Hourly)",'Eplus results'!$1:$1048576,ROW(),FALSE)</f>
        <v>0</v>
      </c>
      <c r="AD8701" s="580">
        <f t="shared" si="711"/>
        <v>5</v>
      </c>
      <c r="AE8701" s="580">
        <f t="shared" si="712"/>
        <v>2.5</v>
      </c>
      <c r="AF8701" s="580">
        <f t="shared" si="713"/>
        <v>2.5</v>
      </c>
      <c r="AG8701" s="580">
        <f t="shared" si="714"/>
        <v>0</v>
      </c>
      <c r="AH8701" s="580">
        <f t="shared" si="715"/>
        <v>0</v>
      </c>
    </row>
    <row r="8702" spans="28:34">
      <c r="AB8702" s="580">
        <f>HLOOKUP("*"&amp;'Output annual'!$AC$2&amp;'Output annual'!$AD$2&amp;"*Zone People Number Of Occupants [](Hourly)",'Eplus results'!$1:$1048576,ROW(),FALSE)</f>
        <v>0</v>
      </c>
      <c r="AC8702" s="580">
        <f>HLOOKUP("*"&amp;'Output annual'!$AC$2&amp;'Output annual'!$AD$2&amp;"*FangerPMV(Hourly)",'Eplus results'!$1:$1048576,ROW(),FALSE)</f>
        <v>0</v>
      </c>
      <c r="AD8702" s="580">
        <f t="shared" si="711"/>
        <v>5</v>
      </c>
      <c r="AE8702" s="580">
        <f t="shared" si="712"/>
        <v>2.5</v>
      </c>
      <c r="AF8702" s="580">
        <f t="shared" si="713"/>
        <v>2.5</v>
      </c>
      <c r="AG8702" s="580">
        <f t="shared" si="714"/>
        <v>0</v>
      </c>
      <c r="AH8702" s="580">
        <f t="shared" si="715"/>
        <v>0</v>
      </c>
    </row>
    <row r="8703" spans="28:34">
      <c r="AB8703" s="580">
        <f>HLOOKUP("*"&amp;'Output annual'!$AC$2&amp;'Output annual'!$AD$2&amp;"*Zone People Number Of Occupants [](Hourly)",'Eplus results'!$1:$1048576,ROW(),FALSE)</f>
        <v>0</v>
      </c>
      <c r="AC8703" s="580">
        <f>HLOOKUP("*"&amp;'Output annual'!$AC$2&amp;'Output annual'!$AD$2&amp;"*FangerPMV(Hourly)",'Eplus results'!$1:$1048576,ROW(),FALSE)</f>
        <v>0</v>
      </c>
      <c r="AD8703" s="580">
        <f t="shared" si="711"/>
        <v>5</v>
      </c>
      <c r="AE8703" s="580">
        <f t="shared" si="712"/>
        <v>2.5</v>
      </c>
      <c r="AF8703" s="580">
        <f t="shared" si="713"/>
        <v>2.5</v>
      </c>
      <c r="AG8703" s="580">
        <f t="shared" si="714"/>
        <v>0</v>
      </c>
      <c r="AH8703" s="580">
        <f t="shared" si="715"/>
        <v>0</v>
      </c>
    </row>
    <row r="8704" spans="28:34">
      <c r="AB8704" s="580">
        <f>HLOOKUP("*"&amp;'Output annual'!$AC$2&amp;'Output annual'!$AD$2&amp;"*Zone People Number Of Occupants [](Hourly)",'Eplus results'!$1:$1048576,ROW(),FALSE)</f>
        <v>0</v>
      </c>
      <c r="AC8704" s="580">
        <f>HLOOKUP("*"&amp;'Output annual'!$AC$2&amp;'Output annual'!$AD$2&amp;"*FangerPMV(Hourly)",'Eplus results'!$1:$1048576,ROW(),FALSE)</f>
        <v>0</v>
      </c>
      <c r="AD8704" s="580">
        <f t="shared" si="711"/>
        <v>5</v>
      </c>
      <c r="AE8704" s="580">
        <f t="shared" si="712"/>
        <v>2.5</v>
      </c>
      <c r="AF8704" s="580">
        <f t="shared" si="713"/>
        <v>2.5</v>
      </c>
      <c r="AG8704" s="580">
        <f t="shared" si="714"/>
        <v>0</v>
      </c>
      <c r="AH8704" s="580">
        <f t="shared" si="715"/>
        <v>0</v>
      </c>
    </row>
    <row r="8705" spans="28:34">
      <c r="AB8705" s="580">
        <f>HLOOKUP("*"&amp;'Output annual'!$AC$2&amp;'Output annual'!$AD$2&amp;"*Zone People Number Of Occupants [](Hourly)",'Eplus results'!$1:$1048576,ROW(),FALSE)</f>
        <v>0</v>
      </c>
      <c r="AC8705" s="580">
        <f>HLOOKUP("*"&amp;'Output annual'!$AC$2&amp;'Output annual'!$AD$2&amp;"*FangerPMV(Hourly)",'Eplus results'!$1:$1048576,ROW(),FALSE)</f>
        <v>0</v>
      </c>
      <c r="AD8705" s="580">
        <f t="shared" si="711"/>
        <v>5</v>
      </c>
      <c r="AE8705" s="580">
        <f t="shared" si="712"/>
        <v>2.5</v>
      </c>
      <c r="AF8705" s="580">
        <f t="shared" si="713"/>
        <v>2.5</v>
      </c>
      <c r="AG8705" s="580">
        <f t="shared" si="714"/>
        <v>0</v>
      </c>
      <c r="AH8705" s="580">
        <f t="shared" si="715"/>
        <v>0</v>
      </c>
    </row>
    <row r="8706" spans="28:34">
      <c r="AB8706" s="580">
        <f>HLOOKUP("*"&amp;'Output annual'!$AC$2&amp;'Output annual'!$AD$2&amp;"*Zone People Number Of Occupants [](Hourly)",'Eplus results'!$1:$1048576,ROW(),FALSE)</f>
        <v>0</v>
      </c>
      <c r="AC8706" s="580">
        <f>HLOOKUP("*"&amp;'Output annual'!$AC$2&amp;'Output annual'!$AD$2&amp;"*FangerPMV(Hourly)",'Eplus results'!$1:$1048576,ROW(),FALSE)</f>
        <v>0</v>
      </c>
      <c r="AD8706" s="580">
        <f t="shared" si="711"/>
        <v>5</v>
      </c>
      <c r="AE8706" s="580">
        <f t="shared" si="712"/>
        <v>2.5</v>
      </c>
      <c r="AF8706" s="580">
        <f t="shared" si="713"/>
        <v>2.5</v>
      </c>
      <c r="AG8706" s="580">
        <f t="shared" si="714"/>
        <v>0</v>
      </c>
      <c r="AH8706" s="580">
        <f t="shared" si="715"/>
        <v>0</v>
      </c>
    </row>
    <row r="8707" spans="28:34">
      <c r="AB8707" s="580">
        <f>HLOOKUP("*"&amp;'Output annual'!$AC$2&amp;'Output annual'!$AD$2&amp;"*Zone People Number Of Occupants [](Hourly)",'Eplus results'!$1:$1048576,ROW(),FALSE)</f>
        <v>0</v>
      </c>
      <c r="AC8707" s="580">
        <f>HLOOKUP("*"&amp;'Output annual'!$AC$2&amp;'Output annual'!$AD$2&amp;"*FangerPMV(Hourly)",'Eplus results'!$1:$1048576,ROW(),FALSE)</f>
        <v>0</v>
      </c>
      <c r="AD8707" s="580">
        <f t="shared" ref="AD8707:AD8762" si="716">100-95*EXP(-0.03353*AC8707^4-0.2179*AC8707^2)</f>
        <v>5</v>
      </c>
      <c r="AE8707" s="580">
        <f t="shared" ref="AE8707:AE8762" si="717">AD8707*(1/(1+EXP(-6.3*$AC8707)))</f>
        <v>2.5</v>
      </c>
      <c r="AF8707" s="580">
        <f t="shared" ref="AF8707:AF8762" si="718">(AD8707-AE8707)</f>
        <v>2.5</v>
      </c>
      <c r="AG8707" s="580">
        <f t="shared" ref="AG8707:AG8762" si="719">AE8707*AB8707</f>
        <v>0</v>
      </c>
      <c r="AH8707" s="580">
        <f t="shared" ref="AH8707:AH8762" si="720">AF8707*AB8707</f>
        <v>0</v>
      </c>
    </row>
    <row r="8708" spans="28:34">
      <c r="AB8708" s="580">
        <f>HLOOKUP("*"&amp;'Output annual'!$AC$2&amp;'Output annual'!$AD$2&amp;"*Zone People Number Of Occupants [](Hourly)",'Eplus results'!$1:$1048576,ROW(),FALSE)</f>
        <v>0</v>
      </c>
      <c r="AC8708" s="580">
        <f>HLOOKUP("*"&amp;'Output annual'!$AC$2&amp;'Output annual'!$AD$2&amp;"*FangerPMV(Hourly)",'Eplus results'!$1:$1048576,ROW(),FALSE)</f>
        <v>0</v>
      </c>
      <c r="AD8708" s="580">
        <f t="shared" si="716"/>
        <v>5</v>
      </c>
      <c r="AE8708" s="580">
        <f t="shared" si="717"/>
        <v>2.5</v>
      </c>
      <c r="AF8708" s="580">
        <f t="shared" si="718"/>
        <v>2.5</v>
      </c>
      <c r="AG8708" s="580">
        <f t="shared" si="719"/>
        <v>0</v>
      </c>
      <c r="AH8708" s="580">
        <f t="shared" si="720"/>
        <v>0</v>
      </c>
    </row>
    <row r="8709" spans="28:34">
      <c r="AB8709" s="580">
        <f>HLOOKUP("*"&amp;'Output annual'!$AC$2&amp;'Output annual'!$AD$2&amp;"*Zone People Number Of Occupants [](Hourly)",'Eplus results'!$1:$1048576,ROW(),FALSE)</f>
        <v>0</v>
      </c>
      <c r="AC8709" s="580">
        <f>HLOOKUP("*"&amp;'Output annual'!$AC$2&amp;'Output annual'!$AD$2&amp;"*FangerPMV(Hourly)",'Eplus results'!$1:$1048576,ROW(),FALSE)</f>
        <v>0</v>
      </c>
      <c r="AD8709" s="580">
        <f t="shared" si="716"/>
        <v>5</v>
      </c>
      <c r="AE8709" s="580">
        <f t="shared" si="717"/>
        <v>2.5</v>
      </c>
      <c r="AF8709" s="580">
        <f t="shared" si="718"/>
        <v>2.5</v>
      </c>
      <c r="AG8709" s="580">
        <f t="shared" si="719"/>
        <v>0</v>
      </c>
      <c r="AH8709" s="580">
        <f t="shared" si="720"/>
        <v>0</v>
      </c>
    </row>
    <row r="8710" spans="28:34">
      <c r="AB8710" s="580">
        <f>HLOOKUP("*"&amp;'Output annual'!$AC$2&amp;'Output annual'!$AD$2&amp;"*Zone People Number Of Occupants [](Hourly)",'Eplus results'!$1:$1048576,ROW(),FALSE)</f>
        <v>0</v>
      </c>
      <c r="AC8710" s="580">
        <f>HLOOKUP("*"&amp;'Output annual'!$AC$2&amp;'Output annual'!$AD$2&amp;"*FangerPMV(Hourly)",'Eplus results'!$1:$1048576,ROW(),FALSE)</f>
        <v>0</v>
      </c>
      <c r="AD8710" s="580">
        <f t="shared" si="716"/>
        <v>5</v>
      </c>
      <c r="AE8710" s="580">
        <f t="shared" si="717"/>
        <v>2.5</v>
      </c>
      <c r="AF8710" s="580">
        <f t="shared" si="718"/>
        <v>2.5</v>
      </c>
      <c r="AG8710" s="580">
        <f t="shared" si="719"/>
        <v>0</v>
      </c>
      <c r="AH8710" s="580">
        <f t="shared" si="720"/>
        <v>0</v>
      </c>
    </row>
    <row r="8711" spans="28:34">
      <c r="AB8711" s="580">
        <f>HLOOKUP("*"&amp;'Output annual'!$AC$2&amp;'Output annual'!$AD$2&amp;"*Zone People Number Of Occupants [](Hourly)",'Eplus results'!$1:$1048576,ROW(),FALSE)</f>
        <v>0</v>
      </c>
      <c r="AC8711" s="580">
        <f>HLOOKUP("*"&amp;'Output annual'!$AC$2&amp;'Output annual'!$AD$2&amp;"*FangerPMV(Hourly)",'Eplus results'!$1:$1048576,ROW(),FALSE)</f>
        <v>0</v>
      </c>
      <c r="AD8711" s="580">
        <f t="shared" si="716"/>
        <v>5</v>
      </c>
      <c r="AE8711" s="580">
        <f t="shared" si="717"/>
        <v>2.5</v>
      </c>
      <c r="AF8711" s="580">
        <f t="shared" si="718"/>
        <v>2.5</v>
      </c>
      <c r="AG8711" s="580">
        <f t="shared" si="719"/>
        <v>0</v>
      </c>
      <c r="AH8711" s="580">
        <f t="shared" si="720"/>
        <v>0</v>
      </c>
    </row>
    <row r="8712" spans="28:34">
      <c r="AB8712" s="580">
        <f>HLOOKUP("*"&amp;'Output annual'!$AC$2&amp;'Output annual'!$AD$2&amp;"*Zone People Number Of Occupants [](Hourly)",'Eplus results'!$1:$1048576,ROW(),FALSE)</f>
        <v>0</v>
      </c>
      <c r="AC8712" s="580">
        <f>HLOOKUP("*"&amp;'Output annual'!$AC$2&amp;'Output annual'!$AD$2&amp;"*FangerPMV(Hourly)",'Eplus results'!$1:$1048576,ROW(),FALSE)</f>
        <v>0</v>
      </c>
      <c r="AD8712" s="580">
        <f t="shared" si="716"/>
        <v>5</v>
      </c>
      <c r="AE8712" s="580">
        <f t="shared" si="717"/>
        <v>2.5</v>
      </c>
      <c r="AF8712" s="580">
        <f t="shared" si="718"/>
        <v>2.5</v>
      </c>
      <c r="AG8712" s="580">
        <f t="shared" si="719"/>
        <v>0</v>
      </c>
      <c r="AH8712" s="580">
        <f t="shared" si="720"/>
        <v>0</v>
      </c>
    </row>
    <row r="8713" spans="28:34">
      <c r="AB8713" s="580">
        <f>HLOOKUP("*"&amp;'Output annual'!$AC$2&amp;'Output annual'!$AD$2&amp;"*Zone People Number Of Occupants [](Hourly)",'Eplus results'!$1:$1048576,ROW(),FALSE)</f>
        <v>0</v>
      </c>
      <c r="AC8713" s="580">
        <f>HLOOKUP("*"&amp;'Output annual'!$AC$2&amp;'Output annual'!$AD$2&amp;"*FangerPMV(Hourly)",'Eplus results'!$1:$1048576,ROW(),FALSE)</f>
        <v>0</v>
      </c>
      <c r="AD8713" s="580">
        <f t="shared" si="716"/>
        <v>5</v>
      </c>
      <c r="AE8713" s="580">
        <f t="shared" si="717"/>
        <v>2.5</v>
      </c>
      <c r="AF8713" s="580">
        <f t="shared" si="718"/>
        <v>2.5</v>
      </c>
      <c r="AG8713" s="580">
        <f t="shared" si="719"/>
        <v>0</v>
      </c>
      <c r="AH8713" s="580">
        <f t="shared" si="720"/>
        <v>0</v>
      </c>
    </row>
    <row r="8714" spans="28:34">
      <c r="AB8714" s="580">
        <f>HLOOKUP("*"&amp;'Output annual'!$AC$2&amp;'Output annual'!$AD$2&amp;"*Zone People Number Of Occupants [](Hourly)",'Eplus results'!$1:$1048576,ROW(),FALSE)</f>
        <v>0</v>
      </c>
      <c r="AC8714" s="580">
        <f>HLOOKUP("*"&amp;'Output annual'!$AC$2&amp;'Output annual'!$AD$2&amp;"*FangerPMV(Hourly)",'Eplus results'!$1:$1048576,ROW(),FALSE)</f>
        <v>0</v>
      </c>
      <c r="AD8714" s="580">
        <f t="shared" si="716"/>
        <v>5</v>
      </c>
      <c r="AE8714" s="580">
        <f t="shared" si="717"/>
        <v>2.5</v>
      </c>
      <c r="AF8714" s="580">
        <f t="shared" si="718"/>
        <v>2.5</v>
      </c>
      <c r="AG8714" s="580">
        <f t="shared" si="719"/>
        <v>0</v>
      </c>
      <c r="AH8714" s="580">
        <f t="shared" si="720"/>
        <v>0</v>
      </c>
    </row>
    <row r="8715" spans="28:34">
      <c r="AB8715" s="580">
        <f>HLOOKUP("*"&amp;'Output annual'!$AC$2&amp;'Output annual'!$AD$2&amp;"*Zone People Number Of Occupants [](Hourly)",'Eplus results'!$1:$1048576,ROW(),FALSE)</f>
        <v>0</v>
      </c>
      <c r="AC8715" s="580">
        <f>HLOOKUP("*"&amp;'Output annual'!$AC$2&amp;'Output annual'!$AD$2&amp;"*FangerPMV(Hourly)",'Eplus results'!$1:$1048576,ROW(),FALSE)</f>
        <v>0</v>
      </c>
      <c r="AD8715" s="580">
        <f t="shared" si="716"/>
        <v>5</v>
      </c>
      <c r="AE8715" s="580">
        <f t="shared" si="717"/>
        <v>2.5</v>
      </c>
      <c r="AF8715" s="580">
        <f t="shared" si="718"/>
        <v>2.5</v>
      </c>
      <c r="AG8715" s="580">
        <f t="shared" si="719"/>
        <v>0</v>
      </c>
      <c r="AH8715" s="580">
        <f t="shared" si="720"/>
        <v>0</v>
      </c>
    </row>
    <row r="8716" spans="28:34">
      <c r="AB8716" s="580">
        <f>HLOOKUP("*"&amp;'Output annual'!$AC$2&amp;'Output annual'!$AD$2&amp;"*Zone People Number Of Occupants [](Hourly)",'Eplus results'!$1:$1048576,ROW(),FALSE)</f>
        <v>0</v>
      </c>
      <c r="AC8716" s="580">
        <f>HLOOKUP("*"&amp;'Output annual'!$AC$2&amp;'Output annual'!$AD$2&amp;"*FangerPMV(Hourly)",'Eplus results'!$1:$1048576,ROW(),FALSE)</f>
        <v>0</v>
      </c>
      <c r="AD8716" s="580">
        <f t="shared" si="716"/>
        <v>5</v>
      </c>
      <c r="AE8716" s="580">
        <f t="shared" si="717"/>
        <v>2.5</v>
      </c>
      <c r="AF8716" s="580">
        <f t="shared" si="718"/>
        <v>2.5</v>
      </c>
      <c r="AG8716" s="580">
        <f t="shared" si="719"/>
        <v>0</v>
      </c>
      <c r="AH8716" s="580">
        <f t="shared" si="720"/>
        <v>0</v>
      </c>
    </row>
    <row r="8717" spans="28:34">
      <c r="AB8717" s="580">
        <f>HLOOKUP("*"&amp;'Output annual'!$AC$2&amp;'Output annual'!$AD$2&amp;"*Zone People Number Of Occupants [](Hourly)",'Eplus results'!$1:$1048576,ROW(),FALSE)</f>
        <v>0</v>
      </c>
      <c r="AC8717" s="580">
        <f>HLOOKUP("*"&amp;'Output annual'!$AC$2&amp;'Output annual'!$AD$2&amp;"*FangerPMV(Hourly)",'Eplus results'!$1:$1048576,ROW(),FALSE)</f>
        <v>0</v>
      </c>
      <c r="AD8717" s="580">
        <f t="shared" si="716"/>
        <v>5</v>
      </c>
      <c r="AE8717" s="580">
        <f t="shared" si="717"/>
        <v>2.5</v>
      </c>
      <c r="AF8717" s="580">
        <f t="shared" si="718"/>
        <v>2.5</v>
      </c>
      <c r="AG8717" s="580">
        <f t="shared" si="719"/>
        <v>0</v>
      </c>
      <c r="AH8717" s="580">
        <f t="shared" si="720"/>
        <v>0</v>
      </c>
    </row>
    <row r="8718" spans="28:34">
      <c r="AB8718" s="580">
        <f>HLOOKUP("*"&amp;'Output annual'!$AC$2&amp;'Output annual'!$AD$2&amp;"*Zone People Number Of Occupants [](Hourly)",'Eplus results'!$1:$1048576,ROW(),FALSE)</f>
        <v>0</v>
      </c>
      <c r="AC8718" s="580">
        <f>HLOOKUP("*"&amp;'Output annual'!$AC$2&amp;'Output annual'!$AD$2&amp;"*FangerPMV(Hourly)",'Eplus results'!$1:$1048576,ROW(),FALSE)</f>
        <v>0</v>
      </c>
      <c r="AD8718" s="580">
        <f t="shared" si="716"/>
        <v>5</v>
      </c>
      <c r="AE8718" s="580">
        <f t="shared" si="717"/>
        <v>2.5</v>
      </c>
      <c r="AF8718" s="580">
        <f t="shared" si="718"/>
        <v>2.5</v>
      </c>
      <c r="AG8718" s="580">
        <f t="shared" si="719"/>
        <v>0</v>
      </c>
      <c r="AH8718" s="580">
        <f t="shared" si="720"/>
        <v>0</v>
      </c>
    </row>
    <row r="8719" spans="28:34">
      <c r="AB8719" s="580">
        <f>HLOOKUP("*"&amp;'Output annual'!$AC$2&amp;'Output annual'!$AD$2&amp;"*Zone People Number Of Occupants [](Hourly)",'Eplus results'!$1:$1048576,ROW(),FALSE)</f>
        <v>0</v>
      </c>
      <c r="AC8719" s="580">
        <f>HLOOKUP("*"&amp;'Output annual'!$AC$2&amp;'Output annual'!$AD$2&amp;"*FangerPMV(Hourly)",'Eplus results'!$1:$1048576,ROW(),FALSE)</f>
        <v>0</v>
      </c>
      <c r="AD8719" s="580">
        <f t="shared" si="716"/>
        <v>5</v>
      </c>
      <c r="AE8719" s="580">
        <f t="shared" si="717"/>
        <v>2.5</v>
      </c>
      <c r="AF8719" s="580">
        <f t="shared" si="718"/>
        <v>2.5</v>
      </c>
      <c r="AG8719" s="580">
        <f t="shared" si="719"/>
        <v>0</v>
      </c>
      <c r="AH8719" s="580">
        <f t="shared" si="720"/>
        <v>0</v>
      </c>
    </row>
    <row r="8720" spans="28:34">
      <c r="AB8720" s="580">
        <f>HLOOKUP("*"&amp;'Output annual'!$AC$2&amp;'Output annual'!$AD$2&amp;"*Zone People Number Of Occupants [](Hourly)",'Eplus results'!$1:$1048576,ROW(),FALSE)</f>
        <v>0</v>
      </c>
      <c r="AC8720" s="580">
        <f>HLOOKUP("*"&amp;'Output annual'!$AC$2&amp;'Output annual'!$AD$2&amp;"*FangerPMV(Hourly)",'Eplus results'!$1:$1048576,ROW(),FALSE)</f>
        <v>0</v>
      </c>
      <c r="AD8720" s="580">
        <f t="shared" si="716"/>
        <v>5</v>
      </c>
      <c r="AE8720" s="580">
        <f t="shared" si="717"/>
        <v>2.5</v>
      </c>
      <c r="AF8720" s="580">
        <f t="shared" si="718"/>
        <v>2.5</v>
      </c>
      <c r="AG8720" s="580">
        <f t="shared" si="719"/>
        <v>0</v>
      </c>
      <c r="AH8720" s="580">
        <f t="shared" si="720"/>
        <v>0</v>
      </c>
    </row>
    <row r="8721" spans="28:34">
      <c r="AB8721" s="580">
        <f>HLOOKUP("*"&amp;'Output annual'!$AC$2&amp;'Output annual'!$AD$2&amp;"*Zone People Number Of Occupants [](Hourly)",'Eplus results'!$1:$1048576,ROW(),FALSE)</f>
        <v>0</v>
      </c>
      <c r="AC8721" s="580">
        <f>HLOOKUP("*"&amp;'Output annual'!$AC$2&amp;'Output annual'!$AD$2&amp;"*FangerPMV(Hourly)",'Eplus results'!$1:$1048576,ROW(),FALSE)</f>
        <v>0</v>
      </c>
      <c r="AD8721" s="580">
        <f t="shared" si="716"/>
        <v>5</v>
      </c>
      <c r="AE8721" s="580">
        <f t="shared" si="717"/>
        <v>2.5</v>
      </c>
      <c r="AF8721" s="580">
        <f t="shared" si="718"/>
        <v>2.5</v>
      </c>
      <c r="AG8721" s="580">
        <f t="shared" si="719"/>
        <v>0</v>
      </c>
      <c r="AH8721" s="580">
        <f t="shared" si="720"/>
        <v>0</v>
      </c>
    </row>
    <row r="8722" spans="28:34">
      <c r="AB8722" s="580">
        <f>HLOOKUP("*"&amp;'Output annual'!$AC$2&amp;'Output annual'!$AD$2&amp;"*Zone People Number Of Occupants [](Hourly)",'Eplus results'!$1:$1048576,ROW(),FALSE)</f>
        <v>0</v>
      </c>
      <c r="AC8722" s="580">
        <f>HLOOKUP("*"&amp;'Output annual'!$AC$2&amp;'Output annual'!$AD$2&amp;"*FangerPMV(Hourly)",'Eplus results'!$1:$1048576,ROW(),FALSE)</f>
        <v>0</v>
      </c>
      <c r="AD8722" s="580">
        <f t="shared" si="716"/>
        <v>5</v>
      </c>
      <c r="AE8722" s="580">
        <f t="shared" si="717"/>
        <v>2.5</v>
      </c>
      <c r="AF8722" s="580">
        <f t="shared" si="718"/>
        <v>2.5</v>
      </c>
      <c r="AG8722" s="580">
        <f t="shared" si="719"/>
        <v>0</v>
      </c>
      <c r="AH8722" s="580">
        <f t="shared" si="720"/>
        <v>0</v>
      </c>
    </row>
    <row r="8723" spans="28:34">
      <c r="AB8723" s="580">
        <f>HLOOKUP("*"&amp;'Output annual'!$AC$2&amp;'Output annual'!$AD$2&amp;"*Zone People Number Of Occupants [](Hourly)",'Eplus results'!$1:$1048576,ROW(),FALSE)</f>
        <v>0</v>
      </c>
      <c r="AC8723" s="580">
        <f>HLOOKUP("*"&amp;'Output annual'!$AC$2&amp;'Output annual'!$AD$2&amp;"*FangerPMV(Hourly)",'Eplus results'!$1:$1048576,ROW(),FALSE)</f>
        <v>0</v>
      </c>
      <c r="AD8723" s="580">
        <f t="shared" si="716"/>
        <v>5</v>
      </c>
      <c r="AE8723" s="580">
        <f t="shared" si="717"/>
        <v>2.5</v>
      </c>
      <c r="AF8723" s="580">
        <f t="shared" si="718"/>
        <v>2.5</v>
      </c>
      <c r="AG8723" s="580">
        <f t="shared" si="719"/>
        <v>0</v>
      </c>
      <c r="AH8723" s="580">
        <f t="shared" si="720"/>
        <v>0</v>
      </c>
    </row>
    <row r="8724" spans="28:34">
      <c r="AB8724" s="580">
        <f>HLOOKUP("*"&amp;'Output annual'!$AC$2&amp;'Output annual'!$AD$2&amp;"*Zone People Number Of Occupants [](Hourly)",'Eplus results'!$1:$1048576,ROW(),FALSE)</f>
        <v>0</v>
      </c>
      <c r="AC8724" s="580">
        <f>HLOOKUP("*"&amp;'Output annual'!$AC$2&amp;'Output annual'!$AD$2&amp;"*FangerPMV(Hourly)",'Eplus results'!$1:$1048576,ROW(),FALSE)</f>
        <v>0</v>
      </c>
      <c r="AD8724" s="580">
        <f t="shared" si="716"/>
        <v>5</v>
      </c>
      <c r="AE8724" s="580">
        <f t="shared" si="717"/>
        <v>2.5</v>
      </c>
      <c r="AF8724" s="580">
        <f t="shared" si="718"/>
        <v>2.5</v>
      </c>
      <c r="AG8724" s="580">
        <f t="shared" si="719"/>
        <v>0</v>
      </c>
      <c r="AH8724" s="580">
        <f t="shared" si="720"/>
        <v>0</v>
      </c>
    </row>
    <row r="8725" spans="28:34">
      <c r="AB8725" s="580">
        <f>HLOOKUP("*"&amp;'Output annual'!$AC$2&amp;'Output annual'!$AD$2&amp;"*Zone People Number Of Occupants [](Hourly)",'Eplus results'!$1:$1048576,ROW(),FALSE)</f>
        <v>0</v>
      </c>
      <c r="AC8725" s="580">
        <f>HLOOKUP("*"&amp;'Output annual'!$AC$2&amp;'Output annual'!$AD$2&amp;"*FangerPMV(Hourly)",'Eplus results'!$1:$1048576,ROW(),FALSE)</f>
        <v>0</v>
      </c>
      <c r="AD8725" s="580">
        <f t="shared" si="716"/>
        <v>5</v>
      </c>
      <c r="AE8725" s="580">
        <f t="shared" si="717"/>
        <v>2.5</v>
      </c>
      <c r="AF8725" s="580">
        <f t="shared" si="718"/>
        <v>2.5</v>
      </c>
      <c r="AG8725" s="580">
        <f t="shared" si="719"/>
        <v>0</v>
      </c>
      <c r="AH8725" s="580">
        <f t="shared" si="720"/>
        <v>0</v>
      </c>
    </row>
    <row r="8726" spans="28:34">
      <c r="AB8726" s="580">
        <f>HLOOKUP("*"&amp;'Output annual'!$AC$2&amp;'Output annual'!$AD$2&amp;"*Zone People Number Of Occupants [](Hourly)",'Eplus results'!$1:$1048576,ROW(),FALSE)</f>
        <v>0</v>
      </c>
      <c r="AC8726" s="580">
        <f>HLOOKUP("*"&amp;'Output annual'!$AC$2&amp;'Output annual'!$AD$2&amp;"*FangerPMV(Hourly)",'Eplus results'!$1:$1048576,ROW(),FALSE)</f>
        <v>0</v>
      </c>
      <c r="AD8726" s="580">
        <f t="shared" si="716"/>
        <v>5</v>
      </c>
      <c r="AE8726" s="580">
        <f t="shared" si="717"/>
        <v>2.5</v>
      </c>
      <c r="AF8726" s="580">
        <f t="shared" si="718"/>
        <v>2.5</v>
      </c>
      <c r="AG8726" s="580">
        <f t="shared" si="719"/>
        <v>0</v>
      </c>
      <c r="AH8726" s="580">
        <f t="shared" si="720"/>
        <v>0</v>
      </c>
    </row>
    <row r="8727" spans="28:34">
      <c r="AB8727" s="580">
        <f>HLOOKUP("*"&amp;'Output annual'!$AC$2&amp;'Output annual'!$AD$2&amp;"*Zone People Number Of Occupants [](Hourly)",'Eplus results'!$1:$1048576,ROW(),FALSE)</f>
        <v>0</v>
      </c>
      <c r="AC8727" s="580">
        <f>HLOOKUP("*"&amp;'Output annual'!$AC$2&amp;'Output annual'!$AD$2&amp;"*FangerPMV(Hourly)",'Eplus results'!$1:$1048576,ROW(),FALSE)</f>
        <v>0</v>
      </c>
      <c r="AD8727" s="580">
        <f t="shared" si="716"/>
        <v>5</v>
      </c>
      <c r="AE8727" s="580">
        <f t="shared" si="717"/>
        <v>2.5</v>
      </c>
      <c r="AF8727" s="580">
        <f t="shared" si="718"/>
        <v>2.5</v>
      </c>
      <c r="AG8727" s="580">
        <f t="shared" si="719"/>
        <v>0</v>
      </c>
      <c r="AH8727" s="580">
        <f t="shared" si="720"/>
        <v>0</v>
      </c>
    </row>
    <row r="8728" spans="28:34">
      <c r="AB8728" s="580">
        <f>HLOOKUP("*"&amp;'Output annual'!$AC$2&amp;'Output annual'!$AD$2&amp;"*Zone People Number Of Occupants [](Hourly)",'Eplus results'!$1:$1048576,ROW(),FALSE)</f>
        <v>0</v>
      </c>
      <c r="AC8728" s="580">
        <f>HLOOKUP("*"&amp;'Output annual'!$AC$2&amp;'Output annual'!$AD$2&amp;"*FangerPMV(Hourly)",'Eplus results'!$1:$1048576,ROW(),FALSE)</f>
        <v>0</v>
      </c>
      <c r="AD8728" s="580">
        <f t="shared" si="716"/>
        <v>5</v>
      </c>
      <c r="AE8728" s="580">
        <f t="shared" si="717"/>
        <v>2.5</v>
      </c>
      <c r="AF8728" s="580">
        <f t="shared" si="718"/>
        <v>2.5</v>
      </c>
      <c r="AG8728" s="580">
        <f t="shared" si="719"/>
        <v>0</v>
      </c>
      <c r="AH8728" s="580">
        <f t="shared" si="720"/>
        <v>0</v>
      </c>
    </row>
    <row r="8729" spans="28:34">
      <c r="AB8729" s="580">
        <f>HLOOKUP("*"&amp;'Output annual'!$AC$2&amp;'Output annual'!$AD$2&amp;"*Zone People Number Of Occupants [](Hourly)",'Eplus results'!$1:$1048576,ROW(),FALSE)</f>
        <v>0</v>
      </c>
      <c r="AC8729" s="580">
        <f>HLOOKUP("*"&amp;'Output annual'!$AC$2&amp;'Output annual'!$AD$2&amp;"*FangerPMV(Hourly)",'Eplus results'!$1:$1048576,ROW(),FALSE)</f>
        <v>0</v>
      </c>
      <c r="AD8729" s="580">
        <f t="shared" si="716"/>
        <v>5</v>
      </c>
      <c r="AE8729" s="580">
        <f t="shared" si="717"/>
        <v>2.5</v>
      </c>
      <c r="AF8729" s="580">
        <f t="shared" si="718"/>
        <v>2.5</v>
      </c>
      <c r="AG8729" s="580">
        <f t="shared" si="719"/>
        <v>0</v>
      </c>
      <c r="AH8729" s="580">
        <f t="shared" si="720"/>
        <v>0</v>
      </c>
    </row>
    <row r="8730" spans="28:34">
      <c r="AB8730" s="580">
        <f>HLOOKUP("*"&amp;'Output annual'!$AC$2&amp;'Output annual'!$AD$2&amp;"*Zone People Number Of Occupants [](Hourly)",'Eplus results'!$1:$1048576,ROW(),FALSE)</f>
        <v>0</v>
      </c>
      <c r="AC8730" s="580">
        <f>HLOOKUP("*"&amp;'Output annual'!$AC$2&amp;'Output annual'!$AD$2&amp;"*FangerPMV(Hourly)",'Eplus results'!$1:$1048576,ROW(),FALSE)</f>
        <v>0</v>
      </c>
      <c r="AD8730" s="580">
        <f t="shared" si="716"/>
        <v>5</v>
      </c>
      <c r="AE8730" s="580">
        <f t="shared" si="717"/>
        <v>2.5</v>
      </c>
      <c r="AF8730" s="580">
        <f t="shared" si="718"/>
        <v>2.5</v>
      </c>
      <c r="AG8730" s="580">
        <f t="shared" si="719"/>
        <v>0</v>
      </c>
      <c r="AH8730" s="580">
        <f t="shared" si="720"/>
        <v>0</v>
      </c>
    </row>
    <row r="8731" spans="28:34">
      <c r="AB8731" s="580">
        <f>HLOOKUP("*"&amp;'Output annual'!$AC$2&amp;'Output annual'!$AD$2&amp;"*Zone People Number Of Occupants [](Hourly)",'Eplus results'!$1:$1048576,ROW(),FALSE)</f>
        <v>0</v>
      </c>
      <c r="AC8731" s="580">
        <f>HLOOKUP("*"&amp;'Output annual'!$AC$2&amp;'Output annual'!$AD$2&amp;"*FangerPMV(Hourly)",'Eplus results'!$1:$1048576,ROW(),FALSE)</f>
        <v>0</v>
      </c>
      <c r="AD8731" s="580">
        <f t="shared" si="716"/>
        <v>5</v>
      </c>
      <c r="AE8731" s="580">
        <f t="shared" si="717"/>
        <v>2.5</v>
      </c>
      <c r="AF8731" s="580">
        <f t="shared" si="718"/>
        <v>2.5</v>
      </c>
      <c r="AG8731" s="580">
        <f t="shared" si="719"/>
        <v>0</v>
      </c>
      <c r="AH8731" s="580">
        <f t="shared" si="720"/>
        <v>0</v>
      </c>
    </row>
    <row r="8732" spans="28:34">
      <c r="AB8732" s="580">
        <f>HLOOKUP("*"&amp;'Output annual'!$AC$2&amp;'Output annual'!$AD$2&amp;"*Zone People Number Of Occupants [](Hourly)",'Eplus results'!$1:$1048576,ROW(),FALSE)</f>
        <v>0</v>
      </c>
      <c r="AC8732" s="580">
        <f>HLOOKUP("*"&amp;'Output annual'!$AC$2&amp;'Output annual'!$AD$2&amp;"*FangerPMV(Hourly)",'Eplus results'!$1:$1048576,ROW(),FALSE)</f>
        <v>0</v>
      </c>
      <c r="AD8732" s="580">
        <f t="shared" si="716"/>
        <v>5</v>
      </c>
      <c r="AE8732" s="580">
        <f t="shared" si="717"/>
        <v>2.5</v>
      </c>
      <c r="AF8732" s="580">
        <f t="shared" si="718"/>
        <v>2.5</v>
      </c>
      <c r="AG8732" s="580">
        <f t="shared" si="719"/>
        <v>0</v>
      </c>
      <c r="AH8732" s="580">
        <f t="shared" si="720"/>
        <v>0</v>
      </c>
    </row>
    <row r="8733" spans="28:34">
      <c r="AB8733" s="580">
        <f>HLOOKUP("*"&amp;'Output annual'!$AC$2&amp;'Output annual'!$AD$2&amp;"*Zone People Number Of Occupants [](Hourly)",'Eplus results'!$1:$1048576,ROW(),FALSE)</f>
        <v>0</v>
      </c>
      <c r="AC8733" s="580">
        <f>HLOOKUP("*"&amp;'Output annual'!$AC$2&amp;'Output annual'!$AD$2&amp;"*FangerPMV(Hourly)",'Eplus results'!$1:$1048576,ROW(),FALSE)</f>
        <v>0</v>
      </c>
      <c r="AD8733" s="580">
        <f t="shared" si="716"/>
        <v>5</v>
      </c>
      <c r="AE8733" s="580">
        <f t="shared" si="717"/>
        <v>2.5</v>
      </c>
      <c r="AF8733" s="580">
        <f t="shared" si="718"/>
        <v>2.5</v>
      </c>
      <c r="AG8733" s="580">
        <f t="shared" si="719"/>
        <v>0</v>
      </c>
      <c r="AH8733" s="580">
        <f t="shared" si="720"/>
        <v>0</v>
      </c>
    </row>
    <row r="8734" spans="28:34">
      <c r="AB8734" s="580">
        <f>HLOOKUP("*"&amp;'Output annual'!$AC$2&amp;'Output annual'!$AD$2&amp;"*Zone People Number Of Occupants [](Hourly)",'Eplus results'!$1:$1048576,ROW(),FALSE)</f>
        <v>0</v>
      </c>
      <c r="AC8734" s="580">
        <f>HLOOKUP("*"&amp;'Output annual'!$AC$2&amp;'Output annual'!$AD$2&amp;"*FangerPMV(Hourly)",'Eplus results'!$1:$1048576,ROW(),FALSE)</f>
        <v>0</v>
      </c>
      <c r="AD8734" s="580">
        <f t="shared" si="716"/>
        <v>5</v>
      </c>
      <c r="AE8734" s="580">
        <f t="shared" si="717"/>
        <v>2.5</v>
      </c>
      <c r="AF8734" s="580">
        <f t="shared" si="718"/>
        <v>2.5</v>
      </c>
      <c r="AG8734" s="580">
        <f t="shared" si="719"/>
        <v>0</v>
      </c>
      <c r="AH8734" s="580">
        <f t="shared" si="720"/>
        <v>0</v>
      </c>
    </row>
    <row r="8735" spans="28:34">
      <c r="AB8735" s="580">
        <f>HLOOKUP("*"&amp;'Output annual'!$AC$2&amp;'Output annual'!$AD$2&amp;"*Zone People Number Of Occupants [](Hourly)",'Eplus results'!$1:$1048576,ROW(),FALSE)</f>
        <v>0</v>
      </c>
      <c r="AC8735" s="580">
        <f>HLOOKUP("*"&amp;'Output annual'!$AC$2&amp;'Output annual'!$AD$2&amp;"*FangerPMV(Hourly)",'Eplus results'!$1:$1048576,ROW(),FALSE)</f>
        <v>0</v>
      </c>
      <c r="AD8735" s="580">
        <f t="shared" si="716"/>
        <v>5</v>
      </c>
      <c r="AE8735" s="580">
        <f t="shared" si="717"/>
        <v>2.5</v>
      </c>
      <c r="AF8735" s="580">
        <f t="shared" si="718"/>
        <v>2.5</v>
      </c>
      <c r="AG8735" s="580">
        <f t="shared" si="719"/>
        <v>0</v>
      </c>
      <c r="AH8735" s="580">
        <f t="shared" si="720"/>
        <v>0</v>
      </c>
    </row>
    <row r="8736" spans="28:34">
      <c r="AB8736" s="580">
        <f>HLOOKUP("*"&amp;'Output annual'!$AC$2&amp;'Output annual'!$AD$2&amp;"*Zone People Number Of Occupants [](Hourly)",'Eplus results'!$1:$1048576,ROW(),FALSE)</f>
        <v>0</v>
      </c>
      <c r="AC8736" s="580">
        <f>HLOOKUP("*"&amp;'Output annual'!$AC$2&amp;'Output annual'!$AD$2&amp;"*FangerPMV(Hourly)",'Eplus results'!$1:$1048576,ROW(),FALSE)</f>
        <v>0</v>
      </c>
      <c r="AD8736" s="580">
        <f t="shared" si="716"/>
        <v>5</v>
      </c>
      <c r="AE8736" s="580">
        <f t="shared" si="717"/>
        <v>2.5</v>
      </c>
      <c r="AF8736" s="580">
        <f t="shared" si="718"/>
        <v>2.5</v>
      </c>
      <c r="AG8736" s="580">
        <f t="shared" si="719"/>
        <v>0</v>
      </c>
      <c r="AH8736" s="580">
        <f t="shared" si="720"/>
        <v>0</v>
      </c>
    </row>
    <row r="8737" spans="28:34">
      <c r="AB8737" s="580">
        <f>HLOOKUP("*"&amp;'Output annual'!$AC$2&amp;'Output annual'!$AD$2&amp;"*Zone People Number Of Occupants [](Hourly)",'Eplus results'!$1:$1048576,ROW(),FALSE)</f>
        <v>0</v>
      </c>
      <c r="AC8737" s="580">
        <f>HLOOKUP("*"&amp;'Output annual'!$AC$2&amp;'Output annual'!$AD$2&amp;"*FangerPMV(Hourly)",'Eplus results'!$1:$1048576,ROW(),FALSE)</f>
        <v>0</v>
      </c>
      <c r="AD8737" s="580">
        <f t="shared" si="716"/>
        <v>5</v>
      </c>
      <c r="AE8737" s="580">
        <f t="shared" si="717"/>
        <v>2.5</v>
      </c>
      <c r="AF8737" s="580">
        <f t="shared" si="718"/>
        <v>2.5</v>
      </c>
      <c r="AG8737" s="580">
        <f t="shared" si="719"/>
        <v>0</v>
      </c>
      <c r="AH8737" s="580">
        <f t="shared" si="720"/>
        <v>0</v>
      </c>
    </row>
    <row r="8738" spans="28:34">
      <c r="AB8738" s="580">
        <f>HLOOKUP("*"&amp;'Output annual'!$AC$2&amp;'Output annual'!$AD$2&amp;"*Zone People Number Of Occupants [](Hourly)",'Eplus results'!$1:$1048576,ROW(),FALSE)</f>
        <v>0</v>
      </c>
      <c r="AC8738" s="580">
        <f>HLOOKUP("*"&amp;'Output annual'!$AC$2&amp;'Output annual'!$AD$2&amp;"*FangerPMV(Hourly)",'Eplus results'!$1:$1048576,ROW(),FALSE)</f>
        <v>0</v>
      </c>
      <c r="AD8738" s="580">
        <f t="shared" si="716"/>
        <v>5</v>
      </c>
      <c r="AE8738" s="580">
        <f t="shared" si="717"/>
        <v>2.5</v>
      </c>
      <c r="AF8738" s="580">
        <f t="shared" si="718"/>
        <v>2.5</v>
      </c>
      <c r="AG8738" s="580">
        <f t="shared" si="719"/>
        <v>0</v>
      </c>
      <c r="AH8738" s="580">
        <f t="shared" si="720"/>
        <v>0</v>
      </c>
    </row>
    <row r="8739" spans="28:34">
      <c r="AB8739" s="580">
        <f>HLOOKUP("*"&amp;'Output annual'!$AC$2&amp;'Output annual'!$AD$2&amp;"*Zone People Number Of Occupants [](Hourly)",'Eplus results'!$1:$1048576,ROW(),FALSE)</f>
        <v>0</v>
      </c>
      <c r="AC8739" s="580">
        <f>HLOOKUP("*"&amp;'Output annual'!$AC$2&amp;'Output annual'!$AD$2&amp;"*FangerPMV(Hourly)",'Eplus results'!$1:$1048576,ROW(),FALSE)</f>
        <v>0</v>
      </c>
      <c r="AD8739" s="580">
        <f t="shared" si="716"/>
        <v>5</v>
      </c>
      <c r="AE8739" s="580">
        <f t="shared" si="717"/>
        <v>2.5</v>
      </c>
      <c r="AF8739" s="580">
        <f t="shared" si="718"/>
        <v>2.5</v>
      </c>
      <c r="AG8739" s="580">
        <f t="shared" si="719"/>
        <v>0</v>
      </c>
      <c r="AH8739" s="580">
        <f t="shared" si="720"/>
        <v>0</v>
      </c>
    </row>
    <row r="8740" spans="28:34">
      <c r="AB8740" s="580">
        <f>HLOOKUP("*"&amp;'Output annual'!$AC$2&amp;'Output annual'!$AD$2&amp;"*Zone People Number Of Occupants [](Hourly)",'Eplus results'!$1:$1048576,ROW(),FALSE)</f>
        <v>0</v>
      </c>
      <c r="AC8740" s="580">
        <f>HLOOKUP("*"&amp;'Output annual'!$AC$2&amp;'Output annual'!$AD$2&amp;"*FangerPMV(Hourly)",'Eplus results'!$1:$1048576,ROW(),FALSE)</f>
        <v>0</v>
      </c>
      <c r="AD8740" s="580">
        <f t="shared" si="716"/>
        <v>5</v>
      </c>
      <c r="AE8740" s="580">
        <f t="shared" si="717"/>
        <v>2.5</v>
      </c>
      <c r="AF8740" s="580">
        <f t="shared" si="718"/>
        <v>2.5</v>
      </c>
      <c r="AG8740" s="580">
        <f t="shared" si="719"/>
        <v>0</v>
      </c>
      <c r="AH8740" s="580">
        <f t="shared" si="720"/>
        <v>0</v>
      </c>
    </row>
    <row r="8741" spans="28:34">
      <c r="AB8741" s="580">
        <f>HLOOKUP("*"&amp;'Output annual'!$AC$2&amp;'Output annual'!$AD$2&amp;"*Zone People Number Of Occupants [](Hourly)",'Eplus results'!$1:$1048576,ROW(),FALSE)</f>
        <v>0</v>
      </c>
      <c r="AC8741" s="580">
        <f>HLOOKUP("*"&amp;'Output annual'!$AC$2&amp;'Output annual'!$AD$2&amp;"*FangerPMV(Hourly)",'Eplus results'!$1:$1048576,ROW(),FALSE)</f>
        <v>0</v>
      </c>
      <c r="AD8741" s="580">
        <f t="shared" si="716"/>
        <v>5</v>
      </c>
      <c r="AE8741" s="580">
        <f t="shared" si="717"/>
        <v>2.5</v>
      </c>
      <c r="AF8741" s="580">
        <f t="shared" si="718"/>
        <v>2.5</v>
      </c>
      <c r="AG8741" s="580">
        <f t="shared" si="719"/>
        <v>0</v>
      </c>
      <c r="AH8741" s="580">
        <f t="shared" si="720"/>
        <v>0</v>
      </c>
    </row>
    <row r="8742" spans="28:34">
      <c r="AB8742" s="580">
        <f>HLOOKUP("*"&amp;'Output annual'!$AC$2&amp;'Output annual'!$AD$2&amp;"*Zone People Number Of Occupants [](Hourly)",'Eplus results'!$1:$1048576,ROW(),FALSE)</f>
        <v>0</v>
      </c>
      <c r="AC8742" s="580">
        <f>HLOOKUP("*"&amp;'Output annual'!$AC$2&amp;'Output annual'!$AD$2&amp;"*FangerPMV(Hourly)",'Eplus results'!$1:$1048576,ROW(),FALSE)</f>
        <v>0</v>
      </c>
      <c r="AD8742" s="580">
        <f t="shared" si="716"/>
        <v>5</v>
      </c>
      <c r="AE8742" s="580">
        <f t="shared" si="717"/>
        <v>2.5</v>
      </c>
      <c r="AF8742" s="580">
        <f t="shared" si="718"/>
        <v>2.5</v>
      </c>
      <c r="AG8742" s="580">
        <f t="shared" si="719"/>
        <v>0</v>
      </c>
      <c r="AH8742" s="580">
        <f t="shared" si="720"/>
        <v>0</v>
      </c>
    </row>
    <row r="8743" spans="28:34">
      <c r="AB8743" s="580">
        <f>HLOOKUP("*"&amp;'Output annual'!$AC$2&amp;'Output annual'!$AD$2&amp;"*Zone People Number Of Occupants [](Hourly)",'Eplus results'!$1:$1048576,ROW(),FALSE)</f>
        <v>0</v>
      </c>
      <c r="AC8743" s="580">
        <f>HLOOKUP("*"&amp;'Output annual'!$AC$2&amp;'Output annual'!$AD$2&amp;"*FangerPMV(Hourly)",'Eplus results'!$1:$1048576,ROW(),FALSE)</f>
        <v>0</v>
      </c>
      <c r="AD8743" s="580">
        <f t="shared" si="716"/>
        <v>5</v>
      </c>
      <c r="AE8743" s="580">
        <f t="shared" si="717"/>
        <v>2.5</v>
      </c>
      <c r="AF8743" s="580">
        <f t="shared" si="718"/>
        <v>2.5</v>
      </c>
      <c r="AG8743" s="580">
        <f t="shared" si="719"/>
        <v>0</v>
      </c>
      <c r="AH8743" s="580">
        <f t="shared" si="720"/>
        <v>0</v>
      </c>
    </row>
    <row r="8744" spans="28:34">
      <c r="AB8744" s="580">
        <f>HLOOKUP("*"&amp;'Output annual'!$AC$2&amp;'Output annual'!$AD$2&amp;"*Zone People Number Of Occupants [](Hourly)",'Eplus results'!$1:$1048576,ROW(),FALSE)</f>
        <v>0</v>
      </c>
      <c r="AC8744" s="580">
        <f>HLOOKUP("*"&amp;'Output annual'!$AC$2&amp;'Output annual'!$AD$2&amp;"*FangerPMV(Hourly)",'Eplus results'!$1:$1048576,ROW(),FALSE)</f>
        <v>0</v>
      </c>
      <c r="AD8744" s="580">
        <f t="shared" si="716"/>
        <v>5</v>
      </c>
      <c r="AE8744" s="580">
        <f t="shared" si="717"/>
        <v>2.5</v>
      </c>
      <c r="AF8744" s="580">
        <f t="shared" si="718"/>
        <v>2.5</v>
      </c>
      <c r="AG8744" s="580">
        <f t="shared" si="719"/>
        <v>0</v>
      </c>
      <c r="AH8744" s="580">
        <f t="shared" si="720"/>
        <v>0</v>
      </c>
    </row>
    <row r="8745" spans="28:34">
      <c r="AB8745" s="580">
        <f>HLOOKUP("*"&amp;'Output annual'!$AC$2&amp;'Output annual'!$AD$2&amp;"*Zone People Number Of Occupants [](Hourly)",'Eplus results'!$1:$1048576,ROW(),FALSE)</f>
        <v>0</v>
      </c>
      <c r="AC8745" s="580">
        <f>HLOOKUP("*"&amp;'Output annual'!$AC$2&amp;'Output annual'!$AD$2&amp;"*FangerPMV(Hourly)",'Eplus results'!$1:$1048576,ROW(),FALSE)</f>
        <v>0</v>
      </c>
      <c r="AD8745" s="580">
        <f t="shared" si="716"/>
        <v>5</v>
      </c>
      <c r="AE8745" s="580">
        <f t="shared" si="717"/>
        <v>2.5</v>
      </c>
      <c r="AF8745" s="580">
        <f t="shared" si="718"/>
        <v>2.5</v>
      </c>
      <c r="AG8745" s="580">
        <f t="shared" si="719"/>
        <v>0</v>
      </c>
      <c r="AH8745" s="580">
        <f t="shared" si="720"/>
        <v>0</v>
      </c>
    </row>
    <row r="8746" spans="28:34">
      <c r="AB8746" s="580">
        <f>HLOOKUP("*"&amp;'Output annual'!$AC$2&amp;'Output annual'!$AD$2&amp;"*Zone People Number Of Occupants [](Hourly)",'Eplus results'!$1:$1048576,ROW(),FALSE)</f>
        <v>0</v>
      </c>
      <c r="AC8746" s="580">
        <f>HLOOKUP("*"&amp;'Output annual'!$AC$2&amp;'Output annual'!$AD$2&amp;"*FangerPMV(Hourly)",'Eplus results'!$1:$1048576,ROW(),FALSE)</f>
        <v>0</v>
      </c>
      <c r="AD8746" s="580">
        <f t="shared" si="716"/>
        <v>5</v>
      </c>
      <c r="AE8746" s="580">
        <f t="shared" si="717"/>
        <v>2.5</v>
      </c>
      <c r="AF8746" s="580">
        <f t="shared" si="718"/>
        <v>2.5</v>
      </c>
      <c r="AG8746" s="580">
        <f t="shared" si="719"/>
        <v>0</v>
      </c>
      <c r="AH8746" s="580">
        <f t="shared" si="720"/>
        <v>0</v>
      </c>
    </row>
    <row r="8747" spans="28:34">
      <c r="AB8747" s="580">
        <f>HLOOKUP("*"&amp;'Output annual'!$AC$2&amp;'Output annual'!$AD$2&amp;"*Zone People Number Of Occupants [](Hourly)",'Eplus results'!$1:$1048576,ROW(),FALSE)</f>
        <v>0</v>
      </c>
      <c r="AC8747" s="580">
        <f>HLOOKUP("*"&amp;'Output annual'!$AC$2&amp;'Output annual'!$AD$2&amp;"*FangerPMV(Hourly)",'Eplus results'!$1:$1048576,ROW(),FALSE)</f>
        <v>0</v>
      </c>
      <c r="AD8747" s="580">
        <f t="shared" si="716"/>
        <v>5</v>
      </c>
      <c r="AE8747" s="580">
        <f t="shared" si="717"/>
        <v>2.5</v>
      </c>
      <c r="AF8747" s="580">
        <f t="shared" si="718"/>
        <v>2.5</v>
      </c>
      <c r="AG8747" s="580">
        <f t="shared" si="719"/>
        <v>0</v>
      </c>
      <c r="AH8747" s="580">
        <f t="shared" si="720"/>
        <v>0</v>
      </c>
    </row>
    <row r="8748" spans="28:34">
      <c r="AB8748" s="580">
        <f>HLOOKUP("*"&amp;'Output annual'!$AC$2&amp;'Output annual'!$AD$2&amp;"*Zone People Number Of Occupants [](Hourly)",'Eplus results'!$1:$1048576,ROW(),FALSE)</f>
        <v>0</v>
      </c>
      <c r="AC8748" s="580">
        <f>HLOOKUP("*"&amp;'Output annual'!$AC$2&amp;'Output annual'!$AD$2&amp;"*FangerPMV(Hourly)",'Eplus results'!$1:$1048576,ROW(),FALSE)</f>
        <v>0</v>
      </c>
      <c r="AD8748" s="580">
        <f t="shared" si="716"/>
        <v>5</v>
      </c>
      <c r="AE8748" s="580">
        <f t="shared" si="717"/>
        <v>2.5</v>
      </c>
      <c r="AF8748" s="580">
        <f t="shared" si="718"/>
        <v>2.5</v>
      </c>
      <c r="AG8748" s="580">
        <f t="shared" si="719"/>
        <v>0</v>
      </c>
      <c r="AH8748" s="580">
        <f t="shared" si="720"/>
        <v>0</v>
      </c>
    </row>
    <row r="8749" spans="28:34">
      <c r="AB8749" s="580">
        <f>HLOOKUP("*"&amp;'Output annual'!$AC$2&amp;'Output annual'!$AD$2&amp;"*Zone People Number Of Occupants [](Hourly)",'Eplus results'!$1:$1048576,ROW(),FALSE)</f>
        <v>0</v>
      </c>
      <c r="AC8749" s="580">
        <f>HLOOKUP("*"&amp;'Output annual'!$AC$2&amp;'Output annual'!$AD$2&amp;"*FangerPMV(Hourly)",'Eplus results'!$1:$1048576,ROW(),FALSE)</f>
        <v>0</v>
      </c>
      <c r="AD8749" s="580">
        <f t="shared" si="716"/>
        <v>5</v>
      </c>
      <c r="AE8749" s="580">
        <f t="shared" si="717"/>
        <v>2.5</v>
      </c>
      <c r="AF8749" s="580">
        <f t="shared" si="718"/>
        <v>2.5</v>
      </c>
      <c r="AG8749" s="580">
        <f t="shared" si="719"/>
        <v>0</v>
      </c>
      <c r="AH8749" s="580">
        <f t="shared" si="720"/>
        <v>0</v>
      </c>
    </row>
    <row r="8750" spans="28:34">
      <c r="AB8750" s="580">
        <f>HLOOKUP("*"&amp;'Output annual'!$AC$2&amp;'Output annual'!$AD$2&amp;"*Zone People Number Of Occupants [](Hourly)",'Eplus results'!$1:$1048576,ROW(),FALSE)</f>
        <v>0</v>
      </c>
      <c r="AC8750" s="580">
        <f>HLOOKUP("*"&amp;'Output annual'!$AC$2&amp;'Output annual'!$AD$2&amp;"*FangerPMV(Hourly)",'Eplus results'!$1:$1048576,ROW(),FALSE)</f>
        <v>0</v>
      </c>
      <c r="AD8750" s="580">
        <f t="shared" si="716"/>
        <v>5</v>
      </c>
      <c r="AE8750" s="580">
        <f t="shared" si="717"/>
        <v>2.5</v>
      </c>
      <c r="AF8750" s="580">
        <f t="shared" si="718"/>
        <v>2.5</v>
      </c>
      <c r="AG8750" s="580">
        <f t="shared" si="719"/>
        <v>0</v>
      </c>
      <c r="AH8750" s="580">
        <f t="shared" si="720"/>
        <v>0</v>
      </c>
    </row>
    <row r="8751" spans="28:34">
      <c r="AB8751" s="580">
        <f>HLOOKUP("*"&amp;'Output annual'!$AC$2&amp;'Output annual'!$AD$2&amp;"*Zone People Number Of Occupants [](Hourly)",'Eplus results'!$1:$1048576,ROW(),FALSE)</f>
        <v>0</v>
      </c>
      <c r="AC8751" s="580">
        <f>HLOOKUP("*"&amp;'Output annual'!$AC$2&amp;'Output annual'!$AD$2&amp;"*FangerPMV(Hourly)",'Eplus results'!$1:$1048576,ROW(),FALSE)</f>
        <v>0</v>
      </c>
      <c r="AD8751" s="580">
        <f t="shared" si="716"/>
        <v>5</v>
      </c>
      <c r="AE8751" s="580">
        <f t="shared" si="717"/>
        <v>2.5</v>
      </c>
      <c r="AF8751" s="580">
        <f t="shared" si="718"/>
        <v>2.5</v>
      </c>
      <c r="AG8751" s="580">
        <f t="shared" si="719"/>
        <v>0</v>
      </c>
      <c r="AH8751" s="580">
        <f t="shared" si="720"/>
        <v>0</v>
      </c>
    </row>
    <row r="8752" spans="28:34">
      <c r="AB8752" s="580">
        <f>HLOOKUP("*"&amp;'Output annual'!$AC$2&amp;'Output annual'!$AD$2&amp;"*Zone People Number Of Occupants [](Hourly)",'Eplus results'!$1:$1048576,ROW(),FALSE)</f>
        <v>0</v>
      </c>
      <c r="AC8752" s="580">
        <f>HLOOKUP("*"&amp;'Output annual'!$AC$2&amp;'Output annual'!$AD$2&amp;"*FangerPMV(Hourly)",'Eplus results'!$1:$1048576,ROW(),FALSE)</f>
        <v>0</v>
      </c>
      <c r="AD8752" s="580">
        <f t="shared" si="716"/>
        <v>5</v>
      </c>
      <c r="AE8752" s="580">
        <f t="shared" si="717"/>
        <v>2.5</v>
      </c>
      <c r="AF8752" s="580">
        <f t="shared" si="718"/>
        <v>2.5</v>
      </c>
      <c r="AG8752" s="580">
        <f t="shared" si="719"/>
        <v>0</v>
      </c>
      <c r="AH8752" s="580">
        <f t="shared" si="720"/>
        <v>0</v>
      </c>
    </row>
    <row r="8753" spans="28:34">
      <c r="AB8753" s="580">
        <f>HLOOKUP("*"&amp;'Output annual'!$AC$2&amp;'Output annual'!$AD$2&amp;"*Zone People Number Of Occupants [](Hourly)",'Eplus results'!$1:$1048576,ROW(),FALSE)</f>
        <v>0</v>
      </c>
      <c r="AC8753" s="580">
        <f>HLOOKUP("*"&amp;'Output annual'!$AC$2&amp;'Output annual'!$AD$2&amp;"*FangerPMV(Hourly)",'Eplus results'!$1:$1048576,ROW(),FALSE)</f>
        <v>0</v>
      </c>
      <c r="AD8753" s="580">
        <f t="shared" si="716"/>
        <v>5</v>
      </c>
      <c r="AE8753" s="580">
        <f t="shared" si="717"/>
        <v>2.5</v>
      </c>
      <c r="AF8753" s="580">
        <f t="shared" si="718"/>
        <v>2.5</v>
      </c>
      <c r="AG8753" s="580">
        <f t="shared" si="719"/>
        <v>0</v>
      </c>
      <c r="AH8753" s="580">
        <f t="shared" si="720"/>
        <v>0</v>
      </c>
    </row>
    <row r="8754" spans="28:34">
      <c r="AB8754" s="580">
        <f>HLOOKUP("*"&amp;'Output annual'!$AC$2&amp;'Output annual'!$AD$2&amp;"*Zone People Number Of Occupants [](Hourly)",'Eplus results'!$1:$1048576,ROW(),FALSE)</f>
        <v>0</v>
      </c>
      <c r="AC8754" s="580">
        <f>HLOOKUP("*"&amp;'Output annual'!$AC$2&amp;'Output annual'!$AD$2&amp;"*FangerPMV(Hourly)",'Eplus results'!$1:$1048576,ROW(),FALSE)</f>
        <v>0</v>
      </c>
      <c r="AD8754" s="580">
        <f t="shared" si="716"/>
        <v>5</v>
      </c>
      <c r="AE8754" s="580">
        <f t="shared" si="717"/>
        <v>2.5</v>
      </c>
      <c r="AF8754" s="580">
        <f t="shared" si="718"/>
        <v>2.5</v>
      </c>
      <c r="AG8754" s="580">
        <f t="shared" si="719"/>
        <v>0</v>
      </c>
      <c r="AH8754" s="580">
        <f t="shared" si="720"/>
        <v>0</v>
      </c>
    </row>
    <row r="8755" spans="28:34">
      <c r="AB8755" s="580">
        <f>HLOOKUP("*"&amp;'Output annual'!$AC$2&amp;'Output annual'!$AD$2&amp;"*Zone People Number Of Occupants [](Hourly)",'Eplus results'!$1:$1048576,ROW(),FALSE)</f>
        <v>0</v>
      </c>
      <c r="AC8755" s="580">
        <f>HLOOKUP("*"&amp;'Output annual'!$AC$2&amp;'Output annual'!$AD$2&amp;"*FangerPMV(Hourly)",'Eplus results'!$1:$1048576,ROW(),FALSE)</f>
        <v>0</v>
      </c>
      <c r="AD8755" s="580">
        <f t="shared" si="716"/>
        <v>5</v>
      </c>
      <c r="AE8755" s="580">
        <f t="shared" si="717"/>
        <v>2.5</v>
      </c>
      <c r="AF8755" s="580">
        <f t="shared" si="718"/>
        <v>2.5</v>
      </c>
      <c r="AG8755" s="580">
        <f t="shared" si="719"/>
        <v>0</v>
      </c>
      <c r="AH8755" s="580">
        <f t="shared" si="720"/>
        <v>0</v>
      </c>
    </row>
    <row r="8756" spans="28:34">
      <c r="AB8756" s="580">
        <f>HLOOKUP("*"&amp;'Output annual'!$AC$2&amp;'Output annual'!$AD$2&amp;"*Zone People Number Of Occupants [](Hourly)",'Eplus results'!$1:$1048576,ROW(),FALSE)</f>
        <v>0</v>
      </c>
      <c r="AC8756" s="580">
        <f>HLOOKUP("*"&amp;'Output annual'!$AC$2&amp;'Output annual'!$AD$2&amp;"*FangerPMV(Hourly)",'Eplus results'!$1:$1048576,ROW(),FALSE)</f>
        <v>0</v>
      </c>
      <c r="AD8756" s="580">
        <f t="shared" si="716"/>
        <v>5</v>
      </c>
      <c r="AE8756" s="580">
        <f t="shared" si="717"/>
        <v>2.5</v>
      </c>
      <c r="AF8756" s="580">
        <f t="shared" si="718"/>
        <v>2.5</v>
      </c>
      <c r="AG8756" s="580">
        <f t="shared" si="719"/>
        <v>0</v>
      </c>
      <c r="AH8756" s="580">
        <f t="shared" si="720"/>
        <v>0</v>
      </c>
    </row>
    <row r="8757" spans="28:34">
      <c r="AB8757" s="580">
        <f>HLOOKUP("*"&amp;'Output annual'!$AC$2&amp;'Output annual'!$AD$2&amp;"*Zone People Number Of Occupants [](Hourly)",'Eplus results'!$1:$1048576,ROW(),FALSE)</f>
        <v>0</v>
      </c>
      <c r="AC8757" s="580">
        <f>HLOOKUP("*"&amp;'Output annual'!$AC$2&amp;'Output annual'!$AD$2&amp;"*FangerPMV(Hourly)",'Eplus results'!$1:$1048576,ROW(),FALSE)</f>
        <v>0</v>
      </c>
      <c r="AD8757" s="580">
        <f t="shared" si="716"/>
        <v>5</v>
      </c>
      <c r="AE8757" s="580">
        <f t="shared" si="717"/>
        <v>2.5</v>
      </c>
      <c r="AF8757" s="580">
        <f t="shared" si="718"/>
        <v>2.5</v>
      </c>
      <c r="AG8757" s="580">
        <f t="shared" si="719"/>
        <v>0</v>
      </c>
      <c r="AH8757" s="580">
        <f t="shared" si="720"/>
        <v>0</v>
      </c>
    </row>
    <row r="8758" spans="28:34">
      <c r="AB8758" s="580">
        <f>HLOOKUP("*"&amp;'Output annual'!$AC$2&amp;'Output annual'!$AD$2&amp;"*Zone People Number Of Occupants [](Hourly)",'Eplus results'!$1:$1048576,ROW(),FALSE)</f>
        <v>0</v>
      </c>
      <c r="AC8758" s="580">
        <f>HLOOKUP("*"&amp;'Output annual'!$AC$2&amp;'Output annual'!$AD$2&amp;"*FangerPMV(Hourly)",'Eplus results'!$1:$1048576,ROW(),FALSE)</f>
        <v>0</v>
      </c>
      <c r="AD8758" s="580">
        <f t="shared" si="716"/>
        <v>5</v>
      </c>
      <c r="AE8758" s="580">
        <f t="shared" si="717"/>
        <v>2.5</v>
      </c>
      <c r="AF8758" s="580">
        <f t="shared" si="718"/>
        <v>2.5</v>
      </c>
      <c r="AG8758" s="580">
        <f t="shared" si="719"/>
        <v>0</v>
      </c>
      <c r="AH8758" s="580">
        <f t="shared" si="720"/>
        <v>0</v>
      </c>
    </row>
    <row r="8759" spans="28:34">
      <c r="AB8759" s="580">
        <f>HLOOKUP("*"&amp;'Output annual'!$AC$2&amp;'Output annual'!$AD$2&amp;"*Zone People Number Of Occupants [](Hourly)",'Eplus results'!$1:$1048576,ROW(),FALSE)</f>
        <v>0</v>
      </c>
      <c r="AC8759" s="580">
        <f>HLOOKUP("*"&amp;'Output annual'!$AC$2&amp;'Output annual'!$AD$2&amp;"*FangerPMV(Hourly)",'Eplus results'!$1:$1048576,ROW(),FALSE)</f>
        <v>0</v>
      </c>
      <c r="AD8759" s="580">
        <f t="shared" si="716"/>
        <v>5</v>
      </c>
      <c r="AE8759" s="580">
        <f t="shared" si="717"/>
        <v>2.5</v>
      </c>
      <c r="AF8759" s="580">
        <f t="shared" si="718"/>
        <v>2.5</v>
      </c>
      <c r="AG8759" s="580">
        <f t="shared" si="719"/>
        <v>0</v>
      </c>
      <c r="AH8759" s="580">
        <f t="shared" si="720"/>
        <v>0</v>
      </c>
    </row>
    <row r="8760" spans="28:34">
      <c r="AB8760" s="580">
        <f>HLOOKUP("*"&amp;'Output annual'!$AC$2&amp;'Output annual'!$AD$2&amp;"*Zone People Number Of Occupants [](Hourly)",'Eplus results'!$1:$1048576,ROW(),FALSE)</f>
        <v>0</v>
      </c>
      <c r="AC8760" s="580">
        <f>HLOOKUP("*"&amp;'Output annual'!$AC$2&amp;'Output annual'!$AD$2&amp;"*FangerPMV(Hourly)",'Eplus results'!$1:$1048576,ROW(),FALSE)</f>
        <v>0</v>
      </c>
      <c r="AD8760" s="580">
        <f t="shared" si="716"/>
        <v>5</v>
      </c>
      <c r="AE8760" s="580">
        <f t="shared" si="717"/>
        <v>2.5</v>
      </c>
      <c r="AF8760" s="580">
        <f t="shared" si="718"/>
        <v>2.5</v>
      </c>
      <c r="AG8760" s="580">
        <f t="shared" si="719"/>
        <v>0</v>
      </c>
      <c r="AH8760" s="580">
        <f t="shared" si="720"/>
        <v>0</v>
      </c>
    </row>
    <row r="8761" spans="28:34">
      <c r="AB8761" s="580">
        <f>HLOOKUP("*"&amp;'Output annual'!$AC$2&amp;'Output annual'!$AD$2&amp;"*Zone People Number Of Occupants [](Hourly)",'Eplus results'!$1:$1048576,ROW(),FALSE)</f>
        <v>0</v>
      </c>
      <c r="AC8761" s="580">
        <f>HLOOKUP("*"&amp;'Output annual'!$AC$2&amp;'Output annual'!$AD$2&amp;"*FangerPMV(Hourly)",'Eplus results'!$1:$1048576,ROW(),FALSE)</f>
        <v>0</v>
      </c>
      <c r="AD8761" s="580">
        <f t="shared" si="716"/>
        <v>5</v>
      </c>
      <c r="AE8761" s="580">
        <f t="shared" si="717"/>
        <v>2.5</v>
      </c>
      <c r="AF8761" s="580">
        <f t="shared" si="718"/>
        <v>2.5</v>
      </c>
      <c r="AG8761" s="580">
        <f t="shared" si="719"/>
        <v>0</v>
      </c>
      <c r="AH8761" s="580">
        <f t="shared" si="720"/>
        <v>0</v>
      </c>
    </row>
    <row r="8762" spans="28:34">
      <c r="AB8762" s="580">
        <f>HLOOKUP("*"&amp;'Output annual'!$AC$2&amp;'Output annual'!$AD$2&amp;"*Zone People Number Of Occupants [](Hourly)",'Eplus results'!$1:$1048576,ROW(),FALSE)</f>
        <v>0</v>
      </c>
      <c r="AC8762" s="580">
        <f>HLOOKUP("*"&amp;'Output annual'!$AC$2&amp;'Output annual'!$AD$2&amp;"*FangerPMV(Hourly)",'Eplus results'!$1:$1048576,ROW(),FALSE)</f>
        <v>0</v>
      </c>
      <c r="AD8762" s="580">
        <f t="shared" si="716"/>
        <v>5</v>
      </c>
      <c r="AE8762" s="580">
        <f t="shared" si="717"/>
        <v>2.5</v>
      </c>
      <c r="AF8762" s="580">
        <f t="shared" si="718"/>
        <v>2.5</v>
      </c>
      <c r="AG8762" s="580">
        <f t="shared" si="719"/>
        <v>0</v>
      </c>
      <c r="AH8762" s="580">
        <f t="shared" si="720"/>
        <v>0</v>
      </c>
    </row>
  </sheetData>
  <mergeCells count="29">
    <mergeCell ref="C616:F616"/>
    <mergeCell ref="G616:J616"/>
    <mergeCell ref="K616:N616"/>
    <mergeCell ref="C305:C322"/>
    <mergeCell ref="D308:D309"/>
    <mergeCell ref="D310:D317"/>
    <mergeCell ref="D318:D319"/>
    <mergeCell ref="B284:B301"/>
    <mergeCell ref="C284:C301"/>
    <mergeCell ref="D287:D288"/>
    <mergeCell ref="D289:D296"/>
    <mergeCell ref="D297:D298"/>
    <mergeCell ref="C263:C280"/>
    <mergeCell ref="D266:D267"/>
    <mergeCell ref="D268:D275"/>
    <mergeCell ref="D276:D277"/>
    <mergeCell ref="C235:C252"/>
    <mergeCell ref="D238:D239"/>
    <mergeCell ref="D240:D247"/>
    <mergeCell ref="D248:D249"/>
    <mergeCell ref="D196:D197"/>
    <mergeCell ref="D206:D207"/>
    <mergeCell ref="D198:D205"/>
    <mergeCell ref="C193:C210"/>
    <mergeCell ref="B214:B231"/>
    <mergeCell ref="D217:D218"/>
    <mergeCell ref="D219:D226"/>
    <mergeCell ref="D227:D228"/>
    <mergeCell ref="C214:C231"/>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H1774"/>
  <sheetViews>
    <sheetView workbookViewId="0">
      <pane xSplit="5" ySplit="1" topLeftCell="ZU119" activePane="bottomRight" state="frozenSplit"/>
      <selection pane="topRight" activeCell="D1" sqref="D1"/>
      <selection pane="bottomLeft"/>
      <selection pane="bottomRight"/>
    </sheetView>
  </sheetViews>
  <sheetFormatPr defaultRowHeight="12.75"/>
  <cols>
    <col min="391" max="391" width="36.85546875" customWidth="1"/>
    <col min="481" max="481" width="10.5703125" customWidth="1"/>
    <col min="709" max="709" width="11" bestFit="1" customWidth="1"/>
  </cols>
  <sheetData>
    <row r="1" spans="1:1074" s="644" customFormat="1" ht="204">
      <c r="A1" s="644" t="s">
        <v>25</v>
      </c>
      <c r="B1" s="644" t="s">
        <v>26</v>
      </c>
      <c r="C1" s="644" t="s">
        <v>1143</v>
      </c>
      <c r="D1" s="644" t="s">
        <v>1144</v>
      </c>
      <c r="E1" s="644" t="s">
        <v>1145</v>
      </c>
      <c r="F1" s="644" t="s">
        <v>1146</v>
      </c>
      <c r="G1" s="644" t="s">
        <v>1147</v>
      </c>
      <c r="H1" s="644" t="s">
        <v>1148</v>
      </c>
      <c r="I1" s="644" t="s">
        <v>1149</v>
      </c>
      <c r="J1" s="644" t="s">
        <v>1150</v>
      </c>
      <c r="K1" s="644" t="s">
        <v>1151</v>
      </c>
      <c r="L1" s="644" t="s">
        <v>1152</v>
      </c>
      <c r="M1" s="644" t="s">
        <v>1153</v>
      </c>
      <c r="N1" s="644" t="s">
        <v>1154</v>
      </c>
      <c r="O1" s="644" t="s">
        <v>1155</v>
      </c>
      <c r="P1" s="644" t="s">
        <v>1156</v>
      </c>
      <c r="Q1" s="644" t="s">
        <v>1157</v>
      </c>
      <c r="R1" s="644" t="s">
        <v>1158</v>
      </c>
      <c r="S1" s="644" t="s">
        <v>1159</v>
      </c>
      <c r="T1" s="644" t="s">
        <v>1160</v>
      </c>
      <c r="U1" s="644" t="s">
        <v>1161</v>
      </c>
      <c r="V1" s="644" t="s">
        <v>1162</v>
      </c>
      <c r="W1" s="644" t="s">
        <v>1163</v>
      </c>
      <c r="X1" s="644" t="s">
        <v>1164</v>
      </c>
      <c r="Y1" s="644" t="s">
        <v>1165</v>
      </c>
      <c r="Z1" s="644" t="s">
        <v>1166</v>
      </c>
      <c r="AA1" s="644" t="s">
        <v>1167</v>
      </c>
      <c r="AB1" s="644" t="s">
        <v>1168</v>
      </c>
      <c r="AC1" s="644" t="s">
        <v>1169</v>
      </c>
      <c r="AD1" s="644" t="s">
        <v>1170</v>
      </c>
      <c r="AE1" s="644" t="s">
        <v>1171</v>
      </c>
      <c r="AF1" s="644" t="s">
        <v>1172</v>
      </c>
      <c r="AG1" s="644" t="s">
        <v>1173</v>
      </c>
      <c r="AH1" s="644" t="s">
        <v>1174</v>
      </c>
      <c r="AI1" s="644" t="s">
        <v>1175</v>
      </c>
      <c r="AJ1" s="644" t="s">
        <v>1176</v>
      </c>
      <c r="AK1" s="645" t="s">
        <v>1177</v>
      </c>
      <c r="AL1" s="644" t="s">
        <v>1178</v>
      </c>
      <c r="AM1" s="644" t="s">
        <v>1179</v>
      </c>
      <c r="AN1" s="644" t="s">
        <v>1180</v>
      </c>
      <c r="AO1" s="644" t="s">
        <v>1181</v>
      </c>
      <c r="AP1" s="644" t="s">
        <v>1182</v>
      </c>
      <c r="AQ1" s="644" t="s">
        <v>1183</v>
      </c>
      <c r="AR1" s="644" t="s">
        <v>1184</v>
      </c>
      <c r="AS1" s="644" t="s">
        <v>1185</v>
      </c>
      <c r="AT1" s="644" t="s">
        <v>1186</v>
      </c>
      <c r="AU1" s="644" t="s">
        <v>1187</v>
      </c>
      <c r="AV1" s="644" t="s">
        <v>1188</v>
      </c>
      <c r="AW1" s="644" t="s">
        <v>1189</v>
      </c>
      <c r="AX1" s="644" t="s">
        <v>1190</v>
      </c>
      <c r="AY1" s="644" t="s">
        <v>1191</v>
      </c>
      <c r="AZ1" s="644" t="s">
        <v>1192</v>
      </c>
      <c r="BA1" s="644" t="s">
        <v>1193</v>
      </c>
      <c r="BB1" s="644" t="s">
        <v>1194</v>
      </c>
      <c r="BC1" s="644" t="s">
        <v>1195</v>
      </c>
      <c r="BD1" s="644" t="s">
        <v>1196</v>
      </c>
      <c r="BE1" s="644" t="s">
        <v>1197</v>
      </c>
      <c r="BF1" s="644" t="s">
        <v>1198</v>
      </c>
      <c r="BG1" s="644" t="s">
        <v>1199</v>
      </c>
      <c r="BH1" s="644" t="s">
        <v>1200</v>
      </c>
      <c r="BI1" s="644" t="s">
        <v>1201</v>
      </c>
      <c r="BJ1" s="644" t="s">
        <v>1202</v>
      </c>
      <c r="BK1" s="644" t="s">
        <v>1203</v>
      </c>
      <c r="BL1" s="644" t="s">
        <v>1204</v>
      </c>
      <c r="BM1" s="644" t="s">
        <v>1205</v>
      </c>
      <c r="BN1" s="644" t="s">
        <v>1206</v>
      </c>
      <c r="BO1" s="644" t="s">
        <v>1207</v>
      </c>
      <c r="BP1" s="644" t="s">
        <v>1208</v>
      </c>
      <c r="BQ1" s="644" t="s">
        <v>1209</v>
      </c>
      <c r="BR1" s="644" t="s">
        <v>1210</v>
      </c>
      <c r="BS1" s="644" t="s">
        <v>1211</v>
      </c>
      <c r="BT1" s="644" t="s">
        <v>1212</v>
      </c>
      <c r="BU1" s="644" t="s">
        <v>1213</v>
      </c>
      <c r="BV1" s="644" t="s">
        <v>1214</v>
      </c>
      <c r="BW1" s="644" t="s">
        <v>1215</v>
      </c>
      <c r="BX1" s="644" t="s">
        <v>1216</v>
      </c>
      <c r="BY1" s="644" t="s">
        <v>1217</v>
      </c>
      <c r="BZ1" s="644" t="s">
        <v>1218</v>
      </c>
      <c r="CA1" s="644" t="s">
        <v>1219</v>
      </c>
      <c r="CB1" s="644" t="s">
        <v>1220</v>
      </c>
      <c r="CC1" s="644" t="s">
        <v>1221</v>
      </c>
      <c r="CD1" s="644" t="s">
        <v>1222</v>
      </c>
      <c r="CE1" s="644" t="s">
        <v>1223</v>
      </c>
      <c r="CF1" s="644" t="s">
        <v>1224</v>
      </c>
      <c r="CG1" s="644" t="s">
        <v>1225</v>
      </c>
      <c r="CH1" s="644" t="s">
        <v>1226</v>
      </c>
      <c r="CI1" s="644" t="s">
        <v>1227</v>
      </c>
      <c r="CJ1" s="644" t="s">
        <v>1228</v>
      </c>
      <c r="CK1" s="644" t="s">
        <v>1229</v>
      </c>
      <c r="CL1" s="644" t="s">
        <v>1230</v>
      </c>
      <c r="CM1" s="644" t="s">
        <v>1231</v>
      </c>
      <c r="CN1" s="644" t="s">
        <v>1232</v>
      </c>
      <c r="CO1" s="644" t="s">
        <v>1233</v>
      </c>
      <c r="CP1" s="644" t="s">
        <v>1234</v>
      </c>
      <c r="CQ1" s="644" t="s">
        <v>1235</v>
      </c>
      <c r="CR1" s="644" t="s">
        <v>1236</v>
      </c>
      <c r="CS1" s="644" t="s">
        <v>1237</v>
      </c>
      <c r="CT1" s="644" t="s">
        <v>1238</v>
      </c>
      <c r="CU1" s="644" t="s">
        <v>1239</v>
      </c>
      <c r="CV1" s="644" t="s">
        <v>1240</v>
      </c>
      <c r="CW1" s="644" t="s">
        <v>1241</v>
      </c>
      <c r="CX1" s="644" t="s">
        <v>1242</v>
      </c>
      <c r="CY1" s="644" t="s">
        <v>1243</v>
      </c>
      <c r="CZ1" s="644" t="s">
        <v>1244</v>
      </c>
      <c r="DA1" s="644" t="s">
        <v>1245</v>
      </c>
      <c r="DB1" s="644" t="s">
        <v>1246</v>
      </c>
      <c r="DC1" s="644" t="s">
        <v>1247</v>
      </c>
      <c r="DD1" s="644" t="s">
        <v>1248</v>
      </c>
      <c r="DE1" s="644" t="s">
        <v>1249</v>
      </c>
      <c r="DF1" s="644" t="s">
        <v>1250</v>
      </c>
      <c r="DG1" s="644" t="s">
        <v>1251</v>
      </c>
      <c r="DH1" s="644" t="s">
        <v>1252</v>
      </c>
      <c r="DI1" s="644" t="s">
        <v>1253</v>
      </c>
      <c r="DJ1" s="644" t="s">
        <v>1254</v>
      </c>
      <c r="DK1" s="644" t="s">
        <v>1255</v>
      </c>
      <c r="DL1" s="644" t="s">
        <v>1256</v>
      </c>
      <c r="DM1" s="644" t="s">
        <v>1257</v>
      </c>
      <c r="DN1" s="644" t="s">
        <v>1258</v>
      </c>
      <c r="DO1" s="644" t="s">
        <v>1259</v>
      </c>
      <c r="DP1" s="644" t="s">
        <v>1260</v>
      </c>
      <c r="DQ1" s="644" t="s">
        <v>1261</v>
      </c>
      <c r="DR1" s="644" t="s">
        <v>1262</v>
      </c>
      <c r="DS1" s="644" t="s">
        <v>1263</v>
      </c>
      <c r="DT1" s="644" t="s">
        <v>1264</v>
      </c>
      <c r="DU1" s="644" t="s">
        <v>1265</v>
      </c>
      <c r="DV1" s="644" t="s">
        <v>1266</v>
      </c>
      <c r="DW1" s="644" t="s">
        <v>1267</v>
      </c>
      <c r="DX1" s="644" t="s">
        <v>1268</v>
      </c>
      <c r="DY1" s="644" t="s">
        <v>1269</v>
      </c>
      <c r="DZ1" s="644" t="s">
        <v>1270</v>
      </c>
      <c r="EA1" s="644" t="s">
        <v>1271</v>
      </c>
      <c r="EB1" s="644" t="s">
        <v>1272</v>
      </c>
      <c r="EC1" s="644" t="s">
        <v>1273</v>
      </c>
      <c r="ED1" s="644" t="s">
        <v>1274</v>
      </c>
      <c r="EE1" s="644" t="s">
        <v>1275</v>
      </c>
      <c r="EF1" s="644" t="s">
        <v>1276</v>
      </c>
      <c r="EG1" s="644" t="s">
        <v>1277</v>
      </c>
      <c r="EH1" s="644" t="s">
        <v>1278</v>
      </c>
      <c r="EI1" s="644" t="s">
        <v>1279</v>
      </c>
      <c r="EJ1" s="644" t="s">
        <v>1280</v>
      </c>
      <c r="EK1" s="644" t="s">
        <v>1281</v>
      </c>
      <c r="EL1" s="644" t="s">
        <v>1282</v>
      </c>
      <c r="EM1" s="644" t="s">
        <v>1283</v>
      </c>
      <c r="EN1" s="644" t="s">
        <v>1284</v>
      </c>
      <c r="EO1" s="644" t="s">
        <v>1285</v>
      </c>
      <c r="EP1" s="644" t="s">
        <v>1286</v>
      </c>
      <c r="EQ1" s="644" t="s">
        <v>1287</v>
      </c>
      <c r="ER1" s="644" t="s">
        <v>1288</v>
      </c>
      <c r="ES1" s="644" t="s">
        <v>1289</v>
      </c>
      <c r="ET1" s="644" t="s">
        <v>1290</v>
      </c>
      <c r="EU1" s="644" t="s">
        <v>1291</v>
      </c>
      <c r="EV1" s="644" t="s">
        <v>1292</v>
      </c>
      <c r="EW1" s="644" t="s">
        <v>1293</v>
      </c>
      <c r="EX1" s="644" t="s">
        <v>1294</v>
      </c>
      <c r="EY1" s="644" t="s">
        <v>1295</v>
      </c>
      <c r="EZ1" s="644" t="s">
        <v>1296</v>
      </c>
      <c r="FA1" s="644" t="s">
        <v>1297</v>
      </c>
      <c r="FB1" s="644" t="s">
        <v>1298</v>
      </c>
      <c r="FC1" s="644" t="s">
        <v>1299</v>
      </c>
      <c r="FD1" s="644" t="s">
        <v>1300</v>
      </c>
      <c r="FE1" s="644" t="s">
        <v>1301</v>
      </c>
      <c r="FF1" s="644" t="s">
        <v>1302</v>
      </c>
      <c r="FG1" s="644" t="s">
        <v>1303</v>
      </c>
      <c r="FH1" s="644" t="s">
        <v>1304</v>
      </c>
      <c r="FI1" s="644" t="s">
        <v>1305</v>
      </c>
      <c r="FJ1" s="644" t="s">
        <v>1306</v>
      </c>
      <c r="FK1" s="644" t="s">
        <v>1307</v>
      </c>
      <c r="FL1" s="644" t="s">
        <v>1308</v>
      </c>
      <c r="FM1" s="644" t="s">
        <v>1309</v>
      </c>
      <c r="FN1" s="644" t="s">
        <v>1310</v>
      </c>
      <c r="FO1" s="644" t="s">
        <v>1311</v>
      </c>
      <c r="FP1" s="644" t="s">
        <v>1312</v>
      </c>
      <c r="FQ1" s="644" t="s">
        <v>1313</v>
      </c>
      <c r="FR1" s="644" t="s">
        <v>1314</v>
      </c>
      <c r="FS1" s="644" t="s">
        <v>1315</v>
      </c>
      <c r="FT1" s="644" t="s">
        <v>1316</v>
      </c>
      <c r="FU1" s="644" t="s">
        <v>1317</v>
      </c>
      <c r="FV1" s="644" t="s">
        <v>1318</v>
      </c>
      <c r="FW1" s="644" t="s">
        <v>1319</v>
      </c>
      <c r="FX1" s="644" t="s">
        <v>1320</v>
      </c>
      <c r="FY1" s="644" t="s">
        <v>1321</v>
      </c>
      <c r="FZ1" s="644" t="s">
        <v>1322</v>
      </c>
      <c r="GA1" s="644" t="s">
        <v>1323</v>
      </c>
      <c r="GB1" s="644" t="s">
        <v>1324</v>
      </c>
      <c r="GC1" s="644" t="s">
        <v>1325</v>
      </c>
      <c r="GD1" s="644" t="s">
        <v>1326</v>
      </c>
      <c r="GE1" s="644" t="s">
        <v>1327</v>
      </c>
      <c r="GF1" s="644" t="s">
        <v>1328</v>
      </c>
      <c r="GG1" s="644" t="s">
        <v>1329</v>
      </c>
      <c r="GH1" s="644" t="s">
        <v>1330</v>
      </c>
      <c r="GI1" s="644" t="s">
        <v>1331</v>
      </c>
      <c r="GJ1" s="644" t="s">
        <v>1332</v>
      </c>
      <c r="GK1" s="644" t="s">
        <v>1333</v>
      </c>
      <c r="GL1" s="644" t="s">
        <v>1334</v>
      </c>
      <c r="GM1" s="644" t="s">
        <v>1335</v>
      </c>
      <c r="GN1" s="644" t="s">
        <v>1336</v>
      </c>
      <c r="GO1" s="644" t="s">
        <v>1337</v>
      </c>
      <c r="GP1" s="644" t="s">
        <v>1338</v>
      </c>
      <c r="GQ1" s="644" t="s">
        <v>1339</v>
      </c>
      <c r="GR1" s="644" t="s">
        <v>1340</v>
      </c>
      <c r="GS1" s="644" t="s">
        <v>1341</v>
      </c>
      <c r="GT1" s="644" t="s">
        <v>1342</v>
      </c>
      <c r="GU1" s="644" t="s">
        <v>1343</v>
      </c>
      <c r="GV1" s="644" t="s">
        <v>1344</v>
      </c>
      <c r="GW1" s="644" t="s">
        <v>1345</v>
      </c>
      <c r="GX1" s="644" t="s">
        <v>1346</v>
      </c>
      <c r="GY1" s="644" t="s">
        <v>1347</v>
      </c>
      <c r="GZ1" s="644" t="s">
        <v>1348</v>
      </c>
      <c r="HA1" s="644" t="s">
        <v>1349</v>
      </c>
      <c r="HB1" s="644" t="s">
        <v>1350</v>
      </c>
      <c r="HC1" s="644" t="s">
        <v>1351</v>
      </c>
      <c r="HD1" s="644" t="s">
        <v>1352</v>
      </c>
      <c r="HE1" s="644" t="s">
        <v>1353</v>
      </c>
      <c r="HF1" s="644" t="s">
        <v>1354</v>
      </c>
      <c r="HG1" s="644" t="s">
        <v>1355</v>
      </c>
      <c r="HH1" s="644" t="s">
        <v>1356</v>
      </c>
      <c r="HI1" s="644" t="s">
        <v>1357</v>
      </c>
      <c r="HJ1" s="644" t="s">
        <v>1358</v>
      </c>
      <c r="HK1" s="644" t="s">
        <v>1359</v>
      </c>
      <c r="HL1" s="644" t="s">
        <v>1360</v>
      </c>
      <c r="HM1" s="644" t="s">
        <v>1361</v>
      </c>
      <c r="HN1" s="644" t="s">
        <v>1362</v>
      </c>
      <c r="HO1" s="644" t="s">
        <v>1363</v>
      </c>
      <c r="HP1" s="644" t="s">
        <v>1364</v>
      </c>
      <c r="HQ1" s="644" t="s">
        <v>1365</v>
      </c>
      <c r="HR1" s="644" t="s">
        <v>1366</v>
      </c>
      <c r="HS1" s="644" t="s">
        <v>1367</v>
      </c>
      <c r="HT1" s="644" t="s">
        <v>1368</v>
      </c>
      <c r="HU1" s="644" t="s">
        <v>1369</v>
      </c>
      <c r="HV1" s="644" t="s">
        <v>1370</v>
      </c>
      <c r="HW1" s="644" t="s">
        <v>1371</v>
      </c>
      <c r="HX1" s="644" t="s">
        <v>1372</v>
      </c>
      <c r="HY1" s="644" t="s">
        <v>1373</v>
      </c>
      <c r="HZ1" s="644" t="s">
        <v>1374</v>
      </c>
      <c r="IA1" s="644" t="s">
        <v>1375</v>
      </c>
      <c r="IB1" s="644" t="s">
        <v>1376</v>
      </c>
      <c r="IC1" s="644" t="s">
        <v>1377</v>
      </c>
      <c r="ID1" s="644" t="s">
        <v>1378</v>
      </c>
      <c r="IE1" s="644" t="s">
        <v>1379</v>
      </c>
      <c r="IF1" s="644" t="s">
        <v>1380</v>
      </c>
      <c r="IG1" s="644" t="s">
        <v>1381</v>
      </c>
      <c r="IH1" s="644" t="s">
        <v>1382</v>
      </c>
      <c r="II1" s="644" t="s">
        <v>1383</v>
      </c>
      <c r="IJ1" s="644" t="s">
        <v>1384</v>
      </c>
      <c r="IK1" s="644" t="s">
        <v>1385</v>
      </c>
      <c r="IL1" s="644" t="s">
        <v>1386</v>
      </c>
      <c r="IM1" s="644" t="s">
        <v>1387</v>
      </c>
      <c r="IN1" s="644" t="s">
        <v>1388</v>
      </c>
      <c r="IO1" s="644" t="s">
        <v>1389</v>
      </c>
      <c r="IP1" s="644" t="s">
        <v>1390</v>
      </c>
      <c r="IQ1" s="644" t="s">
        <v>2573</v>
      </c>
      <c r="IR1" s="644" t="s">
        <v>2574</v>
      </c>
      <c r="IS1" s="644" t="s">
        <v>2575</v>
      </c>
      <c r="IT1" s="644" t="s">
        <v>2576</v>
      </c>
      <c r="IU1" s="644" t="s">
        <v>1391</v>
      </c>
      <c r="IV1" s="644" t="s">
        <v>1392</v>
      </c>
      <c r="IW1" s="644" t="s">
        <v>1393</v>
      </c>
      <c r="IX1" s="644" t="s">
        <v>1394</v>
      </c>
      <c r="IY1" s="644" t="s">
        <v>1395</v>
      </c>
      <c r="IZ1" s="644" t="s">
        <v>1396</v>
      </c>
      <c r="JA1" s="644" t="s">
        <v>1397</v>
      </c>
      <c r="JB1" s="644" t="s">
        <v>1398</v>
      </c>
      <c r="JC1" s="644" t="s">
        <v>1399</v>
      </c>
      <c r="JD1" s="644" t="s">
        <v>1400</v>
      </c>
      <c r="JE1" s="644" t="s">
        <v>1401</v>
      </c>
      <c r="JF1" s="644" t="s">
        <v>1402</v>
      </c>
      <c r="JG1" s="644" t="s">
        <v>1403</v>
      </c>
      <c r="JH1" s="644" t="s">
        <v>1404</v>
      </c>
      <c r="JI1" s="644" t="s">
        <v>1405</v>
      </c>
      <c r="JJ1" s="644" t="s">
        <v>1406</v>
      </c>
      <c r="JK1" s="644" t="s">
        <v>1407</v>
      </c>
      <c r="JL1" s="645" t="s">
        <v>1408</v>
      </c>
      <c r="JM1" s="644" t="s">
        <v>1409</v>
      </c>
      <c r="JN1" s="645" t="s">
        <v>1410</v>
      </c>
      <c r="JO1" s="644" t="s">
        <v>1411</v>
      </c>
      <c r="JP1" s="645" t="s">
        <v>1412</v>
      </c>
      <c r="JQ1" s="644" t="s">
        <v>1413</v>
      </c>
      <c r="JR1" s="644" t="s">
        <v>1414</v>
      </c>
      <c r="JS1" s="644" t="s">
        <v>1415</v>
      </c>
      <c r="JT1" s="644" t="s">
        <v>1416</v>
      </c>
      <c r="JU1" s="644" t="s">
        <v>1417</v>
      </c>
      <c r="JV1" s="644" t="s">
        <v>1418</v>
      </c>
      <c r="JW1" s="644" t="s">
        <v>1419</v>
      </c>
      <c r="JX1" s="644" t="s">
        <v>1420</v>
      </c>
      <c r="JY1" s="644" t="s">
        <v>1421</v>
      </c>
      <c r="JZ1" s="644" t="s">
        <v>1422</v>
      </c>
      <c r="KA1" s="644" t="s">
        <v>1423</v>
      </c>
      <c r="KB1" s="644" t="s">
        <v>1424</v>
      </c>
      <c r="KC1" s="644" t="s">
        <v>1425</v>
      </c>
      <c r="KD1" s="644" t="s">
        <v>1426</v>
      </c>
      <c r="KE1" s="644" t="s">
        <v>1427</v>
      </c>
      <c r="KF1" s="644" t="s">
        <v>1428</v>
      </c>
      <c r="KG1" s="644" t="s">
        <v>1429</v>
      </c>
      <c r="KH1" s="644" t="s">
        <v>1430</v>
      </c>
      <c r="KI1" s="644" t="s">
        <v>1431</v>
      </c>
      <c r="KJ1" s="644" t="s">
        <v>1432</v>
      </c>
      <c r="KK1" s="644" t="s">
        <v>1433</v>
      </c>
      <c r="KL1" s="644" t="s">
        <v>1434</v>
      </c>
      <c r="KM1" s="644" t="s">
        <v>1435</v>
      </c>
      <c r="KN1" s="644" t="s">
        <v>1436</v>
      </c>
      <c r="KO1" s="644" t="s">
        <v>1437</v>
      </c>
      <c r="KP1" s="644" t="s">
        <v>1438</v>
      </c>
      <c r="KQ1" s="644" t="s">
        <v>1439</v>
      </c>
      <c r="KR1" s="644" t="s">
        <v>1440</v>
      </c>
      <c r="KS1" s="644" t="s">
        <v>1441</v>
      </c>
      <c r="KT1" s="644" t="s">
        <v>1442</v>
      </c>
      <c r="KU1" s="644" t="s">
        <v>1443</v>
      </c>
      <c r="KV1" s="644" t="s">
        <v>1444</v>
      </c>
      <c r="KW1" s="644" t="s">
        <v>1445</v>
      </c>
      <c r="KX1" s="644" t="s">
        <v>1446</v>
      </c>
      <c r="KY1" s="644" t="s">
        <v>1447</v>
      </c>
      <c r="KZ1" s="644" t="s">
        <v>1448</v>
      </c>
      <c r="LA1" s="644" t="s">
        <v>1449</v>
      </c>
      <c r="LB1" s="644" t="s">
        <v>1450</v>
      </c>
      <c r="LC1" s="644" t="s">
        <v>1451</v>
      </c>
      <c r="LD1" s="644" t="s">
        <v>1452</v>
      </c>
      <c r="LE1" s="644" t="s">
        <v>1453</v>
      </c>
      <c r="LF1" s="644" t="s">
        <v>1454</v>
      </c>
      <c r="LG1" s="644" t="s">
        <v>1455</v>
      </c>
      <c r="LH1" s="644" t="s">
        <v>1456</v>
      </c>
      <c r="LI1" s="644" t="s">
        <v>1457</v>
      </c>
      <c r="LJ1" s="644" t="s">
        <v>1458</v>
      </c>
      <c r="LK1" s="644" t="s">
        <v>1459</v>
      </c>
      <c r="LL1" s="644" t="s">
        <v>1460</v>
      </c>
      <c r="LM1" s="644" t="s">
        <v>1461</v>
      </c>
      <c r="LN1" s="644" t="s">
        <v>1462</v>
      </c>
      <c r="LO1" s="644" t="s">
        <v>1463</v>
      </c>
      <c r="LP1" s="644" t="s">
        <v>1464</v>
      </c>
      <c r="LQ1" s="644" t="s">
        <v>2577</v>
      </c>
      <c r="LR1" s="644" t="s">
        <v>2578</v>
      </c>
      <c r="LS1" s="644" t="s">
        <v>2579</v>
      </c>
      <c r="LT1" s="644" t="s">
        <v>2580</v>
      </c>
      <c r="LU1" s="644" t="s">
        <v>2581</v>
      </c>
      <c r="LV1" s="644" t="s">
        <v>2582</v>
      </c>
      <c r="LW1" s="644" t="s">
        <v>2583</v>
      </c>
      <c r="LX1" s="644" t="s">
        <v>2584</v>
      </c>
      <c r="LY1" s="644" t="s">
        <v>2585</v>
      </c>
      <c r="LZ1" s="644" t="s">
        <v>2586</v>
      </c>
      <c r="MA1" s="644" t="s">
        <v>2587</v>
      </c>
      <c r="MB1" s="644" t="s">
        <v>2588</v>
      </c>
      <c r="MC1" s="644" t="s">
        <v>2589</v>
      </c>
      <c r="MD1" s="644" t="s">
        <v>2590</v>
      </c>
      <c r="ME1" s="644" t="s">
        <v>2591</v>
      </c>
      <c r="MF1" s="644" t="s">
        <v>2592</v>
      </c>
      <c r="MG1" s="644" t="s">
        <v>2593</v>
      </c>
      <c r="MH1" s="644" t="s">
        <v>2594</v>
      </c>
      <c r="MI1" s="644" t="s">
        <v>2595</v>
      </c>
      <c r="MJ1" s="644" t="s">
        <v>2596</v>
      </c>
      <c r="MK1" s="644" t="s">
        <v>2597</v>
      </c>
      <c r="ML1" s="644" t="s">
        <v>2598</v>
      </c>
      <c r="MM1" s="644" t="s">
        <v>2599</v>
      </c>
      <c r="MN1" s="644" t="s">
        <v>2600</v>
      </c>
      <c r="MO1" s="644" t="s">
        <v>2601</v>
      </c>
      <c r="MP1" s="644" t="s">
        <v>2602</v>
      </c>
      <c r="MQ1" s="644" t="s">
        <v>2603</v>
      </c>
      <c r="MR1" s="644" t="s">
        <v>2604</v>
      </c>
      <c r="MS1" s="644" t="s">
        <v>2605</v>
      </c>
      <c r="MT1" s="644" t="s">
        <v>2606</v>
      </c>
      <c r="MU1" s="644" t="s">
        <v>2607</v>
      </c>
      <c r="MV1" s="644" t="s">
        <v>2608</v>
      </c>
      <c r="MW1" s="644" t="s">
        <v>2609</v>
      </c>
      <c r="MX1" s="644" t="s">
        <v>2610</v>
      </c>
      <c r="MY1" s="644" t="s">
        <v>2611</v>
      </c>
      <c r="MZ1" s="644" t="s">
        <v>2612</v>
      </c>
      <c r="NA1" s="644" t="s">
        <v>2613</v>
      </c>
      <c r="NB1" s="644" t="s">
        <v>2614</v>
      </c>
      <c r="NC1" s="644" t="s">
        <v>2615</v>
      </c>
      <c r="ND1" s="644" t="s">
        <v>2616</v>
      </c>
      <c r="NE1" s="644" t="s">
        <v>2617</v>
      </c>
      <c r="NF1" s="644" t="s">
        <v>2618</v>
      </c>
      <c r="NG1" s="644" t="s">
        <v>2619</v>
      </c>
      <c r="NH1" s="644" t="s">
        <v>2620</v>
      </c>
      <c r="NI1" s="644" t="s">
        <v>2621</v>
      </c>
      <c r="NJ1" s="644" t="s">
        <v>2622</v>
      </c>
      <c r="NK1" s="644" t="s">
        <v>2623</v>
      </c>
      <c r="NL1" s="644" t="s">
        <v>2624</v>
      </c>
      <c r="NM1" s="644" t="s">
        <v>2625</v>
      </c>
      <c r="NN1" s="644" t="s">
        <v>2626</v>
      </c>
      <c r="NO1" s="644" t="s">
        <v>2627</v>
      </c>
      <c r="NP1" s="644" t="s">
        <v>2628</v>
      </c>
      <c r="NQ1" s="644" t="s">
        <v>2629</v>
      </c>
      <c r="NR1" s="644" t="s">
        <v>2630</v>
      </c>
      <c r="NS1" s="644" t="s">
        <v>2631</v>
      </c>
      <c r="NT1" s="644" t="s">
        <v>2632</v>
      </c>
      <c r="NU1" s="644" t="s">
        <v>2633</v>
      </c>
      <c r="NV1" s="644" t="s">
        <v>2634</v>
      </c>
      <c r="NW1" s="644" t="s">
        <v>2635</v>
      </c>
      <c r="NX1" s="644" t="s">
        <v>2636</v>
      </c>
      <c r="NY1" s="644" t="s">
        <v>2637</v>
      </c>
      <c r="NZ1" s="644" t="s">
        <v>2638</v>
      </c>
      <c r="OA1" s="644" t="s">
        <v>2639</v>
      </c>
      <c r="OB1" s="644" t="s">
        <v>2640</v>
      </c>
      <c r="OC1" s="644" t="s">
        <v>2641</v>
      </c>
      <c r="OD1" s="644" t="s">
        <v>2642</v>
      </c>
      <c r="OE1" s="644" t="s">
        <v>2643</v>
      </c>
      <c r="OF1" s="644" t="s">
        <v>2644</v>
      </c>
      <c r="OG1" s="644" t="s">
        <v>2645</v>
      </c>
      <c r="OH1" s="644" t="s">
        <v>2646</v>
      </c>
      <c r="OI1" s="644" t="s">
        <v>2647</v>
      </c>
      <c r="OJ1" s="644" t="s">
        <v>2648</v>
      </c>
      <c r="OK1" s="644" t="s">
        <v>2649</v>
      </c>
      <c r="OL1" s="644" t="s">
        <v>2650</v>
      </c>
      <c r="OM1" s="644" t="s">
        <v>2651</v>
      </c>
      <c r="ON1" s="644" t="s">
        <v>2652</v>
      </c>
      <c r="OO1" s="644" t="s">
        <v>2653</v>
      </c>
      <c r="OP1" s="644" t="s">
        <v>2654</v>
      </c>
      <c r="OQ1" s="644" t="s">
        <v>2655</v>
      </c>
      <c r="OR1" s="644" t="s">
        <v>2656</v>
      </c>
      <c r="OS1" s="644" t="s">
        <v>2657</v>
      </c>
      <c r="OT1" s="644" t="s">
        <v>2658</v>
      </c>
      <c r="OU1" s="644" t="s">
        <v>2659</v>
      </c>
      <c r="OV1" s="644" t="s">
        <v>2660</v>
      </c>
      <c r="OW1" s="644" t="s">
        <v>2661</v>
      </c>
      <c r="OX1" s="644" t="s">
        <v>2662</v>
      </c>
      <c r="OY1" s="644" t="s">
        <v>2663</v>
      </c>
      <c r="OZ1" s="644" t="s">
        <v>2664</v>
      </c>
      <c r="PA1" s="644" t="s">
        <v>2665</v>
      </c>
      <c r="PB1" s="644" t="s">
        <v>2666</v>
      </c>
      <c r="PC1" s="644" t="s">
        <v>2667</v>
      </c>
      <c r="PD1" s="644" t="s">
        <v>2668</v>
      </c>
      <c r="PE1" s="644" t="s">
        <v>2669</v>
      </c>
      <c r="PF1" s="644" t="s">
        <v>2670</v>
      </c>
      <c r="PG1" s="645" t="s">
        <v>2671</v>
      </c>
      <c r="PH1" s="644" t="s">
        <v>2672</v>
      </c>
      <c r="PI1" s="644" t="s">
        <v>2673</v>
      </c>
      <c r="PJ1" s="644" t="s">
        <v>2674</v>
      </c>
      <c r="PK1" s="644" t="s">
        <v>2675</v>
      </c>
      <c r="PL1" s="644" t="s">
        <v>2676</v>
      </c>
      <c r="PM1" s="644" t="s">
        <v>2677</v>
      </c>
      <c r="PN1" s="644" t="s">
        <v>2678</v>
      </c>
      <c r="PO1" s="644" t="s">
        <v>1465</v>
      </c>
      <c r="PP1" s="644" t="s">
        <v>1466</v>
      </c>
      <c r="PQ1" s="644" t="s">
        <v>1467</v>
      </c>
      <c r="PR1" s="644" t="s">
        <v>1468</v>
      </c>
      <c r="PS1" s="644" t="s">
        <v>1469</v>
      </c>
      <c r="PT1" s="644" t="s">
        <v>1470</v>
      </c>
      <c r="PU1" s="644" t="s">
        <v>1471</v>
      </c>
      <c r="PV1" s="644" t="s">
        <v>1472</v>
      </c>
      <c r="PW1" s="644" t="s">
        <v>1473</v>
      </c>
      <c r="PX1" s="644" t="s">
        <v>1474</v>
      </c>
      <c r="PY1" s="644" t="s">
        <v>1475</v>
      </c>
      <c r="PZ1" s="644" t="s">
        <v>1476</v>
      </c>
      <c r="QA1" s="644" t="s">
        <v>1477</v>
      </c>
      <c r="QB1" s="644" t="s">
        <v>1478</v>
      </c>
      <c r="QC1" s="644" t="s">
        <v>1479</v>
      </c>
      <c r="QD1" s="644" t="s">
        <v>2679</v>
      </c>
      <c r="QE1" s="644" t="s">
        <v>1480</v>
      </c>
      <c r="QF1" s="644" t="s">
        <v>1481</v>
      </c>
      <c r="QG1" s="644" t="s">
        <v>1482</v>
      </c>
      <c r="QH1" s="644" t="s">
        <v>1483</v>
      </c>
      <c r="QI1" s="644" t="s">
        <v>1484</v>
      </c>
      <c r="QJ1" s="644" t="s">
        <v>1485</v>
      </c>
      <c r="QK1" s="644" t="s">
        <v>1486</v>
      </c>
      <c r="QL1" s="644" t="s">
        <v>1487</v>
      </c>
      <c r="QM1" s="644" t="s">
        <v>1488</v>
      </c>
      <c r="QN1" s="644" t="s">
        <v>1489</v>
      </c>
      <c r="QO1" s="644" t="s">
        <v>1490</v>
      </c>
      <c r="QP1" s="644" t="s">
        <v>1491</v>
      </c>
      <c r="QQ1" s="644" t="s">
        <v>1492</v>
      </c>
      <c r="QR1" s="644" t="s">
        <v>1493</v>
      </c>
      <c r="QS1" s="644" t="s">
        <v>1494</v>
      </c>
      <c r="QT1" s="644" t="s">
        <v>1495</v>
      </c>
      <c r="QU1" s="644" t="s">
        <v>1496</v>
      </c>
      <c r="QV1" s="644" t="s">
        <v>2680</v>
      </c>
      <c r="QW1" s="644" t="s">
        <v>1497</v>
      </c>
      <c r="QX1" s="644" t="s">
        <v>1498</v>
      </c>
      <c r="QY1" s="644" t="s">
        <v>1499</v>
      </c>
      <c r="QZ1" s="644" t="s">
        <v>1500</v>
      </c>
      <c r="RA1" s="644" t="s">
        <v>2681</v>
      </c>
      <c r="RB1" s="644" t="s">
        <v>2682</v>
      </c>
      <c r="RC1" s="644" t="s">
        <v>2683</v>
      </c>
      <c r="RD1" s="644" t="s">
        <v>2684</v>
      </c>
      <c r="RE1" s="644" t="s">
        <v>1501</v>
      </c>
      <c r="RF1" s="644" t="s">
        <v>1502</v>
      </c>
      <c r="RG1" s="644" t="s">
        <v>1503</v>
      </c>
      <c r="RH1" s="644" t="s">
        <v>1504</v>
      </c>
      <c r="RI1" s="644" t="s">
        <v>1505</v>
      </c>
      <c r="RJ1" s="644" t="s">
        <v>1506</v>
      </c>
      <c r="RK1" s="644" t="s">
        <v>1507</v>
      </c>
      <c r="RL1" s="644" t="s">
        <v>1508</v>
      </c>
      <c r="RM1" s="644" t="s">
        <v>1509</v>
      </c>
      <c r="RN1" s="644" t="s">
        <v>1510</v>
      </c>
      <c r="RO1" s="644" t="s">
        <v>1511</v>
      </c>
      <c r="RP1" s="644" t="s">
        <v>1512</v>
      </c>
      <c r="RQ1" s="644" t="s">
        <v>1513</v>
      </c>
      <c r="RR1" s="644" t="s">
        <v>1514</v>
      </c>
      <c r="RS1" s="644" t="s">
        <v>1515</v>
      </c>
      <c r="RT1" s="644" t="s">
        <v>1516</v>
      </c>
      <c r="RU1" s="644" t="s">
        <v>1517</v>
      </c>
      <c r="RV1" s="644" t="s">
        <v>1518</v>
      </c>
      <c r="RW1" s="644" t="s">
        <v>1519</v>
      </c>
      <c r="RX1" s="644" t="s">
        <v>1520</v>
      </c>
      <c r="RY1" s="644" t="s">
        <v>1521</v>
      </c>
      <c r="RZ1" s="645" t="s">
        <v>1522</v>
      </c>
      <c r="SA1" s="644" t="s">
        <v>1523</v>
      </c>
      <c r="SB1" s="644" t="s">
        <v>1524</v>
      </c>
      <c r="SC1" s="645" t="s">
        <v>1525</v>
      </c>
      <c r="SD1" s="644" t="s">
        <v>1526</v>
      </c>
      <c r="SE1" s="644" t="s">
        <v>1527</v>
      </c>
      <c r="SF1" s="644" t="s">
        <v>1528</v>
      </c>
      <c r="SG1" s="644" t="s">
        <v>1529</v>
      </c>
      <c r="SH1" s="644" t="s">
        <v>1530</v>
      </c>
      <c r="SI1" s="644" t="s">
        <v>1531</v>
      </c>
      <c r="SJ1" s="644" t="s">
        <v>1532</v>
      </c>
      <c r="SK1" s="644" t="s">
        <v>1533</v>
      </c>
      <c r="SL1" s="644" t="s">
        <v>1534</v>
      </c>
      <c r="SM1" s="644" t="s">
        <v>1535</v>
      </c>
      <c r="SN1" s="644" t="s">
        <v>1536</v>
      </c>
      <c r="SO1" s="644" t="s">
        <v>1537</v>
      </c>
      <c r="SP1" s="644" t="s">
        <v>1538</v>
      </c>
      <c r="SQ1" s="644" t="s">
        <v>1539</v>
      </c>
      <c r="SR1" s="644" t="s">
        <v>1540</v>
      </c>
      <c r="SS1" s="644" t="s">
        <v>1541</v>
      </c>
      <c r="ST1" s="644" t="s">
        <v>1542</v>
      </c>
      <c r="SU1" s="644" t="s">
        <v>1543</v>
      </c>
      <c r="SV1" s="644" t="s">
        <v>1544</v>
      </c>
      <c r="SW1" s="644" t="s">
        <v>1545</v>
      </c>
      <c r="SX1" s="644" t="s">
        <v>1546</v>
      </c>
      <c r="SY1" s="644" t="s">
        <v>1547</v>
      </c>
      <c r="SZ1" s="644" t="s">
        <v>1548</v>
      </c>
      <c r="TA1" s="644" t="s">
        <v>1549</v>
      </c>
      <c r="TB1" s="644" t="s">
        <v>1550</v>
      </c>
      <c r="TC1" s="644" t="s">
        <v>1551</v>
      </c>
      <c r="TD1" s="644" t="s">
        <v>1552</v>
      </c>
      <c r="TE1" s="644" t="s">
        <v>1553</v>
      </c>
      <c r="TF1" s="644" t="s">
        <v>1554</v>
      </c>
      <c r="TG1" s="644" t="s">
        <v>1555</v>
      </c>
      <c r="TH1" s="644" t="s">
        <v>1556</v>
      </c>
      <c r="TI1" s="644" t="s">
        <v>1557</v>
      </c>
      <c r="TJ1" s="644" t="s">
        <v>1558</v>
      </c>
      <c r="TK1" s="644" t="s">
        <v>1559</v>
      </c>
      <c r="TL1" s="644" t="s">
        <v>1560</v>
      </c>
      <c r="TM1" s="644" t="s">
        <v>1561</v>
      </c>
      <c r="TN1" s="644" t="s">
        <v>1562</v>
      </c>
      <c r="TO1" s="645" t="s">
        <v>1563</v>
      </c>
      <c r="TP1" s="644" t="s">
        <v>1564</v>
      </c>
      <c r="TQ1" s="644" t="s">
        <v>1565</v>
      </c>
      <c r="TR1" s="644" t="s">
        <v>1566</v>
      </c>
      <c r="TS1" s="644" t="s">
        <v>1567</v>
      </c>
      <c r="TT1" s="644" t="s">
        <v>1568</v>
      </c>
      <c r="TU1" s="644" t="s">
        <v>1569</v>
      </c>
      <c r="TV1" s="644" t="s">
        <v>1570</v>
      </c>
      <c r="TW1" s="644" t="s">
        <v>1571</v>
      </c>
      <c r="TX1" s="644" t="s">
        <v>1572</v>
      </c>
      <c r="TY1" s="644" t="s">
        <v>1573</v>
      </c>
      <c r="TZ1" s="644" t="s">
        <v>1574</v>
      </c>
      <c r="UA1" s="644" t="s">
        <v>1575</v>
      </c>
      <c r="UB1" s="644" t="s">
        <v>1576</v>
      </c>
      <c r="UC1" s="644" t="s">
        <v>1577</v>
      </c>
      <c r="UD1" s="644" t="s">
        <v>1578</v>
      </c>
      <c r="UE1" s="644" t="s">
        <v>1579</v>
      </c>
      <c r="UF1" s="644" t="s">
        <v>1580</v>
      </c>
      <c r="UG1" s="644" t="s">
        <v>1581</v>
      </c>
      <c r="UH1" s="644" t="s">
        <v>1582</v>
      </c>
      <c r="UI1" s="644" t="s">
        <v>1583</v>
      </c>
      <c r="UJ1" s="644" t="s">
        <v>1584</v>
      </c>
      <c r="UK1" s="644" t="s">
        <v>1585</v>
      </c>
      <c r="UL1" s="644" t="s">
        <v>1586</v>
      </c>
      <c r="UM1" s="644" t="s">
        <v>1587</v>
      </c>
      <c r="UN1" s="645" t="s">
        <v>1588</v>
      </c>
      <c r="UO1" s="644" t="s">
        <v>1589</v>
      </c>
      <c r="UP1" s="644" t="s">
        <v>1590</v>
      </c>
      <c r="UQ1" s="644" t="s">
        <v>1591</v>
      </c>
      <c r="UR1" s="644" t="s">
        <v>1592</v>
      </c>
      <c r="US1" s="644" t="s">
        <v>1593</v>
      </c>
      <c r="UT1" s="644" t="s">
        <v>1594</v>
      </c>
      <c r="UU1" s="644" t="s">
        <v>1595</v>
      </c>
      <c r="UV1" s="644" t="s">
        <v>1596</v>
      </c>
      <c r="UW1" s="644" t="s">
        <v>1597</v>
      </c>
      <c r="UX1" s="644" t="s">
        <v>1598</v>
      </c>
      <c r="UY1" s="644" t="s">
        <v>1599</v>
      </c>
      <c r="UZ1" s="644" t="s">
        <v>1600</v>
      </c>
      <c r="VA1" s="644" t="s">
        <v>1601</v>
      </c>
      <c r="VB1" s="644" t="s">
        <v>1602</v>
      </c>
      <c r="VC1" s="644" t="s">
        <v>1603</v>
      </c>
      <c r="VD1" s="644" t="s">
        <v>1604</v>
      </c>
      <c r="VE1" s="644" t="s">
        <v>1605</v>
      </c>
      <c r="VF1" s="644" t="s">
        <v>1606</v>
      </c>
      <c r="VG1" s="644" t="s">
        <v>1607</v>
      </c>
      <c r="VH1" s="644" t="s">
        <v>1608</v>
      </c>
      <c r="VI1" s="644" t="s">
        <v>1609</v>
      </c>
      <c r="VJ1" s="644" t="s">
        <v>1610</v>
      </c>
      <c r="VK1" s="644" t="s">
        <v>1611</v>
      </c>
      <c r="VL1" s="644" t="s">
        <v>1612</v>
      </c>
      <c r="VM1" s="644" t="s">
        <v>1613</v>
      </c>
      <c r="VN1" s="644" t="s">
        <v>1614</v>
      </c>
      <c r="VO1" s="644" t="s">
        <v>1615</v>
      </c>
      <c r="VP1" s="644" t="s">
        <v>1616</v>
      </c>
      <c r="VQ1" s="644" t="s">
        <v>1617</v>
      </c>
      <c r="VR1" s="644" t="s">
        <v>1618</v>
      </c>
      <c r="VS1" s="644" t="s">
        <v>1619</v>
      </c>
      <c r="VT1" s="644" t="s">
        <v>1620</v>
      </c>
      <c r="VU1" s="644" t="s">
        <v>1621</v>
      </c>
      <c r="VV1" s="644" t="s">
        <v>1622</v>
      </c>
      <c r="VW1" s="644" t="s">
        <v>1623</v>
      </c>
      <c r="VX1" s="644" t="s">
        <v>1624</v>
      </c>
      <c r="VY1" s="644" t="s">
        <v>1625</v>
      </c>
      <c r="VZ1" s="644" t="s">
        <v>1626</v>
      </c>
      <c r="WA1" s="644" t="s">
        <v>1627</v>
      </c>
      <c r="WB1" s="644" t="s">
        <v>1628</v>
      </c>
      <c r="WC1" s="644" t="s">
        <v>1629</v>
      </c>
      <c r="WD1" s="644" t="s">
        <v>1630</v>
      </c>
      <c r="WE1" s="644" t="s">
        <v>1631</v>
      </c>
      <c r="WF1" s="644" t="s">
        <v>1632</v>
      </c>
      <c r="WG1" s="644" t="s">
        <v>1633</v>
      </c>
      <c r="WH1" s="644" t="s">
        <v>1634</v>
      </c>
      <c r="WI1" s="644" t="s">
        <v>1635</v>
      </c>
      <c r="WJ1" s="644" t="s">
        <v>1636</v>
      </c>
      <c r="WK1" s="644" t="s">
        <v>1637</v>
      </c>
      <c r="WL1" s="644" t="s">
        <v>1638</v>
      </c>
      <c r="WM1" s="644" t="s">
        <v>1639</v>
      </c>
      <c r="WN1" s="644" t="s">
        <v>1640</v>
      </c>
      <c r="WO1" s="644" t="s">
        <v>1641</v>
      </c>
      <c r="WP1" s="644" t="s">
        <v>1642</v>
      </c>
      <c r="WQ1" s="644" t="s">
        <v>1643</v>
      </c>
      <c r="WR1" s="644" t="s">
        <v>1644</v>
      </c>
      <c r="WS1" s="644" t="s">
        <v>1645</v>
      </c>
      <c r="WT1" s="644" t="s">
        <v>1646</v>
      </c>
      <c r="WU1" s="644" t="s">
        <v>1647</v>
      </c>
      <c r="WV1" s="644" t="s">
        <v>1648</v>
      </c>
      <c r="WW1" s="644" t="s">
        <v>1649</v>
      </c>
      <c r="WX1" s="644" t="s">
        <v>1650</v>
      </c>
      <c r="WY1" s="644" t="s">
        <v>1651</v>
      </c>
      <c r="WZ1" s="644" t="s">
        <v>1652</v>
      </c>
      <c r="XA1" s="644" t="s">
        <v>1653</v>
      </c>
      <c r="XB1" s="644" t="s">
        <v>1654</v>
      </c>
      <c r="XC1" s="644" t="s">
        <v>1655</v>
      </c>
      <c r="XD1" s="644" t="s">
        <v>1656</v>
      </c>
      <c r="XE1" s="644" t="s">
        <v>1657</v>
      </c>
      <c r="XF1" s="644" t="s">
        <v>1658</v>
      </c>
      <c r="XG1" s="644" t="s">
        <v>1659</v>
      </c>
      <c r="XH1" s="644" t="s">
        <v>1660</v>
      </c>
      <c r="XI1" s="644" t="s">
        <v>1661</v>
      </c>
      <c r="XJ1" s="644" t="s">
        <v>1662</v>
      </c>
      <c r="XK1" s="644" t="s">
        <v>1663</v>
      </c>
      <c r="XL1" s="644" t="s">
        <v>1664</v>
      </c>
      <c r="XM1" s="644" t="s">
        <v>1665</v>
      </c>
      <c r="XN1" s="644" t="s">
        <v>1666</v>
      </c>
      <c r="XO1" s="644" t="s">
        <v>1667</v>
      </c>
      <c r="XP1" s="644" t="s">
        <v>1668</v>
      </c>
      <c r="XQ1" s="644" t="s">
        <v>1669</v>
      </c>
      <c r="XR1" s="644" t="s">
        <v>1670</v>
      </c>
      <c r="XS1" s="644" t="s">
        <v>1671</v>
      </c>
      <c r="XT1" s="644" t="s">
        <v>1672</v>
      </c>
      <c r="XU1" s="644" t="s">
        <v>1673</v>
      </c>
      <c r="XV1" s="644" t="s">
        <v>1674</v>
      </c>
      <c r="XW1" s="644" t="s">
        <v>1675</v>
      </c>
      <c r="XX1" s="644" t="s">
        <v>1676</v>
      </c>
      <c r="XY1" s="644" t="s">
        <v>1677</v>
      </c>
      <c r="XZ1" s="644" t="s">
        <v>1678</v>
      </c>
      <c r="YA1" s="644" t="s">
        <v>1679</v>
      </c>
      <c r="YB1" s="644" t="s">
        <v>1680</v>
      </c>
      <c r="YC1" s="644" t="s">
        <v>1681</v>
      </c>
      <c r="YD1" s="644" t="s">
        <v>1682</v>
      </c>
      <c r="YE1" s="644" t="s">
        <v>1683</v>
      </c>
      <c r="YF1" s="644" t="s">
        <v>1684</v>
      </c>
      <c r="YG1" s="644" t="s">
        <v>1685</v>
      </c>
      <c r="YH1" s="644" t="s">
        <v>1686</v>
      </c>
      <c r="YI1" s="644" t="s">
        <v>1687</v>
      </c>
      <c r="YJ1" s="644" t="s">
        <v>1688</v>
      </c>
      <c r="YK1" s="644" t="s">
        <v>1689</v>
      </c>
      <c r="YL1" s="644" t="s">
        <v>1690</v>
      </c>
      <c r="YM1" s="644" t="s">
        <v>1691</v>
      </c>
      <c r="YN1" s="644" t="s">
        <v>1692</v>
      </c>
      <c r="YO1" s="644" t="s">
        <v>1693</v>
      </c>
      <c r="YP1" s="644" t="s">
        <v>1694</v>
      </c>
      <c r="YQ1" s="644" t="s">
        <v>2685</v>
      </c>
      <c r="YR1" s="644" t="s">
        <v>2686</v>
      </c>
      <c r="YS1" s="644" t="s">
        <v>2687</v>
      </c>
      <c r="YT1" s="644" t="s">
        <v>2688</v>
      </c>
      <c r="YU1" s="644" t="s">
        <v>2689</v>
      </c>
      <c r="YV1" s="644" t="s">
        <v>2690</v>
      </c>
      <c r="YW1" s="644" t="s">
        <v>2691</v>
      </c>
      <c r="YX1" s="644" t="s">
        <v>2692</v>
      </c>
      <c r="YY1" s="644" t="s">
        <v>2693</v>
      </c>
      <c r="YZ1" s="644" t="s">
        <v>2694</v>
      </c>
      <c r="ZA1" s="644" t="s">
        <v>2695</v>
      </c>
      <c r="ZB1" s="644" t="s">
        <v>2696</v>
      </c>
      <c r="ZC1" s="644" t="s">
        <v>2697</v>
      </c>
      <c r="ZD1" s="644" t="s">
        <v>2698</v>
      </c>
      <c r="ZE1" s="644" t="s">
        <v>2699</v>
      </c>
      <c r="ZF1" s="644" t="s">
        <v>2700</v>
      </c>
      <c r="ZG1" s="644" t="s">
        <v>2701</v>
      </c>
      <c r="ZH1" s="644" t="s">
        <v>2702</v>
      </c>
      <c r="ZI1" s="644" t="s">
        <v>2703</v>
      </c>
      <c r="ZJ1" s="644" t="s">
        <v>2704</v>
      </c>
      <c r="ZK1" s="644" t="s">
        <v>2705</v>
      </c>
      <c r="ZL1" s="644" t="s">
        <v>2706</v>
      </c>
      <c r="ZM1" s="644" t="s">
        <v>2707</v>
      </c>
      <c r="ZN1" s="644" t="s">
        <v>2708</v>
      </c>
      <c r="ZO1" s="644" t="s">
        <v>2709</v>
      </c>
      <c r="ZP1" s="644" t="s">
        <v>2710</v>
      </c>
      <c r="ZQ1" s="644" t="s">
        <v>2711</v>
      </c>
      <c r="ZR1" s="644" t="s">
        <v>2712</v>
      </c>
      <c r="ZS1" s="644" t="s">
        <v>2713</v>
      </c>
      <c r="ZT1" s="644" t="s">
        <v>2714</v>
      </c>
      <c r="ZU1" s="644" t="s">
        <v>2715</v>
      </c>
      <c r="ZV1" s="644" t="s">
        <v>2716</v>
      </c>
      <c r="ZW1" s="644" t="s">
        <v>2717</v>
      </c>
      <c r="ZX1" s="644" t="s">
        <v>2718</v>
      </c>
      <c r="ZY1" s="644" t="s">
        <v>2719</v>
      </c>
      <c r="ZZ1" s="644" t="s">
        <v>2720</v>
      </c>
      <c r="AAA1" s="644" t="s">
        <v>2721</v>
      </c>
      <c r="AAB1" s="644" t="s">
        <v>2722</v>
      </c>
      <c r="AAC1" s="644" t="s">
        <v>2723</v>
      </c>
      <c r="AAD1" s="644" t="s">
        <v>2724</v>
      </c>
      <c r="AAE1" s="644" t="s">
        <v>2725</v>
      </c>
      <c r="AAF1" s="644" t="s">
        <v>2726</v>
      </c>
      <c r="AAG1" s="644" t="s">
        <v>2727</v>
      </c>
      <c r="AAH1" s="644" t="s">
        <v>2728</v>
      </c>
      <c r="AAI1" s="644" t="s">
        <v>2729</v>
      </c>
      <c r="AAJ1" s="644" t="s">
        <v>2730</v>
      </c>
      <c r="AAK1" s="644" t="s">
        <v>2731</v>
      </c>
      <c r="AAL1" s="644" t="s">
        <v>2732</v>
      </c>
      <c r="AAM1" s="644" t="s">
        <v>2733</v>
      </c>
      <c r="AAN1" s="644" t="s">
        <v>2734</v>
      </c>
      <c r="AAO1" s="644" t="s">
        <v>2735</v>
      </c>
      <c r="AAP1" s="644" t="s">
        <v>2736</v>
      </c>
      <c r="AAQ1" s="644" t="s">
        <v>2737</v>
      </c>
      <c r="AAR1" s="644" t="s">
        <v>2738</v>
      </c>
      <c r="AAS1" s="644" t="s">
        <v>2739</v>
      </c>
      <c r="AAT1" s="645" t="s">
        <v>2740</v>
      </c>
      <c r="AAU1" s="644" t="s">
        <v>2741</v>
      </c>
      <c r="AAV1" s="645" t="s">
        <v>2742</v>
      </c>
      <c r="AAW1" s="644" t="s">
        <v>2743</v>
      </c>
      <c r="AAX1" s="644" t="s">
        <v>2744</v>
      </c>
      <c r="AAY1" s="644" t="s">
        <v>2745</v>
      </c>
      <c r="AAZ1" s="644" t="s">
        <v>2746</v>
      </c>
      <c r="ABA1" s="644" t="s">
        <v>2747</v>
      </c>
      <c r="ABB1" s="644" t="s">
        <v>2748</v>
      </c>
      <c r="ABC1" s="644" t="s">
        <v>2749</v>
      </c>
      <c r="ABD1" s="644" t="s">
        <v>2750</v>
      </c>
      <c r="ABE1" s="644" t="s">
        <v>2751</v>
      </c>
      <c r="ABF1" s="644" t="s">
        <v>2752</v>
      </c>
      <c r="ABG1" s="644" t="s">
        <v>2753</v>
      </c>
      <c r="ABH1" s="644" t="s">
        <v>2754</v>
      </c>
      <c r="ABI1" s="644" t="s">
        <v>2755</v>
      </c>
      <c r="ABJ1" s="644" t="s">
        <v>2756</v>
      </c>
      <c r="ABK1" s="644" t="s">
        <v>2757</v>
      </c>
      <c r="ABL1" s="644" t="s">
        <v>2758</v>
      </c>
      <c r="ABM1" s="644" t="s">
        <v>2759</v>
      </c>
      <c r="ABN1" s="644" t="s">
        <v>2760</v>
      </c>
      <c r="ABO1" s="644" t="s">
        <v>2761</v>
      </c>
      <c r="ABP1" s="644" t="s">
        <v>2762</v>
      </c>
      <c r="ABQ1" s="644" t="s">
        <v>2763</v>
      </c>
      <c r="ABR1" s="644" t="s">
        <v>2764</v>
      </c>
      <c r="ABS1" s="644" t="s">
        <v>2765</v>
      </c>
      <c r="ABT1" s="644" t="s">
        <v>2766</v>
      </c>
      <c r="ABU1" s="645" t="s">
        <v>2767</v>
      </c>
      <c r="ABV1" s="644" t="s">
        <v>2768</v>
      </c>
      <c r="ABW1" s="644" t="s">
        <v>2769</v>
      </c>
      <c r="ABX1" s="644" t="s">
        <v>2770</v>
      </c>
      <c r="ABY1" s="644" t="s">
        <v>2771</v>
      </c>
      <c r="ABZ1" s="644" t="s">
        <v>2772</v>
      </c>
      <c r="ACA1" s="645" t="s">
        <v>2773</v>
      </c>
      <c r="ACB1" s="644" t="s">
        <v>2774</v>
      </c>
      <c r="ACC1" s="644" t="s">
        <v>1695</v>
      </c>
      <c r="ACD1" s="644" t="s">
        <v>1696</v>
      </c>
      <c r="ACE1" s="644" t="s">
        <v>1697</v>
      </c>
      <c r="ACF1" s="644" t="s">
        <v>1698</v>
      </c>
      <c r="ACG1" s="644" t="s">
        <v>1699</v>
      </c>
      <c r="ACH1" s="644" t="s">
        <v>1700</v>
      </c>
      <c r="ACI1" s="644" t="s">
        <v>1701</v>
      </c>
      <c r="ACJ1" s="644" t="s">
        <v>1702</v>
      </c>
      <c r="ACK1" s="644" t="s">
        <v>1703</v>
      </c>
      <c r="ACL1" s="644" t="s">
        <v>1704</v>
      </c>
      <c r="ACM1" s="644" t="s">
        <v>1705</v>
      </c>
      <c r="ACN1" s="644" t="s">
        <v>1706</v>
      </c>
      <c r="ACO1" s="644" t="s">
        <v>1707</v>
      </c>
      <c r="ACP1" s="644" t="s">
        <v>1708</v>
      </c>
      <c r="ACQ1" s="644" t="s">
        <v>1709</v>
      </c>
      <c r="ACR1" s="644" t="s">
        <v>1710</v>
      </c>
      <c r="ACS1" s="644" t="s">
        <v>1711</v>
      </c>
      <c r="ACT1" s="644" t="s">
        <v>2775</v>
      </c>
      <c r="ACU1" s="644" t="s">
        <v>2776</v>
      </c>
      <c r="ACV1" s="644" t="s">
        <v>2777</v>
      </c>
      <c r="ACW1" s="644" t="s">
        <v>2778</v>
      </c>
      <c r="ACX1" s="644" t="s">
        <v>2779</v>
      </c>
      <c r="ACY1" s="644" t="s">
        <v>2780</v>
      </c>
      <c r="ACZ1" s="644" t="s">
        <v>2781</v>
      </c>
      <c r="ADA1" s="644" t="s">
        <v>2782</v>
      </c>
      <c r="ADB1" s="644" t="s">
        <v>2783</v>
      </c>
      <c r="ADC1" s="644" t="s">
        <v>2784</v>
      </c>
      <c r="ADD1" s="644" t="s">
        <v>2785</v>
      </c>
      <c r="ADE1" s="644" t="s">
        <v>2786</v>
      </c>
      <c r="ADF1" s="644" t="s">
        <v>2787</v>
      </c>
      <c r="ADG1" s="644" t="s">
        <v>2788</v>
      </c>
      <c r="ADH1" s="644" t="s">
        <v>2789</v>
      </c>
      <c r="ADI1" s="644" t="s">
        <v>2790</v>
      </c>
      <c r="ADJ1" s="644" t="s">
        <v>2791</v>
      </c>
      <c r="ADK1" s="644" t="s">
        <v>2792</v>
      </c>
      <c r="ADL1" s="644" t="s">
        <v>2793</v>
      </c>
      <c r="ADM1" s="644" t="s">
        <v>2794</v>
      </c>
      <c r="ADN1" s="644" t="s">
        <v>2795</v>
      </c>
      <c r="ADO1" s="644" t="s">
        <v>2796</v>
      </c>
      <c r="ADP1" s="644" t="s">
        <v>2797</v>
      </c>
      <c r="ADQ1" s="644" t="s">
        <v>2798</v>
      </c>
      <c r="ADR1" s="644" t="s">
        <v>2799</v>
      </c>
      <c r="ADS1" s="644" t="s">
        <v>2800</v>
      </c>
      <c r="ADT1" s="644" t="s">
        <v>2801</v>
      </c>
      <c r="ADU1" s="644" t="s">
        <v>2802</v>
      </c>
      <c r="ADV1" s="644" t="s">
        <v>2803</v>
      </c>
      <c r="ADW1" s="644" t="s">
        <v>2804</v>
      </c>
      <c r="ADX1" s="645" t="s">
        <v>2805</v>
      </c>
      <c r="ADY1" s="644" t="s">
        <v>2806</v>
      </c>
      <c r="ADZ1" s="644" t="s">
        <v>2807</v>
      </c>
      <c r="AEA1" s="644" t="s">
        <v>2808</v>
      </c>
      <c r="AEB1" s="644" t="s">
        <v>2809</v>
      </c>
      <c r="AEC1" s="644" t="s">
        <v>2810</v>
      </c>
      <c r="AED1" s="644" t="s">
        <v>2811</v>
      </c>
      <c r="AEE1" s="644" t="s">
        <v>2812</v>
      </c>
      <c r="AEF1" s="644" t="s">
        <v>2813</v>
      </c>
      <c r="AEG1" s="644" t="s">
        <v>2814</v>
      </c>
      <c r="AEH1" s="644" t="s">
        <v>2815</v>
      </c>
      <c r="AEI1" s="644" t="s">
        <v>2816</v>
      </c>
      <c r="AEJ1" s="644" t="s">
        <v>2817</v>
      </c>
      <c r="AEK1" s="644" t="s">
        <v>2818</v>
      </c>
      <c r="AEL1" s="644" t="s">
        <v>2819</v>
      </c>
      <c r="AEM1" s="644" t="s">
        <v>2820</v>
      </c>
      <c r="AEN1" s="644" t="s">
        <v>2821</v>
      </c>
      <c r="AEO1" s="644" t="s">
        <v>2822</v>
      </c>
      <c r="AEP1" s="644" t="s">
        <v>2823</v>
      </c>
      <c r="AEQ1" s="644" t="s">
        <v>2824</v>
      </c>
      <c r="AER1" s="645" t="s">
        <v>2825</v>
      </c>
      <c r="AES1" s="644" t="s">
        <v>2826</v>
      </c>
      <c r="AET1" s="644" t="s">
        <v>2827</v>
      </c>
      <c r="AEU1" s="644" t="s">
        <v>2828</v>
      </c>
      <c r="AEV1" s="644" t="s">
        <v>2829</v>
      </c>
      <c r="AEW1" s="644" t="s">
        <v>2830</v>
      </c>
      <c r="AEX1" s="644" t="s">
        <v>2831</v>
      </c>
      <c r="AEY1" s="644" t="s">
        <v>2832</v>
      </c>
      <c r="AEZ1" s="644" t="s">
        <v>2833</v>
      </c>
      <c r="AFA1" s="644" t="s">
        <v>2834</v>
      </c>
      <c r="AFB1" s="644" t="s">
        <v>2835</v>
      </c>
      <c r="AFC1" s="644" t="s">
        <v>2836</v>
      </c>
      <c r="AFD1" s="644" t="s">
        <v>2837</v>
      </c>
      <c r="AFE1" s="644" t="s">
        <v>2838</v>
      </c>
      <c r="AFF1" s="644" t="s">
        <v>2839</v>
      </c>
      <c r="AFG1" s="644" t="s">
        <v>2840</v>
      </c>
      <c r="AFH1" s="644" t="s">
        <v>2841</v>
      </c>
      <c r="AFI1" s="644" t="s">
        <v>2842</v>
      </c>
      <c r="AFJ1" s="644" t="s">
        <v>2843</v>
      </c>
      <c r="AFK1" s="644" t="s">
        <v>2844</v>
      </c>
      <c r="AFL1" s="644" t="s">
        <v>2845</v>
      </c>
      <c r="AFM1" s="644" t="s">
        <v>2846</v>
      </c>
      <c r="AFN1" s="644" t="s">
        <v>2847</v>
      </c>
      <c r="AFO1" s="644" t="s">
        <v>2848</v>
      </c>
      <c r="AFP1" s="644" t="s">
        <v>2849</v>
      </c>
      <c r="AFQ1" s="644" t="s">
        <v>1712</v>
      </c>
      <c r="AFR1" s="644" t="s">
        <v>1713</v>
      </c>
      <c r="AFS1" s="644" t="s">
        <v>1714</v>
      </c>
      <c r="AFT1" s="644" t="s">
        <v>1715</v>
      </c>
      <c r="AFU1" s="644" t="s">
        <v>1716</v>
      </c>
      <c r="AFV1" s="644" t="s">
        <v>1717</v>
      </c>
      <c r="AFW1" s="644" t="s">
        <v>1718</v>
      </c>
      <c r="AFX1" s="644" t="s">
        <v>1719</v>
      </c>
      <c r="AFY1" s="644" t="s">
        <v>1720</v>
      </c>
      <c r="AFZ1" s="644" t="s">
        <v>1721</v>
      </c>
      <c r="AGA1" s="644" t="s">
        <v>1722</v>
      </c>
      <c r="AGB1" s="644" t="s">
        <v>1723</v>
      </c>
      <c r="AGC1" s="644" t="s">
        <v>1724</v>
      </c>
      <c r="AGD1" s="644" t="s">
        <v>1725</v>
      </c>
      <c r="AGE1" s="644" t="s">
        <v>1726</v>
      </c>
      <c r="AGF1" s="644" t="s">
        <v>1727</v>
      </c>
      <c r="AGG1" s="644" t="s">
        <v>1728</v>
      </c>
      <c r="AGH1" s="644" t="s">
        <v>1729</v>
      </c>
      <c r="AGI1" s="644" t="s">
        <v>1730</v>
      </c>
      <c r="AGJ1" s="644" t="s">
        <v>1731</v>
      </c>
      <c r="AGK1" s="644" t="s">
        <v>1732</v>
      </c>
      <c r="AGL1" s="644" t="s">
        <v>1733</v>
      </c>
      <c r="AGM1" s="644" t="s">
        <v>1734</v>
      </c>
      <c r="AGN1" s="644" t="s">
        <v>1735</v>
      </c>
      <c r="AGO1" s="644" t="s">
        <v>1736</v>
      </c>
      <c r="AGP1" s="644" t="s">
        <v>1737</v>
      </c>
      <c r="AGQ1" s="644" t="s">
        <v>1738</v>
      </c>
      <c r="AGR1" s="644" t="s">
        <v>1739</v>
      </c>
      <c r="AGS1" s="644" t="s">
        <v>1740</v>
      </c>
      <c r="AGT1" s="644" t="s">
        <v>1741</v>
      </c>
      <c r="AGU1" s="644" t="s">
        <v>1742</v>
      </c>
      <c r="AGV1" s="644" t="s">
        <v>1743</v>
      </c>
      <c r="AGW1" s="644" t="s">
        <v>1744</v>
      </c>
      <c r="AGX1" s="644" t="s">
        <v>1745</v>
      </c>
      <c r="AGY1" s="644" t="s">
        <v>1746</v>
      </c>
      <c r="AGZ1" s="644" t="s">
        <v>1747</v>
      </c>
      <c r="AHA1" s="644" t="s">
        <v>1748</v>
      </c>
      <c r="AHB1" s="644" t="s">
        <v>1749</v>
      </c>
      <c r="AHC1" s="644" t="s">
        <v>1750</v>
      </c>
      <c r="AHD1" s="644" t="s">
        <v>1751</v>
      </c>
      <c r="AHE1" s="644" t="s">
        <v>1752</v>
      </c>
      <c r="AHF1" s="644" t="s">
        <v>1753</v>
      </c>
      <c r="AHG1" s="644" t="s">
        <v>1754</v>
      </c>
      <c r="AHH1" s="644" t="s">
        <v>1755</v>
      </c>
      <c r="AHI1" s="644" t="s">
        <v>1756</v>
      </c>
      <c r="AHJ1" s="644" t="s">
        <v>2850</v>
      </c>
      <c r="AHK1" s="644" t="s">
        <v>2851</v>
      </c>
      <c r="AHL1" s="644" t="s">
        <v>2852</v>
      </c>
      <c r="AHM1" s="644" t="s">
        <v>2853</v>
      </c>
      <c r="AHN1" s="644" t="s">
        <v>2854</v>
      </c>
      <c r="AHO1" s="644" t="s">
        <v>2855</v>
      </c>
      <c r="AHP1" s="644" t="s">
        <v>2856</v>
      </c>
      <c r="AHQ1" s="644" t="s">
        <v>2857</v>
      </c>
      <c r="AHR1" s="644" t="s">
        <v>2858</v>
      </c>
      <c r="AHS1" s="644" t="s">
        <v>2859</v>
      </c>
      <c r="AHT1" s="644" t="s">
        <v>2860</v>
      </c>
      <c r="AHU1" s="644" t="s">
        <v>2861</v>
      </c>
      <c r="AHV1" s="644" t="s">
        <v>2862</v>
      </c>
      <c r="AHW1" s="644" t="s">
        <v>2863</v>
      </c>
      <c r="AHX1" s="644" t="s">
        <v>2864</v>
      </c>
      <c r="AHY1" s="644" t="s">
        <v>1757</v>
      </c>
      <c r="AHZ1" s="644" t="s">
        <v>1758</v>
      </c>
      <c r="AIA1" s="644" t="s">
        <v>1759</v>
      </c>
      <c r="AIB1" s="644" t="s">
        <v>1760</v>
      </c>
      <c r="AIC1" s="644" t="s">
        <v>1761</v>
      </c>
      <c r="AID1" s="644" t="s">
        <v>1762</v>
      </c>
      <c r="AIE1" s="644" t="s">
        <v>1763</v>
      </c>
      <c r="AIF1" s="644" t="s">
        <v>1764</v>
      </c>
      <c r="AIG1" s="644" t="s">
        <v>1765</v>
      </c>
      <c r="AIH1" s="644" t="s">
        <v>1766</v>
      </c>
      <c r="AII1" s="644" t="s">
        <v>1767</v>
      </c>
      <c r="AIJ1" s="644" t="s">
        <v>1768</v>
      </c>
      <c r="AIK1" s="644" t="s">
        <v>1769</v>
      </c>
      <c r="AIL1" s="644" t="s">
        <v>1770</v>
      </c>
      <c r="AIM1" s="644" t="s">
        <v>1771</v>
      </c>
      <c r="AIN1" s="644" t="s">
        <v>1772</v>
      </c>
      <c r="AIO1" s="644" t="s">
        <v>1773</v>
      </c>
      <c r="AIP1" s="644" t="s">
        <v>1774</v>
      </c>
      <c r="AIQ1" s="644" t="s">
        <v>1775</v>
      </c>
      <c r="AIR1" s="644" t="s">
        <v>1776</v>
      </c>
      <c r="AIS1" s="644" t="s">
        <v>1777</v>
      </c>
      <c r="AIT1" s="644" t="s">
        <v>1778</v>
      </c>
      <c r="AIU1" s="644" t="s">
        <v>1779</v>
      </c>
      <c r="AIV1" s="644" t="s">
        <v>1780</v>
      </c>
      <c r="AIW1" s="644" t="s">
        <v>1781</v>
      </c>
      <c r="AIX1" s="644" t="s">
        <v>1782</v>
      </c>
      <c r="AIY1" s="644" t="s">
        <v>1783</v>
      </c>
      <c r="AIZ1" s="644" t="s">
        <v>1784</v>
      </c>
      <c r="AJA1" s="644" t="s">
        <v>1785</v>
      </c>
      <c r="AJB1" s="644" t="s">
        <v>1786</v>
      </c>
      <c r="AJC1" s="644" t="s">
        <v>1787</v>
      </c>
      <c r="AJD1" s="644" t="s">
        <v>1788</v>
      </c>
      <c r="AJE1" s="644" t="s">
        <v>1789</v>
      </c>
      <c r="AJF1" s="644" t="s">
        <v>1790</v>
      </c>
      <c r="AJG1" s="644" t="s">
        <v>1791</v>
      </c>
      <c r="AJH1" s="644" t="s">
        <v>1792</v>
      </c>
      <c r="AJI1" s="644" t="s">
        <v>1793</v>
      </c>
      <c r="AJJ1" s="644" t="s">
        <v>1794</v>
      </c>
      <c r="AJK1" s="644" t="s">
        <v>2865</v>
      </c>
      <c r="AJL1" s="644" t="s">
        <v>2866</v>
      </c>
      <c r="AJM1" s="644" t="s">
        <v>2867</v>
      </c>
      <c r="AJN1" s="644" t="s">
        <v>2868</v>
      </c>
      <c r="AJO1" s="644" t="s">
        <v>2869</v>
      </c>
      <c r="AJP1" s="644" t="s">
        <v>2870</v>
      </c>
      <c r="AJQ1" s="644" t="s">
        <v>2871</v>
      </c>
      <c r="AJR1" s="644" t="s">
        <v>2872</v>
      </c>
      <c r="AJS1" s="644" t="s">
        <v>2873</v>
      </c>
      <c r="AJT1" s="644" t="s">
        <v>2874</v>
      </c>
      <c r="AJU1" s="644" t="s">
        <v>2875</v>
      </c>
      <c r="AJV1" s="644" t="s">
        <v>2876</v>
      </c>
      <c r="AJW1" s="644" t="s">
        <v>1795</v>
      </c>
      <c r="AJX1" s="644" t="s">
        <v>1796</v>
      </c>
      <c r="AJY1" s="644" t="s">
        <v>1797</v>
      </c>
      <c r="AJZ1" s="644" t="s">
        <v>1798</v>
      </c>
      <c r="AKA1" s="644" t="s">
        <v>1799</v>
      </c>
      <c r="AKB1" s="644" t="s">
        <v>1800</v>
      </c>
      <c r="AKC1" s="644" t="s">
        <v>1801</v>
      </c>
      <c r="AKD1" s="644" t="s">
        <v>1802</v>
      </c>
      <c r="AKE1" s="644" t="s">
        <v>1803</v>
      </c>
      <c r="AKF1" s="644" t="s">
        <v>1804</v>
      </c>
      <c r="AKG1" s="644" t="s">
        <v>1805</v>
      </c>
      <c r="AKH1" s="644" t="s">
        <v>1806</v>
      </c>
      <c r="AKI1" s="644" t="s">
        <v>1807</v>
      </c>
      <c r="AKJ1" s="644" t="s">
        <v>1808</v>
      </c>
      <c r="AKK1" s="644" t="s">
        <v>1809</v>
      </c>
      <c r="AKL1" s="644" t="s">
        <v>1810</v>
      </c>
      <c r="AKM1" s="644" t="s">
        <v>1811</v>
      </c>
      <c r="AKN1" s="644" t="s">
        <v>1812</v>
      </c>
      <c r="AKO1" s="644" t="s">
        <v>1813</v>
      </c>
      <c r="AKP1" s="644" t="s">
        <v>1814</v>
      </c>
      <c r="AKQ1" s="644" t="s">
        <v>1815</v>
      </c>
      <c r="AKR1" s="644" t="s">
        <v>1816</v>
      </c>
      <c r="AKS1" s="644" t="s">
        <v>1817</v>
      </c>
      <c r="AKT1" s="644" t="s">
        <v>1818</v>
      </c>
      <c r="AKU1" s="644" t="s">
        <v>1819</v>
      </c>
      <c r="AKV1" s="644" t="s">
        <v>1820</v>
      </c>
      <c r="AKW1" s="644" t="s">
        <v>1821</v>
      </c>
      <c r="AKX1" s="644" t="s">
        <v>1822</v>
      </c>
      <c r="AKY1" s="644" t="s">
        <v>1823</v>
      </c>
      <c r="AKZ1" s="644" t="s">
        <v>1824</v>
      </c>
      <c r="ALA1" s="644" t="s">
        <v>1825</v>
      </c>
      <c r="ALB1" s="644" t="s">
        <v>1826</v>
      </c>
      <c r="ALC1" s="644" t="s">
        <v>1827</v>
      </c>
      <c r="ALD1" s="644" t="s">
        <v>1828</v>
      </c>
      <c r="ALE1" s="644" t="s">
        <v>1829</v>
      </c>
      <c r="ALF1" s="644" t="s">
        <v>1830</v>
      </c>
      <c r="ALG1" s="644" t="s">
        <v>1831</v>
      </c>
      <c r="ALH1" s="644" t="s">
        <v>1832</v>
      </c>
      <c r="ALI1" s="644" t="s">
        <v>1833</v>
      </c>
      <c r="ALJ1" s="644" t="s">
        <v>1834</v>
      </c>
      <c r="ALK1" s="644" t="s">
        <v>1835</v>
      </c>
      <c r="ALL1" s="644" t="s">
        <v>1836</v>
      </c>
      <c r="ALM1" s="644" t="s">
        <v>1837</v>
      </c>
      <c r="ALN1" s="644" t="s">
        <v>1838</v>
      </c>
      <c r="ALO1" s="644" t="s">
        <v>1839</v>
      </c>
      <c r="ALP1" s="644" t="s">
        <v>1840</v>
      </c>
      <c r="ALQ1" s="644" t="s">
        <v>1841</v>
      </c>
      <c r="ALR1" s="644" t="s">
        <v>1842</v>
      </c>
      <c r="ALS1" s="644" t="s">
        <v>1843</v>
      </c>
      <c r="ALT1" s="644" t="s">
        <v>340</v>
      </c>
      <c r="ALU1" s="644" t="s">
        <v>1844</v>
      </c>
      <c r="ALV1" s="644" t="s">
        <v>1845</v>
      </c>
      <c r="ALW1" s="644" t="s">
        <v>1846</v>
      </c>
      <c r="ALX1" s="644" t="s">
        <v>1847</v>
      </c>
      <c r="ALY1" s="644" t="s">
        <v>1848</v>
      </c>
      <c r="ALZ1" s="644" t="s">
        <v>1849</v>
      </c>
      <c r="AMA1" s="644" t="s">
        <v>1850</v>
      </c>
      <c r="AMB1" s="644" t="s">
        <v>1851</v>
      </c>
      <c r="AMC1" s="644" t="s">
        <v>1852</v>
      </c>
      <c r="AMD1" s="644" t="s">
        <v>1853</v>
      </c>
      <c r="AME1" s="644" t="s">
        <v>1854</v>
      </c>
      <c r="AMF1" s="644" t="s">
        <v>1855</v>
      </c>
      <c r="AMG1" s="644" t="s">
        <v>1856</v>
      </c>
      <c r="AMH1" s="644" t="s">
        <v>1857</v>
      </c>
      <c r="AMI1" s="644" t="s">
        <v>1858</v>
      </c>
      <c r="AMJ1" s="644" t="s">
        <v>1859</v>
      </c>
      <c r="AMK1" s="644" t="s">
        <v>1860</v>
      </c>
      <c r="AML1" s="644" t="s">
        <v>1861</v>
      </c>
      <c r="AMM1" s="644" t="s">
        <v>1862</v>
      </c>
      <c r="AMN1" s="644" t="s">
        <v>1863</v>
      </c>
      <c r="AMO1" s="644" t="s">
        <v>1864</v>
      </c>
      <c r="AMP1" s="644" t="s">
        <v>1865</v>
      </c>
      <c r="AMQ1" s="644" t="s">
        <v>1866</v>
      </c>
      <c r="AMR1" s="644" t="s">
        <v>1867</v>
      </c>
      <c r="AMS1" s="644" t="s">
        <v>1868</v>
      </c>
      <c r="AMT1" s="644" t="s">
        <v>1869</v>
      </c>
      <c r="AMU1" s="644" t="s">
        <v>1870</v>
      </c>
      <c r="AMV1" s="644" t="s">
        <v>1871</v>
      </c>
      <c r="AMW1" s="645" t="s">
        <v>1872</v>
      </c>
      <c r="AMX1" s="644" t="s">
        <v>1873</v>
      </c>
      <c r="AMY1" s="644" t="s">
        <v>1874</v>
      </c>
      <c r="AMZ1" s="644" t="s">
        <v>1875</v>
      </c>
      <c r="ANA1" s="644" t="s">
        <v>1876</v>
      </c>
      <c r="ANB1" s="644" t="s">
        <v>1877</v>
      </c>
      <c r="ANC1" s="644" t="s">
        <v>1878</v>
      </c>
      <c r="AND1" s="644" t="s">
        <v>1879</v>
      </c>
      <c r="ANE1" s="644" t="s">
        <v>1880</v>
      </c>
      <c r="ANF1" s="644" t="s">
        <v>1881</v>
      </c>
      <c r="ANG1" s="644" t="s">
        <v>1882</v>
      </c>
      <c r="ANH1" s="644" t="s">
        <v>1883</v>
      </c>
      <c r="ANI1" s="644" t="s">
        <v>1884</v>
      </c>
      <c r="ANJ1" s="644" t="s">
        <v>1885</v>
      </c>
      <c r="ANK1" s="644" t="s">
        <v>1886</v>
      </c>
      <c r="ANL1" s="644" t="s">
        <v>1887</v>
      </c>
      <c r="ANM1" s="644" t="s">
        <v>2877</v>
      </c>
      <c r="ANN1" s="644" t="s">
        <v>2878</v>
      </c>
      <c r="ANO1" s="644" t="s">
        <v>2879</v>
      </c>
      <c r="ANP1" s="644" t="s">
        <v>1888</v>
      </c>
      <c r="ANQ1" s="644" t="s">
        <v>1889</v>
      </c>
      <c r="ANR1" s="644" t="s">
        <v>1890</v>
      </c>
      <c r="ANS1" s="644" t="s">
        <v>1891</v>
      </c>
      <c r="ANT1" s="644" t="s">
        <v>1892</v>
      </c>
      <c r="ANU1" s="644" t="s">
        <v>1893</v>
      </c>
      <c r="ANV1" s="644" t="s">
        <v>1894</v>
      </c>
      <c r="ANW1" s="644" t="s">
        <v>1895</v>
      </c>
      <c r="ANX1" s="644" t="s">
        <v>1896</v>
      </c>
      <c r="ANY1" s="644" t="s">
        <v>1897</v>
      </c>
      <c r="ANZ1" s="644" t="s">
        <v>1898</v>
      </c>
      <c r="AOA1" s="644" t="s">
        <v>1899</v>
      </c>
      <c r="AOB1" s="644" t="s">
        <v>1900</v>
      </c>
      <c r="AOC1" s="644" t="s">
        <v>1901</v>
      </c>
      <c r="AOD1" s="644" t="s">
        <v>1902</v>
      </c>
      <c r="AOE1" s="644" t="s">
        <v>1903</v>
      </c>
      <c r="AOF1" s="644" t="s">
        <v>1904</v>
      </c>
      <c r="AOG1" s="644" t="s">
        <v>1905</v>
      </c>
      <c r="AOH1" s="644" t="s">
        <v>1906</v>
      </c>
    </row>
    <row r="2" spans="1:1074">
      <c r="A2" t="s">
        <v>2937</v>
      </c>
      <c r="B2">
        <v>4.5875000000000004</v>
      </c>
      <c r="D2">
        <v>3.9189891993775801</v>
      </c>
      <c r="F2">
        <v>5</v>
      </c>
      <c r="G2">
        <v>1474970.3079169099</v>
      </c>
      <c r="H2">
        <v>3001393.0684355702</v>
      </c>
      <c r="I2">
        <v>936694.08378745895</v>
      </c>
      <c r="J2">
        <v>1906063.5425907599</v>
      </c>
      <c r="K2">
        <v>1474970.3079169099</v>
      </c>
      <c r="L2">
        <v>3001393.0684355702</v>
      </c>
      <c r="M2">
        <v>936694.08378745895</v>
      </c>
      <c r="N2">
        <v>1906063.5425907599</v>
      </c>
      <c r="O2">
        <v>7606709.1984463502</v>
      </c>
      <c r="P2">
        <v>15478768.717768701</v>
      </c>
      <c r="Q2">
        <v>1474970.3079169099</v>
      </c>
      <c r="R2">
        <v>3001393.0684355702</v>
      </c>
      <c r="S2">
        <v>936694.08378745895</v>
      </c>
      <c r="T2">
        <v>1906063.5425907599</v>
      </c>
      <c r="U2">
        <v>1474970.3079169099</v>
      </c>
      <c r="V2">
        <v>3001393.0684355702</v>
      </c>
      <c r="W2">
        <v>936694.08378745895</v>
      </c>
      <c r="X2">
        <v>1906063.5425907599</v>
      </c>
      <c r="Y2">
        <v>7606709.1984463502</v>
      </c>
      <c r="Z2">
        <v>15478768.717768701</v>
      </c>
      <c r="AA2">
        <v>1474970.3079169099</v>
      </c>
      <c r="AB2">
        <v>3001393.0684355702</v>
      </c>
      <c r="AC2">
        <v>936694.08378745895</v>
      </c>
      <c r="AD2">
        <v>1906063.5425907599</v>
      </c>
      <c r="AE2">
        <v>1474970.3079169099</v>
      </c>
      <c r="AF2">
        <v>3001393.0684355702</v>
      </c>
      <c r="AG2">
        <v>936694.08378745895</v>
      </c>
      <c r="AH2">
        <v>1906063.5425907599</v>
      </c>
      <c r="AI2">
        <v>7606709.1984463502</v>
      </c>
      <c r="AJ2">
        <v>15478768.717768701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188658.992873093</v>
      </c>
      <c r="CF2">
        <v>428770.43834793899</v>
      </c>
      <c r="CG2">
        <v>188658.992873093</v>
      </c>
      <c r="CH2">
        <v>428770.43834793899</v>
      </c>
      <c r="CI2">
        <v>119809.708391419</v>
      </c>
      <c r="CJ2">
        <v>272294.79179867997</v>
      </c>
      <c r="CK2">
        <v>119809.708391419</v>
      </c>
      <c r="CL2">
        <v>272294.79179867997</v>
      </c>
      <c r="CM2">
        <v>188658.992873093</v>
      </c>
      <c r="CN2">
        <v>428770.43834793899</v>
      </c>
      <c r="CO2">
        <v>188658.992873093</v>
      </c>
      <c r="CP2">
        <v>428770.43834793899</v>
      </c>
      <c r="CQ2">
        <v>119809.708391419</v>
      </c>
      <c r="CR2">
        <v>272294.79179867997</v>
      </c>
      <c r="CS2">
        <v>119809.708391419</v>
      </c>
      <c r="CT2">
        <v>272294.79179867997</v>
      </c>
      <c r="CU2">
        <v>188658.992873093</v>
      </c>
      <c r="CV2">
        <v>428770.43834793899</v>
      </c>
      <c r="CW2">
        <v>188658.992873093</v>
      </c>
      <c r="CX2">
        <v>428770.43834793899</v>
      </c>
      <c r="CY2">
        <v>119809.708391419</v>
      </c>
      <c r="CZ2">
        <v>272294.79179867997</v>
      </c>
      <c r="DA2">
        <v>119809.708391419</v>
      </c>
      <c r="DB2">
        <v>272294.79179867997</v>
      </c>
      <c r="DC2">
        <v>972951.17654546397</v>
      </c>
      <c r="DD2">
        <v>2211252.6739669601</v>
      </c>
      <c r="DE2">
        <v>972951.17654546397</v>
      </c>
      <c r="DF2">
        <v>2211252.6739669601</v>
      </c>
      <c r="DG2">
        <v>972951.17654546397</v>
      </c>
      <c r="DH2">
        <v>2211252.6739669601</v>
      </c>
      <c r="DI2">
        <v>1286311.3150438201</v>
      </c>
      <c r="DJ2">
        <v>2572622.6300876299</v>
      </c>
      <c r="DK2">
        <v>1286311.3150438201</v>
      </c>
      <c r="DL2">
        <v>2572622.6300876299</v>
      </c>
      <c r="DM2">
        <v>816884.37539604004</v>
      </c>
      <c r="DN2">
        <v>1633768.7507920801</v>
      </c>
      <c r="DO2">
        <v>816884.37539603899</v>
      </c>
      <c r="DP2">
        <v>1633768.7507920801</v>
      </c>
      <c r="DQ2">
        <v>1286311.3150438201</v>
      </c>
      <c r="DR2">
        <v>2572622.6300876299</v>
      </c>
      <c r="DS2">
        <v>1286311.3150438201</v>
      </c>
      <c r="DT2">
        <v>2572622.6300876299</v>
      </c>
      <c r="DU2">
        <v>816884.37539604004</v>
      </c>
      <c r="DV2">
        <v>1633768.7507920801</v>
      </c>
      <c r="DW2">
        <v>816884.37539603899</v>
      </c>
      <c r="DX2">
        <v>1633768.7507920801</v>
      </c>
      <c r="DY2">
        <v>1286311.3150438201</v>
      </c>
      <c r="DZ2">
        <v>2572622.6300876299</v>
      </c>
      <c r="EA2">
        <v>1286311.3150438201</v>
      </c>
      <c r="EB2">
        <v>2572622.6300876299</v>
      </c>
      <c r="EC2">
        <v>816884.37539604004</v>
      </c>
      <c r="ED2">
        <v>1633768.7507920801</v>
      </c>
      <c r="EE2">
        <v>816884.37539603899</v>
      </c>
      <c r="EF2">
        <v>1633768.7507920801</v>
      </c>
      <c r="EG2">
        <v>6633758.0219008904</v>
      </c>
      <c r="EH2">
        <v>13267516.043801799</v>
      </c>
      <c r="EI2">
        <v>6633758.0219008904</v>
      </c>
      <c r="EJ2">
        <v>13267516.043801799</v>
      </c>
      <c r="EK2">
        <v>6633758.0219008904</v>
      </c>
      <c r="EL2">
        <v>13267516.043801799</v>
      </c>
      <c r="EM2">
        <v>0</v>
      </c>
      <c r="EN2">
        <v>0</v>
      </c>
      <c r="EO2">
        <v>0</v>
      </c>
      <c r="EP2">
        <v>0</v>
      </c>
      <c r="EQ2">
        <v>0</v>
      </c>
      <c r="ER2">
        <v>0</v>
      </c>
      <c r="ES2">
        <v>0</v>
      </c>
      <c r="ET2">
        <v>0</v>
      </c>
      <c r="EU2">
        <v>0</v>
      </c>
      <c r="EV2">
        <v>0</v>
      </c>
      <c r="EW2">
        <v>0</v>
      </c>
      <c r="EX2">
        <v>0</v>
      </c>
      <c r="EY2">
        <v>0</v>
      </c>
      <c r="EZ2">
        <v>0</v>
      </c>
      <c r="FA2">
        <v>0</v>
      </c>
      <c r="FB2">
        <v>0</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-5.8664113653978402</v>
      </c>
      <c r="GC2">
        <v>265.24084443787399</v>
      </c>
      <c r="GD2">
        <v>201.43517037711101</v>
      </c>
      <c r="GE2">
        <v>-2.20776901246527</v>
      </c>
      <c r="GF2">
        <v>172.21713749195101</v>
      </c>
      <c r="GG2">
        <v>128.499458136041</v>
      </c>
      <c r="GH2">
        <v>-4.30416885898895</v>
      </c>
      <c r="GI2">
        <v>265.16185844443498</v>
      </c>
      <c r="GJ2">
        <v>205.77364593340999</v>
      </c>
      <c r="GK2">
        <v>-1.1563712647284401</v>
      </c>
      <c r="GL2">
        <v>177.21505181776601</v>
      </c>
      <c r="GM2">
        <v>131.931397822127</v>
      </c>
      <c r="GN2">
        <v>-26.1537154499248</v>
      </c>
      <c r="GO2">
        <v>19.5530091152003</v>
      </c>
      <c r="GP2">
        <v>19.105680074811101</v>
      </c>
      <c r="GQ2">
        <v>58.762814511866402</v>
      </c>
      <c r="GR2">
        <v>144.75347626700901</v>
      </c>
      <c r="GS2">
        <v>842.828421760982</v>
      </c>
      <c r="GT2">
        <v>-16.805252660397102</v>
      </c>
      <c r="GU2">
        <v>19.510478870458901</v>
      </c>
      <c r="GV2">
        <v>19.067065590496199</v>
      </c>
      <c r="GW2">
        <v>39.167656751513199</v>
      </c>
      <c r="GX2">
        <v>94.204695984290893</v>
      </c>
      <c r="GY2">
        <v>543.19966735056505</v>
      </c>
      <c r="GZ2">
        <v>-26.390404409677899</v>
      </c>
      <c r="HA2">
        <v>19.678145003513499</v>
      </c>
      <c r="HB2">
        <v>19.2395527325701</v>
      </c>
      <c r="HC2">
        <v>61.354227843122899</v>
      </c>
      <c r="HD2">
        <v>145.93397748484401</v>
      </c>
      <c r="HE2">
        <v>847.45332002968996</v>
      </c>
      <c r="HF2">
        <v>-16.749790794029401</v>
      </c>
      <c r="HG2">
        <v>19.4972557267048</v>
      </c>
      <c r="HH2">
        <v>19.043012680777601</v>
      </c>
      <c r="HI2">
        <v>38.229334013090202</v>
      </c>
      <c r="HJ2">
        <v>94.879694320799899</v>
      </c>
      <c r="HK2">
        <v>549.42987002881705</v>
      </c>
      <c r="HL2">
        <v>5.9294753952684296</v>
      </c>
      <c r="HM2">
        <v>20.238717836489201</v>
      </c>
      <c r="HN2">
        <v>21.344187326321499</v>
      </c>
      <c r="HO2">
        <v>332.04526130840497</v>
      </c>
      <c r="HP2">
        <v>434.87352864501702</v>
      </c>
      <c r="HQ2">
        <v>19.663194189364699</v>
      </c>
      <c r="HR2">
        <v>207.866766437238</v>
      </c>
      <c r="HS2">
        <v>5.10617387156059</v>
      </c>
      <c r="HT2">
        <v>20.211322134652001</v>
      </c>
      <c r="HU2">
        <v>21.352444579297</v>
      </c>
      <c r="HV2">
        <v>203.93432540459699</v>
      </c>
      <c r="HW2">
        <v>280.10634700008899</v>
      </c>
      <c r="HX2">
        <v>19.605992299518899</v>
      </c>
      <c r="HY2">
        <v>133.20572641609499</v>
      </c>
      <c r="HZ2">
        <v>20.316895208480702</v>
      </c>
      <c r="IA2">
        <v>21.401488677058602</v>
      </c>
      <c r="IB2">
        <v>319.07623561512798</v>
      </c>
      <c r="IC2">
        <v>6.4943453704370002</v>
      </c>
      <c r="ID2">
        <v>443.24591985466702</v>
      </c>
      <c r="IE2">
        <v>19.809315737572199</v>
      </c>
      <c r="IF2">
        <v>211.73014173090499</v>
      </c>
      <c r="IG2">
        <v>22.322182271866701</v>
      </c>
      <c r="IH2">
        <v>20.185798844542202</v>
      </c>
      <c r="II2">
        <v>21.341182885945098</v>
      </c>
      <c r="IJ2">
        <v>208.022612506076</v>
      </c>
      <c r="IK2">
        <v>23.8595638067479</v>
      </c>
      <c r="IL2">
        <v>6.5093886188000702</v>
      </c>
      <c r="IM2">
        <v>287.89384803646101</v>
      </c>
      <c r="IN2">
        <v>19.5785969718121</v>
      </c>
      <c r="IO2">
        <v>0.90229682266200895</v>
      </c>
      <c r="IP2">
        <v>136.939336263793</v>
      </c>
      <c r="IQ2">
        <v>-233.585951432988</v>
      </c>
      <c r="IR2">
        <v>-138.21970885744</v>
      </c>
      <c r="IS2">
        <v>-220.332376588919</v>
      </c>
      <c r="IT2">
        <v>-139.76541545812199</v>
      </c>
      <c r="IU2">
        <v>-843.13574825286605</v>
      </c>
      <c r="IV2">
        <v>-24.356534122926899</v>
      </c>
      <c r="IW2">
        <v>19.923548674450299</v>
      </c>
      <c r="IX2">
        <v>19.663194189364699</v>
      </c>
      <c r="IY2">
        <v>96.392861835665897</v>
      </c>
      <c r="IZ2">
        <v>132.90177291647399</v>
      </c>
      <c r="JA2">
        <v>647.31420560406298</v>
      </c>
      <c r="JB2">
        <v>-15.6189511217835</v>
      </c>
      <c r="JC2">
        <v>19.8619546138613</v>
      </c>
      <c r="JD2">
        <v>19.605992299518899</v>
      </c>
      <c r="JE2">
        <v>63.751244042378197</v>
      </c>
      <c r="JF2">
        <v>87.121592968274896</v>
      </c>
      <c r="JG2">
        <v>421.37288573617002</v>
      </c>
      <c r="JH2">
        <v>-24.891524634379302</v>
      </c>
      <c r="JI2">
        <v>20.046528212667699</v>
      </c>
      <c r="JJ2">
        <v>19.809315737572199</v>
      </c>
      <c r="JK2">
        <v>101.245508981803</v>
      </c>
      <c r="JL2">
        <v>132.95860862626299</v>
      </c>
      <c r="JM2">
        <v>640.22047889498299</v>
      </c>
      <c r="JN2">
        <v>-15.4672947534975</v>
      </c>
      <c r="JO2">
        <v>19.844042354167101</v>
      </c>
      <c r="JP2">
        <v>19.5785969718121</v>
      </c>
      <c r="JQ2">
        <v>1.13250082500328</v>
      </c>
      <c r="JR2">
        <v>62.751591434181798</v>
      </c>
      <c r="JS2">
        <v>0.72984507047955105</v>
      </c>
      <c r="JT2">
        <v>87.409803063201593</v>
      </c>
      <c r="JU2">
        <v>425.04848549939697</v>
      </c>
      <c r="JV2">
        <v>3.73392480024286</v>
      </c>
      <c r="JW2">
        <v>495.08464248006601</v>
      </c>
      <c r="JX2">
        <v>-24.152281491389601</v>
      </c>
      <c r="JY2">
        <v>5.4011138071164</v>
      </c>
      <c r="JZ2">
        <v>314.69035318088999</v>
      </c>
      <c r="KA2">
        <v>-14.5130455176516</v>
      </c>
      <c r="KB2">
        <v>7.0474848691489003</v>
      </c>
      <c r="KC2">
        <v>501.10636117581799</v>
      </c>
      <c r="KD2">
        <v>-23.653940796724999</v>
      </c>
      <c r="KE2">
        <v>6.6729668702845899</v>
      </c>
      <c r="KF2">
        <v>15.4673426237228</v>
      </c>
      <c r="KG2">
        <v>-112.44156031950899</v>
      </c>
      <c r="KH2">
        <v>1.8487163561514099</v>
      </c>
      <c r="KI2">
        <v>321.14443378737502</v>
      </c>
      <c r="KJ2">
        <v>-13.022738773156201</v>
      </c>
      <c r="KK2">
        <v>40.375141205831703</v>
      </c>
      <c r="KL2">
        <v>15.601298024625599</v>
      </c>
      <c r="KM2">
        <v>17.028217811118001</v>
      </c>
      <c r="KN2">
        <v>693.43905025461299</v>
      </c>
      <c r="KO2">
        <v>14.7049604089221</v>
      </c>
      <c r="KP2">
        <v>1.7576073870330899</v>
      </c>
      <c r="KQ2">
        <v>133.79046932634799</v>
      </c>
      <c r="KR2">
        <v>-693.01540337915696</v>
      </c>
      <c r="KS2">
        <v>27.1756449908058</v>
      </c>
      <c r="KT2">
        <v>15.5688190012267</v>
      </c>
      <c r="KU2">
        <v>16.995037330513799</v>
      </c>
      <c r="KV2">
        <v>438.72107431009999</v>
      </c>
      <c r="KW2">
        <v>14.6709913825018</v>
      </c>
      <c r="KX2">
        <v>1.8110683592718599</v>
      </c>
      <c r="KY2">
        <v>84.111609428918996</v>
      </c>
      <c r="KZ2">
        <v>-433.85734101857599</v>
      </c>
      <c r="LA2">
        <v>39.366879663007097</v>
      </c>
      <c r="LB2">
        <v>15.6829467088337</v>
      </c>
      <c r="LC2">
        <v>17.145925788712699</v>
      </c>
      <c r="LD2">
        <v>706.05589097232803</v>
      </c>
      <c r="LE2">
        <v>14.770075525852899</v>
      </c>
      <c r="LF2">
        <v>1.7589367660893001</v>
      </c>
      <c r="LG2">
        <v>135.23779241672199</v>
      </c>
      <c r="LH2">
        <v>-701.43442582578996</v>
      </c>
      <c r="LI2">
        <v>27.315038331420201</v>
      </c>
      <c r="LJ2">
        <v>15.556780630278499</v>
      </c>
      <c r="LK2">
        <v>16.969220974615698</v>
      </c>
      <c r="LL2">
        <v>437.13842222697002</v>
      </c>
      <c r="LM2">
        <v>14.671557055534</v>
      </c>
      <c r="LN2">
        <v>2.0181150498365699</v>
      </c>
      <c r="LO2">
        <v>85.177338207413996</v>
      </c>
      <c r="LP2">
        <v>-425.77359553768201</v>
      </c>
      <c r="LQ2">
        <v>-24.719632130858699</v>
      </c>
      <c r="LR2">
        <v>18.7494330801308</v>
      </c>
      <c r="LS2">
        <v>16.440999999999999</v>
      </c>
      <c r="LT2">
        <v>19.392789386819999</v>
      </c>
      <c r="LU2">
        <v>5.3117571876482099</v>
      </c>
      <c r="LV2">
        <v>18.816784709981899</v>
      </c>
      <c r="LW2">
        <v>18.8064965298191</v>
      </c>
      <c r="LX2">
        <v>44.646523621889102</v>
      </c>
      <c r="LY2">
        <v>-16.445489020213699</v>
      </c>
      <c r="LZ2">
        <v>18.740489744029698</v>
      </c>
      <c r="MA2">
        <v>16.440999999999999</v>
      </c>
      <c r="MB2">
        <v>14.224875505388701</v>
      </c>
      <c r="MC2">
        <v>11.271430209852801</v>
      </c>
      <c r="MD2">
        <v>18.800952125795</v>
      </c>
      <c r="ME2">
        <v>18.778186064221</v>
      </c>
      <c r="MF2">
        <v>28.622049277276702</v>
      </c>
      <c r="MG2">
        <v>-25.025019769865001</v>
      </c>
      <c r="MH2">
        <v>18.786851611866201</v>
      </c>
      <c r="MI2">
        <v>16.440999999999999</v>
      </c>
      <c r="MJ2">
        <v>15.1824537278049</v>
      </c>
      <c r="MK2">
        <v>-24.0791626883112</v>
      </c>
      <c r="ML2">
        <v>18.881501498016</v>
      </c>
      <c r="MM2">
        <v>18.922364511302501</v>
      </c>
      <c r="MN2">
        <v>50.671766688636303</v>
      </c>
      <c r="MO2">
        <v>-16.363554490892401</v>
      </c>
      <c r="MP2">
        <v>18.727078685669699</v>
      </c>
      <c r="MQ2">
        <v>16.440999999999999</v>
      </c>
      <c r="MR2">
        <v>14.876034927178701</v>
      </c>
      <c r="MS2">
        <v>15.3485288612177</v>
      </c>
      <c r="MT2">
        <v>18.781446024568901</v>
      </c>
      <c r="MU2">
        <v>18.7497928421148</v>
      </c>
      <c r="MV2">
        <v>27.821870052976401</v>
      </c>
      <c r="MW2">
        <v>-25.2441534313737</v>
      </c>
      <c r="MX2">
        <v>20.565684772190799</v>
      </c>
      <c r="MY2">
        <v>20.176573070886</v>
      </c>
      <c r="MZ2">
        <v>105.116865892357</v>
      </c>
      <c r="NA2">
        <v>413.44149641734998</v>
      </c>
      <c r="NB2">
        <v>20.3041541846057</v>
      </c>
      <c r="NC2">
        <v>19.708388322094599</v>
      </c>
      <c r="ND2">
        <v>7.0550377254590702</v>
      </c>
      <c r="NE2">
        <v>-16.659263726876901</v>
      </c>
      <c r="NF2">
        <v>20.526311367220401</v>
      </c>
      <c r="NG2">
        <v>20.140866113034502</v>
      </c>
      <c r="NH2">
        <v>69.141733709016407</v>
      </c>
      <c r="NI2">
        <v>269.06030081659998</v>
      </c>
      <c r="NJ2">
        <v>20.259798076871999</v>
      </c>
      <c r="NK2">
        <v>19.656155868819202</v>
      </c>
      <c r="NL2">
        <v>5.6801557553802802</v>
      </c>
      <c r="NM2">
        <v>-25.609335950676801</v>
      </c>
      <c r="NN2">
        <v>20.6872014307651</v>
      </c>
      <c r="NO2">
        <v>20.298599409131601</v>
      </c>
      <c r="NP2">
        <v>105.64830705096701</v>
      </c>
      <c r="NQ2">
        <v>411.62519675281999</v>
      </c>
      <c r="NR2">
        <v>20.431541483213401</v>
      </c>
      <c r="NS2">
        <v>19.855794035054199</v>
      </c>
      <c r="NT2">
        <v>9.7876963382217692</v>
      </c>
      <c r="NU2">
        <v>-16.5754458267795</v>
      </c>
      <c r="NV2">
        <v>20.527718525869101</v>
      </c>
      <c r="NW2">
        <v>20.1374875091395</v>
      </c>
      <c r="NX2">
        <v>1.7</v>
      </c>
      <c r="NY2" s="35">
        <v>69.847664197337906</v>
      </c>
      <c r="NZ2" s="35">
        <v>274.79523276414301</v>
      </c>
      <c r="OA2" s="35">
        <v>20.252879489386402</v>
      </c>
      <c r="OB2">
        <v>19.629568996192202</v>
      </c>
      <c r="OC2">
        <v>1.7</v>
      </c>
      <c r="OD2">
        <v>4.4035772789968304</v>
      </c>
      <c r="OE2">
        <v>1.7</v>
      </c>
      <c r="OF2">
        <v>1.7</v>
      </c>
      <c r="OG2">
        <v>-23.233629853503601</v>
      </c>
      <c r="OH2">
        <v>20.295762771324199</v>
      </c>
      <c r="OI2">
        <v>20.369360247535401</v>
      </c>
      <c r="OJ2">
        <v>154.70078762273801</v>
      </c>
      <c r="OK2">
        <v>734.36616219315795</v>
      </c>
      <c r="OL2">
        <v>19.752598480380001</v>
      </c>
      <c r="OM2">
        <v>18.449887335107</v>
      </c>
      <c r="ON2">
        <v>-48.960603791481603</v>
      </c>
      <c r="OO2">
        <v>-15.3016284108558</v>
      </c>
      <c r="OP2">
        <v>20.2556564398589</v>
      </c>
      <c r="OQ2">
        <v>20.3159612008583</v>
      </c>
      <c r="OR2">
        <v>99.992494216749904</v>
      </c>
      <c r="OS2">
        <v>468.21251652857097</v>
      </c>
      <c r="OT2">
        <v>19.713067672918701</v>
      </c>
      <c r="OU2">
        <v>18.4044458428762</v>
      </c>
      <c r="OV2">
        <v>-29.207589144704301</v>
      </c>
      <c r="OW2">
        <v>-23.517344147993999</v>
      </c>
      <c r="OX2">
        <v>20.4014297874619</v>
      </c>
      <c r="OY2">
        <v>20.478077568616001</v>
      </c>
      <c r="OZ2">
        <v>155.66297240919599</v>
      </c>
      <c r="PA2">
        <v>736.08296851532498</v>
      </c>
      <c r="PB2">
        <v>19.860802708855399</v>
      </c>
      <c r="PC2">
        <v>18.574270998042198</v>
      </c>
      <c r="PD2">
        <v>-47.0470821745037</v>
      </c>
      <c r="PE2">
        <v>-15.219678085574801</v>
      </c>
      <c r="PF2">
        <v>20.240463080438801</v>
      </c>
      <c r="PG2">
        <v>20.3049666141603</v>
      </c>
      <c r="PH2">
        <v>1.7</v>
      </c>
      <c r="PI2">
        <v>100.599116437698</v>
      </c>
      <c r="PJ2">
        <v>472.525294462266</v>
      </c>
      <c r="PK2">
        <v>19.691223296027299</v>
      </c>
      <c r="PL2">
        <v>18.370935480247201</v>
      </c>
      <c r="PM2">
        <v>1.7</v>
      </c>
      <c r="PN2">
        <v>-30.184693060547701</v>
      </c>
      <c r="PO2">
        <v>18.874053236969999</v>
      </c>
      <c r="PP2">
        <v>18.823909984737501</v>
      </c>
      <c r="PQ2">
        <v>18.973221931156001</v>
      </c>
      <c r="PR2">
        <v>18.796645022789701</v>
      </c>
      <c r="PS2">
        <v>20.583480000603799</v>
      </c>
      <c r="PT2">
        <v>19.570566080251702</v>
      </c>
      <c r="PU2">
        <v>19.495062778307201</v>
      </c>
      <c r="PV2">
        <v>19.6834444513546</v>
      </c>
      <c r="PW2">
        <v>19.465190473171202</v>
      </c>
      <c r="PX2">
        <v>22.0847066189801</v>
      </c>
      <c r="PY2">
        <v>17.906937824079399</v>
      </c>
      <c r="PZ2">
        <v>17.8555590946767</v>
      </c>
      <c r="QA2">
        <v>18.0019003677196</v>
      </c>
      <c r="QB2">
        <v>17.822600132959799</v>
      </c>
      <c r="QC2">
        <v>20.7866589371041</v>
      </c>
      <c r="QD2">
        <v>21.031041429561199</v>
      </c>
      <c r="QE2">
        <v>18.233004348069699</v>
      </c>
      <c r="QF2">
        <v>18.178033523732299</v>
      </c>
      <c r="QG2">
        <v>18.327175705668601</v>
      </c>
      <c r="QH2">
        <v>18.132380337696599</v>
      </c>
      <c r="QI2">
        <v>20.8899927853066</v>
      </c>
      <c r="QJ2">
        <v>18.836139579752199</v>
      </c>
      <c r="QK2">
        <v>18.7556516482103</v>
      </c>
      <c r="QL2">
        <v>18.938176948837601</v>
      </c>
      <c r="QM2">
        <v>18.703050371403901</v>
      </c>
      <c r="QN2">
        <v>818.56250890295996</v>
      </c>
      <c r="QO2">
        <v>22.380494232876298</v>
      </c>
      <c r="QP2">
        <v>-2223.54330993848</v>
      </c>
      <c r="QQ2">
        <v>17.309693894605999</v>
      </c>
      <c r="QR2">
        <v>17.2545637451217</v>
      </c>
      <c r="QS2">
        <v>17.402584526524599</v>
      </c>
      <c r="QT2">
        <v>17.200403195204402</v>
      </c>
      <c r="QU2">
        <v>21.045640036315699</v>
      </c>
      <c r="QV2">
        <v>21.032574640195499</v>
      </c>
      <c r="QW2">
        <v>2942994.3954411298</v>
      </c>
      <c r="QX2">
        <v>0</v>
      </c>
      <c r="QY2">
        <v>1925450.36707738</v>
      </c>
      <c r="QZ2">
        <v>0</v>
      </c>
      <c r="RA2">
        <v>444888.70008385897</v>
      </c>
      <c r="RB2">
        <v>0</v>
      </c>
      <c r="RC2">
        <v>292907.22848487902</v>
      </c>
      <c r="RD2">
        <v>0</v>
      </c>
      <c r="RE2">
        <v>989768.56132809003</v>
      </c>
      <c r="RF2">
        <v>0</v>
      </c>
      <c r="RG2">
        <v>647516.87460888899</v>
      </c>
      <c r="RH2" s="35">
        <v>0</v>
      </c>
      <c r="RI2">
        <v>0</v>
      </c>
      <c r="RJ2" s="35">
        <v>0</v>
      </c>
      <c r="RK2">
        <v>17.591955459169299</v>
      </c>
      <c r="RL2">
        <v>1126.9817227900601</v>
      </c>
      <c r="RM2">
        <v>1126.9817227900601</v>
      </c>
      <c r="RN2">
        <v>14051.9501475137</v>
      </c>
      <c r="RO2" s="35">
        <v>0</v>
      </c>
      <c r="RP2">
        <v>0</v>
      </c>
      <c r="RQ2">
        <v>17.532157062726998</v>
      </c>
      <c r="RR2">
        <v>789.07295401757597</v>
      </c>
      <c r="RS2">
        <v>789.07295401757597</v>
      </c>
      <c r="RT2">
        <v>9008.5715439957403</v>
      </c>
      <c r="RU2">
        <v>0</v>
      </c>
      <c r="RV2">
        <v>0</v>
      </c>
      <c r="RW2">
        <v>17.681129480181301</v>
      </c>
      <c r="RX2">
        <v>1020.10788899672</v>
      </c>
      <c r="RY2">
        <v>1020.10788899672</v>
      </c>
      <c r="RZ2">
        <v>13940.235902119701</v>
      </c>
      <c r="SA2">
        <v>0</v>
      </c>
      <c r="SB2">
        <v>0</v>
      </c>
      <c r="SC2">
        <v>17.468115652603601</v>
      </c>
      <c r="SD2">
        <v>849.70921260345301</v>
      </c>
      <c r="SE2">
        <v>849.70921260345301</v>
      </c>
      <c r="SF2">
        <v>9070.6701663263393</v>
      </c>
      <c r="SG2">
        <v>0</v>
      </c>
      <c r="SH2">
        <v>0</v>
      </c>
      <c r="SI2">
        <v>21.1965055700094</v>
      </c>
      <c r="SJ2">
        <v>0</v>
      </c>
      <c r="SK2">
        <v>-22088.8252007511</v>
      </c>
      <c r="SL2">
        <v>42137.971710111997</v>
      </c>
      <c r="SM2">
        <v>18.333300000000001</v>
      </c>
      <c r="SN2">
        <v>26.666699999999999</v>
      </c>
      <c r="SO2">
        <v>0</v>
      </c>
      <c r="SP2">
        <v>0</v>
      </c>
      <c r="SQ2">
        <v>19.3139859599823</v>
      </c>
      <c r="SR2">
        <v>0</v>
      </c>
      <c r="SS2">
        <v>0</v>
      </c>
      <c r="ST2">
        <v>0</v>
      </c>
      <c r="SU2">
        <v>0</v>
      </c>
      <c r="SV2">
        <v>0</v>
      </c>
      <c r="SW2">
        <v>19.262073790099599</v>
      </c>
      <c r="SX2">
        <v>0</v>
      </c>
      <c r="SY2">
        <v>0</v>
      </c>
      <c r="SZ2">
        <v>0</v>
      </c>
      <c r="TA2">
        <v>0</v>
      </c>
      <c r="TB2">
        <v>0</v>
      </c>
      <c r="TC2">
        <v>19.4303303028294</v>
      </c>
      <c r="TD2">
        <v>0</v>
      </c>
      <c r="TE2">
        <v>0</v>
      </c>
      <c r="TF2">
        <v>0</v>
      </c>
      <c r="TG2">
        <v>0</v>
      </c>
      <c r="TH2">
        <v>0</v>
      </c>
      <c r="TI2">
        <v>19.253782125817199</v>
      </c>
      <c r="TJ2">
        <v>0</v>
      </c>
      <c r="TK2">
        <v>0</v>
      </c>
      <c r="TL2">
        <v>0</v>
      </c>
      <c r="TM2">
        <v>0</v>
      </c>
      <c r="TN2">
        <v>0</v>
      </c>
      <c r="TO2">
        <v>20.726829176332199</v>
      </c>
      <c r="TP2">
        <v>0</v>
      </c>
      <c r="TQ2">
        <v>0</v>
      </c>
      <c r="TR2">
        <v>0</v>
      </c>
      <c r="TS2">
        <v>0</v>
      </c>
      <c r="TT2">
        <v>0</v>
      </c>
      <c r="TU2">
        <v>18.101713079252701</v>
      </c>
      <c r="TV2">
        <v>331.67916781790802</v>
      </c>
      <c r="TW2">
        <v>331.67916781790802</v>
      </c>
      <c r="TX2">
        <v>13328.456251129701</v>
      </c>
      <c r="TY2">
        <v>0</v>
      </c>
      <c r="TZ2">
        <v>0</v>
      </c>
      <c r="UA2">
        <v>18.016240518113399</v>
      </c>
      <c r="UB2">
        <v>306.44935023981998</v>
      </c>
      <c r="UC2">
        <v>306.44935023981998</v>
      </c>
      <c r="UD2">
        <v>8574.9264403884408</v>
      </c>
      <c r="UE2">
        <v>0</v>
      </c>
      <c r="UF2">
        <v>0</v>
      </c>
      <c r="UG2">
        <v>18.192909446320598</v>
      </c>
      <c r="UH2">
        <v>219.16412044176499</v>
      </c>
      <c r="UI2">
        <v>219.16412044176499</v>
      </c>
      <c r="UJ2">
        <v>13210.3920266817</v>
      </c>
      <c r="UK2">
        <v>0</v>
      </c>
      <c r="UL2">
        <v>0</v>
      </c>
      <c r="UM2">
        <v>17.9409102696365</v>
      </c>
      <c r="UN2">
        <v>382.16748084131501</v>
      </c>
      <c r="UO2">
        <v>382.16748084131501</v>
      </c>
      <c r="UP2">
        <v>8652.5392104987895</v>
      </c>
      <c r="UQ2">
        <v>0</v>
      </c>
      <c r="UR2">
        <v>0</v>
      </c>
      <c r="US2">
        <v>22.6762818467725</v>
      </c>
      <c r="UT2">
        <v>0</v>
      </c>
      <c r="UU2">
        <v>-33214.742043032697</v>
      </c>
      <c r="UV2">
        <v>30690.216823802399</v>
      </c>
      <c r="UW2">
        <v>18.333300000000001</v>
      </c>
      <c r="UX2">
        <v>26.666699999999999</v>
      </c>
      <c r="UY2">
        <v>0</v>
      </c>
      <c r="UZ2">
        <v>0</v>
      </c>
      <c r="VA2">
        <v>19.565721558689798</v>
      </c>
      <c r="VB2">
        <v>0</v>
      </c>
      <c r="VC2">
        <v>0</v>
      </c>
      <c r="VD2">
        <v>0</v>
      </c>
      <c r="VE2">
        <v>0</v>
      </c>
      <c r="VF2">
        <v>0</v>
      </c>
      <c r="VG2">
        <v>19.493099031876699</v>
      </c>
      <c r="VH2">
        <v>0</v>
      </c>
      <c r="VI2">
        <v>0</v>
      </c>
      <c r="VJ2">
        <v>0</v>
      </c>
      <c r="VK2">
        <v>0</v>
      </c>
      <c r="VL2">
        <v>0</v>
      </c>
      <c r="VM2">
        <v>19.674586926497799</v>
      </c>
      <c r="VN2">
        <v>0</v>
      </c>
      <c r="VO2">
        <v>0</v>
      </c>
      <c r="VP2">
        <v>0</v>
      </c>
      <c r="VQ2">
        <v>0</v>
      </c>
      <c r="VR2">
        <v>0</v>
      </c>
      <c r="VS2">
        <v>19.4796193041153</v>
      </c>
      <c r="VT2">
        <v>0</v>
      </c>
      <c r="VU2">
        <v>0</v>
      </c>
      <c r="VV2">
        <v>0</v>
      </c>
      <c r="VW2">
        <v>0</v>
      </c>
      <c r="VX2">
        <v>0</v>
      </c>
      <c r="VY2">
        <v>21.7008483774738</v>
      </c>
      <c r="VZ2">
        <v>0</v>
      </c>
      <c r="WA2">
        <v>0</v>
      </c>
      <c r="WB2">
        <v>0</v>
      </c>
      <c r="WC2">
        <v>0</v>
      </c>
      <c r="WD2">
        <v>0</v>
      </c>
      <c r="WE2">
        <v>16.712449965132699</v>
      </c>
      <c r="WF2">
        <v>2592.6952601339499</v>
      </c>
      <c r="WG2">
        <v>2592.6952601339499</v>
      </c>
      <c r="WH2">
        <v>15693.2777263761</v>
      </c>
      <c r="WI2">
        <v>0</v>
      </c>
      <c r="WJ2">
        <v>0</v>
      </c>
      <c r="WK2">
        <v>0</v>
      </c>
      <c r="WL2">
        <v>16.653568395566801</v>
      </c>
      <c r="WM2">
        <v>1716.3404970650499</v>
      </c>
      <c r="WN2">
        <v>1716.3404970650499</v>
      </c>
      <c r="WO2">
        <v>10051.7119806296</v>
      </c>
      <c r="WP2">
        <v>18.333300000000001</v>
      </c>
      <c r="WQ2">
        <v>26.666699999999999</v>
      </c>
      <c r="WR2">
        <v>0</v>
      </c>
      <c r="WS2">
        <v>0</v>
      </c>
      <c r="WT2">
        <v>16.803268685329598</v>
      </c>
      <c r="WU2">
        <v>2467.2359115327199</v>
      </c>
      <c r="WV2">
        <v>2467.2359115327199</v>
      </c>
      <c r="WW2">
        <v>15562.736395846599</v>
      </c>
      <c r="WX2">
        <v>0</v>
      </c>
      <c r="WY2">
        <v>0</v>
      </c>
      <c r="WZ2">
        <v>0</v>
      </c>
      <c r="XA2">
        <v>16.578206257449001</v>
      </c>
      <c r="XB2">
        <v>1792.7058639695099</v>
      </c>
      <c r="XC2">
        <v>1792.7058639695099</v>
      </c>
      <c r="XD2">
        <v>10129.9879319711</v>
      </c>
      <c r="XE2">
        <v>0</v>
      </c>
      <c r="XF2">
        <v>0</v>
      </c>
      <c r="XG2">
        <v>21.304621135527299</v>
      </c>
      <c r="XH2">
        <v>0</v>
      </c>
      <c r="XI2">
        <v>-22662.625600625099</v>
      </c>
      <c r="XJ2">
        <v>41504.421032025697</v>
      </c>
      <c r="XK2">
        <v>18.333300000000001</v>
      </c>
      <c r="XL2">
        <v>26.666699999999999</v>
      </c>
      <c r="XM2">
        <v>0</v>
      </c>
      <c r="XN2">
        <v>0</v>
      </c>
      <c r="XO2">
        <v>13.9326407472609</v>
      </c>
      <c r="XP2">
        <v>0</v>
      </c>
      <c r="XQ2">
        <v>0</v>
      </c>
      <c r="XR2">
        <v>0</v>
      </c>
      <c r="XS2">
        <v>0</v>
      </c>
      <c r="XT2">
        <v>0</v>
      </c>
      <c r="XU2">
        <v>13.9005978292351</v>
      </c>
      <c r="XV2">
        <v>0</v>
      </c>
      <c r="XW2">
        <v>0</v>
      </c>
      <c r="XX2">
        <v>0</v>
      </c>
      <c r="XY2">
        <v>0</v>
      </c>
      <c r="XZ2">
        <v>0</v>
      </c>
      <c r="YA2">
        <v>13.9955514634108</v>
      </c>
      <c r="YB2">
        <v>0</v>
      </c>
      <c r="YC2">
        <v>0</v>
      </c>
      <c r="YD2">
        <v>0</v>
      </c>
      <c r="YE2">
        <v>0</v>
      </c>
      <c r="YF2">
        <v>0</v>
      </c>
      <c r="YG2">
        <v>13.893573333850799</v>
      </c>
      <c r="YH2">
        <v>0</v>
      </c>
      <c r="YI2">
        <v>0</v>
      </c>
      <c r="YJ2">
        <v>0</v>
      </c>
      <c r="YK2">
        <v>0</v>
      </c>
      <c r="YL2">
        <v>0</v>
      </c>
      <c r="YM2">
        <v>18.846303943084401</v>
      </c>
      <c r="YN2">
        <v>0</v>
      </c>
      <c r="YO2">
        <v>0</v>
      </c>
      <c r="YP2">
        <v>0</v>
      </c>
      <c r="YQ2">
        <v>0</v>
      </c>
      <c r="YR2">
        <v>0</v>
      </c>
      <c r="YS2">
        <v>18.6883615800682</v>
      </c>
      <c r="YT2">
        <v>0</v>
      </c>
      <c r="YU2">
        <v>0</v>
      </c>
      <c r="YV2">
        <v>0</v>
      </c>
      <c r="YW2">
        <v>0</v>
      </c>
      <c r="YX2">
        <v>0</v>
      </c>
      <c r="YY2">
        <v>18.671540177075201</v>
      </c>
      <c r="YZ2">
        <v>0</v>
      </c>
      <c r="ZA2">
        <v>0</v>
      </c>
      <c r="ZB2">
        <v>0</v>
      </c>
      <c r="ZC2">
        <v>0</v>
      </c>
      <c r="ZD2">
        <v>0</v>
      </c>
      <c r="ZE2">
        <v>18.738184711962798</v>
      </c>
      <c r="ZF2">
        <v>0</v>
      </c>
      <c r="ZG2">
        <v>0</v>
      </c>
      <c r="ZH2">
        <v>0</v>
      </c>
      <c r="ZI2">
        <v>0</v>
      </c>
      <c r="ZJ2">
        <v>0</v>
      </c>
      <c r="ZK2">
        <v>18.655470481157799</v>
      </c>
      <c r="ZL2">
        <v>0</v>
      </c>
      <c r="ZM2">
        <v>0</v>
      </c>
      <c r="ZN2">
        <v>0</v>
      </c>
      <c r="ZO2">
        <v>0</v>
      </c>
      <c r="ZP2">
        <v>0</v>
      </c>
      <c r="ZQ2">
        <v>18.946411139664399</v>
      </c>
      <c r="ZR2">
        <v>0</v>
      </c>
      <c r="ZS2">
        <v>0</v>
      </c>
      <c r="ZT2">
        <v>0</v>
      </c>
      <c r="ZU2">
        <v>0</v>
      </c>
      <c r="ZV2">
        <v>0</v>
      </c>
      <c r="ZW2">
        <v>20.271039210595699</v>
      </c>
      <c r="ZX2">
        <v>0</v>
      </c>
      <c r="ZY2">
        <v>0</v>
      </c>
      <c r="ZZ2">
        <v>0</v>
      </c>
      <c r="AAA2">
        <v>0</v>
      </c>
      <c r="AAB2">
        <v>0</v>
      </c>
      <c r="AAC2">
        <v>20.2220388199468</v>
      </c>
      <c r="AAD2">
        <v>0</v>
      </c>
      <c r="AAE2">
        <v>0</v>
      </c>
      <c r="AAF2">
        <v>0</v>
      </c>
      <c r="AAG2">
        <v>0</v>
      </c>
      <c r="AAH2">
        <v>0</v>
      </c>
      <c r="AAI2">
        <v>20.392349125772999</v>
      </c>
      <c r="AAJ2">
        <v>0</v>
      </c>
      <c r="AAK2">
        <v>0</v>
      </c>
      <c r="AAL2">
        <v>0</v>
      </c>
      <c r="AAM2">
        <v>0</v>
      </c>
      <c r="AAN2">
        <v>0</v>
      </c>
      <c r="AAO2">
        <v>20.219664911883399</v>
      </c>
      <c r="AAP2">
        <v>0</v>
      </c>
      <c r="AAQ2">
        <v>0</v>
      </c>
      <c r="AAR2">
        <v>0</v>
      </c>
      <c r="AAS2">
        <v>0</v>
      </c>
      <c r="AAT2">
        <v>0</v>
      </c>
      <c r="AAU2">
        <v>21.244412607442499</v>
      </c>
      <c r="AAV2">
        <v>0</v>
      </c>
      <c r="AAW2">
        <v>0</v>
      </c>
      <c r="AAX2">
        <v>0</v>
      </c>
      <c r="AAY2">
        <v>0</v>
      </c>
      <c r="AAZ2">
        <v>0</v>
      </c>
      <c r="ABA2">
        <v>19.850522107869001</v>
      </c>
      <c r="ABB2">
        <v>0</v>
      </c>
      <c r="ABC2">
        <v>0</v>
      </c>
      <c r="ABD2">
        <v>0</v>
      </c>
      <c r="ABE2">
        <v>0</v>
      </c>
      <c r="ABF2">
        <v>0</v>
      </c>
      <c r="ABG2">
        <v>19.802945206008701</v>
      </c>
      <c r="ABH2">
        <v>0</v>
      </c>
      <c r="ABI2">
        <v>0</v>
      </c>
      <c r="ABJ2">
        <v>0</v>
      </c>
      <c r="ABK2">
        <v>0</v>
      </c>
      <c r="ABL2">
        <v>0</v>
      </c>
      <c r="ABM2">
        <v>19.954594218568801</v>
      </c>
      <c r="ABN2">
        <v>0</v>
      </c>
      <c r="ABO2">
        <v>0</v>
      </c>
      <c r="ABP2">
        <v>0</v>
      </c>
      <c r="ABQ2">
        <v>0</v>
      </c>
      <c r="ABR2">
        <v>0</v>
      </c>
      <c r="ABS2">
        <v>19.7850532544016</v>
      </c>
      <c r="ABT2">
        <v>0</v>
      </c>
      <c r="ABU2">
        <v>0</v>
      </c>
      <c r="ABV2">
        <v>0</v>
      </c>
      <c r="ABW2">
        <v>0</v>
      </c>
      <c r="ABX2">
        <v>0</v>
      </c>
      <c r="ABY2">
        <v>21.032574640195499</v>
      </c>
      <c r="ABZ2">
        <v>0</v>
      </c>
      <c r="ACA2">
        <v>0</v>
      </c>
      <c r="ACB2">
        <v>0</v>
      </c>
      <c r="ACC2">
        <v>0</v>
      </c>
      <c r="ACD2">
        <v>0</v>
      </c>
      <c r="ACE2">
        <v>0</v>
      </c>
      <c r="ACF2">
        <v>12.220032779007701</v>
      </c>
      <c r="ACG2">
        <v>12.220032779007701</v>
      </c>
      <c r="ACH2">
        <v>0</v>
      </c>
      <c r="ACI2">
        <v>0</v>
      </c>
      <c r="ACJ2">
        <v>0</v>
      </c>
      <c r="ACK2">
        <v>20.868780998713401</v>
      </c>
      <c r="ACL2">
        <v>20.868780998713401</v>
      </c>
      <c r="ACM2">
        <v>0</v>
      </c>
      <c r="ACN2">
        <v>21078.068283184501</v>
      </c>
      <c r="ACP2">
        <v>0</v>
      </c>
      <c r="ACR2">
        <v>21078.068283184501</v>
      </c>
      <c r="ACT2">
        <v>21.197310076495</v>
      </c>
      <c r="ACU2">
        <v>21.197310076495</v>
      </c>
      <c r="ACV2">
        <v>0</v>
      </c>
      <c r="ACW2">
        <v>0</v>
      </c>
      <c r="ACX2">
        <v>1</v>
      </c>
      <c r="ACY2">
        <v>22.678133677545599</v>
      </c>
      <c r="ACZ2">
        <v>22.678133677545599</v>
      </c>
      <c r="ADA2">
        <v>0</v>
      </c>
      <c r="ADB2">
        <v>0</v>
      </c>
      <c r="ADC2">
        <v>1</v>
      </c>
      <c r="ADD2">
        <v>21.3064505200776</v>
      </c>
      <c r="ADE2">
        <v>21.3064505200776</v>
      </c>
      <c r="ADF2">
        <v>0</v>
      </c>
      <c r="ADG2">
        <v>0</v>
      </c>
      <c r="ADH2">
        <v>1</v>
      </c>
      <c r="ADI2">
        <v>18.085958428638499</v>
      </c>
      <c r="ADJ2">
        <v>18.085958428638499</v>
      </c>
      <c r="ADK2">
        <v>0</v>
      </c>
      <c r="ADL2">
        <v>0</v>
      </c>
      <c r="ADM2">
        <v>1</v>
      </c>
      <c r="ADN2">
        <v>18.029156209676199</v>
      </c>
      <c r="ADO2">
        <v>18.029156209676199</v>
      </c>
      <c r="ADP2">
        <v>0</v>
      </c>
      <c r="ADQ2">
        <v>0</v>
      </c>
      <c r="ADR2">
        <v>1</v>
      </c>
      <c r="ADS2">
        <v>18.1782613106258</v>
      </c>
      <c r="ADT2">
        <v>18.1782613106258</v>
      </c>
      <c r="ADU2">
        <v>0</v>
      </c>
      <c r="ADV2">
        <v>0</v>
      </c>
      <c r="ADW2">
        <v>1</v>
      </c>
      <c r="ADX2">
        <v>17.987477544705801</v>
      </c>
      <c r="ADY2">
        <v>17.987477544705801</v>
      </c>
      <c r="ADZ2">
        <v>0</v>
      </c>
      <c r="AEA2">
        <v>0</v>
      </c>
      <c r="AEB2">
        <v>1</v>
      </c>
      <c r="AEC2">
        <v>18.6303838873608</v>
      </c>
      <c r="AED2">
        <v>18.6303838873608</v>
      </c>
      <c r="AEE2">
        <v>0</v>
      </c>
      <c r="AEF2">
        <v>0</v>
      </c>
      <c r="AEG2">
        <v>1</v>
      </c>
      <c r="AEH2">
        <v>18.553025108674198</v>
      </c>
      <c r="AEI2">
        <v>18.553025108674198</v>
      </c>
      <c r="AEJ2">
        <v>0</v>
      </c>
      <c r="AEK2">
        <v>0</v>
      </c>
      <c r="AEL2">
        <v>1</v>
      </c>
      <c r="AEM2">
        <v>18.738389330281802</v>
      </c>
      <c r="AEN2">
        <v>18.738389330281802</v>
      </c>
      <c r="AEO2">
        <v>0</v>
      </c>
      <c r="AEP2">
        <v>0</v>
      </c>
      <c r="AEQ2">
        <v>1</v>
      </c>
      <c r="AER2">
        <v>18.503826885542299</v>
      </c>
      <c r="AES2">
        <v>18.503826885542299</v>
      </c>
      <c r="AET2">
        <v>0</v>
      </c>
      <c r="AEU2">
        <v>0</v>
      </c>
      <c r="AEV2">
        <v>1</v>
      </c>
      <c r="AEW2">
        <v>17.1945695135554</v>
      </c>
      <c r="AEX2">
        <v>17.1945695135554</v>
      </c>
      <c r="AEY2">
        <v>0</v>
      </c>
      <c r="AEZ2">
        <v>0</v>
      </c>
      <c r="AFA2">
        <v>1</v>
      </c>
      <c r="AFB2">
        <v>17.138946472520999</v>
      </c>
      <c r="AFC2">
        <v>17.138946472520999</v>
      </c>
      <c r="AFD2">
        <v>0</v>
      </c>
      <c r="AFE2">
        <v>0</v>
      </c>
      <c r="AFF2">
        <v>1</v>
      </c>
      <c r="AFG2">
        <v>17.290656111696599</v>
      </c>
      <c r="AFH2">
        <v>17.290656111696599</v>
      </c>
      <c r="AFI2">
        <v>0</v>
      </c>
      <c r="AFJ2">
        <v>0</v>
      </c>
      <c r="AFK2">
        <v>1</v>
      </c>
      <c r="AFL2">
        <v>17.0879635817234</v>
      </c>
      <c r="AFM2">
        <v>17.0879635817234</v>
      </c>
      <c r="AFN2">
        <v>0</v>
      </c>
      <c r="AFO2">
        <v>0</v>
      </c>
      <c r="AFP2">
        <v>1</v>
      </c>
      <c r="AFQ2">
        <v>-1.7662045297372699</v>
      </c>
      <c r="AFR2">
        <v>-1.7843353064517999</v>
      </c>
      <c r="AFS2">
        <v>-1.80431861939481</v>
      </c>
      <c r="AFT2">
        <v>-1.79536611934707</v>
      </c>
      <c r="AFU2">
        <v>-1.64820738546492</v>
      </c>
      <c r="AFV2">
        <v>-1.6703658670383601</v>
      </c>
      <c r="AFW2">
        <v>-1.6951590864823001</v>
      </c>
      <c r="AFX2">
        <v>-1.6871694346630299</v>
      </c>
      <c r="AFY2">
        <v>-1.9480784940912399</v>
      </c>
      <c r="AFZ2">
        <v>-1.96581827589665</v>
      </c>
      <c r="AGA2">
        <v>-1.98481191464818</v>
      </c>
      <c r="AGB2">
        <v>-1.97691612626122</v>
      </c>
      <c r="AGC2">
        <v>-1.2456575343962399</v>
      </c>
      <c r="AGD2">
        <v>-0.893170814369596</v>
      </c>
      <c r="AGE2">
        <v>-1.2127457237460899</v>
      </c>
      <c r="AGF2">
        <v>0</v>
      </c>
      <c r="AGG2">
        <v>0</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Z2">
        <v>0</v>
      </c>
      <c r="AIB2">
        <v>0</v>
      </c>
      <c r="AID2">
        <v>0</v>
      </c>
      <c r="AIF2">
        <v>0</v>
      </c>
      <c r="AIH2">
        <v>0</v>
      </c>
      <c r="AIJ2">
        <v>0</v>
      </c>
      <c r="AIL2">
        <v>0</v>
      </c>
      <c r="AIN2">
        <v>0</v>
      </c>
      <c r="AIP2">
        <v>0</v>
      </c>
      <c r="AIR2">
        <v>0</v>
      </c>
      <c r="AIT2">
        <v>0</v>
      </c>
      <c r="AIV2">
        <v>0</v>
      </c>
      <c r="AIX2">
        <v>0</v>
      </c>
      <c r="AIZ2">
        <v>0</v>
      </c>
      <c r="AJB2">
        <v>0</v>
      </c>
      <c r="AJC2">
        <v>0</v>
      </c>
      <c r="AJE2">
        <v>0</v>
      </c>
      <c r="AJH2">
        <v>0</v>
      </c>
      <c r="AJJ2">
        <v>0</v>
      </c>
      <c r="AJK2">
        <v>0</v>
      </c>
      <c r="AJL2">
        <v>0</v>
      </c>
      <c r="AJM2">
        <v>0</v>
      </c>
      <c r="AJN2">
        <v>0</v>
      </c>
      <c r="AJO2">
        <v>0</v>
      </c>
      <c r="AJP2">
        <v>0</v>
      </c>
      <c r="AJQ2">
        <v>0</v>
      </c>
      <c r="AJR2">
        <v>0</v>
      </c>
      <c r="AJS2">
        <v>0</v>
      </c>
      <c r="AJT2">
        <v>0</v>
      </c>
      <c r="AJU2">
        <v>0</v>
      </c>
      <c r="AJV2">
        <v>0</v>
      </c>
      <c r="AJW2">
        <v>0</v>
      </c>
      <c r="AJX2">
        <v>0</v>
      </c>
      <c r="AJY2">
        <v>0</v>
      </c>
      <c r="AJZ2">
        <v>0</v>
      </c>
      <c r="AKA2">
        <v>0</v>
      </c>
      <c r="AKB2">
        <v>0</v>
      </c>
      <c r="AKC2">
        <v>0</v>
      </c>
      <c r="AKD2">
        <v>0</v>
      </c>
      <c r="AKE2">
        <v>70.191915221237295</v>
      </c>
      <c r="AKF2">
        <v>70.191915221237295</v>
      </c>
      <c r="AKG2">
        <v>0</v>
      </c>
      <c r="AKH2">
        <v>0</v>
      </c>
      <c r="AKI2">
        <v>0</v>
      </c>
      <c r="AKJ2">
        <v>0</v>
      </c>
      <c r="AKK2">
        <v>0</v>
      </c>
      <c r="AKL2">
        <v>70.191915221237295</v>
      </c>
      <c r="AKM2">
        <v>70.191915221237295</v>
      </c>
      <c r="AKN2">
        <v>0</v>
      </c>
      <c r="AKO2">
        <v>0</v>
      </c>
      <c r="AKP2">
        <v>0</v>
      </c>
      <c r="AKT2">
        <v>0</v>
      </c>
      <c r="AKX2">
        <v>0</v>
      </c>
      <c r="ALB2">
        <v>20.868780998713401</v>
      </c>
      <c r="ALC2">
        <v>20.868780998713401</v>
      </c>
      <c r="ALD2">
        <v>0</v>
      </c>
      <c r="ALE2">
        <v>0</v>
      </c>
      <c r="ALF2">
        <v>0</v>
      </c>
      <c r="ALH2">
        <v>20.7132816927815</v>
      </c>
      <c r="ALI2">
        <v>6.5512538952749496E-3</v>
      </c>
      <c r="ALJ2">
        <v>0</v>
      </c>
      <c r="ALK2">
        <v>20.7132816927815</v>
      </c>
      <c r="ALL2">
        <v>0</v>
      </c>
      <c r="ALM2">
        <v>0</v>
      </c>
      <c r="ALN2">
        <v>20.7132816927815</v>
      </c>
      <c r="ALO2">
        <v>6.5512538952749496E-3</v>
      </c>
      <c r="ALP2">
        <v>43.401785015826903</v>
      </c>
      <c r="ALQ2">
        <v>0</v>
      </c>
      <c r="ALR2">
        <v>20.7132816927815</v>
      </c>
      <c r="ALS2">
        <v>0</v>
      </c>
      <c r="ALT2">
        <v>20.7132816927815</v>
      </c>
      <c r="ALU2">
        <v>0</v>
      </c>
      <c r="ALV2">
        <v>12.220032779007701</v>
      </c>
      <c r="ALW2">
        <v>9.9999999999999897E-12</v>
      </c>
      <c r="ALX2">
        <v>12.220032779007701</v>
      </c>
      <c r="ALY2">
        <v>9.9999999999999897E-12</v>
      </c>
      <c r="ALZ2">
        <v>0</v>
      </c>
      <c r="AMA2">
        <v>12.220032779007701</v>
      </c>
      <c r="AMB2">
        <v>0</v>
      </c>
      <c r="AMC2">
        <v>12.220032779007701</v>
      </c>
      <c r="AMD2">
        <v>0</v>
      </c>
      <c r="AME2">
        <v>12.220032779007701</v>
      </c>
      <c r="AMF2">
        <v>0</v>
      </c>
      <c r="AMG2">
        <v>0</v>
      </c>
      <c r="AMH2">
        <v>0</v>
      </c>
      <c r="AMI2">
        <v>18.664605278237602</v>
      </c>
      <c r="AMJ2">
        <v>0</v>
      </c>
      <c r="AMK2" s="580">
        <v>18.918162655548901</v>
      </c>
      <c r="AML2">
        <v>0</v>
      </c>
      <c r="AMM2">
        <v>18.680750946193498</v>
      </c>
      <c r="AMN2">
        <v>0</v>
      </c>
      <c r="AMO2">
        <v>18.697712571773401</v>
      </c>
      <c r="AMP2">
        <v>0</v>
      </c>
      <c r="AMQ2">
        <v>18.7463600554814</v>
      </c>
      <c r="AMR2">
        <v>0</v>
      </c>
      <c r="AMS2">
        <v>21.226236939752699</v>
      </c>
      <c r="AMT2">
        <v>0</v>
      </c>
      <c r="AMU2">
        <v>20.2359436905036</v>
      </c>
      <c r="AMV2">
        <v>0</v>
      </c>
      <c r="AMW2">
        <v>20.234386222944401</v>
      </c>
      <c r="AMX2">
        <v>0</v>
      </c>
      <c r="AMY2">
        <v>20.285338421160699</v>
      </c>
      <c r="AMZ2">
        <v>0</v>
      </c>
      <c r="ANA2">
        <v>20.405437727834801</v>
      </c>
      <c r="ANB2">
        <v>0</v>
      </c>
      <c r="ANC2">
        <v>21.015749746423801</v>
      </c>
      <c r="AND2">
        <v>0</v>
      </c>
      <c r="ANE2">
        <v>19.835727886186401</v>
      </c>
      <c r="ANF2">
        <v>0</v>
      </c>
      <c r="ANG2">
        <v>19.817986955632499</v>
      </c>
      <c r="ANH2">
        <v>0</v>
      </c>
      <c r="ANI2">
        <v>19.883176256844902</v>
      </c>
      <c r="ANJ2">
        <v>0</v>
      </c>
      <c r="ANK2">
        <v>19.9862771291805</v>
      </c>
      <c r="ANL2">
        <v>0</v>
      </c>
      <c r="ANM2">
        <v>0</v>
      </c>
      <c r="ANN2">
        <v>0</v>
      </c>
      <c r="ANO2">
        <v>0</v>
      </c>
      <c r="ANP2">
        <v>18.918162655548901</v>
      </c>
      <c r="ANQ2">
        <v>18.680750946193498</v>
      </c>
      <c r="ANR2">
        <v>18.664605278237602</v>
      </c>
      <c r="ANS2">
        <v>18.7463600554814</v>
      </c>
      <c r="ANT2">
        <v>18.697712571773401</v>
      </c>
      <c r="ANU2">
        <v>21.226236939752699</v>
      </c>
      <c r="ANV2">
        <v>20.2359436905036</v>
      </c>
      <c r="ANW2">
        <v>20.234386222944401</v>
      </c>
      <c r="ANX2">
        <v>20.405437727834801</v>
      </c>
      <c r="ANY2">
        <v>20.285338421160699</v>
      </c>
      <c r="ANZ2">
        <v>21.015749746423801</v>
      </c>
      <c r="AOA2">
        <v>19.835727886186401</v>
      </c>
      <c r="AOB2">
        <v>19.817986955632499</v>
      </c>
      <c r="AOC2">
        <v>19.9862771291805</v>
      </c>
      <c r="AOD2">
        <v>19.883176256844902</v>
      </c>
      <c r="AOE2">
        <v>20.7132816927815</v>
      </c>
      <c r="AOF2">
        <v>0</v>
      </c>
      <c r="AOG2">
        <v>20.692105071832401</v>
      </c>
      <c r="AOH2">
        <v>0</v>
      </c>
    </row>
    <row r="3" spans="1:1074">
      <c r="A3" t="s">
        <v>2938</v>
      </c>
      <c r="B3">
        <v>4.4124999999999996</v>
      </c>
      <c r="D3">
        <v>3.6796936768642401</v>
      </c>
      <c r="F3">
        <v>5</v>
      </c>
      <c r="G3">
        <v>1474970.3079169099</v>
      </c>
      <c r="H3">
        <v>3001393.0684355702</v>
      </c>
      <c r="I3">
        <v>936694.08378745895</v>
      </c>
      <c r="J3">
        <v>1906063.5425907599</v>
      </c>
      <c r="K3">
        <v>1474970.3079169099</v>
      </c>
      <c r="L3">
        <v>3001393.0684355702</v>
      </c>
      <c r="M3">
        <v>936694.08378745895</v>
      </c>
      <c r="N3">
        <v>1906063.5425907599</v>
      </c>
      <c r="O3">
        <v>7606709.1984463502</v>
      </c>
      <c r="P3">
        <v>15478768.717768701</v>
      </c>
      <c r="Q3">
        <v>1474970.3079169099</v>
      </c>
      <c r="R3">
        <v>3001393.0684355702</v>
      </c>
      <c r="S3">
        <v>936694.08378745895</v>
      </c>
      <c r="T3">
        <v>1906063.5425907599</v>
      </c>
      <c r="U3">
        <v>1474970.3079169099</v>
      </c>
      <c r="V3">
        <v>3001393.0684355702</v>
      </c>
      <c r="W3">
        <v>936694.08378745895</v>
      </c>
      <c r="X3">
        <v>1906063.5425907599</v>
      </c>
      <c r="Y3">
        <v>7606709.1984463502</v>
      </c>
      <c r="Z3">
        <v>15478768.717768701</v>
      </c>
      <c r="AA3">
        <v>1474970.3079169099</v>
      </c>
      <c r="AB3">
        <v>3001393.0684355702</v>
      </c>
      <c r="AC3">
        <v>936694.08378745895</v>
      </c>
      <c r="AD3">
        <v>1906063.5425907599</v>
      </c>
      <c r="AE3">
        <v>1474970.3079169099</v>
      </c>
      <c r="AF3">
        <v>3001393.0684355702</v>
      </c>
      <c r="AG3">
        <v>936694.08378745895</v>
      </c>
      <c r="AH3">
        <v>1906063.5425907599</v>
      </c>
      <c r="AI3">
        <v>7606709.1984463502</v>
      </c>
      <c r="AJ3">
        <v>15478768.717768701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188658.992873093</v>
      </c>
      <c r="CF3">
        <v>428770.43834793899</v>
      </c>
      <c r="CG3">
        <v>188658.992873093</v>
      </c>
      <c r="CH3">
        <v>428770.43834793899</v>
      </c>
      <c r="CI3">
        <v>119809.708391419</v>
      </c>
      <c r="CJ3">
        <v>272294.79179867997</v>
      </c>
      <c r="CK3">
        <v>119809.708391419</v>
      </c>
      <c r="CL3">
        <v>272294.79179867997</v>
      </c>
      <c r="CM3">
        <v>188658.992873093</v>
      </c>
      <c r="CN3">
        <v>428770.43834793899</v>
      </c>
      <c r="CO3">
        <v>188658.992873093</v>
      </c>
      <c r="CP3">
        <v>428770.43834793899</v>
      </c>
      <c r="CQ3">
        <v>119809.708391419</v>
      </c>
      <c r="CR3">
        <v>272294.79179867997</v>
      </c>
      <c r="CS3">
        <v>119809.708391419</v>
      </c>
      <c r="CT3">
        <v>272294.79179867997</v>
      </c>
      <c r="CU3">
        <v>188658.992873093</v>
      </c>
      <c r="CV3">
        <v>428770.43834793899</v>
      </c>
      <c r="CW3">
        <v>188658.992873093</v>
      </c>
      <c r="CX3">
        <v>428770.43834793899</v>
      </c>
      <c r="CY3">
        <v>119809.708391419</v>
      </c>
      <c r="CZ3">
        <v>272294.79179867997</v>
      </c>
      <c r="DA3">
        <v>119809.708391419</v>
      </c>
      <c r="DB3">
        <v>272294.79179867997</v>
      </c>
      <c r="DC3">
        <v>972951.17654546397</v>
      </c>
      <c r="DD3">
        <v>2211252.6739669601</v>
      </c>
      <c r="DE3">
        <v>972951.17654546397</v>
      </c>
      <c r="DF3">
        <v>2211252.6739669601</v>
      </c>
      <c r="DG3">
        <v>972951.17654546397</v>
      </c>
      <c r="DH3">
        <v>2211252.6739669601</v>
      </c>
      <c r="DI3">
        <v>1286311.3150438201</v>
      </c>
      <c r="DJ3">
        <v>2572622.6300876299</v>
      </c>
      <c r="DK3">
        <v>1286311.3150438201</v>
      </c>
      <c r="DL3">
        <v>2572622.6300876299</v>
      </c>
      <c r="DM3">
        <v>816884.37539604004</v>
      </c>
      <c r="DN3">
        <v>1633768.7507920801</v>
      </c>
      <c r="DO3">
        <v>816884.37539603899</v>
      </c>
      <c r="DP3">
        <v>1633768.7507920801</v>
      </c>
      <c r="DQ3">
        <v>1286311.3150438201</v>
      </c>
      <c r="DR3">
        <v>2572622.6300876299</v>
      </c>
      <c r="DS3">
        <v>1286311.3150438201</v>
      </c>
      <c r="DT3">
        <v>2572622.6300876299</v>
      </c>
      <c r="DU3">
        <v>816884.37539604004</v>
      </c>
      <c r="DV3">
        <v>1633768.7507920801</v>
      </c>
      <c r="DW3">
        <v>816884.37539603899</v>
      </c>
      <c r="DX3">
        <v>1633768.7507920801</v>
      </c>
      <c r="DY3">
        <v>1286311.3150438201</v>
      </c>
      <c r="DZ3">
        <v>2572622.6300876299</v>
      </c>
      <c r="EA3">
        <v>1286311.3150438201</v>
      </c>
      <c r="EB3">
        <v>2572622.6300876299</v>
      </c>
      <c r="EC3">
        <v>816884.37539604004</v>
      </c>
      <c r="ED3">
        <v>1633768.7507920801</v>
      </c>
      <c r="EE3">
        <v>816884.37539603899</v>
      </c>
      <c r="EF3">
        <v>1633768.7507920801</v>
      </c>
      <c r="EG3">
        <v>6633758.0219008904</v>
      </c>
      <c r="EH3">
        <v>13267516.043801799</v>
      </c>
      <c r="EI3">
        <v>6633758.0219008904</v>
      </c>
      <c r="EJ3">
        <v>13267516.043801799</v>
      </c>
      <c r="EK3">
        <v>6633758.0219008904</v>
      </c>
      <c r="EL3">
        <v>13267516.043801799</v>
      </c>
      <c r="EM3">
        <v>0</v>
      </c>
      <c r="EN3">
        <v>0</v>
      </c>
      <c r="EO3">
        <v>0</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-17.894263490484299</v>
      </c>
      <c r="GC3">
        <v>204.229629316021</v>
      </c>
      <c r="GD3">
        <v>169.77112432877399</v>
      </c>
      <c r="GE3">
        <v>-10.578518043812</v>
      </c>
      <c r="GF3">
        <v>139.58327708801801</v>
      </c>
      <c r="GG3">
        <v>111.823354883843</v>
      </c>
      <c r="GH3">
        <v>-15.331572211406201</v>
      </c>
      <c r="GI3">
        <v>219.109614449379</v>
      </c>
      <c r="GJ3">
        <v>181.665899705393</v>
      </c>
      <c r="GK3">
        <v>-9.8133015511868003</v>
      </c>
      <c r="GL3">
        <v>144.48897702777299</v>
      </c>
      <c r="GM3">
        <v>115.235903822578</v>
      </c>
      <c r="GN3">
        <v>-37.882675881860898</v>
      </c>
      <c r="GO3">
        <v>19.5047538887328</v>
      </c>
      <c r="GP3">
        <v>19.072733567738599</v>
      </c>
      <c r="GQ3">
        <v>23.130640515671399</v>
      </c>
      <c r="GR3">
        <v>107.825837351519</v>
      </c>
      <c r="GS3">
        <v>761.29466512515705</v>
      </c>
      <c r="GT3">
        <v>-24.775869114222299</v>
      </c>
      <c r="GU3">
        <v>19.450653695541501</v>
      </c>
      <c r="GV3">
        <v>19.012724533358199</v>
      </c>
      <c r="GW3">
        <v>14.988176949476401</v>
      </c>
      <c r="GX3">
        <v>70.312825779214094</v>
      </c>
      <c r="GY3">
        <v>494.25949285317398</v>
      </c>
      <c r="GZ3">
        <v>-38.183198816199003</v>
      </c>
      <c r="HA3">
        <v>19.616333707655201</v>
      </c>
      <c r="HB3">
        <v>19.1824448236537</v>
      </c>
      <c r="HC3">
        <v>23.6548270654547</v>
      </c>
      <c r="HD3">
        <v>109.26661692214201</v>
      </c>
      <c r="HE3">
        <v>773.45302132861002</v>
      </c>
      <c r="HF3">
        <v>-24.7161469107165</v>
      </c>
      <c r="HG3">
        <v>19.43850933693</v>
      </c>
      <c r="HH3">
        <v>18.991910017254</v>
      </c>
      <c r="HI3">
        <v>14.321565851742299</v>
      </c>
      <c r="HJ3">
        <v>70.826580097104497</v>
      </c>
      <c r="HK3">
        <v>499.52380499947299</v>
      </c>
      <c r="HL3">
        <v>-13.844762861056999</v>
      </c>
      <c r="HM3">
        <v>20.2428796532257</v>
      </c>
      <c r="HN3">
        <v>21.330386263738902</v>
      </c>
      <c r="HO3">
        <v>295.69904298875002</v>
      </c>
      <c r="HP3">
        <v>340.11809539971301</v>
      </c>
      <c r="HQ3">
        <v>19.635120827105599</v>
      </c>
      <c r="HR3">
        <v>166.36979627372901</v>
      </c>
      <c r="HS3">
        <v>-7.1458882158605803</v>
      </c>
      <c r="HT3">
        <v>20.186337237865899</v>
      </c>
      <c r="HU3">
        <v>21.324438165192898</v>
      </c>
      <c r="HV3">
        <v>187.03509838708499</v>
      </c>
      <c r="HW3">
        <v>229.69902910917901</v>
      </c>
      <c r="HX3">
        <v>19.551480336327302</v>
      </c>
      <c r="HY3">
        <v>111.898404115446</v>
      </c>
      <c r="HZ3">
        <v>20.285629996597599</v>
      </c>
      <c r="IA3">
        <v>21.370888291553801</v>
      </c>
      <c r="IB3">
        <v>294.12986465431601</v>
      </c>
      <c r="IC3">
        <v>-10.1673602588473</v>
      </c>
      <c r="ID3">
        <v>370.92872503806302</v>
      </c>
      <c r="IE3">
        <v>19.749653516376299</v>
      </c>
      <c r="IF3">
        <v>181.35575515536999</v>
      </c>
      <c r="IG3">
        <v>19.0562286350691</v>
      </c>
      <c r="IH3">
        <v>20.165405389715001</v>
      </c>
      <c r="II3">
        <v>21.315236839480399</v>
      </c>
      <c r="IJ3">
        <v>190.46252097127899</v>
      </c>
      <c r="IK3">
        <v>20.102017407716499</v>
      </c>
      <c r="IL3">
        <v>-6.3013729851011</v>
      </c>
      <c r="IM3">
        <v>235.617635897974</v>
      </c>
      <c r="IN3">
        <v>19.527175729263998</v>
      </c>
      <c r="IO3">
        <v>0.87223887914107301</v>
      </c>
      <c r="IP3">
        <v>114.80659666862</v>
      </c>
      <c r="IQ3">
        <v>-223.395677303002</v>
      </c>
      <c r="IR3">
        <v>-133.995785406756</v>
      </c>
      <c r="IS3">
        <v>-214.09911832603001</v>
      </c>
      <c r="IT3">
        <v>-135.32025009009899</v>
      </c>
      <c r="IU3">
        <v>-786.08364749865802</v>
      </c>
      <c r="IV3">
        <v>-37.512725679778399</v>
      </c>
      <c r="IW3">
        <v>19.876733995995099</v>
      </c>
      <c r="IX3">
        <v>19.635120827105599</v>
      </c>
      <c r="IY3">
        <v>51.322971498596999</v>
      </c>
      <c r="IZ3">
        <v>93.470057440653306</v>
      </c>
      <c r="JA3">
        <v>559.19545987756101</v>
      </c>
      <c r="JB3">
        <v>-24.483189092859501</v>
      </c>
      <c r="JC3">
        <v>19.8032170507378</v>
      </c>
      <c r="JD3">
        <v>19.551480336327302</v>
      </c>
      <c r="JE3">
        <v>32.9226390349979</v>
      </c>
      <c r="JF3">
        <v>61.4611531144728</v>
      </c>
      <c r="JG3">
        <v>368.87285049322298</v>
      </c>
      <c r="JH3">
        <v>-37.939858862117497</v>
      </c>
      <c r="JI3">
        <v>19.9852146757997</v>
      </c>
      <c r="JJ3">
        <v>19.749653516376299</v>
      </c>
      <c r="JK3">
        <v>52.862613544856998</v>
      </c>
      <c r="JL3">
        <v>93.877045049767403</v>
      </c>
      <c r="JM3">
        <v>562.27156570596401</v>
      </c>
      <c r="JN3">
        <v>-24.3705124694477</v>
      </c>
      <c r="JO3">
        <v>19.785055536294401</v>
      </c>
      <c r="JP3">
        <v>19.527175729263998</v>
      </c>
      <c r="JQ3">
        <v>0.95460126839316795</v>
      </c>
      <c r="JR3">
        <v>32.274229101107501</v>
      </c>
      <c r="JS3">
        <v>0.66903622334804003</v>
      </c>
      <c r="JT3">
        <v>61.7340246741052</v>
      </c>
      <c r="JU3">
        <v>371.91674208255</v>
      </c>
      <c r="JV3">
        <v>-16.395874566616701</v>
      </c>
      <c r="JW3">
        <v>401.59613316815199</v>
      </c>
      <c r="JX3">
        <v>-29.926148068696701</v>
      </c>
      <c r="JY3">
        <v>-8.6690462398597408</v>
      </c>
      <c r="JZ3">
        <v>264.70008297538499</v>
      </c>
      <c r="KA3">
        <v>-19.872955297741498</v>
      </c>
      <c r="KB3">
        <v>-12.171484225809101</v>
      </c>
      <c r="KC3">
        <v>428.79280022247502</v>
      </c>
      <c r="KD3">
        <v>-29.4175401354365</v>
      </c>
      <c r="KE3">
        <v>-7.8774577937325896</v>
      </c>
      <c r="KF3">
        <v>15.334899525270201</v>
      </c>
      <c r="KG3">
        <v>-117.365828211467</v>
      </c>
      <c r="KH3">
        <v>1.7754904230788999</v>
      </c>
      <c r="KI3">
        <v>270.12515587865801</v>
      </c>
      <c r="KJ3">
        <v>-19.065880568254801</v>
      </c>
      <c r="KK3">
        <v>3.0483864873162201</v>
      </c>
      <c r="KL3">
        <v>15.479507657233</v>
      </c>
      <c r="KM3">
        <v>16.844355097079401</v>
      </c>
      <c r="KN3">
        <v>504.117291332256</v>
      </c>
      <c r="KO3">
        <v>14.537420588558099</v>
      </c>
      <c r="KP3">
        <v>1.7855194168669599</v>
      </c>
      <c r="KQ3">
        <v>53.352191193918102</v>
      </c>
      <c r="KR3">
        <v>-792.49839969136201</v>
      </c>
      <c r="KS3">
        <v>2.16319566199848</v>
      </c>
      <c r="KT3">
        <v>15.4241465677352</v>
      </c>
      <c r="KU3">
        <v>16.785299092117199</v>
      </c>
      <c r="KV3">
        <v>318.586327791749</v>
      </c>
      <c r="KW3">
        <v>14.4813888969425</v>
      </c>
      <c r="KX3">
        <v>1.8268671622250201</v>
      </c>
      <c r="KY3">
        <v>33.265774437872103</v>
      </c>
      <c r="KZ3">
        <v>-496.683310711785</v>
      </c>
      <c r="LA3">
        <v>2.6518486075785601</v>
      </c>
      <c r="LB3">
        <v>15.5656726530885</v>
      </c>
      <c r="LC3">
        <v>16.953096849266799</v>
      </c>
      <c r="LD3">
        <v>511.23726024000399</v>
      </c>
      <c r="LE3">
        <v>14.6124932204039</v>
      </c>
      <c r="LF3">
        <v>1.7876042911709999</v>
      </c>
      <c r="LG3">
        <v>53.875341283163401</v>
      </c>
      <c r="LH3">
        <v>-797.85153814589501</v>
      </c>
      <c r="LI3">
        <v>2.2492396518486202</v>
      </c>
      <c r="LJ3">
        <v>15.4141130633798</v>
      </c>
      <c r="LK3">
        <v>16.764479004312498</v>
      </c>
      <c r="LL3">
        <v>317.45946289919402</v>
      </c>
      <c r="LM3">
        <v>14.4818682311783</v>
      </c>
      <c r="LN3">
        <v>1.9911021104220199</v>
      </c>
      <c r="LO3">
        <v>34.020461513715702</v>
      </c>
      <c r="LP3">
        <v>-490.09239965835098</v>
      </c>
      <c r="LQ3">
        <v>-26.414457135026598</v>
      </c>
      <c r="LR3">
        <v>18.700428341066502</v>
      </c>
      <c r="LS3">
        <v>16.440999999999999</v>
      </c>
      <c r="LT3">
        <v>16.3220629201316</v>
      </c>
      <c r="LU3">
        <v>34.908014628275701</v>
      </c>
      <c r="LV3">
        <v>18.733139661552698</v>
      </c>
      <c r="LW3">
        <v>18.762958268051001</v>
      </c>
      <c r="LX3">
        <v>28.587289401870901</v>
      </c>
      <c r="LY3">
        <v>-17.592246454004801</v>
      </c>
      <c r="LZ3">
        <v>18.6909086034577</v>
      </c>
      <c r="MA3">
        <v>16.440999999999999</v>
      </c>
      <c r="MB3">
        <v>12.290957922666401</v>
      </c>
      <c r="MC3">
        <v>32.522662087030099</v>
      </c>
      <c r="MD3">
        <v>18.712692186445398</v>
      </c>
      <c r="ME3">
        <v>18.713968395178899</v>
      </c>
      <c r="MF3">
        <v>17.4780183806058</v>
      </c>
      <c r="MG3">
        <v>-26.707365635995099</v>
      </c>
      <c r="MH3">
        <v>18.739344252059301</v>
      </c>
      <c r="MI3">
        <v>16.440999999999999</v>
      </c>
      <c r="MJ3">
        <v>11.7728676866851</v>
      </c>
      <c r="MK3">
        <v>6.80483234306742</v>
      </c>
      <c r="ML3">
        <v>18.7976287489141</v>
      </c>
      <c r="MM3">
        <v>18.857489047335701</v>
      </c>
      <c r="MN3">
        <v>33.626848011304403</v>
      </c>
      <c r="MO3">
        <v>-17.520877642491399</v>
      </c>
      <c r="MP3">
        <v>18.6776349267206</v>
      </c>
      <c r="MQ3">
        <v>16.440999999999999</v>
      </c>
      <c r="MR3">
        <v>12.909164478678999</v>
      </c>
      <c r="MS3">
        <v>36.396115473110399</v>
      </c>
      <c r="MT3">
        <v>18.693637287001799</v>
      </c>
      <c r="MU3">
        <v>18.688657347215099</v>
      </c>
      <c r="MV3">
        <v>16.719612479622</v>
      </c>
      <c r="MW3">
        <v>-27.9434219411147</v>
      </c>
      <c r="MX3">
        <v>20.444649336143101</v>
      </c>
      <c r="MY3">
        <v>20.084835600918002</v>
      </c>
      <c r="MZ3">
        <v>85.994509152241093</v>
      </c>
      <c r="NA3">
        <v>410.966714517301</v>
      </c>
      <c r="NB3">
        <v>20.163445382541902</v>
      </c>
      <c r="NC3">
        <v>19.655448176927798</v>
      </c>
      <c r="ND3">
        <v>-19.443917888049899</v>
      </c>
      <c r="NE3">
        <v>-18.5080427970973</v>
      </c>
      <c r="NF3">
        <v>20.403009006961799</v>
      </c>
      <c r="NG3">
        <v>20.043481856955399</v>
      </c>
      <c r="NH3">
        <v>56.505781982954403</v>
      </c>
      <c r="NI3">
        <v>269.04290015375199</v>
      </c>
      <c r="NJ3">
        <v>20.113388960277099</v>
      </c>
      <c r="NK3">
        <v>19.575898782815599</v>
      </c>
      <c r="NL3">
        <v>-12.4579276526821</v>
      </c>
      <c r="NM3">
        <v>-28.356399642846799</v>
      </c>
      <c r="NN3">
        <v>20.566608552665301</v>
      </c>
      <c r="NO3">
        <v>20.201651199162299</v>
      </c>
      <c r="NP3">
        <v>85.935186057691695</v>
      </c>
      <c r="NQ3">
        <v>410.980197796146</v>
      </c>
      <c r="NR3">
        <v>20.288762894388402</v>
      </c>
      <c r="NS3">
        <v>19.7718658585685</v>
      </c>
      <c r="NT3">
        <v>-18.244036152794301</v>
      </c>
      <c r="NU3">
        <v>-18.451945693806401</v>
      </c>
      <c r="NV3">
        <v>20.401569178260601</v>
      </c>
      <c r="NW3">
        <v>20.0397932018519</v>
      </c>
      <c r="NX3">
        <v>1.7</v>
      </c>
      <c r="NY3" s="35">
        <v>57.282522394676</v>
      </c>
      <c r="NZ3" s="35">
        <v>275.01184401289902</v>
      </c>
      <c r="OA3" s="35">
        <v>20.103375535307499</v>
      </c>
      <c r="OB3">
        <v>19.551945139905001</v>
      </c>
      <c r="OC3">
        <v>1.7</v>
      </c>
      <c r="OD3">
        <v>-13.7227137524913</v>
      </c>
      <c r="OE3">
        <v>1.7</v>
      </c>
      <c r="OF3">
        <v>1.7</v>
      </c>
      <c r="OG3">
        <v>-25.7872010231406</v>
      </c>
      <c r="OH3">
        <v>20.121172541337401</v>
      </c>
      <c r="OI3">
        <v>20.272552748836102</v>
      </c>
      <c r="OJ3">
        <v>143.99784124713301</v>
      </c>
      <c r="OK3">
        <v>800.122843918179</v>
      </c>
      <c r="OL3">
        <v>19.495097102405801</v>
      </c>
      <c r="OM3">
        <v>18.2431880343273</v>
      </c>
      <c r="ON3">
        <v>-90.751381315757598</v>
      </c>
      <c r="OO3">
        <v>-17.050618887853101</v>
      </c>
      <c r="OP3">
        <v>20.077334473697299</v>
      </c>
      <c r="OQ3">
        <v>20.2148742696528</v>
      </c>
      <c r="OR3">
        <v>92.818680967019901</v>
      </c>
      <c r="OS3">
        <v>512.24951927147401</v>
      </c>
      <c r="OT3">
        <v>19.447152552285001</v>
      </c>
      <c r="OU3">
        <v>18.1706193527707</v>
      </c>
      <c r="OV3">
        <v>-57.238898069306302</v>
      </c>
      <c r="OW3">
        <v>-26.1527876932991</v>
      </c>
      <c r="OX3">
        <v>20.2268365999875</v>
      </c>
      <c r="OY3">
        <v>20.3782674696422</v>
      </c>
      <c r="OZ3">
        <v>144.22341851716499</v>
      </c>
      <c r="PA3">
        <v>801.24228059159702</v>
      </c>
      <c r="PB3">
        <v>19.603251962953401</v>
      </c>
      <c r="PC3">
        <v>18.348412777837201</v>
      </c>
      <c r="PD3">
        <v>-89.591868975546106</v>
      </c>
      <c r="PE3">
        <v>-16.998096311979101</v>
      </c>
      <c r="PF3">
        <v>20.061575504569898</v>
      </c>
      <c r="PG3">
        <v>20.202339063328299</v>
      </c>
      <c r="PH3">
        <v>1.7</v>
      </c>
      <c r="PI3">
        <v>93.438771019293796</v>
      </c>
      <c r="PJ3">
        <v>516.494661189628</v>
      </c>
      <c r="PK3">
        <v>19.424929519174501</v>
      </c>
      <c r="PL3">
        <v>18.141134622308599</v>
      </c>
      <c r="PM3">
        <v>1.7</v>
      </c>
      <c r="PN3">
        <v>-58.158017186778601</v>
      </c>
      <c r="PO3">
        <v>18.839842389665701</v>
      </c>
      <c r="PP3">
        <v>18.7639989048416</v>
      </c>
      <c r="PQ3">
        <v>18.911814136142802</v>
      </c>
      <c r="PR3">
        <v>18.7418040408946</v>
      </c>
      <c r="PS3">
        <v>20.620474509948501</v>
      </c>
      <c r="PT3">
        <v>19.539788377644101</v>
      </c>
      <c r="PU3">
        <v>19.431606721531502</v>
      </c>
      <c r="PV3">
        <v>19.615241074379401</v>
      </c>
      <c r="PW3">
        <v>19.4073480226673</v>
      </c>
      <c r="PX3">
        <v>22.064150843869601</v>
      </c>
      <c r="PY3">
        <v>17.722267436016701</v>
      </c>
      <c r="PZ3">
        <v>17.640480547103898</v>
      </c>
      <c r="QA3">
        <v>17.796381734857</v>
      </c>
      <c r="QB3">
        <v>17.614144891256899</v>
      </c>
      <c r="QC3">
        <v>20.647684012626801</v>
      </c>
      <c r="QD3">
        <v>21.062515104043001</v>
      </c>
      <c r="QE3">
        <v>18.269092251475701</v>
      </c>
      <c r="QF3">
        <v>18.172461453405901</v>
      </c>
      <c r="QG3">
        <v>18.332410257564799</v>
      </c>
      <c r="QH3">
        <v>18.145773163266799</v>
      </c>
      <c r="QI3">
        <v>20.9229450370315</v>
      </c>
      <c r="QJ3">
        <v>18.886119326844501</v>
      </c>
      <c r="QK3">
        <v>18.751905648893999</v>
      </c>
      <c r="QL3">
        <v>18.946693849483001</v>
      </c>
      <c r="QM3">
        <v>18.725804439298599</v>
      </c>
      <c r="QN3">
        <v>656.375739192369</v>
      </c>
      <c r="QO3">
        <v>22.3502790367369</v>
      </c>
      <c r="QP3">
        <v>-2126.3404548459698</v>
      </c>
      <c r="QQ3">
        <v>17.228125915912301</v>
      </c>
      <c r="QR3">
        <v>17.113101153954499</v>
      </c>
      <c r="QS3">
        <v>17.281316874191901</v>
      </c>
      <c r="QT3">
        <v>17.083166003426399</v>
      </c>
      <c r="QU3">
        <v>20.882519542397599</v>
      </c>
      <c r="QV3">
        <v>21.0663315322412</v>
      </c>
      <c r="QW3">
        <v>1945355.0379617</v>
      </c>
      <c r="QX3">
        <v>0</v>
      </c>
      <c r="QY3">
        <v>1270991.50832297</v>
      </c>
      <c r="QZ3">
        <v>0</v>
      </c>
      <c r="RA3">
        <v>293314.41765240801</v>
      </c>
      <c r="RB3">
        <v>0</v>
      </c>
      <c r="RC3">
        <v>192986.44227931701</v>
      </c>
      <c r="RD3">
        <v>0</v>
      </c>
      <c r="RE3">
        <v>654181.87221218902</v>
      </c>
      <c r="RF3">
        <v>0</v>
      </c>
      <c r="RG3">
        <v>428238.01716253202</v>
      </c>
      <c r="RH3" s="35">
        <v>0</v>
      </c>
      <c r="RI3">
        <v>0</v>
      </c>
      <c r="RJ3" s="35">
        <v>0</v>
      </c>
      <c r="RK3">
        <v>17.698342113285701</v>
      </c>
      <c r="RL3">
        <v>965.15029062808003</v>
      </c>
      <c r="RM3">
        <v>965.15029062808003</v>
      </c>
      <c r="RN3">
        <v>13821.281036923599</v>
      </c>
      <c r="RO3" s="35">
        <v>0</v>
      </c>
      <c r="RP3">
        <v>0</v>
      </c>
      <c r="RQ3">
        <v>17.5809240019701</v>
      </c>
      <c r="RR3">
        <v>735.10590216843002</v>
      </c>
      <c r="RS3">
        <v>735.10590216843002</v>
      </c>
      <c r="RT3">
        <v>8908.8138286075791</v>
      </c>
      <c r="RU3">
        <v>0</v>
      </c>
      <c r="RV3">
        <v>0</v>
      </c>
      <c r="RW3">
        <v>17.7530063789868</v>
      </c>
      <c r="RX3">
        <v>876.63513538867801</v>
      </c>
      <c r="RY3">
        <v>876.63513538867801</v>
      </c>
      <c r="RZ3">
        <v>13730.262869796001</v>
      </c>
      <c r="SA3">
        <v>0</v>
      </c>
      <c r="SB3">
        <v>0</v>
      </c>
      <c r="SC3">
        <v>17.549742285639098</v>
      </c>
      <c r="SD3">
        <v>756.61564250847698</v>
      </c>
      <c r="SE3">
        <v>756.61564250847698</v>
      </c>
      <c r="SF3">
        <v>8931.6248363454106</v>
      </c>
      <c r="SG3">
        <v>0</v>
      </c>
      <c r="SH3">
        <v>0</v>
      </c>
      <c r="SI3">
        <v>21.225415564114599</v>
      </c>
      <c r="SJ3">
        <v>0</v>
      </c>
      <c r="SK3">
        <v>-22401.687607660799</v>
      </c>
      <c r="SL3">
        <v>42053.925266163998</v>
      </c>
      <c r="SM3">
        <v>18.333300000000001</v>
      </c>
      <c r="SN3">
        <v>26.666699999999999</v>
      </c>
      <c r="SO3">
        <v>0</v>
      </c>
      <c r="SP3">
        <v>0</v>
      </c>
      <c r="SQ3">
        <v>19.3647477144658</v>
      </c>
      <c r="SR3">
        <v>0</v>
      </c>
      <c r="SS3">
        <v>0</v>
      </c>
      <c r="ST3">
        <v>0</v>
      </c>
      <c r="SU3">
        <v>0</v>
      </c>
      <c r="SV3">
        <v>0</v>
      </c>
      <c r="SW3">
        <v>19.307301520699401</v>
      </c>
      <c r="SX3">
        <v>0</v>
      </c>
      <c r="SY3">
        <v>0</v>
      </c>
      <c r="SZ3">
        <v>0</v>
      </c>
      <c r="TA3">
        <v>0</v>
      </c>
      <c r="TB3">
        <v>0</v>
      </c>
      <c r="TC3">
        <v>19.472481498560899</v>
      </c>
      <c r="TD3">
        <v>0</v>
      </c>
      <c r="TE3">
        <v>0</v>
      </c>
      <c r="TF3">
        <v>0</v>
      </c>
      <c r="TG3">
        <v>0</v>
      </c>
      <c r="TH3">
        <v>0</v>
      </c>
      <c r="TI3">
        <v>19.2996790830389</v>
      </c>
      <c r="TJ3">
        <v>0</v>
      </c>
      <c r="TK3">
        <v>0</v>
      </c>
      <c r="TL3">
        <v>0</v>
      </c>
      <c r="TM3">
        <v>0</v>
      </c>
      <c r="TN3">
        <v>0</v>
      </c>
      <c r="TO3">
        <v>20.753678237423699</v>
      </c>
      <c r="TP3">
        <v>0</v>
      </c>
      <c r="TQ3">
        <v>0</v>
      </c>
      <c r="TR3">
        <v>0</v>
      </c>
      <c r="TS3">
        <v>0</v>
      </c>
      <c r="TT3">
        <v>0</v>
      </c>
      <c r="TU3">
        <v>18.232450276045</v>
      </c>
      <c r="TV3">
        <v>139.417900698973</v>
      </c>
      <c r="TW3">
        <v>139.417900698973</v>
      </c>
      <c r="TX3">
        <v>13032.798714902799</v>
      </c>
      <c r="TY3">
        <v>0</v>
      </c>
      <c r="TZ3">
        <v>0</v>
      </c>
      <c r="UA3">
        <v>18.072204576256599</v>
      </c>
      <c r="UB3">
        <v>254.86438857884099</v>
      </c>
      <c r="UC3">
        <v>254.86438857884099</v>
      </c>
      <c r="UD3">
        <v>8455.3878113756491</v>
      </c>
      <c r="UE3">
        <v>0</v>
      </c>
      <c r="UF3">
        <v>0</v>
      </c>
      <c r="UG3">
        <v>18.278146624586501</v>
      </c>
      <c r="UH3">
        <v>65.790850761913106</v>
      </c>
      <c r="UI3">
        <v>65.790850761913106</v>
      </c>
      <c r="UJ3">
        <v>12957.516338517</v>
      </c>
      <c r="UK3">
        <v>0</v>
      </c>
      <c r="UL3">
        <v>0</v>
      </c>
      <c r="UM3">
        <v>18.044260855929799</v>
      </c>
      <c r="UN3">
        <v>272.10223542605598</v>
      </c>
      <c r="UO3">
        <v>272.10223542605598</v>
      </c>
      <c r="UP3">
        <v>8473.9768637969992</v>
      </c>
      <c r="UQ3">
        <v>0</v>
      </c>
      <c r="UR3">
        <v>0</v>
      </c>
      <c r="US3">
        <v>22.636407229604199</v>
      </c>
      <c r="UT3">
        <v>0</v>
      </c>
      <c r="UU3">
        <v>-33113.871173663101</v>
      </c>
      <c r="UV3">
        <v>31037.6740166821</v>
      </c>
      <c r="UW3">
        <v>18.333300000000001</v>
      </c>
      <c r="UX3">
        <v>26.666699999999999</v>
      </c>
      <c r="UY3">
        <v>0</v>
      </c>
      <c r="UZ3">
        <v>0</v>
      </c>
      <c r="VA3">
        <v>19.626527743054599</v>
      </c>
      <c r="VB3">
        <v>0</v>
      </c>
      <c r="VC3">
        <v>0</v>
      </c>
      <c r="VD3">
        <v>0</v>
      </c>
      <c r="VE3">
        <v>0</v>
      </c>
      <c r="VF3">
        <v>0</v>
      </c>
      <c r="VG3">
        <v>19.549775718045801</v>
      </c>
      <c r="VH3">
        <v>0</v>
      </c>
      <c r="VI3">
        <v>0</v>
      </c>
      <c r="VJ3">
        <v>0</v>
      </c>
      <c r="VK3">
        <v>0</v>
      </c>
      <c r="VL3">
        <v>0</v>
      </c>
      <c r="VM3">
        <v>19.727850603990198</v>
      </c>
      <c r="VN3">
        <v>0</v>
      </c>
      <c r="VO3">
        <v>0</v>
      </c>
      <c r="VP3">
        <v>0</v>
      </c>
      <c r="VQ3">
        <v>0</v>
      </c>
      <c r="VR3">
        <v>0</v>
      </c>
      <c r="VS3">
        <v>19.535074795655401</v>
      </c>
      <c r="VT3">
        <v>0</v>
      </c>
      <c r="VU3">
        <v>0</v>
      </c>
      <c r="VV3">
        <v>0</v>
      </c>
      <c r="VW3">
        <v>0</v>
      </c>
      <c r="VX3">
        <v>0</v>
      </c>
      <c r="VY3">
        <v>21.664317651424199</v>
      </c>
      <c r="VZ3">
        <v>0</v>
      </c>
      <c r="WA3">
        <v>0</v>
      </c>
      <c r="WB3">
        <v>0</v>
      </c>
      <c r="WC3">
        <v>0</v>
      </c>
      <c r="WD3">
        <v>0</v>
      </c>
      <c r="WE3">
        <v>16.733984395807799</v>
      </c>
      <c r="WF3">
        <v>2504.88271992514</v>
      </c>
      <c r="WG3">
        <v>2504.88271992514</v>
      </c>
      <c r="WH3">
        <v>15491.0518604226</v>
      </c>
      <c r="WI3">
        <v>0</v>
      </c>
      <c r="WJ3">
        <v>0</v>
      </c>
      <c r="WK3">
        <v>0</v>
      </c>
      <c r="WL3">
        <v>16.5857217608051</v>
      </c>
      <c r="WM3">
        <v>1752.1623456769601</v>
      </c>
      <c r="WN3">
        <v>1752.1623456769601</v>
      </c>
      <c r="WO3">
        <v>10012.204096809801</v>
      </c>
      <c r="WP3">
        <v>18.333300000000001</v>
      </c>
      <c r="WQ3">
        <v>26.666699999999999</v>
      </c>
      <c r="WR3">
        <v>0</v>
      </c>
      <c r="WS3">
        <v>0</v>
      </c>
      <c r="WT3">
        <v>16.766252013526898</v>
      </c>
      <c r="WU3">
        <v>2455.7865390040101</v>
      </c>
      <c r="WV3">
        <v>2455.7865390040101</v>
      </c>
      <c r="WW3">
        <v>15440.5131258168</v>
      </c>
      <c r="WX3">
        <v>0</v>
      </c>
      <c r="WY3">
        <v>0</v>
      </c>
      <c r="WZ3">
        <v>0</v>
      </c>
      <c r="XA3">
        <v>16.552187115595999</v>
      </c>
      <c r="XB3">
        <v>1777.00753299855</v>
      </c>
      <c r="XC3">
        <v>1777.00753299855</v>
      </c>
      <c r="XD3">
        <v>10038.5495364654</v>
      </c>
      <c r="XE3">
        <v>0</v>
      </c>
      <c r="XF3">
        <v>0</v>
      </c>
      <c r="XG3">
        <v>21.117355072168401</v>
      </c>
      <c r="XH3">
        <v>0</v>
      </c>
      <c r="XI3">
        <v>-21414.848381930002</v>
      </c>
      <c r="XJ3">
        <v>43034.325977746303</v>
      </c>
      <c r="XK3">
        <v>18.333300000000001</v>
      </c>
      <c r="XL3">
        <v>26.666699999999999</v>
      </c>
      <c r="XM3">
        <v>0</v>
      </c>
      <c r="XN3">
        <v>0</v>
      </c>
      <c r="XO3">
        <v>14.1297917875357</v>
      </c>
      <c r="XP3">
        <v>0</v>
      </c>
      <c r="XQ3">
        <v>0</v>
      </c>
      <c r="XR3">
        <v>0</v>
      </c>
      <c r="XS3">
        <v>0</v>
      </c>
      <c r="XT3">
        <v>0</v>
      </c>
      <c r="XU3">
        <v>14.0756075086612</v>
      </c>
      <c r="XV3">
        <v>0</v>
      </c>
      <c r="XW3">
        <v>0</v>
      </c>
      <c r="XX3">
        <v>0</v>
      </c>
      <c r="XY3">
        <v>0</v>
      </c>
      <c r="XZ3">
        <v>0</v>
      </c>
      <c r="YA3">
        <v>14.2022098922758</v>
      </c>
      <c r="YB3">
        <v>0</v>
      </c>
      <c r="YC3">
        <v>0</v>
      </c>
      <c r="YD3">
        <v>0</v>
      </c>
      <c r="YE3">
        <v>0</v>
      </c>
      <c r="YF3">
        <v>0</v>
      </c>
      <c r="YG3">
        <v>14.0692484005721</v>
      </c>
      <c r="YH3">
        <v>0</v>
      </c>
      <c r="YI3">
        <v>0</v>
      </c>
      <c r="YJ3">
        <v>0</v>
      </c>
      <c r="YK3">
        <v>0</v>
      </c>
      <c r="YL3">
        <v>0</v>
      </c>
      <c r="YM3">
        <v>18.595693426387399</v>
      </c>
      <c r="YN3">
        <v>0</v>
      </c>
      <c r="YO3">
        <v>0</v>
      </c>
      <c r="YP3">
        <v>0</v>
      </c>
      <c r="YQ3">
        <v>0</v>
      </c>
      <c r="YR3">
        <v>0</v>
      </c>
      <c r="YS3">
        <v>18.643583399889199</v>
      </c>
      <c r="YT3">
        <v>0</v>
      </c>
      <c r="YU3">
        <v>0</v>
      </c>
      <c r="YV3">
        <v>0</v>
      </c>
      <c r="YW3">
        <v>0</v>
      </c>
      <c r="YX3">
        <v>0</v>
      </c>
      <c r="YY3">
        <v>18.6252124232002</v>
      </c>
      <c r="YZ3">
        <v>0</v>
      </c>
      <c r="ZA3">
        <v>0</v>
      </c>
      <c r="ZB3">
        <v>0</v>
      </c>
      <c r="ZC3">
        <v>0</v>
      </c>
      <c r="ZD3">
        <v>0</v>
      </c>
      <c r="ZE3">
        <v>18.694384540719899</v>
      </c>
      <c r="ZF3">
        <v>0</v>
      </c>
      <c r="ZG3">
        <v>0</v>
      </c>
      <c r="ZH3">
        <v>0</v>
      </c>
      <c r="ZI3">
        <v>0</v>
      </c>
      <c r="ZJ3">
        <v>0</v>
      </c>
      <c r="ZK3">
        <v>18.609386421442402</v>
      </c>
      <c r="ZL3">
        <v>0</v>
      </c>
      <c r="ZM3">
        <v>0</v>
      </c>
      <c r="ZN3">
        <v>0</v>
      </c>
      <c r="ZO3">
        <v>0</v>
      </c>
      <c r="ZP3">
        <v>0</v>
      </c>
      <c r="ZQ3">
        <v>19.028035819811699</v>
      </c>
      <c r="ZR3">
        <v>0</v>
      </c>
      <c r="ZS3">
        <v>0</v>
      </c>
      <c r="ZT3">
        <v>0</v>
      </c>
      <c r="ZU3">
        <v>0</v>
      </c>
      <c r="ZV3">
        <v>0</v>
      </c>
      <c r="ZW3">
        <v>20.188429658408399</v>
      </c>
      <c r="ZX3">
        <v>0</v>
      </c>
      <c r="ZY3">
        <v>0</v>
      </c>
      <c r="ZZ3">
        <v>0</v>
      </c>
      <c r="AAA3">
        <v>0</v>
      </c>
      <c r="AAB3">
        <v>0</v>
      </c>
      <c r="AAC3">
        <v>20.137593208326699</v>
      </c>
      <c r="AAD3">
        <v>0</v>
      </c>
      <c r="AAE3">
        <v>0</v>
      </c>
      <c r="AAF3">
        <v>0</v>
      </c>
      <c r="AAG3">
        <v>0</v>
      </c>
      <c r="AAH3">
        <v>0</v>
      </c>
      <c r="AAI3">
        <v>20.3096806254337</v>
      </c>
      <c r="AAJ3">
        <v>0</v>
      </c>
      <c r="AAK3">
        <v>0</v>
      </c>
      <c r="AAL3">
        <v>0</v>
      </c>
      <c r="AAM3">
        <v>0</v>
      </c>
      <c r="AAN3">
        <v>0</v>
      </c>
      <c r="AAO3">
        <v>20.132206477929</v>
      </c>
      <c r="AAP3">
        <v>0</v>
      </c>
      <c r="AAQ3">
        <v>0</v>
      </c>
      <c r="AAR3">
        <v>0</v>
      </c>
      <c r="AAS3">
        <v>0</v>
      </c>
      <c r="AAT3">
        <v>0</v>
      </c>
      <c r="AAU3">
        <v>21.295705771722101</v>
      </c>
      <c r="AAV3">
        <v>0</v>
      </c>
      <c r="AAW3">
        <v>0</v>
      </c>
      <c r="AAX3">
        <v>0</v>
      </c>
      <c r="AAY3">
        <v>0</v>
      </c>
      <c r="AAZ3">
        <v>0</v>
      </c>
      <c r="ABA3">
        <v>19.690540121121401</v>
      </c>
      <c r="ABB3">
        <v>0</v>
      </c>
      <c r="ABC3">
        <v>0</v>
      </c>
      <c r="ABD3">
        <v>0</v>
      </c>
      <c r="ABE3">
        <v>0</v>
      </c>
      <c r="ABF3">
        <v>0</v>
      </c>
      <c r="ABG3">
        <v>19.639321882527199</v>
      </c>
      <c r="ABH3">
        <v>0</v>
      </c>
      <c r="ABI3">
        <v>0</v>
      </c>
      <c r="ABJ3">
        <v>0</v>
      </c>
      <c r="ABK3">
        <v>0</v>
      </c>
      <c r="ABL3">
        <v>0</v>
      </c>
      <c r="ABM3">
        <v>19.7951423757298</v>
      </c>
      <c r="ABN3">
        <v>0</v>
      </c>
      <c r="ABO3">
        <v>0</v>
      </c>
      <c r="ABP3">
        <v>0</v>
      </c>
      <c r="ABQ3">
        <v>0</v>
      </c>
      <c r="ABR3">
        <v>0</v>
      </c>
      <c r="ABS3">
        <v>19.620829013011601</v>
      </c>
      <c r="ABT3">
        <v>0</v>
      </c>
      <c r="ABU3">
        <v>0</v>
      </c>
      <c r="ABV3">
        <v>0</v>
      </c>
      <c r="ABW3">
        <v>0</v>
      </c>
      <c r="ABX3">
        <v>0</v>
      </c>
      <c r="ABY3">
        <v>21.0663315322412</v>
      </c>
      <c r="ABZ3">
        <v>0</v>
      </c>
      <c r="ACA3">
        <v>0</v>
      </c>
      <c r="ACB3">
        <v>0</v>
      </c>
      <c r="ACC3">
        <v>0</v>
      </c>
      <c r="ACD3">
        <v>0</v>
      </c>
      <c r="ACE3">
        <v>0</v>
      </c>
      <c r="ACF3">
        <v>12.220032779007701</v>
      </c>
      <c r="ACG3">
        <v>12.220032779007701</v>
      </c>
      <c r="ACH3">
        <v>0</v>
      </c>
      <c r="ACI3">
        <v>0</v>
      </c>
      <c r="ACJ3">
        <v>0</v>
      </c>
      <c r="ACK3">
        <v>20.868780998713401</v>
      </c>
      <c r="ACL3">
        <v>20.868780998713401</v>
      </c>
      <c r="ACM3">
        <v>0</v>
      </c>
      <c r="ACN3">
        <v>21078.068283184501</v>
      </c>
      <c r="ACP3">
        <v>0</v>
      </c>
      <c r="ACR3">
        <v>21078.068283184501</v>
      </c>
      <c r="ACT3">
        <v>21.225385667397202</v>
      </c>
      <c r="ACU3">
        <v>21.225385667397202</v>
      </c>
      <c r="ACV3">
        <v>0</v>
      </c>
      <c r="ACW3">
        <v>0</v>
      </c>
      <c r="ACX3">
        <v>1</v>
      </c>
      <c r="ACY3">
        <v>22.6364640552023</v>
      </c>
      <c r="ACZ3">
        <v>22.6364640552023</v>
      </c>
      <c r="ADA3">
        <v>0</v>
      </c>
      <c r="ADB3">
        <v>0</v>
      </c>
      <c r="ADC3">
        <v>1</v>
      </c>
      <c r="ADD3">
        <v>21.117812662511799</v>
      </c>
      <c r="ADE3">
        <v>21.117812662511799</v>
      </c>
      <c r="ADF3">
        <v>0</v>
      </c>
      <c r="ADG3">
        <v>0</v>
      </c>
      <c r="ADH3">
        <v>1</v>
      </c>
      <c r="ADI3">
        <v>18.1792675520479</v>
      </c>
      <c r="ADJ3">
        <v>18.1792675520479</v>
      </c>
      <c r="ADK3">
        <v>0</v>
      </c>
      <c r="ADL3">
        <v>0</v>
      </c>
      <c r="ADM3">
        <v>1</v>
      </c>
      <c r="ADN3">
        <v>18.087392784166799</v>
      </c>
      <c r="ADO3">
        <v>18.087392784166799</v>
      </c>
      <c r="ADP3">
        <v>0</v>
      </c>
      <c r="ADQ3">
        <v>0</v>
      </c>
      <c r="ADR3">
        <v>1</v>
      </c>
      <c r="ADS3">
        <v>18.241069493326901</v>
      </c>
      <c r="ADT3">
        <v>18.241069493326901</v>
      </c>
      <c r="ADU3">
        <v>0</v>
      </c>
      <c r="ADV3">
        <v>0</v>
      </c>
      <c r="ADW3">
        <v>1</v>
      </c>
      <c r="ADX3">
        <v>18.055524126811498</v>
      </c>
      <c r="ADY3">
        <v>18.055524126811498</v>
      </c>
      <c r="ADZ3">
        <v>0</v>
      </c>
      <c r="AEA3">
        <v>0</v>
      </c>
      <c r="AEB3">
        <v>1</v>
      </c>
      <c r="AEC3">
        <v>18.764859980131501</v>
      </c>
      <c r="AED3">
        <v>18.764859980131501</v>
      </c>
      <c r="AEE3">
        <v>0</v>
      </c>
      <c r="AEF3">
        <v>0</v>
      </c>
      <c r="AEG3">
        <v>1</v>
      </c>
      <c r="AEH3">
        <v>18.633699874356299</v>
      </c>
      <c r="AEI3">
        <v>18.633699874356299</v>
      </c>
      <c r="AEJ3">
        <v>0</v>
      </c>
      <c r="AEK3">
        <v>0</v>
      </c>
      <c r="AEL3">
        <v>1</v>
      </c>
      <c r="AEM3">
        <v>18.819727818265601</v>
      </c>
      <c r="AEN3">
        <v>18.819727818265601</v>
      </c>
      <c r="AEO3">
        <v>0</v>
      </c>
      <c r="AEP3">
        <v>0</v>
      </c>
      <c r="AEQ3">
        <v>1</v>
      </c>
      <c r="AER3">
        <v>18.6020743936241</v>
      </c>
      <c r="AES3">
        <v>18.6020743936241</v>
      </c>
      <c r="AET3">
        <v>0</v>
      </c>
      <c r="AEU3">
        <v>0</v>
      </c>
      <c r="AEV3">
        <v>1</v>
      </c>
      <c r="AEW3">
        <v>17.1886532283844</v>
      </c>
      <c r="AEX3">
        <v>17.1886532283844</v>
      </c>
      <c r="AEY3">
        <v>0</v>
      </c>
      <c r="AEZ3">
        <v>0</v>
      </c>
      <c r="AFA3">
        <v>1</v>
      </c>
      <c r="AFB3">
        <v>17.076543407260601</v>
      </c>
      <c r="AFC3">
        <v>17.076543407260601</v>
      </c>
      <c r="AFD3">
        <v>0</v>
      </c>
      <c r="AFE3">
        <v>0</v>
      </c>
      <c r="AFF3">
        <v>1</v>
      </c>
      <c r="AFG3">
        <v>17.2396787090468</v>
      </c>
      <c r="AFH3">
        <v>17.2396787090468</v>
      </c>
      <c r="AFI3">
        <v>0</v>
      </c>
      <c r="AFJ3">
        <v>0</v>
      </c>
      <c r="AFK3">
        <v>1</v>
      </c>
      <c r="AFL3">
        <v>17.041195494646999</v>
      </c>
      <c r="AFM3">
        <v>17.041195494646999</v>
      </c>
      <c r="AFN3">
        <v>0</v>
      </c>
      <c r="AFO3">
        <v>0</v>
      </c>
      <c r="AFP3">
        <v>1</v>
      </c>
      <c r="AFQ3">
        <v>-1.7703223631796201</v>
      </c>
      <c r="AFR3">
        <v>-1.78315834789325</v>
      </c>
      <c r="AFS3">
        <v>-1.80736068015917</v>
      </c>
      <c r="AFT3">
        <v>-1.80032953069363</v>
      </c>
      <c r="AFU3">
        <v>-1.6520146530077</v>
      </c>
      <c r="AFV3">
        <v>-1.6652223898681899</v>
      </c>
      <c r="AFW3">
        <v>-1.69639368161061</v>
      </c>
      <c r="AFX3">
        <v>-1.6909355262343599</v>
      </c>
      <c r="AFY3">
        <v>-1.9765195131839099</v>
      </c>
      <c r="AFZ3">
        <v>-1.9880081737900599</v>
      </c>
      <c r="AGA3">
        <v>-2.0128978570684799</v>
      </c>
      <c r="AGB3">
        <v>-2.0073021957322501</v>
      </c>
      <c r="AGC3">
        <v>-1.23767211142753</v>
      </c>
      <c r="AGD3">
        <v>-0.89965414565338797</v>
      </c>
      <c r="AGE3">
        <v>-1.2484682584436699</v>
      </c>
      <c r="AGF3">
        <v>0</v>
      </c>
      <c r="AGG3">
        <v>0</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Z3">
        <v>0</v>
      </c>
      <c r="AIB3">
        <v>0</v>
      </c>
      <c r="AID3">
        <v>0</v>
      </c>
      <c r="AIF3">
        <v>0</v>
      </c>
      <c r="AIH3">
        <v>0</v>
      </c>
      <c r="AIJ3">
        <v>0</v>
      </c>
      <c r="AIL3">
        <v>0</v>
      </c>
      <c r="AIN3">
        <v>0</v>
      </c>
      <c r="AIP3">
        <v>0</v>
      </c>
      <c r="AIR3">
        <v>0</v>
      </c>
      <c r="AIT3">
        <v>0</v>
      </c>
      <c r="AIV3">
        <v>0</v>
      </c>
      <c r="AIX3">
        <v>0</v>
      </c>
      <c r="AIZ3">
        <v>0</v>
      </c>
      <c r="AJB3">
        <v>0</v>
      </c>
      <c r="AJC3">
        <v>0</v>
      </c>
      <c r="AJE3">
        <v>0</v>
      </c>
      <c r="AJH3">
        <v>0</v>
      </c>
      <c r="AJJ3">
        <v>0</v>
      </c>
      <c r="AJK3">
        <v>0</v>
      </c>
      <c r="AJL3">
        <v>0</v>
      </c>
      <c r="AJM3">
        <v>0</v>
      </c>
      <c r="AJN3">
        <v>0</v>
      </c>
      <c r="AJO3">
        <v>0</v>
      </c>
      <c r="AJP3">
        <v>0</v>
      </c>
      <c r="AJQ3">
        <v>0</v>
      </c>
      <c r="AJR3">
        <v>0</v>
      </c>
      <c r="AJS3">
        <v>0</v>
      </c>
      <c r="AJT3">
        <v>0</v>
      </c>
      <c r="AJU3">
        <v>0</v>
      </c>
      <c r="AJV3">
        <v>0</v>
      </c>
      <c r="AJW3">
        <v>0</v>
      </c>
      <c r="AJX3">
        <v>0</v>
      </c>
      <c r="AJY3">
        <v>0</v>
      </c>
      <c r="AJZ3">
        <v>0</v>
      </c>
      <c r="AKA3">
        <v>0</v>
      </c>
      <c r="AKB3">
        <v>0</v>
      </c>
      <c r="AKC3">
        <v>0</v>
      </c>
      <c r="AKD3">
        <v>0</v>
      </c>
      <c r="AKE3">
        <v>70.191915221237295</v>
      </c>
      <c r="AKF3">
        <v>70.191915221237295</v>
      </c>
      <c r="AKG3">
        <v>0</v>
      </c>
      <c r="AKH3">
        <v>0</v>
      </c>
      <c r="AKI3">
        <v>0</v>
      </c>
      <c r="AKJ3">
        <v>0</v>
      </c>
      <c r="AKK3">
        <v>0</v>
      </c>
      <c r="AKL3">
        <v>70.191915221237295</v>
      </c>
      <c r="AKM3">
        <v>70.191915221237295</v>
      </c>
      <c r="AKN3">
        <v>0</v>
      </c>
      <c r="AKO3">
        <v>0</v>
      </c>
      <c r="AKP3">
        <v>0</v>
      </c>
      <c r="AKT3">
        <v>0</v>
      </c>
      <c r="AKX3">
        <v>0</v>
      </c>
      <c r="ALB3">
        <v>20.868780998713401</v>
      </c>
      <c r="ALC3">
        <v>20.868780998713401</v>
      </c>
      <c r="ALD3">
        <v>0</v>
      </c>
      <c r="ALE3">
        <v>0</v>
      </c>
      <c r="ALF3">
        <v>0</v>
      </c>
      <c r="ALH3">
        <v>20.748118613204699</v>
      </c>
      <c r="ALI3">
        <v>6.5512261449747903E-3</v>
      </c>
      <c r="ALJ3">
        <v>0</v>
      </c>
      <c r="ALK3">
        <v>20.748118613204699</v>
      </c>
      <c r="ALL3">
        <v>0</v>
      </c>
      <c r="ALM3">
        <v>0</v>
      </c>
      <c r="ALN3">
        <v>20.748118613204699</v>
      </c>
      <c r="ALO3">
        <v>6.5512261449747903E-3</v>
      </c>
      <c r="ALP3">
        <v>43.466691250752099</v>
      </c>
      <c r="ALQ3">
        <v>0</v>
      </c>
      <c r="ALR3">
        <v>20.748118613204699</v>
      </c>
      <c r="ALS3">
        <v>0</v>
      </c>
      <c r="ALT3">
        <v>20.748118613204699</v>
      </c>
      <c r="ALU3">
        <v>0</v>
      </c>
      <c r="ALV3">
        <v>12.220032779007701</v>
      </c>
      <c r="ALW3">
        <v>9.9999999999999897E-12</v>
      </c>
      <c r="ALX3">
        <v>12.220032779007701</v>
      </c>
      <c r="ALY3">
        <v>9.9999999999999897E-12</v>
      </c>
      <c r="ALZ3">
        <v>0</v>
      </c>
      <c r="AMA3">
        <v>12.220032779007701</v>
      </c>
      <c r="AMB3">
        <v>0</v>
      </c>
      <c r="AMC3">
        <v>12.220032779007701</v>
      </c>
      <c r="AMD3">
        <v>0</v>
      </c>
      <c r="AME3">
        <v>12.220032779007701</v>
      </c>
      <c r="AMF3">
        <v>0</v>
      </c>
      <c r="AMG3">
        <v>0</v>
      </c>
      <c r="AMH3">
        <v>0</v>
      </c>
      <c r="AMI3">
        <v>18.623421589898498</v>
      </c>
      <c r="AMJ3">
        <v>0</v>
      </c>
      <c r="AMK3" s="580">
        <v>19.011454740622899</v>
      </c>
      <c r="AML3">
        <v>0</v>
      </c>
      <c r="AMM3">
        <v>18.639291487351699</v>
      </c>
      <c r="AMN3">
        <v>0</v>
      </c>
      <c r="AMO3">
        <v>18.656897450546701</v>
      </c>
      <c r="AMP3">
        <v>0</v>
      </c>
      <c r="AMQ3">
        <v>18.707946050932399</v>
      </c>
      <c r="AMR3">
        <v>0</v>
      </c>
      <c r="AMS3">
        <v>21.285293879216301</v>
      </c>
      <c r="AMT3">
        <v>0</v>
      </c>
      <c r="AMU3">
        <v>20.1657072825864</v>
      </c>
      <c r="AMV3">
        <v>0</v>
      </c>
      <c r="AMW3">
        <v>20.161005454269802</v>
      </c>
      <c r="AMX3">
        <v>0</v>
      </c>
      <c r="AMY3">
        <v>20.215302250451401</v>
      </c>
      <c r="AMZ3">
        <v>0</v>
      </c>
      <c r="ANA3">
        <v>20.337419681480402</v>
      </c>
      <c r="ANB3">
        <v>0</v>
      </c>
      <c r="ANC3">
        <v>21.061798966595099</v>
      </c>
      <c r="AND3">
        <v>0</v>
      </c>
      <c r="ANE3">
        <v>19.6875330715263</v>
      </c>
      <c r="ANF3">
        <v>0</v>
      </c>
      <c r="ANG3">
        <v>19.669169971750499</v>
      </c>
      <c r="ANH3">
        <v>0</v>
      </c>
      <c r="ANI3">
        <v>19.737130751210302</v>
      </c>
      <c r="ANJ3">
        <v>0</v>
      </c>
      <c r="ANK3">
        <v>19.842193195989999</v>
      </c>
      <c r="ANL3">
        <v>0</v>
      </c>
      <c r="ANM3">
        <v>0</v>
      </c>
      <c r="ANN3">
        <v>0</v>
      </c>
      <c r="ANO3">
        <v>0</v>
      </c>
      <c r="ANP3">
        <v>19.011454740622899</v>
      </c>
      <c r="ANQ3">
        <v>18.639291487351699</v>
      </c>
      <c r="ANR3">
        <v>18.623421589898498</v>
      </c>
      <c r="ANS3">
        <v>18.707946050932399</v>
      </c>
      <c r="ANT3">
        <v>18.656897450546701</v>
      </c>
      <c r="ANU3">
        <v>21.285293879216301</v>
      </c>
      <c r="ANV3">
        <v>20.1657072825864</v>
      </c>
      <c r="ANW3">
        <v>20.161005454269802</v>
      </c>
      <c r="ANX3">
        <v>20.337419681480402</v>
      </c>
      <c r="ANY3">
        <v>20.215302250451401</v>
      </c>
      <c r="ANZ3">
        <v>21.061798966595099</v>
      </c>
      <c r="AOA3">
        <v>19.6875330715263</v>
      </c>
      <c r="AOB3">
        <v>19.669169971750499</v>
      </c>
      <c r="AOC3">
        <v>19.842193195989999</v>
      </c>
      <c r="AOD3">
        <v>19.737130751210302</v>
      </c>
      <c r="AOE3">
        <v>20.748118613204699</v>
      </c>
      <c r="AOF3">
        <v>0</v>
      </c>
      <c r="AOG3">
        <v>20.742292788385399</v>
      </c>
      <c r="AOH3">
        <v>0</v>
      </c>
    </row>
    <row r="4" spans="1:1074">
      <c r="A4" t="s">
        <v>2939</v>
      </c>
      <c r="B4">
        <v>4.5999999999999996</v>
      </c>
      <c r="D4">
        <v>4.1290392887390004</v>
      </c>
      <c r="F4">
        <v>5</v>
      </c>
      <c r="G4">
        <v>1474970.3079169099</v>
      </c>
      <c r="H4">
        <v>3001393.0684355702</v>
      </c>
      <c r="I4">
        <v>936694.08378745895</v>
      </c>
      <c r="J4">
        <v>1906063.5425907599</v>
      </c>
      <c r="K4">
        <v>1474970.3079169099</v>
      </c>
      <c r="L4">
        <v>3001393.0684355702</v>
      </c>
      <c r="M4">
        <v>936694.08378745895</v>
      </c>
      <c r="N4">
        <v>1906063.5425907599</v>
      </c>
      <c r="O4">
        <v>7606709.1984463502</v>
      </c>
      <c r="P4">
        <v>15478768.717768701</v>
      </c>
      <c r="Q4">
        <v>1474970.3079169099</v>
      </c>
      <c r="R4">
        <v>3001393.0684355702</v>
      </c>
      <c r="S4">
        <v>936694.08378745895</v>
      </c>
      <c r="T4">
        <v>1906063.5425907599</v>
      </c>
      <c r="U4">
        <v>1474970.3079169099</v>
      </c>
      <c r="V4">
        <v>3001393.0684355702</v>
      </c>
      <c r="W4">
        <v>936694.08378745895</v>
      </c>
      <c r="X4">
        <v>1906063.5425907599</v>
      </c>
      <c r="Y4">
        <v>7606709.1984463502</v>
      </c>
      <c r="Z4">
        <v>15478768.717768701</v>
      </c>
      <c r="AA4">
        <v>1474970.3079169099</v>
      </c>
      <c r="AB4">
        <v>3001393.0684355702</v>
      </c>
      <c r="AC4">
        <v>936694.08378745895</v>
      </c>
      <c r="AD4">
        <v>1906063.5425907599</v>
      </c>
      <c r="AE4">
        <v>1474970.3079169099</v>
      </c>
      <c r="AF4">
        <v>3001393.0684355702</v>
      </c>
      <c r="AG4">
        <v>936694.08378745895</v>
      </c>
      <c r="AH4">
        <v>1906063.5425907599</v>
      </c>
      <c r="AI4">
        <v>7606709.1984463502</v>
      </c>
      <c r="AJ4">
        <v>15478768.717768701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188658.992873093</v>
      </c>
      <c r="CF4">
        <v>428770.43834793899</v>
      </c>
      <c r="CG4">
        <v>188658.992873093</v>
      </c>
      <c r="CH4">
        <v>428770.43834793899</v>
      </c>
      <c r="CI4">
        <v>119809.708391419</v>
      </c>
      <c r="CJ4">
        <v>272294.79179867997</v>
      </c>
      <c r="CK4">
        <v>119809.708391419</v>
      </c>
      <c r="CL4">
        <v>272294.79179867997</v>
      </c>
      <c r="CM4">
        <v>188658.992873093</v>
      </c>
      <c r="CN4">
        <v>428770.43834793899</v>
      </c>
      <c r="CO4">
        <v>188658.992873093</v>
      </c>
      <c r="CP4">
        <v>428770.43834793899</v>
      </c>
      <c r="CQ4">
        <v>119809.708391419</v>
      </c>
      <c r="CR4">
        <v>272294.79179867997</v>
      </c>
      <c r="CS4">
        <v>119809.708391419</v>
      </c>
      <c r="CT4">
        <v>272294.79179867997</v>
      </c>
      <c r="CU4">
        <v>188658.992873093</v>
      </c>
      <c r="CV4">
        <v>428770.43834793899</v>
      </c>
      <c r="CW4">
        <v>188658.992873093</v>
      </c>
      <c r="CX4">
        <v>428770.43834793899</v>
      </c>
      <c r="CY4">
        <v>119809.708391419</v>
      </c>
      <c r="CZ4">
        <v>272294.79179867997</v>
      </c>
      <c r="DA4">
        <v>119809.708391419</v>
      </c>
      <c r="DB4">
        <v>272294.79179867997</v>
      </c>
      <c r="DC4">
        <v>972951.17654546397</v>
      </c>
      <c r="DD4">
        <v>2211252.6739669601</v>
      </c>
      <c r="DE4">
        <v>972951.17654546397</v>
      </c>
      <c r="DF4">
        <v>2211252.6739669601</v>
      </c>
      <c r="DG4">
        <v>972951.17654546397</v>
      </c>
      <c r="DH4">
        <v>2211252.6739669601</v>
      </c>
      <c r="DI4">
        <v>1286311.3150438201</v>
      </c>
      <c r="DJ4">
        <v>2572622.6300876299</v>
      </c>
      <c r="DK4">
        <v>1286311.3150438201</v>
      </c>
      <c r="DL4">
        <v>2572622.6300876299</v>
      </c>
      <c r="DM4">
        <v>816884.37539604004</v>
      </c>
      <c r="DN4">
        <v>1633768.7507920801</v>
      </c>
      <c r="DO4">
        <v>816884.37539603899</v>
      </c>
      <c r="DP4">
        <v>1633768.7507920801</v>
      </c>
      <c r="DQ4">
        <v>1286311.3150438201</v>
      </c>
      <c r="DR4">
        <v>2572622.6300876299</v>
      </c>
      <c r="DS4">
        <v>1286311.3150438201</v>
      </c>
      <c r="DT4">
        <v>2572622.6300876299</v>
      </c>
      <c r="DU4">
        <v>816884.37539604004</v>
      </c>
      <c r="DV4">
        <v>1633768.7507920801</v>
      </c>
      <c r="DW4">
        <v>816884.37539603899</v>
      </c>
      <c r="DX4">
        <v>1633768.7507920801</v>
      </c>
      <c r="DY4">
        <v>1286311.3150438201</v>
      </c>
      <c r="DZ4">
        <v>2572622.6300876299</v>
      </c>
      <c r="EA4">
        <v>1286311.3150438201</v>
      </c>
      <c r="EB4">
        <v>2572622.6300876299</v>
      </c>
      <c r="EC4">
        <v>816884.37539604004</v>
      </c>
      <c r="ED4">
        <v>1633768.7507920801</v>
      </c>
      <c r="EE4">
        <v>816884.37539603899</v>
      </c>
      <c r="EF4">
        <v>1633768.7507920801</v>
      </c>
      <c r="EG4">
        <v>6633758.0219008904</v>
      </c>
      <c r="EH4">
        <v>13267516.043801799</v>
      </c>
      <c r="EI4">
        <v>6633758.0219008904</v>
      </c>
      <c r="EJ4">
        <v>13267516.043801799</v>
      </c>
      <c r="EK4">
        <v>6633758.0219008904</v>
      </c>
      <c r="EL4">
        <v>13267516.043801799</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-19.321410563565902</v>
      </c>
      <c r="GC4">
        <v>182.70496134555799</v>
      </c>
      <c r="GD4">
        <v>157.28587720048901</v>
      </c>
      <c r="GE4">
        <v>-12.3077678536806</v>
      </c>
      <c r="GF4">
        <v>130.881615133216</v>
      </c>
      <c r="GG4">
        <v>106.763532666931</v>
      </c>
      <c r="GH4">
        <v>-18.590917648155699</v>
      </c>
      <c r="GI4">
        <v>199.403012741212</v>
      </c>
      <c r="GJ4">
        <v>170.16046245594001</v>
      </c>
      <c r="GK4">
        <v>-12.3702109858661</v>
      </c>
      <c r="GL4">
        <v>126.360859306694</v>
      </c>
      <c r="GM4">
        <v>104.808578089397</v>
      </c>
      <c r="GN4">
        <v>-39.551651264180599</v>
      </c>
      <c r="GO4">
        <v>19.4453101948429</v>
      </c>
      <c r="GP4">
        <v>19.034513048773501</v>
      </c>
      <c r="GQ4">
        <v>21.889243379221099</v>
      </c>
      <c r="GR4">
        <v>100.232583519614</v>
      </c>
      <c r="GS4">
        <v>720.436729708043</v>
      </c>
      <c r="GT4">
        <v>-25.831068143772001</v>
      </c>
      <c r="GU4">
        <v>19.3785469091784</v>
      </c>
      <c r="GV4">
        <v>18.955703950340901</v>
      </c>
      <c r="GW4">
        <v>13.648874371484601</v>
      </c>
      <c r="GX4">
        <v>65.7476387474251</v>
      </c>
      <c r="GY4">
        <v>471.90181796400401</v>
      </c>
      <c r="GZ4">
        <v>-39.835012028832203</v>
      </c>
      <c r="HA4">
        <v>19.550764702593899</v>
      </c>
      <c r="HB4">
        <v>19.1368112058896</v>
      </c>
      <c r="HC4">
        <v>22.360905213546001</v>
      </c>
      <c r="HD4">
        <v>102.098261386321</v>
      </c>
      <c r="HE4">
        <v>735.01759444374704</v>
      </c>
      <c r="HF4">
        <v>-25.848737054854801</v>
      </c>
      <c r="HG4">
        <v>19.3775918489481</v>
      </c>
      <c r="HH4">
        <v>18.958666905841099</v>
      </c>
      <c r="HI4">
        <v>14.0180071228913</v>
      </c>
      <c r="HJ4">
        <v>66.099834209759393</v>
      </c>
      <c r="HK4">
        <v>472.338694002159</v>
      </c>
      <c r="HL4">
        <v>-17.244289471025599</v>
      </c>
      <c r="HM4">
        <v>20.214275262930201</v>
      </c>
      <c r="HN4">
        <v>21.313380761384899</v>
      </c>
      <c r="HO4">
        <v>288.94110926260902</v>
      </c>
      <c r="HP4">
        <v>313.41411296744002</v>
      </c>
      <c r="HQ4">
        <v>19.585979248418401</v>
      </c>
      <c r="HR4">
        <v>155.417003046254</v>
      </c>
      <c r="HS4">
        <v>-9.15968041293468</v>
      </c>
      <c r="HT4">
        <v>20.138092014831599</v>
      </c>
      <c r="HU4">
        <v>21.297908681703898</v>
      </c>
      <c r="HV4">
        <v>187.11600173361501</v>
      </c>
      <c r="HW4">
        <v>219.883416433402</v>
      </c>
      <c r="HX4">
        <v>19.481909526196901</v>
      </c>
      <c r="HY4">
        <v>108.760450371486</v>
      </c>
      <c r="HZ4">
        <v>20.255163167447598</v>
      </c>
      <c r="IA4">
        <v>21.352210968491999</v>
      </c>
      <c r="IB4">
        <v>287.28080322369902</v>
      </c>
      <c r="IC4">
        <v>-15.049458243412801</v>
      </c>
      <c r="ID4">
        <v>341.87247160511998</v>
      </c>
      <c r="IE4">
        <v>19.695708210616299</v>
      </c>
      <c r="IF4">
        <v>169.358363388002</v>
      </c>
      <c r="IG4">
        <v>17.620485073736599</v>
      </c>
      <c r="IH4">
        <v>20.147129693281599</v>
      </c>
      <c r="II4">
        <v>21.301945005711499</v>
      </c>
      <c r="IJ4">
        <v>184.64209521994999</v>
      </c>
      <c r="IK4">
        <v>18.614929283585901</v>
      </c>
      <c r="IL4">
        <v>-9.9773633759643801</v>
      </c>
      <c r="IM4">
        <v>213.70096394790599</v>
      </c>
      <c r="IN4">
        <v>19.485120252459598</v>
      </c>
      <c r="IO4">
        <v>0.85985466907266594</v>
      </c>
      <c r="IP4">
        <v>105.609088256074</v>
      </c>
      <c r="IQ4">
        <v>-224.32134622504199</v>
      </c>
      <c r="IR4">
        <v>-135.930352379493</v>
      </c>
      <c r="IS4">
        <v>-215.48484334195399</v>
      </c>
      <c r="IT4">
        <v>-135.47021242032901</v>
      </c>
      <c r="IU4">
        <v>-787.72853021846902</v>
      </c>
      <c r="IV4">
        <v>-39.403594260880503</v>
      </c>
      <c r="IW4">
        <v>19.809755703826401</v>
      </c>
      <c r="IX4">
        <v>19.585979248418401</v>
      </c>
      <c r="IY4">
        <v>48.572287985654597</v>
      </c>
      <c r="IZ4">
        <v>85.068154091396295</v>
      </c>
      <c r="JA4">
        <v>517.49943231944599</v>
      </c>
      <c r="JB4">
        <v>-25.630666043710299</v>
      </c>
      <c r="JC4">
        <v>19.7228951281703</v>
      </c>
      <c r="JD4">
        <v>19.481909526196901</v>
      </c>
      <c r="JE4">
        <v>30.498448292059901</v>
      </c>
      <c r="JF4">
        <v>56.493385348545303</v>
      </c>
      <c r="JG4">
        <v>346.65229603557702</v>
      </c>
      <c r="JH4">
        <v>-39.719835776541103</v>
      </c>
      <c r="JI4">
        <v>19.913354963550699</v>
      </c>
      <c r="JJ4">
        <v>19.695708210616299</v>
      </c>
      <c r="JK4">
        <v>50.2864907373542</v>
      </c>
      <c r="JL4">
        <v>86.157762160943307</v>
      </c>
      <c r="JM4">
        <v>523.51436106121503</v>
      </c>
      <c r="JN4">
        <v>-25.649928743054399</v>
      </c>
      <c r="JO4">
        <v>19.7174059550624</v>
      </c>
      <c r="JP4">
        <v>19.485120252459598</v>
      </c>
      <c r="JQ4">
        <v>0.95431892536410401</v>
      </c>
      <c r="JR4">
        <v>31.253337541736201</v>
      </c>
      <c r="JS4">
        <v>0.65553859256006597</v>
      </c>
      <c r="JT4">
        <v>56.557773696856401</v>
      </c>
      <c r="JU4">
        <v>344.140457001144</v>
      </c>
      <c r="JV4">
        <v>-18.528649662194201</v>
      </c>
      <c r="JW4">
        <v>373.08199900135997</v>
      </c>
      <c r="JX4">
        <v>-30.564852830423298</v>
      </c>
      <c r="JY4">
        <v>-11.292211377596001</v>
      </c>
      <c r="JZ4">
        <v>251.947079690576</v>
      </c>
      <c r="KA4">
        <v>-19.8854775698344</v>
      </c>
      <c r="KB4">
        <v>-16.9905411722659</v>
      </c>
      <c r="KC4">
        <v>400.275201866656</v>
      </c>
      <c r="KD4">
        <v>-30.1231008055594</v>
      </c>
      <c r="KE4">
        <v>-11.4841571415103</v>
      </c>
      <c r="KF4">
        <v>15.3568927614369</v>
      </c>
      <c r="KG4">
        <v>-109.734043165298</v>
      </c>
      <c r="KH4">
        <v>1.7364297908603501</v>
      </c>
      <c r="KI4">
        <v>245.41793192907201</v>
      </c>
      <c r="KJ4">
        <v>-19.333753209711201</v>
      </c>
      <c r="KK4">
        <v>-1.1167483263021301</v>
      </c>
      <c r="KL4">
        <v>15.424533699008499</v>
      </c>
      <c r="KM4">
        <v>16.748737285237102</v>
      </c>
      <c r="KN4">
        <v>475.69035452219703</v>
      </c>
      <c r="KO4">
        <v>14.501729842949199</v>
      </c>
      <c r="KP4">
        <v>2.05737063846043</v>
      </c>
      <c r="KQ4">
        <v>46.597074386251101</v>
      </c>
      <c r="KR4">
        <v>-770.26493207299904</v>
      </c>
      <c r="KS4">
        <v>-0.62835709863875</v>
      </c>
      <c r="KT4">
        <v>15.347451227678899</v>
      </c>
      <c r="KU4">
        <v>16.665737536061101</v>
      </c>
      <c r="KV4">
        <v>299.98205029565901</v>
      </c>
      <c r="KW4">
        <v>14.4253560863076</v>
      </c>
      <c r="KX4">
        <v>2.0951079885751498</v>
      </c>
      <c r="KY4">
        <v>28.952827163310801</v>
      </c>
      <c r="KZ4">
        <v>-482.361342565352</v>
      </c>
      <c r="LA4">
        <v>-1.32625555103698</v>
      </c>
      <c r="LB4">
        <v>15.511272213022499</v>
      </c>
      <c r="LC4">
        <v>16.855982962110598</v>
      </c>
      <c r="LD4">
        <v>482.14709570207799</v>
      </c>
      <c r="LE4">
        <v>14.5785241593733</v>
      </c>
      <c r="LF4">
        <v>2.05968740528759</v>
      </c>
      <c r="LG4">
        <v>47.129484596427702</v>
      </c>
      <c r="LH4">
        <v>-775.10027006947303</v>
      </c>
      <c r="LI4">
        <v>-0.62184677849826597</v>
      </c>
      <c r="LJ4">
        <v>15.348533343283</v>
      </c>
      <c r="LK4">
        <v>16.6664157362077</v>
      </c>
      <c r="LL4">
        <v>300.57410272504501</v>
      </c>
      <c r="LM4">
        <v>14.4322156907006</v>
      </c>
      <c r="LN4">
        <v>2.2492039936008101</v>
      </c>
      <c r="LO4">
        <v>29.7794994295209</v>
      </c>
      <c r="LP4">
        <v>-477.73937627170699</v>
      </c>
      <c r="LQ4">
        <v>-27.145211107575602</v>
      </c>
      <c r="LR4">
        <v>18.656417014300001</v>
      </c>
      <c r="LS4">
        <v>16.440999999999999</v>
      </c>
      <c r="LT4">
        <v>18.5102572054295</v>
      </c>
      <c r="LU4">
        <v>45.416017570518399</v>
      </c>
      <c r="LV4">
        <v>18.680239809061401</v>
      </c>
      <c r="LW4">
        <v>18.726899710994498</v>
      </c>
      <c r="LX4">
        <v>27.442699211236601</v>
      </c>
      <c r="LY4">
        <v>-18.0329304659382</v>
      </c>
      <c r="LZ4">
        <v>18.645523871577701</v>
      </c>
      <c r="MA4">
        <v>16.440999999999999</v>
      </c>
      <c r="MB4">
        <v>14.275166072868201</v>
      </c>
      <c r="MC4">
        <v>43.597311626499199</v>
      </c>
      <c r="MD4">
        <v>18.652122540353499</v>
      </c>
      <c r="ME4">
        <v>18.659134465891501</v>
      </c>
      <c r="MF4">
        <v>15.8464270496222</v>
      </c>
      <c r="MG4">
        <v>-27.368769117400898</v>
      </c>
      <c r="MH4">
        <v>18.695770061163699</v>
      </c>
      <c r="MI4">
        <v>16.440999999999999</v>
      </c>
      <c r="MJ4">
        <v>14.602391996702201</v>
      </c>
      <c r="MK4">
        <v>21.551368124608999</v>
      </c>
      <c r="ML4">
        <v>18.741354693373498</v>
      </c>
      <c r="MM4">
        <v>18.814348748644399</v>
      </c>
      <c r="MN4">
        <v>31.694512700788501</v>
      </c>
      <c r="MO4">
        <v>-18.005251217221002</v>
      </c>
      <c r="MP4">
        <v>18.632781939302198</v>
      </c>
      <c r="MQ4">
        <v>16.440999999999999</v>
      </c>
      <c r="MR4">
        <v>14.762882546056201</v>
      </c>
      <c r="MS4">
        <v>45.490635438831802</v>
      </c>
      <c r="MT4">
        <v>18.636794373409799</v>
      </c>
      <c r="MU4">
        <v>18.657519965394801</v>
      </c>
      <c r="MV4">
        <v>15.718314823269001</v>
      </c>
      <c r="MW4">
        <v>-28.6136314099145</v>
      </c>
      <c r="MX4">
        <v>20.331071404977202</v>
      </c>
      <c r="MY4">
        <v>19.993892429961999</v>
      </c>
      <c r="MZ4">
        <v>83.113757126276099</v>
      </c>
      <c r="NA4">
        <v>395.18452865577899</v>
      </c>
      <c r="NB4">
        <v>20.0612981318856</v>
      </c>
      <c r="NC4">
        <v>19.596463298008601</v>
      </c>
      <c r="ND4">
        <v>-18.038695419332701</v>
      </c>
      <c r="NE4">
        <v>-18.904274960105099</v>
      </c>
      <c r="NF4">
        <v>20.284356738822101</v>
      </c>
      <c r="NG4">
        <v>19.9458074189413</v>
      </c>
      <c r="NH4">
        <v>55.057932804246498</v>
      </c>
      <c r="NI4">
        <v>262.89309324676498</v>
      </c>
      <c r="NJ4">
        <v>20.000404970347901</v>
      </c>
      <c r="NK4">
        <v>19.495043729355899</v>
      </c>
      <c r="NL4">
        <v>-12.5560584775726</v>
      </c>
      <c r="NM4">
        <v>-28.956858313430999</v>
      </c>
      <c r="NN4">
        <v>20.450745543323801</v>
      </c>
      <c r="NO4">
        <v>20.106835048496599</v>
      </c>
      <c r="NP4">
        <v>83.754832439237305</v>
      </c>
      <c r="NQ4">
        <v>399.78587221338</v>
      </c>
      <c r="NR4">
        <v>20.180189918757399</v>
      </c>
      <c r="NS4">
        <v>19.707581971874198</v>
      </c>
      <c r="NT4">
        <v>-17.690965586906401</v>
      </c>
      <c r="NU4">
        <v>-18.899774884032102</v>
      </c>
      <c r="NV4" s="35">
        <v>20.2818723323781</v>
      </c>
      <c r="NW4">
        <v>19.944534633680401</v>
      </c>
      <c r="NX4">
        <v>1.7</v>
      </c>
      <c r="NY4">
        <v>55.838699214743698</v>
      </c>
      <c r="NZ4" s="35">
        <v>266.84866683238698</v>
      </c>
      <c r="OA4" s="35">
        <v>19.9927825614154</v>
      </c>
      <c r="OB4">
        <v>19.498560720002001</v>
      </c>
      <c r="OC4">
        <v>1.7</v>
      </c>
      <c r="OD4">
        <v>-12.99874229359</v>
      </c>
      <c r="OE4">
        <v>1.7</v>
      </c>
      <c r="OF4">
        <v>1.7</v>
      </c>
      <c r="OG4">
        <v>-26.357401308132701</v>
      </c>
      <c r="OH4">
        <v>19.954983927509101</v>
      </c>
      <c r="OI4">
        <v>20.1735290670258</v>
      </c>
      <c r="OJ4">
        <v>149.224881380742</v>
      </c>
      <c r="OK4">
        <v>829.06662909777504</v>
      </c>
      <c r="OL4">
        <v>19.3017829733414</v>
      </c>
      <c r="OM4">
        <v>18.0943565482746</v>
      </c>
      <c r="ON4">
        <v>-95.695150029374204</v>
      </c>
      <c r="OO4">
        <v>-17.381771470185399</v>
      </c>
      <c r="OP4">
        <v>19.905072075424901</v>
      </c>
      <c r="OQ4">
        <v>20.109469501590301</v>
      </c>
      <c r="OR4">
        <v>96.619855060707806</v>
      </c>
      <c r="OS4">
        <v>534.98094626026295</v>
      </c>
      <c r="OT4">
        <v>19.241208476157801</v>
      </c>
      <c r="OU4">
        <v>17.9980102329597</v>
      </c>
      <c r="OV4">
        <v>-61.457933481883202</v>
      </c>
      <c r="OW4">
        <v>-26.680732425589301</v>
      </c>
      <c r="OX4">
        <v>20.059231610759198</v>
      </c>
      <c r="OY4">
        <v>20.276750408950299</v>
      </c>
      <c r="OZ4">
        <v>149.81823337849599</v>
      </c>
      <c r="PA4">
        <v>832.74620372827201</v>
      </c>
      <c r="PB4">
        <v>19.4061813623365</v>
      </c>
      <c r="PC4">
        <v>18.195768216608101</v>
      </c>
      <c r="PD4">
        <v>-95.045290374085894</v>
      </c>
      <c r="PE4">
        <v>-17.379552114498999</v>
      </c>
      <c r="PF4">
        <v>19.889832763884701</v>
      </c>
      <c r="PG4">
        <v>20.099525277228199</v>
      </c>
      <c r="PH4">
        <v>1.7</v>
      </c>
      <c r="PI4">
        <v>97.186054034713607</v>
      </c>
      <c r="PJ4">
        <v>537.26272409239004</v>
      </c>
      <c r="PK4">
        <v>19.222805030142698</v>
      </c>
      <c r="PL4">
        <v>17.994763303911999</v>
      </c>
      <c r="PM4">
        <v>1.7</v>
      </c>
      <c r="PN4">
        <v>-61.645171480433703</v>
      </c>
      <c r="PO4">
        <v>18.804248606145801</v>
      </c>
      <c r="PP4">
        <v>18.7090541616117</v>
      </c>
      <c r="PQ4">
        <v>18.8688542413487</v>
      </c>
      <c r="PR4">
        <v>18.714716769478901</v>
      </c>
      <c r="PS4">
        <v>20.656347277027098</v>
      </c>
      <c r="PT4">
        <v>19.4895524276345</v>
      </c>
      <c r="PU4">
        <v>19.3615459317373</v>
      </c>
      <c r="PV4">
        <v>19.5612372689843</v>
      </c>
      <c r="PW4">
        <v>19.369764622111902</v>
      </c>
      <c r="PX4">
        <v>22.055013201353201</v>
      </c>
      <c r="PY4">
        <v>17.595860244781001</v>
      </c>
      <c r="PZ4">
        <v>17.490074238436101</v>
      </c>
      <c r="QA4">
        <v>17.6673392519244</v>
      </c>
      <c r="QB4">
        <v>17.493581378984299</v>
      </c>
      <c r="QC4">
        <v>20.558723756182399</v>
      </c>
      <c r="QD4">
        <v>21.065293533318801</v>
      </c>
      <c r="QE4">
        <v>18.244768863421999</v>
      </c>
      <c r="QF4">
        <v>18.122909705651001</v>
      </c>
      <c r="QG4">
        <v>18.295631040403102</v>
      </c>
      <c r="QH4">
        <v>18.146979108863199</v>
      </c>
      <c r="QI4">
        <v>20.958907461048302</v>
      </c>
      <c r="QJ4">
        <v>18.844191196083202</v>
      </c>
      <c r="QK4">
        <v>18.671550767631398</v>
      </c>
      <c r="QL4">
        <v>18.890951071631999</v>
      </c>
      <c r="QM4">
        <v>18.703600333917201</v>
      </c>
      <c r="QN4">
        <v>625.47700187114697</v>
      </c>
      <c r="QO4">
        <v>22.3403874615347</v>
      </c>
      <c r="QP4">
        <v>-2126.2841439467402</v>
      </c>
      <c r="QQ4">
        <v>17.100415432678201</v>
      </c>
      <c r="QR4">
        <v>16.960455770320198</v>
      </c>
      <c r="QS4">
        <v>17.149760149598102</v>
      </c>
      <c r="QT4">
        <v>16.9863761416795</v>
      </c>
      <c r="QU4">
        <v>20.7849089385534</v>
      </c>
      <c r="QV4">
        <v>21.0701420298413</v>
      </c>
      <c r="QW4">
        <v>1762835.2776015101</v>
      </c>
      <c r="QX4">
        <v>0</v>
      </c>
      <c r="QY4">
        <v>1147512.0646037899</v>
      </c>
      <c r="QZ4">
        <v>0</v>
      </c>
      <c r="RA4">
        <v>268141.98882395402</v>
      </c>
      <c r="RB4">
        <v>0</v>
      </c>
      <c r="RC4">
        <v>176188.21296457099</v>
      </c>
      <c r="RD4">
        <v>0</v>
      </c>
      <c r="RE4">
        <v>596303.73747680895</v>
      </c>
      <c r="RF4">
        <v>0</v>
      </c>
      <c r="RG4">
        <v>389873.78046772402</v>
      </c>
      <c r="RH4" s="35">
        <v>0</v>
      </c>
      <c r="RI4">
        <v>0</v>
      </c>
      <c r="RJ4" s="35">
        <v>0</v>
      </c>
      <c r="RK4">
        <v>17.6852891206983</v>
      </c>
      <c r="RL4">
        <v>1014.07609231001</v>
      </c>
      <c r="RM4">
        <v>1014.07609231001</v>
      </c>
      <c r="RN4">
        <v>13849.924912676701</v>
      </c>
      <c r="RO4" s="35">
        <v>0</v>
      </c>
      <c r="RP4">
        <v>0</v>
      </c>
      <c r="RQ4">
        <v>17.536765249690401</v>
      </c>
      <c r="RR4">
        <v>790.75130252531699</v>
      </c>
      <c r="RS4">
        <v>790.75130252531699</v>
      </c>
      <c r="RT4">
        <v>8952.75041980485</v>
      </c>
      <c r="RU4">
        <v>0</v>
      </c>
      <c r="RV4">
        <v>0</v>
      </c>
      <c r="RW4">
        <v>17.7224078394575</v>
      </c>
      <c r="RX4">
        <v>957.70681778489302</v>
      </c>
      <c r="RY4">
        <v>957.70681778489302</v>
      </c>
      <c r="RZ4">
        <v>13791.932426626299</v>
      </c>
      <c r="SA4">
        <v>0</v>
      </c>
      <c r="SB4">
        <v>0</v>
      </c>
      <c r="SC4">
        <v>17.579241448247501</v>
      </c>
      <c r="SD4">
        <v>742.43717645458003</v>
      </c>
      <c r="SE4">
        <v>742.43717645458003</v>
      </c>
      <c r="SF4">
        <v>8903.5453251317194</v>
      </c>
      <c r="SG4">
        <v>0</v>
      </c>
      <c r="SH4">
        <v>0</v>
      </c>
      <c r="SI4">
        <v>21.261467645069501</v>
      </c>
      <c r="SJ4">
        <v>0</v>
      </c>
      <c r="SK4">
        <v>-22646.258853678199</v>
      </c>
      <c r="SL4">
        <v>41726.205180097</v>
      </c>
      <c r="SM4">
        <v>18.333300000000001</v>
      </c>
      <c r="SN4">
        <v>26.666699999999999</v>
      </c>
      <c r="SO4">
        <v>0</v>
      </c>
      <c r="SP4">
        <v>0</v>
      </c>
      <c r="SQ4">
        <v>19.3018861132437</v>
      </c>
      <c r="SR4">
        <v>0</v>
      </c>
      <c r="SS4">
        <v>0</v>
      </c>
      <c r="ST4">
        <v>0</v>
      </c>
      <c r="SU4">
        <v>0</v>
      </c>
      <c r="SV4">
        <v>0</v>
      </c>
      <c r="SW4">
        <v>19.235228208547099</v>
      </c>
      <c r="SX4">
        <v>0</v>
      </c>
      <c r="SY4">
        <v>0</v>
      </c>
      <c r="SZ4">
        <v>0</v>
      </c>
      <c r="TA4">
        <v>0</v>
      </c>
      <c r="TB4">
        <v>0</v>
      </c>
      <c r="TC4">
        <v>19.4044163174994</v>
      </c>
      <c r="TD4">
        <v>0</v>
      </c>
      <c r="TE4">
        <v>0</v>
      </c>
      <c r="TF4">
        <v>0</v>
      </c>
      <c r="TG4">
        <v>0</v>
      </c>
      <c r="TH4">
        <v>0</v>
      </c>
      <c r="TI4">
        <v>19.2328890243509</v>
      </c>
      <c r="TJ4">
        <v>0</v>
      </c>
      <c r="TK4">
        <v>0</v>
      </c>
      <c r="TL4">
        <v>0</v>
      </c>
      <c r="TM4">
        <v>0</v>
      </c>
      <c r="TN4">
        <v>0</v>
      </c>
      <c r="TO4">
        <v>20.7753443398882</v>
      </c>
      <c r="TP4">
        <v>0</v>
      </c>
      <c r="TQ4">
        <v>0</v>
      </c>
      <c r="TR4">
        <v>0</v>
      </c>
      <c r="TS4">
        <v>0</v>
      </c>
      <c r="TT4">
        <v>0</v>
      </c>
      <c r="TU4">
        <v>18.1988299645319</v>
      </c>
      <c r="TV4">
        <v>228.42072260612099</v>
      </c>
      <c r="TW4">
        <v>228.42072260612099</v>
      </c>
      <c r="TX4">
        <v>13101.365855488901</v>
      </c>
      <c r="TY4">
        <v>0</v>
      </c>
      <c r="TZ4">
        <v>0</v>
      </c>
      <c r="UA4">
        <v>17.9815556035254</v>
      </c>
      <c r="UB4">
        <v>362.945833241397</v>
      </c>
      <c r="UC4">
        <v>362.945833241397</v>
      </c>
      <c r="UD4">
        <v>8552.0658866751091</v>
      </c>
      <c r="UE4">
        <v>0</v>
      </c>
      <c r="UF4">
        <v>0</v>
      </c>
      <c r="UG4">
        <v>18.220664874279802</v>
      </c>
      <c r="UH4">
        <v>202.69025020003599</v>
      </c>
      <c r="UI4">
        <v>202.69025020003599</v>
      </c>
      <c r="UJ4">
        <v>13074.2809910735</v>
      </c>
      <c r="UK4">
        <v>0</v>
      </c>
      <c r="UL4">
        <v>0</v>
      </c>
      <c r="UM4">
        <v>18.037436045722401</v>
      </c>
      <c r="UN4">
        <v>301.14076892181203</v>
      </c>
      <c r="UO4">
        <v>301.14076892181203</v>
      </c>
      <c r="UP4">
        <v>8489.0950287627493</v>
      </c>
      <c r="UQ4">
        <v>0</v>
      </c>
      <c r="UR4">
        <v>0</v>
      </c>
      <c r="US4">
        <v>22.625761721716302</v>
      </c>
      <c r="UT4">
        <v>0</v>
      </c>
      <c r="UU4">
        <v>-32996.566599816397</v>
      </c>
      <c r="UV4">
        <v>31082.801595866</v>
      </c>
      <c r="UW4">
        <v>18.333300000000001</v>
      </c>
      <c r="UX4">
        <v>26.666699999999999</v>
      </c>
      <c r="UY4">
        <v>0</v>
      </c>
      <c r="UZ4">
        <v>0</v>
      </c>
      <c r="VA4">
        <v>19.558397481140499</v>
      </c>
      <c r="VB4">
        <v>0</v>
      </c>
      <c r="VC4">
        <v>0</v>
      </c>
      <c r="VD4">
        <v>0</v>
      </c>
      <c r="VE4">
        <v>0</v>
      </c>
      <c r="VF4">
        <v>0</v>
      </c>
      <c r="VG4">
        <v>19.471942425151699</v>
      </c>
      <c r="VH4">
        <v>0</v>
      </c>
      <c r="VI4">
        <v>0</v>
      </c>
      <c r="VJ4">
        <v>0</v>
      </c>
      <c r="VK4">
        <v>0</v>
      </c>
      <c r="VL4">
        <v>0</v>
      </c>
      <c r="VM4">
        <v>19.655357532946301</v>
      </c>
      <c r="VN4">
        <v>0</v>
      </c>
      <c r="VO4">
        <v>0</v>
      </c>
      <c r="VP4">
        <v>0</v>
      </c>
      <c r="VQ4">
        <v>0</v>
      </c>
      <c r="VR4">
        <v>0</v>
      </c>
      <c r="VS4">
        <v>19.463591029398899</v>
      </c>
      <c r="VT4">
        <v>0</v>
      </c>
      <c r="VU4">
        <v>0</v>
      </c>
      <c r="VV4">
        <v>0</v>
      </c>
      <c r="VW4">
        <v>0</v>
      </c>
      <c r="VX4">
        <v>0</v>
      </c>
      <c r="VY4">
        <v>21.6450202370543</v>
      </c>
      <c r="VZ4">
        <v>0</v>
      </c>
      <c r="WA4">
        <v>0</v>
      </c>
      <c r="WB4">
        <v>0</v>
      </c>
      <c r="WC4">
        <v>0</v>
      </c>
      <c r="WD4">
        <v>0</v>
      </c>
      <c r="WE4">
        <v>16.6049706205755</v>
      </c>
      <c r="WF4">
        <v>2731.47164033322</v>
      </c>
      <c r="WG4">
        <v>2731.47164033322</v>
      </c>
      <c r="WH4">
        <v>15700.549044896001</v>
      </c>
      <c r="WI4">
        <v>0</v>
      </c>
      <c r="WJ4">
        <v>0</v>
      </c>
      <c r="WK4">
        <v>0</v>
      </c>
      <c r="WL4">
        <v>16.430837302204299</v>
      </c>
      <c r="WM4">
        <v>1912.9875717268401</v>
      </c>
      <c r="WN4">
        <v>1912.9875717268401</v>
      </c>
      <c r="WO4">
        <v>10163.301635042601</v>
      </c>
      <c r="WP4">
        <v>18.333300000000001</v>
      </c>
      <c r="WQ4">
        <v>26.666699999999999</v>
      </c>
      <c r="WR4">
        <v>0</v>
      </c>
      <c r="WS4">
        <v>0</v>
      </c>
      <c r="WT4">
        <v>16.632181047271899</v>
      </c>
      <c r="WU4">
        <v>2690.5150587216499</v>
      </c>
      <c r="WV4">
        <v>2690.5150587216499</v>
      </c>
      <c r="WW4">
        <v>15658.4458402979</v>
      </c>
      <c r="WX4">
        <v>0</v>
      </c>
      <c r="WY4">
        <v>0</v>
      </c>
      <c r="WZ4">
        <v>0</v>
      </c>
      <c r="XA4">
        <v>16.479170904374602</v>
      </c>
      <c r="XB4">
        <v>1857.2404373468901</v>
      </c>
      <c r="XC4">
        <v>1857.2404373468901</v>
      </c>
      <c r="XD4">
        <v>10106.5258767716</v>
      </c>
      <c r="XE4">
        <v>0</v>
      </c>
      <c r="XF4">
        <v>0</v>
      </c>
      <c r="XG4">
        <v>21.011094120924302</v>
      </c>
      <c r="XH4">
        <v>0</v>
      </c>
      <c r="XI4">
        <v>-20617.154659425902</v>
      </c>
      <c r="XJ4">
        <v>43782.958689767198</v>
      </c>
      <c r="XK4">
        <v>18.333300000000001</v>
      </c>
      <c r="XL4">
        <v>26.666699999999999</v>
      </c>
      <c r="XM4">
        <v>0</v>
      </c>
      <c r="XN4">
        <v>0</v>
      </c>
      <c r="XO4">
        <v>14.108830614289699</v>
      </c>
      <c r="XP4">
        <v>0</v>
      </c>
      <c r="XQ4">
        <v>0</v>
      </c>
      <c r="XR4">
        <v>0</v>
      </c>
      <c r="XS4">
        <v>0</v>
      </c>
      <c r="XT4">
        <v>0</v>
      </c>
      <c r="XU4">
        <v>14.035534411850801</v>
      </c>
      <c r="XV4">
        <v>0</v>
      </c>
      <c r="XW4">
        <v>0</v>
      </c>
      <c r="XX4">
        <v>0</v>
      </c>
      <c r="XY4">
        <v>0</v>
      </c>
      <c r="XZ4">
        <v>0</v>
      </c>
      <c r="YA4">
        <v>14.1824230819951</v>
      </c>
      <c r="YB4">
        <v>0</v>
      </c>
      <c r="YC4">
        <v>0</v>
      </c>
      <c r="YD4">
        <v>0</v>
      </c>
      <c r="YE4">
        <v>0</v>
      </c>
      <c r="YF4">
        <v>0</v>
      </c>
      <c r="YG4">
        <v>14.036596665297299</v>
      </c>
      <c r="YH4">
        <v>0</v>
      </c>
      <c r="YI4">
        <v>0</v>
      </c>
      <c r="YJ4">
        <v>0</v>
      </c>
      <c r="YK4">
        <v>0</v>
      </c>
      <c r="YL4">
        <v>0</v>
      </c>
      <c r="YM4">
        <v>18.466867200445702</v>
      </c>
      <c r="YN4">
        <v>0</v>
      </c>
      <c r="YO4">
        <v>0</v>
      </c>
      <c r="YP4">
        <v>0</v>
      </c>
      <c r="YQ4">
        <v>0</v>
      </c>
      <c r="YR4">
        <v>0</v>
      </c>
      <c r="YS4">
        <v>18.595860891117901</v>
      </c>
      <c r="YT4">
        <v>0</v>
      </c>
      <c r="YU4">
        <v>0</v>
      </c>
      <c r="YV4">
        <v>0</v>
      </c>
      <c r="YW4">
        <v>0</v>
      </c>
      <c r="YX4">
        <v>0</v>
      </c>
      <c r="YY4">
        <v>18.5731823125322</v>
      </c>
      <c r="YZ4">
        <v>0</v>
      </c>
      <c r="ZA4">
        <v>0</v>
      </c>
      <c r="ZB4">
        <v>0</v>
      </c>
      <c r="ZC4">
        <v>0</v>
      </c>
      <c r="ZD4">
        <v>0</v>
      </c>
      <c r="ZE4">
        <v>18.645291598947601</v>
      </c>
      <c r="ZF4">
        <v>0</v>
      </c>
      <c r="ZG4">
        <v>0</v>
      </c>
      <c r="ZH4">
        <v>0</v>
      </c>
      <c r="ZI4">
        <v>0</v>
      </c>
      <c r="ZJ4">
        <v>0</v>
      </c>
      <c r="ZK4">
        <v>18.559203998752199</v>
      </c>
      <c r="ZL4">
        <v>0</v>
      </c>
      <c r="ZM4">
        <v>0</v>
      </c>
      <c r="ZN4">
        <v>0</v>
      </c>
      <c r="ZO4">
        <v>0</v>
      </c>
      <c r="ZP4">
        <v>0</v>
      </c>
      <c r="ZQ4">
        <v>19.078835303818298</v>
      </c>
      <c r="ZR4">
        <v>0</v>
      </c>
      <c r="ZS4">
        <v>0</v>
      </c>
      <c r="ZT4">
        <v>0</v>
      </c>
      <c r="ZU4">
        <v>0</v>
      </c>
      <c r="ZV4">
        <v>0</v>
      </c>
      <c r="ZW4">
        <v>20.083868950684099</v>
      </c>
      <c r="ZX4">
        <v>0</v>
      </c>
      <c r="ZY4">
        <v>0</v>
      </c>
      <c r="ZZ4">
        <v>0</v>
      </c>
      <c r="AAA4">
        <v>0</v>
      </c>
      <c r="AAB4">
        <v>0</v>
      </c>
      <c r="AAC4">
        <v>20.025503663349099</v>
      </c>
      <c r="AAD4">
        <v>0</v>
      </c>
      <c r="AAE4">
        <v>0</v>
      </c>
      <c r="AAF4">
        <v>0</v>
      </c>
      <c r="AAG4">
        <v>0</v>
      </c>
      <c r="AAH4">
        <v>0</v>
      </c>
      <c r="AAI4">
        <v>20.2008852422797</v>
      </c>
      <c r="AAJ4">
        <v>0</v>
      </c>
      <c r="AAK4">
        <v>0</v>
      </c>
      <c r="AAL4">
        <v>0</v>
      </c>
      <c r="AAM4">
        <v>0</v>
      </c>
      <c r="AAN4">
        <v>0</v>
      </c>
      <c r="AAO4">
        <v>20.020391075622001</v>
      </c>
      <c r="AAP4">
        <v>0</v>
      </c>
      <c r="AAQ4">
        <v>0</v>
      </c>
      <c r="AAR4">
        <v>0</v>
      </c>
      <c r="AAS4">
        <v>0</v>
      </c>
      <c r="AAT4">
        <v>0</v>
      </c>
      <c r="AAU4">
        <v>21.328615787961699</v>
      </c>
      <c r="AAV4">
        <v>0</v>
      </c>
      <c r="AAW4">
        <v>0</v>
      </c>
      <c r="AAX4">
        <v>0</v>
      </c>
      <c r="AAY4">
        <v>0</v>
      </c>
      <c r="AAZ4">
        <v>0</v>
      </c>
      <c r="ABA4">
        <v>19.515019233312501</v>
      </c>
      <c r="ABB4">
        <v>0</v>
      </c>
      <c r="ABC4">
        <v>0</v>
      </c>
      <c r="ABD4">
        <v>0</v>
      </c>
      <c r="ABE4">
        <v>0</v>
      </c>
      <c r="ABF4">
        <v>0</v>
      </c>
      <c r="ABG4">
        <v>19.454914694254398</v>
      </c>
      <c r="ABH4">
        <v>0</v>
      </c>
      <c r="ABI4">
        <v>0</v>
      </c>
      <c r="ABJ4">
        <v>0</v>
      </c>
      <c r="ABK4">
        <v>0</v>
      </c>
      <c r="ABL4">
        <v>0</v>
      </c>
      <c r="ABM4">
        <v>19.617112329057299</v>
      </c>
      <c r="ABN4">
        <v>0</v>
      </c>
      <c r="ABO4">
        <v>0</v>
      </c>
      <c r="ABP4">
        <v>0</v>
      </c>
      <c r="ABQ4">
        <v>0</v>
      </c>
      <c r="ABR4">
        <v>0</v>
      </c>
      <c r="ABS4">
        <v>19.438223866038001</v>
      </c>
      <c r="ABT4">
        <v>0</v>
      </c>
      <c r="ABU4">
        <v>0</v>
      </c>
      <c r="ABV4">
        <v>0</v>
      </c>
      <c r="ABW4">
        <v>0</v>
      </c>
      <c r="ABX4">
        <v>0</v>
      </c>
      <c r="ABY4">
        <v>21.0701420298413</v>
      </c>
      <c r="ABZ4">
        <v>0</v>
      </c>
      <c r="ACA4">
        <v>0</v>
      </c>
      <c r="ACB4">
        <v>0</v>
      </c>
      <c r="ACC4">
        <v>0</v>
      </c>
      <c r="ACD4">
        <v>0</v>
      </c>
      <c r="ACE4">
        <v>0</v>
      </c>
      <c r="ACF4">
        <v>12.220032779007701</v>
      </c>
      <c r="ACG4">
        <v>12.220032779007701</v>
      </c>
      <c r="ACH4">
        <v>0</v>
      </c>
      <c r="ACI4">
        <v>0</v>
      </c>
      <c r="ACJ4">
        <v>0</v>
      </c>
      <c r="ACK4">
        <v>20.868780998713401</v>
      </c>
      <c r="ACL4">
        <v>20.868780998713401</v>
      </c>
      <c r="ACM4">
        <v>0</v>
      </c>
      <c r="ACN4">
        <v>21078.068283184501</v>
      </c>
      <c r="ACP4">
        <v>0</v>
      </c>
      <c r="ACR4">
        <v>21078.068283184501</v>
      </c>
      <c r="ACT4">
        <v>21.261334152900201</v>
      </c>
      <c r="ACU4">
        <v>21.261334152900201</v>
      </c>
      <c r="ACV4">
        <v>0</v>
      </c>
      <c r="ACW4">
        <v>0</v>
      </c>
      <c r="ACX4">
        <v>1</v>
      </c>
      <c r="ACY4">
        <v>22.625708183513101</v>
      </c>
      <c r="ACZ4">
        <v>22.625708183513101</v>
      </c>
      <c r="ADA4">
        <v>0</v>
      </c>
      <c r="ADB4">
        <v>0</v>
      </c>
      <c r="ADC4">
        <v>1</v>
      </c>
      <c r="ADD4">
        <v>21.011270436815</v>
      </c>
      <c r="ADE4">
        <v>21.011270436815</v>
      </c>
      <c r="ADF4">
        <v>0</v>
      </c>
      <c r="ADG4">
        <v>0</v>
      </c>
      <c r="ADH4">
        <v>1</v>
      </c>
      <c r="ADI4">
        <v>18.171589973655902</v>
      </c>
      <c r="ADJ4">
        <v>18.171589973655902</v>
      </c>
      <c r="ADK4">
        <v>0</v>
      </c>
      <c r="ADL4">
        <v>0</v>
      </c>
      <c r="ADM4">
        <v>1</v>
      </c>
      <c r="ADN4">
        <v>18.049809079117701</v>
      </c>
      <c r="ADO4">
        <v>18.049809079117701</v>
      </c>
      <c r="ADP4">
        <v>0</v>
      </c>
      <c r="ADQ4">
        <v>0</v>
      </c>
      <c r="ADR4">
        <v>1</v>
      </c>
      <c r="ADS4">
        <v>18.218372315946901</v>
      </c>
      <c r="ADT4">
        <v>18.218372315946901</v>
      </c>
      <c r="ADU4">
        <v>0</v>
      </c>
      <c r="ADV4">
        <v>0</v>
      </c>
      <c r="ADW4">
        <v>1</v>
      </c>
      <c r="ADX4">
        <v>18.070600163563501</v>
      </c>
      <c r="ADY4">
        <v>18.070600163563501</v>
      </c>
      <c r="ADZ4">
        <v>0</v>
      </c>
      <c r="AEA4">
        <v>0</v>
      </c>
      <c r="AEB4">
        <v>1</v>
      </c>
      <c r="AEC4">
        <v>18.7380570085054</v>
      </c>
      <c r="AED4">
        <v>18.7380570085054</v>
      </c>
      <c r="AEE4">
        <v>0</v>
      </c>
      <c r="AEF4">
        <v>0</v>
      </c>
      <c r="AEG4">
        <v>1</v>
      </c>
      <c r="AEH4">
        <v>18.5680245533716</v>
      </c>
      <c r="AEI4">
        <v>18.5680245533716</v>
      </c>
      <c r="AEJ4">
        <v>0</v>
      </c>
      <c r="AEK4">
        <v>0</v>
      </c>
      <c r="AEL4">
        <v>1</v>
      </c>
      <c r="AEM4">
        <v>18.783743772993802</v>
      </c>
      <c r="AEN4">
        <v>18.783743772993802</v>
      </c>
      <c r="AEO4">
        <v>0</v>
      </c>
      <c r="AEP4">
        <v>0</v>
      </c>
      <c r="AEQ4">
        <v>1</v>
      </c>
      <c r="AER4">
        <v>18.595916024378202</v>
      </c>
      <c r="AES4">
        <v>18.595916024378202</v>
      </c>
      <c r="AET4">
        <v>0</v>
      </c>
      <c r="AEU4">
        <v>0</v>
      </c>
      <c r="AEV4">
        <v>1</v>
      </c>
      <c r="AEW4">
        <v>17.076703023640398</v>
      </c>
      <c r="AEX4">
        <v>17.076703023640398</v>
      </c>
      <c r="AEY4">
        <v>0</v>
      </c>
      <c r="AEZ4">
        <v>0</v>
      </c>
      <c r="AFA4">
        <v>1</v>
      </c>
      <c r="AFB4">
        <v>16.935173264881701</v>
      </c>
      <c r="AFC4">
        <v>16.935173264881701</v>
      </c>
      <c r="AFD4">
        <v>0</v>
      </c>
      <c r="AFE4">
        <v>0</v>
      </c>
      <c r="AFF4">
        <v>1</v>
      </c>
      <c r="AFG4">
        <v>17.123299932341499</v>
      </c>
      <c r="AFH4">
        <v>17.123299932341499</v>
      </c>
      <c r="AFI4">
        <v>0</v>
      </c>
      <c r="AFJ4">
        <v>0</v>
      </c>
      <c r="AFK4">
        <v>1</v>
      </c>
      <c r="AFL4">
        <v>16.957603952765002</v>
      </c>
      <c r="AFM4">
        <v>16.957603952765002</v>
      </c>
      <c r="AFN4">
        <v>0</v>
      </c>
      <c r="AFO4">
        <v>0</v>
      </c>
      <c r="AFP4">
        <v>1</v>
      </c>
      <c r="AFQ4">
        <v>-1.78242917517563</v>
      </c>
      <c r="AFR4">
        <v>-1.7929642957006</v>
      </c>
      <c r="AFS4">
        <v>-1.8138900612103399</v>
      </c>
      <c r="AFT4">
        <v>-1.81498982047772</v>
      </c>
      <c r="AFU4">
        <v>-1.6675926936799199</v>
      </c>
      <c r="AFV4">
        <v>-1.67924805849359</v>
      </c>
      <c r="AFW4">
        <v>-1.7070349456059</v>
      </c>
      <c r="AFX4">
        <v>-1.7108736877206601</v>
      </c>
      <c r="AFY4">
        <v>-2.0051917920469902</v>
      </c>
      <c r="AFZ4">
        <v>-2.0158715676723702</v>
      </c>
      <c r="AGA4">
        <v>-2.0372695454420602</v>
      </c>
      <c r="AGB4">
        <v>-2.0397652779151199</v>
      </c>
      <c r="AGC4">
        <v>-1.23010768477739</v>
      </c>
      <c r="AGD4">
        <v>-0.90235397552225605</v>
      </c>
      <c r="AGE4">
        <v>-1.27036189326867</v>
      </c>
      <c r="AGF4">
        <v>0</v>
      </c>
      <c r="AGG4">
        <v>0</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Z4">
        <v>0</v>
      </c>
      <c r="AIB4">
        <v>0</v>
      </c>
      <c r="AID4">
        <v>0</v>
      </c>
      <c r="AIF4">
        <v>0</v>
      </c>
      <c r="AIH4">
        <v>0</v>
      </c>
      <c r="AIJ4">
        <v>0</v>
      </c>
      <c r="AIL4">
        <v>0</v>
      </c>
      <c r="AIN4">
        <v>0</v>
      </c>
      <c r="AIP4">
        <v>0</v>
      </c>
      <c r="AIR4">
        <v>0</v>
      </c>
      <c r="AIT4">
        <v>0</v>
      </c>
      <c r="AIV4">
        <v>0</v>
      </c>
      <c r="AIX4">
        <v>0</v>
      </c>
      <c r="AIZ4">
        <v>0</v>
      </c>
      <c r="AJB4">
        <v>0</v>
      </c>
      <c r="AJC4">
        <v>0</v>
      </c>
      <c r="AJE4">
        <v>0</v>
      </c>
      <c r="AJH4">
        <v>0</v>
      </c>
      <c r="AJJ4">
        <v>0</v>
      </c>
      <c r="AJK4">
        <v>0</v>
      </c>
      <c r="AJL4">
        <v>0</v>
      </c>
      <c r="AJM4">
        <v>0</v>
      </c>
      <c r="AJN4">
        <v>0</v>
      </c>
      <c r="AJO4">
        <v>0</v>
      </c>
      <c r="AJP4">
        <v>0</v>
      </c>
      <c r="AJQ4">
        <v>0</v>
      </c>
      <c r="AJR4">
        <v>0</v>
      </c>
      <c r="AJS4">
        <v>0</v>
      </c>
      <c r="AJT4">
        <v>0</v>
      </c>
      <c r="AJU4">
        <v>0</v>
      </c>
      <c r="AJV4">
        <v>0</v>
      </c>
      <c r="AJW4">
        <v>0</v>
      </c>
      <c r="AJX4">
        <v>0</v>
      </c>
      <c r="AJY4">
        <v>0</v>
      </c>
      <c r="AJZ4">
        <v>0</v>
      </c>
      <c r="AKA4">
        <v>0</v>
      </c>
      <c r="AKB4">
        <v>0</v>
      </c>
      <c r="AKC4">
        <v>0</v>
      </c>
      <c r="AKD4">
        <v>0</v>
      </c>
      <c r="AKE4">
        <v>70.191915221237295</v>
      </c>
      <c r="AKF4">
        <v>70.191915221237295</v>
      </c>
      <c r="AKG4">
        <v>0</v>
      </c>
      <c r="AKH4">
        <v>0</v>
      </c>
      <c r="AKI4">
        <v>0</v>
      </c>
      <c r="AKJ4">
        <v>0</v>
      </c>
      <c r="AKK4">
        <v>0</v>
      </c>
      <c r="AKL4">
        <v>70.191915221237295</v>
      </c>
      <c r="AKM4">
        <v>70.191915221237295</v>
      </c>
      <c r="AKN4">
        <v>0</v>
      </c>
      <c r="AKO4">
        <v>0</v>
      </c>
      <c r="AKP4">
        <v>0</v>
      </c>
      <c r="AKT4">
        <v>0</v>
      </c>
      <c r="AKX4">
        <v>0</v>
      </c>
      <c r="ALB4">
        <v>20.868780998713401</v>
      </c>
      <c r="ALC4">
        <v>20.868780998713401</v>
      </c>
      <c r="ALD4">
        <v>0</v>
      </c>
      <c r="ALE4">
        <v>0</v>
      </c>
      <c r="ALF4">
        <v>0</v>
      </c>
      <c r="ALH4">
        <v>20.770035833637799</v>
      </c>
      <c r="ALI4">
        <v>6.5512271130612901E-3</v>
      </c>
      <c r="ALJ4">
        <v>0</v>
      </c>
      <c r="ALK4">
        <v>20.770035833637799</v>
      </c>
      <c r="ALL4">
        <v>0</v>
      </c>
      <c r="ALM4">
        <v>0</v>
      </c>
      <c r="ALN4">
        <v>20.770035833637799</v>
      </c>
      <c r="ALO4">
        <v>6.5512271130612901E-3</v>
      </c>
      <c r="ALP4">
        <v>43.357602819244498</v>
      </c>
      <c r="ALQ4">
        <v>0</v>
      </c>
      <c r="ALR4">
        <v>20.770035833637799</v>
      </c>
      <c r="ALS4">
        <v>0</v>
      </c>
      <c r="ALT4">
        <v>20.770035833637799</v>
      </c>
      <c r="ALU4">
        <v>0</v>
      </c>
      <c r="ALV4">
        <v>12.220032779007701</v>
      </c>
      <c r="ALW4">
        <v>9.9999999999999897E-12</v>
      </c>
      <c r="ALX4">
        <v>12.220032779007701</v>
      </c>
      <c r="ALY4">
        <v>9.9999999999999897E-12</v>
      </c>
      <c r="ALZ4">
        <v>0</v>
      </c>
      <c r="AMA4">
        <v>12.220032779007701</v>
      </c>
      <c r="AMB4">
        <v>0</v>
      </c>
      <c r="AMC4">
        <v>12.220032779007701</v>
      </c>
      <c r="AMD4">
        <v>0</v>
      </c>
      <c r="AME4">
        <v>12.220032779007701</v>
      </c>
      <c r="AMF4">
        <v>0</v>
      </c>
      <c r="AMG4">
        <v>0</v>
      </c>
      <c r="AMH4">
        <v>0</v>
      </c>
      <c r="AMI4">
        <v>18.5707837266947</v>
      </c>
      <c r="AMJ4">
        <v>0</v>
      </c>
      <c r="AMK4" s="580">
        <v>19.067968804683499</v>
      </c>
      <c r="AML4">
        <v>0</v>
      </c>
      <c r="AMM4">
        <v>18.585573873436601</v>
      </c>
      <c r="AMN4">
        <v>0</v>
      </c>
      <c r="AMO4">
        <v>18.6070502164972</v>
      </c>
      <c r="AMP4">
        <v>0</v>
      </c>
      <c r="AMQ4">
        <v>18.656825527593</v>
      </c>
      <c r="AMR4">
        <v>0</v>
      </c>
      <c r="AMS4">
        <v>21.321400868427698</v>
      </c>
      <c r="AMT4">
        <v>0</v>
      </c>
      <c r="AMU4">
        <v>20.053135402942999</v>
      </c>
      <c r="AMV4">
        <v>0</v>
      </c>
      <c r="AMW4">
        <v>20.0473720892961</v>
      </c>
      <c r="AMX4">
        <v>0</v>
      </c>
      <c r="AMY4">
        <v>20.1094072758866</v>
      </c>
      <c r="AMZ4">
        <v>0</v>
      </c>
      <c r="ANA4">
        <v>20.227371668387999</v>
      </c>
      <c r="ANB4">
        <v>0</v>
      </c>
      <c r="ANC4">
        <v>21.0707654513986</v>
      </c>
      <c r="AND4">
        <v>0</v>
      </c>
      <c r="ANE4">
        <v>19.499307259680499</v>
      </c>
      <c r="ANF4">
        <v>0</v>
      </c>
      <c r="ANG4">
        <v>19.481690138504501</v>
      </c>
      <c r="ANH4">
        <v>0</v>
      </c>
      <c r="ANI4">
        <v>19.557001637770401</v>
      </c>
      <c r="ANJ4">
        <v>0</v>
      </c>
      <c r="ANK4">
        <v>19.659666853107002</v>
      </c>
      <c r="ANL4">
        <v>0</v>
      </c>
      <c r="ANM4">
        <v>0</v>
      </c>
      <c r="ANN4">
        <v>0</v>
      </c>
      <c r="ANO4">
        <v>0</v>
      </c>
      <c r="ANP4">
        <v>19.067968804683499</v>
      </c>
      <c r="ANQ4">
        <v>18.585573873436601</v>
      </c>
      <c r="ANR4">
        <v>18.5707837266947</v>
      </c>
      <c r="ANS4">
        <v>18.656825527593</v>
      </c>
      <c r="ANT4">
        <v>18.6070502164972</v>
      </c>
      <c r="ANU4">
        <v>21.321400868427698</v>
      </c>
      <c r="ANV4">
        <v>20.053135402942999</v>
      </c>
      <c r="ANW4">
        <v>20.0473720892961</v>
      </c>
      <c r="ANX4">
        <v>20.227371668387999</v>
      </c>
      <c r="ANY4">
        <v>20.1094072758866</v>
      </c>
      <c r="ANZ4">
        <v>21.0707654513986</v>
      </c>
      <c r="AOA4">
        <v>19.499307259680499</v>
      </c>
      <c r="AOB4">
        <v>19.481690138504501</v>
      </c>
      <c r="AOC4">
        <v>19.659666853107002</v>
      </c>
      <c r="AOD4">
        <v>19.557001637770401</v>
      </c>
      <c r="AOE4">
        <v>20.770035833637799</v>
      </c>
      <c r="AOF4">
        <v>0</v>
      </c>
      <c r="AOG4">
        <v>20.7646215634227</v>
      </c>
      <c r="AOH4">
        <v>0</v>
      </c>
    </row>
    <row r="5" spans="1:1074">
      <c r="A5" t="s">
        <v>2940</v>
      </c>
      <c r="B5">
        <v>4.5999999999999996</v>
      </c>
      <c r="D5">
        <v>4.4720728149956797</v>
      </c>
      <c r="F5">
        <v>5</v>
      </c>
      <c r="G5">
        <v>1474970.3079169099</v>
      </c>
      <c r="H5">
        <v>3001393.0684355702</v>
      </c>
      <c r="I5">
        <v>936694.08378745895</v>
      </c>
      <c r="J5">
        <v>1906063.5425907599</v>
      </c>
      <c r="K5">
        <v>1474970.3079169099</v>
      </c>
      <c r="L5">
        <v>3001393.0684355702</v>
      </c>
      <c r="M5">
        <v>936694.08378745895</v>
      </c>
      <c r="N5">
        <v>1906063.5425907599</v>
      </c>
      <c r="O5">
        <v>7606709.1984463502</v>
      </c>
      <c r="P5">
        <v>15478768.717768701</v>
      </c>
      <c r="Q5">
        <v>1474970.3079169099</v>
      </c>
      <c r="R5">
        <v>3001393.0684355702</v>
      </c>
      <c r="S5">
        <v>936694.08378745895</v>
      </c>
      <c r="T5">
        <v>1906063.5425907599</v>
      </c>
      <c r="U5">
        <v>1474970.3079169099</v>
      </c>
      <c r="V5">
        <v>3001393.0684355702</v>
      </c>
      <c r="W5">
        <v>936694.08378745895</v>
      </c>
      <c r="X5">
        <v>1906063.5425907599</v>
      </c>
      <c r="Y5">
        <v>7606709.1984463502</v>
      </c>
      <c r="Z5">
        <v>15478768.717768701</v>
      </c>
      <c r="AA5">
        <v>1474970.3079169099</v>
      </c>
      <c r="AB5">
        <v>3001393.0684355702</v>
      </c>
      <c r="AC5">
        <v>936694.08378745895</v>
      </c>
      <c r="AD5">
        <v>1906063.5425907599</v>
      </c>
      <c r="AE5">
        <v>1474970.3079169099</v>
      </c>
      <c r="AF5">
        <v>3001393.0684355702</v>
      </c>
      <c r="AG5">
        <v>936694.08378745895</v>
      </c>
      <c r="AH5">
        <v>1906063.5425907599</v>
      </c>
      <c r="AI5">
        <v>7606709.1984463502</v>
      </c>
      <c r="AJ5">
        <v>15478768.717768701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188658.992873093</v>
      </c>
      <c r="CF5">
        <v>428770.43834793899</v>
      </c>
      <c r="CG5">
        <v>188658.992873093</v>
      </c>
      <c r="CH5">
        <v>428770.43834793899</v>
      </c>
      <c r="CI5">
        <v>119809.708391419</v>
      </c>
      <c r="CJ5">
        <v>272294.79179867997</v>
      </c>
      <c r="CK5">
        <v>119809.708391419</v>
      </c>
      <c r="CL5">
        <v>272294.79179867997</v>
      </c>
      <c r="CM5">
        <v>188658.992873093</v>
      </c>
      <c r="CN5">
        <v>428770.43834793899</v>
      </c>
      <c r="CO5">
        <v>188658.992873093</v>
      </c>
      <c r="CP5">
        <v>428770.43834793899</v>
      </c>
      <c r="CQ5">
        <v>119809.708391419</v>
      </c>
      <c r="CR5">
        <v>272294.79179867997</v>
      </c>
      <c r="CS5">
        <v>119809.708391419</v>
      </c>
      <c r="CT5">
        <v>272294.79179867997</v>
      </c>
      <c r="CU5">
        <v>188658.992873093</v>
      </c>
      <c r="CV5">
        <v>428770.43834793899</v>
      </c>
      <c r="CW5">
        <v>188658.992873093</v>
      </c>
      <c r="CX5">
        <v>428770.43834793899</v>
      </c>
      <c r="CY5">
        <v>119809.708391419</v>
      </c>
      <c r="CZ5">
        <v>272294.79179867997</v>
      </c>
      <c r="DA5">
        <v>119809.708391419</v>
      </c>
      <c r="DB5">
        <v>272294.79179867997</v>
      </c>
      <c r="DC5">
        <v>972951.17654546397</v>
      </c>
      <c r="DD5">
        <v>2211252.6739669601</v>
      </c>
      <c r="DE5">
        <v>972951.17654546397</v>
      </c>
      <c r="DF5">
        <v>2211252.6739669601</v>
      </c>
      <c r="DG5">
        <v>972951.17654546397</v>
      </c>
      <c r="DH5">
        <v>2211252.6739669601</v>
      </c>
      <c r="DI5">
        <v>1286311.3150438201</v>
      </c>
      <c r="DJ5">
        <v>2572622.6300876299</v>
      </c>
      <c r="DK5">
        <v>1286311.3150438201</v>
      </c>
      <c r="DL5">
        <v>2572622.6300876299</v>
      </c>
      <c r="DM5">
        <v>816884.37539604004</v>
      </c>
      <c r="DN5">
        <v>1633768.7507920801</v>
      </c>
      <c r="DO5">
        <v>816884.37539603899</v>
      </c>
      <c r="DP5">
        <v>1633768.7507920801</v>
      </c>
      <c r="DQ5">
        <v>1286311.3150438201</v>
      </c>
      <c r="DR5">
        <v>2572622.6300876299</v>
      </c>
      <c r="DS5">
        <v>1286311.3150438201</v>
      </c>
      <c r="DT5">
        <v>2572622.6300876299</v>
      </c>
      <c r="DU5">
        <v>816884.37539604004</v>
      </c>
      <c r="DV5">
        <v>1633768.7507920801</v>
      </c>
      <c r="DW5">
        <v>816884.37539603899</v>
      </c>
      <c r="DX5">
        <v>1633768.7507920801</v>
      </c>
      <c r="DY5">
        <v>1286311.3150438201</v>
      </c>
      <c r="DZ5">
        <v>2572622.6300876299</v>
      </c>
      <c r="EA5">
        <v>1286311.3150438201</v>
      </c>
      <c r="EB5">
        <v>2572622.6300876299</v>
      </c>
      <c r="EC5">
        <v>816884.37539604004</v>
      </c>
      <c r="ED5">
        <v>1633768.7507920801</v>
      </c>
      <c r="EE5">
        <v>816884.37539603899</v>
      </c>
      <c r="EF5">
        <v>1633768.7507920801</v>
      </c>
      <c r="EG5">
        <v>6633758.0219008904</v>
      </c>
      <c r="EH5">
        <v>13267516.043801799</v>
      </c>
      <c r="EI5">
        <v>6633758.0219008904</v>
      </c>
      <c r="EJ5">
        <v>13267516.043801799</v>
      </c>
      <c r="EK5">
        <v>6633758.0219008904</v>
      </c>
      <c r="EL5">
        <v>13267516.043801799</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-19.346953423907699</v>
      </c>
      <c r="GC5">
        <v>182.10153834052801</v>
      </c>
      <c r="GD5">
        <v>154.65397420692699</v>
      </c>
      <c r="GE5">
        <v>-12.5191107276301</v>
      </c>
      <c r="GF5">
        <v>130.20688838471301</v>
      </c>
      <c r="GG5">
        <v>105.01419565021099</v>
      </c>
      <c r="GH5">
        <v>-18.777630000321601</v>
      </c>
      <c r="GI5">
        <v>198.61922174065899</v>
      </c>
      <c r="GJ5">
        <v>167.40249133352501</v>
      </c>
      <c r="GK5">
        <v>-12.701199052795101</v>
      </c>
      <c r="GL5">
        <v>123.654658837898</v>
      </c>
      <c r="GM5">
        <v>101.841360354445</v>
      </c>
      <c r="GN5">
        <v>-39.8795587901256</v>
      </c>
      <c r="GO5">
        <v>19.368333303841101</v>
      </c>
      <c r="GP5">
        <v>18.9675560514947</v>
      </c>
      <c r="GQ5">
        <v>21.176952943709001</v>
      </c>
      <c r="GR5">
        <v>96.259639049161294</v>
      </c>
      <c r="GS5">
        <v>696.31135826017999</v>
      </c>
      <c r="GT5">
        <v>-26.004918465621799</v>
      </c>
      <c r="GU5">
        <v>19.2951018762645</v>
      </c>
      <c r="GV5">
        <v>18.882010302917099</v>
      </c>
      <c r="GW5">
        <v>13.228226431780399</v>
      </c>
      <c r="GX5">
        <v>63.385267017904603</v>
      </c>
      <c r="GY5">
        <v>457.33703592648197</v>
      </c>
      <c r="GZ5">
        <v>-40.080475607431197</v>
      </c>
      <c r="HA5">
        <v>19.470391828444299</v>
      </c>
      <c r="HB5">
        <v>19.066354493550701</v>
      </c>
      <c r="HC5">
        <v>21.6788560370948</v>
      </c>
      <c r="HD5">
        <v>98.264576179318297</v>
      </c>
      <c r="HE5">
        <v>711.33444991507304</v>
      </c>
      <c r="HF5">
        <v>-26.113499683235101</v>
      </c>
      <c r="HG5">
        <v>19.302143265892798</v>
      </c>
      <c r="HH5">
        <v>18.8965391893807</v>
      </c>
      <c r="HI5">
        <v>13.850885099024399</v>
      </c>
      <c r="HJ5">
        <v>63.277528785401401</v>
      </c>
      <c r="HK5">
        <v>454.45845688463999</v>
      </c>
      <c r="HL5">
        <v>-17.2712978340024</v>
      </c>
      <c r="HM5">
        <v>20.153353752135502</v>
      </c>
      <c r="HN5">
        <v>21.279164913898299</v>
      </c>
      <c r="HO5">
        <v>294.309392601242</v>
      </c>
      <c r="HP5">
        <v>312.69841470460801</v>
      </c>
      <c r="HQ5">
        <v>19.502584074755401</v>
      </c>
      <c r="HR5">
        <v>155.163357428713</v>
      </c>
      <c r="HS5">
        <v>-9.4670529796108305</v>
      </c>
      <c r="HT5">
        <v>20.072322050268401</v>
      </c>
      <c r="HU5">
        <v>21.260743343845899</v>
      </c>
      <c r="HV5">
        <v>189.05291941181599</v>
      </c>
      <c r="HW5">
        <v>215.70319771073801</v>
      </c>
      <c r="HX5">
        <v>19.389825340286698</v>
      </c>
      <c r="HY5">
        <v>106.849013177186</v>
      </c>
      <c r="HZ5">
        <v>20.189443609073098</v>
      </c>
      <c r="IA5">
        <v>21.3150832020176</v>
      </c>
      <c r="IB5">
        <v>293.414044615281</v>
      </c>
      <c r="IC5">
        <v>-14.703979197148399</v>
      </c>
      <c r="ID5">
        <v>341.64318260110298</v>
      </c>
      <c r="IE5">
        <v>19.606005307389399</v>
      </c>
      <c r="IF5">
        <v>169.57352993206899</v>
      </c>
      <c r="IG5">
        <v>17.228879238849999</v>
      </c>
      <c r="IH5">
        <v>20.090894596692699</v>
      </c>
      <c r="II5">
        <v>21.268946478722999</v>
      </c>
      <c r="IJ5">
        <v>185.63069553000099</v>
      </c>
      <c r="IK5">
        <v>18.146530521287499</v>
      </c>
      <c r="IL5">
        <v>-10.2815728071058</v>
      </c>
      <c r="IM5">
        <v>208.62481608620601</v>
      </c>
      <c r="IN5">
        <v>19.405583924225201</v>
      </c>
      <c r="IO5">
        <v>0.85748031062389796</v>
      </c>
      <c r="IP5">
        <v>103.218761799226</v>
      </c>
      <c r="IQ5">
        <v>-228.68913295880299</v>
      </c>
      <c r="IR5">
        <v>-139.012692662359</v>
      </c>
      <c r="IS5">
        <v>-220.496111687584</v>
      </c>
      <c r="IT5">
        <v>-137.901816449146</v>
      </c>
      <c r="IU5">
        <v>-786.44651049170898</v>
      </c>
      <c r="IV5">
        <v>-39.640842130469402</v>
      </c>
      <c r="IW5">
        <v>19.7187746768826</v>
      </c>
      <c r="IX5">
        <v>19.502584074755401</v>
      </c>
      <c r="IY5">
        <v>46.9432261655394</v>
      </c>
      <c r="IZ5">
        <v>80.887161769109397</v>
      </c>
      <c r="JA5">
        <v>494.06908354807001</v>
      </c>
      <c r="JB5">
        <v>-25.726012539306701</v>
      </c>
      <c r="JC5">
        <v>19.624128107647099</v>
      </c>
      <c r="JD5">
        <v>19.389825340286698</v>
      </c>
      <c r="JE5">
        <v>29.4132293245477</v>
      </c>
      <c r="JF5">
        <v>54.069865091031701</v>
      </c>
      <c r="JG5">
        <v>333.20604558213699</v>
      </c>
      <c r="JH5">
        <v>-39.8708176150081</v>
      </c>
      <c r="JI5">
        <v>19.818361308678</v>
      </c>
      <c r="JJ5">
        <v>19.606005307389399</v>
      </c>
      <c r="JK5">
        <v>48.339723720577702</v>
      </c>
      <c r="JL5">
        <v>82.116403846604896</v>
      </c>
      <c r="JM5">
        <v>501.73220236987203</v>
      </c>
      <c r="JN5">
        <v>-25.8652779275996</v>
      </c>
      <c r="JO5">
        <v>19.627655574461599</v>
      </c>
      <c r="JP5">
        <v>19.405583924225201</v>
      </c>
      <c r="JQ5">
        <v>0.95250857983000103</v>
      </c>
      <c r="JR5">
        <v>30.4157803262713</v>
      </c>
      <c r="JS5">
        <v>0.64742313449631295</v>
      </c>
      <c r="JT5">
        <v>53.589775294255901</v>
      </c>
      <c r="JU5">
        <v>327.03825885627299</v>
      </c>
      <c r="JV5">
        <v>-17.817581039138599</v>
      </c>
      <c r="JW5">
        <v>365.11436086710501</v>
      </c>
      <c r="JX5">
        <v>-30.435929945790999</v>
      </c>
      <c r="JY5">
        <v>-11.6094784289908</v>
      </c>
      <c r="JZ5">
        <v>246.69813227049099</v>
      </c>
      <c r="KA5">
        <v>-19.2004620626284</v>
      </c>
      <c r="KB5">
        <v>-17.2925366208055</v>
      </c>
      <c r="KC5">
        <v>391.60419047529302</v>
      </c>
      <c r="KD5">
        <v>-29.1649613566127</v>
      </c>
      <c r="KE5">
        <v>-11.796521980899699</v>
      </c>
      <c r="KF5">
        <v>15.2618119237305</v>
      </c>
      <c r="KG5">
        <v>-107.13121524869101</v>
      </c>
      <c r="KH5">
        <v>1.72572777414872</v>
      </c>
      <c r="KI5">
        <v>238.165751438097</v>
      </c>
      <c r="KJ5">
        <v>-19.117280469397301</v>
      </c>
      <c r="KK5">
        <v>-2.38413099723337</v>
      </c>
      <c r="KL5">
        <v>15.340996889271301</v>
      </c>
      <c r="KM5">
        <v>16.6331039432458</v>
      </c>
      <c r="KN5">
        <v>461.716243720053</v>
      </c>
      <c r="KO5">
        <v>14.4362267410139</v>
      </c>
      <c r="KP5">
        <v>2.1551521339739801</v>
      </c>
      <c r="KQ5">
        <v>44.922263912656099</v>
      </c>
      <c r="KR5">
        <v>-753.79383663968395</v>
      </c>
      <c r="KS5">
        <v>-1.38516673883251</v>
      </c>
      <c r="KT5">
        <v>15.249985713520701</v>
      </c>
      <c r="KU5">
        <v>16.537276686301698</v>
      </c>
      <c r="KV5">
        <v>291.120671434082</v>
      </c>
      <c r="KW5">
        <v>14.3457655271396</v>
      </c>
      <c r="KX5">
        <v>2.1900880229714699</v>
      </c>
      <c r="KY5">
        <v>27.887096968724801</v>
      </c>
      <c r="KZ5">
        <v>-472.33204210241303</v>
      </c>
      <c r="LA5">
        <v>-2.43528855869886</v>
      </c>
      <c r="LB5">
        <v>15.4275609195792</v>
      </c>
      <c r="LC5">
        <v>16.7390618194258</v>
      </c>
      <c r="LD5">
        <v>467.91428928937199</v>
      </c>
      <c r="LE5">
        <v>14.5134075887718</v>
      </c>
      <c r="LF5">
        <v>2.1575391407566902</v>
      </c>
      <c r="LG5">
        <v>45.477780293364198</v>
      </c>
      <c r="LH5">
        <v>-758.55431850322395</v>
      </c>
      <c r="LI5">
        <v>-1.4729797773025799</v>
      </c>
      <c r="LJ5">
        <v>15.2641337400475</v>
      </c>
      <c r="LK5">
        <v>16.552889203607201</v>
      </c>
      <c r="LL5">
        <v>292.17879093061299</v>
      </c>
      <c r="LM5">
        <v>14.363757827626401</v>
      </c>
      <c r="LN5">
        <v>2.3360529109738701</v>
      </c>
      <c r="LO5">
        <v>28.633637690573099</v>
      </c>
      <c r="LP5">
        <v>-468.39344234926602</v>
      </c>
      <c r="LQ5">
        <v>-27.4422844213762</v>
      </c>
      <c r="LR5">
        <v>18.615973420809599</v>
      </c>
      <c r="LS5">
        <v>16.440999999999999</v>
      </c>
      <c r="LT5">
        <v>19.402900605488799</v>
      </c>
      <c r="LU5">
        <v>50.680733689536098</v>
      </c>
      <c r="LV5">
        <v>18.634544400000099</v>
      </c>
      <c r="LW5">
        <v>18.670440231138201</v>
      </c>
      <c r="LX5">
        <v>26.366155600201299</v>
      </c>
      <c r="LY5">
        <v>-18.178744195624201</v>
      </c>
      <c r="LZ5">
        <v>18.6033806246291</v>
      </c>
      <c r="MA5">
        <v>16.440999999999999</v>
      </c>
      <c r="MB5">
        <v>15.4882975338151</v>
      </c>
      <c r="MC5">
        <v>50.602852399428599</v>
      </c>
      <c r="MD5">
        <v>18.599709251179799</v>
      </c>
      <c r="ME5">
        <v>18.595122263157698</v>
      </c>
      <c r="MF5">
        <v>14.614077895302501</v>
      </c>
      <c r="MG5">
        <v>-27.5795006503023</v>
      </c>
      <c r="MH5">
        <v>18.6553961466464</v>
      </c>
      <c r="MI5">
        <v>16.440999999999999</v>
      </c>
      <c r="MJ5">
        <v>16.007013981422698</v>
      </c>
      <c r="MK5">
        <v>29.848605692205499</v>
      </c>
      <c r="ML5">
        <v>18.693005486378102</v>
      </c>
      <c r="MM5">
        <v>18.754261622577999</v>
      </c>
      <c r="MN5">
        <v>30.108770278031798</v>
      </c>
      <c r="MO5">
        <v>-18.204412216017602</v>
      </c>
      <c r="MP5">
        <v>18.5919321934187</v>
      </c>
      <c r="MQ5">
        <v>16.440999999999999</v>
      </c>
      <c r="MR5">
        <v>15.3609311740225</v>
      </c>
      <c r="MS5">
        <v>48.379727368259601</v>
      </c>
      <c r="MT5">
        <v>18.5915704891306</v>
      </c>
      <c r="MU5">
        <v>18.605848611455201</v>
      </c>
      <c r="MV5">
        <v>15.2748029181319</v>
      </c>
      <c r="MW5">
        <v>-28.8006628843488</v>
      </c>
      <c r="MX5">
        <v>20.223582353377001</v>
      </c>
      <c r="MY5">
        <v>19.9002514883401</v>
      </c>
      <c r="MZ5">
        <v>80.050695186413904</v>
      </c>
      <c r="NA5">
        <v>377.93490857303499</v>
      </c>
      <c r="NB5">
        <v>19.9661270964537</v>
      </c>
      <c r="NC5">
        <v>19.5127727452942</v>
      </c>
      <c r="ND5">
        <v>-16.483073189215599</v>
      </c>
      <c r="NE5">
        <v>-18.975188403965401</v>
      </c>
      <c r="NF5">
        <v>20.1705921313911</v>
      </c>
      <c r="NG5">
        <v>19.846744785921999</v>
      </c>
      <c r="NH5">
        <v>53.615936660954802</v>
      </c>
      <c r="NI5">
        <v>255.10859795395001</v>
      </c>
      <c r="NJ5">
        <v>19.8945061192045</v>
      </c>
      <c r="NK5">
        <v>19.401925930777399</v>
      </c>
      <c r="NL5">
        <v>-12.125077460282601</v>
      </c>
      <c r="NM5">
        <v>-29.060289901555901</v>
      </c>
      <c r="NN5">
        <v>20.3405942101639</v>
      </c>
      <c r="NO5">
        <v>20.010346504381001</v>
      </c>
      <c r="NP5">
        <v>81.085060199571899</v>
      </c>
      <c r="NQ5">
        <v>385.04448904957701</v>
      </c>
      <c r="NR5">
        <v>20.0799884240685</v>
      </c>
      <c r="NS5">
        <v>19.616702188833901</v>
      </c>
      <c r="NT5">
        <v>-16.6300103447876</v>
      </c>
      <c r="NU5">
        <v>-19.022938886455599</v>
      </c>
      <c r="NV5" s="35">
        <v>20.169849451409402</v>
      </c>
      <c r="NW5">
        <v>19.848417075958899</v>
      </c>
      <c r="NX5">
        <v>1.7</v>
      </c>
      <c r="NY5">
        <v>53.869369367582003</v>
      </c>
      <c r="NZ5">
        <v>254.966066449582</v>
      </c>
      <c r="OA5">
        <v>19.894581586019498</v>
      </c>
      <c r="OB5" s="35">
        <v>19.418309918773499</v>
      </c>
      <c r="OC5">
        <v>1.7</v>
      </c>
      <c r="OD5">
        <v>-11.6768293782208</v>
      </c>
      <c r="OE5">
        <v>1.7</v>
      </c>
      <c r="OF5">
        <v>1.7</v>
      </c>
      <c r="OG5">
        <v>-26.5567398650523</v>
      </c>
      <c r="OH5">
        <v>19.7999385253604</v>
      </c>
      <c r="OI5">
        <v>20.0666903656921</v>
      </c>
      <c r="OJ5">
        <v>151.27822120155801</v>
      </c>
      <c r="OK5">
        <v>838.14190377108798</v>
      </c>
      <c r="OL5">
        <v>19.1365500193595</v>
      </c>
      <c r="OM5">
        <v>17.945836040130899</v>
      </c>
      <c r="ON5">
        <v>-97.461669164713499</v>
      </c>
      <c r="OO5">
        <v>-17.46293158169</v>
      </c>
      <c r="OP5">
        <v>19.743163557626598</v>
      </c>
      <c r="OQ5">
        <v>19.9970053576941</v>
      </c>
      <c r="OR5">
        <v>98.491129215433304</v>
      </c>
      <c r="OS5">
        <v>544.03783163259197</v>
      </c>
      <c r="OT5">
        <v>19.064443701243899</v>
      </c>
      <c r="OU5">
        <v>17.838028659950499</v>
      </c>
      <c r="OV5">
        <v>-63.124199679463601</v>
      </c>
      <c r="OW5">
        <v>-26.799731033579</v>
      </c>
      <c r="OX5">
        <v>19.902777670038699</v>
      </c>
      <c r="OY5">
        <v>20.1678029178812</v>
      </c>
      <c r="OZ5">
        <v>152.11011816432199</v>
      </c>
      <c r="PA5">
        <v>843.03145088775898</v>
      </c>
      <c r="PB5">
        <v>19.238389612744601</v>
      </c>
      <c r="PC5">
        <v>18.0454580226777</v>
      </c>
      <c r="PD5">
        <v>-97.004557530382897</v>
      </c>
      <c r="PE5">
        <v>-17.508865273126101</v>
      </c>
      <c r="PF5">
        <v>19.7307331934026</v>
      </c>
      <c r="PG5">
        <v>19.9906102374397</v>
      </c>
      <c r="PH5">
        <v>1.7</v>
      </c>
      <c r="PI5">
        <v>98.545650479407001</v>
      </c>
      <c r="PJ5">
        <v>542.36629913880597</v>
      </c>
      <c r="PK5">
        <v>19.054674673547101</v>
      </c>
      <c r="PL5">
        <v>17.849488334895799</v>
      </c>
      <c r="PM5">
        <v>1.7</v>
      </c>
      <c r="PN5">
        <v>-62.435966621005797</v>
      </c>
      <c r="PO5">
        <v>18.741700292459299</v>
      </c>
      <c r="PP5">
        <v>18.639545355164501</v>
      </c>
      <c r="PQ5">
        <v>18.802611823213201</v>
      </c>
      <c r="PR5">
        <v>18.6563242272331</v>
      </c>
      <c r="PS5">
        <v>20.676978316846998</v>
      </c>
      <c r="PT5">
        <v>19.4095840079741</v>
      </c>
      <c r="PU5">
        <v>19.271589650383401</v>
      </c>
      <c r="PV5">
        <v>19.473930245982402</v>
      </c>
      <c r="PW5">
        <v>19.292307500766199</v>
      </c>
      <c r="PX5">
        <v>22.0396414639713</v>
      </c>
      <c r="PY5">
        <v>17.458289771128399</v>
      </c>
      <c r="PZ5">
        <v>17.342035711630199</v>
      </c>
      <c r="QA5">
        <v>17.5282445150897</v>
      </c>
      <c r="QB5">
        <v>17.3595537450067</v>
      </c>
      <c r="QC5">
        <v>20.486433283093</v>
      </c>
      <c r="QD5">
        <v>21.0558505925293</v>
      </c>
      <c r="QE5">
        <v>18.188574766513501</v>
      </c>
      <c r="QF5">
        <v>18.0595375914097</v>
      </c>
      <c r="QG5">
        <v>18.235864495898799</v>
      </c>
      <c r="QH5">
        <v>18.093758199730399</v>
      </c>
      <c r="QI5">
        <v>20.9802023841597</v>
      </c>
      <c r="QJ5">
        <v>18.756536338358799</v>
      </c>
      <c r="QK5">
        <v>18.5928716335786</v>
      </c>
      <c r="QL5">
        <v>18.808184172722701</v>
      </c>
      <c r="QM5">
        <v>18.634434662096702</v>
      </c>
      <c r="QN5">
        <v>612.38418497817395</v>
      </c>
      <c r="QO5">
        <v>22.324694260004701</v>
      </c>
      <c r="QP5">
        <v>-2132.4460249240401</v>
      </c>
      <c r="QQ5">
        <v>16.974623679401599</v>
      </c>
      <c r="QR5">
        <v>16.8202973885757</v>
      </c>
      <c r="QS5">
        <v>17.022423098781701</v>
      </c>
      <c r="QT5">
        <v>16.8620442229887</v>
      </c>
      <c r="QU5">
        <v>20.708691744841602</v>
      </c>
      <c r="QV5">
        <v>21.061258556735599</v>
      </c>
      <c r="QW5">
        <v>1605777.4107329</v>
      </c>
      <c r="QX5">
        <v>0</v>
      </c>
      <c r="QY5">
        <v>1045121.92371823</v>
      </c>
      <c r="QZ5">
        <v>0</v>
      </c>
      <c r="RA5">
        <v>246318.85374932399</v>
      </c>
      <c r="RB5">
        <v>0</v>
      </c>
      <c r="RC5">
        <v>161702.983646101</v>
      </c>
      <c r="RD5">
        <v>0</v>
      </c>
      <c r="RE5">
        <v>546340.18812421698</v>
      </c>
      <c r="RF5">
        <v>0</v>
      </c>
      <c r="RG5">
        <v>357018.108818996</v>
      </c>
      <c r="RH5" s="35">
        <v>0</v>
      </c>
      <c r="RI5">
        <v>0</v>
      </c>
      <c r="RJ5" s="35">
        <v>0</v>
      </c>
      <c r="RK5">
        <v>17.635449240567802</v>
      </c>
      <c r="RL5">
        <v>1088.31275872325</v>
      </c>
      <c r="RM5">
        <v>1088.31275872325</v>
      </c>
      <c r="RN5">
        <v>13912.3125269581</v>
      </c>
      <c r="RO5" s="35">
        <v>0</v>
      </c>
      <c r="RP5">
        <v>0</v>
      </c>
      <c r="RQ5">
        <v>17.4795298276549</v>
      </c>
      <c r="RR5">
        <v>846.00610991143901</v>
      </c>
      <c r="RS5">
        <v>846.00610991143901</v>
      </c>
      <c r="RT5">
        <v>9000.4794688073907</v>
      </c>
      <c r="RU5">
        <v>0</v>
      </c>
      <c r="RV5">
        <v>0</v>
      </c>
      <c r="RW5">
        <v>17.6691171685844</v>
      </c>
      <c r="RX5">
        <v>1037.4751570943699</v>
      </c>
      <c r="RY5">
        <v>1037.4751570943699</v>
      </c>
      <c r="RZ5">
        <v>13859.991542956101</v>
      </c>
      <c r="SA5">
        <v>0</v>
      </c>
      <c r="SB5">
        <v>0</v>
      </c>
      <c r="SC5">
        <v>17.531192172227701</v>
      </c>
      <c r="SD5">
        <v>794.23023537021902</v>
      </c>
      <c r="SE5">
        <v>794.23023537021902</v>
      </c>
      <c r="SF5">
        <v>8947.2401960810894</v>
      </c>
      <c r="SG5">
        <v>0</v>
      </c>
      <c r="SH5">
        <v>0</v>
      </c>
      <c r="SI5">
        <v>21.283426451472302</v>
      </c>
      <c r="SJ5">
        <v>0</v>
      </c>
      <c r="SK5">
        <v>-22787.271408456902</v>
      </c>
      <c r="SL5">
        <v>41540.141075649401</v>
      </c>
      <c r="SM5">
        <v>18.333300000000001</v>
      </c>
      <c r="SN5">
        <v>26.666699999999999</v>
      </c>
      <c r="SO5">
        <v>0</v>
      </c>
      <c r="SP5">
        <v>0</v>
      </c>
      <c r="SQ5">
        <v>19.228804248717999</v>
      </c>
      <c r="SR5">
        <v>0</v>
      </c>
      <c r="SS5">
        <v>0</v>
      </c>
      <c r="ST5">
        <v>0</v>
      </c>
      <c r="SU5">
        <v>0</v>
      </c>
      <c r="SV5">
        <v>0</v>
      </c>
      <c r="SW5">
        <v>19.156204400808701</v>
      </c>
      <c r="SX5">
        <v>0</v>
      </c>
      <c r="SY5">
        <v>0</v>
      </c>
      <c r="SZ5">
        <v>0</v>
      </c>
      <c r="TA5">
        <v>0</v>
      </c>
      <c r="TB5">
        <v>0</v>
      </c>
      <c r="TC5">
        <v>19.328166370915401</v>
      </c>
      <c r="TD5">
        <v>0</v>
      </c>
      <c r="TE5">
        <v>0</v>
      </c>
      <c r="TF5">
        <v>0</v>
      </c>
      <c r="TG5">
        <v>0</v>
      </c>
      <c r="TH5">
        <v>0</v>
      </c>
      <c r="TI5">
        <v>19.159603371673001</v>
      </c>
      <c r="TJ5">
        <v>0</v>
      </c>
      <c r="TK5">
        <v>0</v>
      </c>
      <c r="TL5">
        <v>0</v>
      </c>
      <c r="TM5">
        <v>0</v>
      </c>
      <c r="TN5">
        <v>0</v>
      </c>
      <c r="TO5">
        <v>20.794438083319299</v>
      </c>
      <c r="TP5">
        <v>0</v>
      </c>
      <c r="TQ5">
        <v>0</v>
      </c>
      <c r="TR5">
        <v>0</v>
      </c>
      <c r="TS5">
        <v>0</v>
      </c>
      <c r="TT5">
        <v>0</v>
      </c>
      <c r="TU5">
        <v>18.103488668743601</v>
      </c>
      <c r="TV5">
        <v>379.10036813180699</v>
      </c>
      <c r="TW5">
        <v>379.10036813180699</v>
      </c>
      <c r="TX5">
        <v>13240.0601984573</v>
      </c>
      <c r="TY5">
        <v>0</v>
      </c>
      <c r="TZ5">
        <v>0</v>
      </c>
      <c r="UA5">
        <v>17.914153616773799</v>
      </c>
      <c r="UB5">
        <v>425.97729123616</v>
      </c>
      <c r="UC5">
        <v>425.97729123616</v>
      </c>
      <c r="UD5">
        <v>8606.7815457645993</v>
      </c>
      <c r="UE5">
        <v>0</v>
      </c>
      <c r="UF5">
        <v>0</v>
      </c>
      <c r="UG5">
        <v>18.1424380994629</v>
      </c>
      <c r="UH5">
        <v>313.82312358110801</v>
      </c>
      <c r="UI5">
        <v>313.82312358110801</v>
      </c>
      <c r="UJ5">
        <v>13173.4758260042</v>
      </c>
      <c r="UK5">
        <v>0</v>
      </c>
      <c r="UL5">
        <v>0</v>
      </c>
      <c r="UM5">
        <v>17.9765618234272</v>
      </c>
      <c r="UN5">
        <v>361.23082787449601</v>
      </c>
      <c r="UO5">
        <v>361.23082787449601</v>
      </c>
      <c r="UP5">
        <v>8540.4386374099304</v>
      </c>
      <c r="UQ5">
        <v>0</v>
      </c>
      <c r="UR5">
        <v>0</v>
      </c>
      <c r="US5">
        <v>22.609747056038</v>
      </c>
      <c r="UT5">
        <v>0</v>
      </c>
      <c r="UU5">
        <v>-32849.475709467901</v>
      </c>
      <c r="UV5">
        <v>31193.761594549102</v>
      </c>
      <c r="UW5">
        <v>18.333300000000001</v>
      </c>
      <c r="UX5">
        <v>26.666699999999999</v>
      </c>
      <c r="UY5">
        <v>0</v>
      </c>
      <c r="UZ5">
        <v>0</v>
      </c>
      <c r="VA5">
        <v>19.4736393066954</v>
      </c>
      <c r="VB5">
        <v>0</v>
      </c>
      <c r="VC5">
        <v>0</v>
      </c>
      <c r="VD5">
        <v>0</v>
      </c>
      <c r="VE5">
        <v>0</v>
      </c>
      <c r="VF5">
        <v>0</v>
      </c>
      <c r="VG5">
        <v>19.380315081516098</v>
      </c>
      <c r="VH5">
        <v>0</v>
      </c>
      <c r="VI5">
        <v>0</v>
      </c>
      <c r="VJ5">
        <v>0</v>
      </c>
      <c r="VK5">
        <v>0</v>
      </c>
      <c r="VL5">
        <v>0</v>
      </c>
      <c r="VM5">
        <v>19.567630845662499</v>
      </c>
      <c r="VN5">
        <v>0</v>
      </c>
      <c r="VO5">
        <v>0</v>
      </c>
      <c r="VP5">
        <v>0</v>
      </c>
      <c r="VQ5">
        <v>0</v>
      </c>
      <c r="VR5">
        <v>0</v>
      </c>
      <c r="VS5">
        <v>19.378871957340099</v>
      </c>
      <c r="VT5">
        <v>0</v>
      </c>
      <c r="VU5">
        <v>0</v>
      </c>
      <c r="VV5">
        <v>0</v>
      </c>
      <c r="VW5">
        <v>0</v>
      </c>
      <c r="VX5">
        <v>0</v>
      </c>
      <c r="VY5">
        <v>21.630969649241099</v>
      </c>
      <c r="VZ5">
        <v>0</v>
      </c>
      <c r="WA5">
        <v>0</v>
      </c>
      <c r="WB5">
        <v>0</v>
      </c>
      <c r="WC5">
        <v>0</v>
      </c>
      <c r="WD5">
        <v>0</v>
      </c>
      <c r="WE5">
        <v>16.490957587674899</v>
      </c>
      <c r="WF5">
        <v>2896.94110737542</v>
      </c>
      <c r="WG5">
        <v>2896.94110737542</v>
      </c>
      <c r="WH5">
        <v>15854.6199588526</v>
      </c>
      <c r="WI5">
        <v>0</v>
      </c>
      <c r="WJ5">
        <v>0</v>
      </c>
      <c r="WK5">
        <v>0</v>
      </c>
      <c r="WL5">
        <v>16.298559065521101</v>
      </c>
      <c r="WM5">
        <v>2036.29132778592</v>
      </c>
      <c r="WN5">
        <v>2036.29132778592</v>
      </c>
      <c r="WO5">
        <v>10279.4100463061</v>
      </c>
      <c r="WP5">
        <v>18.333300000000001</v>
      </c>
      <c r="WQ5">
        <v>26.666699999999999</v>
      </c>
      <c r="WR5">
        <v>0</v>
      </c>
      <c r="WS5">
        <v>0</v>
      </c>
      <c r="WT5">
        <v>16.516601682473802</v>
      </c>
      <c r="WU5">
        <v>2858.48308719857</v>
      </c>
      <c r="WV5">
        <v>2858.48308719857</v>
      </c>
      <c r="WW5">
        <v>15815.0198313482</v>
      </c>
      <c r="WX5">
        <v>0</v>
      </c>
      <c r="WY5">
        <v>0</v>
      </c>
      <c r="WZ5">
        <v>0</v>
      </c>
      <c r="XA5">
        <v>16.364534700970601</v>
      </c>
      <c r="XB5">
        <v>1967.49780322987</v>
      </c>
      <c r="XC5">
        <v>1967.49780322987</v>
      </c>
      <c r="XD5">
        <v>10208.9668129403</v>
      </c>
      <c r="XE5">
        <v>0</v>
      </c>
      <c r="XF5">
        <v>0</v>
      </c>
      <c r="XG5">
        <v>20.9309502065902</v>
      </c>
      <c r="XH5">
        <v>0</v>
      </c>
      <c r="XI5">
        <v>-20006.214759203402</v>
      </c>
      <c r="XJ5">
        <v>44372.945589726703</v>
      </c>
      <c r="XK5">
        <v>18.333300000000001</v>
      </c>
      <c r="XL5">
        <v>26.666699999999999</v>
      </c>
      <c r="XM5">
        <v>0</v>
      </c>
      <c r="XN5">
        <v>0</v>
      </c>
      <c r="XO5">
        <v>14.058686945775801</v>
      </c>
      <c r="XP5">
        <v>0</v>
      </c>
      <c r="XQ5">
        <v>0</v>
      </c>
      <c r="XR5">
        <v>0</v>
      </c>
      <c r="XS5">
        <v>0</v>
      </c>
      <c r="XT5">
        <v>0</v>
      </c>
      <c r="XU5">
        <v>13.972600628502001</v>
      </c>
      <c r="XV5">
        <v>0</v>
      </c>
      <c r="XW5">
        <v>0</v>
      </c>
      <c r="XX5">
        <v>0</v>
      </c>
      <c r="XY5">
        <v>0</v>
      </c>
      <c r="XZ5">
        <v>0</v>
      </c>
      <c r="YA5">
        <v>14.132525830712099</v>
      </c>
      <c r="YB5">
        <v>0</v>
      </c>
      <c r="YC5">
        <v>0</v>
      </c>
      <c r="YD5">
        <v>0</v>
      </c>
      <c r="YE5">
        <v>0</v>
      </c>
      <c r="YF5">
        <v>0</v>
      </c>
      <c r="YG5">
        <v>13.984963825699699</v>
      </c>
      <c r="YH5">
        <v>0</v>
      </c>
      <c r="YI5">
        <v>0</v>
      </c>
      <c r="YJ5">
        <v>0</v>
      </c>
      <c r="YK5">
        <v>0</v>
      </c>
      <c r="YL5">
        <v>0</v>
      </c>
      <c r="YM5">
        <v>18.389488999184699</v>
      </c>
      <c r="YN5">
        <v>0</v>
      </c>
      <c r="YO5">
        <v>0</v>
      </c>
      <c r="YP5">
        <v>0</v>
      </c>
      <c r="YQ5">
        <v>0</v>
      </c>
      <c r="YR5">
        <v>0</v>
      </c>
      <c r="YS5">
        <v>18.5541406040482</v>
      </c>
      <c r="YT5">
        <v>0</v>
      </c>
      <c r="YU5">
        <v>0</v>
      </c>
      <c r="YV5">
        <v>0</v>
      </c>
      <c r="YW5">
        <v>0</v>
      </c>
      <c r="YX5">
        <v>0</v>
      </c>
      <c r="YY5">
        <v>18.527359097717099</v>
      </c>
      <c r="YZ5">
        <v>0</v>
      </c>
      <c r="ZA5">
        <v>0</v>
      </c>
      <c r="ZB5">
        <v>0</v>
      </c>
      <c r="ZC5">
        <v>0</v>
      </c>
      <c r="ZD5">
        <v>0</v>
      </c>
      <c r="ZE5">
        <v>18.6023726956447</v>
      </c>
      <c r="ZF5">
        <v>0</v>
      </c>
      <c r="ZG5">
        <v>0</v>
      </c>
      <c r="ZH5">
        <v>0</v>
      </c>
      <c r="ZI5">
        <v>0</v>
      </c>
      <c r="ZJ5">
        <v>0</v>
      </c>
      <c r="ZK5">
        <v>18.517449330199099</v>
      </c>
      <c r="ZL5">
        <v>0</v>
      </c>
      <c r="ZM5">
        <v>0</v>
      </c>
      <c r="ZN5">
        <v>0</v>
      </c>
      <c r="ZO5">
        <v>0</v>
      </c>
      <c r="ZP5">
        <v>0</v>
      </c>
      <c r="ZQ5">
        <v>19.113760851072399</v>
      </c>
      <c r="ZR5">
        <v>0</v>
      </c>
      <c r="ZS5">
        <v>0</v>
      </c>
      <c r="ZT5">
        <v>0</v>
      </c>
      <c r="ZU5">
        <v>0</v>
      </c>
      <c r="ZV5">
        <v>0</v>
      </c>
      <c r="ZW5">
        <v>19.9863418547084</v>
      </c>
      <c r="ZX5">
        <v>0</v>
      </c>
      <c r="ZY5">
        <v>0</v>
      </c>
      <c r="ZZ5">
        <v>0</v>
      </c>
      <c r="AAA5">
        <v>0</v>
      </c>
      <c r="AAB5">
        <v>0</v>
      </c>
      <c r="AAC5">
        <v>19.9197542818785</v>
      </c>
      <c r="AAD5">
        <v>0</v>
      </c>
      <c r="AAE5">
        <v>0</v>
      </c>
      <c r="AAF5">
        <v>0</v>
      </c>
      <c r="AAG5">
        <v>0</v>
      </c>
      <c r="AAH5">
        <v>0</v>
      </c>
      <c r="AAI5">
        <v>20.0996753073245</v>
      </c>
      <c r="AAJ5">
        <v>0</v>
      </c>
      <c r="AAK5">
        <v>0</v>
      </c>
      <c r="AAL5">
        <v>0</v>
      </c>
      <c r="AAM5">
        <v>0</v>
      </c>
      <c r="AAN5">
        <v>0</v>
      </c>
      <c r="AAO5">
        <v>19.919112225552599</v>
      </c>
      <c r="AAP5">
        <v>0</v>
      </c>
      <c r="AAQ5">
        <v>0</v>
      </c>
      <c r="AAR5">
        <v>0</v>
      </c>
      <c r="AAS5">
        <v>0</v>
      </c>
      <c r="AAT5">
        <v>0</v>
      </c>
      <c r="AAU5">
        <v>21.352535326064501</v>
      </c>
      <c r="AAV5">
        <v>0</v>
      </c>
      <c r="AAW5">
        <v>0</v>
      </c>
      <c r="AAX5">
        <v>0</v>
      </c>
      <c r="AAY5">
        <v>0</v>
      </c>
      <c r="AAZ5">
        <v>0</v>
      </c>
      <c r="ABA5">
        <v>19.359228906199</v>
      </c>
      <c r="ABB5">
        <v>0</v>
      </c>
      <c r="ABC5">
        <v>0</v>
      </c>
      <c r="ABD5">
        <v>0</v>
      </c>
      <c r="ABE5">
        <v>0</v>
      </c>
      <c r="ABF5">
        <v>0</v>
      </c>
      <c r="ABG5">
        <v>19.290219553019401</v>
      </c>
      <c r="ABH5">
        <v>0</v>
      </c>
      <c r="ABI5">
        <v>0</v>
      </c>
      <c r="ABJ5">
        <v>0</v>
      </c>
      <c r="ABK5">
        <v>0</v>
      </c>
      <c r="ABL5">
        <v>0</v>
      </c>
      <c r="ABM5">
        <v>19.4594441056467</v>
      </c>
      <c r="ABN5">
        <v>0</v>
      </c>
      <c r="ABO5">
        <v>0</v>
      </c>
      <c r="ABP5">
        <v>0</v>
      </c>
      <c r="ABQ5">
        <v>0</v>
      </c>
      <c r="ABR5">
        <v>0</v>
      </c>
      <c r="ABS5">
        <v>19.278979438979299</v>
      </c>
      <c r="ABT5">
        <v>0</v>
      </c>
      <c r="ABU5">
        <v>0</v>
      </c>
      <c r="ABV5">
        <v>0</v>
      </c>
      <c r="ABW5">
        <v>0</v>
      </c>
      <c r="ABX5">
        <v>0</v>
      </c>
      <c r="ABY5">
        <v>21.061258556735599</v>
      </c>
      <c r="ABZ5">
        <v>0</v>
      </c>
      <c r="ACA5">
        <v>0</v>
      </c>
      <c r="ACB5">
        <v>0</v>
      </c>
      <c r="ACC5">
        <v>0</v>
      </c>
      <c r="ACD5">
        <v>0</v>
      </c>
      <c r="ACE5">
        <v>0</v>
      </c>
      <c r="ACF5">
        <v>12.220032779007701</v>
      </c>
      <c r="ACG5">
        <v>12.220032779007701</v>
      </c>
      <c r="ACH5">
        <v>0</v>
      </c>
      <c r="ACI5">
        <v>0</v>
      </c>
      <c r="ACJ5">
        <v>0</v>
      </c>
      <c r="ACK5">
        <v>20.868780998713401</v>
      </c>
      <c r="ACL5">
        <v>20.868780998713401</v>
      </c>
      <c r="ACM5">
        <v>0</v>
      </c>
      <c r="ACN5">
        <v>21078.068283184501</v>
      </c>
      <c r="ACP5">
        <v>0</v>
      </c>
      <c r="ACR5">
        <v>21078.068283184501</v>
      </c>
      <c r="ACT5">
        <v>21.2833565815192</v>
      </c>
      <c r="ACU5">
        <v>21.2833565815192</v>
      </c>
      <c r="ACV5">
        <v>0</v>
      </c>
      <c r="ACW5">
        <v>0</v>
      </c>
      <c r="ACX5">
        <v>1</v>
      </c>
      <c r="ACY5">
        <v>22.609724512359801</v>
      </c>
      <c r="ACZ5">
        <v>22.609724512359801</v>
      </c>
      <c r="ADA5">
        <v>0</v>
      </c>
      <c r="ADB5">
        <v>0</v>
      </c>
      <c r="ADC5">
        <v>1</v>
      </c>
      <c r="ADD5">
        <v>20.9310291393824</v>
      </c>
      <c r="ADE5">
        <v>20.9310291393824</v>
      </c>
      <c r="ADF5">
        <v>0</v>
      </c>
      <c r="ADG5">
        <v>0</v>
      </c>
      <c r="ADH5">
        <v>1</v>
      </c>
      <c r="ADI5">
        <v>18.118126139384</v>
      </c>
      <c r="ADJ5">
        <v>18.118126139384</v>
      </c>
      <c r="ADK5">
        <v>0</v>
      </c>
      <c r="ADL5">
        <v>0</v>
      </c>
      <c r="ADM5">
        <v>1</v>
      </c>
      <c r="ADN5">
        <v>17.988576188254999</v>
      </c>
      <c r="ADO5">
        <v>17.988576188254999</v>
      </c>
      <c r="ADP5">
        <v>0</v>
      </c>
      <c r="ADQ5">
        <v>0</v>
      </c>
      <c r="ADR5">
        <v>1</v>
      </c>
      <c r="ADS5">
        <v>18.161384757848602</v>
      </c>
      <c r="ADT5">
        <v>18.161384757848602</v>
      </c>
      <c r="ADU5">
        <v>0</v>
      </c>
      <c r="ADV5">
        <v>0</v>
      </c>
      <c r="ADW5">
        <v>1</v>
      </c>
      <c r="ADX5">
        <v>18.023260284989899</v>
      </c>
      <c r="ADY5">
        <v>18.023260284989899</v>
      </c>
      <c r="ADZ5">
        <v>0</v>
      </c>
      <c r="AEA5">
        <v>0</v>
      </c>
      <c r="AEB5">
        <v>1</v>
      </c>
      <c r="AEC5">
        <v>18.656021484255302</v>
      </c>
      <c r="AED5">
        <v>18.656021484255302</v>
      </c>
      <c r="AEE5">
        <v>0</v>
      </c>
      <c r="AEF5">
        <v>0</v>
      </c>
      <c r="AEG5">
        <v>1</v>
      </c>
      <c r="AEH5">
        <v>18.491980800047202</v>
      </c>
      <c r="AEI5">
        <v>18.491980800047202</v>
      </c>
      <c r="AEJ5">
        <v>0</v>
      </c>
      <c r="AEK5">
        <v>0</v>
      </c>
      <c r="AEL5">
        <v>1</v>
      </c>
      <c r="AEM5">
        <v>18.701961581935201</v>
      </c>
      <c r="AEN5">
        <v>18.701961581935201</v>
      </c>
      <c r="AEO5">
        <v>0</v>
      </c>
      <c r="AEP5">
        <v>0</v>
      </c>
      <c r="AEQ5">
        <v>1</v>
      </c>
      <c r="AER5">
        <v>18.533029196345701</v>
      </c>
      <c r="AES5">
        <v>18.533029196345701</v>
      </c>
      <c r="AET5">
        <v>0</v>
      </c>
      <c r="AEU5">
        <v>0</v>
      </c>
      <c r="AEV5">
        <v>1</v>
      </c>
      <c r="AEW5">
        <v>16.951953543929299</v>
      </c>
      <c r="AEX5">
        <v>16.951953543929299</v>
      </c>
      <c r="AEY5">
        <v>0</v>
      </c>
      <c r="AEZ5">
        <v>0</v>
      </c>
      <c r="AFA5">
        <v>1</v>
      </c>
      <c r="AFB5">
        <v>16.798482541705798</v>
      </c>
      <c r="AFC5">
        <v>16.798482541705798</v>
      </c>
      <c r="AFD5">
        <v>0</v>
      </c>
      <c r="AFE5">
        <v>0</v>
      </c>
      <c r="AFF5">
        <v>1</v>
      </c>
      <c r="AFG5">
        <v>16.997518441665999</v>
      </c>
      <c r="AFH5">
        <v>16.997518441665999</v>
      </c>
      <c r="AFI5">
        <v>0</v>
      </c>
      <c r="AFJ5">
        <v>0</v>
      </c>
      <c r="AFK5">
        <v>1</v>
      </c>
      <c r="AFL5">
        <v>16.837666964663399</v>
      </c>
      <c r="AFM5">
        <v>16.837666964663399</v>
      </c>
      <c r="AFN5">
        <v>0</v>
      </c>
      <c r="AFO5">
        <v>0</v>
      </c>
      <c r="AFP5">
        <v>1</v>
      </c>
      <c r="AFQ5">
        <v>-1.7979072312267801</v>
      </c>
      <c r="AFR5">
        <v>-1.80769848914071</v>
      </c>
      <c r="AFS5">
        <v>-1.8275117379929899</v>
      </c>
      <c r="AFT5">
        <v>-1.83114887879322</v>
      </c>
      <c r="AFU5">
        <v>-1.6881130198150101</v>
      </c>
      <c r="AFV5">
        <v>-1.6991522869870901</v>
      </c>
      <c r="AFW5">
        <v>-1.7244083372733101</v>
      </c>
      <c r="AFX5">
        <v>-1.7307413911963501</v>
      </c>
      <c r="AFY5">
        <v>-2.0322980469566798</v>
      </c>
      <c r="AFZ5">
        <v>-2.0426011276009799</v>
      </c>
      <c r="AGA5">
        <v>-2.0630741696538299</v>
      </c>
      <c r="AGB5">
        <v>-2.0682835083520099</v>
      </c>
      <c r="AGC5">
        <v>-1.22559477309982</v>
      </c>
      <c r="AGD5">
        <v>-0.90625938003385897</v>
      </c>
      <c r="AGE5">
        <v>-1.2872242877203699</v>
      </c>
      <c r="AGF5">
        <v>0</v>
      </c>
      <c r="AGG5">
        <v>0</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Z5">
        <v>0</v>
      </c>
      <c r="AIB5">
        <v>0</v>
      </c>
      <c r="AID5">
        <v>0</v>
      </c>
      <c r="AIF5">
        <v>0</v>
      </c>
      <c r="AIH5">
        <v>0</v>
      </c>
      <c r="AIJ5">
        <v>0</v>
      </c>
      <c r="AIL5">
        <v>0</v>
      </c>
      <c r="AIN5">
        <v>0</v>
      </c>
      <c r="AIP5">
        <v>0</v>
      </c>
      <c r="AIR5">
        <v>0</v>
      </c>
      <c r="AIT5">
        <v>0</v>
      </c>
      <c r="AIV5">
        <v>0</v>
      </c>
      <c r="AIX5">
        <v>0</v>
      </c>
      <c r="AIZ5">
        <v>0</v>
      </c>
      <c r="AJB5">
        <v>0</v>
      </c>
      <c r="AJC5">
        <v>0</v>
      </c>
      <c r="AJE5">
        <v>0</v>
      </c>
      <c r="AJH5">
        <v>0</v>
      </c>
      <c r="AJJ5">
        <v>0</v>
      </c>
      <c r="AJK5">
        <v>0</v>
      </c>
      <c r="AJL5">
        <v>0</v>
      </c>
      <c r="AJM5">
        <v>0</v>
      </c>
      <c r="AJN5">
        <v>0</v>
      </c>
      <c r="AJO5">
        <v>0</v>
      </c>
      <c r="AJP5">
        <v>0</v>
      </c>
      <c r="AJQ5">
        <v>0</v>
      </c>
      <c r="AJR5">
        <v>0</v>
      </c>
      <c r="AJS5">
        <v>0</v>
      </c>
      <c r="AJT5">
        <v>0</v>
      </c>
      <c r="AJU5">
        <v>0</v>
      </c>
      <c r="AJV5">
        <v>0</v>
      </c>
      <c r="AJW5">
        <v>0</v>
      </c>
      <c r="AJX5">
        <v>0</v>
      </c>
      <c r="AJY5">
        <v>0</v>
      </c>
      <c r="AJZ5">
        <v>0</v>
      </c>
      <c r="AKA5">
        <v>0</v>
      </c>
      <c r="AKB5">
        <v>0</v>
      </c>
      <c r="AKC5">
        <v>0</v>
      </c>
      <c r="AKD5">
        <v>0</v>
      </c>
      <c r="AKE5">
        <v>70.191915221237295</v>
      </c>
      <c r="AKF5">
        <v>70.191915221237295</v>
      </c>
      <c r="AKG5">
        <v>0</v>
      </c>
      <c r="AKH5">
        <v>0</v>
      </c>
      <c r="AKI5">
        <v>0</v>
      </c>
      <c r="AKJ5">
        <v>0</v>
      </c>
      <c r="AKK5">
        <v>0</v>
      </c>
      <c r="AKL5">
        <v>70.191915221237295</v>
      </c>
      <c r="AKM5">
        <v>70.191915221237295</v>
      </c>
      <c r="AKN5">
        <v>0</v>
      </c>
      <c r="AKO5">
        <v>0</v>
      </c>
      <c r="AKP5">
        <v>0</v>
      </c>
      <c r="AKT5">
        <v>0</v>
      </c>
      <c r="AKX5">
        <v>0</v>
      </c>
      <c r="ALB5">
        <v>20.868780998713401</v>
      </c>
      <c r="ALC5">
        <v>20.868780998713401</v>
      </c>
      <c r="ALD5">
        <v>0</v>
      </c>
      <c r="ALE5">
        <v>0</v>
      </c>
      <c r="ALF5">
        <v>0</v>
      </c>
      <c r="ALH5">
        <v>20.790028542939901</v>
      </c>
      <c r="ALI5">
        <v>6.5512270810347403E-3</v>
      </c>
      <c r="ALJ5">
        <v>0</v>
      </c>
      <c r="ALK5">
        <v>20.790028542939901</v>
      </c>
      <c r="ALL5">
        <v>0</v>
      </c>
      <c r="ALM5">
        <v>0</v>
      </c>
      <c r="ALN5">
        <v>20.790028542939901</v>
      </c>
      <c r="ALO5">
        <v>6.5512270810347403E-3</v>
      </c>
      <c r="ALP5">
        <v>43.277730921267597</v>
      </c>
      <c r="ALQ5">
        <v>0</v>
      </c>
      <c r="ALR5">
        <v>20.790028542939901</v>
      </c>
      <c r="ALS5">
        <v>0</v>
      </c>
      <c r="ALT5">
        <v>20.790028542939901</v>
      </c>
      <c r="ALU5">
        <v>0</v>
      </c>
      <c r="ALV5">
        <v>12.220032779007701</v>
      </c>
      <c r="ALW5">
        <v>9.9999999999999897E-12</v>
      </c>
      <c r="ALX5">
        <v>12.220032779007701</v>
      </c>
      <c r="ALY5">
        <v>9.9999999999999897E-12</v>
      </c>
      <c r="ALZ5">
        <v>0</v>
      </c>
      <c r="AMA5">
        <v>12.220032779007701</v>
      </c>
      <c r="AMB5">
        <v>0</v>
      </c>
      <c r="AMC5">
        <v>12.220032779007701</v>
      </c>
      <c r="AMD5">
        <v>0</v>
      </c>
      <c r="AME5">
        <v>12.220032779007701</v>
      </c>
      <c r="AMF5">
        <v>0</v>
      </c>
      <c r="AMG5">
        <v>0</v>
      </c>
      <c r="AMH5">
        <v>0</v>
      </c>
      <c r="AMI5">
        <v>18.527422415344802</v>
      </c>
      <c r="AMJ5">
        <v>0</v>
      </c>
      <c r="AMK5" s="580">
        <v>19.106118996331201</v>
      </c>
      <c r="AML5">
        <v>0</v>
      </c>
      <c r="AMM5">
        <v>18.5383359586952</v>
      </c>
      <c r="AMN5">
        <v>0</v>
      </c>
      <c r="AMO5">
        <v>18.5642259458638</v>
      </c>
      <c r="AMP5">
        <v>0</v>
      </c>
      <c r="AMQ5">
        <v>18.6127054906562</v>
      </c>
      <c r="AMR5">
        <v>0</v>
      </c>
      <c r="AMS5">
        <v>21.3472090521933</v>
      </c>
      <c r="AMT5">
        <v>0</v>
      </c>
      <c r="AMU5">
        <v>19.945426603596299</v>
      </c>
      <c r="AMV5">
        <v>0</v>
      </c>
      <c r="AMW5">
        <v>19.943619607429898</v>
      </c>
      <c r="AMX5">
        <v>0</v>
      </c>
      <c r="AMY5">
        <v>20.010087400855198</v>
      </c>
      <c r="AMZ5">
        <v>0</v>
      </c>
      <c r="ANA5">
        <v>20.1243406094021</v>
      </c>
      <c r="ANB5">
        <v>0</v>
      </c>
      <c r="ANC5">
        <v>21.0642426737226</v>
      </c>
      <c r="AND5">
        <v>0</v>
      </c>
      <c r="ANE5">
        <v>19.329540137539201</v>
      </c>
      <c r="ANF5">
        <v>0</v>
      </c>
      <c r="ANG5">
        <v>19.316880805774101</v>
      </c>
      <c r="ANH5">
        <v>0</v>
      </c>
      <c r="ANI5">
        <v>19.396479984771702</v>
      </c>
      <c r="ANJ5">
        <v>0</v>
      </c>
      <c r="ANK5">
        <v>19.497100462864399</v>
      </c>
      <c r="ANL5">
        <v>0</v>
      </c>
      <c r="ANM5">
        <v>0</v>
      </c>
      <c r="ANN5">
        <v>0</v>
      </c>
      <c r="ANO5">
        <v>0</v>
      </c>
      <c r="ANP5">
        <v>19.106118996331201</v>
      </c>
      <c r="ANQ5">
        <v>18.5383359586952</v>
      </c>
      <c r="ANR5">
        <v>18.527422415344802</v>
      </c>
      <c r="ANS5">
        <v>18.6127054906562</v>
      </c>
      <c r="ANT5">
        <v>18.5642259458638</v>
      </c>
      <c r="ANU5">
        <v>21.3472090521933</v>
      </c>
      <c r="ANV5">
        <v>19.945426603596299</v>
      </c>
      <c r="ANW5">
        <v>19.943619607429898</v>
      </c>
      <c r="ANX5">
        <v>20.1243406094021</v>
      </c>
      <c r="ANY5">
        <v>20.010087400855198</v>
      </c>
      <c r="ANZ5">
        <v>21.0642426737226</v>
      </c>
      <c r="AOA5">
        <v>19.329540137539201</v>
      </c>
      <c r="AOB5">
        <v>19.316880805774101</v>
      </c>
      <c r="AOC5">
        <v>19.497100462864399</v>
      </c>
      <c r="AOD5">
        <v>19.396479984771702</v>
      </c>
      <c r="AOE5">
        <v>20.790028542939901</v>
      </c>
      <c r="AOF5">
        <v>0</v>
      </c>
      <c r="AOG5">
        <v>20.785377973027099</v>
      </c>
      <c r="AOH5">
        <v>0</v>
      </c>
    </row>
    <row r="6" spans="1:1074">
      <c r="A6" t="s">
        <v>2941</v>
      </c>
      <c r="B6">
        <v>4.5999999999999996</v>
      </c>
      <c r="D6">
        <v>4.5999999999999996</v>
      </c>
      <c r="F6">
        <v>5</v>
      </c>
      <c r="G6">
        <v>1474970.3079169099</v>
      </c>
      <c r="H6">
        <v>3001393.0684355702</v>
      </c>
      <c r="I6">
        <v>936694.08378745895</v>
      </c>
      <c r="J6">
        <v>1906063.5425907599</v>
      </c>
      <c r="K6">
        <v>1474970.3079169099</v>
      </c>
      <c r="L6">
        <v>3001393.0684355702</v>
      </c>
      <c r="M6">
        <v>936694.08378745895</v>
      </c>
      <c r="N6">
        <v>1906063.5425907599</v>
      </c>
      <c r="O6">
        <v>7606709.1984463502</v>
      </c>
      <c r="P6">
        <v>15478768.717768701</v>
      </c>
      <c r="Q6">
        <v>1474970.3079169099</v>
      </c>
      <c r="R6">
        <v>3001393.0684355702</v>
      </c>
      <c r="S6">
        <v>936694.08378745895</v>
      </c>
      <c r="T6">
        <v>1906063.5425907599</v>
      </c>
      <c r="U6">
        <v>1474970.3079169099</v>
      </c>
      <c r="V6">
        <v>3001393.0684355702</v>
      </c>
      <c r="W6">
        <v>936694.08378745895</v>
      </c>
      <c r="X6">
        <v>1906063.5425907599</v>
      </c>
      <c r="Y6">
        <v>7606709.1984463502</v>
      </c>
      <c r="Z6">
        <v>15478768.717768701</v>
      </c>
      <c r="AA6">
        <v>1474970.3079169099</v>
      </c>
      <c r="AB6">
        <v>3001393.0684355702</v>
      </c>
      <c r="AC6">
        <v>936694.08378745895</v>
      </c>
      <c r="AD6">
        <v>1906063.5425907599</v>
      </c>
      <c r="AE6">
        <v>1474970.3079169099</v>
      </c>
      <c r="AF6">
        <v>3001393.0684355702</v>
      </c>
      <c r="AG6">
        <v>936694.08378745895</v>
      </c>
      <c r="AH6">
        <v>1906063.5425907599</v>
      </c>
      <c r="AI6">
        <v>7606709.1984463502</v>
      </c>
      <c r="AJ6">
        <v>15478768.717768701</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188658.992873093</v>
      </c>
      <c r="CF6">
        <v>428770.43834793899</v>
      </c>
      <c r="CG6">
        <v>188658.992873093</v>
      </c>
      <c r="CH6">
        <v>428770.43834793899</v>
      </c>
      <c r="CI6">
        <v>119809.708391419</v>
      </c>
      <c r="CJ6">
        <v>272294.79179867997</v>
      </c>
      <c r="CK6">
        <v>119809.708391419</v>
      </c>
      <c r="CL6">
        <v>272294.79179867997</v>
      </c>
      <c r="CM6">
        <v>188658.992873093</v>
      </c>
      <c r="CN6">
        <v>428770.43834793899</v>
      </c>
      <c r="CO6">
        <v>188658.992873093</v>
      </c>
      <c r="CP6">
        <v>428770.43834793899</v>
      </c>
      <c r="CQ6">
        <v>119809.708391419</v>
      </c>
      <c r="CR6">
        <v>272294.79179867997</v>
      </c>
      <c r="CS6">
        <v>119809.708391419</v>
      </c>
      <c r="CT6">
        <v>272294.79179867997</v>
      </c>
      <c r="CU6">
        <v>188658.992873093</v>
      </c>
      <c r="CV6">
        <v>428770.43834793899</v>
      </c>
      <c r="CW6">
        <v>188658.992873093</v>
      </c>
      <c r="CX6">
        <v>428770.43834793899</v>
      </c>
      <c r="CY6">
        <v>119809.708391419</v>
      </c>
      <c r="CZ6">
        <v>272294.79179867997</v>
      </c>
      <c r="DA6">
        <v>119809.708391419</v>
      </c>
      <c r="DB6">
        <v>272294.79179867997</v>
      </c>
      <c r="DC6">
        <v>972951.17654546397</v>
      </c>
      <c r="DD6">
        <v>2211252.6739669601</v>
      </c>
      <c r="DE6">
        <v>972951.17654546397</v>
      </c>
      <c r="DF6">
        <v>2211252.6739669601</v>
      </c>
      <c r="DG6">
        <v>972951.17654546397</v>
      </c>
      <c r="DH6">
        <v>2211252.6739669601</v>
      </c>
      <c r="DI6">
        <v>1286311.3150438201</v>
      </c>
      <c r="DJ6">
        <v>2572622.6300876299</v>
      </c>
      <c r="DK6">
        <v>1286311.3150438201</v>
      </c>
      <c r="DL6">
        <v>2572622.6300876299</v>
      </c>
      <c r="DM6">
        <v>816884.37539604004</v>
      </c>
      <c r="DN6">
        <v>1633768.7507920801</v>
      </c>
      <c r="DO6">
        <v>816884.37539603899</v>
      </c>
      <c r="DP6">
        <v>1633768.7507920801</v>
      </c>
      <c r="DQ6">
        <v>1286311.3150438201</v>
      </c>
      <c r="DR6">
        <v>2572622.6300876299</v>
      </c>
      <c r="DS6">
        <v>1286311.3150438201</v>
      </c>
      <c r="DT6">
        <v>2572622.6300876299</v>
      </c>
      <c r="DU6">
        <v>816884.37539604004</v>
      </c>
      <c r="DV6">
        <v>1633768.7507920801</v>
      </c>
      <c r="DW6">
        <v>816884.37539603899</v>
      </c>
      <c r="DX6">
        <v>1633768.7507920801</v>
      </c>
      <c r="DY6">
        <v>1286311.3150438201</v>
      </c>
      <c r="DZ6">
        <v>2572622.6300876299</v>
      </c>
      <c r="EA6">
        <v>1286311.3150438201</v>
      </c>
      <c r="EB6">
        <v>2572622.6300876299</v>
      </c>
      <c r="EC6">
        <v>816884.37539604004</v>
      </c>
      <c r="ED6">
        <v>1633768.7507920801</v>
      </c>
      <c r="EE6">
        <v>816884.37539603899</v>
      </c>
      <c r="EF6">
        <v>1633768.7507920801</v>
      </c>
      <c r="EG6">
        <v>6633758.0219008904</v>
      </c>
      <c r="EH6">
        <v>13267516.043801799</v>
      </c>
      <c r="EI6">
        <v>6633758.0219008904</v>
      </c>
      <c r="EJ6">
        <v>13267516.043801799</v>
      </c>
      <c r="EK6">
        <v>6633758.0219008904</v>
      </c>
      <c r="EL6">
        <v>13267516.043801799</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-19.168361271023301</v>
      </c>
      <c r="GC6">
        <v>179.249891511573</v>
      </c>
      <c r="GD6">
        <v>150.679304955069</v>
      </c>
      <c r="GE6">
        <v>-12.750005820858201</v>
      </c>
      <c r="GF6">
        <v>128.19287261850201</v>
      </c>
      <c r="GG6">
        <v>102.43411067120699</v>
      </c>
      <c r="GH6">
        <v>-18.984624532598001</v>
      </c>
      <c r="GI6">
        <v>195.75819198462</v>
      </c>
      <c r="GJ6">
        <v>163.402214312761</v>
      </c>
      <c r="GK6">
        <v>-12.8200602043665</v>
      </c>
      <c r="GL6">
        <v>121.87002844556901</v>
      </c>
      <c r="GM6">
        <v>99.204909813713698</v>
      </c>
      <c r="GN6">
        <v>-40.458272251697601</v>
      </c>
      <c r="GO6">
        <v>19.293535149865399</v>
      </c>
      <c r="GP6">
        <v>18.904140697017699</v>
      </c>
      <c r="GQ6">
        <v>19.618894753051698</v>
      </c>
      <c r="GR6">
        <v>91.737314122158693</v>
      </c>
      <c r="GS6">
        <v>671.827281258281</v>
      </c>
      <c r="GT6">
        <v>-26.371890459231501</v>
      </c>
      <c r="GU6">
        <v>19.215824598988299</v>
      </c>
      <c r="GV6">
        <v>18.8142859726183</v>
      </c>
      <c r="GW6">
        <v>12.2312490498093</v>
      </c>
      <c r="GX6">
        <v>60.463366815739199</v>
      </c>
      <c r="GY6">
        <v>441.58104044318401</v>
      </c>
      <c r="GZ6">
        <v>-40.5902818529919</v>
      </c>
      <c r="HA6">
        <v>19.3934652102634</v>
      </c>
      <c r="HB6">
        <v>19.000895601548098</v>
      </c>
      <c r="HC6">
        <v>20.111649485956299</v>
      </c>
      <c r="HD6">
        <v>93.703064466811497</v>
      </c>
      <c r="HE6">
        <v>686.48055417643195</v>
      </c>
      <c r="HF6">
        <v>-26.479959814544902</v>
      </c>
      <c r="HG6">
        <v>19.225660953251399</v>
      </c>
      <c r="HH6">
        <v>18.832327567805201</v>
      </c>
      <c r="HI6">
        <v>12.8521044793239</v>
      </c>
      <c r="HJ6">
        <v>60.213346012663102</v>
      </c>
      <c r="HK6">
        <v>437.89294952095401</v>
      </c>
      <c r="HL6">
        <v>-17.7039361820521</v>
      </c>
      <c r="HM6">
        <v>20.0970339312261</v>
      </c>
      <c r="HN6">
        <v>21.246018271480001</v>
      </c>
      <c r="HO6">
        <v>295.92765650448598</v>
      </c>
      <c r="HP6">
        <v>304.829150700159</v>
      </c>
      <c r="HQ6">
        <v>19.420431990218599</v>
      </c>
      <c r="HR6">
        <v>150.91373823635001</v>
      </c>
      <c r="HS6">
        <v>-9.9769375557132296</v>
      </c>
      <c r="HT6">
        <v>20.012488662075199</v>
      </c>
      <c r="HU6">
        <v>21.225378927256099</v>
      </c>
      <c r="HV6">
        <v>190.11157087960501</v>
      </c>
      <c r="HW6">
        <v>210.07949421272801</v>
      </c>
      <c r="HX6">
        <v>19.303457726089501</v>
      </c>
      <c r="HY6">
        <v>104.028898921061</v>
      </c>
      <c r="HZ6">
        <v>20.133043345762999</v>
      </c>
      <c r="IA6">
        <v>21.281283268815301</v>
      </c>
      <c r="IB6">
        <v>294.44279139872202</v>
      </c>
      <c r="IC6">
        <v>-15.534037721029801</v>
      </c>
      <c r="ID6">
        <v>331.83884245216598</v>
      </c>
      <c r="IE6">
        <v>19.523224850318801</v>
      </c>
      <c r="IF6">
        <v>164.512624451459</v>
      </c>
      <c r="IG6">
        <v>16.810593595484399</v>
      </c>
      <c r="IH6">
        <v>20.035577545837899</v>
      </c>
      <c r="II6">
        <v>21.235562605001899</v>
      </c>
      <c r="IJ6">
        <v>186.12784278487001</v>
      </c>
      <c r="IK6">
        <v>17.7249578544074</v>
      </c>
      <c r="IL6">
        <v>-10.756599426223501</v>
      </c>
      <c r="IM6">
        <v>202.61672802389199</v>
      </c>
      <c r="IN6">
        <v>19.3245828024593</v>
      </c>
      <c r="IO6">
        <v>0.85269310151926403</v>
      </c>
      <c r="IP6">
        <v>100.010466898045</v>
      </c>
      <c r="IQ6">
        <v>-232.16073429185599</v>
      </c>
      <c r="IR6">
        <v>-141.37131725988201</v>
      </c>
      <c r="IS6">
        <v>-224.062437786326</v>
      </c>
      <c r="IT6">
        <v>-139.97875083226199</v>
      </c>
      <c r="IU6">
        <v>-779.93582053767705</v>
      </c>
      <c r="IV6">
        <v>-40.170453165279497</v>
      </c>
      <c r="IW6">
        <v>19.626668581993499</v>
      </c>
      <c r="IX6">
        <v>19.420431990218599</v>
      </c>
      <c r="IY6">
        <v>44.222925263396199</v>
      </c>
      <c r="IZ6">
        <v>76.059813831113004</v>
      </c>
      <c r="JA6">
        <v>469.24375375583099</v>
      </c>
      <c r="JB6">
        <v>-26.084869776699101</v>
      </c>
      <c r="JC6">
        <v>19.527983016383399</v>
      </c>
      <c r="JD6">
        <v>19.303457726089501</v>
      </c>
      <c r="JE6">
        <v>27.673197888731298</v>
      </c>
      <c r="JF6">
        <v>50.900146017254499</v>
      </c>
      <c r="JG6">
        <v>317.02599572246697</v>
      </c>
      <c r="JH6">
        <v>-40.339146910240103</v>
      </c>
      <c r="JI6">
        <v>19.725299919519902</v>
      </c>
      <c r="JJ6">
        <v>19.523224850318801</v>
      </c>
      <c r="JK6">
        <v>45.690459498995303</v>
      </c>
      <c r="JL6">
        <v>77.279723027899706</v>
      </c>
      <c r="JM6">
        <v>476.45577563956402</v>
      </c>
      <c r="JN6">
        <v>-26.2179049946558</v>
      </c>
      <c r="JO6">
        <v>19.5354870619304</v>
      </c>
      <c r="JP6">
        <v>19.3245828024593</v>
      </c>
      <c r="JQ6">
        <v>0.93947547400433795</v>
      </c>
      <c r="JR6">
        <v>28.7351055839389</v>
      </c>
      <c r="JS6">
        <v>0.63753346309261205</v>
      </c>
      <c r="JT6">
        <v>50.282538225363297</v>
      </c>
      <c r="JU6">
        <v>309.82094847037098</v>
      </c>
      <c r="JV6">
        <v>-16.5438048325897</v>
      </c>
      <c r="JW6">
        <v>354.29230106458101</v>
      </c>
      <c r="JX6">
        <v>-29.660560821957802</v>
      </c>
      <c r="JY6">
        <v>-11.888688900743301</v>
      </c>
      <c r="JZ6">
        <v>239.10912305523999</v>
      </c>
      <c r="KA6">
        <v>-18.7453920830275</v>
      </c>
      <c r="KB6">
        <v>-17.5355898026034</v>
      </c>
      <c r="KC6">
        <v>381.04973268286801</v>
      </c>
      <c r="KD6">
        <v>-28.389469235597701</v>
      </c>
      <c r="KE6">
        <v>-11.879292741909101</v>
      </c>
      <c r="KF6">
        <v>15.1623305402999</v>
      </c>
      <c r="KG6">
        <v>-106.749858937798</v>
      </c>
      <c r="KH6">
        <v>1.7130455335373</v>
      </c>
      <c r="KI6">
        <v>230.762253456503</v>
      </c>
      <c r="KJ6">
        <v>-18.7332973427282</v>
      </c>
      <c r="KK6">
        <v>-3.8737884595832401</v>
      </c>
      <c r="KL6">
        <v>15.267324154102401</v>
      </c>
      <c r="KM6">
        <v>16.5312945789404</v>
      </c>
      <c r="KN6">
        <v>441.29430219390201</v>
      </c>
      <c r="KO6">
        <v>14.371739802115201</v>
      </c>
      <c r="KP6">
        <v>2.1576143598212298</v>
      </c>
      <c r="KQ6">
        <v>39.684358796058</v>
      </c>
      <c r="KR6">
        <v>-751.14664386995105</v>
      </c>
      <c r="KS6">
        <v>-2.3527800471229199</v>
      </c>
      <c r="KT6">
        <v>15.168657405480101</v>
      </c>
      <c r="KU6">
        <v>16.428800941978299</v>
      </c>
      <c r="KV6">
        <v>278.34318496273102</v>
      </c>
      <c r="KW6">
        <v>14.273276751492199</v>
      </c>
      <c r="KX6">
        <v>2.1910956259358798</v>
      </c>
      <c r="KY6">
        <v>24.601245058898801</v>
      </c>
      <c r="KZ6">
        <v>-471.01376798036898</v>
      </c>
      <c r="LA6">
        <v>-3.8185606768186999</v>
      </c>
      <c r="LB6">
        <v>15.3542770895075</v>
      </c>
      <c r="LC6">
        <v>16.6369457104927</v>
      </c>
      <c r="LD6">
        <v>447.27724522357101</v>
      </c>
      <c r="LE6">
        <v>14.44955974817</v>
      </c>
      <c r="LF6">
        <v>2.1600453352994999</v>
      </c>
      <c r="LG6">
        <v>40.214781059833697</v>
      </c>
      <c r="LH6">
        <v>-755.98787091710994</v>
      </c>
      <c r="LI6">
        <v>-2.4833575300198798</v>
      </c>
      <c r="LJ6">
        <v>15.189532649940601</v>
      </c>
      <c r="LK6">
        <v>16.450790099185301</v>
      </c>
      <c r="LL6">
        <v>279.330666580772</v>
      </c>
      <c r="LM6">
        <v>14.297954152441701</v>
      </c>
      <c r="LN6">
        <v>2.3334263863321301</v>
      </c>
      <c r="LO6">
        <v>25.299033100607701</v>
      </c>
      <c r="LP6">
        <v>-466.97356425411903</v>
      </c>
      <c r="LQ6">
        <v>-27.5557018678258</v>
      </c>
      <c r="LR6">
        <v>18.577720582711699</v>
      </c>
      <c r="LS6">
        <v>16.440999999999999</v>
      </c>
      <c r="LT6">
        <v>19.917723843837798</v>
      </c>
      <c r="LU6">
        <v>56.5762738646754</v>
      </c>
      <c r="LV6">
        <v>18.589809146802299</v>
      </c>
      <c r="LW6">
        <v>18.617525948070199</v>
      </c>
      <c r="LX6">
        <v>24.450374137558502</v>
      </c>
      <c r="LY6">
        <v>-18.224198928868901</v>
      </c>
      <c r="LZ6">
        <v>18.563523475352898</v>
      </c>
      <c r="MA6">
        <v>16.440999999999999</v>
      </c>
      <c r="MB6">
        <v>16.1893683343432</v>
      </c>
      <c r="MC6">
        <v>56.439328230803298</v>
      </c>
      <c r="MD6">
        <v>18.550484099113898</v>
      </c>
      <c r="ME6">
        <v>18.5374031222001</v>
      </c>
      <c r="MF6">
        <v>13.084459792739301</v>
      </c>
      <c r="MG6">
        <v>-27.629974343457899</v>
      </c>
      <c r="MH6">
        <v>18.6171111348078</v>
      </c>
      <c r="MI6">
        <v>16.440999999999999</v>
      </c>
      <c r="MJ6">
        <v>16.825115719327599</v>
      </c>
      <c r="MK6">
        <v>37.490309505732199</v>
      </c>
      <c r="ML6">
        <v>18.646663418968</v>
      </c>
      <c r="MM6">
        <v>18.6991947652932</v>
      </c>
      <c r="MN6">
        <v>27.9058502445756</v>
      </c>
      <c r="MO6">
        <v>-18.280050212518301</v>
      </c>
      <c r="MP6">
        <v>18.553461247688301</v>
      </c>
      <c r="MQ6">
        <v>16.440999999999999</v>
      </c>
      <c r="MR6">
        <v>15.560052304807</v>
      </c>
      <c r="MS6">
        <v>51.537848581644397</v>
      </c>
      <c r="MT6">
        <v>18.547378914264101</v>
      </c>
      <c r="MU6">
        <v>18.553005734777301</v>
      </c>
      <c r="MV6">
        <v>14.1117400039959</v>
      </c>
      <c r="MW6">
        <v>-28.854711305075998</v>
      </c>
      <c r="MX6">
        <v>20.120211605993902</v>
      </c>
      <c r="MY6">
        <v>19.809042041552701</v>
      </c>
      <c r="MZ6">
        <v>76.534085455486704</v>
      </c>
      <c r="NA6">
        <v>363.313013950494</v>
      </c>
      <c r="NB6">
        <v>19.871709440880899</v>
      </c>
      <c r="NC6">
        <v>19.431987900911601</v>
      </c>
      <c r="ND6">
        <v>-16.642689159767901</v>
      </c>
      <c r="NE6">
        <v>-18.987855702590299</v>
      </c>
      <c r="NF6">
        <v>20.0614018746972</v>
      </c>
      <c r="NG6">
        <v>19.7509043807468</v>
      </c>
      <c r="NH6">
        <v>51.616527536408498</v>
      </c>
      <c r="NI6">
        <v>246.91675355973601</v>
      </c>
      <c r="NJ6">
        <v>19.7927822208637</v>
      </c>
      <c r="NK6">
        <v>19.315538862331099</v>
      </c>
      <c r="NL6">
        <v>-12.3466132110853</v>
      </c>
      <c r="NM6">
        <v>-29.051921794689999</v>
      </c>
      <c r="NN6">
        <v>20.2346316880027</v>
      </c>
      <c r="NO6">
        <v>19.916905141327199</v>
      </c>
      <c r="NP6">
        <v>77.799706616988402</v>
      </c>
      <c r="NQ6">
        <v>371.31395647589397</v>
      </c>
      <c r="NR6">
        <v>19.982149801625201</v>
      </c>
      <c r="NS6">
        <v>19.534517814874</v>
      </c>
      <c r="NT6">
        <v>-16.8692787044575</v>
      </c>
      <c r="NU6">
        <v>-19.056956064447501</v>
      </c>
      <c r="NV6" s="35">
        <v>20.062955815845701</v>
      </c>
      <c r="NW6" s="35">
        <v>19.754219920615199</v>
      </c>
      <c r="NX6">
        <v>1.7</v>
      </c>
      <c r="NY6">
        <v>51.408027261357603</v>
      </c>
      <c r="NZ6">
        <v>244.176386901981</v>
      </c>
      <c r="OA6">
        <v>19.798699740703501</v>
      </c>
      <c r="OB6" s="35">
        <v>19.338644131642301</v>
      </c>
      <c r="OC6">
        <v>1.7</v>
      </c>
      <c r="OD6">
        <v>-11.516067407385799</v>
      </c>
      <c r="OE6">
        <v>1.7</v>
      </c>
      <c r="OF6">
        <v>1.7</v>
      </c>
      <c r="OG6">
        <v>-26.649465742142102</v>
      </c>
      <c r="OH6">
        <v>19.654326497112699</v>
      </c>
      <c r="OI6">
        <v>19.958299808093699</v>
      </c>
      <c r="OJ6">
        <v>150.74354360349301</v>
      </c>
      <c r="OK6">
        <v>837.982154301077</v>
      </c>
      <c r="OL6">
        <v>18.987409475229398</v>
      </c>
      <c r="OM6">
        <v>17.817467163153999</v>
      </c>
      <c r="ON6">
        <v>-99.319376398985796</v>
      </c>
      <c r="OO6">
        <v>-17.497988519371599</v>
      </c>
      <c r="OP6">
        <v>19.590986367724199</v>
      </c>
      <c r="OQ6">
        <v>19.884190247697301</v>
      </c>
      <c r="OR6">
        <v>98.443012748197305</v>
      </c>
      <c r="OS6">
        <v>545.57260251494699</v>
      </c>
      <c r="OT6">
        <v>18.9063456163267</v>
      </c>
      <c r="OU6">
        <v>17.702727533090101</v>
      </c>
      <c r="OV6">
        <v>-64.582187076753399</v>
      </c>
      <c r="OW6">
        <v>-26.832183847784499</v>
      </c>
      <c r="OX6">
        <v>19.755881354099099</v>
      </c>
      <c r="OY6">
        <v>20.058148875710501</v>
      </c>
      <c r="OZ6">
        <v>151.64400009865801</v>
      </c>
      <c r="PA6">
        <v>843.21343783704003</v>
      </c>
      <c r="PB6">
        <v>19.087555195135401</v>
      </c>
      <c r="PC6">
        <v>17.915782614513201</v>
      </c>
      <c r="PD6">
        <v>-98.9472808864504</v>
      </c>
      <c r="PE6">
        <v>-17.567269473862801</v>
      </c>
      <c r="PF6">
        <v>19.5818423737845</v>
      </c>
      <c r="PG6">
        <v>19.880177232422199</v>
      </c>
      <c r="PH6">
        <v>1.7</v>
      </c>
      <c r="PI6">
        <v>98.022662816570403</v>
      </c>
      <c r="PJ6">
        <v>541.26289303910801</v>
      </c>
      <c r="PK6">
        <v>18.9035320983864</v>
      </c>
      <c r="PL6">
        <v>17.721048668974799</v>
      </c>
      <c r="PM6">
        <v>1.7</v>
      </c>
      <c r="PN6">
        <v>-63.495137525281201</v>
      </c>
      <c r="PO6">
        <v>18.684268923297299</v>
      </c>
      <c r="PP6">
        <v>18.577647461235301</v>
      </c>
      <c r="PQ6">
        <v>18.7428922917675</v>
      </c>
      <c r="PR6">
        <v>18.598099239380399</v>
      </c>
      <c r="PS6">
        <v>20.688480870724799</v>
      </c>
      <c r="PT6">
        <v>19.332232238929102</v>
      </c>
      <c r="PU6">
        <v>19.1893885664396</v>
      </c>
      <c r="PV6">
        <v>19.395382925937302</v>
      </c>
      <c r="PW6">
        <v>19.215805391498701</v>
      </c>
      <c r="PX6">
        <v>22.023356114398201</v>
      </c>
      <c r="PY6">
        <v>17.340489508927199</v>
      </c>
      <c r="PZ6">
        <v>17.2185133292359</v>
      </c>
      <c r="QA6">
        <v>17.409433857934399</v>
      </c>
      <c r="QB6">
        <v>17.2415455396774</v>
      </c>
      <c r="QC6">
        <v>20.423832434574901</v>
      </c>
      <c r="QD6">
        <v>21.040218776544599</v>
      </c>
      <c r="QE6">
        <v>18.138565110556499</v>
      </c>
      <c r="QF6">
        <v>18.005437798422498</v>
      </c>
      <c r="QG6">
        <v>18.183782105072702</v>
      </c>
      <c r="QH6">
        <v>18.042959363529299</v>
      </c>
      <c r="QI6">
        <v>20.991847349403699</v>
      </c>
      <c r="QJ6">
        <v>18.690657371649699</v>
      </c>
      <c r="QK6">
        <v>18.520258156968801</v>
      </c>
      <c r="QL6">
        <v>18.738866155140499</v>
      </c>
      <c r="QM6">
        <v>18.566791366175401</v>
      </c>
      <c r="QN6">
        <v>596.03912475899199</v>
      </c>
      <c r="QO6">
        <v>22.307406610996999</v>
      </c>
      <c r="QP6">
        <v>-2131.1343524741901</v>
      </c>
      <c r="QQ6">
        <v>16.867307381515801</v>
      </c>
      <c r="QR6">
        <v>16.709873562975002</v>
      </c>
      <c r="QS6">
        <v>16.913256891044998</v>
      </c>
      <c r="QT6">
        <v>16.7539652532651</v>
      </c>
      <c r="QU6">
        <v>20.643456825149599</v>
      </c>
      <c r="QV6">
        <v>21.0459700527399</v>
      </c>
      <c r="QW6">
        <v>1483632.9625096701</v>
      </c>
      <c r="QX6">
        <v>0</v>
      </c>
      <c r="QY6">
        <v>965555.23026283504</v>
      </c>
      <c r="QZ6">
        <v>0</v>
      </c>
      <c r="RA6">
        <v>228396.22789759299</v>
      </c>
      <c r="RB6">
        <v>0</v>
      </c>
      <c r="RC6">
        <v>149905.374060745</v>
      </c>
      <c r="RD6">
        <v>0</v>
      </c>
      <c r="RE6">
        <v>506138.32685337099</v>
      </c>
      <c r="RF6">
        <v>0</v>
      </c>
      <c r="RG6">
        <v>330846.92645074503</v>
      </c>
      <c r="RH6" s="35">
        <v>0</v>
      </c>
      <c r="RI6">
        <v>0</v>
      </c>
      <c r="RJ6" s="35">
        <v>0</v>
      </c>
      <c r="RK6">
        <v>17.592861297815698</v>
      </c>
      <c r="RL6">
        <v>1150.8950986641801</v>
      </c>
      <c r="RM6">
        <v>1150.8950986641801</v>
      </c>
      <c r="RN6">
        <v>13965.8542197183</v>
      </c>
      <c r="RO6" s="35">
        <v>0</v>
      </c>
      <c r="RP6">
        <v>0</v>
      </c>
      <c r="RQ6">
        <v>17.433228135609699</v>
      </c>
      <c r="RR6">
        <v>888.93596371651404</v>
      </c>
      <c r="RS6">
        <v>888.93596371651404</v>
      </c>
      <c r="RT6">
        <v>9037.4735710106906</v>
      </c>
      <c r="RU6">
        <v>0</v>
      </c>
      <c r="RV6">
        <v>0</v>
      </c>
      <c r="RW6">
        <v>17.624671918377999</v>
      </c>
      <c r="RX6">
        <v>1102.5198294629299</v>
      </c>
      <c r="RY6">
        <v>1102.5198294629299</v>
      </c>
      <c r="RZ6">
        <v>13916.0866065878</v>
      </c>
      <c r="SA6">
        <v>0</v>
      </c>
      <c r="SB6">
        <v>0</v>
      </c>
      <c r="SC6">
        <v>17.487819487678198</v>
      </c>
      <c r="SD6">
        <v>834.83443051658605</v>
      </c>
      <c r="SE6">
        <v>834.83443051658605</v>
      </c>
      <c r="SF6">
        <v>8981.8134208777901</v>
      </c>
      <c r="SG6">
        <v>0</v>
      </c>
      <c r="SH6">
        <v>0</v>
      </c>
      <c r="SI6">
        <v>21.295213828082598</v>
      </c>
      <c r="SJ6">
        <v>0</v>
      </c>
      <c r="SK6">
        <v>-22868.670675027501</v>
      </c>
      <c r="SL6">
        <v>41450.229322022198</v>
      </c>
      <c r="SM6">
        <v>18.333300000000001</v>
      </c>
      <c r="SN6">
        <v>26.666699999999999</v>
      </c>
      <c r="SO6">
        <v>0</v>
      </c>
      <c r="SP6">
        <v>0</v>
      </c>
      <c r="SQ6">
        <v>19.161790712597799</v>
      </c>
      <c r="SR6">
        <v>0</v>
      </c>
      <c r="SS6">
        <v>0</v>
      </c>
      <c r="ST6">
        <v>0</v>
      </c>
      <c r="SU6">
        <v>0</v>
      </c>
      <c r="SV6">
        <v>0</v>
      </c>
      <c r="SW6">
        <v>19.084989904348301</v>
      </c>
      <c r="SX6">
        <v>0</v>
      </c>
      <c r="SY6">
        <v>0</v>
      </c>
      <c r="SZ6">
        <v>0</v>
      </c>
      <c r="TA6">
        <v>0</v>
      </c>
      <c r="TB6">
        <v>0</v>
      </c>
      <c r="TC6">
        <v>19.259134565063899</v>
      </c>
      <c r="TD6">
        <v>0</v>
      </c>
      <c r="TE6">
        <v>0</v>
      </c>
      <c r="TF6">
        <v>0</v>
      </c>
      <c r="TG6">
        <v>0</v>
      </c>
      <c r="TH6">
        <v>0</v>
      </c>
      <c r="TI6">
        <v>19.090716152330099</v>
      </c>
      <c r="TJ6">
        <v>0</v>
      </c>
      <c r="TK6">
        <v>0</v>
      </c>
      <c r="TL6">
        <v>0</v>
      </c>
      <c r="TM6">
        <v>0</v>
      </c>
      <c r="TN6">
        <v>0</v>
      </c>
      <c r="TO6">
        <v>20.810148331303498</v>
      </c>
      <c r="TP6">
        <v>0</v>
      </c>
      <c r="TQ6">
        <v>0</v>
      </c>
      <c r="TR6">
        <v>0</v>
      </c>
      <c r="TS6">
        <v>0</v>
      </c>
      <c r="TT6">
        <v>0</v>
      </c>
      <c r="TU6">
        <v>18.0490825043703</v>
      </c>
      <c r="TV6">
        <v>456.48160629849002</v>
      </c>
      <c r="TW6">
        <v>456.48160629849002</v>
      </c>
      <c r="TX6">
        <v>13306.295195776</v>
      </c>
      <c r="TY6">
        <v>0</v>
      </c>
      <c r="TZ6">
        <v>0</v>
      </c>
      <c r="UA6">
        <v>17.851127747498001</v>
      </c>
      <c r="UB6">
        <v>485.64348806950699</v>
      </c>
      <c r="UC6">
        <v>485.64348806950699</v>
      </c>
      <c r="UD6">
        <v>8659.0980564788206</v>
      </c>
      <c r="UE6">
        <v>0</v>
      </c>
      <c r="UF6">
        <v>0</v>
      </c>
      <c r="UG6">
        <v>18.082349384343701</v>
      </c>
      <c r="UH6">
        <v>405.854747735768</v>
      </c>
      <c r="UI6">
        <v>405.854747735768</v>
      </c>
      <c r="UJ6">
        <v>13254.267722033899</v>
      </c>
      <c r="UK6">
        <v>0</v>
      </c>
      <c r="UL6">
        <v>0</v>
      </c>
      <c r="UM6">
        <v>17.917777340852101</v>
      </c>
      <c r="UN6">
        <v>419.21191719201698</v>
      </c>
      <c r="UO6">
        <v>419.21191719201698</v>
      </c>
      <c r="UP6">
        <v>8590.8623937757293</v>
      </c>
      <c r="UQ6">
        <v>0</v>
      </c>
      <c r="UR6">
        <v>0</v>
      </c>
      <c r="US6">
        <v>22.591457107595801</v>
      </c>
      <c r="UT6">
        <v>0</v>
      </c>
      <c r="UU6">
        <v>-32708.504692125302</v>
      </c>
      <c r="UV6">
        <v>31333.223404592802</v>
      </c>
      <c r="UW6">
        <v>18.333300000000001</v>
      </c>
      <c r="UX6">
        <v>26.666699999999999</v>
      </c>
      <c r="UY6">
        <v>0</v>
      </c>
      <c r="UZ6">
        <v>0</v>
      </c>
      <c r="VA6">
        <v>19.3917964731803</v>
      </c>
      <c r="VB6">
        <v>0</v>
      </c>
      <c r="VC6">
        <v>0</v>
      </c>
      <c r="VD6">
        <v>0</v>
      </c>
      <c r="VE6">
        <v>0</v>
      </c>
      <c r="VF6">
        <v>0</v>
      </c>
      <c r="VG6">
        <v>19.294808310064699</v>
      </c>
      <c r="VH6">
        <v>0</v>
      </c>
      <c r="VI6">
        <v>0</v>
      </c>
      <c r="VJ6">
        <v>0</v>
      </c>
      <c r="VK6">
        <v>0</v>
      </c>
      <c r="VL6">
        <v>0</v>
      </c>
      <c r="VM6">
        <v>19.484826016534601</v>
      </c>
      <c r="VN6">
        <v>0</v>
      </c>
      <c r="VO6">
        <v>0</v>
      </c>
      <c r="VP6">
        <v>0</v>
      </c>
      <c r="VQ6">
        <v>0</v>
      </c>
      <c r="VR6">
        <v>0</v>
      </c>
      <c r="VS6">
        <v>19.296614631491899</v>
      </c>
      <c r="VT6">
        <v>0</v>
      </c>
      <c r="VU6">
        <v>0</v>
      </c>
      <c r="VV6">
        <v>0</v>
      </c>
      <c r="VW6">
        <v>0</v>
      </c>
      <c r="VX6">
        <v>0</v>
      </c>
      <c r="VY6">
        <v>21.618400134239302</v>
      </c>
      <c r="VZ6">
        <v>0</v>
      </c>
      <c r="WA6">
        <v>0</v>
      </c>
      <c r="WB6">
        <v>0</v>
      </c>
      <c r="WC6">
        <v>0</v>
      </c>
      <c r="WD6">
        <v>0</v>
      </c>
      <c r="WE6">
        <v>16.394125254104502</v>
      </c>
      <c r="WF6">
        <v>3039.3603453987198</v>
      </c>
      <c r="WG6">
        <v>3039.3603453987198</v>
      </c>
      <c r="WH6">
        <v>15986.172288649999</v>
      </c>
      <c r="WI6">
        <v>0</v>
      </c>
      <c r="WJ6">
        <v>0</v>
      </c>
      <c r="WK6">
        <v>0</v>
      </c>
      <c r="WL6">
        <v>16.201233796714099</v>
      </c>
      <c r="WM6">
        <v>2125.71494219023</v>
      </c>
      <c r="WN6">
        <v>2125.71494219023</v>
      </c>
      <c r="WO6">
        <v>10361.612438972699</v>
      </c>
      <c r="WP6">
        <v>18.333300000000001</v>
      </c>
      <c r="WQ6">
        <v>26.666699999999999</v>
      </c>
      <c r="WR6">
        <v>0</v>
      </c>
      <c r="WS6">
        <v>0</v>
      </c>
      <c r="WT6">
        <v>16.417079924155701</v>
      </c>
      <c r="WU6">
        <v>3004.6848783631699</v>
      </c>
      <c r="WV6">
        <v>3004.6848783631699</v>
      </c>
      <c r="WW6">
        <v>15950.4831119022</v>
      </c>
      <c r="WX6">
        <v>0</v>
      </c>
      <c r="WY6">
        <v>0</v>
      </c>
      <c r="WZ6">
        <v>0</v>
      </c>
      <c r="XA6">
        <v>16.266384966852701</v>
      </c>
      <c r="XB6">
        <v>2060.26131427569</v>
      </c>
      <c r="XC6">
        <v>2060.26131427569</v>
      </c>
      <c r="XD6">
        <v>10294.363923594299</v>
      </c>
      <c r="XE6">
        <v>0</v>
      </c>
      <c r="XF6">
        <v>0</v>
      </c>
      <c r="XG6">
        <v>20.8630812157243</v>
      </c>
      <c r="XH6">
        <v>0</v>
      </c>
      <c r="XI6">
        <v>-19494.002246890199</v>
      </c>
      <c r="XJ6">
        <v>44895.073515778698</v>
      </c>
      <c r="XK6">
        <v>18.333300000000001</v>
      </c>
      <c r="XL6">
        <v>26.666699999999999</v>
      </c>
      <c r="XM6">
        <v>0</v>
      </c>
      <c r="XN6">
        <v>0</v>
      </c>
      <c r="XO6">
        <v>14.029975072858599</v>
      </c>
      <c r="XP6">
        <v>0</v>
      </c>
      <c r="XQ6">
        <v>0</v>
      </c>
      <c r="XR6">
        <v>0</v>
      </c>
      <c r="XS6">
        <v>0</v>
      </c>
      <c r="XT6">
        <v>0</v>
      </c>
      <c r="XU6">
        <v>13.936489225734</v>
      </c>
      <c r="XV6">
        <v>0</v>
      </c>
      <c r="XW6">
        <v>0</v>
      </c>
      <c r="XX6">
        <v>0</v>
      </c>
      <c r="XY6">
        <v>0</v>
      </c>
      <c r="XZ6">
        <v>0</v>
      </c>
      <c r="YA6">
        <v>14.1045517954012</v>
      </c>
      <c r="YB6">
        <v>0</v>
      </c>
      <c r="YC6">
        <v>0</v>
      </c>
      <c r="YD6">
        <v>0</v>
      </c>
      <c r="YE6">
        <v>0</v>
      </c>
      <c r="YF6">
        <v>0</v>
      </c>
      <c r="YG6">
        <v>13.955011261150201</v>
      </c>
      <c r="YH6">
        <v>0</v>
      </c>
      <c r="YI6">
        <v>0</v>
      </c>
      <c r="YJ6">
        <v>0</v>
      </c>
      <c r="YK6">
        <v>0</v>
      </c>
      <c r="YL6">
        <v>0</v>
      </c>
      <c r="YM6">
        <v>18.3272049307351</v>
      </c>
      <c r="YN6">
        <v>0</v>
      </c>
      <c r="YO6">
        <v>0</v>
      </c>
      <c r="YP6">
        <v>0</v>
      </c>
      <c r="YQ6">
        <v>0</v>
      </c>
      <c r="YR6">
        <v>0</v>
      </c>
      <c r="YS6">
        <v>18.514988998112301</v>
      </c>
      <c r="YT6">
        <v>0</v>
      </c>
      <c r="YU6">
        <v>0</v>
      </c>
      <c r="YV6">
        <v>0</v>
      </c>
      <c r="YW6">
        <v>0</v>
      </c>
      <c r="YX6">
        <v>0</v>
      </c>
      <c r="YY6">
        <v>18.4852770578232</v>
      </c>
      <c r="YZ6">
        <v>0</v>
      </c>
      <c r="ZA6">
        <v>0</v>
      </c>
      <c r="ZB6">
        <v>0</v>
      </c>
      <c r="ZC6">
        <v>0</v>
      </c>
      <c r="ZD6">
        <v>0</v>
      </c>
      <c r="ZE6">
        <v>18.5624729681392</v>
      </c>
      <c r="ZF6">
        <v>0</v>
      </c>
      <c r="ZG6">
        <v>0</v>
      </c>
      <c r="ZH6">
        <v>0</v>
      </c>
      <c r="ZI6">
        <v>0</v>
      </c>
      <c r="ZJ6">
        <v>0</v>
      </c>
      <c r="ZK6">
        <v>18.4785360258292</v>
      </c>
      <c r="ZL6">
        <v>0</v>
      </c>
      <c r="ZM6">
        <v>0</v>
      </c>
      <c r="ZN6">
        <v>0</v>
      </c>
      <c r="ZO6">
        <v>0</v>
      </c>
      <c r="ZP6">
        <v>0</v>
      </c>
      <c r="ZQ6">
        <v>19.1389251645091</v>
      </c>
      <c r="ZR6">
        <v>0</v>
      </c>
      <c r="ZS6">
        <v>0</v>
      </c>
      <c r="ZT6">
        <v>0</v>
      </c>
      <c r="ZU6">
        <v>0</v>
      </c>
      <c r="ZV6">
        <v>0</v>
      </c>
      <c r="ZW6">
        <v>19.893067519717299</v>
      </c>
      <c r="ZX6">
        <v>0</v>
      </c>
      <c r="ZY6">
        <v>0</v>
      </c>
      <c r="ZZ6">
        <v>0</v>
      </c>
      <c r="AAA6">
        <v>0</v>
      </c>
      <c r="AAB6">
        <v>0</v>
      </c>
      <c r="AAC6">
        <v>19.8201474415749</v>
      </c>
      <c r="AAD6">
        <v>0</v>
      </c>
      <c r="AAE6">
        <v>0</v>
      </c>
      <c r="AAF6">
        <v>0</v>
      </c>
      <c r="AAG6">
        <v>0</v>
      </c>
      <c r="AAH6">
        <v>0</v>
      </c>
      <c r="AAI6">
        <v>20.0034843218905</v>
      </c>
      <c r="AAJ6">
        <v>0</v>
      </c>
      <c r="AAK6">
        <v>0</v>
      </c>
      <c r="AAL6">
        <v>0</v>
      </c>
      <c r="AAM6">
        <v>0</v>
      </c>
      <c r="AAN6">
        <v>0</v>
      </c>
      <c r="AAO6">
        <v>19.823499675341999</v>
      </c>
      <c r="AAP6">
        <v>0</v>
      </c>
      <c r="AAQ6">
        <v>0</v>
      </c>
      <c r="AAR6">
        <v>0</v>
      </c>
      <c r="AAS6">
        <v>0</v>
      </c>
      <c r="AAT6">
        <v>0</v>
      </c>
      <c r="AAU6">
        <v>21.370477091180501</v>
      </c>
      <c r="AAV6">
        <v>0</v>
      </c>
      <c r="AAW6">
        <v>0</v>
      </c>
      <c r="AAX6">
        <v>0</v>
      </c>
      <c r="AAY6">
        <v>0</v>
      </c>
      <c r="AAZ6">
        <v>0</v>
      </c>
      <c r="ABA6">
        <v>19.218077736283099</v>
      </c>
      <c r="ABB6">
        <v>0</v>
      </c>
      <c r="ABC6">
        <v>0</v>
      </c>
      <c r="ABD6">
        <v>0</v>
      </c>
      <c r="ABE6">
        <v>0</v>
      </c>
      <c r="ABF6">
        <v>0</v>
      </c>
      <c r="ABG6">
        <v>19.141610148699499</v>
      </c>
      <c r="ABH6">
        <v>0</v>
      </c>
      <c r="ABI6">
        <v>0</v>
      </c>
      <c r="ABJ6">
        <v>0</v>
      </c>
      <c r="ABK6">
        <v>0</v>
      </c>
      <c r="ABL6">
        <v>0</v>
      </c>
      <c r="ABM6">
        <v>19.316909785778002</v>
      </c>
      <c r="ABN6">
        <v>0</v>
      </c>
      <c r="ABO6">
        <v>0</v>
      </c>
      <c r="ABP6">
        <v>0</v>
      </c>
      <c r="ABQ6">
        <v>0</v>
      </c>
      <c r="ABR6">
        <v>0</v>
      </c>
      <c r="ABS6">
        <v>19.135390888425199</v>
      </c>
      <c r="ABT6">
        <v>0</v>
      </c>
      <c r="ABU6">
        <v>0</v>
      </c>
      <c r="ABV6">
        <v>0</v>
      </c>
      <c r="ABW6">
        <v>0</v>
      </c>
      <c r="ABX6">
        <v>0</v>
      </c>
      <c r="ABY6">
        <v>21.0459700527399</v>
      </c>
      <c r="ABZ6">
        <v>0</v>
      </c>
      <c r="ACA6">
        <v>0</v>
      </c>
      <c r="ACB6">
        <v>0</v>
      </c>
      <c r="ACC6">
        <v>0</v>
      </c>
      <c r="ACD6">
        <v>0</v>
      </c>
      <c r="ACE6">
        <v>0</v>
      </c>
      <c r="ACF6">
        <v>12.220032779007701</v>
      </c>
      <c r="ACG6">
        <v>12.220032779007701</v>
      </c>
      <c r="ACH6">
        <v>0</v>
      </c>
      <c r="ACI6">
        <v>0</v>
      </c>
      <c r="ACJ6">
        <v>0</v>
      </c>
      <c r="ACK6">
        <v>20.868780998713401</v>
      </c>
      <c r="ACL6">
        <v>20.868780998713401</v>
      </c>
      <c r="ACM6">
        <v>0</v>
      </c>
      <c r="ACN6">
        <v>21078.068283184501</v>
      </c>
      <c r="ACP6">
        <v>0</v>
      </c>
      <c r="ACR6">
        <v>21078.068283184501</v>
      </c>
      <c r="ACT6">
        <v>21.295175471015799</v>
      </c>
      <c r="ACU6">
        <v>21.295175471015799</v>
      </c>
      <c r="ACV6">
        <v>0</v>
      </c>
      <c r="ACW6">
        <v>0</v>
      </c>
      <c r="ACX6">
        <v>1</v>
      </c>
      <c r="ACY6">
        <v>22.591474262658899</v>
      </c>
      <c r="ACZ6">
        <v>22.591474262658899</v>
      </c>
      <c r="ADA6">
        <v>0</v>
      </c>
      <c r="ADB6">
        <v>0</v>
      </c>
      <c r="ADC6">
        <v>1</v>
      </c>
      <c r="ADD6">
        <v>20.863143586497198</v>
      </c>
      <c r="ADE6">
        <v>20.863143586497198</v>
      </c>
      <c r="ADF6">
        <v>0</v>
      </c>
      <c r="ADG6">
        <v>0</v>
      </c>
      <c r="ADH6">
        <v>1</v>
      </c>
      <c r="ADI6">
        <v>18.073715528912899</v>
      </c>
      <c r="ADJ6">
        <v>18.073715528912899</v>
      </c>
      <c r="ADK6">
        <v>0</v>
      </c>
      <c r="ADL6">
        <v>0</v>
      </c>
      <c r="ADM6">
        <v>1</v>
      </c>
      <c r="ADN6">
        <v>17.940184832095699</v>
      </c>
      <c r="ADO6">
        <v>17.940184832095699</v>
      </c>
      <c r="ADP6">
        <v>0</v>
      </c>
      <c r="ADQ6">
        <v>0</v>
      </c>
      <c r="ADR6">
        <v>1</v>
      </c>
      <c r="ADS6">
        <v>18.1149390257062</v>
      </c>
      <c r="ADT6">
        <v>18.1149390257062</v>
      </c>
      <c r="ADU6">
        <v>0</v>
      </c>
      <c r="ADV6">
        <v>0</v>
      </c>
      <c r="ADW6">
        <v>1</v>
      </c>
      <c r="ADX6">
        <v>17.978492421968799</v>
      </c>
      <c r="ADY6">
        <v>17.978492421968799</v>
      </c>
      <c r="ADZ6">
        <v>0</v>
      </c>
      <c r="AEA6">
        <v>0</v>
      </c>
      <c r="AEB6">
        <v>1</v>
      </c>
      <c r="AEC6">
        <v>18.596741366121002</v>
      </c>
      <c r="AED6">
        <v>18.596741366121002</v>
      </c>
      <c r="AEE6">
        <v>0</v>
      </c>
      <c r="AEF6">
        <v>0</v>
      </c>
      <c r="AEG6">
        <v>1</v>
      </c>
      <c r="AEH6">
        <v>18.426556477566798</v>
      </c>
      <c r="AEI6">
        <v>18.426556477566798</v>
      </c>
      <c r="AEJ6">
        <v>0</v>
      </c>
      <c r="AEK6">
        <v>0</v>
      </c>
      <c r="AEL6">
        <v>1</v>
      </c>
      <c r="AEM6">
        <v>18.640790292713501</v>
      </c>
      <c r="AEN6">
        <v>18.640790292713501</v>
      </c>
      <c r="AEO6">
        <v>0</v>
      </c>
      <c r="AEP6">
        <v>0</v>
      </c>
      <c r="AEQ6">
        <v>1</v>
      </c>
      <c r="AER6">
        <v>18.4732107580781</v>
      </c>
      <c r="AES6">
        <v>18.4732107580781</v>
      </c>
      <c r="AET6">
        <v>0</v>
      </c>
      <c r="AEU6">
        <v>0</v>
      </c>
      <c r="AEV6">
        <v>1</v>
      </c>
      <c r="AEW6">
        <v>16.849980879487902</v>
      </c>
      <c r="AEX6">
        <v>16.849980879487902</v>
      </c>
      <c r="AEY6">
        <v>0</v>
      </c>
      <c r="AEZ6">
        <v>0</v>
      </c>
      <c r="AFA6">
        <v>1</v>
      </c>
      <c r="AFB6">
        <v>16.6927563403028</v>
      </c>
      <c r="AFC6">
        <v>16.6927563403028</v>
      </c>
      <c r="AFD6">
        <v>0</v>
      </c>
      <c r="AFE6">
        <v>0</v>
      </c>
      <c r="AFF6">
        <v>1</v>
      </c>
      <c r="AFG6">
        <v>16.893711739496201</v>
      </c>
      <c r="AFH6">
        <v>16.893711739496201</v>
      </c>
      <c r="AFI6">
        <v>0</v>
      </c>
      <c r="AFJ6">
        <v>0</v>
      </c>
      <c r="AFK6">
        <v>1</v>
      </c>
      <c r="AFL6">
        <v>16.7357975423505</v>
      </c>
      <c r="AFM6">
        <v>16.7357975423505</v>
      </c>
      <c r="AFN6">
        <v>0</v>
      </c>
      <c r="AFO6">
        <v>0</v>
      </c>
      <c r="AFP6">
        <v>1</v>
      </c>
      <c r="AFQ6">
        <v>-1.8100011943163301</v>
      </c>
      <c r="AFR6">
        <v>-1.8193445270027699</v>
      </c>
      <c r="AFS6">
        <v>-1.8390298092970601</v>
      </c>
      <c r="AFT6">
        <v>-1.8435096514354701</v>
      </c>
      <c r="AFU6">
        <v>-1.70354610515123</v>
      </c>
      <c r="AFV6">
        <v>-1.7141223823073799</v>
      </c>
      <c r="AFW6">
        <v>-1.73920532425373</v>
      </c>
      <c r="AFX6">
        <v>-1.74659581602772</v>
      </c>
      <c r="AFY6">
        <v>-2.0533082775703</v>
      </c>
      <c r="AFZ6">
        <v>-2.0632348568561998</v>
      </c>
      <c r="AGA6">
        <v>-2.0834481332357702</v>
      </c>
      <c r="AGB6">
        <v>-2.08940230250517</v>
      </c>
      <c r="AGC6">
        <v>-1.22307136937768</v>
      </c>
      <c r="AGD6">
        <v>-0.91040379492789902</v>
      </c>
      <c r="AGE6">
        <v>-1.3014666071786201</v>
      </c>
      <c r="AGF6">
        <v>0</v>
      </c>
      <c r="AGG6">
        <v>0</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Z6">
        <v>0</v>
      </c>
      <c r="AIB6">
        <v>0</v>
      </c>
      <c r="AID6">
        <v>0</v>
      </c>
      <c r="AIF6">
        <v>0</v>
      </c>
      <c r="AIH6">
        <v>0</v>
      </c>
      <c r="AIJ6">
        <v>0</v>
      </c>
      <c r="AIL6">
        <v>0</v>
      </c>
      <c r="AIN6">
        <v>0</v>
      </c>
      <c r="AIP6">
        <v>0</v>
      </c>
      <c r="AIR6">
        <v>0</v>
      </c>
      <c r="AIT6">
        <v>0</v>
      </c>
      <c r="AIV6">
        <v>0</v>
      </c>
      <c r="AIX6">
        <v>0</v>
      </c>
      <c r="AIZ6">
        <v>0</v>
      </c>
      <c r="AJB6">
        <v>0</v>
      </c>
      <c r="AJC6">
        <v>0</v>
      </c>
      <c r="AJE6">
        <v>0</v>
      </c>
      <c r="AJH6">
        <v>0</v>
      </c>
      <c r="AJJ6">
        <v>0</v>
      </c>
      <c r="AJK6">
        <v>0</v>
      </c>
      <c r="AJL6">
        <v>0</v>
      </c>
      <c r="AJM6">
        <v>0</v>
      </c>
      <c r="AJN6">
        <v>0</v>
      </c>
      <c r="AJO6">
        <v>0</v>
      </c>
      <c r="AJP6">
        <v>0</v>
      </c>
      <c r="AJQ6">
        <v>0</v>
      </c>
      <c r="AJR6">
        <v>0</v>
      </c>
      <c r="AJS6">
        <v>0</v>
      </c>
      <c r="AJT6">
        <v>0</v>
      </c>
      <c r="AJU6">
        <v>0</v>
      </c>
      <c r="AJV6">
        <v>0</v>
      </c>
      <c r="AJW6">
        <v>0</v>
      </c>
      <c r="AJX6">
        <v>0</v>
      </c>
      <c r="AJY6">
        <v>0</v>
      </c>
      <c r="AJZ6">
        <v>0</v>
      </c>
      <c r="AKA6">
        <v>0</v>
      </c>
      <c r="AKB6">
        <v>0</v>
      </c>
      <c r="AKC6">
        <v>0</v>
      </c>
      <c r="AKD6">
        <v>0</v>
      </c>
      <c r="AKE6">
        <v>70.191915221237295</v>
      </c>
      <c r="AKF6">
        <v>70.191915221237295</v>
      </c>
      <c r="AKG6">
        <v>0</v>
      </c>
      <c r="AKH6">
        <v>0</v>
      </c>
      <c r="AKI6">
        <v>0</v>
      </c>
      <c r="AKJ6">
        <v>0</v>
      </c>
      <c r="AKK6">
        <v>0</v>
      </c>
      <c r="AKL6">
        <v>70.191915221237295</v>
      </c>
      <c r="AKM6">
        <v>70.191915221237295</v>
      </c>
      <c r="AKN6">
        <v>0</v>
      </c>
      <c r="AKO6">
        <v>0</v>
      </c>
      <c r="AKP6">
        <v>0</v>
      </c>
      <c r="AKT6">
        <v>0</v>
      </c>
      <c r="AKX6">
        <v>0</v>
      </c>
      <c r="ALB6">
        <v>20.868780998713401</v>
      </c>
      <c r="ALC6">
        <v>20.868780998713401</v>
      </c>
      <c r="ALD6">
        <v>0</v>
      </c>
      <c r="ALE6">
        <v>0</v>
      </c>
      <c r="ALF6">
        <v>0</v>
      </c>
      <c r="ALH6">
        <v>20.806473061194499</v>
      </c>
      <c r="ALI6">
        <v>6.5512270820395702E-3</v>
      </c>
      <c r="ALJ6">
        <v>0</v>
      </c>
      <c r="ALK6">
        <v>20.806473061194499</v>
      </c>
      <c r="ALL6">
        <v>0</v>
      </c>
      <c r="ALM6">
        <v>0</v>
      </c>
      <c r="ALN6">
        <v>20.806473061194499</v>
      </c>
      <c r="ALO6">
        <v>6.5512270820395702E-3</v>
      </c>
      <c r="ALP6">
        <v>43.230226661432802</v>
      </c>
      <c r="ALQ6">
        <v>0</v>
      </c>
      <c r="ALR6">
        <v>20.806473061194499</v>
      </c>
      <c r="ALS6">
        <v>0</v>
      </c>
      <c r="ALT6">
        <v>20.806473061194499</v>
      </c>
      <c r="ALU6">
        <v>0</v>
      </c>
      <c r="ALV6">
        <v>12.220032779007701</v>
      </c>
      <c r="ALW6">
        <v>9.9999999999999897E-12</v>
      </c>
      <c r="ALX6">
        <v>12.220032779007701</v>
      </c>
      <c r="ALY6">
        <v>9.9999999999999897E-12</v>
      </c>
      <c r="ALZ6">
        <v>0</v>
      </c>
      <c r="AMA6">
        <v>12.220032779007701</v>
      </c>
      <c r="AMB6">
        <v>0</v>
      </c>
      <c r="AMC6">
        <v>12.220032779007701</v>
      </c>
      <c r="AMD6">
        <v>0</v>
      </c>
      <c r="AME6">
        <v>12.220032779007701</v>
      </c>
      <c r="AMF6">
        <v>0</v>
      </c>
      <c r="AMG6">
        <v>0</v>
      </c>
      <c r="AMH6">
        <v>0</v>
      </c>
      <c r="AMI6">
        <v>18.488115240364401</v>
      </c>
      <c r="AMJ6">
        <v>0</v>
      </c>
      <c r="AMK6" s="580">
        <v>19.133331870131499</v>
      </c>
      <c r="AML6">
        <v>0</v>
      </c>
      <c r="AMM6">
        <v>18.495534591959501</v>
      </c>
      <c r="AMN6">
        <v>0</v>
      </c>
      <c r="AMO6">
        <v>18.524600075806902</v>
      </c>
      <c r="AMP6">
        <v>0</v>
      </c>
      <c r="AMQ6">
        <v>18.5722386040533</v>
      </c>
      <c r="AMR6">
        <v>0</v>
      </c>
      <c r="AMS6">
        <v>21.366425611358</v>
      </c>
      <c r="AMT6">
        <v>0</v>
      </c>
      <c r="AMU6">
        <v>19.8446330669607</v>
      </c>
      <c r="AMV6">
        <v>0</v>
      </c>
      <c r="AMW6">
        <v>19.847062626020701</v>
      </c>
      <c r="AMX6">
        <v>0</v>
      </c>
      <c r="AMY6">
        <v>19.916095440574299</v>
      </c>
      <c r="AMZ6">
        <v>0</v>
      </c>
      <c r="ANA6">
        <v>20.027140114922201</v>
      </c>
      <c r="ANB6">
        <v>0</v>
      </c>
      <c r="ANC6">
        <v>21.0501994652153</v>
      </c>
      <c r="AND6">
        <v>0</v>
      </c>
      <c r="ANE6">
        <v>19.177565017588599</v>
      </c>
      <c r="ANF6">
        <v>0</v>
      </c>
      <c r="ANG6">
        <v>19.1701863255369</v>
      </c>
      <c r="ANH6">
        <v>0</v>
      </c>
      <c r="ANI6">
        <v>19.252293939998001</v>
      </c>
      <c r="ANJ6">
        <v>0</v>
      </c>
      <c r="ANK6">
        <v>19.351447282341201</v>
      </c>
      <c r="ANL6">
        <v>0</v>
      </c>
      <c r="ANM6">
        <v>0</v>
      </c>
      <c r="ANN6">
        <v>0</v>
      </c>
      <c r="ANO6">
        <v>0</v>
      </c>
      <c r="ANP6">
        <v>19.133331870131499</v>
      </c>
      <c r="ANQ6">
        <v>18.495534591959501</v>
      </c>
      <c r="ANR6">
        <v>18.488115240364401</v>
      </c>
      <c r="ANS6">
        <v>18.5722386040533</v>
      </c>
      <c r="ANT6">
        <v>18.524600075806902</v>
      </c>
      <c r="ANU6">
        <v>21.366425611358</v>
      </c>
      <c r="ANV6">
        <v>19.8446330669607</v>
      </c>
      <c r="ANW6">
        <v>19.847062626020701</v>
      </c>
      <c r="ANX6">
        <v>20.027140114922201</v>
      </c>
      <c r="ANY6">
        <v>19.916095440574299</v>
      </c>
      <c r="ANZ6">
        <v>21.0501994652153</v>
      </c>
      <c r="AOA6">
        <v>19.177565017588599</v>
      </c>
      <c r="AOB6">
        <v>19.1701863255369</v>
      </c>
      <c r="AOC6">
        <v>19.351447282341201</v>
      </c>
      <c r="AOD6">
        <v>19.252293939998001</v>
      </c>
      <c r="AOE6">
        <v>20.806473061194499</v>
      </c>
      <c r="AOF6">
        <v>0</v>
      </c>
      <c r="AOG6">
        <v>20.802639009827299</v>
      </c>
      <c r="AOH6">
        <v>0</v>
      </c>
    </row>
    <row r="7" spans="1:1074">
      <c r="A7" t="s">
        <v>2942</v>
      </c>
      <c r="B7">
        <v>4.5999999999999996</v>
      </c>
      <c r="D7">
        <v>4.5999999999999996</v>
      </c>
      <c r="F7">
        <v>5</v>
      </c>
      <c r="G7">
        <v>1663629.30079</v>
      </c>
      <c r="H7">
        <v>3430163.5067835101</v>
      </c>
      <c r="I7">
        <v>1056503.79217888</v>
      </c>
      <c r="J7">
        <v>2178358.3343894398</v>
      </c>
      <c r="K7">
        <v>1663629.30079</v>
      </c>
      <c r="L7">
        <v>3430163.5067835101</v>
      </c>
      <c r="M7">
        <v>1056503.79217888</v>
      </c>
      <c r="N7">
        <v>2178358.3343894398</v>
      </c>
      <c r="O7">
        <v>8579660.3749918193</v>
      </c>
      <c r="P7">
        <v>17690021.391735699</v>
      </c>
      <c r="Q7">
        <v>1663629.30079</v>
      </c>
      <c r="R7">
        <v>3430163.5067835101</v>
      </c>
      <c r="S7">
        <v>1056503.79217888</v>
      </c>
      <c r="T7">
        <v>2178358.3343894398</v>
      </c>
      <c r="U7">
        <v>1663629.30079</v>
      </c>
      <c r="V7">
        <v>3430163.5067835101</v>
      </c>
      <c r="W7">
        <v>1056503.79217888</v>
      </c>
      <c r="X7">
        <v>2178358.3343894398</v>
      </c>
      <c r="Y7">
        <v>8579660.3749918193</v>
      </c>
      <c r="Z7">
        <v>17690021.391735699</v>
      </c>
      <c r="AA7">
        <v>1663629.30079</v>
      </c>
      <c r="AB7">
        <v>3430163.5067835101</v>
      </c>
      <c r="AC7">
        <v>1056503.79217888</v>
      </c>
      <c r="AD7">
        <v>2178358.3343894398</v>
      </c>
      <c r="AE7">
        <v>1663629.30079</v>
      </c>
      <c r="AF7">
        <v>3430163.5067835101</v>
      </c>
      <c r="AG7">
        <v>1056503.79217888</v>
      </c>
      <c r="AH7">
        <v>2178358.3343894398</v>
      </c>
      <c r="AI7">
        <v>8579660.3749918193</v>
      </c>
      <c r="AJ7">
        <v>17690021.391735699</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377317.98574618599</v>
      </c>
      <c r="CF7">
        <v>857540.87669587706</v>
      </c>
      <c r="CG7">
        <v>377317.98574618599</v>
      </c>
      <c r="CH7">
        <v>857540.87669587706</v>
      </c>
      <c r="CI7">
        <v>239619.416782838</v>
      </c>
      <c r="CJ7">
        <v>544589.58359735995</v>
      </c>
      <c r="CK7">
        <v>239619.416782838</v>
      </c>
      <c r="CL7">
        <v>544589.58359735995</v>
      </c>
      <c r="CM7">
        <v>377317.98574618599</v>
      </c>
      <c r="CN7">
        <v>857540.87669587706</v>
      </c>
      <c r="CO7">
        <v>377317.98574618599</v>
      </c>
      <c r="CP7">
        <v>857540.87669587706</v>
      </c>
      <c r="CQ7">
        <v>239619.416782838</v>
      </c>
      <c r="CR7">
        <v>544589.58359735995</v>
      </c>
      <c r="CS7">
        <v>239619.416782838</v>
      </c>
      <c r="CT7">
        <v>544589.58359735995</v>
      </c>
      <c r="CU7">
        <v>377317.98574618599</v>
      </c>
      <c r="CV7">
        <v>857540.87669587706</v>
      </c>
      <c r="CW7">
        <v>377317.98574618599</v>
      </c>
      <c r="CX7">
        <v>857540.87669587706</v>
      </c>
      <c r="CY7">
        <v>239619.416782838</v>
      </c>
      <c r="CZ7">
        <v>544589.58359735995</v>
      </c>
      <c r="DA7">
        <v>239619.416782838</v>
      </c>
      <c r="DB7">
        <v>544589.58359735995</v>
      </c>
      <c r="DC7">
        <v>1945902.35309093</v>
      </c>
      <c r="DD7">
        <v>4422505.3479339303</v>
      </c>
      <c r="DE7">
        <v>1945902.35309093</v>
      </c>
      <c r="DF7">
        <v>4422505.3479339303</v>
      </c>
      <c r="DG7">
        <v>1945902.35309093</v>
      </c>
      <c r="DH7">
        <v>4422505.3479339303</v>
      </c>
      <c r="DI7">
        <v>1286311.3150438201</v>
      </c>
      <c r="DJ7">
        <v>2572622.6300876299</v>
      </c>
      <c r="DK7">
        <v>1286311.3150438201</v>
      </c>
      <c r="DL7">
        <v>2572622.6300876299</v>
      </c>
      <c r="DM7">
        <v>816884.37539604004</v>
      </c>
      <c r="DN7">
        <v>1633768.7507920801</v>
      </c>
      <c r="DO7">
        <v>816884.37539603899</v>
      </c>
      <c r="DP7">
        <v>1633768.7507920801</v>
      </c>
      <c r="DQ7">
        <v>1286311.3150438201</v>
      </c>
      <c r="DR7">
        <v>2572622.6300876299</v>
      </c>
      <c r="DS7">
        <v>1286311.3150438201</v>
      </c>
      <c r="DT7">
        <v>2572622.6300876299</v>
      </c>
      <c r="DU7">
        <v>816884.37539604004</v>
      </c>
      <c r="DV7">
        <v>1633768.7507920801</v>
      </c>
      <c r="DW7">
        <v>816884.37539603899</v>
      </c>
      <c r="DX7">
        <v>1633768.7507920801</v>
      </c>
      <c r="DY7">
        <v>1286311.3150438201</v>
      </c>
      <c r="DZ7">
        <v>2572622.6300876299</v>
      </c>
      <c r="EA7">
        <v>1286311.3150438201</v>
      </c>
      <c r="EB7">
        <v>2572622.6300876299</v>
      </c>
      <c r="EC7">
        <v>816884.37539604004</v>
      </c>
      <c r="ED7">
        <v>1633768.7507920801</v>
      </c>
      <c r="EE7">
        <v>816884.37539603899</v>
      </c>
      <c r="EF7">
        <v>1633768.7507920801</v>
      </c>
      <c r="EG7">
        <v>6633758.0219008904</v>
      </c>
      <c r="EH7">
        <v>13267516.043801799</v>
      </c>
      <c r="EI7">
        <v>6633758.0219008904</v>
      </c>
      <c r="EJ7">
        <v>13267516.043801799</v>
      </c>
      <c r="EK7">
        <v>6633758.0219008904</v>
      </c>
      <c r="EL7">
        <v>13267516.043801799</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-17.0242206983913</v>
      </c>
      <c r="GC7">
        <v>169.095144123507</v>
      </c>
      <c r="GD7">
        <v>143.33786055082501</v>
      </c>
      <c r="GE7">
        <v>-12.9810980058458</v>
      </c>
      <c r="GF7">
        <v>121.648669083521</v>
      </c>
      <c r="GG7">
        <v>97.751758977241707</v>
      </c>
      <c r="GH7">
        <v>-18.895649449172801</v>
      </c>
      <c r="GI7">
        <v>185.65319209353601</v>
      </c>
      <c r="GJ7">
        <v>156.05948684989701</v>
      </c>
      <c r="GK7">
        <v>-12.647768499618699</v>
      </c>
      <c r="GL7">
        <v>115.566964360949</v>
      </c>
      <c r="GM7">
        <v>94.536169614580302</v>
      </c>
      <c r="GN7">
        <v>-41.270855682239201</v>
      </c>
      <c r="GO7">
        <v>19.235951457925001</v>
      </c>
      <c r="GP7">
        <v>18.874538359908001</v>
      </c>
      <c r="GQ7">
        <v>19.348936586751702</v>
      </c>
      <c r="GR7">
        <v>86.607589175675301</v>
      </c>
      <c r="GS7">
        <v>638.56817069116596</v>
      </c>
      <c r="GT7">
        <v>-26.900327140738799</v>
      </c>
      <c r="GU7">
        <v>19.154486894734301</v>
      </c>
      <c r="GV7">
        <v>18.781330665388399</v>
      </c>
      <c r="GW7">
        <v>12.037694195349699</v>
      </c>
      <c r="GX7">
        <v>57.0852717497283</v>
      </c>
      <c r="GY7">
        <v>419.99615580418998</v>
      </c>
      <c r="GZ7">
        <v>-41.3517475304822</v>
      </c>
      <c r="HA7">
        <v>19.334424405981501</v>
      </c>
      <c r="HB7">
        <v>18.9703254426996</v>
      </c>
      <c r="HC7">
        <v>19.867161565607699</v>
      </c>
      <c r="HD7">
        <v>88.485984302873106</v>
      </c>
      <c r="HE7">
        <v>652.52512897137603</v>
      </c>
      <c r="HF7">
        <v>-27.009884731583099</v>
      </c>
      <c r="HG7">
        <v>19.165965742125898</v>
      </c>
      <c r="HH7">
        <v>18.801295171790802</v>
      </c>
      <c r="HI7">
        <v>12.668343206344501</v>
      </c>
      <c r="HJ7">
        <v>56.797667736559397</v>
      </c>
      <c r="HK7">
        <v>416.05908326293297</v>
      </c>
      <c r="HL7">
        <v>-18.7292717584494</v>
      </c>
      <c r="HM7">
        <v>20.089267261931301</v>
      </c>
      <c r="HN7">
        <v>21.262797247474399</v>
      </c>
      <c r="HO7">
        <v>297.46198721819098</v>
      </c>
      <c r="HP7">
        <v>289.55338519142299</v>
      </c>
      <c r="HQ7">
        <v>19.371718228883999</v>
      </c>
      <c r="HR7">
        <v>143.530774190036</v>
      </c>
      <c r="HS7">
        <v>-11.049685908422701</v>
      </c>
      <c r="HT7">
        <v>20.001569196611399</v>
      </c>
      <c r="HU7">
        <v>21.240414526473099</v>
      </c>
      <c r="HV7">
        <v>191.13976603240499</v>
      </c>
      <c r="HW7">
        <v>199.85592349295999</v>
      </c>
      <c r="HX7">
        <v>19.250417677418898</v>
      </c>
      <c r="HY7">
        <v>99.167981646849</v>
      </c>
      <c r="HZ7">
        <v>20.1243219460064</v>
      </c>
      <c r="IA7">
        <v>21.2972630900484</v>
      </c>
      <c r="IB7">
        <v>295.912241670078</v>
      </c>
      <c r="IC7">
        <v>-16.965585438941002</v>
      </c>
      <c r="ID7">
        <v>315.88729691215298</v>
      </c>
      <c r="IE7">
        <v>19.473461177486499</v>
      </c>
      <c r="IF7">
        <v>156.89717355899899</v>
      </c>
      <c r="IG7">
        <v>16.473926253397</v>
      </c>
      <c r="IH7">
        <v>20.026995506468101</v>
      </c>
      <c r="II7">
        <v>21.2516220808503</v>
      </c>
      <c r="IJ7">
        <v>186.96370934826399</v>
      </c>
      <c r="IK7">
        <v>17.3744219338462</v>
      </c>
      <c r="IL7">
        <v>-11.6595555765696</v>
      </c>
      <c r="IM7">
        <v>192.576106792416</v>
      </c>
      <c r="IN7">
        <v>19.274560500467</v>
      </c>
      <c r="IO7">
        <v>0.84392267823330203</v>
      </c>
      <c r="IP7">
        <v>95.1214310614141</v>
      </c>
      <c r="IQ7">
        <v>-236.018172295921</v>
      </c>
      <c r="IR7">
        <v>-143.93563583427499</v>
      </c>
      <c r="IS7">
        <v>-228.089282305956</v>
      </c>
      <c r="IT7">
        <v>-142.393456487457</v>
      </c>
      <c r="IU7">
        <v>-803.00178977634096</v>
      </c>
      <c r="IV7">
        <v>-41.034576905121703</v>
      </c>
      <c r="IW7">
        <v>19.550494899124399</v>
      </c>
      <c r="IX7">
        <v>19.371718228883999</v>
      </c>
      <c r="IY7">
        <v>42.993779292864303</v>
      </c>
      <c r="IZ7">
        <v>70.362547194996097</v>
      </c>
      <c r="JA7">
        <v>434.03648873881701</v>
      </c>
      <c r="JB7">
        <v>-26.642613076246398</v>
      </c>
      <c r="JC7">
        <v>19.4475260496191</v>
      </c>
      <c r="JD7">
        <v>19.250417677418898</v>
      </c>
      <c r="JE7">
        <v>26.822523216154</v>
      </c>
      <c r="JF7">
        <v>47.163414175271697</v>
      </c>
      <c r="JG7">
        <v>294.39539620681398</v>
      </c>
      <c r="JH7">
        <v>-41.144915937222898</v>
      </c>
      <c r="JI7">
        <v>19.647936267991899</v>
      </c>
      <c r="JJ7">
        <v>19.473461177486499</v>
      </c>
      <c r="JK7">
        <v>44.4275908224351</v>
      </c>
      <c r="JL7">
        <v>71.548520102931406</v>
      </c>
      <c r="JM7">
        <v>441.047863424789</v>
      </c>
      <c r="JN7">
        <v>-26.7746568655404</v>
      </c>
      <c r="JO7">
        <v>19.4575853896309</v>
      </c>
      <c r="JP7">
        <v>19.274560500467</v>
      </c>
      <c r="JQ7">
        <v>0.92710065802133002</v>
      </c>
      <c r="JR7">
        <v>27.9021967008803</v>
      </c>
      <c r="JS7">
        <v>0.62508220912317702</v>
      </c>
      <c r="JT7">
        <v>46.508384606951402</v>
      </c>
      <c r="JU7">
        <v>286.87561314396203</v>
      </c>
      <c r="JV7">
        <v>-13.446114141756199</v>
      </c>
      <c r="JW7">
        <v>335.13251036415301</v>
      </c>
      <c r="JX7">
        <v>-27.661984910726002</v>
      </c>
      <c r="JY7">
        <v>-12.0044106652003</v>
      </c>
      <c r="JZ7">
        <v>227.09873003038101</v>
      </c>
      <c r="KA7">
        <v>-18.410871718675502</v>
      </c>
      <c r="KB7">
        <v>-17.421236611419001</v>
      </c>
      <c r="KC7">
        <v>362.58614319962197</v>
      </c>
      <c r="KD7">
        <v>-27.7922787765972</v>
      </c>
      <c r="KE7">
        <v>-11.349857205747</v>
      </c>
      <c r="KF7">
        <v>15.106972778941399</v>
      </c>
      <c r="KG7">
        <v>-107.47669151444001</v>
      </c>
      <c r="KH7">
        <v>1.6906880099408099</v>
      </c>
      <c r="KI7">
        <v>218.99989556121201</v>
      </c>
      <c r="KJ7">
        <v>-18.1434877784477</v>
      </c>
      <c r="KK7">
        <v>-5.9642931510252497</v>
      </c>
      <c r="KL7">
        <v>15.223566271374899</v>
      </c>
      <c r="KM7">
        <v>16.473076563667501</v>
      </c>
      <c r="KN7">
        <v>420.06997867919898</v>
      </c>
      <c r="KO7">
        <v>14.328776688170899</v>
      </c>
      <c r="KP7">
        <v>2.1317328003393099</v>
      </c>
      <c r="KQ7">
        <v>33.088534269016399</v>
      </c>
      <c r="KR7">
        <v>-756.26936655676002</v>
      </c>
      <c r="KS7">
        <v>-3.7167875530664398</v>
      </c>
      <c r="KT7">
        <v>15.1204812880544</v>
      </c>
      <c r="KU7">
        <v>16.366774697768701</v>
      </c>
      <c r="KV7">
        <v>265.04012015516298</v>
      </c>
      <c r="KW7">
        <v>14.225680001013099</v>
      </c>
      <c r="KX7">
        <v>2.1642921079080599</v>
      </c>
      <c r="KY7">
        <v>20.467275527554701</v>
      </c>
      <c r="KZ7">
        <v>-474.42984884881599</v>
      </c>
      <c r="LA7">
        <v>-5.8326357030312401</v>
      </c>
      <c r="LB7">
        <v>15.311626570577101</v>
      </c>
      <c r="LC7">
        <v>16.579955582816499</v>
      </c>
      <c r="LD7">
        <v>425.96663508480299</v>
      </c>
      <c r="LE7">
        <v>14.407633793718</v>
      </c>
      <c r="LF7">
        <v>2.1342179430380099</v>
      </c>
      <c r="LG7">
        <v>33.585216058270902</v>
      </c>
      <c r="LH7">
        <v>-761.31789332328401</v>
      </c>
      <c r="LI7">
        <v>-3.8692726836890499</v>
      </c>
      <c r="LJ7">
        <v>15.144986064079999</v>
      </c>
      <c r="LK7">
        <v>16.3921623616544</v>
      </c>
      <c r="LL7">
        <v>265.97405153121701</v>
      </c>
      <c r="LM7">
        <v>14.2540284731952</v>
      </c>
      <c r="LN7">
        <v>2.3044505408268501</v>
      </c>
      <c r="LO7">
        <v>21.1250959687743</v>
      </c>
      <c r="LP7">
        <v>-470.34463508393702</v>
      </c>
      <c r="LQ7">
        <v>-27.6284844875847</v>
      </c>
      <c r="LR7">
        <v>18.541539332388702</v>
      </c>
      <c r="LS7">
        <v>16.440999999999999</v>
      </c>
      <c r="LT7">
        <v>20.049362272568601</v>
      </c>
      <c r="LU7">
        <v>59.670605467569899</v>
      </c>
      <c r="LV7">
        <v>18.549730525428402</v>
      </c>
      <c r="LW7">
        <v>18.594716700229601</v>
      </c>
      <c r="LX7">
        <v>23.120679366911901</v>
      </c>
      <c r="LY7">
        <v>-18.2556220438168</v>
      </c>
      <c r="LZ7">
        <v>18.525890430194099</v>
      </c>
      <c r="MA7">
        <v>16.440999999999999</v>
      </c>
      <c r="MB7">
        <v>16.476876995481799</v>
      </c>
      <c r="MC7">
        <v>59.600208587582699</v>
      </c>
      <c r="MD7">
        <v>18.507287189984101</v>
      </c>
      <c r="ME7">
        <v>18.511226989552299</v>
      </c>
      <c r="MF7">
        <v>12.047112996727</v>
      </c>
      <c r="MG7">
        <v>-27.663084182348399</v>
      </c>
      <c r="MH7">
        <v>18.580875700826599</v>
      </c>
      <c r="MI7">
        <v>16.440999999999999</v>
      </c>
      <c r="MJ7">
        <v>17.128690277253298</v>
      </c>
      <c r="MK7">
        <v>41.556495978988799</v>
      </c>
      <c r="ML7">
        <v>18.605653387320199</v>
      </c>
      <c r="MM7">
        <v>18.675443238310201</v>
      </c>
      <c r="MN7">
        <v>26.4191723495227</v>
      </c>
      <c r="MO7">
        <v>-18.3245248576204</v>
      </c>
      <c r="MP7">
        <v>18.517055509988399</v>
      </c>
      <c r="MQ7">
        <v>16.440999999999999</v>
      </c>
      <c r="MR7">
        <v>15.5770721680782</v>
      </c>
      <c r="MS7">
        <v>53.312018255461901</v>
      </c>
      <c r="MT7">
        <v>18.507285266988401</v>
      </c>
      <c r="MU7">
        <v>18.529550871714299</v>
      </c>
      <c r="MV7">
        <v>13.250602681456</v>
      </c>
      <c r="MW7">
        <v>-28.907799745629699</v>
      </c>
      <c r="MX7">
        <v>20.021694920432999</v>
      </c>
      <c r="MY7">
        <v>19.724942514462999</v>
      </c>
      <c r="MZ7">
        <v>72.827683715462499</v>
      </c>
      <c r="NA7">
        <v>347.40378457748102</v>
      </c>
      <c r="NB7">
        <v>19.783484597314001</v>
      </c>
      <c r="NC7">
        <v>19.381885215922502</v>
      </c>
      <c r="ND7">
        <v>-16.490127975179</v>
      </c>
      <c r="NE7">
        <v>-19.011842674527902</v>
      </c>
      <c r="NF7">
        <v>19.957436946121099</v>
      </c>
      <c r="NG7">
        <v>19.662470643174402</v>
      </c>
      <c r="NH7">
        <v>49.2966985877745</v>
      </c>
      <c r="NI7">
        <v>237.16142940304999</v>
      </c>
      <c r="NJ7">
        <v>19.698529634821199</v>
      </c>
      <c r="NK7">
        <v>19.260523679445502</v>
      </c>
      <c r="NL7">
        <v>-12.3537598090585</v>
      </c>
      <c r="NM7">
        <v>-29.070207704458699</v>
      </c>
      <c r="NN7">
        <v>20.133730857585501</v>
      </c>
      <c r="NO7">
        <v>19.830893910065701</v>
      </c>
      <c r="NP7">
        <v>74.123098800652102</v>
      </c>
      <c r="NQ7">
        <v>355.538389070937</v>
      </c>
      <c r="NR7">
        <v>19.891312300932402</v>
      </c>
      <c r="NS7">
        <v>19.482921598881902</v>
      </c>
      <c r="NT7">
        <v>-16.772605088088099</v>
      </c>
      <c r="NU7">
        <v>-19.086915416545502</v>
      </c>
      <c r="NV7">
        <v>19.961229459120801</v>
      </c>
      <c r="NW7" s="35">
        <v>19.6670237169172</v>
      </c>
      <c r="NX7" s="35">
        <v>1.7</v>
      </c>
      <c r="NY7">
        <v>48.823673902039403</v>
      </c>
      <c r="NZ7" s="35">
        <v>233.036001401297</v>
      </c>
      <c r="OA7">
        <v>19.708557615651898</v>
      </c>
      <c r="OB7" s="35">
        <v>19.287488285772</v>
      </c>
      <c r="OC7" s="35">
        <v>1.7</v>
      </c>
      <c r="OD7">
        <v>-11.3420081546824</v>
      </c>
      <c r="OE7">
        <v>1.7</v>
      </c>
      <c r="OF7">
        <v>1.7</v>
      </c>
      <c r="OG7">
        <v>-26.732975230326598</v>
      </c>
      <c r="OH7">
        <v>19.517903320938199</v>
      </c>
      <c r="OI7">
        <v>19.8544292062785</v>
      </c>
      <c r="OJ7">
        <v>148.637306721518</v>
      </c>
      <c r="OK7">
        <v>829.726980478531</v>
      </c>
      <c r="OL7">
        <v>18.8544654829211</v>
      </c>
      <c r="OM7">
        <v>17.7312400808269</v>
      </c>
      <c r="ON7">
        <v>-100.121080860497</v>
      </c>
      <c r="OO7">
        <v>-17.541640157007901</v>
      </c>
      <c r="OP7">
        <v>19.448549616356399</v>
      </c>
      <c r="OQ7">
        <v>19.775835747128198</v>
      </c>
      <c r="OR7">
        <v>97.195246975011102</v>
      </c>
      <c r="OS7">
        <v>540.83703802348805</v>
      </c>
      <c r="OT7">
        <v>18.766580136439501</v>
      </c>
      <c r="OU7">
        <v>17.611228347845799</v>
      </c>
      <c r="OV7">
        <v>-65.193875365513307</v>
      </c>
      <c r="OW7">
        <v>-26.877822486040898</v>
      </c>
      <c r="OX7">
        <v>19.6182701025228</v>
      </c>
      <c r="OY7">
        <v>19.953073975297599</v>
      </c>
      <c r="OZ7">
        <v>149.53497573707199</v>
      </c>
      <c r="PA7">
        <v>834.89705318288497</v>
      </c>
      <c r="PB7">
        <v>18.953386616176498</v>
      </c>
      <c r="PC7">
        <v>17.8291039124755</v>
      </c>
      <c r="PD7">
        <v>-99.765462850743404</v>
      </c>
      <c r="PE7">
        <v>-17.6175107922442</v>
      </c>
      <c r="PF7">
        <v>19.442455672214301</v>
      </c>
      <c r="PG7">
        <v>19.773828331646701</v>
      </c>
      <c r="PH7">
        <v>1.7</v>
      </c>
      <c r="PI7">
        <v>96.512816707864303</v>
      </c>
      <c r="PJ7">
        <v>535.25644991971001</v>
      </c>
      <c r="PK7">
        <v>18.768560495803602</v>
      </c>
      <c r="PL7">
        <v>17.633653032496198</v>
      </c>
      <c r="PM7">
        <v>1.7</v>
      </c>
      <c r="PN7" s="35">
        <v>-63.953669651850802</v>
      </c>
      <c r="PO7">
        <v>18.662769295684001</v>
      </c>
      <c r="PP7">
        <v>18.553054082466101</v>
      </c>
      <c r="PQ7">
        <v>18.720186251468899</v>
      </c>
      <c r="PR7">
        <v>18.575503655485999</v>
      </c>
      <c r="PS7">
        <v>20.7293841996146</v>
      </c>
      <c r="PT7">
        <v>19.2907458268452</v>
      </c>
      <c r="PU7">
        <v>19.143715890398401</v>
      </c>
      <c r="PV7">
        <v>19.3524526804419</v>
      </c>
      <c r="PW7">
        <v>19.173317479019101</v>
      </c>
      <c r="PX7">
        <v>22.041729039464599</v>
      </c>
      <c r="PY7">
        <v>17.2692975261998</v>
      </c>
      <c r="PZ7">
        <v>17.1432098300658</v>
      </c>
      <c r="QA7">
        <v>17.3382133075798</v>
      </c>
      <c r="QB7">
        <v>17.1695331475396</v>
      </c>
      <c r="QC7">
        <v>20.400980892566199</v>
      </c>
      <c r="QD7" s="35">
        <v>21.023050207076899</v>
      </c>
      <c r="QE7" s="35">
        <v>18.1416372458532</v>
      </c>
      <c r="QF7">
        <v>18.004197313372401</v>
      </c>
      <c r="QG7">
        <v>18.184815001666799</v>
      </c>
      <c r="QH7">
        <v>18.043717541971699</v>
      </c>
      <c r="QI7">
        <v>21.052443179124701</v>
      </c>
      <c r="QJ7">
        <v>18.671069760949699</v>
      </c>
      <c r="QK7">
        <v>18.4961982288876</v>
      </c>
      <c r="QL7">
        <v>18.7178987787075</v>
      </c>
      <c r="QM7">
        <v>18.545728489721998</v>
      </c>
      <c r="QN7">
        <v>553.70803743275997</v>
      </c>
      <c r="QO7">
        <v>22.344976531514298</v>
      </c>
      <c r="QP7">
        <v>-2288.7698666586598</v>
      </c>
      <c r="QQ7">
        <v>16.8253097600894</v>
      </c>
      <c r="QR7">
        <v>16.660192711484498</v>
      </c>
      <c r="QS7">
        <v>16.8675752719397</v>
      </c>
      <c r="QT7">
        <v>16.708171369486202</v>
      </c>
      <c r="QU7">
        <v>20.6398467715469</v>
      </c>
      <c r="QV7">
        <v>21.028848237529001</v>
      </c>
      <c r="QW7">
        <v>1352622.5588994501</v>
      </c>
      <c r="QX7">
        <v>0</v>
      </c>
      <c r="QY7">
        <v>880631.17608147999</v>
      </c>
      <c r="QZ7">
        <v>0</v>
      </c>
      <c r="RA7">
        <v>207645.495921397</v>
      </c>
      <c r="RB7">
        <v>0</v>
      </c>
      <c r="RC7">
        <v>136293.145731867</v>
      </c>
      <c r="RD7">
        <v>0</v>
      </c>
      <c r="RE7">
        <v>460337.05993673601</v>
      </c>
      <c r="RF7">
        <v>0</v>
      </c>
      <c r="RG7">
        <v>301071.01806153299</v>
      </c>
      <c r="RH7" s="35">
        <v>0</v>
      </c>
      <c r="RI7">
        <v>0</v>
      </c>
      <c r="RJ7" s="35">
        <v>0</v>
      </c>
      <c r="RK7" s="35">
        <v>17.6205051960224</v>
      </c>
      <c r="RL7">
        <v>1079.3648421010701</v>
      </c>
      <c r="RM7">
        <v>1079.3648421010701</v>
      </c>
      <c r="RN7">
        <v>13881.8458751002</v>
      </c>
      <c r="RO7" s="35">
        <v>0</v>
      </c>
      <c r="RP7">
        <v>0</v>
      </c>
      <c r="RQ7">
        <v>17.455340544278801</v>
      </c>
      <c r="RR7">
        <v>848.20467194775802</v>
      </c>
      <c r="RS7">
        <v>848.20467194775802</v>
      </c>
      <c r="RT7">
        <v>8988.4443875152592</v>
      </c>
      <c r="RU7">
        <v>0</v>
      </c>
      <c r="RV7">
        <v>0</v>
      </c>
      <c r="RW7" s="35">
        <v>17.649443751864599</v>
      </c>
      <c r="RX7">
        <v>1035.3110885860699</v>
      </c>
      <c r="RY7">
        <v>1035.3110885860699</v>
      </c>
      <c r="RZ7">
        <v>13836.4908572776</v>
      </c>
      <c r="SA7">
        <v>0</v>
      </c>
      <c r="SB7">
        <v>0</v>
      </c>
      <c r="SC7">
        <v>17.511931428457402</v>
      </c>
      <c r="SD7">
        <v>792.50192913913202</v>
      </c>
      <c r="SE7">
        <v>792.50192913913202</v>
      </c>
      <c r="SF7">
        <v>8931.1354326889505</v>
      </c>
      <c r="SG7">
        <v>0</v>
      </c>
      <c r="SH7">
        <v>0</v>
      </c>
      <c r="SI7">
        <v>21.375502158634799</v>
      </c>
      <c r="SJ7">
        <v>0</v>
      </c>
      <c r="SK7">
        <v>-23578.560475226899</v>
      </c>
      <c r="SL7">
        <v>40746.447136289396</v>
      </c>
      <c r="SM7">
        <v>18.333300000000001</v>
      </c>
      <c r="SN7">
        <v>26.666699999999999</v>
      </c>
      <c r="SO7">
        <v>0</v>
      </c>
      <c r="SP7">
        <v>0</v>
      </c>
      <c r="SQ7">
        <v>19.110380756000399</v>
      </c>
      <c r="SR7">
        <v>0</v>
      </c>
      <c r="SS7">
        <v>0</v>
      </c>
      <c r="ST7">
        <v>0</v>
      </c>
      <c r="SU7">
        <v>0</v>
      </c>
      <c r="SV7">
        <v>0</v>
      </c>
      <c r="SW7">
        <v>19.030123362772802</v>
      </c>
      <c r="SX7">
        <v>0</v>
      </c>
      <c r="SY7">
        <v>0</v>
      </c>
      <c r="SZ7">
        <v>0</v>
      </c>
      <c r="TA7">
        <v>0</v>
      </c>
      <c r="TB7">
        <v>0</v>
      </c>
      <c r="TC7">
        <v>19.206225887191501</v>
      </c>
      <c r="TD7">
        <v>0</v>
      </c>
      <c r="TE7">
        <v>0</v>
      </c>
      <c r="TF7">
        <v>0</v>
      </c>
      <c r="TG7">
        <v>0</v>
      </c>
      <c r="TH7">
        <v>0</v>
      </c>
      <c r="TI7">
        <v>19.0372865463228</v>
      </c>
      <c r="TJ7">
        <v>0</v>
      </c>
      <c r="TK7">
        <v>0</v>
      </c>
      <c r="TL7">
        <v>0</v>
      </c>
      <c r="TM7">
        <v>0</v>
      </c>
      <c r="TN7">
        <v>0</v>
      </c>
      <c r="TO7">
        <v>20.830607029648402</v>
      </c>
      <c r="TP7">
        <v>0</v>
      </c>
      <c r="TQ7">
        <v>0</v>
      </c>
      <c r="TR7">
        <v>0</v>
      </c>
      <c r="TS7">
        <v>0</v>
      </c>
      <c r="TT7">
        <v>0</v>
      </c>
      <c r="TU7">
        <v>18.051393695054099</v>
      </c>
      <c r="TV7">
        <v>424.67190586012799</v>
      </c>
      <c r="TW7">
        <v>424.67190586012799</v>
      </c>
      <c r="TX7">
        <v>13258.365631695</v>
      </c>
      <c r="TY7">
        <v>0</v>
      </c>
      <c r="TZ7">
        <v>0</v>
      </c>
      <c r="UA7">
        <v>17.8486805673768</v>
      </c>
      <c r="UB7">
        <v>469.49358799254998</v>
      </c>
      <c r="UC7">
        <v>469.49358799254998</v>
      </c>
      <c r="UD7">
        <v>8632.1851587866004</v>
      </c>
      <c r="UE7">
        <v>0</v>
      </c>
      <c r="UF7">
        <v>0</v>
      </c>
      <c r="UG7">
        <v>18.083344876973101</v>
      </c>
      <c r="UH7">
        <v>375.99507180001501</v>
      </c>
      <c r="UI7">
        <v>375.99507180001501</v>
      </c>
      <c r="UJ7">
        <v>13208.309917643899</v>
      </c>
      <c r="UK7">
        <v>0</v>
      </c>
      <c r="UL7">
        <v>0</v>
      </c>
      <c r="UM7">
        <v>17.918139500424999</v>
      </c>
      <c r="UN7">
        <v>400.88246011759003</v>
      </c>
      <c r="UO7">
        <v>400.88246011759003</v>
      </c>
      <c r="UP7">
        <v>8561.6778169757108</v>
      </c>
      <c r="UQ7">
        <v>0</v>
      </c>
      <c r="UR7">
        <v>0</v>
      </c>
      <c r="US7">
        <v>22.648224023563898</v>
      </c>
      <c r="UT7">
        <v>0</v>
      </c>
      <c r="UU7">
        <v>-33242.544389409202</v>
      </c>
      <c r="UV7">
        <v>30810.669997470599</v>
      </c>
      <c r="UW7">
        <v>18.333300000000001</v>
      </c>
      <c r="UX7">
        <v>26.666699999999999</v>
      </c>
      <c r="UY7">
        <v>0</v>
      </c>
      <c r="UZ7">
        <v>0</v>
      </c>
      <c r="VA7">
        <v>19.325263530639798</v>
      </c>
      <c r="VB7">
        <v>0</v>
      </c>
      <c r="VC7">
        <v>0</v>
      </c>
      <c r="VD7">
        <v>0</v>
      </c>
      <c r="VE7">
        <v>0</v>
      </c>
      <c r="VF7">
        <v>0</v>
      </c>
      <c r="VG7">
        <v>19.224522760505199</v>
      </c>
      <c r="VH7">
        <v>0</v>
      </c>
      <c r="VI7">
        <v>0</v>
      </c>
      <c r="VJ7">
        <v>0</v>
      </c>
      <c r="VK7">
        <v>0</v>
      </c>
      <c r="VL7">
        <v>0</v>
      </c>
      <c r="VM7">
        <v>19.4172062126183</v>
      </c>
      <c r="VN7">
        <v>0</v>
      </c>
      <c r="VO7">
        <v>0</v>
      </c>
      <c r="VP7">
        <v>0</v>
      </c>
      <c r="VQ7">
        <v>0</v>
      </c>
      <c r="VR7">
        <v>0</v>
      </c>
      <c r="VS7">
        <v>19.2285882578844</v>
      </c>
      <c r="VT7">
        <v>0</v>
      </c>
      <c r="VU7">
        <v>0</v>
      </c>
      <c r="VV7">
        <v>0</v>
      </c>
      <c r="VW7">
        <v>0</v>
      </c>
      <c r="VX7">
        <v>0</v>
      </c>
      <c r="VY7">
        <v>21.614343266073099</v>
      </c>
      <c r="VZ7">
        <v>0</v>
      </c>
      <c r="WA7">
        <v>0</v>
      </c>
      <c r="WB7">
        <v>0</v>
      </c>
      <c r="WC7">
        <v>0</v>
      </c>
      <c r="WD7">
        <v>0</v>
      </c>
      <c r="WE7">
        <v>16.381321993979</v>
      </c>
      <c r="WF7">
        <v>3025.3568164968401</v>
      </c>
      <c r="WG7">
        <v>3025.3568164968401</v>
      </c>
      <c r="WH7">
        <v>15954.555336290599</v>
      </c>
      <c r="WI7">
        <v>0</v>
      </c>
      <c r="WJ7">
        <v>0</v>
      </c>
      <c r="WK7">
        <v>0</v>
      </c>
      <c r="WL7">
        <v>16.1771755929032</v>
      </c>
      <c r="WM7">
        <v>2127.5115544975201</v>
      </c>
      <c r="WN7">
        <v>2127.5115544975201</v>
      </c>
      <c r="WO7">
        <v>10351.7738648586</v>
      </c>
      <c r="WP7">
        <v>18.333300000000001</v>
      </c>
      <c r="WQ7">
        <v>26.666699999999999</v>
      </c>
      <c r="WR7">
        <v>0</v>
      </c>
      <c r="WS7">
        <v>0</v>
      </c>
      <c r="WT7">
        <v>16.3969372362996</v>
      </c>
      <c r="WU7">
        <v>3002.3622757345302</v>
      </c>
      <c r="WV7">
        <v>3002.3622757345302</v>
      </c>
      <c r="WW7">
        <v>15930.8006812688</v>
      </c>
      <c r="WX7">
        <v>0</v>
      </c>
      <c r="WY7">
        <v>0</v>
      </c>
      <c r="WZ7">
        <v>0</v>
      </c>
      <c r="XA7">
        <v>16.2468095914329</v>
      </c>
      <c r="XB7">
        <v>2057.6837231770401</v>
      </c>
      <c r="XC7">
        <v>2057.6837231770401</v>
      </c>
      <c r="XD7">
        <v>10280.0398983422</v>
      </c>
      <c r="XE7">
        <v>0</v>
      </c>
      <c r="XF7">
        <v>0</v>
      </c>
      <c r="XG7">
        <v>20.878712650527699</v>
      </c>
      <c r="XH7">
        <v>0</v>
      </c>
      <c r="XI7">
        <v>-19715.500569491</v>
      </c>
      <c r="XJ7">
        <v>44694.631662899003</v>
      </c>
      <c r="XK7">
        <v>18.333300000000001</v>
      </c>
      <c r="XL7">
        <v>26.666699999999999</v>
      </c>
      <c r="XM7">
        <v>0</v>
      </c>
      <c r="XN7">
        <v>0</v>
      </c>
      <c r="XO7">
        <v>14.0462068019746</v>
      </c>
      <c r="XP7">
        <v>0</v>
      </c>
      <c r="XQ7">
        <v>0</v>
      </c>
      <c r="XR7">
        <v>0</v>
      </c>
      <c r="XS7">
        <v>0</v>
      </c>
      <c r="XT7">
        <v>0</v>
      </c>
      <c r="XU7">
        <v>13.9481409942168</v>
      </c>
      <c r="XV7">
        <v>0</v>
      </c>
      <c r="XW7">
        <v>0</v>
      </c>
      <c r="XX7">
        <v>0</v>
      </c>
      <c r="XY7">
        <v>0</v>
      </c>
      <c r="XZ7">
        <v>0</v>
      </c>
      <c r="YA7">
        <v>14.1221148356402</v>
      </c>
      <c r="YB7">
        <v>0</v>
      </c>
      <c r="YC7">
        <v>0</v>
      </c>
      <c r="YD7">
        <v>0</v>
      </c>
      <c r="YE7">
        <v>0</v>
      </c>
      <c r="YF7">
        <v>0</v>
      </c>
      <c r="YG7">
        <v>13.9700295151664</v>
      </c>
      <c r="YH7">
        <v>0</v>
      </c>
      <c r="YI7">
        <v>0</v>
      </c>
      <c r="YJ7">
        <v>0</v>
      </c>
      <c r="YK7">
        <v>0</v>
      </c>
      <c r="YL7">
        <v>0</v>
      </c>
      <c r="YM7">
        <v>18.283038105161602</v>
      </c>
      <c r="YN7">
        <v>0</v>
      </c>
      <c r="YO7">
        <v>0</v>
      </c>
      <c r="YP7">
        <v>0</v>
      </c>
      <c r="YQ7">
        <v>0</v>
      </c>
      <c r="YR7">
        <v>0</v>
      </c>
      <c r="YS7">
        <v>18.480096989801599</v>
      </c>
      <c r="YT7">
        <v>0</v>
      </c>
      <c r="YU7">
        <v>0</v>
      </c>
      <c r="YV7">
        <v>0</v>
      </c>
      <c r="YW7">
        <v>0</v>
      </c>
      <c r="YX7">
        <v>0</v>
      </c>
      <c r="YY7">
        <v>18.448248858429601</v>
      </c>
      <c r="YZ7">
        <v>0</v>
      </c>
      <c r="ZA7">
        <v>0</v>
      </c>
      <c r="ZB7">
        <v>0</v>
      </c>
      <c r="ZC7">
        <v>0</v>
      </c>
      <c r="ZD7">
        <v>0</v>
      </c>
      <c r="ZE7">
        <v>18.5271369232326</v>
      </c>
      <c r="ZF7">
        <v>0</v>
      </c>
      <c r="ZG7">
        <v>0</v>
      </c>
      <c r="ZH7">
        <v>0</v>
      </c>
      <c r="ZI7">
        <v>0</v>
      </c>
      <c r="ZJ7">
        <v>0</v>
      </c>
      <c r="ZK7">
        <v>18.4436578059757</v>
      </c>
      <c r="ZL7">
        <v>0</v>
      </c>
      <c r="ZM7">
        <v>0</v>
      </c>
      <c r="ZN7">
        <v>0</v>
      </c>
      <c r="ZO7">
        <v>0</v>
      </c>
      <c r="ZP7">
        <v>0</v>
      </c>
      <c r="ZQ7">
        <v>19.159184509241499</v>
      </c>
      <c r="ZR7">
        <v>0</v>
      </c>
      <c r="ZS7">
        <v>0</v>
      </c>
      <c r="ZT7">
        <v>0</v>
      </c>
      <c r="ZU7">
        <v>0</v>
      </c>
      <c r="ZV7">
        <v>0</v>
      </c>
      <c r="ZW7">
        <v>19.807229816822002</v>
      </c>
      <c r="ZX7">
        <v>0</v>
      </c>
      <c r="ZY7">
        <v>0</v>
      </c>
      <c r="ZZ7">
        <v>0</v>
      </c>
      <c r="AAA7">
        <v>0</v>
      </c>
      <c r="AAB7">
        <v>0</v>
      </c>
      <c r="AAC7">
        <v>19.728898851010399</v>
      </c>
      <c r="AAD7">
        <v>0</v>
      </c>
      <c r="AAE7">
        <v>0</v>
      </c>
      <c r="AAF7">
        <v>0</v>
      </c>
      <c r="AAG7">
        <v>0</v>
      </c>
      <c r="AAH7">
        <v>0</v>
      </c>
      <c r="AAI7">
        <v>19.915255122337701</v>
      </c>
      <c r="AAJ7">
        <v>0</v>
      </c>
      <c r="AAK7">
        <v>0</v>
      </c>
      <c r="AAL7">
        <v>0</v>
      </c>
      <c r="AAM7">
        <v>0</v>
      </c>
      <c r="AAN7">
        <v>0</v>
      </c>
      <c r="AAO7">
        <v>19.735395959124901</v>
      </c>
      <c r="AAP7">
        <v>0</v>
      </c>
      <c r="AAQ7">
        <v>0</v>
      </c>
      <c r="AAR7">
        <v>0</v>
      </c>
      <c r="AAS7">
        <v>0</v>
      </c>
      <c r="AAT7">
        <v>0</v>
      </c>
      <c r="AAU7">
        <v>21.3862102010863</v>
      </c>
      <c r="AAV7">
        <v>0</v>
      </c>
      <c r="AAW7">
        <v>0</v>
      </c>
      <c r="AAX7">
        <v>0</v>
      </c>
      <c r="AAY7">
        <v>0</v>
      </c>
      <c r="AAZ7">
        <v>0</v>
      </c>
      <c r="ABA7">
        <v>19.091740357057201</v>
      </c>
      <c r="ABB7">
        <v>0</v>
      </c>
      <c r="ABC7">
        <v>0</v>
      </c>
      <c r="ABD7">
        <v>0</v>
      </c>
      <c r="ABE7">
        <v>0</v>
      </c>
      <c r="ABF7">
        <v>0</v>
      </c>
      <c r="ABG7">
        <v>19.009210176678099</v>
      </c>
      <c r="ABH7">
        <v>0</v>
      </c>
      <c r="ABI7">
        <v>0</v>
      </c>
      <c r="ABJ7">
        <v>0</v>
      </c>
      <c r="ABK7">
        <v>0</v>
      </c>
      <c r="ABL7">
        <v>0</v>
      </c>
      <c r="ABM7">
        <v>19.189464158024101</v>
      </c>
      <c r="ABN7">
        <v>0</v>
      </c>
      <c r="ABO7">
        <v>0</v>
      </c>
      <c r="ABP7">
        <v>0</v>
      </c>
      <c r="ABQ7">
        <v>0</v>
      </c>
      <c r="ABR7">
        <v>0</v>
      </c>
      <c r="ABS7">
        <v>19.006869808640399</v>
      </c>
      <c r="ABT7">
        <v>0</v>
      </c>
      <c r="ABU7">
        <v>0</v>
      </c>
      <c r="ABV7">
        <v>0</v>
      </c>
      <c r="ABW7">
        <v>0</v>
      </c>
      <c r="ABX7">
        <v>0</v>
      </c>
      <c r="ABY7">
        <v>21.028848237529001</v>
      </c>
      <c r="ABZ7">
        <v>0</v>
      </c>
      <c r="ACA7">
        <v>0</v>
      </c>
      <c r="ACB7">
        <v>0</v>
      </c>
      <c r="ACC7">
        <v>0</v>
      </c>
      <c r="ACD7">
        <v>0</v>
      </c>
      <c r="ACE7">
        <v>0</v>
      </c>
      <c r="ACF7">
        <v>12.220032779007701</v>
      </c>
      <c r="ACG7">
        <v>12.220032779007701</v>
      </c>
      <c r="ACH7">
        <v>0</v>
      </c>
      <c r="ACI7">
        <v>0</v>
      </c>
      <c r="ACJ7">
        <v>0</v>
      </c>
      <c r="ACK7">
        <v>20.868780998713401</v>
      </c>
      <c r="ACL7">
        <v>20.868780998713401</v>
      </c>
      <c r="ACM7">
        <v>0</v>
      </c>
      <c r="ACN7">
        <v>24089.220895068</v>
      </c>
      <c r="ACP7">
        <v>0</v>
      </c>
      <c r="ACR7">
        <v>24089.220895068</v>
      </c>
      <c r="ACT7">
        <v>21.3737225771265</v>
      </c>
      <c r="ACU7">
        <v>21.3737225771265</v>
      </c>
      <c r="ACV7">
        <v>0</v>
      </c>
      <c r="ACW7">
        <v>0</v>
      </c>
      <c r="ACX7">
        <v>1</v>
      </c>
      <c r="ACY7">
        <v>22.646455355305399</v>
      </c>
      <c r="ACZ7">
        <v>22.646455355305399</v>
      </c>
      <c r="ADA7">
        <v>0</v>
      </c>
      <c r="ADB7">
        <v>0</v>
      </c>
      <c r="ADC7">
        <v>1</v>
      </c>
      <c r="ADD7">
        <v>20.877076727808099</v>
      </c>
      <c r="ADE7">
        <v>20.877076727808099</v>
      </c>
      <c r="ADF7">
        <v>0</v>
      </c>
      <c r="ADG7">
        <v>0</v>
      </c>
      <c r="ADH7">
        <v>1</v>
      </c>
      <c r="ADI7">
        <v>18.098206062212</v>
      </c>
      <c r="ADJ7">
        <v>18.098206062212</v>
      </c>
      <c r="ADK7">
        <v>0</v>
      </c>
      <c r="ADL7">
        <v>0</v>
      </c>
      <c r="ADM7">
        <v>1</v>
      </c>
      <c r="ADN7">
        <v>17.9605292737035</v>
      </c>
      <c r="ADO7">
        <v>17.9605292737035</v>
      </c>
      <c r="ADP7">
        <v>0</v>
      </c>
      <c r="ADQ7">
        <v>0</v>
      </c>
      <c r="ADR7">
        <v>1</v>
      </c>
      <c r="ADS7">
        <v>18.137660949372201</v>
      </c>
      <c r="ADT7">
        <v>18.137660949372201</v>
      </c>
      <c r="ADU7">
        <v>0</v>
      </c>
      <c r="ADV7">
        <v>0</v>
      </c>
      <c r="ADW7">
        <v>1</v>
      </c>
      <c r="ADX7">
        <v>18.000947057331299</v>
      </c>
      <c r="ADY7">
        <v>18.000947057331299</v>
      </c>
      <c r="ADZ7">
        <v>0</v>
      </c>
      <c r="AEA7">
        <v>0</v>
      </c>
      <c r="AEB7">
        <v>1</v>
      </c>
      <c r="AEC7">
        <v>18.601266006936299</v>
      </c>
      <c r="AED7">
        <v>18.601266006936299</v>
      </c>
      <c r="AEE7">
        <v>0</v>
      </c>
      <c r="AEF7">
        <v>0</v>
      </c>
      <c r="AEG7">
        <v>1</v>
      </c>
      <c r="AEH7">
        <v>18.426811258392998</v>
      </c>
      <c r="AEI7">
        <v>18.426811258392998</v>
      </c>
      <c r="AEJ7">
        <v>0</v>
      </c>
      <c r="AEK7">
        <v>0</v>
      </c>
      <c r="AEL7">
        <v>1</v>
      </c>
      <c r="AEM7">
        <v>18.644375538630101</v>
      </c>
      <c r="AEN7">
        <v>18.644375538630101</v>
      </c>
      <c r="AEO7">
        <v>0</v>
      </c>
      <c r="AEP7">
        <v>0</v>
      </c>
      <c r="AEQ7">
        <v>1</v>
      </c>
      <c r="AER7">
        <v>18.476779520248801</v>
      </c>
      <c r="AES7">
        <v>18.476779520248801</v>
      </c>
      <c r="AET7">
        <v>0</v>
      </c>
      <c r="AEU7">
        <v>0</v>
      </c>
      <c r="AEV7">
        <v>1</v>
      </c>
      <c r="AEW7">
        <v>16.8277623169121</v>
      </c>
      <c r="AEX7">
        <v>16.8277623169121</v>
      </c>
      <c r="AEY7">
        <v>0</v>
      </c>
      <c r="AEZ7">
        <v>0</v>
      </c>
      <c r="AFA7">
        <v>1</v>
      </c>
      <c r="AFB7">
        <v>16.663259711945301</v>
      </c>
      <c r="AFC7">
        <v>16.663259711945301</v>
      </c>
      <c r="AFD7">
        <v>0</v>
      </c>
      <c r="AFE7">
        <v>0</v>
      </c>
      <c r="AFF7">
        <v>1</v>
      </c>
      <c r="AFG7">
        <v>16.868449659652601</v>
      </c>
      <c r="AFH7">
        <v>16.868449659652601</v>
      </c>
      <c r="AFI7">
        <v>0</v>
      </c>
      <c r="AFJ7">
        <v>0</v>
      </c>
      <c r="AFK7">
        <v>1</v>
      </c>
      <c r="AFL7">
        <v>16.710315719862901</v>
      </c>
      <c r="AFM7">
        <v>16.710315719862901</v>
      </c>
      <c r="AFN7">
        <v>0</v>
      </c>
      <c r="AFO7">
        <v>0</v>
      </c>
      <c r="AFP7">
        <v>1</v>
      </c>
      <c r="AFQ7">
        <v>-1.8101960589128201</v>
      </c>
      <c r="AFR7">
        <v>-1.8192364653419899</v>
      </c>
      <c r="AFS7">
        <v>-1.8390700443077299</v>
      </c>
      <c r="AFT7">
        <v>-1.8440826540135</v>
      </c>
      <c r="AFU7">
        <v>-1.7072591628629199</v>
      </c>
      <c r="AFV7">
        <v>-1.7175585642828299</v>
      </c>
      <c r="AFW7">
        <v>-1.7426782686172599</v>
      </c>
      <c r="AFX7">
        <v>-1.7506997190976701</v>
      </c>
      <c r="AFY7">
        <v>-2.0613205292652399</v>
      </c>
      <c r="AFZ7">
        <v>-2.0708703796997101</v>
      </c>
      <c r="AGA7">
        <v>-2.0912769119719798</v>
      </c>
      <c r="AGB7">
        <v>-2.09788014375737</v>
      </c>
      <c r="AGC7">
        <v>-1.20856127932146</v>
      </c>
      <c r="AGD7">
        <v>-0.90035275733234998</v>
      </c>
      <c r="AGE7">
        <v>-1.3010494690513099</v>
      </c>
      <c r="AGF7">
        <v>0</v>
      </c>
      <c r="AGG7">
        <v>0</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Z7">
        <v>0</v>
      </c>
      <c r="AIB7">
        <v>0</v>
      </c>
      <c r="AID7">
        <v>0</v>
      </c>
      <c r="AIF7">
        <v>0</v>
      </c>
      <c r="AIH7">
        <v>0</v>
      </c>
      <c r="AIJ7">
        <v>0</v>
      </c>
      <c r="AIL7">
        <v>0</v>
      </c>
      <c r="AIN7">
        <v>0</v>
      </c>
      <c r="AIP7">
        <v>0</v>
      </c>
      <c r="AIR7">
        <v>0</v>
      </c>
      <c r="AIT7">
        <v>0</v>
      </c>
      <c r="AIV7">
        <v>0</v>
      </c>
      <c r="AIX7">
        <v>0</v>
      </c>
      <c r="AIZ7">
        <v>0</v>
      </c>
      <c r="AJB7">
        <v>0</v>
      </c>
      <c r="AJC7">
        <v>0</v>
      </c>
      <c r="AJE7">
        <v>0</v>
      </c>
      <c r="AJH7">
        <v>0</v>
      </c>
      <c r="AJJ7">
        <v>0</v>
      </c>
      <c r="AJK7">
        <v>0</v>
      </c>
      <c r="AJL7">
        <v>0</v>
      </c>
      <c r="AJM7">
        <v>0</v>
      </c>
      <c r="AJN7">
        <v>0</v>
      </c>
      <c r="AJO7">
        <v>0</v>
      </c>
      <c r="AJP7">
        <v>0</v>
      </c>
      <c r="AJQ7">
        <v>0</v>
      </c>
      <c r="AJR7">
        <v>0</v>
      </c>
      <c r="AJS7">
        <v>0</v>
      </c>
      <c r="AJT7">
        <v>0</v>
      </c>
      <c r="AJU7">
        <v>0</v>
      </c>
      <c r="AJV7">
        <v>0</v>
      </c>
      <c r="AJW7">
        <v>0</v>
      </c>
      <c r="AJX7">
        <v>0</v>
      </c>
      <c r="AJY7">
        <v>0</v>
      </c>
      <c r="AJZ7">
        <v>0</v>
      </c>
      <c r="AKA7">
        <v>0</v>
      </c>
      <c r="AKB7">
        <v>0</v>
      </c>
      <c r="AKC7">
        <v>0</v>
      </c>
      <c r="AKD7">
        <v>0</v>
      </c>
      <c r="AKE7">
        <v>70.191915221237295</v>
      </c>
      <c r="AKF7">
        <v>70.191915221237295</v>
      </c>
      <c r="AKG7">
        <v>0</v>
      </c>
      <c r="AKH7">
        <v>0</v>
      </c>
      <c r="AKI7">
        <v>0</v>
      </c>
      <c r="AKJ7">
        <v>0</v>
      </c>
      <c r="AKK7">
        <v>0</v>
      </c>
      <c r="AKL7">
        <v>70.191915221237295</v>
      </c>
      <c r="AKM7">
        <v>70.191915221237295</v>
      </c>
      <c r="AKN7">
        <v>0</v>
      </c>
      <c r="AKO7">
        <v>0</v>
      </c>
      <c r="AKP7">
        <v>0</v>
      </c>
      <c r="AKT7">
        <v>0</v>
      </c>
      <c r="AKX7">
        <v>0</v>
      </c>
      <c r="ALB7">
        <v>20.868780998713401</v>
      </c>
      <c r="ALC7">
        <v>20.868780998713401</v>
      </c>
      <c r="ALD7">
        <v>0</v>
      </c>
      <c r="ALE7">
        <v>0</v>
      </c>
      <c r="ALF7">
        <v>0</v>
      </c>
      <c r="ALH7">
        <v>20.8239045612358</v>
      </c>
      <c r="ALI7">
        <v>6.55122708200985E-3</v>
      </c>
      <c r="ALJ7">
        <v>0</v>
      </c>
      <c r="ALK7">
        <v>20.8239045612358</v>
      </c>
      <c r="ALL7">
        <v>0</v>
      </c>
      <c r="ALM7">
        <v>0</v>
      </c>
      <c r="ALN7">
        <v>20.8239045612358</v>
      </c>
      <c r="ALO7">
        <v>6.55122708200985E-3</v>
      </c>
      <c r="ALP7">
        <v>43.196043334486198</v>
      </c>
      <c r="ALQ7">
        <v>0</v>
      </c>
      <c r="ALR7">
        <v>20.8239045612358</v>
      </c>
      <c r="ALS7">
        <v>0</v>
      </c>
      <c r="ALT7">
        <v>20.8239045612358</v>
      </c>
      <c r="ALU7">
        <v>0</v>
      </c>
      <c r="ALV7">
        <v>12.220032779007701</v>
      </c>
      <c r="ALW7">
        <v>9.9999999999999897E-12</v>
      </c>
      <c r="ALX7">
        <v>12.220032779007701</v>
      </c>
      <c r="ALY7">
        <v>9.9999999999999897E-12</v>
      </c>
      <c r="ALZ7">
        <v>0</v>
      </c>
      <c r="AMA7">
        <v>12.220032779007701</v>
      </c>
      <c r="AMB7">
        <v>0</v>
      </c>
      <c r="AMC7">
        <v>12.220032779007701</v>
      </c>
      <c r="AMD7">
        <v>0</v>
      </c>
      <c r="AME7">
        <v>12.220032779007701</v>
      </c>
      <c r="AMF7">
        <v>0</v>
      </c>
      <c r="AMG7">
        <v>0</v>
      </c>
      <c r="AMH7">
        <v>0</v>
      </c>
      <c r="AMI7">
        <v>18.451638026034001</v>
      </c>
      <c r="AMJ7">
        <v>0</v>
      </c>
      <c r="AMK7" s="580">
        <v>19.154142126134602</v>
      </c>
      <c r="AML7">
        <v>0</v>
      </c>
      <c r="AMM7">
        <v>18.4566941252119</v>
      </c>
      <c r="AMN7">
        <v>0</v>
      </c>
      <c r="AMO7">
        <v>18.488067746208099</v>
      </c>
      <c r="AMP7">
        <v>0</v>
      </c>
      <c r="AMQ7">
        <v>18.535193537680001</v>
      </c>
      <c r="AMR7">
        <v>0</v>
      </c>
      <c r="AMS7">
        <v>21.3820301874552</v>
      </c>
      <c r="AMT7">
        <v>0</v>
      </c>
      <c r="AMU7">
        <v>19.7504104937764</v>
      </c>
      <c r="AMV7">
        <v>0</v>
      </c>
      <c r="AMW7">
        <v>19.756189521600898</v>
      </c>
      <c r="AMX7">
        <v>0</v>
      </c>
      <c r="AMY7">
        <v>19.8274637168075</v>
      </c>
      <c r="AMZ7">
        <v>0</v>
      </c>
      <c r="ANA7">
        <v>19.936044785998401</v>
      </c>
      <c r="ANB7">
        <v>0</v>
      </c>
      <c r="ANC7">
        <v>21.0328447301412</v>
      </c>
      <c r="AND7">
        <v>0</v>
      </c>
      <c r="ANE7">
        <v>19.040368384297299</v>
      </c>
      <c r="ANF7">
        <v>0</v>
      </c>
      <c r="ANG7">
        <v>19.037140374816701</v>
      </c>
      <c r="ANH7">
        <v>0</v>
      </c>
      <c r="ANI7">
        <v>19.121488090969301</v>
      </c>
      <c r="ANJ7">
        <v>0</v>
      </c>
      <c r="ANK7">
        <v>19.219460792110201</v>
      </c>
      <c r="ANL7">
        <v>0</v>
      </c>
      <c r="ANM7">
        <v>0</v>
      </c>
      <c r="ANN7">
        <v>0</v>
      </c>
      <c r="ANO7">
        <v>0</v>
      </c>
      <c r="ANP7">
        <v>19.154142126134602</v>
      </c>
      <c r="ANQ7">
        <v>18.4566941252119</v>
      </c>
      <c r="ANR7">
        <v>18.451638026034001</v>
      </c>
      <c r="ANS7">
        <v>18.535193537680001</v>
      </c>
      <c r="ANT7">
        <v>18.488067746208099</v>
      </c>
      <c r="ANU7">
        <v>21.3820301874552</v>
      </c>
      <c r="ANV7">
        <v>19.7504104937764</v>
      </c>
      <c r="ANW7">
        <v>19.756189521600898</v>
      </c>
      <c r="ANX7">
        <v>19.936044785998401</v>
      </c>
      <c r="ANY7">
        <v>19.8274637168075</v>
      </c>
      <c r="ANZ7">
        <v>21.0328447301412</v>
      </c>
      <c r="AOA7">
        <v>19.040368384297299</v>
      </c>
      <c r="AOB7">
        <v>19.037140374816701</v>
      </c>
      <c r="AOC7">
        <v>19.219460792110201</v>
      </c>
      <c r="AOD7">
        <v>19.121488090969301</v>
      </c>
      <c r="AOE7">
        <v>20.8239045612358</v>
      </c>
      <c r="AOF7">
        <v>0</v>
      </c>
      <c r="AOG7">
        <v>20.8184137953176</v>
      </c>
      <c r="AOH7">
        <v>0</v>
      </c>
    </row>
    <row r="8" spans="1:1074">
      <c r="A8" t="s">
        <v>2943</v>
      </c>
      <c r="B8">
        <v>5.2874999999999996</v>
      </c>
      <c r="D8">
        <v>5.2874999999999996</v>
      </c>
      <c r="F8">
        <v>5</v>
      </c>
      <c r="G8">
        <v>2059235.34465927</v>
      </c>
      <c r="H8">
        <v>4454704.5781047503</v>
      </c>
      <c r="I8">
        <v>1307737.2162104801</v>
      </c>
      <c r="J8">
        <v>2829002.9981855699</v>
      </c>
      <c r="K8">
        <v>2059235.34465927</v>
      </c>
      <c r="L8">
        <v>4454704.5781047503</v>
      </c>
      <c r="M8">
        <v>1307737.2162104801</v>
      </c>
      <c r="N8">
        <v>2829002.9981855699</v>
      </c>
      <c r="O8">
        <v>10619877.8062914</v>
      </c>
      <c r="P8">
        <v>22973779.274571899</v>
      </c>
      <c r="Q8">
        <v>2059235.34465927</v>
      </c>
      <c r="R8">
        <v>4454704.5781047503</v>
      </c>
      <c r="S8">
        <v>1307737.2162104801</v>
      </c>
      <c r="T8">
        <v>2829002.9981855699</v>
      </c>
      <c r="U8">
        <v>2059235.34465927</v>
      </c>
      <c r="V8">
        <v>4454704.5781047503</v>
      </c>
      <c r="W8">
        <v>1307737.2162104801</v>
      </c>
      <c r="X8">
        <v>2829002.9981855699</v>
      </c>
      <c r="Y8">
        <v>10619877.8062914</v>
      </c>
      <c r="Z8">
        <v>22973779.274571899</v>
      </c>
      <c r="AA8">
        <v>2059235.34465927</v>
      </c>
      <c r="AB8">
        <v>4454704.5781047503</v>
      </c>
      <c r="AC8">
        <v>1307737.2162104801</v>
      </c>
      <c r="AD8">
        <v>2829002.9981855699</v>
      </c>
      <c r="AE8">
        <v>2059235.34465927</v>
      </c>
      <c r="AF8">
        <v>4454704.5781047503</v>
      </c>
      <c r="AG8">
        <v>1307737.2162104801</v>
      </c>
      <c r="AH8">
        <v>2829002.9981855699</v>
      </c>
      <c r="AI8">
        <v>10619877.8062914</v>
      </c>
      <c r="AJ8">
        <v>22973779.274571899</v>
      </c>
      <c r="AK8">
        <v>2.3716228502806498</v>
      </c>
      <c r="AL8">
        <v>395606.04386927001</v>
      </c>
      <c r="AM8">
        <v>1024541.07132124</v>
      </c>
      <c r="AN8">
        <v>2.3716228502806498</v>
      </c>
      <c r="AO8">
        <v>395606.04386927001</v>
      </c>
      <c r="AP8">
        <v>1024541.07132124</v>
      </c>
      <c r="AQ8">
        <v>1.5061219069354801</v>
      </c>
      <c r="AR8">
        <v>251233.42403159899</v>
      </c>
      <c r="AS8">
        <v>650644.66379612905</v>
      </c>
      <c r="AT8">
        <v>1.5061219069354801</v>
      </c>
      <c r="AU8">
        <v>251233.42403159899</v>
      </c>
      <c r="AV8">
        <v>650644.66379612905</v>
      </c>
      <c r="AW8">
        <v>2.3716228502806498</v>
      </c>
      <c r="AX8">
        <v>395606.04386927001</v>
      </c>
      <c r="AY8">
        <v>1024541.07132124</v>
      </c>
      <c r="AZ8">
        <v>2.3716228502806498</v>
      </c>
      <c r="BA8">
        <v>395606.04386927001</v>
      </c>
      <c r="BB8">
        <v>1024541.07132124</v>
      </c>
      <c r="BC8">
        <v>1.5061219069354801</v>
      </c>
      <c r="BD8">
        <v>251233.42403159899</v>
      </c>
      <c r="BE8">
        <v>650644.66379612905</v>
      </c>
      <c r="BF8">
        <v>1.5061219069354801</v>
      </c>
      <c r="BG8">
        <v>251233.42403159899</v>
      </c>
      <c r="BH8">
        <v>650644.66379612905</v>
      </c>
      <c r="BI8">
        <v>2.3716228502806498</v>
      </c>
      <c r="BJ8">
        <v>395606.04386927001</v>
      </c>
      <c r="BK8">
        <v>1024541.07132124</v>
      </c>
      <c r="BL8">
        <v>2.3716228502806498</v>
      </c>
      <c r="BM8">
        <v>395606.04386927001</v>
      </c>
      <c r="BN8">
        <v>1024541.07132124</v>
      </c>
      <c r="BO8">
        <v>1.5061219069354801</v>
      </c>
      <c r="BP8">
        <v>251233.42403159899</v>
      </c>
      <c r="BQ8">
        <v>650644.66379612905</v>
      </c>
      <c r="BR8">
        <v>1.5061219069354801</v>
      </c>
      <c r="BS8">
        <v>251233.42403159899</v>
      </c>
      <c r="BT8">
        <v>650644.66379612905</v>
      </c>
      <c r="BU8">
        <v>5283757.8828362301</v>
      </c>
      <c r="BV8">
        <v>12.2309210250839</v>
      </c>
      <c r="BW8">
        <v>2040217.43129955</v>
      </c>
      <c r="BX8">
        <v>5283757.8828362301</v>
      </c>
      <c r="BY8">
        <v>12.2309210250839</v>
      </c>
      <c r="BZ8">
        <v>2040217.43129955</v>
      </c>
      <c r="CA8">
        <v>5283757.8828362301</v>
      </c>
      <c r="CB8">
        <v>12.2309210250839</v>
      </c>
      <c r="CC8">
        <v>2040217.43129955</v>
      </c>
      <c r="CD8">
        <v>5283757.8828362301</v>
      </c>
      <c r="CE8">
        <v>377317.98574618599</v>
      </c>
      <c r="CF8">
        <v>857540.87669587706</v>
      </c>
      <c r="CG8">
        <v>377317.98574618599</v>
      </c>
      <c r="CH8">
        <v>857540.87669587706</v>
      </c>
      <c r="CI8">
        <v>239619.416782838</v>
      </c>
      <c r="CJ8">
        <v>544589.58359735995</v>
      </c>
      <c r="CK8">
        <v>239619.416782838</v>
      </c>
      <c r="CL8">
        <v>544589.58359735995</v>
      </c>
      <c r="CM8">
        <v>377317.98574618599</v>
      </c>
      <c r="CN8">
        <v>857540.87669587706</v>
      </c>
      <c r="CO8">
        <v>377317.98574618599</v>
      </c>
      <c r="CP8">
        <v>857540.87669587706</v>
      </c>
      <c r="CQ8">
        <v>239619.416782838</v>
      </c>
      <c r="CR8">
        <v>544589.58359735995</v>
      </c>
      <c r="CS8">
        <v>239619.416782838</v>
      </c>
      <c r="CT8">
        <v>544589.58359735995</v>
      </c>
      <c r="CU8">
        <v>377317.98574618599</v>
      </c>
      <c r="CV8">
        <v>857540.87669587706</v>
      </c>
      <c r="CW8">
        <v>377317.98574618599</v>
      </c>
      <c r="CX8">
        <v>857540.87669587706</v>
      </c>
      <c r="CY8">
        <v>239619.416782838</v>
      </c>
      <c r="CZ8">
        <v>544589.58359735995</v>
      </c>
      <c r="DA8">
        <v>239619.416782838</v>
      </c>
      <c r="DB8">
        <v>544589.58359735995</v>
      </c>
      <c r="DC8">
        <v>1945902.35309093</v>
      </c>
      <c r="DD8">
        <v>4422505.3479339303</v>
      </c>
      <c r="DE8">
        <v>1945902.35309093</v>
      </c>
      <c r="DF8">
        <v>4422505.3479339303</v>
      </c>
      <c r="DG8">
        <v>1945902.35309093</v>
      </c>
      <c r="DH8">
        <v>4422505.3479339303</v>
      </c>
      <c r="DI8">
        <v>1286311.3150438201</v>
      </c>
      <c r="DJ8">
        <v>2572622.6300876299</v>
      </c>
      <c r="DK8">
        <v>1286311.3150438201</v>
      </c>
      <c r="DL8">
        <v>2572622.6300876299</v>
      </c>
      <c r="DM8">
        <v>816884.37539604004</v>
      </c>
      <c r="DN8">
        <v>1633768.7507920801</v>
      </c>
      <c r="DO8">
        <v>816884.37539603899</v>
      </c>
      <c r="DP8">
        <v>1633768.7507920801</v>
      </c>
      <c r="DQ8">
        <v>1286311.3150438201</v>
      </c>
      <c r="DR8">
        <v>2572622.6300876299</v>
      </c>
      <c r="DS8">
        <v>1286311.3150438201</v>
      </c>
      <c r="DT8">
        <v>2572622.6300876299</v>
      </c>
      <c r="DU8">
        <v>816884.37539604004</v>
      </c>
      <c r="DV8">
        <v>1633768.7507920801</v>
      </c>
      <c r="DW8">
        <v>816884.37539603899</v>
      </c>
      <c r="DX8">
        <v>1633768.7507920801</v>
      </c>
      <c r="DY8">
        <v>1286311.3150438201</v>
      </c>
      <c r="DZ8">
        <v>2572622.6300876299</v>
      </c>
      <c r="EA8">
        <v>1286311.3150438201</v>
      </c>
      <c r="EB8">
        <v>2572622.6300876299</v>
      </c>
      <c r="EC8">
        <v>816884.37539604004</v>
      </c>
      <c r="ED8">
        <v>1633768.7507920801</v>
      </c>
      <c r="EE8">
        <v>816884.37539603899</v>
      </c>
      <c r="EF8">
        <v>1633768.7507920801</v>
      </c>
      <c r="EG8">
        <v>6633758.0219008904</v>
      </c>
      <c r="EH8">
        <v>13267516.043801799</v>
      </c>
      <c r="EI8">
        <v>6633758.0219008904</v>
      </c>
      <c r="EJ8">
        <v>13267516.043801799</v>
      </c>
      <c r="EK8">
        <v>6633758.0219008904</v>
      </c>
      <c r="EL8">
        <v>13267516.043801799</v>
      </c>
      <c r="EM8">
        <v>0</v>
      </c>
      <c r="EN8">
        <v>0</v>
      </c>
      <c r="EO8">
        <v>0</v>
      </c>
      <c r="EP8">
        <v>0</v>
      </c>
      <c r="EQ8">
        <v>0</v>
      </c>
      <c r="ER8">
        <v>0</v>
      </c>
      <c r="ES8">
        <v>0</v>
      </c>
      <c r="ET8">
        <v>0</v>
      </c>
      <c r="EU8">
        <v>0</v>
      </c>
      <c r="EV8">
        <v>0</v>
      </c>
      <c r="EW8">
        <v>0</v>
      </c>
      <c r="EX8">
        <v>0</v>
      </c>
      <c r="EY8">
        <v>0</v>
      </c>
      <c r="EZ8">
        <v>0</v>
      </c>
      <c r="FA8">
        <v>0</v>
      </c>
      <c r="FB8">
        <v>0</v>
      </c>
      <c r="FC8" s="35">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-52.034076844579303</v>
      </c>
      <c r="GC8">
        <v>66.129184174479406</v>
      </c>
      <c r="GD8">
        <v>79.531855709137304</v>
      </c>
      <c r="GE8">
        <v>-37.0520050303695</v>
      </c>
      <c r="GF8">
        <v>40.9453469860293</v>
      </c>
      <c r="GG8">
        <v>48.023068490946002</v>
      </c>
      <c r="GH8">
        <v>-44.811335015720601</v>
      </c>
      <c r="GI8">
        <v>87.080820845059904</v>
      </c>
      <c r="GJ8">
        <v>93.6166340198276</v>
      </c>
      <c r="GK8">
        <v>-36.497984912563702</v>
      </c>
      <c r="GL8">
        <v>40.622403857094099</v>
      </c>
      <c r="GM8">
        <v>48.072119021580001</v>
      </c>
      <c r="GN8">
        <v>-37.156523816323002</v>
      </c>
      <c r="GO8">
        <v>19.216254157466299</v>
      </c>
      <c r="GP8">
        <v>18.952534363278598</v>
      </c>
      <c r="GQ8">
        <v>45.4860169075302</v>
      </c>
      <c r="GR8">
        <v>96.337780412152597</v>
      </c>
      <c r="GS8">
        <v>598.03282627289502</v>
      </c>
      <c r="GT8">
        <v>-21.660210552181098</v>
      </c>
      <c r="GU8">
        <v>19.1267991812751</v>
      </c>
      <c r="GV8">
        <v>18.873807298538001</v>
      </c>
      <c r="GW8">
        <v>39.910061403056503</v>
      </c>
      <c r="GX8">
        <v>70.911906242396896</v>
      </c>
      <c r="GY8">
        <v>402.02324238040097</v>
      </c>
      <c r="GZ8">
        <v>-31.5546486734235</v>
      </c>
      <c r="HA8">
        <v>19.286795035302401</v>
      </c>
      <c r="HB8">
        <v>19.029314638464101</v>
      </c>
      <c r="HC8">
        <v>71.025328886870199</v>
      </c>
      <c r="HD8">
        <v>117.280063286999</v>
      </c>
      <c r="HE8">
        <v>643.036719017942</v>
      </c>
      <c r="HF8">
        <v>-21.985542075787599</v>
      </c>
      <c r="HG8">
        <v>19.137194450561601</v>
      </c>
      <c r="HH8">
        <v>18.8870753291128</v>
      </c>
      <c r="HI8">
        <v>39.331662784278599</v>
      </c>
      <c r="HJ8">
        <v>69.898087804229903</v>
      </c>
      <c r="HK8">
        <v>398.41152842165599</v>
      </c>
      <c r="HL8">
        <v>-25.616493661339799</v>
      </c>
      <c r="HM8">
        <v>20.137057957585899</v>
      </c>
      <c r="HN8">
        <v>21.2324418108274</v>
      </c>
      <c r="HO8">
        <v>253.17327129275799</v>
      </c>
      <c r="HP8">
        <v>206.858533415886</v>
      </c>
      <c r="HQ8">
        <v>19.411200276687602</v>
      </c>
      <c r="HR8">
        <v>102.63892123013601</v>
      </c>
      <c r="HS8">
        <v>-13.946968888968501</v>
      </c>
      <c r="HT8">
        <v>20.047889812225201</v>
      </c>
      <c r="HU8">
        <v>21.2079616139848</v>
      </c>
      <c r="HV8">
        <v>164.42727390797401</v>
      </c>
      <c r="HW8">
        <v>146.28737082324301</v>
      </c>
      <c r="HX8">
        <v>19.288180457767201</v>
      </c>
      <c r="HY8">
        <v>72.746204829865405</v>
      </c>
      <c r="HZ8">
        <v>20.170655032936601</v>
      </c>
      <c r="IA8">
        <v>21.265431220916501</v>
      </c>
      <c r="IB8">
        <v>251.95082065204599</v>
      </c>
      <c r="IC8">
        <v>-22.373529142917</v>
      </c>
      <c r="ID8">
        <v>231.67354083315001</v>
      </c>
      <c r="IE8">
        <v>19.512039661648299</v>
      </c>
      <c r="IF8">
        <v>115.29431814058201</v>
      </c>
      <c r="IG8">
        <v>12.6955662809478</v>
      </c>
      <c r="IH8">
        <v>20.0749039070819</v>
      </c>
      <c r="II8">
        <v>21.2200172622195</v>
      </c>
      <c r="IJ8">
        <v>160.15330881023499</v>
      </c>
      <c r="IK8">
        <v>13.536180417186699</v>
      </c>
      <c r="IL8">
        <v>-15.705955747529901</v>
      </c>
      <c r="IM8">
        <v>139.355123614604</v>
      </c>
      <c r="IN8">
        <v>19.314323618125201</v>
      </c>
      <c r="IO8">
        <v>0.78695513854417898</v>
      </c>
      <c r="IP8">
        <v>68.841738581095896</v>
      </c>
      <c r="IQ8">
        <v>-179.82912730444201</v>
      </c>
      <c r="IR8">
        <v>-110.42017847057301</v>
      </c>
      <c r="IS8">
        <v>-172.789348013259</v>
      </c>
      <c r="IT8">
        <v>-108.890182701038</v>
      </c>
      <c r="IU8">
        <v>-653.569294475589</v>
      </c>
      <c r="IV8">
        <v>-49.653279370238401</v>
      </c>
      <c r="IW8">
        <v>19.538380734536599</v>
      </c>
      <c r="IX8">
        <v>19.411200276687602</v>
      </c>
      <c r="IY8">
        <v>21.493328454729099</v>
      </c>
      <c r="IZ8">
        <v>45.032446182710302</v>
      </c>
      <c r="JA8">
        <v>342.778237966532</v>
      </c>
      <c r="JB8">
        <v>-32.486198859003103</v>
      </c>
      <c r="JC8">
        <v>19.432933144346102</v>
      </c>
      <c r="JD8">
        <v>19.288180457767201</v>
      </c>
      <c r="JE8">
        <v>12.9060787871133</v>
      </c>
      <c r="JF8">
        <v>30.407119725855999</v>
      </c>
      <c r="JG8">
        <v>235.06157828104199</v>
      </c>
      <c r="JH8">
        <v>-49.742616179709401</v>
      </c>
      <c r="JI8">
        <v>19.635119684724899</v>
      </c>
      <c r="JJ8">
        <v>19.512039661648299</v>
      </c>
      <c r="JK8">
        <v>22.6099214570961</v>
      </c>
      <c r="JL8">
        <v>45.998826900137601</v>
      </c>
      <c r="JM8">
        <v>349.201232973961</v>
      </c>
      <c r="JN8">
        <v>-32.6226976312659</v>
      </c>
      <c r="JO8">
        <v>19.445017005830799</v>
      </c>
      <c r="JP8">
        <v>19.314323618125201</v>
      </c>
      <c r="JQ8">
        <v>0.71948253635426596</v>
      </c>
      <c r="JR8">
        <v>13.833017596480101</v>
      </c>
      <c r="JS8">
        <v>0.55365745304636604</v>
      </c>
      <c r="JT8">
        <v>29.847018035475099</v>
      </c>
      <c r="JU8">
        <v>227.598944192814</v>
      </c>
      <c r="JV8">
        <v>-124.89038125037899</v>
      </c>
      <c r="JW8">
        <v>73.168948532184999</v>
      </c>
      <c r="JX8">
        <v>-287.665550203544</v>
      </c>
      <c r="JY8">
        <v>-83.896064947170203</v>
      </c>
      <c r="JZ8">
        <v>50.865080108863097</v>
      </c>
      <c r="KA8">
        <v>-193.299350389376</v>
      </c>
      <c r="KB8">
        <v>-109.37522197944401</v>
      </c>
      <c r="KC8">
        <v>91.4665121982393</v>
      </c>
      <c r="KD8">
        <v>-249.38005435302</v>
      </c>
      <c r="KE8">
        <v>-83.148234898721</v>
      </c>
      <c r="KF8">
        <v>15.735877225330301</v>
      </c>
      <c r="KG8">
        <v>-149.511515067868</v>
      </c>
      <c r="KH8">
        <v>0.81805048933425695</v>
      </c>
      <c r="KI8">
        <v>49.159639987318798</v>
      </c>
      <c r="KJ8">
        <v>-190.44937411980101</v>
      </c>
      <c r="KK8">
        <v>-53.943542616976302</v>
      </c>
      <c r="KL8">
        <v>15.687910141845499</v>
      </c>
      <c r="KM8">
        <v>16.937796595833699</v>
      </c>
      <c r="KN8">
        <v>189.11324175749999</v>
      </c>
      <c r="KO8">
        <v>14.7213093441304</v>
      </c>
      <c r="KP8">
        <v>2.5172320819799898</v>
      </c>
      <c r="KQ8">
        <v>-90.733013799369601</v>
      </c>
      <c r="KR8">
        <v>-928.49883791417199</v>
      </c>
      <c r="KS8">
        <v>-35.082577522054699</v>
      </c>
      <c r="KT8">
        <v>15.589112905793</v>
      </c>
      <c r="KU8">
        <v>16.851109750662999</v>
      </c>
      <c r="KV8">
        <v>122.08050818629501</v>
      </c>
      <c r="KW8">
        <v>14.616831251855899</v>
      </c>
      <c r="KX8">
        <v>2.5508295626909101</v>
      </c>
      <c r="KY8">
        <v>-56.407137848987801</v>
      </c>
      <c r="KZ8">
        <v>-585.05113707882003</v>
      </c>
      <c r="LA8">
        <v>-60.6392981715912</v>
      </c>
      <c r="LB8">
        <v>15.806958658418001</v>
      </c>
      <c r="LC8">
        <v>17.032128599744301</v>
      </c>
      <c r="LD8">
        <v>156.00819107404499</v>
      </c>
      <c r="LE8">
        <v>14.8412516930356</v>
      </c>
      <c r="LF8">
        <v>2.5202922182096201</v>
      </c>
      <c r="LG8">
        <v>-117.03007061413</v>
      </c>
      <c r="LH8">
        <v>-950.90432915522399</v>
      </c>
      <c r="LI8">
        <v>-35.558434581806402</v>
      </c>
      <c r="LJ8">
        <v>15.6143444843969</v>
      </c>
      <c r="LK8">
        <v>16.8716764794382</v>
      </c>
      <c r="LL8">
        <v>121.480407968769</v>
      </c>
      <c r="LM8">
        <v>14.647503994513199</v>
      </c>
      <c r="LN8">
        <v>2.69656732240473</v>
      </c>
      <c r="LO8">
        <v>-56.119644844810999</v>
      </c>
      <c r="LP8">
        <v>-580.53412193687495</v>
      </c>
      <c r="LQ8">
        <v>-25.437792210362101</v>
      </c>
      <c r="LR8">
        <v>18.503785224723099</v>
      </c>
      <c r="LS8">
        <v>16.440999999999999</v>
      </c>
      <c r="LT8">
        <v>44.871184137308497</v>
      </c>
      <c r="LU8">
        <v>91.434447745797101</v>
      </c>
      <c r="LV8">
        <v>18.519488261527101</v>
      </c>
      <c r="LW8">
        <v>18.6885151914374</v>
      </c>
      <c r="LX8">
        <v>50.759093888103799</v>
      </c>
      <c r="LY8">
        <v>-13.762145963168001</v>
      </c>
      <c r="LZ8">
        <v>18.4780187463545</v>
      </c>
      <c r="MA8">
        <v>16.440999999999999</v>
      </c>
      <c r="MB8">
        <v>67.157558795227899</v>
      </c>
      <c r="MC8">
        <v>120.356818854338</v>
      </c>
      <c r="MD8">
        <v>18.457992644642601</v>
      </c>
      <c r="ME8">
        <v>18.623844535189701</v>
      </c>
      <c r="MF8">
        <v>62.388986041355402</v>
      </c>
      <c r="MG8">
        <v>-24.212260313814099</v>
      </c>
      <c r="MH8">
        <v>18.540541053975399</v>
      </c>
      <c r="MI8">
        <v>16.440999999999999</v>
      </c>
      <c r="MJ8">
        <v>60.680198195975699</v>
      </c>
      <c r="MK8">
        <v>94.965176177270493</v>
      </c>
      <c r="ML8">
        <v>18.570203375550101</v>
      </c>
      <c r="MM8">
        <v>18.758453908097401</v>
      </c>
      <c r="MN8">
        <v>71.802191642917805</v>
      </c>
      <c r="MO8">
        <v>-13.8449043703356</v>
      </c>
      <c r="MP8">
        <v>18.4701991141302</v>
      </c>
      <c r="MQ8">
        <v>16.440999999999999</v>
      </c>
      <c r="MR8">
        <v>66.006245854308105</v>
      </c>
      <c r="MS8">
        <v>113.57747772414901</v>
      </c>
      <c r="MT8">
        <v>18.459425270675101</v>
      </c>
      <c r="MU8">
        <v>18.6350401365175</v>
      </c>
      <c r="MV8">
        <v>63.440801161497802</v>
      </c>
      <c r="MW8">
        <v>-30.137970012533799</v>
      </c>
      <c r="MX8">
        <v>19.932420824126702</v>
      </c>
      <c r="MY8">
        <v>19.649299959138499</v>
      </c>
      <c r="MZ8">
        <v>56.241850984051403</v>
      </c>
      <c r="NA8">
        <v>321.53494199857698</v>
      </c>
      <c r="NB8">
        <v>19.714009182673699</v>
      </c>
      <c r="NC8">
        <v>19.418294778879901</v>
      </c>
      <c r="ND8">
        <v>-25.652374282601201</v>
      </c>
      <c r="NE8">
        <v>-19.849530801695501</v>
      </c>
      <c r="NF8">
        <v>19.863621912869199</v>
      </c>
      <c r="NG8">
        <v>19.5770394207997</v>
      </c>
      <c r="NH8">
        <v>38.427225334756301</v>
      </c>
      <c r="NI8">
        <v>219.81753207290799</v>
      </c>
      <c r="NJ8">
        <v>19.624566088551401</v>
      </c>
      <c r="NK8">
        <v>19.294652010887699</v>
      </c>
      <c r="NL8">
        <v>-18.496239196347499</v>
      </c>
      <c r="NM8">
        <v>-30.283776584861801</v>
      </c>
      <c r="NN8">
        <v>20.042295839925501</v>
      </c>
      <c r="NO8">
        <v>19.739428418275999</v>
      </c>
      <c r="NP8">
        <v>57.376089988545402</v>
      </c>
      <c r="NQ8">
        <v>329.32594655548201</v>
      </c>
      <c r="NR8" s="35">
        <v>19.819832161582902</v>
      </c>
      <c r="NS8" s="35">
        <v>19.518163931952</v>
      </c>
      <c r="NT8">
        <v>-26.037460986292601</v>
      </c>
      <c r="NU8" s="35">
        <v>-19.934602017510102</v>
      </c>
      <c r="NV8" s="35">
        <v>19.869463962302799</v>
      </c>
      <c r="NW8" s="35">
        <v>19.5825595651988</v>
      </c>
      <c r="NX8" s="35">
        <v>1.7</v>
      </c>
      <c r="NY8" s="35">
        <v>37.806899393840602</v>
      </c>
      <c r="NZ8">
        <v>215.017039939547</v>
      </c>
      <c r="OA8" s="35">
        <v>19.637570611388501</v>
      </c>
      <c r="OB8" s="35">
        <v>19.324066239230699</v>
      </c>
      <c r="OC8">
        <v>1.7</v>
      </c>
      <c r="OD8">
        <v>-17.411052201520999</v>
      </c>
      <c r="OE8">
        <v>1.7</v>
      </c>
      <c r="OF8">
        <v>1.7</v>
      </c>
      <c r="OG8">
        <v>-24.086900118415901</v>
      </c>
      <c r="OH8">
        <v>19.3844213879674</v>
      </c>
      <c r="OI8">
        <v>19.7784167691836</v>
      </c>
      <c r="OJ8">
        <v>176.433077911878</v>
      </c>
      <c r="OK8">
        <v>840.95216871480704</v>
      </c>
      <c r="OL8">
        <v>18.755812165396399</v>
      </c>
      <c r="OM8">
        <v>18.002483578929301</v>
      </c>
      <c r="ON8">
        <v>-59.266195878897797</v>
      </c>
      <c r="OO8">
        <v>-16.071387311804699</v>
      </c>
      <c r="OP8">
        <v>19.312538851260101</v>
      </c>
      <c r="OQ8">
        <v>19.696028796536801</v>
      </c>
      <c r="OR8">
        <v>111.73373071372301</v>
      </c>
      <c r="OS8">
        <v>543.45806596449097</v>
      </c>
      <c r="OT8">
        <v>18.666638847677799</v>
      </c>
      <c r="OU8">
        <v>17.9008973039052</v>
      </c>
      <c r="OV8">
        <v>-42.066604624210498</v>
      </c>
      <c r="OW8">
        <v>-22.719284454854201</v>
      </c>
      <c r="OX8">
        <v>19.476270473364099</v>
      </c>
      <c r="OY8">
        <v>19.876124128521301</v>
      </c>
      <c r="OZ8">
        <v>198.58884937714399</v>
      </c>
      <c r="PA8">
        <v>867.03626738080595</v>
      </c>
      <c r="PB8">
        <v>18.846779900625201</v>
      </c>
      <c r="PC8">
        <v>18.0951092464813</v>
      </c>
      <c r="PD8">
        <v>-37.440889807815097</v>
      </c>
      <c r="PE8">
        <v>-16.150820119535201</v>
      </c>
      <c r="PF8">
        <v>19.3090415879449</v>
      </c>
      <c r="PG8">
        <v>19.695860630734199</v>
      </c>
      <c r="PH8">
        <v>1.7</v>
      </c>
      <c r="PI8">
        <v>110.933909720816</v>
      </c>
      <c r="PJ8">
        <v>537.61454312471199</v>
      </c>
      <c r="PK8">
        <v>18.6715363862507</v>
      </c>
      <c r="PL8">
        <v>17.9171954716352</v>
      </c>
      <c r="PM8">
        <v>1.7</v>
      </c>
      <c r="PN8" s="35">
        <v>-40.867473243206803</v>
      </c>
      <c r="PO8">
        <v>18.765822764862001</v>
      </c>
      <c r="PP8">
        <v>18.6794465515936</v>
      </c>
      <c r="PQ8">
        <v>18.8092830552138</v>
      </c>
      <c r="PR8">
        <v>18.693586864393701</v>
      </c>
      <c r="PS8">
        <v>20.658566545352201</v>
      </c>
      <c r="PT8">
        <v>19.339879271012499</v>
      </c>
      <c r="PU8">
        <v>19.1925517608842</v>
      </c>
      <c r="PV8">
        <v>19.4008098753723</v>
      </c>
      <c r="PW8">
        <v>19.224226112820201</v>
      </c>
      <c r="PX8">
        <v>21.997025390692301</v>
      </c>
      <c r="PY8">
        <v>17.6377020844253</v>
      </c>
      <c r="PZ8">
        <v>17.5365739802895</v>
      </c>
      <c r="QA8">
        <v>17.692951900144902</v>
      </c>
      <c r="QB8">
        <v>17.555769280020002</v>
      </c>
      <c r="QC8">
        <v>20.356109981427</v>
      </c>
      <c r="QD8" s="35">
        <v>20.496251682080999</v>
      </c>
      <c r="QE8" s="35">
        <v>18.475557054631299</v>
      </c>
      <c r="QF8">
        <v>18.416074756711499</v>
      </c>
      <c r="QG8">
        <v>18.500522490558499</v>
      </c>
      <c r="QH8">
        <v>18.429977739809299</v>
      </c>
      <c r="QI8">
        <v>20.6611498014205</v>
      </c>
      <c r="QJ8">
        <v>18.880085786444099</v>
      </c>
      <c r="QK8">
        <v>18.705169574569201</v>
      </c>
      <c r="QL8">
        <v>18.925240402672301</v>
      </c>
      <c r="QM8">
        <v>18.7565967169534</v>
      </c>
      <c r="QN8">
        <v>309.51562533299801</v>
      </c>
      <c r="QO8">
        <v>22.078409920948499</v>
      </c>
      <c r="QP8">
        <v>-632.40703854263495</v>
      </c>
      <c r="QQ8">
        <v>17.7836007586371</v>
      </c>
      <c r="QR8">
        <v>17.708953672534101</v>
      </c>
      <c r="QS8">
        <v>17.798675560108101</v>
      </c>
      <c r="QT8">
        <v>17.7277956101311</v>
      </c>
      <c r="QU8">
        <v>20.3975780310247</v>
      </c>
      <c r="QV8">
        <v>16.249390964385402</v>
      </c>
      <c r="QW8">
        <v>283883.48330064298</v>
      </c>
      <c r="QX8">
        <v>0</v>
      </c>
      <c r="QY8">
        <v>184703.500267175</v>
      </c>
      <c r="QZ8">
        <v>0</v>
      </c>
      <c r="RA8">
        <v>41965.9242870253</v>
      </c>
      <c r="RB8">
        <v>0</v>
      </c>
      <c r="RC8">
        <v>27509.8435664258</v>
      </c>
      <c r="RD8">
        <v>0</v>
      </c>
      <c r="RE8">
        <v>93830.011811979799</v>
      </c>
      <c r="RF8">
        <v>0</v>
      </c>
      <c r="RG8">
        <v>61306.599860002701</v>
      </c>
      <c r="RH8" s="35">
        <v>0</v>
      </c>
      <c r="RI8">
        <v>344.10942191545502</v>
      </c>
      <c r="RJ8" s="35">
        <v>0</v>
      </c>
      <c r="RK8" s="35">
        <v>18.1852913444006</v>
      </c>
      <c r="RL8">
        <v>389.98811335175202</v>
      </c>
      <c r="RM8">
        <v>389.98811335175202</v>
      </c>
      <c r="RN8">
        <v>13038.648834023699</v>
      </c>
      <c r="RO8" s="35">
        <v>342.25229837354902</v>
      </c>
      <c r="RP8">
        <v>0</v>
      </c>
      <c r="RQ8">
        <v>18.152702961829501</v>
      </c>
      <c r="RR8">
        <v>367.05904600758498</v>
      </c>
      <c r="RS8">
        <v>367.05904600758498</v>
      </c>
      <c r="RT8">
        <v>8402.8953647360195</v>
      </c>
      <c r="RU8">
        <v>287.81442336329297</v>
      </c>
      <c r="RV8">
        <v>0</v>
      </c>
      <c r="RW8">
        <v>18.191761925903101</v>
      </c>
      <c r="RX8">
        <v>342.01040335218403</v>
      </c>
      <c r="RY8">
        <v>342.01040335218403</v>
      </c>
      <c r="RZ8">
        <v>12990.221449988299</v>
      </c>
      <c r="SA8">
        <v>298.20555960184498</v>
      </c>
      <c r="SB8">
        <v>0</v>
      </c>
      <c r="SC8">
        <v>18.166368615224901</v>
      </c>
      <c r="SD8">
        <v>321.82924626662901</v>
      </c>
      <c r="SE8">
        <v>321.82924626662901</v>
      </c>
      <c r="SF8">
        <v>8356.8651308369608</v>
      </c>
      <c r="SG8">
        <v>0</v>
      </c>
      <c r="SH8">
        <v>5318.6480704616597</v>
      </c>
      <c r="SI8">
        <v>20.663733057488901</v>
      </c>
      <c r="SJ8">
        <v>0</v>
      </c>
      <c r="SK8">
        <v>-19925.726249553099</v>
      </c>
      <c r="SL8">
        <v>50344.4861126869</v>
      </c>
      <c r="SM8">
        <v>18.333300000000001</v>
      </c>
      <c r="SN8">
        <v>26.666699999999999</v>
      </c>
      <c r="SO8">
        <v>0</v>
      </c>
      <c r="SP8">
        <v>143.54715835014801</v>
      </c>
      <c r="SQ8">
        <v>18.958444124221799</v>
      </c>
      <c r="SR8">
        <v>0</v>
      </c>
      <c r="SS8">
        <v>0</v>
      </c>
      <c r="ST8">
        <v>0</v>
      </c>
      <c r="SU8">
        <v>0</v>
      </c>
      <c r="SV8">
        <v>113.39802817223401</v>
      </c>
      <c r="SW8">
        <v>18.8155302318468</v>
      </c>
      <c r="SX8">
        <v>0</v>
      </c>
      <c r="SY8">
        <v>0</v>
      </c>
      <c r="SZ8">
        <v>0</v>
      </c>
      <c r="TA8">
        <v>0</v>
      </c>
      <c r="TB8">
        <v>223.604281442706</v>
      </c>
      <c r="TC8">
        <v>18.9082003213455</v>
      </c>
      <c r="TD8">
        <v>0</v>
      </c>
      <c r="TE8">
        <v>0</v>
      </c>
      <c r="TF8">
        <v>0</v>
      </c>
      <c r="TG8">
        <v>0</v>
      </c>
      <c r="TH8">
        <v>111.50990057906699</v>
      </c>
      <c r="TI8">
        <v>18.828566570323002</v>
      </c>
      <c r="TJ8">
        <v>0</v>
      </c>
      <c r="TK8">
        <v>0</v>
      </c>
      <c r="TL8">
        <v>0</v>
      </c>
      <c r="TM8">
        <v>50.299499321219599</v>
      </c>
      <c r="TN8">
        <v>423.86170438327599</v>
      </c>
      <c r="TO8">
        <v>20.668661047037201</v>
      </c>
      <c r="TP8">
        <v>0</v>
      </c>
      <c r="TQ8">
        <v>0</v>
      </c>
      <c r="TR8">
        <v>0</v>
      </c>
      <c r="TS8">
        <v>0</v>
      </c>
      <c r="TT8">
        <v>0</v>
      </c>
      <c r="TU8">
        <v>18.420292301875701</v>
      </c>
      <c r="TV8">
        <v>0</v>
      </c>
      <c r="TW8">
        <v>-260.87648018886</v>
      </c>
      <c r="TX8">
        <v>12386.1044389168</v>
      </c>
      <c r="TY8">
        <v>0</v>
      </c>
      <c r="TZ8">
        <v>0</v>
      </c>
      <c r="UA8">
        <v>18.217787388254301</v>
      </c>
      <c r="UB8">
        <v>43.745141414539802</v>
      </c>
      <c r="UC8">
        <v>26.113569731023698</v>
      </c>
      <c r="UD8">
        <v>8064.8382194046599</v>
      </c>
      <c r="UE8">
        <v>0</v>
      </c>
      <c r="UF8">
        <v>0</v>
      </c>
      <c r="UG8">
        <v>18.4496709299722</v>
      </c>
      <c r="UH8">
        <v>0</v>
      </c>
      <c r="UI8">
        <v>-305.85883821632302</v>
      </c>
      <c r="UJ8">
        <v>12339.9047410283</v>
      </c>
      <c r="UK8">
        <v>0</v>
      </c>
      <c r="UL8">
        <v>0</v>
      </c>
      <c r="UM8">
        <v>18.288967321086499</v>
      </c>
      <c r="UN8">
        <v>26.8005492590455</v>
      </c>
      <c r="UO8">
        <v>-42.349596151821103</v>
      </c>
      <c r="UP8">
        <v>7994.4013145361296</v>
      </c>
      <c r="UQ8">
        <v>0</v>
      </c>
      <c r="UR8">
        <v>3892.2204249225802</v>
      </c>
      <c r="US8">
        <v>22.1597944512047</v>
      </c>
      <c r="UT8">
        <v>0</v>
      </c>
      <c r="UU8">
        <v>-32355.0802259095</v>
      </c>
      <c r="UV8">
        <v>37190.282032957497</v>
      </c>
      <c r="UW8">
        <v>18.333300000000001</v>
      </c>
      <c r="UX8">
        <v>26.666699999999999</v>
      </c>
      <c r="UY8">
        <v>0</v>
      </c>
      <c r="UZ8">
        <v>0</v>
      </c>
      <c r="VA8">
        <v>19.455034306994499</v>
      </c>
      <c r="VB8">
        <v>0</v>
      </c>
      <c r="VC8">
        <v>0</v>
      </c>
      <c r="VD8">
        <v>0</v>
      </c>
      <c r="VE8">
        <v>0</v>
      </c>
      <c r="VF8">
        <v>0</v>
      </c>
      <c r="VG8">
        <v>19.355852677116701</v>
      </c>
      <c r="VH8">
        <v>0</v>
      </c>
      <c r="VI8">
        <v>0</v>
      </c>
      <c r="VJ8">
        <v>0</v>
      </c>
      <c r="VK8">
        <v>0</v>
      </c>
      <c r="VL8">
        <v>0</v>
      </c>
      <c r="VM8">
        <v>19.546659565498199</v>
      </c>
      <c r="VN8">
        <v>0</v>
      </c>
      <c r="VO8">
        <v>0</v>
      </c>
      <c r="VP8">
        <v>0</v>
      </c>
      <c r="VQ8">
        <v>0</v>
      </c>
      <c r="VR8">
        <v>0</v>
      </c>
      <c r="VS8">
        <v>19.3612554745363</v>
      </c>
      <c r="VT8">
        <v>0</v>
      </c>
      <c r="VU8">
        <v>0</v>
      </c>
      <c r="VV8">
        <v>0</v>
      </c>
      <c r="VW8">
        <v>760.27286111109402</v>
      </c>
      <c r="VX8">
        <v>0</v>
      </c>
      <c r="VY8">
        <v>21.958373273484899</v>
      </c>
      <c r="VZ8">
        <v>0</v>
      </c>
      <c r="WA8">
        <v>0</v>
      </c>
      <c r="WB8">
        <v>0</v>
      </c>
      <c r="WC8">
        <v>1694.6964534552201</v>
      </c>
      <c r="WD8">
        <v>0</v>
      </c>
      <c r="WE8">
        <v>17.9294994328489</v>
      </c>
      <c r="WF8">
        <v>1780.66275702199</v>
      </c>
      <c r="WG8">
        <v>1780.66275702199</v>
      </c>
      <c r="WH8">
        <v>14465.746580027801</v>
      </c>
      <c r="WI8">
        <v>0</v>
      </c>
      <c r="WJ8">
        <v>1209.5211987816101</v>
      </c>
      <c r="WK8">
        <v>0</v>
      </c>
      <c r="WL8">
        <v>17.881333364778701</v>
      </c>
      <c r="WM8">
        <v>1269.0921892287599</v>
      </c>
      <c r="WN8">
        <v>1269.0921892287599</v>
      </c>
      <c r="WO8">
        <v>9329.3120366074399</v>
      </c>
      <c r="WP8">
        <v>18.333300000000001</v>
      </c>
      <c r="WQ8">
        <v>26.666699999999999</v>
      </c>
      <c r="WR8">
        <v>1602.36489718445</v>
      </c>
      <c r="WS8">
        <v>0</v>
      </c>
      <c r="WT8">
        <v>17.904399220071301</v>
      </c>
      <c r="WU8">
        <v>1730.6917555980999</v>
      </c>
      <c r="WV8">
        <v>1730.6917555980999</v>
      </c>
      <c r="WW8">
        <v>14416.553646960199</v>
      </c>
      <c r="WX8">
        <v>0</v>
      </c>
      <c r="WY8">
        <v>1155.77430523104</v>
      </c>
      <c r="WZ8">
        <v>0</v>
      </c>
      <c r="XA8">
        <v>17.899821940242202</v>
      </c>
      <c r="XB8">
        <v>1214.4879093224499</v>
      </c>
      <c r="XC8">
        <v>1214.4879093224499</v>
      </c>
      <c r="XD8">
        <v>9273.7238420816593</v>
      </c>
      <c r="XE8">
        <v>19.1424196133385</v>
      </c>
      <c r="XF8">
        <v>3663.7190354241902</v>
      </c>
      <c r="XG8">
        <v>20.439046080622401</v>
      </c>
      <c r="XH8">
        <v>0</v>
      </c>
      <c r="XI8">
        <v>-18227.532426665501</v>
      </c>
      <c r="XJ8">
        <v>50571.6769164008</v>
      </c>
      <c r="XK8">
        <v>18.333300000000001</v>
      </c>
      <c r="XL8">
        <v>26.666699999999999</v>
      </c>
      <c r="XM8">
        <v>416.11147458644399</v>
      </c>
      <c r="XN8">
        <v>0</v>
      </c>
      <c r="XO8">
        <v>15.4382051188307</v>
      </c>
      <c r="XP8">
        <v>0</v>
      </c>
      <c r="XQ8">
        <v>0</v>
      </c>
      <c r="XR8">
        <v>0</v>
      </c>
      <c r="XS8">
        <v>265.10718634200401</v>
      </c>
      <c r="XT8">
        <v>0</v>
      </c>
      <c r="XU8">
        <v>15.332678353263599</v>
      </c>
      <c r="XV8">
        <v>0</v>
      </c>
      <c r="XW8">
        <v>0</v>
      </c>
      <c r="XX8">
        <v>0</v>
      </c>
      <c r="XY8">
        <v>521.73374336172606</v>
      </c>
      <c r="XZ8">
        <v>0</v>
      </c>
      <c r="YA8">
        <v>15.6747840330244</v>
      </c>
      <c r="YB8">
        <v>0</v>
      </c>
      <c r="YC8">
        <v>0</v>
      </c>
      <c r="YD8">
        <v>0</v>
      </c>
      <c r="YE8">
        <v>266.245146139398</v>
      </c>
      <c r="YF8">
        <v>0</v>
      </c>
      <c r="YG8">
        <v>15.360773631062299</v>
      </c>
      <c r="YH8">
        <v>0</v>
      </c>
      <c r="YI8">
        <v>0</v>
      </c>
      <c r="YJ8">
        <v>0</v>
      </c>
      <c r="YK8">
        <v>296.15511009252299</v>
      </c>
      <c r="YL8">
        <v>78.914570868242706</v>
      </c>
      <c r="YM8">
        <v>18.345587530652601</v>
      </c>
      <c r="YN8">
        <v>0</v>
      </c>
      <c r="YO8">
        <v>0</v>
      </c>
      <c r="YP8">
        <v>0</v>
      </c>
      <c r="YQ8">
        <v>29.335899830802301</v>
      </c>
      <c r="YR8">
        <v>266.061583563363</v>
      </c>
      <c r="YS8">
        <v>18.196924266484601</v>
      </c>
      <c r="YT8">
        <v>0</v>
      </c>
      <c r="YU8">
        <v>0</v>
      </c>
      <c r="YV8">
        <v>0</v>
      </c>
      <c r="YW8">
        <v>19.5109419732437</v>
      </c>
      <c r="YX8">
        <v>239.90549345019201</v>
      </c>
      <c r="YY8">
        <v>18.014002165966399</v>
      </c>
      <c r="YZ8">
        <v>0</v>
      </c>
      <c r="ZA8">
        <v>0</v>
      </c>
      <c r="ZB8">
        <v>0</v>
      </c>
      <c r="ZC8">
        <v>41.409059382053599</v>
      </c>
      <c r="ZD8">
        <v>401.92378621473102</v>
      </c>
      <c r="ZE8">
        <v>18.098852006470299</v>
      </c>
      <c r="ZF8">
        <v>0</v>
      </c>
      <c r="ZG8">
        <v>0</v>
      </c>
      <c r="ZH8">
        <v>0</v>
      </c>
      <c r="ZI8">
        <v>19.608554605509699</v>
      </c>
      <c r="ZJ8">
        <v>239.657977822813</v>
      </c>
      <c r="ZK8">
        <v>18.011339419498398</v>
      </c>
      <c r="ZL8">
        <v>0</v>
      </c>
      <c r="ZM8">
        <v>0</v>
      </c>
      <c r="ZN8">
        <v>0</v>
      </c>
      <c r="ZO8">
        <v>0</v>
      </c>
      <c r="ZP8">
        <v>15078.435684779901</v>
      </c>
      <c r="ZQ8">
        <v>15.270662942346499</v>
      </c>
      <c r="ZR8">
        <v>0</v>
      </c>
      <c r="ZS8">
        <v>0</v>
      </c>
      <c r="ZT8">
        <v>0</v>
      </c>
      <c r="ZU8">
        <v>0</v>
      </c>
      <c r="ZV8">
        <v>0</v>
      </c>
      <c r="ZW8">
        <v>19.7748644744354</v>
      </c>
      <c r="ZX8">
        <v>0</v>
      </c>
      <c r="ZY8">
        <v>0</v>
      </c>
      <c r="ZZ8">
        <v>0</v>
      </c>
      <c r="AAA8">
        <v>0</v>
      </c>
      <c r="AAB8">
        <v>0</v>
      </c>
      <c r="AAC8">
        <v>19.694377428432901</v>
      </c>
      <c r="AAD8">
        <v>0</v>
      </c>
      <c r="AAE8">
        <v>0</v>
      </c>
      <c r="AAF8">
        <v>0</v>
      </c>
      <c r="AAG8">
        <v>0</v>
      </c>
      <c r="AAH8">
        <v>0</v>
      </c>
      <c r="AAI8">
        <v>19.881431419750701</v>
      </c>
      <c r="AAJ8">
        <v>0</v>
      </c>
      <c r="AAK8">
        <v>0</v>
      </c>
      <c r="AAL8">
        <v>0</v>
      </c>
      <c r="AAM8">
        <v>0</v>
      </c>
      <c r="AAN8">
        <v>0</v>
      </c>
      <c r="AAO8">
        <v>19.703401996029701</v>
      </c>
      <c r="AAP8">
        <v>0</v>
      </c>
      <c r="AAQ8">
        <v>0</v>
      </c>
      <c r="AAR8">
        <v>0</v>
      </c>
      <c r="AAS8">
        <v>0</v>
      </c>
      <c r="AAT8">
        <v>12208.8146487701</v>
      </c>
      <c r="AAU8">
        <v>18.098783586861799</v>
      </c>
      <c r="AAV8">
        <v>0</v>
      </c>
      <c r="AAW8">
        <v>0</v>
      </c>
      <c r="AAX8">
        <v>0</v>
      </c>
      <c r="AAY8">
        <v>83.719291584688094</v>
      </c>
      <c r="AAZ8">
        <v>336.77347797597901</v>
      </c>
      <c r="ABA8">
        <v>18.730202959274902</v>
      </c>
      <c r="ABB8">
        <v>0</v>
      </c>
      <c r="ABC8">
        <v>0</v>
      </c>
      <c r="ABD8">
        <v>0</v>
      </c>
      <c r="ABE8">
        <v>55.4664084892703</v>
      </c>
      <c r="ABF8">
        <v>207.694523644501</v>
      </c>
      <c r="ABG8">
        <v>18.665485784157301</v>
      </c>
      <c r="ABH8">
        <v>0</v>
      </c>
      <c r="ABI8">
        <v>0</v>
      </c>
      <c r="ABJ8">
        <v>0</v>
      </c>
      <c r="ABK8">
        <v>106.253967457784</v>
      </c>
      <c r="ABL8">
        <v>460.467162016359</v>
      </c>
      <c r="ABM8">
        <v>18.702159574246501</v>
      </c>
      <c r="ABN8">
        <v>0</v>
      </c>
      <c r="ABO8">
        <v>0</v>
      </c>
      <c r="ABP8">
        <v>0</v>
      </c>
      <c r="ABQ8">
        <v>55.505911655260299</v>
      </c>
      <c r="ABR8">
        <v>207.86516813</v>
      </c>
      <c r="ABS8">
        <v>18.6657011455098</v>
      </c>
      <c r="ABT8">
        <v>0</v>
      </c>
      <c r="ABU8">
        <v>0</v>
      </c>
      <c r="ABV8">
        <v>0</v>
      </c>
      <c r="ABW8">
        <v>0</v>
      </c>
      <c r="ABX8">
        <v>17611.066128025399</v>
      </c>
      <c r="ABY8">
        <v>16.249390964385402</v>
      </c>
      <c r="ABZ8">
        <v>0</v>
      </c>
      <c r="ACA8">
        <v>0</v>
      </c>
      <c r="ACB8">
        <v>0</v>
      </c>
      <c r="ACC8">
        <v>0</v>
      </c>
      <c r="ACD8">
        <v>0</v>
      </c>
      <c r="ACE8">
        <v>0</v>
      </c>
      <c r="ACF8">
        <v>5.2874999999999996</v>
      </c>
      <c r="ACG8">
        <v>5.2874999999999996</v>
      </c>
      <c r="ACH8">
        <v>0</v>
      </c>
      <c r="ACI8">
        <v>0</v>
      </c>
      <c r="ACJ8">
        <v>0</v>
      </c>
      <c r="ACK8">
        <v>20.868780998713401</v>
      </c>
      <c r="ACL8">
        <v>20.868780998713401</v>
      </c>
      <c r="ACM8">
        <v>0</v>
      </c>
      <c r="ACN8">
        <v>24089.220895068</v>
      </c>
      <c r="ACP8">
        <v>6085.6304530810903</v>
      </c>
      <c r="ACR8">
        <v>30174.851348149099</v>
      </c>
      <c r="ACT8">
        <v>21.341853227927199</v>
      </c>
      <c r="ACU8">
        <v>20.0208293429402</v>
      </c>
      <c r="ACV8">
        <v>1.7</v>
      </c>
      <c r="ACW8">
        <v>1.8050079023561301</v>
      </c>
      <c r="ACX8">
        <v>0.756727851880171</v>
      </c>
      <c r="ACY8">
        <v>22.639370472876202</v>
      </c>
      <c r="ACZ8">
        <v>21.6897529961464</v>
      </c>
      <c r="ADA8">
        <v>1.7</v>
      </c>
      <c r="ADB8">
        <v>1.99956526152039</v>
      </c>
      <c r="ADC8">
        <v>0.76589793099127401</v>
      </c>
      <c r="ADD8">
        <v>20.934950322816999</v>
      </c>
      <c r="ADE8">
        <v>20.076958433318602</v>
      </c>
      <c r="ADF8">
        <v>1.2749999999999999</v>
      </c>
      <c r="ADG8">
        <v>1.3701027268152901</v>
      </c>
      <c r="ADH8">
        <v>0.81917794194812599</v>
      </c>
      <c r="ADI8">
        <v>18.629624513401701</v>
      </c>
      <c r="ADJ8">
        <v>18.629624513401701</v>
      </c>
      <c r="ADK8">
        <v>0</v>
      </c>
      <c r="ADL8">
        <v>0</v>
      </c>
      <c r="ADM8">
        <v>1</v>
      </c>
      <c r="ADN8">
        <v>18.6231870613796</v>
      </c>
      <c r="ADO8">
        <v>18.6231870613796</v>
      </c>
      <c r="ADP8">
        <v>0</v>
      </c>
      <c r="ADQ8">
        <v>0</v>
      </c>
      <c r="ADR8">
        <v>1</v>
      </c>
      <c r="ADS8">
        <v>18.615178480011298</v>
      </c>
      <c r="ADT8">
        <v>18.615178480011298</v>
      </c>
      <c r="ADU8">
        <v>0</v>
      </c>
      <c r="ADV8">
        <v>0</v>
      </c>
      <c r="ADW8">
        <v>1</v>
      </c>
      <c r="ADX8">
        <v>18.6172358404398</v>
      </c>
      <c r="ADY8">
        <v>18.6172358404398</v>
      </c>
      <c r="ADZ8">
        <v>0</v>
      </c>
      <c r="AEA8">
        <v>0</v>
      </c>
      <c r="AEB8">
        <v>1</v>
      </c>
      <c r="AEC8">
        <v>18.925313281195798</v>
      </c>
      <c r="AED8">
        <v>18.925313281195798</v>
      </c>
      <c r="AEE8">
        <v>0</v>
      </c>
      <c r="AEF8">
        <v>0</v>
      </c>
      <c r="AEG8">
        <v>1</v>
      </c>
      <c r="AEH8">
        <v>18.749122305224901</v>
      </c>
      <c r="AEI8">
        <v>18.749122305224901</v>
      </c>
      <c r="AEJ8">
        <v>0</v>
      </c>
      <c r="AEK8">
        <v>0</v>
      </c>
      <c r="AEL8">
        <v>1</v>
      </c>
      <c r="AEM8">
        <v>18.966007388428501</v>
      </c>
      <c r="AEN8">
        <v>18.966007388428501</v>
      </c>
      <c r="AEO8">
        <v>0</v>
      </c>
      <c r="AEP8">
        <v>0</v>
      </c>
      <c r="AEQ8">
        <v>1</v>
      </c>
      <c r="AER8">
        <v>18.802953302216601</v>
      </c>
      <c r="AES8">
        <v>18.802953302216601</v>
      </c>
      <c r="AET8">
        <v>0</v>
      </c>
      <c r="AEU8">
        <v>0</v>
      </c>
      <c r="AEV8">
        <v>1</v>
      </c>
      <c r="AEW8">
        <v>18.347047863704599</v>
      </c>
      <c r="AEX8">
        <v>18.347047863704599</v>
      </c>
      <c r="AEY8">
        <v>0</v>
      </c>
      <c r="AEZ8">
        <v>0</v>
      </c>
      <c r="AFA8">
        <v>1</v>
      </c>
      <c r="AFB8">
        <v>18.327859203942701</v>
      </c>
      <c r="AFC8">
        <v>18.327859203942701</v>
      </c>
      <c r="AFD8">
        <v>0</v>
      </c>
      <c r="AFE8">
        <v>0</v>
      </c>
      <c r="AFF8">
        <v>1</v>
      </c>
      <c r="AFG8">
        <v>18.323013545235099</v>
      </c>
      <c r="AFH8">
        <v>18.323013545235099</v>
      </c>
      <c r="AFI8">
        <v>0</v>
      </c>
      <c r="AFJ8">
        <v>0</v>
      </c>
      <c r="AFK8">
        <v>1</v>
      </c>
      <c r="AFL8">
        <v>18.325318726890401</v>
      </c>
      <c r="AFM8">
        <v>18.325318726890401</v>
      </c>
      <c r="AFN8">
        <v>0</v>
      </c>
      <c r="AFO8">
        <v>0</v>
      </c>
      <c r="AFP8">
        <v>1</v>
      </c>
      <c r="AFQ8">
        <v>-1.5834876131058999</v>
      </c>
      <c r="AFR8">
        <v>-1.58526458526258</v>
      </c>
      <c r="AFS8">
        <v>-1.59227000321458</v>
      </c>
      <c r="AFT8">
        <v>-1.59121823110345</v>
      </c>
      <c r="AFU8">
        <v>-1.50740832796436</v>
      </c>
      <c r="AFV8">
        <v>-1.5169548302817599</v>
      </c>
      <c r="AFW8">
        <v>-1.54059398187098</v>
      </c>
      <c r="AFX8">
        <v>-1.5488897216516799</v>
      </c>
      <c r="AFY8">
        <v>-1.6955236820634101</v>
      </c>
      <c r="AFZ8">
        <v>-1.69761758272245</v>
      </c>
      <c r="AGA8">
        <v>-1.7059797031755799</v>
      </c>
      <c r="AGB8">
        <v>-1.7063407379705</v>
      </c>
      <c r="AGC8">
        <v>-1.2669373368197501</v>
      </c>
      <c r="AGD8">
        <v>-0.92757118546434003</v>
      </c>
      <c r="AGE8">
        <v>-1.2774825647475101</v>
      </c>
      <c r="AGF8">
        <v>1</v>
      </c>
      <c r="AGG8">
        <v>1</v>
      </c>
      <c r="AGH8">
        <v>1</v>
      </c>
      <c r="AGI8">
        <v>1</v>
      </c>
      <c r="AGJ8">
        <v>0.75</v>
      </c>
      <c r="AGK8">
        <v>0</v>
      </c>
      <c r="AGL8">
        <v>0</v>
      </c>
      <c r="AGM8">
        <v>0</v>
      </c>
      <c r="AGN8">
        <v>0</v>
      </c>
      <c r="AGO8">
        <v>0</v>
      </c>
      <c r="AGP8">
        <v>1</v>
      </c>
      <c r="AGQ8">
        <v>1</v>
      </c>
      <c r="AGR8">
        <v>1</v>
      </c>
      <c r="AGS8">
        <v>1</v>
      </c>
      <c r="AGT8">
        <v>0</v>
      </c>
      <c r="AGU8">
        <v>0</v>
      </c>
      <c r="AGV8">
        <v>0</v>
      </c>
      <c r="AGW8">
        <v>0</v>
      </c>
      <c r="AGX8">
        <v>0</v>
      </c>
      <c r="AGY8">
        <v>0</v>
      </c>
      <c r="AGZ8">
        <v>1</v>
      </c>
      <c r="AHA8">
        <v>1</v>
      </c>
      <c r="AHB8">
        <v>1</v>
      </c>
      <c r="AHC8">
        <v>1</v>
      </c>
      <c r="AHD8">
        <v>0.75</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Z8">
        <v>294.80785608730702</v>
      </c>
      <c r="AIB8">
        <v>0</v>
      </c>
      <c r="AID8">
        <v>336.68206061388503</v>
      </c>
      <c r="AIF8">
        <v>327.23227009216998</v>
      </c>
      <c r="AIH8">
        <v>270.71991213837498</v>
      </c>
      <c r="AIJ8">
        <v>0</v>
      </c>
      <c r="AIL8">
        <v>0</v>
      </c>
      <c r="AIN8">
        <v>0</v>
      </c>
      <c r="AIP8">
        <v>0</v>
      </c>
      <c r="AIR8">
        <v>0</v>
      </c>
      <c r="AIT8">
        <v>0</v>
      </c>
      <c r="AIV8">
        <v>1084.6107843295399</v>
      </c>
      <c r="AIX8">
        <v>1033.1895001758201</v>
      </c>
      <c r="AIZ8">
        <v>1493.22749871632</v>
      </c>
      <c r="AJB8">
        <v>1296.4098494370801</v>
      </c>
      <c r="AJC8">
        <v>0</v>
      </c>
      <c r="AJE8">
        <v>-2.8977994825293E-4</v>
      </c>
      <c r="AJH8">
        <v>5872.9274014315697</v>
      </c>
      <c r="AJJ8">
        <v>142.30823180513499</v>
      </c>
      <c r="AJK8">
        <v>0</v>
      </c>
      <c r="AJL8">
        <v>0</v>
      </c>
      <c r="AJM8">
        <v>0</v>
      </c>
      <c r="AJN8">
        <v>0</v>
      </c>
      <c r="AJO8">
        <v>0</v>
      </c>
      <c r="AJP8">
        <v>0</v>
      </c>
      <c r="AJQ8">
        <v>0</v>
      </c>
      <c r="AJR8">
        <v>0</v>
      </c>
      <c r="AJS8">
        <v>0</v>
      </c>
      <c r="AJT8">
        <v>0</v>
      </c>
      <c r="AJU8">
        <v>0</v>
      </c>
      <c r="AJV8">
        <v>0</v>
      </c>
      <c r="AJW8">
        <v>0</v>
      </c>
      <c r="AJX8">
        <v>0</v>
      </c>
      <c r="AJY8">
        <v>6153.7040826480397</v>
      </c>
      <c r="AJZ8">
        <v>0</v>
      </c>
      <c r="AKA8">
        <v>0</v>
      </c>
      <c r="AKB8">
        <v>6090.3487447880798</v>
      </c>
      <c r="AKC8">
        <v>8112.8659999646297</v>
      </c>
      <c r="AKD8">
        <v>29206317.599872701</v>
      </c>
      <c r="AKE8">
        <v>37.7440137357748</v>
      </c>
      <c r="AKF8">
        <v>70.269673065386897</v>
      </c>
      <c r="AKG8">
        <v>4.6672748637411297E-2</v>
      </c>
      <c r="AKH8">
        <v>0.143780350784799</v>
      </c>
      <c r="AKI8">
        <v>0</v>
      </c>
      <c r="AKJ8">
        <v>0</v>
      </c>
      <c r="AKK8">
        <v>0</v>
      </c>
      <c r="AKL8">
        <v>37.7440137357748</v>
      </c>
      <c r="AKM8">
        <v>37.7440137357748</v>
      </c>
      <c r="AKN8">
        <v>0</v>
      </c>
      <c r="AKO8">
        <v>0</v>
      </c>
      <c r="AKP8">
        <v>253421.35143980099</v>
      </c>
      <c r="AKT8">
        <v>0</v>
      </c>
      <c r="AKX8">
        <v>0</v>
      </c>
      <c r="ALB8">
        <v>20.868780998713401</v>
      </c>
      <c r="ALC8">
        <v>20.868780998713401</v>
      </c>
      <c r="ALD8">
        <v>0</v>
      </c>
      <c r="ALE8">
        <v>0</v>
      </c>
      <c r="ALF8">
        <v>0</v>
      </c>
      <c r="ALH8">
        <v>5.2875000630920699</v>
      </c>
      <c r="ALI8">
        <v>5.4785493812945004E-3</v>
      </c>
      <c r="ALJ8">
        <v>3.77279242017946</v>
      </c>
      <c r="ALK8">
        <v>5.2874999999999996</v>
      </c>
      <c r="ALL8">
        <v>3.77279242017946</v>
      </c>
      <c r="ALM8">
        <v>0</v>
      </c>
      <c r="ALN8">
        <v>20.033019208211499</v>
      </c>
      <c r="ALO8">
        <v>6.5188406679637604E-3</v>
      </c>
      <c r="ALP8">
        <v>45.1320839704807</v>
      </c>
      <c r="ALQ8">
        <v>3.77279242017946</v>
      </c>
      <c r="ALR8">
        <v>5.2875000630920699</v>
      </c>
      <c r="ALS8">
        <v>3.77279242017946</v>
      </c>
      <c r="ALT8">
        <v>6.5666238431120503</v>
      </c>
      <c r="ALU8">
        <v>3.77279242017946</v>
      </c>
      <c r="ALV8">
        <v>12.220032779007701</v>
      </c>
      <c r="ALW8">
        <v>9.9999999999999897E-12</v>
      </c>
      <c r="ALX8">
        <v>5.2874999999999996</v>
      </c>
      <c r="ALY8">
        <v>9.9999999999999897E-12</v>
      </c>
      <c r="ALZ8">
        <v>4.6672736142981597E-5</v>
      </c>
      <c r="AMA8">
        <v>5.2874999999999996</v>
      </c>
      <c r="AMB8">
        <v>0</v>
      </c>
      <c r="AMC8">
        <v>5.2874999999999996</v>
      </c>
      <c r="AMD8">
        <v>0</v>
      </c>
      <c r="AME8">
        <v>5.2874999999999996</v>
      </c>
      <c r="AMF8">
        <v>0</v>
      </c>
      <c r="AMG8">
        <v>0</v>
      </c>
      <c r="AMH8">
        <v>3.77279242017946</v>
      </c>
      <c r="AMI8">
        <v>20.4530864829932</v>
      </c>
      <c r="AMJ8">
        <v>0.1067187</v>
      </c>
      <c r="AMK8" s="580">
        <v>16.324773720252601</v>
      </c>
      <c r="AML8">
        <v>0.86607511999999998</v>
      </c>
      <c r="AMM8">
        <v>20.7770966236079</v>
      </c>
      <c r="AMN8">
        <v>0.1067176</v>
      </c>
      <c r="AMO8">
        <v>19.976991200235801</v>
      </c>
      <c r="AMP8">
        <v>0.12602240249999999</v>
      </c>
      <c r="AMQ8">
        <v>19.157854786291399</v>
      </c>
      <c r="AMR8">
        <v>0.213133249646139</v>
      </c>
      <c r="AMS8">
        <v>18.969866351484299</v>
      </c>
      <c r="AMT8">
        <v>0.86607511999999998</v>
      </c>
      <c r="AMU8">
        <v>19.7022429085462</v>
      </c>
      <c r="AMV8">
        <v>0</v>
      </c>
      <c r="AMW8">
        <v>19.7106900792663</v>
      </c>
      <c r="AMX8">
        <v>0</v>
      </c>
      <c r="AMY8">
        <v>19.7824239842789</v>
      </c>
      <c r="AMZ8">
        <v>0</v>
      </c>
      <c r="ANA8">
        <v>19.8892739882168</v>
      </c>
      <c r="ANB8">
        <v>0</v>
      </c>
      <c r="ANC8">
        <v>17.498224786011999</v>
      </c>
      <c r="AND8">
        <v>0.86607511999999998</v>
      </c>
      <c r="ANE8">
        <v>27.165555498013902</v>
      </c>
      <c r="ANF8">
        <v>0.10665288000000001</v>
      </c>
      <c r="ANG8">
        <v>26.765496427332899</v>
      </c>
      <c r="ANH8">
        <v>0.10672506</v>
      </c>
      <c r="ANI8">
        <v>26.1880894539492</v>
      </c>
      <c r="ANJ8">
        <v>0.16798560000000001</v>
      </c>
      <c r="ANK8">
        <v>23.355832936453702</v>
      </c>
      <c r="ANL8">
        <v>0.24061156803332601</v>
      </c>
      <c r="ANM8">
        <v>1.4186670721461401</v>
      </c>
      <c r="ANN8">
        <v>0.86607511999999998</v>
      </c>
      <c r="ANO8">
        <v>1.4880502280333301</v>
      </c>
      <c r="ANP8">
        <v>16.324773720252601</v>
      </c>
      <c r="ANQ8">
        <v>18.1959838120931</v>
      </c>
      <c r="ANR8">
        <v>18.192999234558599</v>
      </c>
      <c r="ANS8">
        <v>18.3787071560598</v>
      </c>
      <c r="ANT8">
        <v>18.3841139176259</v>
      </c>
      <c r="ANU8">
        <v>18.969866351484299</v>
      </c>
      <c r="ANV8">
        <v>19.7022429085462</v>
      </c>
      <c r="ANW8">
        <v>19.7106900792663</v>
      </c>
      <c r="ANX8">
        <v>19.8892739882168</v>
      </c>
      <c r="ANY8">
        <v>19.7824239842789</v>
      </c>
      <c r="ANZ8">
        <v>17.498224786011999</v>
      </c>
      <c r="AOA8">
        <v>18.843301791992999</v>
      </c>
      <c r="AOB8">
        <v>18.843163457519299</v>
      </c>
      <c r="AOC8">
        <v>18.946634636093499</v>
      </c>
      <c r="AOD8">
        <v>18.913874923575499</v>
      </c>
      <c r="AOE8">
        <v>20.033019208211499</v>
      </c>
      <c r="AOF8">
        <v>3.77279242017946</v>
      </c>
      <c r="AOG8">
        <v>20.045829630515499</v>
      </c>
      <c r="AOH8">
        <v>3.77279242017946</v>
      </c>
    </row>
    <row r="9" spans="1:1074">
      <c r="A9" t="s">
        <v>2944</v>
      </c>
      <c r="B9">
        <v>6.0750000000000002</v>
      </c>
      <c r="D9">
        <v>6.0750000000000002</v>
      </c>
      <c r="F9">
        <v>5</v>
      </c>
      <c r="G9">
        <v>3209477.3600209099</v>
      </c>
      <c r="H9">
        <v>7194327.4028177401</v>
      </c>
      <c r="I9">
        <v>2038209.47380775</v>
      </c>
      <c r="J9">
        <v>4568826.8291764203</v>
      </c>
      <c r="K9">
        <v>3209477.3600209099</v>
      </c>
      <c r="L9">
        <v>7194327.4028177401</v>
      </c>
      <c r="M9">
        <v>2038209.47380775</v>
      </c>
      <c r="N9">
        <v>4568826.8291764203</v>
      </c>
      <c r="O9">
        <v>16551899.9437728</v>
      </c>
      <c r="P9">
        <v>37102547.853275999</v>
      </c>
      <c r="Q9">
        <v>3209477.3600209099</v>
      </c>
      <c r="R9">
        <v>7194327.4028177401</v>
      </c>
      <c r="S9">
        <v>2038209.47380775</v>
      </c>
      <c r="T9">
        <v>4568826.8291764203</v>
      </c>
      <c r="U9">
        <v>3209477.3600209099</v>
      </c>
      <c r="V9">
        <v>7194327.4028177401</v>
      </c>
      <c r="W9">
        <v>2038209.47380775</v>
      </c>
      <c r="X9">
        <v>4568826.8291764203</v>
      </c>
      <c r="Y9">
        <v>16551899.9437728</v>
      </c>
      <c r="Z9">
        <v>37102547.853275999</v>
      </c>
      <c r="AA9">
        <v>3209477.3600209099</v>
      </c>
      <c r="AB9">
        <v>7194327.4028177401</v>
      </c>
      <c r="AC9">
        <v>2038209.47380775</v>
      </c>
      <c r="AD9">
        <v>4568826.8291764203</v>
      </c>
      <c r="AE9">
        <v>3209477.3600209099</v>
      </c>
      <c r="AF9">
        <v>7194327.4028177401</v>
      </c>
      <c r="AG9">
        <v>2038209.47380775</v>
      </c>
      <c r="AH9">
        <v>4568826.8291764203</v>
      </c>
      <c r="AI9">
        <v>16551899.9437728</v>
      </c>
      <c r="AJ9">
        <v>37102547.853275999</v>
      </c>
      <c r="AK9">
        <v>4.7432457005612898</v>
      </c>
      <c r="AL9">
        <v>791212.08773854002</v>
      </c>
      <c r="AM9">
        <v>2049082.1426424801</v>
      </c>
      <c r="AN9">
        <v>4.7432457005612898</v>
      </c>
      <c r="AO9">
        <v>791212.08773854002</v>
      </c>
      <c r="AP9">
        <v>2049082.1426424801</v>
      </c>
      <c r="AQ9">
        <v>3.01224381387097</v>
      </c>
      <c r="AR9">
        <v>502466.84806319798</v>
      </c>
      <c r="AS9">
        <v>1301289.32759226</v>
      </c>
      <c r="AT9">
        <v>3.01224381387097</v>
      </c>
      <c r="AU9">
        <v>502466.84806319798</v>
      </c>
      <c r="AV9">
        <v>1301289.32759226</v>
      </c>
      <c r="AW9">
        <v>4.7432457005612898</v>
      </c>
      <c r="AX9">
        <v>791212.08773854002</v>
      </c>
      <c r="AY9">
        <v>2049082.1426424801</v>
      </c>
      <c r="AZ9">
        <v>4.7432457005612898</v>
      </c>
      <c r="BA9">
        <v>791212.08773854002</v>
      </c>
      <c r="BB9">
        <v>2049082.1426424801</v>
      </c>
      <c r="BC9">
        <v>3.01224381387097</v>
      </c>
      <c r="BD9">
        <v>502466.84806319798</v>
      </c>
      <c r="BE9">
        <v>1301289.32759226</v>
      </c>
      <c r="BF9">
        <v>3.01224381387097</v>
      </c>
      <c r="BG9">
        <v>502466.84806319798</v>
      </c>
      <c r="BH9">
        <v>1301289.32759226</v>
      </c>
      <c r="BI9">
        <v>4.7432457005612898</v>
      </c>
      <c r="BJ9">
        <v>791212.08773854002</v>
      </c>
      <c r="BK9">
        <v>2049082.1426424801</v>
      </c>
      <c r="BL9">
        <v>4.7432457005612898</v>
      </c>
      <c r="BM9">
        <v>791212.08773854002</v>
      </c>
      <c r="BN9">
        <v>2049082.1426424801</v>
      </c>
      <c r="BO9">
        <v>3.01224381387097</v>
      </c>
      <c r="BP9">
        <v>502466.84806319798</v>
      </c>
      <c r="BQ9">
        <v>1301289.32759226</v>
      </c>
      <c r="BR9">
        <v>3.01224381387097</v>
      </c>
      <c r="BS9">
        <v>502466.84806319798</v>
      </c>
      <c r="BT9">
        <v>1301289.32759226</v>
      </c>
      <c r="BU9">
        <v>10567515.765672499</v>
      </c>
      <c r="BV9">
        <v>24.4618420501677</v>
      </c>
      <c r="BW9">
        <v>4080434.8625991102</v>
      </c>
      <c r="BX9">
        <v>10567515.765672499</v>
      </c>
      <c r="BY9">
        <v>24.4618420501677</v>
      </c>
      <c r="BZ9">
        <v>4080434.8625991102</v>
      </c>
      <c r="CA9">
        <v>10567515.765672499</v>
      </c>
      <c r="CB9">
        <v>24.4618420501677</v>
      </c>
      <c r="CC9">
        <v>4080434.8625991102</v>
      </c>
      <c r="CD9">
        <v>10567515.765672499</v>
      </c>
      <c r="CE9">
        <v>1131953.9572385601</v>
      </c>
      <c r="CF9">
        <v>2572622.6300876299</v>
      </c>
      <c r="CG9">
        <v>1131953.9572385601</v>
      </c>
      <c r="CH9">
        <v>2572622.6300876299</v>
      </c>
      <c r="CI9">
        <v>718858.25034851499</v>
      </c>
      <c r="CJ9">
        <v>1633768.7507920801</v>
      </c>
      <c r="CK9">
        <v>718858.25034851499</v>
      </c>
      <c r="CL9">
        <v>1633768.7507920801</v>
      </c>
      <c r="CM9">
        <v>1131953.9572385601</v>
      </c>
      <c r="CN9">
        <v>2572622.6300876299</v>
      </c>
      <c r="CO9">
        <v>1131953.9572385601</v>
      </c>
      <c r="CP9">
        <v>2572622.6300876299</v>
      </c>
      <c r="CQ9">
        <v>718858.25034851499</v>
      </c>
      <c r="CR9">
        <v>1633768.7507920801</v>
      </c>
      <c r="CS9">
        <v>718858.25034851499</v>
      </c>
      <c r="CT9">
        <v>1633768.7507920801</v>
      </c>
      <c r="CU9">
        <v>1131953.9572385601</v>
      </c>
      <c r="CV9">
        <v>2572622.6300876299</v>
      </c>
      <c r="CW9">
        <v>1131953.9572385601</v>
      </c>
      <c r="CX9">
        <v>2572622.6300876299</v>
      </c>
      <c r="CY9">
        <v>718858.25034851499</v>
      </c>
      <c r="CZ9">
        <v>1633768.7507920801</v>
      </c>
      <c r="DA9">
        <v>718858.25034851499</v>
      </c>
      <c r="DB9">
        <v>1633768.7507920801</v>
      </c>
      <c r="DC9">
        <v>5837707.0592727801</v>
      </c>
      <c r="DD9">
        <v>13267516.043801799</v>
      </c>
      <c r="DE9">
        <v>5837707.0592727801</v>
      </c>
      <c r="DF9">
        <v>13267516.043801799</v>
      </c>
      <c r="DG9">
        <v>5837707.0592727801</v>
      </c>
      <c r="DH9">
        <v>13267516.043801799</v>
      </c>
      <c r="DI9">
        <v>1286311.3150438201</v>
      </c>
      <c r="DJ9">
        <v>2572622.6300876299</v>
      </c>
      <c r="DK9">
        <v>1286311.3150438201</v>
      </c>
      <c r="DL9">
        <v>2572622.6300876299</v>
      </c>
      <c r="DM9">
        <v>816884.37539604004</v>
      </c>
      <c r="DN9">
        <v>1633768.7507920801</v>
      </c>
      <c r="DO9">
        <v>816884.37539603899</v>
      </c>
      <c r="DP9">
        <v>1633768.7507920801</v>
      </c>
      <c r="DQ9">
        <v>1286311.3150438201</v>
      </c>
      <c r="DR9">
        <v>2572622.6300876299</v>
      </c>
      <c r="DS9">
        <v>1286311.3150438201</v>
      </c>
      <c r="DT9">
        <v>2572622.6300876299</v>
      </c>
      <c r="DU9">
        <v>816884.37539604004</v>
      </c>
      <c r="DV9">
        <v>1633768.7507920801</v>
      </c>
      <c r="DW9">
        <v>816884.37539603899</v>
      </c>
      <c r="DX9">
        <v>1633768.7507920801</v>
      </c>
      <c r="DY9">
        <v>1286311.3150438201</v>
      </c>
      <c r="DZ9">
        <v>2572622.6300876299</v>
      </c>
      <c r="EA9">
        <v>1286311.3150438201</v>
      </c>
      <c r="EB9">
        <v>2572622.6300876299</v>
      </c>
      <c r="EC9">
        <v>816884.37539604004</v>
      </c>
      <c r="ED9">
        <v>1633768.7507920801</v>
      </c>
      <c r="EE9">
        <v>816884.37539603899</v>
      </c>
      <c r="EF9">
        <v>1633768.7507920801</v>
      </c>
      <c r="EG9">
        <v>6633758.0219008904</v>
      </c>
      <c r="EH9">
        <v>13267516.043801799</v>
      </c>
      <c r="EI9">
        <v>6633758.0219008904</v>
      </c>
      <c r="EJ9">
        <v>13267516.043801799</v>
      </c>
      <c r="EK9">
        <v>6633758.0219008904</v>
      </c>
      <c r="EL9">
        <v>13267516.043801799</v>
      </c>
      <c r="EM9">
        <v>0</v>
      </c>
      <c r="EN9">
        <v>0</v>
      </c>
      <c r="EO9">
        <v>0</v>
      </c>
      <c r="EP9">
        <v>0</v>
      </c>
      <c r="EQ9">
        <v>0</v>
      </c>
      <c r="ER9">
        <v>0</v>
      </c>
      <c r="ES9">
        <v>0</v>
      </c>
      <c r="ET9">
        <v>0</v>
      </c>
      <c r="EU9">
        <v>0.15797291769326199</v>
      </c>
      <c r="EV9">
        <v>0</v>
      </c>
      <c r="EW9">
        <v>0</v>
      </c>
      <c r="EX9">
        <v>0</v>
      </c>
      <c r="EY9">
        <v>0.183585203409182</v>
      </c>
      <c r="EZ9">
        <v>0</v>
      </c>
      <c r="FA9">
        <v>0</v>
      </c>
      <c r="FB9">
        <v>0.15800749979644699</v>
      </c>
      <c r="FC9">
        <v>0</v>
      </c>
      <c r="FD9">
        <v>0</v>
      </c>
      <c r="FE9">
        <v>0</v>
      </c>
      <c r="FF9">
        <v>0</v>
      </c>
      <c r="FG9">
        <v>0</v>
      </c>
      <c r="FH9">
        <v>0</v>
      </c>
      <c r="FI9">
        <v>0</v>
      </c>
      <c r="FJ9">
        <v>0</v>
      </c>
      <c r="FK9">
        <v>0</v>
      </c>
      <c r="FL9">
        <v>0</v>
      </c>
      <c r="FM9">
        <v>0</v>
      </c>
      <c r="FN9">
        <v>0</v>
      </c>
      <c r="FO9">
        <v>1.22625686253081E-2</v>
      </c>
      <c r="FP9">
        <v>0</v>
      </c>
      <c r="FQ9">
        <v>1.88562322025512E-3</v>
      </c>
      <c r="FR9">
        <v>0</v>
      </c>
      <c r="FS9">
        <v>0</v>
      </c>
      <c r="FT9">
        <v>0</v>
      </c>
      <c r="FU9">
        <v>15.981830921145299</v>
      </c>
      <c r="FV9">
        <v>0</v>
      </c>
      <c r="FW9">
        <v>0</v>
      </c>
      <c r="FX9">
        <v>0</v>
      </c>
      <c r="FY9">
        <v>1.22625686253081E-2</v>
      </c>
      <c r="FZ9">
        <v>0</v>
      </c>
      <c r="GA9">
        <v>1.88562322025512E-3</v>
      </c>
      <c r="GB9">
        <v>-259.27594841790102</v>
      </c>
      <c r="GC9">
        <v>-215.28738117213999</v>
      </c>
      <c r="GD9">
        <v>-278.45084131217197</v>
      </c>
      <c r="GE9">
        <v>-175.68557757072199</v>
      </c>
      <c r="GF9">
        <v>-145.47649699007499</v>
      </c>
      <c r="GG9">
        <v>-188.909466290132</v>
      </c>
      <c r="GH9">
        <v>-240.67056719199499</v>
      </c>
      <c r="GI9">
        <v>-191.50797668110201</v>
      </c>
      <c r="GJ9">
        <v>-242.788748486598</v>
      </c>
      <c r="GK9">
        <v>-174.49212259151099</v>
      </c>
      <c r="GL9">
        <v>-143.20790893459599</v>
      </c>
      <c r="GM9">
        <v>-185.820560999896</v>
      </c>
      <c r="GN9">
        <v>-50.3293486261989</v>
      </c>
      <c r="GO9">
        <v>19.455293563062199</v>
      </c>
      <c r="GP9">
        <v>19.5153046375153</v>
      </c>
      <c r="GQ9">
        <v>47.677962679657199</v>
      </c>
      <c r="GR9">
        <v>61.499462115443499</v>
      </c>
      <c r="GS9">
        <v>370.41581108830002</v>
      </c>
      <c r="GT9">
        <v>-34.295755568717297</v>
      </c>
      <c r="GU9">
        <v>19.400501470111401</v>
      </c>
      <c r="GV9">
        <v>19.477891566495501</v>
      </c>
      <c r="GW9">
        <v>28.362856724957499</v>
      </c>
      <c r="GX9">
        <v>37.558889762156298</v>
      </c>
      <c r="GY9">
        <v>232.33756267031401</v>
      </c>
      <c r="GZ9">
        <v>-48.747781664589802</v>
      </c>
      <c r="HA9">
        <v>19.499821482822899</v>
      </c>
      <c r="HB9">
        <v>19.542921604756799</v>
      </c>
      <c r="HC9">
        <v>60.901282829781699</v>
      </c>
      <c r="HD9">
        <v>75.159729133278802</v>
      </c>
      <c r="HE9">
        <v>419.10398285149398</v>
      </c>
      <c r="HF9">
        <v>-34.431403349194802</v>
      </c>
      <c r="HG9">
        <v>19.4032150508258</v>
      </c>
      <c r="HH9">
        <v>19.479169672296301</v>
      </c>
      <c r="HI9">
        <v>28.3078797066044</v>
      </c>
      <c r="HJ9">
        <v>37.524003919791603</v>
      </c>
      <c r="HK9">
        <v>232.952393994418</v>
      </c>
      <c r="HL9">
        <v>-188.68365346021</v>
      </c>
      <c r="HM9">
        <v>20.668768219591701</v>
      </c>
      <c r="HN9">
        <v>21.388410513066798</v>
      </c>
      <c r="HO9">
        <v>53.799267989531302</v>
      </c>
      <c r="HP9">
        <v>-69.609957075911296</v>
      </c>
      <c r="HQ9">
        <v>19.9350065570334</v>
      </c>
      <c r="HR9">
        <v>-172.32168584747001</v>
      </c>
      <c r="HS9">
        <v>-127.533573244743</v>
      </c>
      <c r="HT9">
        <v>20.6166538667308</v>
      </c>
      <c r="HU9">
        <v>21.3830162792568</v>
      </c>
      <c r="HV9">
        <v>35.903666024479399</v>
      </c>
      <c r="HW9">
        <v>-45.019863380077602</v>
      </c>
      <c r="HX9">
        <v>19.8413138204976</v>
      </c>
      <c r="HY9">
        <v>-115.25062616750699</v>
      </c>
      <c r="HZ9">
        <v>20.682098614225001</v>
      </c>
      <c r="IA9">
        <v>21.414962223478799</v>
      </c>
      <c r="IB9">
        <v>58.140997551965</v>
      </c>
      <c r="IC9">
        <v>-175.051780789547</v>
      </c>
      <c r="ID9">
        <v>-46.069576605769598</v>
      </c>
      <c r="IE9">
        <v>20.005649230392301</v>
      </c>
      <c r="IF9">
        <v>-139.34651030776999</v>
      </c>
      <c r="IG9">
        <v>-5.8038251674585801</v>
      </c>
      <c r="IH9">
        <v>20.632753761998</v>
      </c>
      <c r="II9">
        <v>21.390428956362101</v>
      </c>
      <c r="IJ9">
        <v>34.815168879412298</v>
      </c>
      <c r="IK9">
        <v>-5.2626608959484598</v>
      </c>
      <c r="IL9">
        <v>-127.38340312119</v>
      </c>
      <c r="IM9">
        <v>-45.685531689173501</v>
      </c>
      <c r="IN9">
        <v>19.859638995267002</v>
      </c>
      <c r="IO9">
        <v>1.1816976081119299</v>
      </c>
      <c r="IP9">
        <v>-114.910104827594</v>
      </c>
      <c r="IQ9">
        <v>-44.180884954766803</v>
      </c>
      <c r="IR9">
        <v>-26.9719421159554</v>
      </c>
      <c r="IS9">
        <v>-39.930411145834299</v>
      </c>
      <c r="IT9">
        <v>-26.2372238097694</v>
      </c>
      <c r="IU9">
        <v>-520.68649932283802</v>
      </c>
      <c r="IV9">
        <v>-53.7536185416728</v>
      </c>
      <c r="IW9">
        <v>19.747582598092698</v>
      </c>
      <c r="IX9">
        <v>19.9350065570334</v>
      </c>
      <c r="IY9">
        <v>41.779836991365798</v>
      </c>
      <c r="IZ9">
        <v>31.20614541886</v>
      </c>
      <c r="JA9">
        <v>134.81493509822101</v>
      </c>
      <c r="JB9">
        <v>-34.901977920125198</v>
      </c>
      <c r="JC9">
        <v>19.652196635422801</v>
      </c>
      <c r="JD9">
        <v>19.8413138204976</v>
      </c>
      <c r="JE9">
        <v>27.850273561552299</v>
      </c>
      <c r="JF9">
        <v>21.911908642313399</v>
      </c>
      <c r="JG9">
        <v>97.900732416266194</v>
      </c>
      <c r="JH9">
        <v>-52.7890997143585</v>
      </c>
      <c r="JI9">
        <v>19.8245962552027</v>
      </c>
      <c r="JJ9">
        <v>20.005649230392301</v>
      </c>
      <c r="JK9">
        <v>49.541959251482098</v>
      </c>
      <c r="JL9">
        <v>35.288830247555701</v>
      </c>
      <c r="JM9">
        <v>154.74241067362601</v>
      </c>
      <c r="JN9">
        <v>-35.482741191659599</v>
      </c>
      <c r="JO9">
        <v>19.6631960984876</v>
      </c>
      <c r="JP9">
        <v>19.859638995267002</v>
      </c>
      <c r="JQ9">
        <v>0.68128786830087396</v>
      </c>
      <c r="JR9">
        <v>27.376870640299298</v>
      </c>
      <c r="JS9">
        <v>0.52783175019358097</v>
      </c>
      <c r="JT9">
        <v>20.6784018451104</v>
      </c>
      <c r="JU9">
        <v>91.2069951424143</v>
      </c>
      <c r="JV9">
        <v>-346.34098961541702</v>
      </c>
      <c r="JW9">
        <v>-275.35545203044802</v>
      </c>
      <c r="JX9">
        <v>-825.19277508026403</v>
      </c>
      <c r="JY9">
        <v>-232.27781034523801</v>
      </c>
      <c r="JZ9">
        <v>-185.82473144919899</v>
      </c>
      <c r="KA9">
        <v>-539.25195124855895</v>
      </c>
      <c r="KB9">
        <v>-324.41982299578501</v>
      </c>
      <c r="KC9">
        <v>-262.77553788064199</v>
      </c>
      <c r="KD9">
        <v>-758.98075357797404</v>
      </c>
      <c r="KE9">
        <v>-230.76555913970199</v>
      </c>
      <c r="KF9">
        <v>17.403297671653998</v>
      </c>
      <c r="KG9">
        <v>-219.99629098810499</v>
      </c>
      <c r="KH9">
        <v>0.76692772572529999</v>
      </c>
      <c r="KI9">
        <v>-183.27627603442801</v>
      </c>
      <c r="KJ9">
        <v>-532.78326092546502</v>
      </c>
      <c r="KK9">
        <v>-96.161623426037707</v>
      </c>
      <c r="KL9">
        <v>16.9397935833072</v>
      </c>
      <c r="KM9">
        <v>18.289075133244001</v>
      </c>
      <c r="KN9">
        <v>86.615785451129398</v>
      </c>
      <c r="KO9">
        <v>15.907897743011</v>
      </c>
      <c r="KP9">
        <v>3.68367082288579</v>
      </c>
      <c r="KQ9">
        <v>-169.59334719834499</v>
      </c>
      <c r="KR9">
        <v>-1026.1315283143001</v>
      </c>
      <c r="KS9">
        <v>-63.941867539085798</v>
      </c>
      <c r="KT9">
        <v>16.878535768699599</v>
      </c>
      <c r="KU9">
        <v>18.2504476126872</v>
      </c>
      <c r="KV9">
        <v>57.354709475942997</v>
      </c>
      <c r="KW9">
        <v>15.833697775126099</v>
      </c>
      <c r="KX9">
        <v>3.7163892568228198</v>
      </c>
      <c r="KY9">
        <v>-107.868131898651</v>
      </c>
      <c r="KZ9">
        <v>-651.45290272342095</v>
      </c>
      <c r="LA9">
        <v>-109.25121241117699</v>
      </c>
      <c r="LB9">
        <v>17.0907368180447</v>
      </c>
      <c r="LC9">
        <v>18.369768121220201</v>
      </c>
      <c r="LD9">
        <v>44.187088185111399</v>
      </c>
      <c r="LE9">
        <v>16.093979138871099</v>
      </c>
      <c r="LF9">
        <v>3.6886628381989701</v>
      </c>
      <c r="LG9">
        <v>-225.10256872404</v>
      </c>
      <c r="LH9">
        <v>-1047.87449127431</v>
      </c>
      <c r="LI9">
        <v>-64.236950098686194</v>
      </c>
      <c r="LJ9">
        <v>16.892419685711499</v>
      </c>
      <c r="LK9">
        <v>18.2559200239773</v>
      </c>
      <c r="LL9">
        <v>56.769870099360901</v>
      </c>
      <c r="LM9">
        <v>15.855354227256299</v>
      </c>
      <c r="LN9">
        <v>3.85652289660998</v>
      </c>
      <c r="LO9">
        <v>-106.80938556366</v>
      </c>
      <c r="LP9">
        <v>-645.18419476115298</v>
      </c>
      <c r="LQ9">
        <v>-11.6269097438818</v>
      </c>
      <c r="LR9">
        <v>18.4313978007761</v>
      </c>
      <c r="LS9">
        <v>16.440999999999999</v>
      </c>
      <c r="LT9">
        <v>282.46376735472398</v>
      </c>
      <c r="LU9">
        <v>337.10099947507803</v>
      </c>
      <c r="LV9">
        <v>18.447657857271601</v>
      </c>
      <c r="LW9">
        <v>19.136257708102502</v>
      </c>
      <c r="LX9">
        <v>287.820061181386</v>
      </c>
      <c r="LY9">
        <v>-8.12362859385569</v>
      </c>
      <c r="LZ9">
        <v>18.407279375302998</v>
      </c>
      <c r="MA9">
        <v>16.440999999999999</v>
      </c>
      <c r="MB9">
        <v>180.016636983301</v>
      </c>
      <c r="MC9">
        <v>230.22576905270901</v>
      </c>
      <c r="MD9">
        <v>18.4011145251764</v>
      </c>
      <c r="ME9">
        <v>19.100365609091298</v>
      </c>
      <c r="MF9">
        <v>176.60048647474599</v>
      </c>
      <c r="MG9">
        <v>-5.4238981870414902</v>
      </c>
      <c r="MH9">
        <v>18.4438379517733</v>
      </c>
      <c r="MI9">
        <v>16.440999999999999</v>
      </c>
      <c r="MJ9">
        <v>415.171478486686</v>
      </c>
      <c r="MK9">
        <v>493.838081182103</v>
      </c>
      <c r="ML9">
        <v>18.438291789824799</v>
      </c>
      <c r="MM9">
        <v>19.163055968646301</v>
      </c>
      <c r="MN9">
        <v>406.43619233565897</v>
      </c>
      <c r="MO9">
        <v>-8.2372986968401101</v>
      </c>
      <c r="MP9">
        <v>18.3998939031102</v>
      </c>
      <c r="MQ9">
        <v>16.440999999999999</v>
      </c>
      <c r="MR9">
        <v>178.70130297530599</v>
      </c>
      <c r="MS9">
        <v>225.10123925060401</v>
      </c>
      <c r="MT9">
        <v>18.4000878678516</v>
      </c>
      <c r="MU9">
        <v>19.101601437884401</v>
      </c>
      <c r="MV9">
        <v>177.254764841911</v>
      </c>
      <c r="MW9">
        <v>-24.206524584844601</v>
      </c>
      <c r="MX9">
        <v>19.8382892728402</v>
      </c>
      <c r="MY9">
        <v>19.661103271012301</v>
      </c>
      <c r="MZ9">
        <v>110.829821964066</v>
      </c>
      <c r="NA9">
        <v>319.83976692034503</v>
      </c>
      <c r="NB9">
        <v>19.681343256887398</v>
      </c>
      <c r="NC9">
        <v>19.864975242863402</v>
      </c>
      <c r="ND9">
        <v>51.9823525726122</v>
      </c>
      <c r="NE9">
        <v>-16.128200157395099</v>
      </c>
      <c r="NF9">
        <v>19.767947877032899</v>
      </c>
      <c r="NG9">
        <v>19.59908522413</v>
      </c>
      <c r="NH9">
        <v>69.985915448970005</v>
      </c>
      <c r="NI9">
        <v>214.05460627673</v>
      </c>
      <c r="NJ9">
        <v>19.592967499046701</v>
      </c>
      <c r="NK9">
        <v>19.769282711545401</v>
      </c>
      <c r="NL9">
        <v>28.319959941041201</v>
      </c>
      <c r="NM9" s="35">
        <v>-21.8011616644133</v>
      </c>
      <c r="NN9">
        <v>19.9328533911048</v>
      </c>
      <c r="NO9" s="35">
        <v>19.7383554735191</v>
      </c>
      <c r="NP9" s="35">
        <v>139.251797008518</v>
      </c>
      <c r="NQ9" s="35">
        <v>355.99345672868498</v>
      </c>
      <c r="NR9" s="35">
        <v>19.770871744479599</v>
      </c>
      <c r="NS9">
        <v>19.947426316991098</v>
      </c>
      <c r="NT9">
        <v>78.516199906035197</v>
      </c>
      <c r="NU9" s="35">
        <v>-16.236748351894999</v>
      </c>
      <c r="NV9">
        <v>19.7751479595739</v>
      </c>
      <c r="NW9">
        <v>19.602465055267899</v>
      </c>
      <c r="NX9">
        <v>1.7</v>
      </c>
      <c r="NY9">
        <v>69.6307097762148</v>
      </c>
      <c r="NZ9">
        <v>209.69817165857199</v>
      </c>
      <c r="OA9">
        <v>19.6072214839119</v>
      </c>
      <c r="OB9">
        <v>19.790593781159799</v>
      </c>
      <c r="OC9">
        <v>1.7</v>
      </c>
      <c r="OD9">
        <v>29.644414489487001</v>
      </c>
      <c r="OE9">
        <v>1.7</v>
      </c>
      <c r="OF9">
        <v>1.7</v>
      </c>
      <c r="OG9">
        <v>-12.919103369021499</v>
      </c>
      <c r="OH9">
        <v>19.199326461099801</v>
      </c>
      <c r="OI9">
        <v>19.770567943925101</v>
      </c>
      <c r="OJ9">
        <v>390.22192278793699</v>
      </c>
      <c r="OK9">
        <v>931.05072784549202</v>
      </c>
      <c r="OL9">
        <v>18.711279489327602</v>
      </c>
      <c r="OM9">
        <v>18.790664412505699</v>
      </c>
      <c r="ON9">
        <v>147.391512284068</v>
      </c>
      <c r="OO9">
        <v>-8.6801692260301007</v>
      </c>
      <c r="OP9">
        <v>19.129819517569999</v>
      </c>
      <c r="OQ9">
        <v>19.687164087571599</v>
      </c>
      <c r="OR9">
        <v>244.93478151489299</v>
      </c>
      <c r="OS9">
        <v>592.56466686463</v>
      </c>
      <c r="OT9">
        <v>18.634353068382399</v>
      </c>
      <c r="OU9">
        <v>18.737565705251999</v>
      </c>
      <c r="OV9">
        <v>88.704084234210399</v>
      </c>
      <c r="OW9">
        <v>-8.2862314104317392</v>
      </c>
      <c r="OX9">
        <v>19.250421887873902</v>
      </c>
      <c r="OY9">
        <v>19.8607680629515</v>
      </c>
      <c r="OZ9">
        <v>474.09262017613298</v>
      </c>
      <c r="PA9">
        <v>1024.8192884110499</v>
      </c>
      <c r="PB9">
        <v>18.7552573867649</v>
      </c>
      <c r="PC9">
        <v>18.861130254389799</v>
      </c>
      <c r="PD9">
        <v>225.76017114068</v>
      </c>
      <c r="PE9">
        <v>-8.79248952211287</v>
      </c>
      <c r="PF9">
        <v>19.127313194292601</v>
      </c>
      <c r="PG9">
        <v>19.6884842595904</v>
      </c>
      <c r="PH9">
        <v>2.2999048113447098</v>
      </c>
      <c r="PI9">
        <v>244.12670874275699</v>
      </c>
      <c r="PJ9">
        <v>588.50041445010095</v>
      </c>
      <c r="PK9">
        <v>18.637449579297101</v>
      </c>
      <c r="PL9">
        <v>18.741955906956601</v>
      </c>
      <c r="PM9" s="35">
        <v>2.2456757889106398</v>
      </c>
      <c r="PN9">
        <v>89.6044500409254</v>
      </c>
      <c r="PO9">
        <v>19.305951952001301</v>
      </c>
      <c r="PP9">
        <v>19.266917483662802</v>
      </c>
      <c r="PQ9">
        <v>19.311551476296199</v>
      </c>
      <c r="PR9">
        <v>19.269689586169001</v>
      </c>
      <c r="PS9">
        <v>19.927066877635198</v>
      </c>
      <c r="PT9">
        <v>19.893066018099599</v>
      </c>
      <c r="PU9">
        <v>19.785063223003</v>
      </c>
      <c r="PV9">
        <v>19.9322120533689</v>
      </c>
      <c r="PW9">
        <v>19.8072110524006</v>
      </c>
      <c r="PX9">
        <v>21.888103154019401</v>
      </c>
      <c r="PY9">
        <v>18.6719040882607</v>
      </c>
      <c r="PZ9">
        <v>18.629874205857998</v>
      </c>
      <c r="QA9">
        <v>18.713074185112099</v>
      </c>
      <c r="QB9">
        <v>18.6352121779695</v>
      </c>
      <c r="QC9">
        <v>19.795667507616699</v>
      </c>
      <c r="QD9">
        <v>19.810937403286601</v>
      </c>
      <c r="QE9">
        <v>19.9264643985954</v>
      </c>
      <c r="QF9">
        <v>19.9036176944403</v>
      </c>
      <c r="QG9">
        <v>19.904334133565101</v>
      </c>
      <c r="QH9">
        <v>19.9045782797944</v>
      </c>
      <c r="QI9">
        <v>18.9653248192907</v>
      </c>
      <c r="QJ9">
        <v>20.2527981814358</v>
      </c>
      <c r="QK9">
        <v>20.1712653273505</v>
      </c>
      <c r="QL9">
        <v>20.2627347895328</v>
      </c>
      <c r="QM9">
        <v>20.190609419587201</v>
      </c>
      <c r="QN9">
        <v>-931.10627808220795</v>
      </c>
      <c r="QO9">
        <v>22.0403795186729</v>
      </c>
      <c r="QP9">
        <v>58.429726658083297</v>
      </c>
      <c r="QQ9">
        <v>19.596417890300302</v>
      </c>
      <c r="QR9">
        <v>19.563621877256701</v>
      </c>
      <c r="QS9">
        <v>19.590486472265098</v>
      </c>
      <c r="QT9">
        <v>19.5666952485034</v>
      </c>
      <c r="QU9">
        <v>19.071702939582298</v>
      </c>
      <c r="QV9">
        <v>16.944156200132799</v>
      </c>
      <c r="QW9">
        <v>315093.77692726802</v>
      </c>
      <c r="QX9">
        <v>0</v>
      </c>
      <c r="QY9">
        <v>209419.146333885</v>
      </c>
      <c r="QZ9">
        <v>0</v>
      </c>
      <c r="RA9">
        <v>40578.535161348897</v>
      </c>
      <c r="RB9">
        <v>0</v>
      </c>
      <c r="RC9">
        <v>26755.992416635901</v>
      </c>
      <c r="RD9">
        <v>0</v>
      </c>
      <c r="RE9">
        <v>91111.102572573203</v>
      </c>
      <c r="RF9">
        <v>0</v>
      </c>
      <c r="RG9">
        <v>59350.742315362397</v>
      </c>
      <c r="RH9" s="35">
        <v>0</v>
      </c>
      <c r="RI9">
        <v>2703.1070684115398</v>
      </c>
      <c r="RJ9" s="35">
        <v>0</v>
      </c>
      <c r="RK9">
        <v>20.546976845189501</v>
      </c>
      <c r="RL9">
        <v>2821.5127817623902</v>
      </c>
      <c r="RM9" s="35">
        <v>2821.5127817623902</v>
      </c>
      <c r="RN9">
        <v>7010.8733172100201</v>
      </c>
      <c r="RO9" s="35">
        <v>1838.0528237508199</v>
      </c>
      <c r="RP9">
        <v>0</v>
      </c>
      <c r="RQ9" s="35">
        <v>20.540317905217702</v>
      </c>
      <c r="RR9" s="35">
        <v>1911.4655104250101</v>
      </c>
      <c r="RS9">
        <v>1911.4655104250101</v>
      </c>
      <c r="RT9">
        <v>4572.4270029270101</v>
      </c>
      <c r="RU9">
        <v>2574.7998508860901</v>
      </c>
      <c r="RV9">
        <v>0</v>
      </c>
      <c r="RW9">
        <v>20.497116790833999</v>
      </c>
      <c r="RX9">
        <v>2782.8663686222899</v>
      </c>
      <c r="RY9">
        <v>2782.8663686222899</v>
      </c>
      <c r="RZ9">
        <v>6972.8245413243403</v>
      </c>
      <c r="SA9">
        <v>1803.56092608531</v>
      </c>
      <c r="SB9">
        <v>0</v>
      </c>
      <c r="SC9">
        <v>20.539466973419799</v>
      </c>
      <c r="SD9">
        <v>1876.74640405994</v>
      </c>
      <c r="SE9">
        <v>1876.74640405994</v>
      </c>
      <c r="SF9">
        <v>4537.69424740677</v>
      </c>
      <c r="SG9">
        <v>0</v>
      </c>
      <c r="SH9">
        <v>17571.478094168899</v>
      </c>
      <c r="SI9">
        <v>18.003582760946301</v>
      </c>
      <c r="SJ9">
        <v>15259.088140509901</v>
      </c>
      <c r="SK9">
        <v>15259.088140509901</v>
      </c>
      <c r="SL9">
        <v>39734.593356520003</v>
      </c>
      <c r="SM9">
        <v>21.1111</v>
      </c>
      <c r="SN9">
        <v>23.8889</v>
      </c>
      <c r="SO9">
        <v>122.605619433645</v>
      </c>
      <c r="SP9">
        <v>33.478381765307503</v>
      </c>
      <c r="SQ9">
        <v>19.448798975568302</v>
      </c>
      <c r="SR9">
        <v>0</v>
      </c>
      <c r="SS9">
        <v>0</v>
      </c>
      <c r="ST9">
        <v>0</v>
      </c>
      <c r="SU9">
        <v>81.877175832708502</v>
      </c>
      <c r="SV9">
        <v>20.2943196554568</v>
      </c>
      <c r="SW9">
        <v>19.4017497825219</v>
      </c>
      <c r="SX9">
        <v>0</v>
      </c>
      <c r="SY9">
        <v>0</v>
      </c>
      <c r="SZ9">
        <v>0</v>
      </c>
      <c r="TA9">
        <v>157.86972413763999</v>
      </c>
      <c r="TB9">
        <v>51.192745826485599</v>
      </c>
      <c r="TC9">
        <v>19.532713669736498</v>
      </c>
      <c r="TD9">
        <v>0</v>
      </c>
      <c r="TE9">
        <v>0</v>
      </c>
      <c r="TF9">
        <v>0</v>
      </c>
      <c r="TG9">
        <v>81.763569715602301</v>
      </c>
      <c r="TH9">
        <v>20.361368620618698</v>
      </c>
      <c r="TI9">
        <v>19.4040667628954</v>
      </c>
      <c r="TJ9">
        <v>0</v>
      </c>
      <c r="TK9">
        <v>0</v>
      </c>
      <c r="TL9">
        <v>0</v>
      </c>
      <c r="TM9">
        <v>263.50414105140999</v>
      </c>
      <c r="TN9">
        <v>3603.0596395877101</v>
      </c>
      <c r="TO9">
        <v>19.348922265808</v>
      </c>
      <c r="TP9">
        <v>0</v>
      </c>
      <c r="TQ9">
        <v>0</v>
      </c>
      <c r="TR9">
        <v>0</v>
      </c>
      <c r="TS9">
        <v>2075.9241984380901</v>
      </c>
      <c r="TT9">
        <v>0</v>
      </c>
      <c r="TU9">
        <v>20.612530344771901</v>
      </c>
      <c r="TV9">
        <v>2185.6790305960399</v>
      </c>
      <c r="TW9">
        <v>2185.6790305960399</v>
      </c>
      <c r="TX9">
        <v>6377.15610240764</v>
      </c>
      <c r="TY9">
        <v>1465.02762807314</v>
      </c>
      <c r="TZ9">
        <v>0</v>
      </c>
      <c r="UA9">
        <v>20.557467431698001</v>
      </c>
      <c r="UB9">
        <v>1544.0128627982499</v>
      </c>
      <c r="UC9">
        <v>1544.0128627982499</v>
      </c>
      <c r="UD9">
        <v>4207.2655843524999</v>
      </c>
      <c r="UE9">
        <v>1960.56032323152</v>
      </c>
      <c r="UF9">
        <v>0</v>
      </c>
      <c r="UG9">
        <v>20.5932575256967</v>
      </c>
      <c r="UH9">
        <v>2133.11150310024</v>
      </c>
      <c r="UI9">
        <v>2133.11150310024</v>
      </c>
      <c r="UJ9">
        <v>6324.6899930903801</v>
      </c>
      <c r="UK9">
        <v>1420.0877882950699</v>
      </c>
      <c r="UL9">
        <v>0</v>
      </c>
      <c r="UM9">
        <v>20.574007786773699</v>
      </c>
      <c r="UN9">
        <v>1494.4250403815399</v>
      </c>
      <c r="UO9">
        <v>1494.4250403815399</v>
      </c>
      <c r="UP9">
        <v>4157.3752002859301</v>
      </c>
      <c r="UQ9">
        <v>0</v>
      </c>
      <c r="UR9">
        <v>4222.4653998038502</v>
      </c>
      <c r="US9">
        <v>22.192655883326399</v>
      </c>
      <c r="UT9">
        <v>0</v>
      </c>
      <c r="UU9">
        <v>-6646.9384576201201</v>
      </c>
      <c r="UV9">
        <v>18382.2139937432</v>
      </c>
      <c r="UW9">
        <v>21.1111</v>
      </c>
      <c r="UX9">
        <v>23.8889</v>
      </c>
      <c r="UY9">
        <v>107.930469180643</v>
      </c>
      <c r="UZ9">
        <v>39.368457314330797</v>
      </c>
      <c r="VA9">
        <v>19.6540087207024</v>
      </c>
      <c r="VB9">
        <v>0</v>
      </c>
      <c r="VC9">
        <v>0</v>
      </c>
      <c r="VD9">
        <v>0</v>
      </c>
      <c r="VE9">
        <v>71.020101467827303</v>
      </c>
      <c r="VF9">
        <v>27.451156856491099</v>
      </c>
      <c r="VG9">
        <v>19.555011366971399</v>
      </c>
      <c r="VH9">
        <v>0</v>
      </c>
      <c r="VI9">
        <v>0</v>
      </c>
      <c r="VJ9">
        <v>0</v>
      </c>
      <c r="VK9">
        <v>128.941609573964</v>
      </c>
      <c r="VL9">
        <v>55.860092297920303</v>
      </c>
      <c r="VM9">
        <v>19.736943257688701</v>
      </c>
      <c r="VN9">
        <v>0</v>
      </c>
      <c r="VO9">
        <v>0</v>
      </c>
      <c r="VP9">
        <v>0</v>
      </c>
      <c r="VQ9">
        <v>71.985833549204798</v>
      </c>
      <c r="VR9">
        <v>25.885587142287001</v>
      </c>
      <c r="VS9">
        <v>19.5689741839617</v>
      </c>
      <c r="VT9">
        <v>0</v>
      </c>
      <c r="VU9">
        <v>0</v>
      </c>
      <c r="VV9">
        <v>0</v>
      </c>
      <c r="VW9">
        <v>0</v>
      </c>
      <c r="VX9">
        <v>296.459961131895</v>
      </c>
      <c r="VY9">
        <v>21.472594400032602</v>
      </c>
      <c r="VZ9">
        <v>0</v>
      </c>
      <c r="WA9">
        <v>0</v>
      </c>
      <c r="WB9">
        <v>0</v>
      </c>
      <c r="WC9">
        <v>3931.6201444713101</v>
      </c>
      <c r="WD9">
        <v>0</v>
      </c>
      <c r="WE9">
        <v>20.52093169234</v>
      </c>
      <c r="WF9">
        <v>4037.9456433311798</v>
      </c>
      <c r="WG9">
        <v>4037.9456433311798</v>
      </c>
      <c r="WH9">
        <v>8232.1712235627401</v>
      </c>
      <c r="WI9">
        <v>0</v>
      </c>
      <c r="WJ9">
        <v>2654.7756510169802</v>
      </c>
      <c r="WK9">
        <v>0</v>
      </c>
      <c r="WL9">
        <v>20.4973695486553</v>
      </c>
      <c r="WM9">
        <v>2722.7038708933301</v>
      </c>
      <c r="WN9">
        <v>2722.7038708933301</v>
      </c>
      <c r="WO9">
        <v>5387.0880629331205</v>
      </c>
      <c r="WP9">
        <v>21.1111</v>
      </c>
      <c r="WQ9">
        <v>23.8889</v>
      </c>
      <c r="WR9">
        <v>3835.9706986112901</v>
      </c>
      <c r="WS9">
        <v>0</v>
      </c>
      <c r="WT9">
        <v>20.467898759417999</v>
      </c>
      <c r="WU9">
        <v>4001.1965881595802</v>
      </c>
      <c r="WV9">
        <v>4001.1965881595802</v>
      </c>
      <c r="WW9">
        <v>8196.2262541039599</v>
      </c>
      <c r="WX9">
        <v>0</v>
      </c>
      <c r="WY9">
        <v>2602.88841294755</v>
      </c>
      <c r="WZ9">
        <v>0</v>
      </c>
      <c r="XA9">
        <v>20.498178319037301</v>
      </c>
      <c r="XB9">
        <v>2671.4843405555398</v>
      </c>
      <c r="XC9">
        <v>2671.4843405555398</v>
      </c>
      <c r="XD9">
        <v>5335.8462578410999</v>
      </c>
      <c r="XE9">
        <v>0</v>
      </c>
      <c r="XF9">
        <v>14653.036892951501</v>
      </c>
      <c r="XG9">
        <v>18.347738371547901</v>
      </c>
      <c r="XH9">
        <v>13673.7533639088</v>
      </c>
      <c r="XI9">
        <v>13673.7533639088</v>
      </c>
      <c r="XJ9">
        <v>37467.412870730703</v>
      </c>
      <c r="XK9">
        <v>21.1111</v>
      </c>
      <c r="XL9">
        <v>23.8889</v>
      </c>
      <c r="XM9">
        <v>621.14011546833694</v>
      </c>
      <c r="XN9">
        <v>0</v>
      </c>
      <c r="XO9">
        <v>16.823203200488202</v>
      </c>
      <c r="XP9">
        <v>0</v>
      </c>
      <c r="XQ9">
        <v>0</v>
      </c>
      <c r="XR9">
        <v>0</v>
      </c>
      <c r="XS9">
        <v>400.42112994390601</v>
      </c>
      <c r="XT9">
        <v>0</v>
      </c>
      <c r="XU9">
        <v>16.753672039124002</v>
      </c>
      <c r="XV9">
        <v>0</v>
      </c>
      <c r="XW9">
        <v>0</v>
      </c>
      <c r="XX9">
        <v>0</v>
      </c>
      <c r="XY9">
        <v>767.18143238178504</v>
      </c>
      <c r="XZ9">
        <v>0</v>
      </c>
      <c r="YA9">
        <v>17.184268352068901</v>
      </c>
      <c r="YB9">
        <v>0</v>
      </c>
      <c r="YC9">
        <v>0</v>
      </c>
      <c r="YD9">
        <v>0</v>
      </c>
      <c r="YE9">
        <v>398.99948813020501</v>
      </c>
      <c r="YF9">
        <v>0</v>
      </c>
      <c r="YG9">
        <v>16.7690850735253</v>
      </c>
      <c r="YH9">
        <v>0</v>
      </c>
      <c r="YI9">
        <v>0</v>
      </c>
      <c r="YJ9">
        <v>0</v>
      </c>
      <c r="YK9">
        <v>1730.1907980789499</v>
      </c>
      <c r="YL9">
        <v>658.01925290229701</v>
      </c>
      <c r="YM9">
        <v>18.706045237266</v>
      </c>
      <c r="YN9">
        <v>0</v>
      </c>
      <c r="YO9">
        <v>0</v>
      </c>
      <c r="YP9">
        <v>0</v>
      </c>
      <c r="YQ9">
        <v>0</v>
      </c>
      <c r="YR9">
        <v>399.12849754192598</v>
      </c>
      <c r="YS9">
        <v>17.962100055668301</v>
      </c>
      <c r="YT9">
        <v>0</v>
      </c>
      <c r="YU9">
        <v>0</v>
      </c>
      <c r="YV9">
        <v>0</v>
      </c>
      <c r="YW9">
        <v>0</v>
      </c>
      <c r="YX9">
        <v>249.889861916477</v>
      </c>
      <c r="YY9">
        <v>17.934560970106499</v>
      </c>
      <c r="YZ9">
        <v>0</v>
      </c>
      <c r="ZA9">
        <v>0</v>
      </c>
      <c r="ZB9">
        <v>0</v>
      </c>
      <c r="ZC9">
        <v>0</v>
      </c>
      <c r="ZD9">
        <v>600.572929106483</v>
      </c>
      <c r="ZE9">
        <v>17.7477242502511</v>
      </c>
      <c r="ZF9">
        <v>0</v>
      </c>
      <c r="ZG9">
        <v>0</v>
      </c>
      <c r="ZH9">
        <v>0</v>
      </c>
      <c r="ZI9">
        <v>0</v>
      </c>
      <c r="ZJ9">
        <v>249.424664957331</v>
      </c>
      <c r="ZK9">
        <v>17.930974358675801</v>
      </c>
      <c r="ZL9">
        <v>0</v>
      </c>
      <c r="ZM9">
        <v>0</v>
      </c>
      <c r="ZN9">
        <v>0</v>
      </c>
      <c r="ZO9">
        <v>0</v>
      </c>
      <c r="ZP9">
        <v>10334.9246195669</v>
      </c>
      <c r="ZQ9">
        <v>16.486078190365902</v>
      </c>
      <c r="ZR9">
        <v>0</v>
      </c>
      <c r="ZS9">
        <v>0</v>
      </c>
      <c r="ZT9">
        <v>0</v>
      </c>
      <c r="ZU9">
        <v>0</v>
      </c>
      <c r="ZV9">
        <v>166.70184518042399</v>
      </c>
      <c r="ZW9">
        <v>19.506366626041501</v>
      </c>
      <c r="ZX9">
        <v>0</v>
      </c>
      <c r="ZY9">
        <v>0</v>
      </c>
      <c r="ZZ9">
        <v>0</v>
      </c>
      <c r="AAA9">
        <v>0</v>
      </c>
      <c r="AAB9">
        <v>97.517889831933303</v>
      </c>
      <c r="AAC9">
        <v>19.442411091928399</v>
      </c>
      <c r="AAD9">
        <v>0</v>
      </c>
      <c r="AAE9">
        <v>0</v>
      </c>
      <c r="AAF9">
        <v>0</v>
      </c>
      <c r="AAG9">
        <v>0</v>
      </c>
      <c r="AAH9">
        <v>244.01573568435899</v>
      </c>
      <c r="AAI9">
        <v>19.504725491401</v>
      </c>
      <c r="AAJ9">
        <v>0</v>
      </c>
      <c r="AAK9">
        <v>0</v>
      </c>
      <c r="AAL9">
        <v>0</v>
      </c>
      <c r="AAM9">
        <v>0</v>
      </c>
      <c r="AAN9">
        <v>98.616084168109595</v>
      </c>
      <c r="AAO9">
        <v>19.450637945042502</v>
      </c>
      <c r="AAP9">
        <v>0</v>
      </c>
      <c r="AAQ9">
        <v>0</v>
      </c>
      <c r="AAR9">
        <v>0</v>
      </c>
      <c r="AAS9">
        <v>0</v>
      </c>
      <c r="AAT9">
        <v>6718.5137094318497</v>
      </c>
      <c r="AAU9">
        <v>18.988593614814199</v>
      </c>
      <c r="AAV9">
        <v>0</v>
      </c>
      <c r="AAW9">
        <v>0</v>
      </c>
      <c r="AAX9">
        <v>0</v>
      </c>
      <c r="AAY9">
        <v>0</v>
      </c>
      <c r="AAZ9">
        <v>385.72375707710501</v>
      </c>
      <c r="ABA9">
        <v>18.503300103402299</v>
      </c>
      <c r="ABB9">
        <v>0</v>
      </c>
      <c r="ABC9">
        <v>0</v>
      </c>
      <c r="ABD9">
        <v>0</v>
      </c>
      <c r="ABE9">
        <v>0</v>
      </c>
      <c r="ABF9">
        <v>237.04383031656201</v>
      </c>
      <c r="ABG9">
        <v>18.443075210781</v>
      </c>
      <c r="ABH9">
        <v>0</v>
      </c>
      <c r="ABI9">
        <v>0</v>
      </c>
      <c r="ABJ9">
        <v>0</v>
      </c>
      <c r="ABK9">
        <v>0</v>
      </c>
      <c r="ABL9">
        <v>524.046040914272</v>
      </c>
      <c r="ABM9">
        <v>18.4065372047883</v>
      </c>
      <c r="ABN9">
        <v>0</v>
      </c>
      <c r="ABO9">
        <v>0</v>
      </c>
      <c r="ABP9">
        <v>0</v>
      </c>
      <c r="ABQ9">
        <v>0</v>
      </c>
      <c r="ABR9">
        <v>237.18723183464499</v>
      </c>
      <c r="ABS9">
        <v>18.442944748090699</v>
      </c>
      <c r="ABT9">
        <v>0</v>
      </c>
      <c r="ABU9">
        <v>0</v>
      </c>
      <c r="ABV9">
        <v>0</v>
      </c>
      <c r="ABW9">
        <v>0</v>
      </c>
      <c r="ABX9">
        <v>14272.707108541101</v>
      </c>
      <c r="ABY9">
        <v>16.944156200132799</v>
      </c>
      <c r="ABZ9">
        <v>0</v>
      </c>
      <c r="ACA9">
        <v>0</v>
      </c>
      <c r="ACB9">
        <v>0</v>
      </c>
      <c r="ACC9">
        <v>7.4999999999999997E-2</v>
      </c>
      <c r="ACD9">
        <v>280089.60010900901</v>
      </c>
      <c r="ACE9">
        <v>420.924703021624</v>
      </c>
      <c r="ACF9">
        <v>14.294466546251</v>
      </c>
      <c r="ACG9">
        <v>14.2870073119725</v>
      </c>
      <c r="ACH9">
        <v>3.3750009034974999</v>
      </c>
      <c r="ACI9">
        <v>498.72736971857103</v>
      </c>
      <c r="ACJ9">
        <v>1.3525394465628999</v>
      </c>
      <c r="ACK9">
        <v>20.874704968219401</v>
      </c>
      <c r="ACL9">
        <v>20.882270772654</v>
      </c>
      <c r="ACM9">
        <v>3.9425010554189299</v>
      </c>
      <c r="ACN9">
        <v>36133.831342602003</v>
      </c>
      <c r="ACP9">
        <v>6135.2517495847997</v>
      </c>
      <c r="ACR9">
        <v>42269.083092186796</v>
      </c>
      <c r="ACT9">
        <v>18.221394005880001</v>
      </c>
      <c r="ACU9">
        <v>17.6897861530366</v>
      </c>
      <c r="ACV9">
        <v>1.7</v>
      </c>
      <c r="ACW9">
        <v>24.913890995684401</v>
      </c>
      <c r="ACX9">
        <v>0.79557342091352301</v>
      </c>
      <c r="ACY9">
        <v>22.678999116357001</v>
      </c>
      <c r="ACZ9">
        <v>21.286999626311601</v>
      </c>
      <c r="ADA9">
        <v>1.7</v>
      </c>
      <c r="ADB9">
        <v>1.65471593672971</v>
      </c>
      <c r="ADC9">
        <v>0.65040232850469604</v>
      </c>
      <c r="ADD9">
        <v>18.461461989754</v>
      </c>
      <c r="ADE9">
        <v>18.030593993275101</v>
      </c>
      <c r="ADF9">
        <v>1.7</v>
      </c>
      <c r="ADG9">
        <v>26.0363887477763</v>
      </c>
      <c r="ADH9">
        <v>0.796771657649603</v>
      </c>
      <c r="ADI9">
        <v>20.9650333200637</v>
      </c>
      <c r="ADJ9">
        <v>20.9650333200637</v>
      </c>
      <c r="ADK9">
        <v>0</v>
      </c>
      <c r="ADL9">
        <v>0</v>
      </c>
      <c r="ADM9">
        <v>1</v>
      </c>
      <c r="ADN9">
        <v>20.982524692538298</v>
      </c>
      <c r="ADO9">
        <v>20.982524692538298</v>
      </c>
      <c r="ADP9">
        <v>0</v>
      </c>
      <c r="ADQ9">
        <v>0</v>
      </c>
      <c r="ADR9">
        <v>1</v>
      </c>
      <c r="ADS9">
        <v>20.891095091263701</v>
      </c>
      <c r="ADT9">
        <v>20.891095091263701</v>
      </c>
      <c r="ADU9">
        <v>0</v>
      </c>
      <c r="ADV9">
        <v>0</v>
      </c>
      <c r="ADW9">
        <v>1</v>
      </c>
      <c r="ADX9">
        <v>20.968748001423599</v>
      </c>
      <c r="ADY9">
        <v>20.968748001423599</v>
      </c>
      <c r="ADZ9">
        <v>0</v>
      </c>
      <c r="AEA9">
        <v>0</v>
      </c>
      <c r="AEB9">
        <v>1</v>
      </c>
      <c r="AEC9">
        <v>21.0858628942105</v>
      </c>
      <c r="AED9">
        <v>21.0858628942105</v>
      </c>
      <c r="AEE9">
        <v>0</v>
      </c>
      <c r="AEF9">
        <v>0</v>
      </c>
      <c r="AEG9">
        <v>1</v>
      </c>
      <c r="AEH9">
        <v>21.051386721771401</v>
      </c>
      <c r="AEI9">
        <v>21.051386721771401</v>
      </c>
      <c r="AEJ9">
        <v>0</v>
      </c>
      <c r="AEK9">
        <v>0</v>
      </c>
      <c r="AEL9">
        <v>1</v>
      </c>
      <c r="AEM9">
        <v>21.048427897032902</v>
      </c>
      <c r="AEN9">
        <v>21.048427897032902</v>
      </c>
      <c r="AEO9">
        <v>0</v>
      </c>
      <c r="AEP9">
        <v>0</v>
      </c>
      <c r="AEQ9">
        <v>1</v>
      </c>
      <c r="AER9">
        <v>21.055063947058802</v>
      </c>
      <c r="AES9">
        <v>21.055063947058802</v>
      </c>
      <c r="AET9">
        <v>0</v>
      </c>
      <c r="AEU9">
        <v>0</v>
      </c>
      <c r="AEV9">
        <v>1</v>
      </c>
      <c r="AEW9">
        <v>20.9282252685834</v>
      </c>
      <c r="AEX9">
        <v>20.9282252685834</v>
      </c>
      <c r="AEY9">
        <v>0</v>
      </c>
      <c r="AEZ9">
        <v>0</v>
      </c>
      <c r="AFA9">
        <v>1</v>
      </c>
      <c r="AFB9">
        <v>20.9410424136194</v>
      </c>
      <c r="AFC9">
        <v>20.9410424136194</v>
      </c>
      <c r="AFD9">
        <v>0</v>
      </c>
      <c r="AFE9">
        <v>0</v>
      </c>
      <c r="AFF9">
        <v>1</v>
      </c>
      <c r="AFG9">
        <v>20.8882437547771</v>
      </c>
      <c r="AFH9">
        <v>20.8882437547771</v>
      </c>
      <c r="AFI9">
        <v>0</v>
      </c>
      <c r="AFJ9">
        <v>0</v>
      </c>
      <c r="AFK9">
        <v>1</v>
      </c>
      <c r="AFL9">
        <v>20.923254700265701</v>
      </c>
      <c r="AFM9">
        <v>20.923254700265701</v>
      </c>
      <c r="AFN9">
        <v>0</v>
      </c>
      <c r="AFO9">
        <v>0</v>
      </c>
      <c r="AFP9">
        <v>1</v>
      </c>
      <c r="AFQ9">
        <v>-1.2606917505797</v>
      </c>
      <c r="AFR9">
        <v>-1.25099165458913</v>
      </c>
      <c r="AFS9">
        <v>-1.25500684054705</v>
      </c>
      <c r="AFT9">
        <v>-1.2529497879752101</v>
      </c>
      <c r="AFU9">
        <v>-1.2016190781874401</v>
      </c>
      <c r="AFV9">
        <v>-1.19893279246159</v>
      </c>
      <c r="AFW9">
        <v>-1.2099855643516599</v>
      </c>
      <c r="AFX9">
        <v>-1.21170697646491</v>
      </c>
      <c r="AFY9">
        <v>-1.31040832851067</v>
      </c>
      <c r="AFZ9">
        <v>-1.3090413378552499</v>
      </c>
      <c r="AGA9">
        <v>-1.3124853678183299</v>
      </c>
      <c r="AGB9">
        <v>-1.31036755692831</v>
      </c>
      <c r="AGC9">
        <v>-1.6184946139887599</v>
      </c>
      <c r="AGD9">
        <v>-1.0117144012438799</v>
      </c>
      <c r="AGE9">
        <v>-1.58709482376415</v>
      </c>
      <c r="AGF9">
        <v>1</v>
      </c>
      <c r="AGG9">
        <v>1</v>
      </c>
      <c r="AGH9">
        <v>1</v>
      </c>
      <c r="AGI9">
        <v>1</v>
      </c>
      <c r="AGJ9">
        <v>1</v>
      </c>
      <c r="AGK9">
        <v>0</v>
      </c>
      <c r="AGL9">
        <v>0</v>
      </c>
      <c r="AGM9">
        <v>0</v>
      </c>
      <c r="AGN9">
        <v>0</v>
      </c>
      <c r="AGO9">
        <v>0</v>
      </c>
      <c r="AGP9">
        <v>0.5</v>
      </c>
      <c r="AGQ9">
        <v>0.75</v>
      </c>
      <c r="AGR9">
        <v>0.5</v>
      </c>
      <c r="AGS9">
        <v>0.75</v>
      </c>
      <c r="AGT9">
        <v>0</v>
      </c>
      <c r="AGU9">
        <v>0</v>
      </c>
      <c r="AGV9">
        <v>0</v>
      </c>
      <c r="AGW9">
        <v>0</v>
      </c>
      <c r="AGX9">
        <v>0</v>
      </c>
      <c r="AGY9">
        <v>0</v>
      </c>
      <c r="AGZ9">
        <v>1</v>
      </c>
      <c r="AHA9">
        <v>1</v>
      </c>
      <c r="AHB9">
        <v>1</v>
      </c>
      <c r="AHC9">
        <v>1</v>
      </c>
      <c r="AHD9">
        <v>1</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Z9">
        <v>2158.67149810708</v>
      </c>
      <c r="AIB9">
        <v>0</v>
      </c>
      <c r="AID9">
        <v>2192.81165293191</v>
      </c>
      <c r="AIF9">
        <v>3258.1920015851802</v>
      </c>
      <c r="AIH9">
        <v>3589.4898413363999</v>
      </c>
      <c r="AIJ9">
        <v>0</v>
      </c>
      <c r="AIL9">
        <v>1606.06259745692</v>
      </c>
      <c r="AIN9">
        <v>1562.1885309102599</v>
      </c>
      <c r="AIP9">
        <v>2295.1880512811699</v>
      </c>
      <c r="AIR9">
        <v>2271.0728079047699</v>
      </c>
      <c r="AIT9">
        <v>0</v>
      </c>
      <c r="AIV9">
        <v>2935.55656996681</v>
      </c>
      <c r="AIX9">
        <v>2883.9645087655399</v>
      </c>
      <c r="AIZ9">
        <v>4366.2867098466504</v>
      </c>
      <c r="AJB9">
        <v>4479.1494891919201</v>
      </c>
      <c r="AJC9">
        <v>0</v>
      </c>
      <c r="AJE9">
        <v>0.23244987995990199</v>
      </c>
      <c r="AJH9">
        <v>4847.8476828145704</v>
      </c>
      <c r="AJJ9">
        <v>224.59807296835601</v>
      </c>
      <c r="AJK9">
        <v>0</v>
      </c>
      <c r="AJL9">
        <v>0</v>
      </c>
      <c r="AJM9">
        <v>0</v>
      </c>
      <c r="AJN9">
        <v>0</v>
      </c>
      <c r="AJO9">
        <v>0</v>
      </c>
      <c r="AJP9">
        <v>0</v>
      </c>
      <c r="AJQ9">
        <v>0</v>
      </c>
      <c r="AJR9">
        <v>0</v>
      </c>
      <c r="AJS9">
        <v>0</v>
      </c>
      <c r="AJT9">
        <v>0</v>
      </c>
      <c r="AJU9">
        <v>0</v>
      </c>
      <c r="AJV9">
        <v>0</v>
      </c>
      <c r="AJW9">
        <v>0</v>
      </c>
      <c r="AJX9">
        <v>0</v>
      </c>
      <c r="AJY9">
        <v>32302.011585654302</v>
      </c>
      <c r="AJZ9">
        <v>0</v>
      </c>
      <c r="AKA9">
        <v>0</v>
      </c>
      <c r="AKB9">
        <v>31469.5643422135</v>
      </c>
      <c r="AKC9">
        <v>39337.403127551399</v>
      </c>
      <c r="AKD9">
        <v>141614651.25918499</v>
      </c>
      <c r="AKE9">
        <v>51.131299010648199</v>
      </c>
      <c r="AKF9">
        <v>69.482645470905794</v>
      </c>
      <c r="AKG9">
        <v>0.44588660811342401</v>
      </c>
      <c r="AKH9">
        <v>0.74293036240992905</v>
      </c>
      <c r="AKI9">
        <v>746.76631417769704</v>
      </c>
      <c r="AKJ9">
        <v>1096.7399695795</v>
      </c>
      <c r="AKK9">
        <v>3948263.8904862101</v>
      </c>
      <c r="AKL9">
        <v>51.131299010648199</v>
      </c>
      <c r="AKM9">
        <v>54.668373844397699</v>
      </c>
      <c r="AKN9">
        <v>1.26271168033782E-2</v>
      </c>
      <c r="AKO9">
        <v>1.7629585284196499E-2</v>
      </c>
      <c r="AKP9">
        <v>342723.71705274901</v>
      </c>
      <c r="AKT9">
        <v>1683698.81208654</v>
      </c>
      <c r="AKX9">
        <v>1519589.44843846</v>
      </c>
      <c r="ALB9">
        <v>20.888033899607699</v>
      </c>
      <c r="ALC9">
        <v>20.888033899607699</v>
      </c>
      <c r="ALD9">
        <v>0</v>
      </c>
      <c r="ALE9">
        <v>0</v>
      </c>
      <c r="ALF9">
        <v>0</v>
      </c>
      <c r="ALH9">
        <v>15.059356050938799</v>
      </c>
      <c r="ALI9">
        <v>5.9364806833132897E-3</v>
      </c>
      <c r="ALJ9">
        <v>15.8248932076551</v>
      </c>
      <c r="ALK9">
        <v>15.059368064860299</v>
      </c>
      <c r="ALL9">
        <v>15.8248932076551</v>
      </c>
      <c r="ALM9">
        <v>1.68724608572667E-5</v>
      </c>
      <c r="ALN9">
        <v>19.546639725862502</v>
      </c>
      <c r="ALO9">
        <v>6.0219361698041996E-3</v>
      </c>
      <c r="ALP9">
        <v>42.997238256442301</v>
      </c>
      <c r="ALQ9">
        <v>15.8248932076551</v>
      </c>
      <c r="ALR9">
        <v>15.059356050938799</v>
      </c>
      <c r="ALS9">
        <v>15.8248932076551</v>
      </c>
      <c r="ALT9">
        <v>15.3099019375042</v>
      </c>
      <c r="ALU9">
        <v>15.8248932076551</v>
      </c>
      <c r="ALV9">
        <v>12.2200341753661</v>
      </c>
      <c r="ALW9">
        <v>1.8000723367401201E-8</v>
      </c>
      <c r="ALX9">
        <v>15.059368064860299</v>
      </c>
      <c r="ALY9">
        <v>1.8000723367401201E-8</v>
      </c>
      <c r="ALZ9">
        <v>4.5851360217135203E-4</v>
      </c>
      <c r="AMA9">
        <v>14.294466546251</v>
      </c>
      <c r="AMB9">
        <v>3.375E-3</v>
      </c>
      <c r="AMC9">
        <v>14.2870073119725</v>
      </c>
      <c r="AMD9">
        <v>3.375E-3</v>
      </c>
      <c r="AME9">
        <v>14.2870073119725</v>
      </c>
      <c r="AMF9">
        <v>3.375E-3</v>
      </c>
      <c r="AMG9">
        <v>3.9424999999999998E-3</v>
      </c>
      <c r="AMH9">
        <v>5.2358351817498701</v>
      </c>
      <c r="AMI9">
        <v>34.363650917011597</v>
      </c>
      <c r="AMJ9">
        <v>0.1067187</v>
      </c>
      <c r="AMK9" s="580">
        <v>16.018263173578902</v>
      </c>
      <c r="AML9">
        <v>6.5216500000000002</v>
      </c>
      <c r="AMM9">
        <v>34.628808331224597</v>
      </c>
      <c r="AMN9">
        <v>0.1067176</v>
      </c>
      <c r="AMO9">
        <v>33.7049532205803</v>
      </c>
      <c r="AMP9">
        <v>0.16802987</v>
      </c>
      <c r="AMQ9">
        <v>27.9080089161709</v>
      </c>
      <c r="AMR9">
        <v>0.28417766619485202</v>
      </c>
      <c r="AMS9">
        <v>18.694291978237999</v>
      </c>
      <c r="AMT9">
        <v>0.86607511999999998</v>
      </c>
      <c r="AMU9">
        <v>31.793125941924199</v>
      </c>
      <c r="AMV9">
        <v>0.10670032</v>
      </c>
      <c r="AMW9">
        <v>31.462185378532801</v>
      </c>
      <c r="AMX9">
        <v>0.10672805</v>
      </c>
      <c r="AMY9">
        <v>30.722019209285602</v>
      </c>
      <c r="AMZ9">
        <v>0.16802747000000001</v>
      </c>
      <c r="ANA9">
        <v>27.103104762171501</v>
      </c>
      <c r="ANB9">
        <v>0.24644330342694401</v>
      </c>
      <c r="ANC9">
        <v>16.624239420515899</v>
      </c>
      <c r="AND9">
        <v>6.5216500000000002</v>
      </c>
      <c r="ANE9">
        <v>40.863059174173003</v>
      </c>
      <c r="ANF9">
        <v>0.10665288000000001</v>
      </c>
      <c r="ANG9">
        <v>40.452329337252799</v>
      </c>
      <c r="ANH9">
        <v>0.10672506</v>
      </c>
      <c r="ANI9">
        <v>39.6694642504158</v>
      </c>
      <c r="ANJ9">
        <v>0.16798560000000001</v>
      </c>
      <c r="ANK9">
        <v>33.511178523143698</v>
      </c>
      <c r="ANL9">
        <v>0.24061156803332601</v>
      </c>
      <c r="ANM9">
        <v>7.1872938361948497</v>
      </c>
      <c r="ANN9">
        <v>1.49397426342694</v>
      </c>
      <c r="ANO9">
        <v>7.14362510803333</v>
      </c>
      <c r="ANP9">
        <v>16.018263173578902</v>
      </c>
      <c r="ANQ9">
        <v>17.8145541249018</v>
      </c>
      <c r="ANR9">
        <v>17.811361896580099</v>
      </c>
      <c r="ANS9">
        <v>17.572425789971199</v>
      </c>
      <c r="ANT9">
        <v>17.838176485617801</v>
      </c>
      <c r="ANU9">
        <v>18.694291978237999</v>
      </c>
      <c r="ANV9">
        <v>19.474034974048202</v>
      </c>
      <c r="ANW9">
        <v>19.4827267785987</v>
      </c>
      <c r="ANX9">
        <v>19.561469286048698</v>
      </c>
      <c r="ANY9">
        <v>19.542706485918401</v>
      </c>
      <c r="ANZ9">
        <v>16.624239420515899</v>
      </c>
      <c r="AOA9">
        <v>18.3401734656318</v>
      </c>
      <c r="AOB9">
        <v>18.340256975118098</v>
      </c>
      <c r="AOC9">
        <v>18.278551933989299</v>
      </c>
      <c r="AOD9">
        <v>18.400533796395699</v>
      </c>
      <c r="AOE9">
        <v>19.546639725862502</v>
      </c>
      <c r="AOF9">
        <v>5.2358351817498701</v>
      </c>
      <c r="AOG9">
        <v>19.6695175691369</v>
      </c>
      <c r="AOH9">
        <v>5.2358351817498701</v>
      </c>
    </row>
    <row r="10" spans="1:1074">
      <c r="A10" t="s">
        <v>2945</v>
      </c>
      <c r="B10">
        <v>6.55</v>
      </c>
      <c r="D10">
        <v>6.55</v>
      </c>
      <c r="F10">
        <v>5</v>
      </c>
      <c r="G10">
        <v>10048319.7473223</v>
      </c>
      <c r="H10">
        <v>23239408.985511798</v>
      </c>
      <c r="I10">
        <v>6381282.1239868198</v>
      </c>
      <c r="J10">
        <v>14758410.247721599</v>
      </c>
      <c r="K10">
        <v>10048319.7473223</v>
      </c>
      <c r="L10">
        <v>23239408.985511798</v>
      </c>
      <c r="M10">
        <v>6381282.12398683</v>
      </c>
      <c r="N10">
        <v>14758410.247721599</v>
      </c>
      <c r="O10">
        <v>51821142.324441098</v>
      </c>
      <c r="P10">
        <v>119850159.11690401</v>
      </c>
      <c r="Q10">
        <v>10048319.7473223</v>
      </c>
      <c r="R10">
        <v>23239408.985511798</v>
      </c>
      <c r="S10">
        <v>6381282.1239868198</v>
      </c>
      <c r="T10">
        <v>14758410.247721599</v>
      </c>
      <c r="U10">
        <v>10048319.7473223</v>
      </c>
      <c r="V10">
        <v>23239408.985511798</v>
      </c>
      <c r="W10">
        <v>6381282.12398683</v>
      </c>
      <c r="X10">
        <v>14758410.247721599</v>
      </c>
      <c r="Y10">
        <v>51821142.324441098</v>
      </c>
      <c r="Z10">
        <v>119850159.11690401</v>
      </c>
      <c r="AA10">
        <v>10048319.7473223</v>
      </c>
      <c r="AB10">
        <v>23239408.985511798</v>
      </c>
      <c r="AC10">
        <v>6381282.1239868198</v>
      </c>
      <c r="AD10">
        <v>14758410.247721599</v>
      </c>
      <c r="AE10">
        <v>10048319.7473223</v>
      </c>
      <c r="AF10">
        <v>23239408.985511798</v>
      </c>
      <c r="AG10">
        <v>6381282.12398683</v>
      </c>
      <c r="AH10">
        <v>14758410.247721599</v>
      </c>
      <c r="AI10">
        <v>51821142.324441098</v>
      </c>
      <c r="AJ10">
        <v>119850159.11690401</v>
      </c>
      <c r="AK10">
        <v>22.530417077666101</v>
      </c>
      <c r="AL10">
        <v>3758257.41675806</v>
      </c>
      <c r="AM10">
        <v>9733140.1775517706</v>
      </c>
      <c r="AN10">
        <v>22.530417077666101</v>
      </c>
      <c r="AO10">
        <v>3758257.41675806</v>
      </c>
      <c r="AP10">
        <v>9733140.1775517706</v>
      </c>
      <c r="AQ10">
        <v>14.3081581158871</v>
      </c>
      <c r="AR10">
        <v>2386717.5283001899</v>
      </c>
      <c r="AS10">
        <v>6181124.3060632199</v>
      </c>
      <c r="AT10">
        <v>14.3081581158871</v>
      </c>
      <c r="AU10">
        <v>2386717.5283001899</v>
      </c>
      <c r="AV10">
        <v>6181124.3060632199</v>
      </c>
      <c r="AW10">
        <v>22.530417077666101</v>
      </c>
      <c r="AX10">
        <v>3758257.41675806</v>
      </c>
      <c r="AY10">
        <v>9733140.1775517706</v>
      </c>
      <c r="AZ10">
        <v>22.530417077666101</v>
      </c>
      <c r="BA10">
        <v>3758257.41675806</v>
      </c>
      <c r="BB10">
        <v>9733140.1775517706</v>
      </c>
      <c r="BC10">
        <v>14.3081581158871</v>
      </c>
      <c r="BD10">
        <v>2386717.5283001899</v>
      </c>
      <c r="BE10">
        <v>6181124.3060632199</v>
      </c>
      <c r="BF10">
        <v>14.3081581158871</v>
      </c>
      <c r="BG10">
        <v>2386717.5283001899</v>
      </c>
      <c r="BH10">
        <v>6181124.3060632199</v>
      </c>
      <c r="BI10">
        <v>22.530417077666101</v>
      </c>
      <c r="BJ10">
        <v>3758257.41675806</v>
      </c>
      <c r="BK10">
        <v>9733140.1775517706</v>
      </c>
      <c r="BL10">
        <v>22.530417077666101</v>
      </c>
      <c r="BM10">
        <v>3758257.41675806</v>
      </c>
      <c r="BN10">
        <v>9733140.1775517706</v>
      </c>
      <c r="BO10">
        <v>14.3081581158871</v>
      </c>
      <c r="BP10">
        <v>2386717.5283001899</v>
      </c>
      <c r="BQ10">
        <v>6181124.3060632199</v>
      </c>
      <c r="BR10">
        <v>14.3081581158871</v>
      </c>
      <c r="BS10">
        <v>2386717.5283001899</v>
      </c>
      <c r="BT10">
        <v>6181124.3060632199</v>
      </c>
      <c r="BU10">
        <v>50195699.886944197</v>
      </c>
      <c r="BV10">
        <v>116.193749738297</v>
      </c>
      <c r="BW10">
        <v>19382065.597345799</v>
      </c>
      <c r="BX10">
        <v>50195699.886944197</v>
      </c>
      <c r="BY10">
        <v>116.193749738297</v>
      </c>
      <c r="BZ10">
        <v>19382065.597345799</v>
      </c>
      <c r="CA10">
        <v>50195699.886944197</v>
      </c>
      <c r="CB10">
        <v>116.193749738297</v>
      </c>
      <c r="CC10">
        <v>19382065.597345799</v>
      </c>
      <c r="CD10">
        <v>50195699.886944197</v>
      </c>
      <c r="CE10">
        <v>3395861.87171567</v>
      </c>
      <c r="CF10">
        <v>7717867.8902628897</v>
      </c>
      <c r="CG10">
        <v>3395861.87171567</v>
      </c>
      <c r="CH10">
        <v>7717867.8902628897</v>
      </c>
      <c r="CI10">
        <v>2156574.7510455502</v>
      </c>
      <c r="CJ10">
        <v>4901306.2523762397</v>
      </c>
      <c r="CK10">
        <v>2156574.75104554</v>
      </c>
      <c r="CL10">
        <v>4901306.2523762397</v>
      </c>
      <c r="CM10">
        <v>3395861.87171567</v>
      </c>
      <c r="CN10">
        <v>7717867.8902628897</v>
      </c>
      <c r="CO10">
        <v>3395861.87171567</v>
      </c>
      <c r="CP10">
        <v>7717867.8902628897</v>
      </c>
      <c r="CQ10">
        <v>2156574.7510455502</v>
      </c>
      <c r="CR10">
        <v>4901306.2523762397</v>
      </c>
      <c r="CS10">
        <v>2156574.75104554</v>
      </c>
      <c r="CT10">
        <v>4901306.2523762397</v>
      </c>
      <c r="CU10">
        <v>3395861.87171567</v>
      </c>
      <c r="CV10">
        <v>7717867.8902628897</v>
      </c>
      <c r="CW10">
        <v>3395861.87171567</v>
      </c>
      <c r="CX10">
        <v>7717867.8902628897</v>
      </c>
      <c r="CY10">
        <v>2156574.7510455502</v>
      </c>
      <c r="CZ10">
        <v>4901306.2523762397</v>
      </c>
      <c r="DA10">
        <v>2156574.75104554</v>
      </c>
      <c r="DB10">
        <v>4901306.2523762397</v>
      </c>
      <c r="DC10">
        <v>17513121.177818298</v>
      </c>
      <c r="DD10">
        <v>39802548.131405301</v>
      </c>
      <c r="DE10">
        <v>17513121.177818298</v>
      </c>
      <c r="DF10">
        <v>39802548.131405301</v>
      </c>
      <c r="DG10">
        <v>17513121.177818298</v>
      </c>
      <c r="DH10">
        <v>39802548.131405301</v>
      </c>
      <c r="DI10">
        <v>2894200.4588485798</v>
      </c>
      <c r="DJ10">
        <v>5788400.9176971698</v>
      </c>
      <c r="DK10">
        <v>2894200.4588485798</v>
      </c>
      <c r="DL10">
        <v>5788400.9176971698</v>
      </c>
      <c r="DM10">
        <v>1837989.8446410899</v>
      </c>
      <c r="DN10">
        <v>3675979.6892821798</v>
      </c>
      <c r="DO10">
        <v>1837989.8446410899</v>
      </c>
      <c r="DP10">
        <v>3675979.6892821798</v>
      </c>
      <c r="DQ10">
        <v>2894200.4588485798</v>
      </c>
      <c r="DR10">
        <v>5788400.9176971698</v>
      </c>
      <c r="DS10">
        <v>2894200.4588485798</v>
      </c>
      <c r="DT10">
        <v>5788400.9176971698</v>
      </c>
      <c r="DU10">
        <v>1837989.8446410899</v>
      </c>
      <c r="DV10">
        <v>3675979.6892821798</v>
      </c>
      <c r="DW10">
        <v>1837989.8446410899</v>
      </c>
      <c r="DX10">
        <v>3675979.6892821798</v>
      </c>
      <c r="DY10">
        <v>2894200.4588485798</v>
      </c>
      <c r="DZ10">
        <v>5788400.9176971698</v>
      </c>
      <c r="EA10">
        <v>2894200.4588485798</v>
      </c>
      <c r="EB10">
        <v>5788400.9176971698</v>
      </c>
      <c r="EC10">
        <v>1837989.8446410899</v>
      </c>
      <c r="ED10">
        <v>3675979.6892821798</v>
      </c>
      <c r="EE10">
        <v>1837989.8446410899</v>
      </c>
      <c r="EF10">
        <v>3675979.6892821798</v>
      </c>
      <c r="EG10">
        <v>14925955.549277</v>
      </c>
      <c r="EH10">
        <v>29851911.098554</v>
      </c>
      <c r="EI10">
        <v>14925955.549277</v>
      </c>
      <c r="EJ10">
        <v>29851911.098554</v>
      </c>
      <c r="EK10">
        <v>14925955.549277</v>
      </c>
      <c r="EL10">
        <v>29851911.098554</v>
      </c>
      <c r="EM10">
        <v>0</v>
      </c>
      <c r="EN10">
        <v>0</v>
      </c>
      <c r="EO10">
        <v>0</v>
      </c>
      <c r="EP10">
        <v>0</v>
      </c>
      <c r="EQ10">
        <v>0</v>
      </c>
      <c r="ER10">
        <v>0</v>
      </c>
      <c r="ES10">
        <v>0</v>
      </c>
      <c r="ET10">
        <v>0</v>
      </c>
      <c r="EU10">
        <v>0.97289327423057703</v>
      </c>
      <c r="EV10">
        <v>0</v>
      </c>
      <c r="EW10">
        <v>0</v>
      </c>
      <c r="EX10">
        <v>0</v>
      </c>
      <c r="EY10">
        <v>1.19086766624111</v>
      </c>
      <c r="EZ10">
        <v>0</v>
      </c>
      <c r="FA10">
        <v>0</v>
      </c>
      <c r="FB10">
        <v>0.97310317043911798</v>
      </c>
      <c r="FC10">
        <v>0</v>
      </c>
      <c r="FD10">
        <v>0</v>
      </c>
      <c r="FE10">
        <v>0</v>
      </c>
      <c r="FF10">
        <v>0</v>
      </c>
      <c r="FG10">
        <v>0</v>
      </c>
      <c r="FH10">
        <v>0</v>
      </c>
      <c r="FI10">
        <v>0</v>
      </c>
      <c r="FJ10">
        <v>0</v>
      </c>
      <c r="FK10">
        <v>0</v>
      </c>
      <c r="FL10">
        <v>0</v>
      </c>
      <c r="FM10">
        <v>0</v>
      </c>
      <c r="FN10">
        <v>0</v>
      </c>
      <c r="FO10">
        <v>2.45251372506161E-2</v>
      </c>
      <c r="FP10">
        <v>0</v>
      </c>
      <c r="FQ10">
        <v>3.7712464405102401E-3</v>
      </c>
      <c r="FR10">
        <v>0</v>
      </c>
      <c r="FS10">
        <v>0</v>
      </c>
      <c r="FT10">
        <v>0</v>
      </c>
      <c r="FU10">
        <v>97.518048006543694</v>
      </c>
      <c r="FV10">
        <v>0</v>
      </c>
      <c r="FW10">
        <v>0</v>
      </c>
      <c r="FX10">
        <v>0</v>
      </c>
      <c r="FY10">
        <v>2.45251372506161E-2</v>
      </c>
      <c r="FZ10">
        <v>0</v>
      </c>
      <c r="GA10">
        <v>3.7712464405102401E-3</v>
      </c>
      <c r="GB10">
        <v>-284.378040211631</v>
      </c>
      <c r="GC10">
        <v>-296.79987210168798</v>
      </c>
      <c r="GD10">
        <v>-330.34052906560902</v>
      </c>
      <c r="GE10">
        <v>-187.09720167372399</v>
      </c>
      <c r="GF10">
        <v>-189.193637690212</v>
      </c>
      <c r="GG10">
        <v>-210.46821791826099</v>
      </c>
      <c r="GH10">
        <v>-278.71106124311399</v>
      </c>
      <c r="GI10">
        <v>-291.86278793080697</v>
      </c>
      <c r="GJ10">
        <v>-312.74741732126</v>
      </c>
      <c r="GK10">
        <v>-186.88603806466901</v>
      </c>
      <c r="GL10">
        <v>-188.37182811272501</v>
      </c>
      <c r="GM10">
        <v>-209.11783301373299</v>
      </c>
      <c r="GN10">
        <v>-65.686592907396999</v>
      </c>
      <c r="GO10">
        <v>20.099850513543299</v>
      </c>
      <c r="GP10">
        <v>20.655252204762601</v>
      </c>
      <c r="GQ10">
        <v>75.043297798176397</v>
      </c>
      <c r="GR10">
        <v>3.9529051469832801</v>
      </c>
      <c r="GS10">
        <v>-103.86744417457599</v>
      </c>
      <c r="GT10">
        <v>-48.710537762128197</v>
      </c>
      <c r="GU10">
        <v>20.079132128691299</v>
      </c>
      <c r="GV10">
        <v>20.6368950344872</v>
      </c>
      <c r="GW10">
        <v>31.9269441954531</v>
      </c>
      <c r="GX10">
        <v>-7.97776581962263</v>
      </c>
      <c r="GY10">
        <v>-88.3713806440051</v>
      </c>
      <c r="GZ10">
        <v>-68.400021365086602</v>
      </c>
      <c r="HA10">
        <v>20.173570405343899</v>
      </c>
      <c r="HB10">
        <v>20.716234210299501</v>
      </c>
      <c r="HC10">
        <v>67.737309563959499</v>
      </c>
      <c r="HD10">
        <v>-1.79915856246294</v>
      </c>
      <c r="HE10">
        <v>-93.161470616789998</v>
      </c>
      <c r="HF10">
        <v>-49.0556848897142</v>
      </c>
      <c r="HG10">
        <v>20.0751823178915</v>
      </c>
      <c r="HH10">
        <v>20.6265174159577</v>
      </c>
      <c r="HI10">
        <v>31.555096259265</v>
      </c>
      <c r="HJ10">
        <v>-7.7538366883469303</v>
      </c>
      <c r="HK10">
        <v>-84.775626652577898</v>
      </c>
      <c r="HL10">
        <v>-244.772248645042</v>
      </c>
      <c r="HM10">
        <v>22.215987771031799</v>
      </c>
      <c r="HN10">
        <v>22.874256475671299</v>
      </c>
      <c r="HO10">
        <v>9.8457868857005799</v>
      </c>
      <c r="HP10">
        <v>-201.22461797987501</v>
      </c>
      <c r="HQ10">
        <v>21.128869815561099</v>
      </c>
      <c r="HR10">
        <v>-296.83205216965501</v>
      </c>
      <c r="HS10">
        <v>-161.61284725629599</v>
      </c>
      <c r="HT10">
        <v>22.187003342215601</v>
      </c>
      <c r="HU10">
        <v>22.882612122504799</v>
      </c>
      <c r="HV10">
        <v>8.8978345379489401</v>
      </c>
      <c r="HW10">
        <v>-126.71807570548</v>
      </c>
      <c r="HX10">
        <v>21.060409370169999</v>
      </c>
      <c r="HY10">
        <v>-186.26725851180899</v>
      </c>
      <c r="HZ10">
        <v>22.252826943326699</v>
      </c>
      <c r="IA10">
        <v>22.912075826353401</v>
      </c>
      <c r="IB10">
        <v>9.1940347135272695</v>
      </c>
      <c r="IC10">
        <v>-239.22714737749101</v>
      </c>
      <c r="ID10">
        <v>-188.85232966967899</v>
      </c>
      <c r="IE10">
        <v>21.216713276255501</v>
      </c>
      <c r="IF10">
        <v>-276.06515859208298</v>
      </c>
      <c r="IG10">
        <v>-4.9401460188442501</v>
      </c>
      <c r="IH10">
        <v>22.184546795508901</v>
      </c>
      <c r="II10">
        <v>22.881530951621901</v>
      </c>
      <c r="IJ10">
        <v>8.6249697726330297</v>
      </c>
      <c r="IK10">
        <v>-4.5043939360098504</v>
      </c>
      <c r="IL10">
        <v>-161.281874915738</v>
      </c>
      <c r="IM10">
        <v>-125.869194867228</v>
      </c>
      <c r="IN10">
        <v>21.0580316045939</v>
      </c>
      <c r="IO10">
        <v>1.36879305161807</v>
      </c>
      <c r="IP10">
        <v>-185.98341691446899</v>
      </c>
      <c r="IQ10">
        <v>-50.899300726088903</v>
      </c>
      <c r="IR10">
        <v>-29.530791989958399</v>
      </c>
      <c r="IS10">
        <v>-44.030871066552699</v>
      </c>
      <c r="IT10">
        <v>-29.672112372451799</v>
      </c>
      <c r="IU10">
        <v>-2055.7402538043002</v>
      </c>
      <c r="IV10">
        <v>-66.425488039656798</v>
      </c>
      <c r="IW10">
        <v>20.386887336536098</v>
      </c>
      <c r="IX10">
        <v>21.128869815561099</v>
      </c>
      <c r="IY10">
        <v>91.589645354324205</v>
      </c>
      <c r="IZ10">
        <v>-11.1828168112139</v>
      </c>
      <c r="JA10">
        <v>-348.89042868808099</v>
      </c>
      <c r="JB10">
        <v>-43.817949608284799</v>
      </c>
      <c r="JC10">
        <v>20.312294342894202</v>
      </c>
      <c r="JD10">
        <v>21.060409370169999</v>
      </c>
      <c r="JE10">
        <v>58.978993540827801</v>
      </c>
      <c r="JF10">
        <v>-7.0986550190565403</v>
      </c>
      <c r="JG10">
        <v>-218.68700430011401</v>
      </c>
      <c r="JH10">
        <v>-67.607338039337293</v>
      </c>
      <c r="JI10">
        <v>20.473805391647598</v>
      </c>
      <c r="JJ10">
        <v>21.216713276255501</v>
      </c>
      <c r="JK10">
        <v>89.499614759238099</v>
      </c>
      <c r="JL10">
        <v>-15.625758324970001</v>
      </c>
      <c r="JM10">
        <v>-346.01122116859102</v>
      </c>
      <c r="JN10">
        <v>-44.145400129078297</v>
      </c>
      <c r="JO10">
        <v>20.311134272459</v>
      </c>
      <c r="JP10">
        <v>21.0580316045939</v>
      </c>
      <c r="JQ10">
        <v>0.89563470086115105</v>
      </c>
      <c r="JR10">
        <v>58.839632081981797</v>
      </c>
      <c r="JS10">
        <v>0.58580337937990701</v>
      </c>
      <c r="JT10">
        <v>-7.3317142885250703</v>
      </c>
      <c r="JU10">
        <v>-218.969416051704</v>
      </c>
      <c r="JV10">
        <v>-309.30486221978401</v>
      </c>
      <c r="JW10">
        <v>-310.18417967439302</v>
      </c>
      <c r="JX10">
        <v>-675.66917875178103</v>
      </c>
      <c r="JY10">
        <v>-205.67339073698699</v>
      </c>
      <c r="JZ10">
        <v>-202.760449840039</v>
      </c>
      <c r="KA10">
        <v>-436.81929986969402</v>
      </c>
      <c r="KB10">
        <v>-295.27625872015199</v>
      </c>
      <c r="KC10">
        <v>-291.43703379050299</v>
      </c>
      <c r="KD10">
        <v>-616.255660426291</v>
      </c>
      <c r="KE10">
        <v>-205.29282380767501</v>
      </c>
      <c r="KF10">
        <v>19.254552075687101</v>
      </c>
      <c r="KG10">
        <v>-169.67152496051801</v>
      </c>
      <c r="KH10">
        <v>0.84718591901253404</v>
      </c>
      <c r="KI10">
        <v>-201.22739060276501</v>
      </c>
      <c r="KJ10">
        <v>-431.82313107053301</v>
      </c>
      <c r="KK10">
        <v>-101.36446740427699</v>
      </c>
      <c r="KL10">
        <v>18.384297023193099</v>
      </c>
      <c r="KM10">
        <v>19.812823414733099</v>
      </c>
      <c r="KN10">
        <v>139.43382118890901</v>
      </c>
      <c r="KO10">
        <v>17.3623728918019</v>
      </c>
      <c r="KP10">
        <v>6.97698220001487</v>
      </c>
      <c r="KQ10">
        <v>-128.435927647732</v>
      </c>
      <c r="KR10">
        <v>-933.68926464944298</v>
      </c>
      <c r="KS10">
        <v>-67.101242745523805</v>
      </c>
      <c r="KT10">
        <v>18.348047273550101</v>
      </c>
      <c r="KU10">
        <v>19.796412915512299</v>
      </c>
      <c r="KV10">
        <v>91.662900439339595</v>
      </c>
      <c r="KW10">
        <v>17.313281964247398</v>
      </c>
      <c r="KX10">
        <v>6.98541351458982</v>
      </c>
      <c r="KY10">
        <v>-81.297605199484195</v>
      </c>
      <c r="KZ10">
        <v>-592.914857890181</v>
      </c>
      <c r="LA10">
        <v>-113.246202868254</v>
      </c>
      <c r="LB10">
        <v>18.576289734673502</v>
      </c>
      <c r="LC10">
        <v>19.920056833745999</v>
      </c>
      <c r="LD10">
        <v>84.019292333108098</v>
      </c>
      <c r="LE10">
        <v>17.5963681828006</v>
      </c>
      <c r="LF10">
        <v>6.9838596755347</v>
      </c>
      <c r="LG10">
        <v>-181.94766561368601</v>
      </c>
      <c r="LH10">
        <v>-946.53265775882596</v>
      </c>
      <c r="LI10">
        <v>-73.942522138876996</v>
      </c>
      <c r="LJ10">
        <v>18.3843663541155</v>
      </c>
      <c r="LK10">
        <v>19.798728174617501</v>
      </c>
      <c r="LL10">
        <v>64.148570799646393</v>
      </c>
      <c r="LM10">
        <v>17.355834179232701</v>
      </c>
      <c r="LN10">
        <v>7.0242424305807996</v>
      </c>
      <c r="LO10">
        <v>-100.46547270477799</v>
      </c>
      <c r="LP10">
        <v>-607.31999911923697</v>
      </c>
      <c r="LQ10">
        <v>-27.620295928013999</v>
      </c>
      <c r="LR10">
        <v>18.446665943087702</v>
      </c>
      <c r="LS10">
        <v>16.440999999999999</v>
      </c>
      <c r="LT10">
        <v>23.570627319388599</v>
      </c>
      <c r="LU10">
        <v>-151.24099642355799</v>
      </c>
      <c r="LV10">
        <v>18.695360454296999</v>
      </c>
      <c r="LW10">
        <v>20.112133080343</v>
      </c>
      <c r="LX10">
        <v>135.14879511332799</v>
      </c>
      <c r="LY10">
        <v>-17.098104657088001</v>
      </c>
      <c r="LZ10">
        <v>18.420795198157499</v>
      </c>
      <c r="MA10">
        <v>16.440999999999999</v>
      </c>
      <c r="MB10">
        <v>37.657986765299803</v>
      </c>
      <c r="MC10">
        <v>-60.986760661281799</v>
      </c>
      <c r="MD10">
        <v>18.652152211578802</v>
      </c>
      <c r="ME10">
        <v>20.091189809100001</v>
      </c>
      <c r="MF10">
        <v>102.365584474572</v>
      </c>
      <c r="MG10">
        <v>-26.789021690549301</v>
      </c>
      <c r="MH10">
        <v>18.460723535108201</v>
      </c>
      <c r="MI10">
        <v>16.440999999999999</v>
      </c>
      <c r="MJ10">
        <v>51.119193673280499</v>
      </c>
      <c r="MK10">
        <v>-106.250162345639</v>
      </c>
      <c r="ML10">
        <v>18.6923628507712</v>
      </c>
      <c r="MM10">
        <v>20.150836937537001</v>
      </c>
      <c r="MN10">
        <v>152.49617688257601</v>
      </c>
      <c r="MO10">
        <v>-17.326247040021101</v>
      </c>
      <c r="MP10">
        <v>18.413337712115901</v>
      </c>
      <c r="MQ10">
        <v>16.440999999999999</v>
      </c>
      <c r="MR10">
        <v>36.871892288447697</v>
      </c>
      <c r="MS10">
        <v>-63.510015792900099</v>
      </c>
      <c r="MT10">
        <v>18.647915509925198</v>
      </c>
      <c r="MU10">
        <v>20.0813624370189</v>
      </c>
      <c r="MV10">
        <v>102.68267225904501</v>
      </c>
      <c r="MW10">
        <v>-29.167908318644699</v>
      </c>
      <c r="MX10">
        <v>19.8561441817961</v>
      </c>
      <c r="MY10">
        <v>19.8527780883066</v>
      </c>
      <c r="MZ10">
        <v>46.9278275462827</v>
      </c>
      <c r="NA10">
        <v>79.796900665278798</v>
      </c>
      <c r="NB10">
        <v>19.885314470815</v>
      </c>
      <c r="NC10">
        <v>20.892620485117899</v>
      </c>
      <c r="ND10">
        <v>57.865331628537902</v>
      </c>
      <c r="NE10">
        <v>-19.150233465813301</v>
      </c>
      <c r="NF10">
        <v>19.7870327823282</v>
      </c>
      <c r="NG10">
        <v>19.807674376049601</v>
      </c>
      <c r="NH10">
        <v>30.330180450300698</v>
      </c>
      <c r="NI10">
        <v>56.209824485429102</v>
      </c>
      <c r="NJ10">
        <v>19.808617216515501</v>
      </c>
      <c r="NK10">
        <v>20.824140719777098</v>
      </c>
      <c r="NL10">
        <v>35.469820019403699</v>
      </c>
      <c r="NM10" s="35">
        <v>-28.590257331113602</v>
      </c>
      <c r="NN10">
        <v>19.947132925768098</v>
      </c>
      <c r="NO10">
        <v>19.941559378713801</v>
      </c>
      <c r="NP10">
        <v>55.841665197571501</v>
      </c>
      <c r="NQ10" s="35">
        <v>99.598931273841799</v>
      </c>
      <c r="NR10" s="35">
        <v>19.967357956051899</v>
      </c>
      <c r="NS10">
        <v>20.984255329675399</v>
      </c>
      <c r="NT10">
        <v>63.425112559050604</v>
      </c>
      <c r="NU10">
        <v>-19.3931397461633</v>
      </c>
      <c r="NV10">
        <v>19.793807487995299</v>
      </c>
      <c r="NW10">
        <v>19.808602863178699</v>
      </c>
      <c r="NX10">
        <v>1.7</v>
      </c>
      <c r="NY10">
        <v>29.953600351559601</v>
      </c>
      <c r="NZ10">
        <v>54.1063927101114</v>
      </c>
      <c r="OA10">
        <v>19.818937269736701</v>
      </c>
      <c r="OB10">
        <v>20.8265382376422</v>
      </c>
      <c r="OC10">
        <v>1.7</v>
      </c>
      <c r="OD10">
        <v>35.937450541009902</v>
      </c>
      <c r="OE10">
        <v>1.7</v>
      </c>
      <c r="OF10">
        <v>1.7</v>
      </c>
      <c r="OG10">
        <v>-24.1220559691956</v>
      </c>
      <c r="OH10">
        <v>19.247820449354201</v>
      </c>
      <c r="OI10">
        <v>19.9376715604369</v>
      </c>
      <c r="OJ10">
        <v>219.43206550810899</v>
      </c>
      <c r="OK10">
        <v>510.03823691524298</v>
      </c>
      <c r="OL10">
        <v>19.021268419954399</v>
      </c>
      <c r="OM10">
        <v>19.909619043085499</v>
      </c>
      <c r="ON10">
        <v>93.173227212038896</v>
      </c>
      <c r="OO10">
        <v>-15.901754826833301</v>
      </c>
      <c r="OP10">
        <v>19.181944496110201</v>
      </c>
      <c r="OQ10">
        <v>19.859798020218498</v>
      </c>
      <c r="OR10">
        <v>137.15884726022901</v>
      </c>
      <c r="OS10">
        <v>318.968794237628</v>
      </c>
      <c r="OT10">
        <v>18.959753016219299</v>
      </c>
      <c r="OU10">
        <v>19.881688813868699</v>
      </c>
      <c r="OV10">
        <v>58.2084122998331</v>
      </c>
      <c r="OW10">
        <v>-21.787477584072001</v>
      </c>
      <c r="OX10">
        <v>19.294736310788899</v>
      </c>
      <c r="OY10">
        <v>20.029918981275799</v>
      </c>
      <c r="OZ10">
        <v>262.720248599679</v>
      </c>
      <c r="PA10">
        <v>569.49541840305301</v>
      </c>
      <c r="PB10">
        <v>19.053570816058102</v>
      </c>
      <c r="PC10">
        <v>19.9743601013773</v>
      </c>
      <c r="PD10">
        <v>128.19859909405099</v>
      </c>
      <c r="PE10">
        <v>-14.3223198357126</v>
      </c>
      <c r="PF10">
        <v>19.169087988171199</v>
      </c>
      <c r="PG10">
        <v>19.8579882166859</v>
      </c>
      <c r="PH10">
        <v>2.2999048113447098</v>
      </c>
      <c r="PI10">
        <v>154.54998638125301</v>
      </c>
      <c r="PJ10">
        <v>334.89271592376502</v>
      </c>
      <c r="PK10">
        <v>18.950237235960401</v>
      </c>
      <c r="PL10">
        <v>19.875802971220601</v>
      </c>
      <c r="PM10" s="35">
        <v>2.2456757889106398</v>
      </c>
      <c r="PN10">
        <v>76.641309844110495</v>
      </c>
      <c r="PO10">
        <v>20.487245258653299</v>
      </c>
      <c r="PP10">
        <v>20.4749968331536</v>
      </c>
      <c r="PQ10">
        <v>20.524672840659299</v>
      </c>
      <c r="PR10">
        <v>20.460335407148499</v>
      </c>
      <c r="PS10">
        <v>20.9341821934816</v>
      </c>
      <c r="PT10">
        <v>21.132182826537399</v>
      </c>
      <c r="PU10">
        <v>21.0650131083068</v>
      </c>
      <c r="PV10">
        <v>21.193886305085801</v>
      </c>
      <c r="PW10">
        <v>21.060550021130101</v>
      </c>
      <c r="PX10">
        <v>22.8545587165539</v>
      </c>
      <c r="PY10">
        <v>20.038180015980899</v>
      </c>
      <c r="PZ10">
        <v>20.029745037364901</v>
      </c>
      <c r="QA10">
        <v>20.098432461341002</v>
      </c>
      <c r="QB10">
        <v>20.0205788039037</v>
      </c>
      <c r="QC10">
        <v>20.781380671711201</v>
      </c>
      <c r="QD10">
        <v>19.537989899789</v>
      </c>
      <c r="QE10">
        <v>20.9902341596943</v>
      </c>
      <c r="QF10">
        <v>20.974848282256701</v>
      </c>
      <c r="QG10">
        <v>21.0439650398426</v>
      </c>
      <c r="QH10">
        <v>20.950243910863598</v>
      </c>
      <c r="QI10">
        <v>21.569728037354398</v>
      </c>
      <c r="QJ10">
        <v>21.556211763903001</v>
      </c>
      <c r="QK10">
        <v>21.471310112046002</v>
      </c>
      <c r="QL10">
        <v>21.627586058457599</v>
      </c>
      <c r="QM10">
        <v>21.4610948080627</v>
      </c>
      <c r="QN10">
        <v>-966.61698767022995</v>
      </c>
      <c r="QO10">
        <v>23.662876761223</v>
      </c>
      <c r="QP10">
        <v>-4258.52816686593</v>
      </c>
      <c r="QQ10">
        <v>20.587765569457002</v>
      </c>
      <c r="QR10">
        <v>20.576741882354</v>
      </c>
      <c r="QS10">
        <v>20.6451484328277</v>
      </c>
      <c r="QT10">
        <v>20.567316068134499</v>
      </c>
      <c r="QU10">
        <v>21.432806258074599</v>
      </c>
      <c r="QV10">
        <v>17.061069952215998</v>
      </c>
      <c r="QW10">
        <v>440141.24052883597</v>
      </c>
      <c r="QX10">
        <v>0</v>
      </c>
      <c r="QY10">
        <v>289641.88965969201</v>
      </c>
      <c r="QZ10">
        <v>0</v>
      </c>
      <c r="RA10">
        <v>45265.236480607702</v>
      </c>
      <c r="RB10">
        <v>0</v>
      </c>
      <c r="RC10">
        <v>29868.849560955801</v>
      </c>
      <c r="RD10">
        <v>0</v>
      </c>
      <c r="RE10">
        <v>99881.706744555297</v>
      </c>
      <c r="RF10">
        <v>0</v>
      </c>
      <c r="RG10">
        <v>65500.6215870409</v>
      </c>
      <c r="RH10" s="35">
        <v>0</v>
      </c>
      <c r="RI10">
        <v>0</v>
      </c>
      <c r="RJ10" s="35">
        <v>0</v>
      </c>
      <c r="RK10">
        <v>21.493223060735399</v>
      </c>
      <c r="RL10">
        <v>0</v>
      </c>
      <c r="RM10" s="35">
        <v>-822.99397428332804</v>
      </c>
      <c r="RN10">
        <v>3349.3727439316499</v>
      </c>
      <c r="RO10" s="35">
        <v>10.302737249816101</v>
      </c>
      <c r="RP10">
        <v>0</v>
      </c>
      <c r="RQ10" s="35">
        <v>21.474699731359699</v>
      </c>
      <c r="RR10" s="35">
        <v>12.261582856440301</v>
      </c>
      <c r="RS10">
        <v>-486.97838226889598</v>
      </c>
      <c r="RT10">
        <v>2163.28108617613</v>
      </c>
      <c r="RU10">
        <v>0</v>
      </c>
      <c r="RV10">
        <v>0</v>
      </c>
      <c r="RW10">
        <v>21.563257239025901</v>
      </c>
      <c r="RX10">
        <v>0</v>
      </c>
      <c r="RY10">
        <v>-972.00183467729403</v>
      </c>
      <c r="RZ10">
        <v>3199.8523620081401</v>
      </c>
      <c r="SA10">
        <v>10.3091544334993</v>
      </c>
      <c r="SB10">
        <v>0</v>
      </c>
      <c r="SC10">
        <v>21.440152414578701</v>
      </c>
      <c r="SD10">
        <v>12.319169920347999</v>
      </c>
      <c r="SE10">
        <v>-447.45814186395597</v>
      </c>
      <c r="SF10">
        <v>2202.9636466607599</v>
      </c>
      <c r="SG10">
        <v>0</v>
      </c>
      <c r="SH10">
        <v>6027.5372448995004</v>
      </c>
      <c r="SI10">
        <v>22.205273881227299</v>
      </c>
      <c r="SJ10">
        <v>0</v>
      </c>
      <c r="SK10">
        <v>-14363.3955607439</v>
      </c>
      <c r="SL10">
        <v>7551.9829497758501</v>
      </c>
      <c r="SM10">
        <v>21.1111</v>
      </c>
      <c r="SN10">
        <v>23.8889</v>
      </c>
      <c r="SO10">
        <v>0</v>
      </c>
      <c r="SP10">
        <v>0</v>
      </c>
      <c r="SQ10">
        <v>19.763479756385902</v>
      </c>
      <c r="SR10">
        <v>0</v>
      </c>
      <c r="SS10">
        <v>0</v>
      </c>
      <c r="ST10">
        <v>0</v>
      </c>
      <c r="SU10">
        <v>31.938367788682999</v>
      </c>
      <c r="SV10">
        <v>0</v>
      </c>
      <c r="SW10">
        <v>19.8359573447595</v>
      </c>
      <c r="SX10">
        <v>0</v>
      </c>
      <c r="SY10">
        <v>0</v>
      </c>
      <c r="SZ10">
        <v>0</v>
      </c>
      <c r="TA10">
        <v>0</v>
      </c>
      <c r="TB10">
        <v>0</v>
      </c>
      <c r="TC10">
        <v>19.8516737210984</v>
      </c>
      <c r="TD10">
        <v>0</v>
      </c>
      <c r="TE10">
        <v>0</v>
      </c>
      <c r="TF10">
        <v>0</v>
      </c>
      <c r="TG10">
        <v>31.798500384511801</v>
      </c>
      <c r="TH10">
        <v>0</v>
      </c>
      <c r="TI10">
        <v>19.833135367745601</v>
      </c>
      <c r="TJ10">
        <v>0</v>
      </c>
      <c r="TK10">
        <v>0</v>
      </c>
      <c r="TL10">
        <v>0</v>
      </c>
      <c r="TM10">
        <v>778.78794954044895</v>
      </c>
      <c r="TN10">
        <v>254.85579899341801</v>
      </c>
      <c r="TO10">
        <v>20.553684288160198</v>
      </c>
      <c r="TP10">
        <v>0</v>
      </c>
      <c r="TQ10">
        <v>0</v>
      </c>
      <c r="TR10">
        <v>0</v>
      </c>
      <c r="TS10">
        <v>0</v>
      </c>
      <c r="TT10">
        <v>0</v>
      </c>
      <c r="TU10">
        <v>21.980240701268599</v>
      </c>
      <c r="TV10">
        <v>0</v>
      </c>
      <c r="TW10">
        <v>-1656.6384629521101</v>
      </c>
      <c r="TX10">
        <v>2514.6207166068498</v>
      </c>
      <c r="TY10">
        <v>0</v>
      </c>
      <c r="TZ10">
        <v>0</v>
      </c>
      <c r="UA10">
        <v>21.8776071157851</v>
      </c>
      <c r="UB10">
        <v>0</v>
      </c>
      <c r="UC10">
        <v>-945.55259894184098</v>
      </c>
      <c r="UD10">
        <v>1704.8146450870299</v>
      </c>
      <c r="UE10">
        <v>0</v>
      </c>
      <c r="UF10">
        <v>0</v>
      </c>
      <c r="UG10">
        <v>22.061285811829499</v>
      </c>
      <c r="UH10">
        <v>0</v>
      </c>
      <c r="UI10">
        <v>-1810.0901398227099</v>
      </c>
      <c r="UJ10">
        <v>2360.5248207948598</v>
      </c>
      <c r="UK10">
        <v>0</v>
      </c>
      <c r="UL10">
        <v>0</v>
      </c>
      <c r="UM10">
        <v>21.861639594995399</v>
      </c>
      <c r="UN10">
        <v>0</v>
      </c>
      <c r="UO10">
        <v>-925.74464251921302</v>
      </c>
      <c r="UP10">
        <v>1724.64991745107</v>
      </c>
      <c r="UQ10">
        <v>0</v>
      </c>
      <c r="UR10">
        <v>7626.7276469812796</v>
      </c>
      <c r="US10">
        <v>24.4711948058921</v>
      </c>
      <c r="UT10">
        <v>-5092.0003238092204</v>
      </c>
      <c r="UU10">
        <v>-26898.053665525898</v>
      </c>
      <c r="UV10">
        <v>-4531.7316594605099</v>
      </c>
      <c r="UW10">
        <v>21.1111</v>
      </c>
      <c r="UX10">
        <v>23.8889</v>
      </c>
      <c r="UY10">
        <v>0</v>
      </c>
      <c r="UZ10">
        <v>0</v>
      </c>
      <c r="VA10">
        <v>20.004392158505802</v>
      </c>
      <c r="VB10">
        <v>0</v>
      </c>
      <c r="VC10">
        <v>0</v>
      </c>
      <c r="VD10">
        <v>0</v>
      </c>
      <c r="VE10">
        <v>0</v>
      </c>
      <c r="VF10">
        <v>0</v>
      </c>
      <c r="VG10">
        <v>19.9239331390282</v>
      </c>
      <c r="VH10">
        <v>0</v>
      </c>
      <c r="VI10">
        <v>0</v>
      </c>
      <c r="VJ10">
        <v>0</v>
      </c>
      <c r="VK10">
        <v>0</v>
      </c>
      <c r="VL10">
        <v>0</v>
      </c>
      <c r="VM10">
        <v>20.095866083736801</v>
      </c>
      <c r="VN10">
        <v>0</v>
      </c>
      <c r="VO10">
        <v>0</v>
      </c>
      <c r="VP10">
        <v>0</v>
      </c>
      <c r="VQ10">
        <v>0</v>
      </c>
      <c r="VR10">
        <v>0</v>
      </c>
      <c r="VS10">
        <v>19.922190936202401</v>
      </c>
      <c r="VT10">
        <v>0</v>
      </c>
      <c r="VU10">
        <v>0</v>
      </c>
      <c r="VV10">
        <v>0</v>
      </c>
      <c r="VW10">
        <v>1819.90471245919</v>
      </c>
      <c r="VX10">
        <v>0</v>
      </c>
      <c r="VY10">
        <v>22.467398483093302</v>
      </c>
      <c r="VZ10">
        <v>0</v>
      </c>
      <c r="WA10">
        <v>0</v>
      </c>
      <c r="WB10">
        <v>0</v>
      </c>
      <c r="WC10">
        <v>386.96078850731698</v>
      </c>
      <c r="WD10">
        <v>0</v>
      </c>
      <c r="WE10">
        <v>21.137351122933001</v>
      </c>
      <c r="WF10">
        <v>394.74784463038401</v>
      </c>
      <c r="WG10">
        <v>271.09832952773598</v>
      </c>
      <c r="WH10">
        <v>4451.3589563643</v>
      </c>
      <c r="WI10">
        <v>0</v>
      </c>
      <c r="WJ10">
        <v>292.12246903359397</v>
      </c>
      <c r="WK10">
        <v>0</v>
      </c>
      <c r="WL10">
        <v>21.123738727343</v>
      </c>
      <c r="WM10">
        <v>296.95703841607701</v>
      </c>
      <c r="WN10">
        <v>240.12534150695001</v>
      </c>
      <c r="WO10">
        <v>2895.5796760006201</v>
      </c>
      <c r="WP10">
        <v>21.1111</v>
      </c>
      <c r="WQ10">
        <v>23.8889</v>
      </c>
      <c r="WR10">
        <v>303.17412891850103</v>
      </c>
      <c r="WS10">
        <v>0</v>
      </c>
      <c r="WT10">
        <v>21.191864404314401</v>
      </c>
      <c r="WU10">
        <v>315.29341189943199</v>
      </c>
      <c r="WV10">
        <v>63.774585014140001</v>
      </c>
      <c r="WW10">
        <v>4243.8135186944201</v>
      </c>
      <c r="WX10">
        <v>0</v>
      </c>
      <c r="WY10">
        <v>290.76757784047101</v>
      </c>
      <c r="WZ10">
        <v>0</v>
      </c>
      <c r="XA10">
        <v>21.114053332365199</v>
      </c>
      <c r="XB10">
        <v>296.25265196481803</v>
      </c>
      <c r="XC10">
        <v>245.925088168164</v>
      </c>
      <c r="XD10">
        <v>2901.3977897043601</v>
      </c>
      <c r="XE10">
        <v>0</v>
      </c>
      <c r="XF10">
        <v>5568.2105696814497</v>
      </c>
      <c r="XG10">
        <v>22.084231844438001</v>
      </c>
      <c r="XH10">
        <v>0</v>
      </c>
      <c r="XI10">
        <v>-13462.251508655499</v>
      </c>
      <c r="XJ10">
        <v>8490.7963394343496</v>
      </c>
      <c r="XK10">
        <v>21.1111</v>
      </c>
      <c r="XL10">
        <v>23.8889</v>
      </c>
      <c r="XM10">
        <v>313.560107685432</v>
      </c>
      <c r="XN10">
        <v>0</v>
      </c>
      <c r="XO10">
        <v>17.856517652993698</v>
      </c>
      <c r="XP10">
        <v>0</v>
      </c>
      <c r="XQ10">
        <v>0</v>
      </c>
      <c r="XR10">
        <v>0</v>
      </c>
      <c r="XS10">
        <v>201.818162664818</v>
      </c>
      <c r="XT10">
        <v>0</v>
      </c>
      <c r="XU10">
        <v>17.811067260434001</v>
      </c>
      <c r="XV10">
        <v>0</v>
      </c>
      <c r="XW10">
        <v>0</v>
      </c>
      <c r="XX10">
        <v>0</v>
      </c>
      <c r="XY10">
        <v>387.473851634288</v>
      </c>
      <c r="XZ10">
        <v>0</v>
      </c>
      <c r="YA10">
        <v>18.157388435646201</v>
      </c>
      <c r="YB10">
        <v>0</v>
      </c>
      <c r="YC10">
        <v>0</v>
      </c>
      <c r="YD10">
        <v>0</v>
      </c>
      <c r="YE10">
        <v>292.10928887039103</v>
      </c>
      <c r="YF10">
        <v>0</v>
      </c>
      <c r="YG10">
        <v>18.0280008531407</v>
      </c>
      <c r="YH10">
        <v>0</v>
      </c>
      <c r="YI10">
        <v>0</v>
      </c>
      <c r="YJ10">
        <v>0</v>
      </c>
      <c r="YK10">
        <v>1773.4319595756599</v>
      </c>
      <c r="YL10">
        <v>36.134833706784804</v>
      </c>
      <c r="YM10">
        <v>19.095407474276801</v>
      </c>
      <c r="YN10">
        <v>0</v>
      </c>
      <c r="YO10">
        <v>0</v>
      </c>
      <c r="YP10">
        <v>0</v>
      </c>
      <c r="YQ10">
        <v>0</v>
      </c>
      <c r="YR10">
        <v>0</v>
      </c>
      <c r="YS10">
        <v>18.5188997616861</v>
      </c>
      <c r="YT10">
        <v>0</v>
      </c>
      <c r="YU10">
        <v>0</v>
      </c>
      <c r="YV10">
        <v>0</v>
      </c>
      <c r="YW10">
        <v>0</v>
      </c>
      <c r="YX10">
        <v>45.200148402329297</v>
      </c>
      <c r="YY10">
        <v>18.431401532385301</v>
      </c>
      <c r="YZ10">
        <v>0</v>
      </c>
      <c r="ZA10">
        <v>0</v>
      </c>
      <c r="ZB10">
        <v>0</v>
      </c>
      <c r="ZC10">
        <v>0</v>
      </c>
      <c r="ZD10">
        <v>0</v>
      </c>
      <c r="ZE10">
        <v>18.520811937873798</v>
      </c>
      <c r="ZF10">
        <v>0</v>
      </c>
      <c r="ZG10">
        <v>0</v>
      </c>
      <c r="ZH10">
        <v>0</v>
      </c>
      <c r="ZI10">
        <v>0</v>
      </c>
      <c r="ZJ10">
        <v>45.052123487088402</v>
      </c>
      <c r="ZK10">
        <v>18.425473976931599</v>
      </c>
      <c r="ZL10">
        <v>0</v>
      </c>
      <c r="ZM10">
        <v>0</v>
      </c>
      <c r="ZN10">
        <v>0</v>
      </c>
      <c r="ZO10">
        <v>0</v>
      </c>
      <c r="ZP10">
        <v>9469.5869289602797</v>
      </c>
      <c r="ZQ10">
        <v>16.6636543850992</v>
      </c>
      <c r="ZR10">
        <v>0</v>
      </c>
      <c r="ZS10">
        <v>0</v>
      </c>
      <c r="ZT10">
        <v>0</v>
      </c>
      <c r="ZU10">
        <v>0</v>
      </c>
      <c r="ZV10">
        <v>0</v>
      </c>
      <c r="ZW10">
        <v>19.801468493174099</v>
      </c>
      <c r="ZX10">
        <v>0</v>
      </c>
      <c r="ZY10">
        <v>0</v>
      </c>
      <c r="ZZ10">
        <v>0</v>
      </c>
      <c r="AAA10">
        <v>0</v>
      </c>
      <c r="AAB10">
        <v>0</v>
      </c>
      <c r="AAC10">
        <v>19.727583995844</v>
      </c>
      <c r="AAD10">
        <v>0</v>
      </c>
      <c r="AAE10">
        <v>0</v>
      </c>
      <c r="AAF10">
        <v>0</v>
      </c>
      <c r="AAG10">
        <v>0</v>
      </c>
      <c r="AAH10">
        <v>0</v>
      </c>
      <c r="AAI10">
        <v>19.884623126761799</v>
      </c>
      <c r="AAJ10">
        <v>0</v>
      </c>
      <c r="AAK10">
        <v>0</v>
      </c>
      <c r="AAL10">
        <v>0</v>
      </c>
      <c r="AAM10">
        <v>0</v>
      </c>
      <c r="AAN10">
        <v>0</v>
      </c>
      <c r="AAO10">
        <v>19.7356265612461</v>
      </c>
      <c r="AAP10">
        <v>0</v>
      </c>
      <c r="AAQ10">
        <v>0</v>
      </c>
      <c r="AAR10">
        <v>0</v>
      </c>
      <c r="AAS10">
        <v>0</v>
      </c>
      <c r="AAT10">
        <v>10967.424704618201</v>
      </c>
      <c r="AAU10">
        <v>17.862991869248901</v>
      </c>
      <c r="AAV10">
        <v>0</v>
      </c>
      <c r="AAW10">
        <v>0</v>
      </c>
      <c r="AAX10">
        <v>0</v>
      </c>
      <c r="AAY10">
        <v>0</v>
      </c>
      <c r="AAZ10">
        <v>164.37716349442701</v>
      </c>
      <c r="ABA10">
        <v>18.942322045230501</v>
      </c>
      <c r="ABB10">
        <v>0</v>
      </c>
      <c r="ABC10">
        <v>0</v>
      </c>
      <c r="ABD10">
        <v>0</v>
      </c>
      <c r="ABE10">
        <v>0</v>
      </c>
      <c r="ABF10">
        <v>100.63493093832101</v>
      </c>
      <c r="ABG10">
        <v>18.882409510522901</v>
      </c>
      <c r="ABH10">
        <v>0</v>
      </c>
      <c r="ABI10">
        <v>0</v>
      </c>
      <c r="ABJ10">
        <v>0</v>
      </c>
      <c r="ABK10">
        <v>0</v>
      </c>
      <c r="ABL10">
        <v>227.04733040396201</v>
      </c>
      <c r="ABM10">
        <v>18.9297104485033</v>
      </c>
      <c r="ABN10">
        <v>0</v>
      </c>
      <c r="ABO10">
        <v>0</v>
      </c>
      <c r="ABP10">
        <v>0</v>
      </c>
      <c r="ABQ10">
        <v>0</v>
      </c>
      <c r="ABR10">
        <v>155.96090370117599</v>
      </c>
      <c r="ABS10">
        <v>18.758130499406199</v>
      </c>
      <c r="ABT10">
        <v>0</v>
      </c>
      <c r="ABU10">
        <v>0</v>
      </c>
      <c r="ABV10">
        <v>0</v>
      </c>
      <c r="ABW10">
        <v>0</v>
      </c>
      <c r="ABX10">
        <v>13050.561851697599</v>
      </c>
      <c r="ABY10">
        <v>17.061069952215998</v>
      </c>
      <c r="ABZ10">
        <v>0</v>
      </c>
      <c r="ACA10">
        <v>0</v>
      </c>
      <c r="ACB10">
        <v>0</v>
      </c>
      <c r="ACC10">
        <v>0</v>
      </c>
      <c r="ACD10">
        <v>0</v>
      </c>
      <c r="ACE10">
        <v>0</v>
      </c>
      <c r="ACF10">
        <v>6.55</v>
      </c>
      <c r="ACG10">
        <v>6.55</v>
      </c>
      <c r="ACH10">
        <v>0</v>
      </c>
      <c r="ACI10">
        <v>0</v>
      </c>
      <c r="ACJ10">
        <v>0</v>
      </c>
      <c r="ACK10">
        <v>20.892476876737199</v>
      </c>
      <c r="ACL10">
        <v>20.892476876737199</v>
      </c>
      <c r="ACM10">
        <v>0</v>
      </c>
      <c r="ACN10">
        <v>94851.307274330306</v>
      </c>
      <c r="ACP10">
        <v>6426.3964426128196</v>
      </c>
      <c r="ACR10">
        <v>101277.703716943</v>
      </c>
      <c r="ACT10">
        <v>22.441290904479001</v>
      </c>
      <c r="ACU10">
        <v>21.241560580513401</v>
      </c>
      <c r="ACV10">
        <v>1.7</v>
      </c>
      <c r="ACW10">
        <v>1.36350561915987</v>
      </c>
      <c r="ACX10">
        <v>0.80647190819769898</v>
      </c>
      <c r="ACY10">
        <v>24.787204053418002</v>
      </c>
      <c r="ACZ10">
        <v>22.940128278957499</v>
      </c>
      <c r="ADA10">
        <v>1.7</v>
      </c>
      <c r="ADB10">
        <v>1.5623276676918101</v>
      </c>
      <c r="ADC10">
        <v>0.72722959825710398</v>
      </c>
      <c r="ADD10">
        <v>22.3213957799782</v>
      </c>
      <c r="ADE10">
        <v>21.222766515293898</v>
      </c>
      <c r="ADF10">
        <v>1.7</v>
      </c>
      <c r="ADG10">
        <v>1.3984469931793999</v>
      </c>
      <c r="ADH10">
        <v>0.81141744190623899</v>
      </c>
      <c r="ADI10">
        <v>21.934556341532002</v>
      </c>
      <c r="ADJ10">
        <v>21.934556341532002</v>
      </c>
      <c r="ADK10">
        <v>0</v>
      </c>
      <c r="ADL10">
        <v>0</v>
      </c>
      <c r="ADM10">
        <v>1</v>
      </c>
      <c r="ADN10">
        <v>21.9023466150921</v>
      </c>
      <c r="ADO10">
        <v>21.9023466150921</v>
      </c>
      <c r="ADP10">
        <v>0</v>
      </c>
      <c r="ADQ10">
        <v>0</v>
      </c>
      <c r="ADR10">
        <v>1</v>
      </c>
      <c r="ADS10">
        <v>21.980394254576101</v>
      </c>
      <c r="ADT10">
        <v>21.980394254576101</v>
      </c>
      <c r="ADU10">
        <v>0</v>
      </c>
      <c r="ADV10">
        <v>0</v>
      </c>
      <c r="ADW10">
        <v>1</v>
      </c>
      <c r="ADX10">
        <v>21.882292377842699</v>
      </c>
      <c r="ADY10">
        <v>21.882292377842699</v>
      </c>
      <c r="ADZ10">
        <v>0</v>
      </c>
      <c r="AEA10">
        <v>0</v>
      </c>
      <c r="AEB10">
        <v>1</v>
      </c>
      <c r="AEC10">
        <v>22.444577231372101</v>
      </c>
      <c r="AED10">
        <v>22.444577231372101</v>
      </c>
      <c r="AEE10">
        <v>0</v>
      </c>
      <c r="AEF10">
        <v>0</v>
      </c>
      <c r="AEG10">
        <v>1</v>
      </c>
      <c r="AEH10">
        <v>22.351880885619401</v>
      </c>
      <c r="AEI10">
        <v>22.351880885619401</v>
      </c>
      <c r="AEJ10">
        <v>0</v>
      </c>
      <c r="AEK10">
        <v>0</v>
      </c>
      <c r="AEL10">
        <v>1</v>
      </c>
      <c r="AEM10">
        <v>22.507297650144199</v>
      </c>
      <c r="AEN10">
        <v>22.507297650144199</v>
      </c>
      <c r="AEO10">
        <v>0</v>
      </c>
      <c r="AEP10">
        <v>0</v>
      </c>
      <c r="AEQ10">
        <v>1</v>
      </c>
      <c r="AER10">
        <v>22.3441940571816</v>
      </c>
      <c r="AES10">
        <v>22.3441940571816</v>
      </c>
      <c r="AET10">
        <v>0</v>
      </c>
      <c r="AEU10">
        <v>0</v>
      </c>
      <c r="AEV10">
        <v>1</v>
      </c>
      <c r="AEW10">
        <v>21.6337375254523</v>
      </c>
      <c r="AEX10">
        <v>21.6337375254523</v>
      </c>
      <c r="AEY10">
        <v>0</v>
      </c>
      <c r="AEZ10">
        <v>0</v>
      </c>
      <c r="AFA10">
        <v>1</v>
      </c>
      <c r="AFB10">
        <v>21.631094519998101</v>
      </c>
      <c r="AFC10">
        <v>21.631094519998101</v>
      </c>
      <c r="AFD10">
        <v>0</v>
      </c>
      <c r="AFE10">
        <v>0</v>
      </c>
      <c r="AFF10">
        <v>1</v>
      </c>
      <c r="AFG10">
        <v>21.6524382944067</v>
      </c>
      <c r="AFH10">
        <v>21.6524382944067</v>
      </c>
      <c r="AFI10">
        <v>0</v>
      </c>
      <c r="AFJ10">
        <v>0</v>
      </c>
      <c r="AFK10">
        <v>1</v>
      </c>
      <c r="AFL10">
        <v>21.615616297204198</v>
      </c>
      <c r="AFM10">
        <v>21.615616297204198</v>
      </c>
      <c r="AFN10">
        <v>0</v>
      </c>
      <c r="AFO10">
        <v>0</v>
      </c>
      <c r="AFP10">
        <v>1</v>
      </c>
      <c r="AFQ10">
        <v>-1.0058138329191499</v>
      </c>
      <c r="AFR10">
        <v>-1.01374789471233</v>
      </c>
      <c r="AFS10">
        <v>-1.0250260506431199</v>
      </c>
      <c r="AFT10">
        <v>-1.02102205185357</v>
      </c>
      <c r="AFU10">
        <v>-0.881230926044829</v>
      </c>
      <c r="AFV10">
        <v>-0.89534232039378003</v>
      </c>
      <c r="AFW10">
        <v>-0.91541707182264798</v>
      </c>
      <c r="AFX10">
        <v>-0.91423125546222395</v>
      </c>
      <c r="AFY10">
        <v>-1.0913962405322</v>
      </c>
      <c r="AFZ10">
        <v>-1.0974841725126301</v>
      </c>
      <c r="AGA10">
        <v>-1.10247728285274</v>
      </c>
      <c r="AGB10">
        <v>-1.0985889009640299</v>
      </c>
      <c r="AGC10">
        <v>-1.0743798859982201</v>
      </c>
      <c r="AGD10">
        <v>-0.692502164894365</v>
      </c>
      <c r="AGE10">
        <v>-1.09037428825009</v>
      </c>
      <c r="AGF10">
        <v>0</v>
      </c>
      <c r="AGG10">
        <v>0</v>
      </c>
      <c r="AGH10">
        <v>0</v>
      </c>
      <c r="AGI10">
        <v>0</v>
      </c>
      <c r="AGJ10">
        <v>0.25</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0.25</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Z10">
        <v>102.736117056993</v>
      </c>
      <c r="AIB10">
        <v>0</v>
      </c>
      <c r="AID10">
        <v>102.708399887911</v>
      </c>
      <c r="AIF10">
        <v>0</v>
      </c>
      <c r="AIH10">
        <v>0</v>
      </c>
      <c r="AIJ10">
        <v>0</v>
      </c>
      <c r="AIL10">
        <v>0</v>
      </c>
      <c r="AIN10">
        <v>0</v>
      </c>
      <c r="AIP10">
        <v>0</v>
      </c>
      <c r="AIR10">
        <v>0</v>
      </c>
      <c r="AIT10">
        <v>0</v>
      </c>
      <c r="AIV10">
        <v>446.15666329231402</v>
      </c>
      <c r="AIX10">
        <v>522.90970207593705</v>
      </c>
      <c r="AIZ10">
        <v>623.443517160787</v>
      </c>
      <c r="AJB10">
        <v>647.81498015236798</v>
      </c>
      <c r="AJC10">
        <v>0</v>
      </c>
      <c r="AJE10">
        <v>-2.37007666959466E-4</v>
      </c>
      <c r="AJH10">
        <v>6274.3023337776403</v>
      </c>
      <c r="AJJ10">
        <v>100.340046830487</v>
      </c>
      <c r="AJK10">
        <v>0</v>
      </c>
      <c r="AJL10">
        <v>0</v>
      </c>
      <c r="AJM10">
        <v>0</v>
      </c>
      <c r="AJN10">
        <v>0</v>
      </c>
      <c r="AJO10">
        <v>0</v>
      </c>
      <c r="AJP10">
        <v>0</v>
      </c>
      <c r="AJQ10">
        <v>0</v>
      </c>
      <c r="AJR10">
        <v>0</v>
      </c>
      <c r="AJS10">
        <v>0</v>
      </c>
      <c r="AJT10">
        <v>0</v>
      </c>
      <c r="AJU10">
        <v>0</v>
      </c>
      <c r="AJV10">
        <v>0</v>
      </c>
      <c r="AJW10">
        <v>0</v>
      </c>
      <c r="AJX10">
        <v>0</v>
      </c>
      <c r="AJY10">
        <v>2368.6028670747801</v>
      </c>
      <c r="AJZ10">
        <v>0</v>
      </c>
      <c r="AKA10">
        <v>0</v>
      </c>
      <c r="AKB10">
        <v>2322.02421127056</v>
      </c>
      <c r="AKC10">
        <v>3403.4081464451701</v>
      </c>
      <c r="AKD10">
        <v>12252269.327202599</v>
      </c>
      <c r="AKE10">
        <v>45.806718002575899</v>
      </c>
      <c r="AKF10">
        <v>69.334024402634597</v>
      </c>
      <c r="AKG10">
        <v>1.7688267264949899E-2</v>
      </c>
      <c r="AKH10">
        <v>5.4818117913688499E-2</v>
      </c>
      <c r="AKI10">
        <v>0</v>
      </c>
      <c r="AKJ10">
        <v>0</v>
      </c>
      <c r="AKK10">
        <v>0</v>
      </c>
      <c r="AKL10">
        <v>45.806718002575899</v>
      </c>
      <c r="AKM10">
        <v>45.806718002575899</v>
      </c>
      <c r="AKN10">
        <v>0</v>
      </c>
      <c r="AKO10">
        <v>0</v>
      </c>
      <c r="AKP10">
        <v>186314.62321687999</v>
      </c>
      <c r="AKT10">
        <v>0</v>
      </c>
      <c r="AKX10">
        <v>0</v>
      </c>
      <c r="ALB10">
        <v>20.892476876737199</v>
      </c>
      <c r="ALC10">
        <v>20.892476876737199</v>
      </c>
      <c r="ALD10">
        <v>0</v>
      </c>
      <c r="ALE10">
        <v>0</v>
      </c>
      <c r="ALF10">
        <v>0</v>
      </c>
      <c r="ALH10">
        <v>6.5500000643666301</v>
      </c>
      <c r="ALI10">
        <v>5.9837432947523498E-3</v>
      </c>
      <c r="ALJ10">
        <v>3.0589863975293299</v>
      </c>
      <c r="ALK10">
        <v>6.55</v>
      </c>
      <c r="ALL10">
        <v>3.0589863975293299</v>
      </c>
      <c r="ALM10">
        <v>0</v>
      </c>
      <c r="ALN10">
        <v>20.033420565036099</v>
      </c>
      <c r="ALO10">
        <v>6.1074162362240699E-3</v>
      </c>
      <c r="ALP10">
        <v>42.300296173421501</v>
      </c>
      <c r="ALQ10">
        <v>3.0589863975293299</v>
      </c>
      <c r="ALR10">
        <v>6.5500000643666301</v>
      </c>
      <c r="ALS10">
        <v>3.0589863975293299</v>
      </c>
      <c r="ALT10">
        <v>8.2668249134221092</v>
      </c>
      <c r="ALU10">
        <v>3.0589863975293299</v>
      </c>
      <c r="ALV10">
        <v>12.2200383644412</v>
      </c>
      <c r="ALW10">
        <v>9.9999999999999897E-12</v>
      </c>
      <c r="ALX10">
        <v>6.55</v>
      </c>
      <c r="ALY10">
        <v>9.9999999999999897E-12</v>
      </c>
      <c r="ALZ10">
        <v>1.76882625297497E-5</v>
      </c>
      <c r="AMA10">
        <v>6.55</v>
      </c>
      <c r="AMB10">
        <v>0</v>
      </c>
      <c r="AMC10">
        <v>6.55</v>
      </c>
      <c r="AMD10">
        <v>0</v>
      </c>
      <c r="AME10">
        <v>6.55</v>
      </c>
      <c r="AMF10">
        <v>0</v>
      </c>
      <c r="AMG10">
        <v>0</v>
      </c>
      <c r="AMH10">
        <v>3.0589863975293299</v>
      </c>
      <c r="AMI10">
        <v>19.118585320618401</v>
      </c>
      <c r="AMJ10">
        <v>2.6679675E-2</v>
      </c>
      <c r="AMK10" s="580">
        <v>16.755475198479001</v>
      </c>
      <c r="AML10">
        <v>0.86607511999999998</v>
      </c>
      <c r="AMM10">
        <v>19.123585643680901</v>
      </c>
      <c r="AMN10">
        <v>2.6679399999999999E-2</v>
      </c>
      <c r="AMO10">
        <v>18.424801611266201</v>
      </c>
      <c r="AMP10">
        <v>0</v>
      </c>
      <c r="AMQ10">
        <v>18.394297504825701</v>
      </c>
      <c r="AMR10">
        <v>0</v>
      </c>
      <c r="AMS10">
        <v>18.111717224971599</v>
      </c>
      <c r="AMT10">
        <v>0.93580826351266799</v>
      </c>
      <c r="AMU10">
        <v>19.659658133771899</v>
      </c>
      <c r="AMV10">
        <v>0</v>
      </c>
      <c r="AMW10">
        <v>19.668014325504</v>
      </c>
      <c r="AMX10">
        <v>0</v>
      </c>
      <c r="AMY10">
        <v>19.730987813189699</v>
      </c>
      <c r="AMZ10">
        <v>0</v>
      </c>
      <c r="ANA10">
        <v>19.7982033801553</v>
      </c>
      <c r="ANB10">
        <v>0</v>
      </c>
      <c r="ANC10">
        <v>17.0688882178857</v>
      </c>
      <c r="AND10">
        <v>0.86607511999999998</v>
      </c>
      <c r="ANE10">
        <v>22.1868863636181</v>
      </c>
      <c r="ANF10">
        <v>5.3326440000000003E-2</v>
      </c>
      <c r="ANG10">
        <v>22.686298831095101</v>
      </c>
      <c r="ANH10">
        <v>8.0043795000000001E-2</v>
      </c>
      <c r="ANI10">
        <v>21.860066321398101</v>
      </c>
      <c r="ANJ10">
        <v>8.3992799999999895E-2</v>
      </c>
      <c r="ANK10">
        <v>20.9902747370454</v>
      </c>
      <c r="ANL10">
        <v>0.120305784016663</v>
      </c>
      <c r="ANM10">
        <v>0.91943419500000001</v>
      </c>
      <c r="ANN10">
        <v>0.93580826351266799</v>
      </c>
      <c r="ANO10">
        <v>1.20374393901666</v>
      </c>
      <c r="ANP10">
        <v>16.755475198479001</v>
      </c>
      <c r="ANQ10">
        <v>18.336528330209902</v>
      </c>
      <c r="ANR10">
        <v>18.331323724166101</v>
      </c>
      <c r="ANS10">
        <v>18.394297504825701</v>
      </c>
      <c r="ANT10">
        <v>18.424801611266201</v>
      </c>
      <c r="ANU10">
        <v>18.111717224971599</v>
      </c>
      <c r="ANV10">
        <v>19.659658133771899</v>
      </c>
      <c r="ANW10">
        <v>19.668014325504</v>
      </c>
      <c r="ANX10">
        <v>19.7982033801553</v>
      </c>
      <c r="ANY10">
        <v>19.730987813189699</v>
      </c>
      <c r="ANZ10">
        <v>17.0688882178857</v>
      </c>
      <c r="AOA10">
        <v>18.765722435414801</v>
      </c>
      <c r="AOB10">
        <v>18.6791977832907</v>
      </c>
      <c r="AOC10">
        <v>18.7883712686283</v>
      </c>
      <c r="AOD10">
        <v>18.824889849342799</v>
      </c>
      <c r="AOE10">
        <v>20.033420565036099</v>
      </c>
      <c r="AOF10">
        <v>3.0589863975293299</v>
      </c>
      <c r="AOG10">
        <v>19.575652015516201</v>
      </c>
      <c r="AOH10">
        <v>3.0589863975293299</v>
      </c>
    </row>
    <row r="11" spans="1:1074">
      <c r="A11" t="s">
        <v>2946</v>
      </c>
      <c r="B11">
        <v>7.0750000000000002</v>
      </c>
      <c r="D11">
        <v>7.0750000000000002</v>
      </c>
      <c r="F11">
        <v>5</v>
      </c>
      <c r="G11">
        <v>10048319.7473223</v>
      </c>
      <c r="H11">
        <v>23239408.985511798</v>
      </c>
      <c r="I11">
        <v>6381282.1239868198</v>
      </c>
      <c r="J11">
        <v>14758410.247721599</v>
      </c>
      <c r="K11">
        <v>10048319.7473223</v>
      </c>
      <c r="L11">
        <v>23239408.985511798</v>
      </c>
      <c r="M11">
        <v>6381282.12398683</v>
      </c>
      <c r="N11">
        <v>14758410.247721599</v>
      </c>
      <c r="O11">
        <v>51821142.324441098</v>
      </c>
      <c r="P11">
        <v>119850159.11690401</v>
      </c>
      <c r="Q11">
        <v>10048319.7473223</v>
      </c>
      <c r="R11">
        <v>23239408.985511798</v>
      </c>
      <c r="S11">
        <v>6381282.1239868198</v>
      </c>
      <c r="T11">
        <v>14758410.247721599</v>
      </c>
      <c r="U11">
        <v>10048319.7473223</v>
      </c>
      <c r="V11">
        <v>23239408.985511798</v>
      </c>
      <c r="W11">
        <v>6381282.12398683</v>
      </c>
      <c r="X11">
        <v>14758410.247721599</v>
      </c>
      <c r="Y11">
        <v>51821142.324441098</v>
      </c>
      <c r="Z11">
        <v>119850159.11690401</v>
      </c>
      <c r="AA11">
        <v>10048319.7473223</v>
      </c>
      <c r="AB11">
        <v>23239408.985511798</v>
      </c>
      <c r="AC11">
        <v>6381282.1239868198</v>
      </c>
      <c r="AD11">
        <v>14758410.247721599</v>
      </c>
      <c r="AE11">
        <v>10048319.7473223</v>
      </c>
      <c r="AF11">
        <v>23239408.985511798</v>
      </c>
      <c r="AG11">
        <v>6381282.12398683</v>
      </c>
      <c r="AH11">
        <v>14758410.247721599</v>
      </c>
      <c r="AI11">
        <v>51821142.324441098</v>
      </c>
      <c r="AJ11">
        <v>119850159.11690401</v>
      </c>
      <c r="AK11">
        <v>22.530417077666101</v>
      </c>
      <c r="AL11">
        <v>3758257.41675806</v>
      </c>
      <c r="AM11">
        <v>9733140.1775517706</v>
      </c>
      <c r="AN11">
        <v>22.530417077666101</v>
      </c>
      <c r="AO11">
        <v>3758257.41675806</v>
      </c>
      <c r="AP11">
        <v>9733140.1775517706</v>
      </c>
      <c r="AQ11">
        <v>14.3081581158871</v>
      </c>
      <c r="AR11">
        <v>2386717.5283001899</v>
      </c>
      <c r="AS11">
        <v>6181124.3060632199</v>
      </c>
      <c r="AT11">
        <v>14.3081581158871</v>
      </c>
      <c r="AU11">
        <v>2386717.5283001899</v>
      </c>
      <c r="AV11">
        <v>6181124.3060632199</v>
      </c>
      <c r="AW11">
        <v>22.530417077666101</v>
      </c>
      <c r="AX11">
        <v>3758257.41675806</v>
      </c>
      <c r="AY11">
        <v>9733140.1775517706</v>
      </c>
      <c r="AZ11">
        <v>22.530417077666101</v>
      </c>
      <c r="BA11">
        <v>3758257.41675806</v>
      </c>
      <c r="BB11">
        <v>9733140.1775517706</v>
      </c>
      <c r="BC11">
        <v>14.3081581158871</v>
      </c>
      <c r="BD11">
        <v>2386717.5283001899</v>
      </c>
      <c r="BE11">
        <v>6181124.3060632199</v>
      </c>
      <c r="BF11">
        <v>14.3081581158871</v>
      </c>
      <c r="BG11">
        <v>2386717.5283001899</v>
      </c>
      <c r="BH11">
        <v>6181124.3060632199</v>
      </c>
      <c r="BI11">
        <v>22.530417077666101</v>
      </c>
      <c r="BJ11">
        <v>3758257.41675806</v>
      </c>
      <c r="BK11">
        <v>9733140.1775517706</v>
      </c>
      <c r="BL11">
        <v>22.530417077666101</v>
      </c>
      <c r="BM11">
        <v>3758257.41675806</v>
      </c>
      <c r="BN11">
        <v>9733140.1775517706</v>
      </c>
      <c r="BO11">
        <v>14.3081581158871</v>
      </c>
      <c r="BP11">
        <v>2386717.5283001899</v>
      </c>
      <c r="BQ11">
        <v>6181124.3060632199</v>
      </c>
      <c r="BR11">
        <v>14.3081581158871</v>
      </c>
      <c r="BS11">
        <v>2386717.5283001899</v>
      </c>
      <c r="BT11">
        <v>6181124.3060632199</v>
      </c>
      <c r="BU11">
        <v>50195699.886944197</v>
      </c>
      <c r="BV11">
        <v>116.193749738297</v>
      </c>
      <c r="BW11">
        <v>19382065.597345799</v>
      </c>
      <c r="BX11">
        <v>50195699.886944197</v>
      </c>
      <c r="BY11">
        <v>116.193749738297</v>
      </c>
      <c r="BZ11">
        <v>19382065.597345799</v>
      </c>
      <c r="CA11">
        <v>50195699.886944197</v>
      </c>
      <c r="CB11">
        <v>116.193749738297</v>
      </c>
      <c r="CC11">
        <v>19382065.597345799</v>
      </c>
      <c r="CD11">
        <v>50195699.886944197</v>
      </c>
      <c r="CE11">
        <v>3395861.87171567</v>
      </c>
      <c r="CF11">
        <v>7717867.8902628897</v>
      </c>
      <c r="CG11">
        <v>3395861.87171567</v>
      </c>
      <c r="CH11">
        <v>7717867.8902628897</v>
      </c>
      <c r="CI11">
        <v>2156574.7510455502</v>
      </c>
      <c r="CJ11">
        <v>4901306.2523762397</v>
      </c>
      <c r="CK11">
        <v>2156574.75104554</v>
      </c>
      <c r="CL11">
        <v>4901306.2523762397</v>
      </c>
      <c r="CM11">
        <v>3395861.87171567</v>
      </c>
      <c r="CN11">
        <v>7717867.8902628897</v>
      </c>
      <c r="CO11">
        <v>3395861.87171567</v>
      </c>
      <c r="CP11">
        <v>7717867.8902628897</v>
      </c>
      <c r="CQ11">
        <v>2156574.7510455502</v>
      </c>
      <c r="CR11">
        <v>4901306.2523762397</v>
      </c>
      <c r="CS11">
        <v>2156574.75104554</v>
      </c>
      <c r="CT11">
        <v>4901306.2523762397</v>
      </c>
      <c r="CU11">
        <v>3395861.87171567</v>
      </c>
      <c r="CV11">
        <v>7717867.8902628897</v>
      </c>
      <c r="CW11">
        <v>3395861.87171567</v>
      </c>
      <c r="CX11">
        <v>7717867.8902628897</v>
      </c>
      <c r="CY11">
        <v>2156574.7510455502</v>
      </c>
      <c r="CZ11">
        <v>4901306.2523762397</v>
      </c>
      <c r="DA11">
        <v>2156574.75104554</v>
      </c>
      <c r="DB11">
        <v>4901306.2523762397</v>
      </c>
      <c r="DC11">
        <v>17513121.177818298</v>
      </c>
      <c r="DD11">
        <v>39802548.131405301</v>
      </c>
      <c r="DE11">
        <v>17513121.177818298</v>
      </c>
      <c r="DF11">
        <v>39802548.131405301</v>
      </c>
      <c r="DG11">
        <v>17513121.177818298</v>
      </c>
      <c r="DH11">
        <v>39802548.131405301</v>
      </c>
      <c r="DI11">
        <v>2894200.4588485798</v>
      </c>
      <c r="DJ11">
        <v>5788400.9176971698</v>
      </c>
      <c r="DK11">
        <v>2894200.4588485798</v>
      </c>
      <c r="DL11">
        <v>5788400.9176971698</v>
      </c>
      <c r="DM11">
        <v>1837989.8446410899</v>
      </c>
      <c r="DN11">
        <v>3675979.6892821798</v>
      </c>
      <c r="DO11">
        <v>1837989.8446410899</v>
      </c>
      <c r="DP11">
        <v>3675979.6892821798</v>
      </c>
      <c r="DQ11">
        <v>2894200.4588485798</v>
      </c>
      <c r="DR11">
        <v>5788400.9176971698</v>
      </c>
      <c r="DS11">
        <v>2894200.4588485798</v>
      </c>
      <c r="DT11">
        <v>5788400.9176971698</v>
      </c>
      <c r="DU11">
        <v>1837989.8446410899</v>
      </c>
      <c r="DV11">
        <v>3675979.6892821798</v>
      </c>
      <c r="DW11">
        <v>1837989.8446410899</v>
      </c>
      <c r="DX11">
        <v>3675979.6892821798</v>
      </c>
      <c r="DY11">
        <v>2894200.4588485798</v>
      </c>
      <c r="DZ11">
        <v>5788400.9176971698</v>
      </c>
      <c r="EA11">
        <v>2894200.4588485798</v>
      </c>
      <c r="EB11">
        <v>5788400.9176971698</v>
      </c>
      <c r="EC11">
        <v>1837989.8446410899</v>
      </c>
      <c r="ED11">
        <v>3675979.6892821798</v>
      </c>
      <c r="EE11">
        <v>1837989.8446410899</v>
      </c>
      <c r="EF11">
        <v>3675979.6892821798</v>
      </c>
      <c r="EG11">
        <v>14925955.549277</v>
      </c>
      <c r="EH11">
        <v>29851911.098554</v>
      </c>
      <c r="EI11">
        <v>14925955.549277</v>
      </c>
      <c r="EJ11">
        <v>29851911.098554</v>
      </c>
      <c r="EK11">
        <v>14925955.549277</v>
      </c>
      <c r="EL11">
        <v>29851911.098554</v>
      </c>
      <c r="EM11">
        <v>0</v>
      </c>
      <c r="EN11">
        <v>0</v>
      </c>
      <c r="EO11">
        <v>0</v>
      </c>
      <c r="EP11">
        <v>0</v>
      </c>
      <c r="EQ11">
        <v>0</v>
      </c>
      <c r="ER11">
        <v>0</v>
      </c>
      <c r="ES11">
        <v>0</v>
      </c>
      <c r="ET11">
        <v>0</v>
      </c>
      <c r="EU11">
        <v>1.9117694216079699</v>
      </c>
      <c r="EV11">
        <v>0</v>
      </c>
      <c r="EW11">
        <v>0</v>
      </c>
      <c r="EX11">
        <v>0</v>
      </c>
      <c r="EY11">
        <v>2.26480064496389</v>
      </c>
      <c r="EZ11">
        <v>0</v>
      </c>
      <c r="FA11">
        <v>0</v>
      </c>
      <c r="FB11">
        <v>1.9121748541805099</v>
      </c>
      <c r="FC11">
        <v>0</v>
      </c>
      <c r="FD11">
        <v>0</v>
      </c>
      <c r="FE11">
        <v>0</v>
      </c>
      <c r="FF11">
        <v>0</v>
      </c>
      <c r="FG11">
        <v>0</v>
      </c>
      <c r="FH11">
        <v>0</v>
      </c>
      <c r="FI11">
        <v>0</v>
      </c>
      <c r="FJ11">
        <v>0</v>
      </c>
      <c r="FK11">
        <v>0</v>
      </c>
      <c r="FL11">
        <v>0</v>
      </c>
      <c r="FM11">
        <v>0</v>
      </c>
      <c r="FN11">
        <v>0</v>
      </c>
      <c r="FO11">
        <v>2.45251372506161E-2</v>
      </c>
      <c r="FP11">
        <v>0</v>
      </c>
      <c r="FQ11">
        <v>3.7712464405102401E-3</v>
      </c>
      <c r="FR11">
        <v>0</v>
      </c>
      <c r="FS11">
        <v>0</v>
      </c>
      <c r="FT11">
        <v>0</v>
      </c>
      <c r="FU11">
        <v>189.558044375892</v>
      </c>
      <c r="FV11">
        <v>0</v>
      </c>
      <c r="FW11">
        <v>0</v>
      </c>
      <c r="FX11">
        <v>0</v>
      </c>
      <c r="FY11">
        <v>2.45251372506161E-2</v>
      </c>
      <c r="FZ11">
        <v>0</v>
      </c>
      <c r="GA11">
        <v>3.7712464405102401E-3</v>
      </c>
      <c r="GB11">
        <v>-276.74030406323402</v>
      </c>
      <c r="GC11">
        <v>-367.92991527888802</v>
      </c>
      <c r="GD11">
        <v>-443.94967381704998</v>
      </c>
      <c r="GE11">
        <v>-182.258844551713</v>
      </c>
      <c r="GF11">
        <v>-233.82014212481599</v>
      </c>
      <c r="GG11">
        <v>-283.70865166545099</v>
      </c>
      <c r="GH11">
        <v>-281.64121342834198</v>
      </c>
      <c r="GI11">
        <v>-380.02863852625001</v>
      </c>
      <c r="GJ11">
        <v>-452.60934308288199</v>
      </c>
      <c r="GK11">
        <v>-179.75368442068401</v>
      </c>
      <c r="GL11">
        <v>-228.05204334026499</v>
      </c>
      <c r="GM11">
        <v>-275.064348310247</v>
      </c>
      <c r="GN11">
        <v>-56.657991295224598</v>
      </c>
      <c r="GO11">
        <v>20.559227389057501</v>
      </c>
      <c r="GP11">
        <v>21.368571492086001</v>
      </c>
      <c r="GQ11">
        <v>128.20444567265599</v>
      </c>
      <c r="GR11">
        <v>-2.38812881496297</v>
      </c>
      <c r="GS11">
        <v>-395.69257175423701</v>
      </c>
      <c r="GT11">
        <v>-35.962830457935603</v>
      </c>
      <c r="GU11">
        <v>20.525767092016199</v>
      </c>
      <c r="GV11">
        <v>21.3571167469856</v>
      </c>
      <c r="GW11">
        <v>84.759203107835106</v>
      </c>
      <c r="GX11">
        <v>-1.89719955299513</v>
      </c>
      <c r="GY11">
        <v>-257.85963476434802</v>
      </c>
      <c r="GZ11">
        <v>-55.649214687734897</v>
      </c>
      <c r="HA11">
        <v>20.6633832955591</v>
      </c>
      <c r="HB11">
        <v>21.497712002116501</v>
      </c>
      <c r="HC11">
        <v>132.92398720520501</v>
      </c>
      <c r="HD11">
        <v>-1.6347539472374</v>
      </c>
      <c r="HE11">
        <v>-400.46957979416402</v>
      </c>
      <c r="HF11">
        <v>-36.697132301409603</v>
      </c>
      <c r="HG11">
        <v>20.502994153103401</v>
      </c>
      <c r="HH11">
        <v>21.310872817677801</v>
      </c>
      <c r="HI11">
        <v>82.636294372150203</v>
      </c>
      <c r="HJ11">
        <v>-1.31761560159361</v>
      </c>
      <c r="HK11">
        <v>-246.38234836140799</v>
      </c>
      <c r="HL11">
        <v>-250.668983978489</v>
      </c>
      <c r="HM11">
        <v>22.9996150834933</v>
      </c>
      <c r="HN11">
        <v>23.621825740394598</v>
      </c>
      <c r="HO11">
        <v>-14.178747992657</v>
      </c>
      <c r="HP11">
        <v>-298.93844902857501</v>
      </c>
      <c r="HQ11">
        <v>21.8836220196116</v>
      </c>
      <c r="HR11">
        <v>-455.50821341912899</v>
      </c>
      <c r="HS11">
        <v>-165.41093816881701</v>
      </c>
      <c r="HT11">
        <v>22.9822135385538</v>
      </c>
      <c r="HU11">
        <v>23.626833261467901</v>
      </c>
      <c r="HV11">
        <v>-6.48724614015934</v>
      </c>
      <c r="HW11">
        <v>-188.31151979481899</v>
      </c>
      <c r="HX11">
        <v>21.830234716925698</v>
      </c>
      <c r="HY11">
        <v>-287.47274875017803</v>
      </c>
      <c r="HZ11">
        <v>23.092986930366401</v>
      </c>
      <c r="IA11">
        <v>23.674858443623801</v>
      </c>
      <c r="IB11">
        <v>-19.744665633914899</v>
      </c>
      <c r="IC11">
        <v>-256.48787286962801</v>
      </c>
      <c r="ID11">
        <v>-305.59598390676803</v>
      </c>
      <c r="IE11">
        <v>22.034152559190598</v>
      </c>
      <c r="IF11">
        <v>-465.13536127503801</v>
      </c>
      <c r="IG11">
        <v>-10.2501519198126</v>
      </c>
      <c r="IH11">
        <v>22.9515294566426</v>
      </c>
      <c r="II11">
        <v>23.613282409865501</v>
      </c>
      <c r="IJ11">
        <v>-5.8446273905192898</v>
      </c>
      <c r="IK11">
        <v>-8.9152141989816993</v>
      </c>
      <c r="IL11">
        <v>-163.09502025220601</v>
      </c>
      <c r="IM11">
        <v>-182.72622356018601</v>
      </c>
      <c r="IN11">
        <v>21.791881058373001</v>
      </c>
      <c r="IO11">
        <v>1.52629304846435</v>
      </c>
      <c r="IP11">
        <v>-279.71347431480399</v>
      </c>
      <c r="IQ11">
        <v>-115.363462426417</v>
      </c>
      <c r="IR11">
        <v>-68.215615012366797</v>
      </c>
      <c r="IS11">
        <v>-104.00994905963699</v>
      </c>
      <c r="IT11">
        <v>-69.931006206330906</v>
      </c>
      <c r="IU11">
        <v>-4211.7854703088497</v>
      </c>
      <c r="IV11">
        <v>-59.322027836142702</v>
      </c>
      <c r="IW11">
        <v>20.858895257528701</v>
      </c>
      <c r="IX11">
        <v>21.8836220196116</v>
      </c>
      <c r="IY11">
        <v>151.452905612922</v>
      </c>
      <c r="IZ11">
        <v>-32.407578806334698</v>
      </c>
      <c r="JA11">
        <v>-665.24413757337697</v>
      </c>
      <c r="JB11">
        <v>-38.267742257162801</v>
      </c>
      <c r="JC11">
        <v>20.790413879912801</v>
      </c>
      <c r="JD11">
        <v>21.830234716925698</v>
      </c>
      <c r="JE11">
        <v>98.5438583099195</v>
      </c>
      <c r="JF11">
        <v>-20.0835456186472</v>
      </c>
      <c r="JG11">
        <v>-421.44795071277701</v>
      </c>
      <c r="JH11">
        <v>-58.436477072986101</v>
      </c>
      <c r="JI11">
        <v>20.973677579287902</v>
      </c>
      <c r="JJ11">
        <v>22.034152559190598</v>
      </c>
      <c r="JK11">
        <v>157.26092265282401</v>
      </c>
      <c r="JL11">
        <v>-32.598458812961702</v>
      </c>
      <c r="JM11">
        <v>-680.18530021814604</v>
      </c>
      <c r="JN11">
        <v>-39.042535033474799</v>
      </c>
      <c r="JO11">
        <v>20.770524773721199</v>
      </c>
      <c r="JP11">
        <v>21.791881058373001</v>
      </c>
      <c r="JQ11">
        <v>1.18109522793162</v>
      </c>
      <c r="JR11">
        <v>96.613234130895293</v>
      </c>
      <c r="JS11">
        <v>0.88052749341738001</v>
      </c>
      <c r="JT11">
        <v>-19.756852352547199</v>
      </c>
      <c r="JU11">
        <v>-413.636852610267</v>
      </c>
      <c r="JV11">
        <v>-235.66761674052901</v>
      </c>
      <c r="JW11">
        <v>-274.60292504219501</v>
      </c>
      <c r="JX11">
        <v>-555.41344411576495</v>
      </c>
      <c r="JY11">
        <v>-154.417296319407</v>
      </c>
      <c r="JZ11">
        <v>-175.11754477753399</v>
      </c>
      <c r="KA11">
        <v>-352.47685614415599</v>
      </c>
      <c r="KB11">
        <v>-241.10925768615201</v>
      </c>
      <c r="KC11">
        <v>-285.39617455628598</v>
      </c>
      <c r="KD11">
        <v>-556.76818564691598</v>
      </c>
      <c r="KE11">
        <v>-153.79648028913999</v>
      </c>
      <c r="KF11">
        <v>20.2990301770635</v>
      </c>
      <c r="KG11">
        <v>-114.36972272555199</v>
      </c>
      <c r="KH11">
        <v>0.82476865792378895</v>
      </c>
      <c r="KI11">
        <v>-172.950478539692</v>
      </c>
      <c r="KJ11">
        <v>-339.02764919822999</v>
      </c>
      <c r="KK11">
        <v>-49.546293817535499</v>
      </c>
      <c r="KL11">
        <v>19.165345328200701</v>
      </c>
      <c r="KM11">
        <v>20.5246795914621</v>
      </c>
      <c r="KN11">
        <v>331.18040464350599</v>
      </c>
      <c r="KO11">
        <v>18.326619381791801</v>
      </c>
      <c r="KP11">
        <v>11.291404575236699</v>
      </c>
      <c r="KQ11">
        <v>19.909156712722702</v>
      </c>
      <c r="KR11">
        <v>-654.61051522928301</v>
      </c>
      <c r="KS11">
        <v>-32.005998470370002</v>
      </c>
      <c r="KT11">
        <v>19.131957761561601</v>
      </c>
      <c r="KU11">
        <v>20.509567401632999</v>
      </c>
      <c r="KV11">
        <v>212.339854913609</v>
      </c>
      <c r="KW11">
        <v>18.2810670950884</v>
      </c>
      <c r="KX11">
        <v>11.253617404981</v>
      </c>
      <c r="KY11">
        <v>13.1669354463177</v>
      </c>
      <c r="KZ11">
        <v>-415.03567081737998</v>
      </c>
      <c r="LA11">
        <v>-46.2608337654653</v>
      </c>
      <c r="LB11">
        <v>19.327871441010402</v>
      </c>
      <c r="LC11">
        <v>20.693688441514901</v>
      </c>
      <c r="LD11">
        <v>333.26270613973202</v>
      </c>
      <c r="LE11">
        <v>18.490817259374701</v>
      </c>
      <c r="LF11">
        <v>11.296483528194001</v>
      </c>
      <c r="LG11">
        <v>17.035610099089801</v>
      </c>
      <c r="LH11">
        <v>-655.251314398408</v>
      </c>
      <c r="LI11">
        <v>-34.772301945110698</v>
      </c>
      <c r="LJ11">
        <v>19.1889950186542</v>
      </c>
      <c r="LK11">
        <v>20.509927711058999</v>
      </c>
      <c r="LL11">
        <v>197.60600787270101</v>
      </c>
      <c r="LM11">
        <v>18.3606832152694</v>
      </c>
      <c r="LN11">
        <v>11.1075427240251</v>
      </c>
      <c r="LO11">
        <v>3.78327085337216</v>
      </c>
      <c r="LP11">
        <v>-409.77677648186398</v>
      </c>
      <c r="LQ11">
        <v>-26.902099288998699</v>
      </c>
      <c r="LR11">
        <v>18.499288877384402</v>
      </c>
      <c r="LS11">
        <v>16.440999999999999</v>
      </c>
      <c r="LT11">
        <v>-64.636226538551696</v>
      </c>
      <c r="LU11">
        <v>-548.42791079804704</v>
      </c>
      <c r="LV11">
        <v>19.062347858849002</v>
      </c>
      <c r="LW11">
        <v>20.805936645657201</v>
      </c>
      <c r="LX11">
        <v>146.48475016264399</v>
      </c>
      <c r="LY11">
        <v>-17.5463824526738</v>
      </c>
      <c r="LZ11">
        <v>18.4792120984749</v>
      </c>
      <c r="MA11">
        <v>16.440999999999999</v>
      </c>
      <c r="MB11">
        <v>-39.616584640232901</v>
      </c>
      <c r="MC11">
        <v>-341.50303149924099</v>
      </c>
      <c r="MD11">
        <v>19.036113338755399</v>
      </c>
      <c r="ME11">
        <v>20.799661223438498</v>
      </c>
      <c r="MF11">
        <v>92.991554437353003</v>
      </c>
      <c r="MG11">
        <v>-26.5001960868622</v>
      </c>
      <c r="MH11">
        <v>18.520594602915502</v>
      </c>
      <c r="MI11">
        <v>16.440999999999999</v>
      </c>
      <c r="MJ11">
        <v>-63.676254154337897</v>
      </c>
      <c r="MK11">
        <v>-552.85256521013696</v>
      </c>
      <c r="ML11">
        <v>19.089111916738599</v>
      </c>
      <c r="MM11">
        <v>20.9080681266658</v>
      </c>
      <c r="MN11">
        <v>149.49134376527101</v>
      </c>
      <c r="MO11">
        <v>-18.007421826277401</v>
      </c>
      <c r="MP11">
        <v>18.4708065503721</v>
      </c>
      <c r="MQ11">
        <v>16.440999999999999</v>
      </c>
      <c r="MR11">
        <v>-39.493108054127703</v>
      </c>
      <c r="MS11">
        <v>-339.11074802077502</v>
      </c>
      <c r="MT11">
        <v>19.024958595272</v>
      </c>
      <c r="MU11">
        <v>20.759038822465001</v>
      </c>
      <c r="MV11">
        <v>92.460398465639699</v>
      </c>
      <c r="MW11">
        <v>-29.2111671866801</v>
      </c>
      <c r="MX11">
        <v>19.973698022920601</v>
      </c>
      <c r="MY11">
        <v>20.041307263270401</v>
      </c>
      <c r="MZ11">
        <v>-2.1665070802874</v>
      </c>
      <c r="NA11">
        <v>-214.03809174647401</v>
      </c>
      <c r="NB11">
        <v>20.252395920093399</v>
      </c>
      <c r="NC11">
        <v>21.605940655282801</v>
      </c>
      <c r="ND11">
        <v>102.33226514895399</v>
      </c>
      <c r="NE11">
        <v>-18.891123506424002</v>
      </c>
      <c r="NF11">
        <v>19.906311998026201</v>
      </c>
      <c r="NG11">
        <v>19.991268711954699</v>
      </c>
      <c r="NH11">
        <v>-0.50531782196429398</v>
      </c>
      <c r="NI11">
        <v>-133.388998561253</v>
      </c>
      <c r="NJ11">
        <v>20.183090041357001</v>
      </c>
      <c r="NK11">
        <v>21.555387305640402</v>
      </c>
      <c r="NL11">
        <v>65.4004812837278</v>
      </c>
      <c r="NM11">
        <v>-28.848158572616601</v>
      </c>
      <c r="NN11">
        <v>20.068741133408601</v>
      </c>
      <c r="NO11">
        <v>20.1365322469631</v>
      </c>
      <c r="NP11">
        <v>-0.93689171875675603</v>
      </c>
      <c r="NQ11" s="35">
        <v>-211.58754826274199</v>
      </c>
      <c r="NR11" s="35">
        <v>20.3475704820729</v>
      </c>
      <c r="NS11">
        <v>21.7495234949089</v>
      </c>
      <c r="NT11">
        <v>103.611168716809</v>
      </c>
      <c r="NU11">
        <v>-19.333740816230002</v>
      </c>
      <c r="NV11">
        <v>19.9103906630701</v>
      </c>
      <c r="NW11">
        <v>19.985579841357598</v>
      </c>
      <c r="NX11">
        <v>1.7</v>
      </c>
      <c r="NY11">
        <v>-0.57095891858883596</v>
      </c>
      <c r="NZ11">
        <v>-131.52459257047801</v>
      </c>
      <c r="OA11">
        <v>20.1851320770513</v>
      </c>
      <c r="OB11">
        <v>21.526417739379799</v>
      </c>
      <c r="OC11">
        <v>1.7</v>
      </c>
      <c r="OD11">
        <v>64.849882337303498</v>
      </c>
      <c r="OE11">
        <v>1.7</v>
      </c>
      <c r="OF11">
        <v>1.7</v>
      </c>
      <c r="OG11">
        <v>-29.317346608942</v>
      </c>
      <c r="OH11">
        <v>19.431250855285001</v>
      </c>
      <c r="OI11">
        <v>20.1146538863158</v>
      </c>
      <c r="OJ11">
        <v>47.552937261320899</v>
      </c>
      <c r="OK11">
        <v>75.338911415551806</v>
      </c>
      <c r="OL11">
        <v>19.470343950701398</v>
      </c>
      <c r="OM11">
        <v>20.5385331229852</v>
      </c>
      <c r="ON11">
        <v>62.2110330528524</v>
      </c>
      <c r="OO11">
        <v>-18.968873301859599</v>
      </c>
      <c r="OP11">
        <v>19.3677523559927</v>
      </c>
      <c r="OQ11">
        <v>20.038292820105799</v>
      </c>
      <c r="OR11">
        <v>29.6276340441507</v>
      </c>
      <c r="OS11">
        <v>40.505238482467</v>
      </c>
      <c r="OT11">
        <v>19.417795947788399</v>
      </c>
      <c r="OU11">
        <v>20.518529183640702</v>
      </c>
      <c r="OV11">
        <v>41.543907704170799</v>
      </c>
      <c r="OW11">
        <v>-29.1844876175997</v>
      </c>
      <c r="OX11">
        <v>19.495872534775302</v>
      </c>
      <c r="OY11">
        <v>20.211033557900599</v>
      </c>
      <c r="OZ11">
        <v>50.5765556251379</v>
      </c>
      <c r="PA11">
        <v>83.774275834617697</v>
      </c>
      <c r="PB11">
        <v>19.530818639810398</v>
      </c>
      <c r="PC11">
        <v>20.668715859347699</v>
      </c>
      <c r="PD11">
        <v>63.679722557509997</v>
      </c>
      <c r="PE11">
        <v>-19.026267265824298</v>
      </c>
      <c r="PF11">
        <v>19.347998133078601</v>
      </c>
      <c r="PG11">
        <v>20.029913081622301</v>
      </c>
      <c r="PH11">
        <v>1.7</v>
      </c>
      <c r="PI11">
        <v>36.898077245664503</v>
      </c>
      <c r="PJ11">
        <v>51.827653878823497</v>
      </c>
      <c r="PK11">
        <v>19.3928547746122</v>
      </c>
      <c r="PL11">
        <v>20.491288265600801</v>
      </c>
      <c r="PM11" s="35">
        <v>1.7</v>
      </c>
      <c r="PN11">
        <v>47.579245339387299</v>
      </c>
      <c r="PO11">
        <v>21.2667013199408</v>
      </c>
      <c r="PP11">
        <v>21.2754197143833</v>
      </c>
      <c r="PQ11">
        <v>21.384894094313701</v>
      </c>
      <c r="PR11">
        <v>21.219446808968701</v>
      </c>
      <c r="PS11">
        <v>22.035259769387199</v>
      </c>
      <c r="PT11">
        <v>21.922101528676698</v>
      </c>
      <c r="PU11">
        <v>21.884326375485799</v>
      </c>
      <c r="PV11">
        <v>22.06099057378</v>
      </c>
      <c r="PW11">
        <v>21.838322640139701</v>
      </c>
      <c r="PX11">
        <v>23.447062528149502</v>
      </c>
      <c r="PY11">
        <v>20.740243902994301</v>
      </c>
      <c r="PZ11">
        <v>20.740474397900901</v>
      </c>
      <c r="QA11">
        <v>20.885111931184699</v>
      </c>
      <c r="QB11">
        <v>20.708933695655102</v>
      </c>
      <c r="QC11">
        <v>21.978317500367002</v>
      </c>
      <c r="QD11">
        <v>19.799513216303499</v>
      </c>
      <c r="QE11">
        <v>21.8889730629454</v>
      </c>
      <c r="QF11">
        <v>21.900775695444398</v>
      </c>
      <c r="QG11">
        <v>22.0532475471956</v>
      </c>
      <c r="QH11">
        <v>21.817376045565599</v>
      </c>
      <c r="QI11">
        <v>23.111855992315601</v>
      </c>
      <c r="QJ11">
        <v>22.470767503979999</v>
      </c>
      <c r="QK11">
        <v>22.431116141111499</v>
      </c>
      <c r="QL11">
        <v>22.657318296750201</v>
      </c>
      <c r="QM11">
        <v>22.356308571180701</v>
      </c>
      <c r="QN11">
        <v>-1132.4072629090599</v>
      </c>
      <c r="QO11">
        <v>24.610964598144601</v>
      </c>
      <c r="QP11">
        <v>-5518.9754794894898</v>
      </c>
      <c r="QQ11">
        <v>21.325140125445401</v>
      </c>
      <c r="QR11">
        <v>21.325579314965701</v>
      </c>
      <c r="QS11">
        <v>21.512121384707299</v>
      </c>
      <c r="QT11">
        <v>21.2690546694317</v>
      </c>
      <c r="QU11">
        <v>23.011424491211699</v>
      </c>
      <c r="QV11">
        <v>17.5406682326735</v>
      </c>
      <c r="QW11">
        <v>625064.43517679803</v>
      </c>
      <c r="QX11">
        <v>0</v>
      </c>
      <c r="QY11">
        <v>410662.20875647501</v>
      </c>
      <c r="QZ11">
        <v>0</v>
      </c>
      <c r="RA11">
        <v>47019.391858249597</v>
      </c>
      <c r="RB11">
        <v>0</v>
      </c>
      <c r="RC11">
        <v>30990.429714796301</v>
      </c>
      <c r="RD11">
        <v>0</v>
      </c>
      <c r="RE11">
        <v>104847.36398517901</v>
      </c>
      <c r="RF11">
        <v>0</v>
      </c>
      <c r="RG11">
        <v>68663.469692403494</v>
      </c>
      <c r="RH11" s="35">
        <v>0</v>
      </c>
      <c r="RI11">
        <v>0</v>
      </c>
      <c r="RJ11" s="35">
        <v>0</v>
      </c>
      <c r="RK11">
        <v>22.51124480595</v>
      </c>
      <c r="RL11">
        <v>0</v>
      </c>
      <c r="RM11" s="35">
        <v>-2319.5015882948301</v>
      </c>
      <c r="RN11">
        <v>1841.4001768334899</v>
      </c>
      <c r="RO11" s="35">
        <v>0</v>
      </c>
      <c r="RP11">
        <v>0</v>
      </c>
      <c r="RQ11" s="35">
        <v>22.5261316765055</v>
      </c>
      <c r="RR11" s="35">
        <v>0</v>
      </c>
      <c r="RS11">
        <v>-1498.02167683995</v>
      </c>
      <c r="RT11">
        <v>1144.7841058426</v>
      </c>
      <c r="RU11">
        <v>0</v>
      </c>
      <c r="RV11">
        <v>0</v>
      </c>
      <c r="RW11">
        <v>22.721601000077399</v>
      </c>
      <c r="RX11">
        <v>0</v>
      </c>
      <c r="RY11">
        <v>-2671.2371488112999</v>
      </c>
      <c r="RZ11">
        <v>1487.16434888513</v>
      </c>
      <c r="SA11">
        <v>0</v>
      </c>
      <c r="SB11">
        <v>0</v>
      </c>
      <c r="SC11">
        <v>22.4153052821624</v>
      </c>
      <c r="SD11">
        <v>0</v>
      </c>
      <c r="SE11">
        <v>-1382.39282206697</v>
      </c>
      <c r="SF11">
        <v>1261.2113183433701</v>
      </c>
      <c r="SG11">
        <v>0</v>
      </c>
      <c r="SH11">
        <v>8404.9523520732691</v>
      </c>
      <c r="SI11">
        <v>24.188452215243998</v>
      </c>
      <c r="SJ11">
        <v>0</v>
      </c>
      <c r="SK11">
        <v>-17175.367112139</v>
      </c>
      <c r="SL11">
        <v>5162.2232661975404</v>
      </c>
      <c r="SM11">
        <v>21.1111</v>
      </c>
      <c r="SN11">
        <v>23.8889</v>
      </c>
      <c r="SO11">
        <v>0</v>
      </c>
      <c r="SP11">
        <v>0</v>
      </c>
      <c r="SQ11">
        <v>20.1397814092796</v>
      </c>
      <c r="SR11">
        <v>0</v>
      </c>
      <c r="SS11">
        <v>0</v>
      </c>
      <c r="ST11">
        <v>0</v>
      </c>
      <c r="SU11">
        <v>0</v>
      </c>
      <c r="SV11">
        <v>0</v>
      </c>
      <c r="SW11">
        <v>20.096068992569101</v>
      </c>
      <c r="SX11">
        <v>0</v>
      </c>
      <c r="SY11">
        <v>0</v>
      </c>
      <c r="SZ11">
        <v>0</v>
      </c>
      <c r="TA11">
        <v>0</v>
      </c>
      <c r="TB11">
        <v>0</v>
      </c>
      <c r="TC11">
        <v>20.2353069937061</v>
      </c>
      <c r="TD11">
        <v>0</v>
      </c>
      <c r="TE11">
        <v>0</v>
      </c>
      <c r="TF11">
        <v>0</v>
      </c>
      <c r="TG11">
        <v>0</v>
      </c>
      <c r="TH11">
        <v>0</v>
      </c>
      <c r="TI11">
        <v>20.0805029026582</v>
      </c>
      <c r="TJ11">
        <v>0</v>
      </c>
      <c r="TK11">
        <v>0</v>
      </c>
      <c r="TL11">
        <v>0</v>
      </c>
      <c r="TM11">
        <v>2249.8168590816999</v>
      </c>
      <c r="TN11">
        <v>0</v>
      </c>
      <c r="TO11">
        <v>22.2039612257486</v>
      </c>
      <c r="TP11">
        <v>0</v>
      </c>
      <c r="TQ11">
        <v>0</v>
      </c>
      <c r="TR11">
        <v>0</v>
      </c>
      <c r="TS11">
        <v>0</v>
      </c>
      <c r="TT11">
        <v>0</v>
      </c>
      <c r="TU11">
        <v>23.0194334792833</v>
      </c>
      <c r="TV11">
        <v>0</v>
      </c>
      <c r="TW11">
        <v>-3063.48288972508</v>
      </c>
      <c r="TX11">
        <v>1095.0323989169799</v>
      </c>
      <c r="TY11">
        <v>0</v>
      </c>
      <c r="TZ11">
        <v>0</v>
      </c>
      <c r="UA11">
        <v>22.977905906737099</v>
      </c>
      <c r="UB11">
        <v>0</v>
      </c>
      <c r="UC11">
        <v>-1918.6045259816799</v>
      </c>
      <c r="UD11">
        <v>723.41076267021197</v>
      </c>
      <c r="UE11">
        <v>0</v>
      </c>
      <c r="UF11">
        <v>0</v>
      </c>
      <c r="UG11">
        <v>23.253646019720399</v>
      </c>
      <c r="UH11">
        <v>0</v>
      </c>
      <c r="UI11">
        <v>-3448.2952987718299</v>
      </c>
      <c r="UJ11">
        <v>707.42260941418704</v>
      </c>
      <c r="UK11">
        <v>0</v>
      </c>
      <c r="UL11">
        <v>0</v>
      </c>
      <c r="UM11">
        <v>22.874294502221801</v>
      </c>
      <c r="UN11">
        <v>0</v>
      </c>
      <c r="UO11">
        <v>-1809.9416259909799</v>
      </c>
      <c r="UP11">
        <v>832.76625685556303</v>
      </c>
      <c r="UQ11">
        <v>0</v>
      </c>
      <c r="UR11">
        <v>8241.2928159266103</v>
      </c>
      <c r="US11">
        <v>25.774866668139701</v>
      </c>
      <c r="UT11">
        <v>-5355.1967706242103</v>
      </c>
      <c r="UU11">
        <v>-27121.2552735147</v>
      </c>
      <c r="UV11">
        <v>-5355.1967706242103</v>
      </c>
      <c r="UW11">
        <v>21.1111</v>
      </c>
      <c r="UX11">
        <v>23.8889</v>
      </c>
      <c r="UY11">
        <v>0</v>
      </c>
      <c r="UZ11">
        <v>0</v>
      </c>
      <c r="VA11">
        <v>20.358729509877801</v>
      </c>
      <c r="VB11">
        <v>0</v>
      </c>
      <c r="VC11">
        <v>0</v>
      </c>
      <c r="VD11">
        <v>0</v>
      </c>
      <c r="VE11">
        <v>0</v>
      </c>
      <c r="VF11">
        <v>0</v>
      </c>
      <c r="VG11">
        <v>20.281829198585601</v>
      </c>
      <c r="VH11">
        <v>0</v>
      </c>
      <c r="VI11">
        <v>0</v>
      </c>
      <c r="VJ11">
        <v>0</v>
      </c>
      <c r="VK11">
        <v>0</v>
      </c>
      <c r="VL11">
        <v>0</v>
      </c>
      <c r="VM11">
        <v>20.4611563522487</v>
      </c>
      <c r="VN11">
        <v>0</v>
      </c>
      <c r="VO11">
        <v>0</v>
      </c>
      <c r="VP11">
        <v>0</v>
      </c>
      <c r="VQ11">
        <v>0</v>
      </c>
      <c r="VR11">
        <v>0</v>
      </c>
      <c r="VS11">
        <v>20.267733438093401</v>
      </c>
      <c r="VT11">
        <v>0</v>
      </c>
      <c r="VU11">
        <v>0</v>
      </c>
      <c r="VV11">
        <v>0</v>
      </c>
      <c r="VW11">
        <v>2761.4241740655898</v>
      </c>
      <c r="VX11">
        <v>0</v>
      </c>
      <c r="VY11">
        <v>23.186322239313402</v>
      </c>
      <c r="VZ11">
        <v>0</v>
      </c>
      <c r="WA11">
        <v>0</v>
      </c>
      <c r="WB11">
        <v>0</v>
      </c>
      <c r="WC11">
        <v>0</v>
      </c>
      <c r="WD11">
        <v>0</v>
      </c>
      <c r="WE11">
        <v>21.9100363478966</v>
      </c>
      <c r="WF11">
        <v>0</v>
      </c>
      <c r="WG11">
        <v>-1435.3431951711</v>
      </c>
      <c r="WH11">
        <v>2740.0147628845798</v>
      </c>
      <c r="WI11">
        <v>0</v>
      </c>
      <c r="WJ11">
        <v>0</v>
      </c>
      <c r="WK11">
        <v>0</v>
      </c>
      <c r="WL11">
        <v>21.910684232030398</v>
      </c>
      <c r="WM11">
        <v>0</v>
      </c>
      <c r="WN11">
        <v>-919.07507285483405</v>
      </c>
      <c r="WO11">
        <v>1733.31942193338</v>
      </c>
      <c r="WP11">
        <v>21.1111</v>
      </c>
      <c r="WQ11">
        <v>23.8889</v>
      </c>
      <c r="WR11">
        <v>0</v>
      </c>
      <c r="WS11">
        <v>0</v>
      </c>
      <c r="WT11">
        <v>22.139130838229999</v>
      </c>
      <c r="WU11">
        <v>0</v>
      </c>
      <c r="WV11">
        <v>-1816.7653616146199</v>
      </c>
      <c r="WW11">
        <v>2355.7231549085</v>
      </c>
      <c r="WX11">
        <v>0</v>
      </c>
      <c r="WY11">
        <v>0</v>
      </c>
      <c r="WZ11">
        <v>0</v>
      </c>
      <c r="XA11">
        <v>21.829175643208298</v>
      </c>
      <c r="XB11">
        <v>0</v>
      </c>
      <c r="XC11">
        <v>-829.71941269775402</v>
      </c>
      <c r="XD11">
        <v>1823.00621040599</v>
      </c>
      <c r="XE11">
        <v>0</v>
      </c>
      <c r="XF11">
        <v>7319.6128873261096</v>
      </c>
      <c r="XG11">
        <v>24.044531482056399</v>
      </c>
      <c r="XH11">
        <v>0</v>
      </c>
      <c r="XI11">
        <v>-17647.122443235501</v>
      </c>
      <c r="XJ11">
        <v>4783.1354437083</v>
      </c>
      <c r="XK11">
        <v>21.1111</v>
      </c>
      <c r="XL11">
        <v>23.8889</v>
      </c>
      <c r="XM11">
        <v>0</v>
      </c>
      <c r="XN11">
        <v>0</v>
      </c>
      <c r="XO11">
        <v>18.339272109764</v>
      </c>
      <c r="XP11">
        <v>0</v>
      </c>
      <c r="XQ11">
        <v>0</v>
      </c>
      <c r="XR11">
        <v>0</v>
      </c>
      <c r="XS11">
        <v>0</v>
      </c>
      <c r="XT11">
        <v>0</v>
      </c>
      <c r="XU11">
        <v>18.299130974231598</v>
      </c>
      <c r="XV11">
        <v>0</v>
      </c>
      <c r="XW11">
        <v>0</v>
      </c>
      <c r="XX11">
        <v>0</v>
      </c>
      <c r="XY11">
        <v>0</v>
      </c>
      <c r="XZ11">
        <v>0</v>
      </c>
      <c r="YA11">
        <v>18.498485195085099</v>
      </c>
      <c r="YB11">
        <v>0</v>
      </c>
      <c r="YC11">
        <v>0</v>
      </c>
      <c r="YD11">
        <v>0</v>
      </c>
      <c r="YE11">
        <v>0</v>
      </c>
      <c r="YF11">
        <v>0</v>
      </c>
      <c r="YG11">
        <v>18.345140560028302</v>
      </c>
      <c r="YH11">
        <v>0</v>
      </c>
      <c r="YI11">
        <v>0</v>
      </c>
      <c r="YJ11">
        <v>0</v>
      </c>
      <c r="YK11">
        <v>2859.3830715887502</v>
      </c>
      <c r="YL11">
        <v>0</v>
      </c>
      <c r="YM11">
        <v>21.4004146764707</v>
      </c>
      <c r="YN11">
        <v>0</v>
      </c>
      <c r="YO11">
        <v>0</v>
      </c>
      <c r="YP11">
        <v>0</v>
      </c>
      <c r="YQ11">
        <v>0</v>
      </c>
      <c r="YR11">
        <v>0</v>
      </c>
      <c r="YS11">
        <v>18.723441565543201</v>
      </c>
      <c r="YT11">
        <v>0</v>
      </c>
      <c r="YU11">
        <v>0</v>
      </c>
      <c r="YV11">
        <v>0</v>
      </c>
      <c r="YW11">
        <v>0</v>
      </c>
      <c r="YX11">
        <v>0</v>
      </c>
      <c r="YY11">
        <v>18.698182584052699</v>
      </c>
      <c r="YZ11">
        <v>0</v>
      </c>
      <c r="ZA11">
        <v>0</v>
      </c>
      <c r="ZB11">
        <v>0</v>
      </c>
      <c r="ZC11">
        <v>0</v>
      </c>
      <c r="ZD11">
        <v>0</v>
      </c>
      <c r="ZE11">
        <v>18.746847184151399</v>
      </c>
      <c r="ZF11">
        <v>0</v>
      </c>
      <c r="ZG11">
        <v>0</v>
      </c>
      <c r="ZH11">
        <v>0</v>
      </c>
      <c r="ZI11">
        <v>0</v>
      </c>
      <c r="ZJ11">
        <v>0</v>
      </c>
      <c r="ZK11">
        <v>18.687840726656599</v>
      </c>
      <c r="ZL11">
        <v>0</v>
      </c>
      <c r="ZM11">
        <v>0</v>
      </c>
      <c r="ZN11">
        <v>0</v>
      </c>
      <c r="ZO11">
        <v>0</v>
      </c>
      <c r="ZP11">
        <v>7969.6022586674198</v>
      </c>
      <c r="ZQ11">
        <v>16.657481251107701</v>
      </c>
      <c r="ZR11">
        <v>0</v>
      </c>
      <c r="ZS11">
        <v>0</v>
      </c>
      <c r="ZT11">
        <v>0</v>
      </c>
      <c r="ZU11">
        <v>0</v>
      </c>
      <c r="ZV11">
        <v>0</v>
      </c>
      <c r="ZW11">
        <v>20.0433544451706</v>
      </c>
      <c r="ZX11">
        <v>0</v>
      </c>
      <c r="ZY11">
        <v>0</v>
      </c>
      <c r="ZZ11">
        <v>0</v>
      </c>
      <c r="AAA11">
        <v>0</v>
      </c>
      <c r="AAB11">
        <v>0</v>
      </c>
      <c r="AAC11">
        <v>19.973761720597999</v>
      </c>
      <c r="AAD11">
        <v>0</v>
      </c>
      <c r="AAE11">
        <v>0</v>
      </c>
      <c r="AAF11">
        <v>0</v>
      </c>
      <c r="AAG11">
        <v>0</v>
      </c>
      <c r="AAH11">
        <v>0</v>
      </c>
      <c r="AAI11">
        <v>20.137820334452901</v>
      </c>
      <c r="AAJ11">
        <v>0</v>
      </c>
      <c r="AAK11">
        <v>0</v>
      </c>
      <c r="AAL11">
        <v>0</v>
      </c>
      <c r="AAM11">
        <v>0</v>
      </c>
      <c r="AAN11">
        <v>0</v>
      </c>
      <c r="AAO11">
        <v>19.976260113914801</v>
      </c>
      <c r="AAP11">
        <v>0</v>
      </c>
      <c r="AAQ11">
        <v>0</v>
      </c>
      <c r="AAR11">
        <v>0</v>
      </c>
      <c r="AAS11">
        <v>0</v>
      </c>
      <c r="AAT11">
        <v>9587.2851807364805</v>
      </c>
      <c r="AAU11">
        <v>18.1846171680018</v>
      </c>
      <c r="AAV11">
        <v>0</v>
      </c>
      <c r="AAW11">
        <v>0</v>
      </c>
      <c r="AAX11">
        <v>0</v>
      </c>
      <c r="AAY11">
        <v>0</v>
      </c>
      <c r="AAZ11">
        <v>0</v>
      </c>
      <c r="ABA11">
        <v>19.3774146269844</v>
      </c>
      <c r="ABB11">
        <v>0</v>
      </c>
      <c r="ABC11">
        <v>0</v>
      </c>
      <c r="ABD11">
        <v>0</v>
      </c>
      <c r="ABE11">
        <v>0</v>
      </c>
      <c r="ABF11">
        <v>0</v>
      </c>
      <c r="ABG11">
        <v>19.3178729004118</v>
      </c>
      <c r="ABH11">
        <v>0</v>
      </c>
      <c r="ABI11">
        <v>0</v>
      </c>
      <c r="ABJ11">
        <v>0</v>
      </c>
      <c r="ABK11">
        <v>0</v>
      </c>
      <c r="ABL11">
        <v>0</v>
      </c>
      <c r="ABM11">
        <v>19.438792230666898</v>
      </c>
      <c r="ABN11">
        <v>0</v>
      </c>
      <c r="ABO11">
        <v>0</v>
      </c>
      <c r="ABP11">
        <v>0</v>
      </c>
      <c r="ABQ11">
        <v>0</v>
      </c>
      <c r="ABR11">
        <v>0</v>
      </c>
      <c r="ABS11">
        <v>19.299895071279</v>
      </c>
      <c r="ABT11">
        <v>0</v>
      </c>
      <c r="ABU11">
        <v>0</v>
      </c>
      <c r="ABV11">
        <v>0</v>
      </c>
      <c r="ABW11">
        <v>0</v>
      </c>
      <c r="ABX11">
        <v>8905.1584495922307</v>
      </c>
      <c r="ABY11">
        <v>17.5406682326735</v>
      </c>
      <c r="ABZ11">
        <v>0</v>
      </c>
      <c r="ACA11">
        <v>0</v>
      </c>
      <c r="ACB11">
        <v>0</v>
      </c>
      <c r="ACC11">
        <v>0</v>
      </c>
      <c r="ACD11">
        <v>0</v>
      </c>
      <c r="ACE11">
        <v>0</v>
      </c>
      <c r="ACF11">
        <v>7.0750000000000002</v>
      </c>
      <c r="ACG11">
        <v>7.0750000000000002</v>
      </c>
      <c r="ACH11">
        <v>0</v>
      </c>
      <c r="ACI11">
        <v>0</v>
      </c>
      <c r="ACJ11">
        <v>0</v>
      </c>
      <c r="ACK11">
        <v>20.892476876737199</v>
      </c>
      <c r="ACL11">
        <v>20.892476876737199</v>
      </c>
      <c r="ACM11">
        <v>0</v>
      </c>
      <c r="ACN11">
        <v>94851.307274330306</v>
      </c>
      <c r="ACP11">
        <v>6616.8214674513902</v>
      </c>
      <c r="ACR11">
        <v>101468.128741782</v>
      </c>
      <c r="ACT11">
        <v>24.4962087094802</v>
      </c>
      <c r="ACU11">
        <v>21.918473154346199</v>
      </c>
      <c r="ACV11">
        <v>1.7</v>
      </c>
      <c r="ACW11">
        <v>1.3978268963857801</v>
      </c>
      <c r="ACX11">
        <v>0.67438529368341904</v>
      </c>
      <c r="ACY11">
        <v>25.9041577162278</v>
      </c>
      <c r="ACZ11">
        <v>23.317746152183702</v>
      </c>
      <c r="ADA11">
        <v>1.7</v>
      </c>
      <c r="ADB11">
        <v>1.41891226020023</v>
      </c>
      <c r="ADC11">
        <v>0.66668880880733605</v>
      </c>
      <c r="ADD11">
        <v>24.3367008363401</v>
      </c>
      <c r="ADE11">
        <v>22.1035323797534</v>
      </c>
      <c r="ADF11">
        <v>1.7</v>
      </c>
      <c r="ADG11">
        <v>1.4322875218834401</v>
      </c>
      <c r="ADH11">
        <v>0.67598411283336102</v>
      </c>
      <c r="ADI11">
        <v>22.851532653803801</v>
      </c>
      <c r="ADJ11">
        <v>22.851532653803801</v>
      </c>
      <c r="ADK11">
        <v>0</v>
      </c>
      <c r="ADL11">
        <v>0</v>
      </c>
      <c r="ADM11">
        <v>1</v>
      </c>
      <c r="ADN11">
        <v>22.848047296059001</v>
      </c>
      <c r="ADO11">
        <v>22.848047296059001</v>
      </c>
      <c r="ADP11">
        <v>0</v>
      </c>
      <c r="ADQ11">
        <v>0</v>
      </c>
      <c r="ADR11">
        <v>1</v>
      </c>
      <c r="ADS11">
        <v>23.007633056377799</v>
      </c>
      <c r="ADT11">
        <v>23.007633056377799</v>
      </c>
      <c r="ADU11">
        <v>0</v>
      </c>
      <c r="ADV11">
        <v>0</v>
      </c>
      <c r="ADW11">
        <v>1</v>
      </c>
      <c r="ADX11">
        <v>22.7723612423795</v>
      </c>
      <c r="ADY11">
        <v>22.7723612423795</v>
      </c>
      <c r="ADZ11">
        <v>0</v>
      </c>
      <c r="AEA11">
        <v>0</v>
      </c>
      <c r="AEB11">
        <v>1</v>
      </c>
      <c r="AEC11">
        <v>23.406706654964101</v>
      </c>
      <c r="AED11">
        <v>23.406706654964101</v>
      </c>
      <c r="AEE11">
        <v>0</v>
      </c>
      <c r="AEF11">
        <v>0</v>
      </c>
      <c r="AEG11">
        <v>1</v>
      </c>
      <c r="AEH11">
        <v>23.351551501227402</v>
      </c>
      <c r="AEI11">
        <v>23.351551501227402</v>
      </c>
      <c r="AEJ11">
        <v>0</v>
      </c>
      <c r="AEK11">
        <v>0</v>
      </c>
      <c r="AEL11">
        <v>1</v>
      </c>
      <c r="AEM11">
        <v>23.5858220593434</v>
      </c>
      <c r="AEN11">
        <v>23.5858220593434</v>
      </c>
      <c r="AEO11">
        <v>0</v>
      </c>
      <c r="AEP11">
        <v>0</v>
      </c>
      <c r="AEQ11">
        <v>1</v>
      </c>
      <c r="AER11">
        <v>23.285107266420798</v>
      </c>
      <c r="AES11">
        <v>23.285107266420798</v>
      </c>
      <c r="AET11">
        <v>0</v>
      </c>
      <c r="AEU11">
        <v>0</v>
      </c>
      <c r="AEV11">
        <v>1</v>
      </c>
      <c r="AEW11">
        <v>22.2462234268576</v>
      </c>
      <c r="AEX11">
        <v>22.2462234268576</v>
      </c>
      <c r="AEY11">
        <v>0</v>
      </c>
      <c r="AEZ11">
        <v>0</v>
      </c>
      <c r="AFA11">
        <v>1</v>
      </c>
      <c r="AFB11">
        <v>22.231235269164198</v>
      </c>
      <c r="AFC11">
        <v>22.231235269164198</v>
      </c>
      <c r="AFD11">
        <v>0</v>
      </c>
      <c r="AFE11">
        <v>0</v>
      </c>
      <c r="AFF11">
        <v>1</v>
      </c>
      <c r="AFG11">
        <v>22.4280623065697</v>
      </c>
      <c r="AFH11">
        <v>22.4280623065697</v>
      </c>
      <c r="AFI11">
        <v>0</v>
      </c>
      <c r="AFJ11">
        <v>0</v>
      </c>
      <c r="AFK11">
        <v>1</v>
      </c>
      <c r="AFL11">
        <v>22.185650949764199</v>
      </c>
      <c r="AFM11">
        <v>22.185650949764199</v>
      </c>
      <c r="AFN11">
        <v>0</v>
      </c>
      <c r="AFO11">
        <v>0</v>
      </c>
      <c r="AFP11">
        <v>1</v>
      </c>
      <c r="AFQ11">
        <v>-0.72248891305627805</v>
      </c>
      <c r="AFR11">
        <v>-0.75279806593856702</v>
      </c>
      <c r="AFS11">
        <v>-0.77141677057986802</v>
      </c>
      <c r="AFT11">
        <v>-0.75636237414762097</v>
      </c>
      <c r="AFU11">
        <v>-0.58464479964619598</v>
      </c>
      <c r="AFV11">
        <v>-0.62223622711480897</v>
      </c>
      <c r="AFW11">
        <v>-0.64731193108168505</v>
      </c>
      <c r="AFX11">
        <v>-0.63414604223905902</v>
      </c>
      <c r="AFY11">
        <v>-0.85658248020224903</v>
      </c>
      <c r="AFZ11">
        <v>-0.88950981010001295</v>
      </c>
      <c r="AGA11">
        <v>-0.909838100278614</v>
      </c>
      <c r="AGB11">
        <v>-0.89184895900985295</v>
      </c>
      <c r="AGC11">
        <v>-0.89579927834906203</v>
      </c>
      <c r="AGD11">
        <v>-0.57523392676711105</v>
      </c>
      <c r="AGE11">
        <v>-0.86976360509694794</v>
      </c>
      <c r="AGF11">
        <v>0</v>
      </c>
      <c r="AGG11">
        <v>0</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Z11">
        <v>0</v>
      </c>
      <c r="AIB11">
        <v>0</v>
      </c>
      <c r="AID11">
        <v>0</v>
      </c>
      <c r="AIF11">
        <v>0</v>
      </c>
      <c r="AIH11">
        <v>0</v>
      </c>
      <c r="AIJ11">
        <v>0</v>
      </c>
      <c r="AIL11">
        <v>0</v>
      </c>
      <c r="AIN11">
        <v>0</v>
      </c>
      <c r="AIP11">
        <v>0</v>
      </c>
      <c r="AIR11">
        <v>0</v>
      </c>
      <c r="AIT11">
        <v>0</v>
      </c>
      <c r="AIV11">
        <v>0</v>
      </c>
      <c r="AIX11">
        <v>0</v>
      </c>
      <c r="AIZ11">
        <v>0</v>
      </c>
      <c r="AJB11">
        <v>0</v>
      </c>
      <c r="AJC11">
        <v>0</v>
      </c>
      <c r="AJE11">
        <v>-2.1506266045753501E-4</v>
      </c>
      <c r="AJH11">
        <v>6544.0672005067099</v>
      </c>
      <c r="AJJ11">
        <v>72.754266944684005</v>
      </c>
      <c r="AJK11">
        <v>0</v>
      </c>
      <c r="AJL11">
        <v>0</v>
      </c>
      <c r="AJM11">
        <v>0</v>
      </c>
      <c r="AJN11">
        <v>0</v>
      </c>
      <c r="AJO11">
        <v>0</v>
      </c>
      <c r="AJP11">
        <v>0</v>
      </c>
      <c r="AJQ11">
        <v>0</v>
      </c>
      <c r="AJR11">
        <v>0</v>
      </c>
      <c r="AJS11">
        <v>0</v>
      </c>
      <c r="AJT11">
        <v>0</v>
      </c>
      <c r="AJU11">
        <v>0</v>
      </c>
      <c r="AJV11">
        <v>0</v>
      </c>
      <c r="AJW11">
        <v>0</v>
      </c>
      <c r="AJX11">
        <v>0</v>
      </c>
      <c r="AJY11">
        <v>0</v>
      </c>
      <c r="AJZ11">
        <v>0</v>
      </c>
      <c r="AKA11">
        <v>0</v>
      </c>
      <c r="AKB11">
        <v>0</v>
      </c>
      <c r="AKC11">
        <v>0</v>
      </c>
      <c r="AKD11">
        <v>0</v>
      </c>
      <c r="AKE11">
        <v>70.162396350790203</v>
      </c>
      <c r="AKF11">
        <v>70.162396350790203</v>
      </c>
      <c r="AKG11">
        <v>0</v>
      </c>
      <c r="AKH11">
        <v>0</v>
      </c>
      <c r="AKI11">
        <v>0</v>
      </c>
      <c r="AKJ11">
        <v>0</v>
      </c>
      <c r="AKK11">
        <v>0</v>
      </c>
      <c r="AKL11">
        <v>70.162396350790203</v>
      </c>
      <c r="AKM11">
        <v>70.162396350790203</v>
      </c>
      <c r="AKN11">
        <v>0</v>
      </c>
      <c r="AKO11">
        <v>0</v>
      </c>
      <c r="AKP11">
        <v>0</v>
      </c>
      <c r="AKT11">
        <v>0</v>
      </c>
      <c r="AKX11">
        <v>0</v>
      </c>
      <c r="ALB11">
        <v>20.892476876737199</v>
      </c>
      <c r="ALC11">
        <v>20.892476876737199</v>
      </c>
      <c r="ALD11">
        <v>0</v>
      </c>
      <c r="ALE11">
        <v>0</v>
      </c>
      <c r="ALF11">
        <v>0</v>
      </c>
      <c r="ALH11">
        <v>7.0750000676635896</v>
      </c>
      <c r="ALI11">
        <v>6.2060009476300904E-3</v>
      </c>
      <c r="ALJ11">
        <v>2.5982253599999998</v>
      </c>
      <c r="ALK11">
        <v>7.0750000000000002</v>
      </c>
      <c r="ALL11">
        <v>2.5982253599999998</v>
      </c>
      <c r="ALM11">
        <v>0</v>
      </c>
      <c r="ALN11">
        <v>22.0188231179303</v>
      </c>
      <c r="ALO11">
        <v>6.9852774112891198E-3</v>
      </c>
      <c r="ALP11">
        <v>42.7392714719496</v>
      </c>
      <c r="ALQ11">
        <v>2.5982253599999998</v>
      </c>
      <c r="ALR11">
        <v>7.0750000676635896</v>
      </c>
      <c r="ALS11">
        <v>2.5982253599999998</v>
      </c>
      <c r="ALT11">
        <v>9.1339031090110492</v>
      </c>
      <c r="ALU11">
        <v>2.5982253599999998</v>
      </c>
      <c r="ALV11">
        <v>12.2200383644412</v>
      </c>
      <c r="ALW11">
        <v>9.9999999999999897E-12</v>
      </c>
      <c r="ALX11">
        <v>7.0750000000000002</v>
      </c>
      <c r="ALY11">
        <v>9.9999999999999897E-12</v>
      </c>
      <c r="ALZ11">
        <v>0</v>
      </c>
      <c r="AMA11">
        <v>7.0750000000000002</v>
      </c>
      <c r="AMB11">
        <v>0</v>
      </c>
      <c r="AMC11">
        <v>7.0750000000000002</v>
      </c>
      <c r="AMD11">
        <v>0</v>
      </c>
      <c r="AME11">
        <v>7.0750000000000002</v>
      </c>
      <c r="AMF11">
        <v>0</v>
      </c>
      <c r="AMG11">
        <v>0</v>
      </c>
      <c r="AMH11">
        <v>2.5982253599999998</v>
      </c>
      <c r="AMI11">
        <v>18.6366618365624</v>
      </c>
      <c r="AMJ11">
        <v>0</v>
      </c>
      <c r="AMK11" s="580">
        <v>16.580876428331599</v>
      </c>
      <c r="AML11">
        <v>0.86607511999999998</v>
      </c>
      <c r="AMM11">
        <v>18.645585937028802</v>
      </c>
      <c r="AMN11">
        <v>0</v>
      </c>
      <c r="AMO11">
        <v>18.671673490458701</v>
      </c>
      <c r="AMP11">
        <v>0</v>
      </c>
      <c r="AMQ11">
        <v>18.690418972657699</v>
      </c>
      <c r="AMR11">
        <v>0</v>
      </c>
      <c r="AMS11">
        <v>18.143772164010301</v>
      </c>
      <c r="AMT11">
        <v>0.86607511999999998</v>
      </c>
      <c r="AMU11">
        <v>19.9084341311301</v>
      </c>
      <c r="AMV11">
        <v>0</v>
      </c>
      <c r="AMW11">
        <v>19.9127884625726</v>
      </c>
      <c r="AMX11">
        <v>0</v>
      </c>
      <c r="AMY11">
        <v>19.979476090496</v>
      </c>
      <c r="AMZ11">
        <v>0</v>
      </c>
      <c r="ANA11">
        <v>20.071239820678599</v>
      </c>
      <c r="ANB11">
        <v>0</v>
      </c>
      <c r="ANC11">
        <v>17.443570822787699</v>
      </c>
      <c r="AND11">
        <v>0.86607511999999998</v>
      </c>
      <c r="ANE11">
        <v>19.2433281218504</v>
      </c>
      <c r="ANF11">
        <v>0</v>
      </c>
      <c r="ANG11">
        <v>19.1930409402169</v>
      </c>
      <c r="ANH11">
        <v>0</v>
      </c>
      <c r="ANI11">
        <v>19.3044273210329</v>
      </c>
      <c r="ANJ11">
        <v>0</v>
      </c>
      <c r="ANK11">
        <v>19.360985019847899</v>
      </c>
      <c r="ANL11">
        <v>0</v>
      </c>
      <c r="ANM11">
        <v>0.86607511999999998</v>
      </c>
      <c r="ANN11">
        <v>0.86607511999999998</v>
      </c>
      <c r="ANO11">
        <v>0.86607511999999998</v>
      </c>
      <c r="ANP11">
        <v>16.580876428331599</v>
      </c>
      <c r="ANQ11">
        <v>18.645585937028802</v>
      </c>
      <c r="ANR11">
        <v>18.6366618365624</v>
      </c>
      <c r="ANS11">
        <v>18.690418972657699</v>
      </c>
      <c r="ANT11">
        <v>18.671673490458701</v>
      </c>
      <c r="ANU11">
        <v>18.143772164010301</v>
      </c>
      <c r="ANV11">
        <v>19.9084341311301</v>
      </c>
      <c r="ANW11">
        <v>19.9127884625726</v>
      </c>
      <c r="ANX11">
        <v>20.071239820678599</v>
      </c>
      <c r="ANY11">
        <v>19.979476090496</v>
      </c>
      <c r="ANZ11">
        <v>17.443570822787699</v>
      </c>
      <c r="AOA11">
        <v>19.2433281218504</v>
      </c>
      <c r="AOB11">
        <v>19.1930409402169</v>
      </c>
      <c r="AOC11">
        <v>19.360985019847899</v>
      </c>
      <c r="AOD11">
        <v>19.3044273210329</v>
      </c>
      <c r="AOE11">
        <v>22.0188231179303</v>
      </c>
      <c r="AOF11">
        <v>2.5982253599999998</v>
      </c>
      <c r="AOG11">
        <v>21.701438474957499</v>
      </c>
      <c r="AOH11">
        <v>2.5982253599999998</v>
      </c>
    </row>
    <row r="12" spans="1:1074">
      <c r="A12" t="s">
        <v>2947</v>
      </c>
      <c r="B12">
        <v>7.4249999999999998</v>
      </c>
      <c r="D12">
        <v>7.4249999999999998</v>
      </c>
      <c r="F12">
        <v>5</v>
      </c>
      <c r="G12">
        <v>10048319.7473223</v>
      </c>
      <c r="H12">
        <v>23239408.985511798</v>
      </c>
      <c r="I12">
        <v>6381282.1239868198</v>
      </c>
      <c r="J12">
        <v>14758410.247721599</v>
      </c>
      <c r="K12">
        <v>10048319.7473223</v>
      </c>
      <c r="L12">
        <v>23239408.985511798</v>
      </c>
      <c r="M12">
        <v>6381282.12398683</v>
      </c>
      <c r="N12">
        <v>14758410.247721599</v>
      </c>
      <c r="O12">
        <v>51821142.324441098</v>
      </c>
      <c r="P12">
        <v>119850159.11690401</v>
      </c>
      <c r="Q12">
        <v>10048319.7473223</v>
      </c>
      <c r="R12">
        <v>23239408.985511798</v>
      </c>
      <c r="S12">
        <v>6381282.1239868198</v>
      </c>
      <c r="T12">
        <v>14758410.247721599</v>
      </c>
      <c r="U12">
        <v>10048319.7473223</v>
      </c>
      <c r="V12">
        <v>23239408.985511798</v>
      </c>
      <c r="W12">
        <v>6381282.12398683</v>
      </c>
      <c r="X12">
        <v>14758410.247721599</v>
      </c>
      <c r="Y12">
        <v>51821142.324441098</v>
      </c>
      <c r="Z12">
        <v>119850159.11690401</v>
      </c>
      <c r="AA12">
        <v>10048319.7473223</v>
      </c>
      <c r="AB12">
        <v>23239408.985511798</v>
      </c>
      <c r="AC12">
        <v>6381282.1239868198</v>
      </c>
      <c r="AD12">
        <v>14758410.247721599</v>
      </c>
      <c r="AE12">
        <v>10048319.7473223</v>
      </c>
      <c r="AF12">
        <v>23239408.985511798</v>
      </c>
      <c r="AG12">
        <v>6381282.12398683</v>
      </c>
      <c r="AH12">
        <v>14758410.247721599</v>
      </c>
      <c r="AI12">
        <v>51821142.324441098</v>
      </c>
      <c r="AJ12">
        <v>119850159.11690401</v>
      </c>
      <c r="AK12">
        <v>22.530417077666101</v>
      </c>
      <c r="AL12">
        <v>3758257.41675806</v>
      </c>
      <c r="AM12">
        <v>9733140.1775517706</v>
      </c>
      <c r="AN12">
        <v>22.530417077666101</v>
      </c>
      <c r="AO12">
        <v>3758257.41675806</v>
      </c>
      <c r="AP12">
        <v>9733140.1775517706</v>
      </c>
      <c r="AQ12">
        <v>14.3081581158871</v>
      </c>
      <c r="AR12">
        <v>2386717.5283001899</v>
      </c>
      <c r="AS12">
        <v>6181124.3060632199</v>
      </c>
      <c r="AT12">
        <v>14.3081581158871</v>
      </c>
      <c r="AU12">
        <v>2386717.5283001899</v>
      </c>
      <c r="AV12">
        <v>6181124.3060632199</v>
      </c>
      <c r="AW12">
        <v>22.530417077666101</v>
      </c>
      <c r="AX12">
        <v>3758257.41675806</v>
      </c>
      <c r="AY12">
        <v>9733140.1775517706</v>
      </c>
      <c r="AZ12">
        <v>22.530417077666101</v>
      </c>
      <c r="BA12">
        <v>3758257.41675806</v>
      </c>
      <c r="BB12">
        <v>9733140.1775517706</v>
      </c>
      <c r="BC12">
        <v>14.3081581158871</v>
      </c>
      <c r="BD12">
        <v>2386717.5283001899</v>
      </c>
      <c r="BE12">
        <v>6181124.3060632199</v>
      </c>
      <c r="BF12">
        <v>14.3081581158871</v>
      </c>
      <c r="BG12">
        <v>2386717.5283001899</v>
      </c>
      <c r="BH12">
        <v>6181124.3060632199</v>
      </c>
      <c r="BI12">
        <v>22.530417077666101</v>
      </c>
      <c r="BJ12">
        <v>3758257.41675806</v>
      </c>
      <c r="BK12">
        <v>9733140.1775517706</v>
      </c>
      <c r="BL12">
        <v>22.530417077666101</v>
      </c>
      <c r="BM12">
        <v>3758257.41675806</v>
      </c>
      <c r="BN12">
        <v>9733140.1775517706</v>
      </c>
      <c r="BO12">
        <v>14.3081581158871</v>
      </c>
      <c r="BP12">
        <v>2386717.5283001899</v>
      </c>
      <c r="BQ12">
        <v>6181124.3060632199</v>
      </c>
      <c r="BR12">
        <v>14.3081581158871</v>
      </c>
      <c r="BS12">
        <v>2386717.5283001899</v>
      </c>
      <c r="BT12">
        <v>6181124.3060632199</v>
      </c>
      <c r="BU12">
        <v>50195699.886944197</v>
      </c>
      <c r="BV12">
        <v>116.193749738297</v>
      </c>
      <c r="BW12">
        <v>19382065.597345799</v>
      </c>
      <c r="BX12">
        <v>50195699.886944197</v>
      </c>
      <c r="BY12">
        <v>116.193749738297</v>
      </c>
      <c r="BZ12">
        <v>19382065.597345799</v>
      </c>
      <c r="CA12">
        <v>50195699.886944197</v>
      </c>
      <c r="CB12">
        <v>116.193749738297</v>
      </c>
      <c r="CC12">
        <v>19382065.597345799</v>
      </c>
      <c r="CD12">
        <v>50195699.886944197</v>
      </c>
      <c r="CE12">
        <v>3395861.87171567</v>
      </c>
      <c r="CF12">
        <v>7717867.8902628897</v>
      </c>
      <c r="CG12">
        <v>3395861.87171567</v>
      </c>
      <c r="CH12">
        <v>7717867.8902628897</v>
      </c>
      <c r="CI12">
        <v>2156574.7510455502</v>
      </c>
      <c r="CJ12">
        <v>4901306.2523762397</v>
      </c>
      <c r="CK12">
        <v>2156574.75104554</v>
      </c>
      <c r="CL12">
        <v>4901306.2523762397</v>
      </c>
      <c r="CM12">
        <v>3395861.87171567</v>
      </c>
      <c r="CN12">
        <v>7717867.8902628897</v>
      </c>
      <c r="CO12">
        <v>3395861.87171567</v>
      </c>
      <c r="CP12">
        <v>7717867.8902628897</v>
      </c>
      <c r="CQ12">
        <v>2156574.7510455502</v>
      </c>
      <c r="CR12">
        <v>4901306.2523762397</v>
      </c>
      <c r="CS12">
        <v>2156574.75104554</v>
      </c>
      <c r="CT12">
        <v>4901306.2523762397</v>
      </c>
      <c r="CU12">
        <v>3395861.87171567</v>
      </c>
      <c r="CV12">
        <v>7717867.8902628897</v>
      </c>
      <c r="CW12">
        <v>3395861.87171567</v>
      </c>
      <c r="CX12">
        <v>7717867.8902628897</v>
      </c>
      <c r="CY12">
        <v>2156574.7510455502</v>
      </c>
      <c r="CZ12">
        <v>4901306.2523762397</v>
      </c>
      <c r="DA12">
        <v>2156574.75104554</v>
      </c>
      <c r="DB12">
        <v>4901306.2523762397</v>
      </c>
      <c r="DC12">
        <v>17513121.177818298</v>
      </c>
      <c r="DD12">
        <v>39802548.131405301</v>
      </c>
      <c r="DE12">
        <v>17513121.177818298</v>
      </c>
      <c r="DF12">
        <v>39802548.131405301</v>
      </c>
      <c r="DG12">
        <v>17513121.177818298</v>
      </c>
      <c r="DH12">
        <v>39802548.131405301</v>
      </c>
      <c r="DI12">
        <v>2894200.4588485798</v>
      </c>
      <c r="DJ12">
        <v>5788400.9176971698</v>
      </c>
      <c r="DK12">
        <v>2894200.4588485798</v>
      </c>
      <c r="DL12">
        <v>5788400.9176971698</v>
      </c>
      <c r="DM12">
        <v>1837989.8446410899</v>
      </c>
      <c r="DN12">
        <v>3675979.6892821798</v>
      </c>
      <c r="DO12">
        <v>1837989.8446410899</v>
      </c>
      <c r="DP12">
        <v>3675979.6892821798</v>
      </c>
      <c r="DQ12">
        <v>2894200.4588485798</v>
      </c>
      <c r="DR12">
        <v>5788400.9176971698</v>
      </c>
      <c r="DS12">
        <v>2894200.4588485798</v>
      </c>
      <c r="DT12">
        <v>5788400.9176971698</v>
      </c>
      <c r="DU12">
        <v>1837989.8446410899</v>
      </c>
      <c r="DV12">
        <v>3675979.6892821798</v>
      </c>
      <c r="DW12">
        <v>1837989.8446410899</v>
      </c>
      <c r="DX12">
        <v>3675979.6892821798</v>
      </c>
      <c r="DY12">
        <v>2894200.4588485798</v>
      </c>
      <c r="DZ12">
        <v>5788400.9176971698</v>
      </c>
      <c r="EA12">
        <v>2894200.4588485798</v>
      </c>
      <c r="EB12">
        <v>5788400.9176971698</v>
      </c>
      <c r="EC12">
        <v>1837989.8446410899</v>
      </c>
      <c r="ED12">
        <v>3675979.6892821798</v>
      </c>
      <c r="EE12">
        <v>1837989.8446410899</v>
      </c>
      <c r="EF12">
        <v>3675979.6892821798</v>
      </c>
      <c r="EG12">
        <v>14925955.549277</v>
      </c>
      <c r="EH12">
        <v>29851911.098554</v>
      </c>
      <c r="EI12">
        <v>14925955.549277</v>
      </c>
      <c r="EJ12">
        <v>29851911.098554</v>
      </c>
      <c r="EK12">
        <v>14925955.549277</v>
      </c>
      <c r="EL12">
        <v>29851911.098554</v>
      </c>
      <c r="EM12">
        <v>0</v>
      </c>
      <c r="EN12">
        <v>0</v>
      </c>
      <c r="EO12">
        <v>0</v>
      </c>
      <c r="EP12">
        <v>0</v>
      </c>
      <c r="EQ12">
        <v>0</v>
      </c>
      <c r="ER12">
        <v>0</v>
      </c>
      <c r="ES12">
        <v>0</v>
      </c>
      <c r="ET12">
        <v>0</v>
      </c>
      <c r="EU12">
        <v>2.64126655267679</v>
      </c>
      <c r="EV12">
        <v>0</v>
      </c>
      <c r="EW12">
        <v>0</v>
      </c>
      <c r="EX12">
        <v>0</v>
      </c>
      <c r="EY12">
        <v>2.9233497594219502</v>
      </c>
      <c r="EZ12">
        <v>0</v>
      </c>
      <c r="FA12">
        <v>0</v>
      </c>
      <c r="FB12">
        <v>2.64182054075988</v>
      </c>
      <c r="FC12">
        <v>0</v>
      </c>
      <c r="FD12">
        <v>0</v>
      </c>
      <c r="FE12">
        <v>0</v>
      </c>
      <c r="FF12">
        <v>0</v>
      </c>
      <c r="FG12">
        <v>0</v>
      </c>
      <c r="FH12">
        <v>0</v>
      </c>
      <c r="FI12">
        <v>0</v>
      </c>
      <c r="FJ12">
        <v>0</v>
      </c>
      <c r="FK12">
        <v>0</v>
      </c>
      <c r="FL12">
        <v>0</v>
      </c>
      <c r="FM12">
        <v>0</v>
      </c>
      <c r="FN12">
        <v>0</v>
      </c>
      <c r="FO12">
        <v>2.45251372506161E-2</v>
      </c>
      <c r="FP12">
        <v>0</v>
      </c>
      <c r="FQ12">
        <v>3.7712464405102401E-3</v>
      </c>
      <c r="FR12">
        <v>0</v>
      </c>
      <c r="FS12">
        <v>0</v>
      </c>
      <c r="FT12">
        <v>0</v>
      </c>
      <c r="FU12">
        <v>260.07812581181201</v>
      </c>
      <c r="FV12">
        <v>0</v>
      </c>
      <c r="FW12">
        <v>0</v>
      </c>
      <c r="FX12">
        <v>0</v>
      </c>
      <c r="FY12">
        <v>2.45251372506161E-2</v>
      </c>
      <c r="FZ12">
        <v>0</v>
      </c>
      <c r="GA12">
        <v>3.7712464405102401E-3</v>
      </c>
      <c r="GB12">
        <v>-264.422347467772</v>
      </c>
      <c r="GC12">
        <v>-415.78355244537801</v>
      </c>
      <c r="GD12">
        <v>-526.03479368981198</v>
      </c>
      <c r="GE12">
        <v>-172.39602182349</v>
      </c>
      <c r="GF12">
        <v>-263.66209673217202</v>
      </c>
      <c r="GG12">
        <v>-335.914007734633</v>
      </c>
      <c r="GH12">
        <v>-272.54636455029203</v>
      </c>
      <c r="GI12">
        <v>-441.264673169839</v>
      </c>
      <c r="GJ12">
        <v>-555.78841545938894</v>
      </c>
      <c r="GK12">
        <v>-171.855935760135</v>
      </c>
      <c r="GL12">
        <v>-256.10642379817102</v>
      </c>
      <c r="GM12">
        <v>-324.8013659156</v>
      </c>
      <c r="GN12">
        <v>-51.264324671507502</v>
      </c>
      <c r="GO12">
        <v>20.941662776941499</v>
      </c>
      <c r="GP12">
        <v>21.911659886165101</v>
      </c>
      <c r="GQ12">
        <v>143.38534400497301</v>
      </c>
      <c r="GR12">
        <v>-28.603844974772301</v>
      </c>
      <c r="GS12">
        <v>-615.27823571888996</v>
      </c>
      <c r="GT12">
        <v>-32.535274173840399</v>
      </c>
      <c r="GU12">
        <v>20.915320587531198</v>
      </c>
      <c r="GV12">
        <v>21.908530583434999</v>
      </c>
      <c r="GW12">
        <v>93.861950199630897</v>
      </c>
      <c r="GX12">
        <v>-19.522344401321099</v>
      </c>
      <c r="GY12">
        <v>-401.00420060676498</v>
      </c>
      <c r="GZ12">
        <v>-49.507457431043399</v>
      </c>
      <c r="HA12">
        <v>21.0875783395303</v>
      </c>
      <c r="HB12">
        <v>22.113225594466599</v>
      </c>
      <c r="HC12">
        <v>152.57994867592001</v>
      </c>
      <c r="HD12">
        <v>-30.504496196287398</v>
      </c>
      <c r="HE12">
        <v>-648.391665254381</v>
      </c>
      <c r="HF12">
        <v>-33.675380350462</v>
      </c>
      <c r="HG12">
        <v>20.8778084747279</v>
      </c>
      <c r="HH12">
        <v>21.8464550996163</v>
      </c>
      <c r="HI12">
        <v>91.437563844793303</v>
      </c>
      <c r="HJ12">
        <v>-17.505277072792101</v>
      </c>
      <c r="HK12">
        <v>-383.489241427325</v>
      </c>
      <c r="HL12">
        <v>-239.85964229973499</v>
      </c>
      <c r="HM12">
        <v>23.4994242970679</v>
      </c>
      <c r="HN12">
        <v>24.008323269422501</v>
      </c>
      <c r="HO12">
        <v>-40.004566463934601</v>
      </c>
      <c r="HP12">
        <v>-347.28890176786501</v>
      </c>
      <c r="HQ12">
        <v>22.419948989113099</v>
      </c>
      <c r="HR12">
        <v>-548.829981699874</v>
      </c>
      <c r="HS12">
        <v>-156.674756538118</v>
      </c>
      <c r="HT12">
        <v>23.485972057758602</v>
      </c>
      <c r="HU12">
        <v>24.013398539985399</v>
      </c>
      <c r="HV12">
        <v>-20.956697129521899</v>
      </c>
      <c r="HW12">
        <v>-219.30527944294201</v>
      </c>
      <c r="HX12">
        <v>22.379931603947401</v>
      </c>
      <c r="HY12">
        <v>-346.849490602912</v>
      </c>
      <c r="HZ12">
        <v>23.6629763812006</v>
      </c>
      <c r="IA12">
        <v>24.0899979353131</v>
      </c>
      <c r="IB12">
        <v>-59.5229844575451</v>
      </c>
      <c r="IC12">
        <v>-248.224776715275</v>
      </c>
      <c r="ID12">
        <v>-366.65080406687599</v>
      </c>
      <c r="IE12">
        <v>22.6405250504714</v>
      </c>
      <c r="IF12">
        <v>-578.16162071292695</v>
      </c>
      <c r="IG12">
        <v>-13.269542173037999</v>
      </c>
      <c r="IH12">
        <v>23.443229145143199</v>
      </c>
      <c r="II12">
        <v>23.994639023115599</v>
      </c>
      <c r="IJ12">
        <v>-16.225398222972501</v>
      </c>
      <c r="IK12">
        <v>-11.1807698647496</v>
      </c>
      <c r="IL12">
        <v>-156.49219709516001</v>
      </c>
      <c r="IM12">
        <v>-212.48054803594999</v>
      </c>
      <c r="IN12">
        <v>22.326026983778899</v>
      </c>
      <c r="IO12">
        <v>1.6294063074498</v>
      </c>
      <c r="IP12">
        <v>-337.51212849558499</v>
      </c>
      <c r="IQ12">
        <v>-106.043687743847</v>
      </c>
      <c r="IR12">
        <v>-62.620269013290397</v>
      </c>
      <c r="IS12">
        <v>-88.463609471055094</v>
      </c>
      <c r="IT12">
        <v>-65.099981688756998</v>
      </c>
      <c r="IU12">
        <v>-4508.1546668359497</v>
      </c>
      <c r="IV12">
        <v>-52.168165876908901</v>
      </c>
      <c r="IW12">
        <v>21.221234746242899</v>
      </c>
      <c r="IX12">
        <v>22.419948989113099</v>
      </c>
      <c r="IY12">
        <v>175.731126713175</v>
      </c>
      <c r="IZ12">
        <v>-65.108039471786597</v>
      </c>
      <c r="JA12">
        <v>-884.70837941353102</v>
      </c>
      <c r="JB12">
        <v>-33.263299394738802</v>
      </c>
      <c r="JC12">
        <v>21.165112210458201</v>
      </c>
      <c r="JD12">
        <v>22.379931603947401</v>
      </c>
      <c r="JE12">
        <v>114.22117014524299</v>
      </c>
      <c r="JF12">
        <v>-42.016311153744503</v>
      </c>
      <c r="JG12">
        <v>-566.44197909906097</v>
      </c>
      <c r="JH12">
        <v>-50.475830874363098</v>
      </c>
      <c r="JI12">
        <v>21.3753834876035</v>
      </c>
      <c r="JJ12">
        <v>22.6405250504714</v>
      </c>
      <c r="JK12">
        <v>186.98225361447001</v>
      </c>
      <c r="JL12">
        <v>-68.951887287894806</v>
      </c>
      <c r="JM12">
        <v>-928.66563422257695</v>
      </c>
      <c r="JN12">
        <v>-34.361846178115698</v>
      </c>
      <c r="JO12">
        <v>21.129709057900101</v>
      </c>
      <c r="JP12">
        <v>22.326026983778899</v>
      </c>
      <c r="JQ12">
        <v>1.2420022506822499</v>
      </c>
      <c r="JR12">
        <v>112.109265573385</v>
      </c>
      <c r="JS12">
        <v>1.0342604291203401</v>
      </c>
      <c r="JT12">
        <v>-40.228454279555002</v>
      </c>
      <c r="JU12">
        <v>-552.57759501639703</v>
      </c>
      <c r="JV12">
        <v>-235.24093097707299</v>
      </c>
      <c r="JW12">
        <v>-322.15610440229602</v>
      </c>
      <c r="JX12">
        <v>-566.45215139298398</v>
      </c>
      <c r="JY12">
        <v>-153.079512977245</v>
      </c>
      <c r="JZ12">
        <v>-204.263441480583</v>
      </c>
      <c r="KA12">
        <v>-358.42819380455501</v>
      </c>
      <c r="KB12">
        <v>-243.60441473605101</v>
      </c>
      <c r="KC12">
        <v>-344.19802611292903</v>
      </c>
      <c r="KD12">
        <v>-589.94257412632601</v>
      </c>
      <c r="KE12">
        <v>-153.07799093408701</v>
      </c>
      <c r="KF12">
        <v>21.4031762104728</v>
      </c>
      <c r="KG12">
        <v>-88.196345720818499</v>
      </c>
      <c r="KH12">
        <v>0.86801175828143595</v>
      </c>
      <c r="KI12">
        <v>-199.30802556432599</v>
      </c>
      <c r="KJ12">
        <v>-348.88872821612398</v>
      </c>
      <c r="KK12">
        <v>-45.562711687223803</v>
      </c>
      <c r="KL12">
        <v>20.1139282204858</v>
      </c>
      <c r="KM12">
        <v>21.354059618142902</v>
      </c>
      <c r="KN12">
        <v>326.71776465700202</v>
      </c>
      <c r="KO12">
        <v>19.419940188429699</v>
      </c>
      <c r="KP12">
        <v>14.789554716952001</v>
      </c>
      <c r="KQ12">
        <v>25.7543956213181</v>
      </c>
      <c r="KR12">
        <v>-527.70873957644903</v>
      </c>
      <c r="KS12">
        <v>-28.920258165576399</v>
      </c>
      <c r="KT12">
        <v>20.0836923750207</v>
      </c>
      <c r="KU12">
        <v>21.3403889927949</v>
      </c>
      <c r="KV12">
        <v>209.1562520322</v>
      </c>
      <c r="KW12">
        <v>19.377659447484699</v>
      </c>
      <c r="KX12">
        <v>14.7143921339248</v>
      </c>
      <c r="KY12">
        <v>15.548591839441899</v>
      </c>
      <c r="KZ12">
        <v>-336.54213603881601</v>
      </c>
      <c r="LA12">
        <v>-42.865496929641402</v>
      </c>
      <c r="LB12">
        <v>20.305697186396898</v>
      </c>
      <c r="LC12">
        <v>21.588757709805002</v>
      </c>
      <c r="LD12">
        <v>336.491472504885</v>
      </c>
      <c r="LE12">
        <v>19.591584055272499</v>
      </c>
      <c r="LF12">
        <v>14.793533932959001</v>
      </c>
      <c r="LG12">
        <v>25.896215517915799</v>
      </c>
      <c r="LH12">
        <v>-543.61327912547995</v>
      </c>
      <c r="LI12">
        <v>-29.5849837421781</v>
      </c>
      <c r="LJ12">
        <v>20.057081601128601</v>
      </c>
      <c r="LK12">
        <v>21.293334785446199</v>
      </c>
      <c r="LL12">
        <v>202.91681925602501</v>
      </c>
      <c r="LM12">
        <v>19.354063010392899</v>
      </c>
      <c r="LN12">
        <v>14.4173757302148</v>
      </c>
      <c r="LO12">
        <v>14.355877370388001</v>
      </c>
      <c r="LP12">
        <v>-337.18946047875698</v>
      </c>
      <c r="LQ12">
        <v>-23.218142610367</v>
      </c>
      <c r="LR12">
        <v>18.560207895344998</v>
      </c>
      <c r="LS12">
        <v>16.440999999999999</v>
      </c>
      <c r="LT12">
        <v>-116.25608951762599</v>
      </c>
      <c r="LU12">
        <v>-853.231226589318</v>
      </c>
      <c r="LV12">
        <v>19.374618745042699</v>
      </c>
      <c r="LW12">
        <v>21.344710750174801</v>
      </c>
      <c r="LX12">
        <v>189.11016816464499</v>
      </c>
      <c r="LY12">
        <v>-14.7876814044344</v>
      </c>
      <c r="LZ12">
        <v>18.543197267966701</v>
      </c>
      <c r="MA12">
        <v>16.440999999999999</v>
      </c>
      <c r="MB12">
        <v>-73.600752901058499</v>
      </c>
      <c r="MC12">
        <v>-541.89701023187797</v>
      </c>
      <c r="MD12">
        <v>19.3602679369315</v>
      </c>
      <c r="ME12">
        <v>21.349794700986401</v>
      </c>
      <c r="MF12">
        <v>120.958377281043</v>
      </c>
      <c r="MG12">
        <v>-22.143478197704201</v>
      </c>
      <c r="MH12">
        <v>18.5877374164976</v>
      </c>
      <c r="MI12">
        <v>16.440999999999999</v>
      </c>
      <c r="MJ12">
        <v>-119.83468668666301</v>
      </c>
      <c r="MK12">
        <v>-885.60295934895305</v>
      </c>
      <c r="ML12">
        <v>19.430538653655798</v>
      </c>
      <c r="MM12">
        <v>21.514684395988599</v>
      </c>
      <c r="MN12">
        <v>196.17664820226</v>
      </c>
      <c r="MO12">
        <v>-15.475439031690099</v>
      </c>
      <c r="MP12">
        <v>18.532797743805698</v>
      </c>
      <c r="MQ12">
        <v>16.440999999999999</v>
      </c>
      <c r="MR12">
        <v>-72.366153787736906</v>
      </c>
      <c r="MS12">
        <v>-532.47581365373901</v>
      </c>
      <c r="MT12">
        <v>19.338113610957301</v>
      </c>
      <c r="MU12">
        <v>21.294990112432199</v>
      </c>
      <c r="MV12">
        <v>119.393947983337</v>
      </c>
      <c r="MW12">
        <v>-26.3491645961609</v>
      </c>
      <c r="MX12">
        <v>20.1337060657997</v>
      </c>
      <c r="MY12">
        <v>20.239690819149999</v>
      </c>
      <c r="MZ12">
        <v>-39.050215482637697</v>
      </c>
      <c r="NA12">
        <v>-444.54347343663397</v>
      </c>
      <c r="NB12">
        <v>20.6047014470814</v>
      </c>
      <c r="NC12">
        <v>22.148986649759699</v>
      </c>
      <c r="ND12">
        <v>137.55118542087499</v>
      </c>
      <c r="NE12">
        <v>-16.876634183199599</v>
      </c>
      <c r="NF12">
        <v>20.0707506883913</v>
      </c>
      <c r="NG12">
        <v>20.192331522924601</v>
      </c>
      <c r="NH12">
        <v>-24.5809973717822</v>
      </c>
      <c r="NI12">
        <v>-284.07728939919201</v>
      </c>
      <c r="NJ12">
        <v>20.545715231437399</v>
      </c>
      <c r="NK12">
        <v>22.111100362486599</v>
      </c>
      <c r="NL12">
        <v>88.516549599847707</v>
      </c>
      <c r="NM12">
        <v>-25.535462788094598</v>
      </c>
      <c r="NN12">
        <v>20.2364879527418</v>
      </c>
      <c r="NO12">
        <v>20.350542050311301</v>
      </c>
      <c r="NP12">
        <v>-39.965764942537902</v>
      </c>
      <c r="NQ12" s="35">
        <v>-459.66149548196302</v>
      </c>
      <c r="NR12" s="35">
        <v>20.722610385620399</v>
      </c>
      <c r="NS12">
        <v>22.354991620503998</v>
      </c>
      <c r="NT12">
        <v>142.307578000576</v>
      </c>
      <c r="NU12">
        <v>-17.4558175472602</v>
      </c>
      <c r="NV12">
        <v>20.069133187056799</v>
      </c>
      <c r="NW12">
        <v>20.178387758779699</v>
      </c>
      <c r="NX12">
        <v>1.7</v>
      </c>
      <c r="NY12">
        <v>-23.846430047366098</v>
      </c>
      <c r="NZ12">
        <v>-276.58262135453202</v>
      </c>
      <c r="OA12">
        <v>20.534526784284001</v>
      </c>
      <c r="OB12">
        <v>22.0678396106868</v>
      </c>
      <c r="OC12">
        <v>1.7</v>
      </c>
      <c r="OD12">
        <v>86.972103658585795</v>
      </c>
      <c r="OE12">
        <v>1.7</v>
      </c>
      <c r="OF12">
        <v>1.7</v>
      </c>
      <c r="OG12">
        <v>-25.6497181148811</v>
      </c>
      <c r="OH12">
        <v>19.6181558442312</v>
      </c>
      <c r="OI12">
        <v>20.296648102536601</v>
      </c>
      <c r="OJ12">
        <v>7.3418111879952601</v>
      </c>
      <c r="OK12">
        <v>-177.24728140750901</v>
      </c>
      <c r="OL12">
        <v>19.867068011603902</v>
      </c>
      <c r="OM12">
        <v>21.199806642065901</v>
      </c>
      <c r="ON12">
        <v>100.672317615303</v>
      </c>
      <c r="OO12">
        <v>-16.4317501991206</v>
      </c>
      <c r="OP12">
        <v>19.558005568136799</v>
      </c>
      <c r="OQ12">
        <v>20.2259776225937</v>
      </c>
      <c r="OR12">
        <v>3.4577440500726002</v>
      </c>
      <c r="OS12">
        <v>-122.791073490427</v>
      </c>
      <c r="OT12">
        <v>19.8216269075232</v>
      </c>
      <c r="OU12">
        <v>21.184355797325001</v>
      </c>
      <c r="OV12">
        <v>66.230696790420694</v>
      </c>
      <c r="OW12">
        <v>-24.9538394251454</v>
      </c>
      <c r="OX12">
        <v>19.697136492534</v>
      </c>
      <c r="OY12">
        <v>20.406659925317001</v>
      </c>
      <c r="OZ12">
        <v>7.25419134266747</v>
      </c>
      <c r="PA12">
        <v>-191.349870601672</v>
      </c>
      <c r="PB12">
        <v>19.9611464733632</v>
      </c>
      <c r="PC12">
        <v>21.3979589618957</v>
      </c>
      <c r="PD12">
        <v>106.24567686438201</v>
      </c>
      <c r="PE12">
        <v>-17.083566290598799</v>
      </c>
      <c r="PF12">
        <v>19.541040408110401</v>
      </c>
      <c r="PG12">
        <v>20.208619566284099</v>
      </c>
      <c r="PH12">
        <v>1.7</v>
      </c>
      <c r="PI12">
        <v>4.6178819843007997</v>
      </c>
      <c r="PJ12">
        <v>-115.713163113489</v>
      </c>
      <c r="PK12">
        <v>19.796357856522</v>
      </c>
      <c r="PL12">
        <v>21.138405247831098</v>
      </c>
      <c r="PM12" s="35">
        <v>1.7</v>
      </c>
      <c r="PN12">
        <v>65.413529864071407</v>
      </c>
      <c r="PO12">
        <v>21.846258118006499</v>
      </c>
      <c r="PP12">
        <v>21.866960629702401</v>
      </c>
      <c r="PQ12">
        <v>22.0507490090598</v>
      </c>
      <c r="PR12">
        <v>21.801014925771</v>
      </c>
      <c r="PS12">
        <v>22.4389448458587</v>
      </c>
      <c r="PT12">
        <v>22.496472738623002</v>
      </c>
      <c r="PU12">
        <v>22.474041424191</v>
      </c>
      <c r="PV12">
        <v>22.7204446239889</v>
      </c>
      <c r="PW12">
        <v>22.418953966666901</v>
      </c>
      <c r="PX12">
        <v>23.7282232999797</v>
      </c>
      <c r="PY12">
        <v>21.492986048072101</v>
      </c>
      <c r="PZ12">
        <v>21.495311658869301</v>
      </c>
      <c r="QA12">
        <v>21.7203144339299</v>
      </c>
      <c r="QB12">
        <v>21.442535319702401</v>
      </c>
      <c r="QC12">
        <v>22.7337382929596</v>
      </c>
      <c r="QD12">
        <v>20.072607676096499</v>
      </c>
      <c r="QE12">
        <v>22.538486661493302</v>
      </c>
      <c r="QF12">
        <v>22.5498675405466</v>
      </c>
      <c r="QG12">
        <v>22.810398189833801</v>
      </c>
      <c r="QH12">
        <v>22.473022739605899</v>
      </c>
      <c r="QI12">
        <v>23.6609383787351</v>
      </c>
      <c r="QJ12">
        <v>23.1240183878812</v>
      </c>
      <c r="QK12">
        <v>23.0879116565883</v>
      </c>
      <c r="QL12">
        <v>23.414405678721302</v>
      </c>
      <c r="QM12">
        <v>23.0282074588612</v>
      </c>
      <c r="QN12">
        <v>-1235.63272628046</v>
      </c>
      <c r="QO12">
        <v>24.961749937460802</v>
      </c>
      <c r="QP12">
        <v>-5716.9829971441004</v>
      </c>
      <c r="QQ12">
        <v>22.1378171068644</v>
      </c>
      <c r="QR12">
        <v>22.1258494549255</v>
      </c>
      <c r="QS12">
        <v>22.4299055370033</v>
      </c>
      <c r="QT12">
        <v>22.0688120572336</v>
      </c>
      <c r="QU12">
        <v>23.8625161596017</v>
      </c>
      <c r="QV12">
        <v>17.828672610190999</v>
      </c>
      <c r="QW12">
        <v>736150.715335935</v>
      </c>
      <c r="QX12">
        <v>0</v>
      </c>
      <c r="QY12">
        <v>482287.42190865299</v>
      </c>
      <c r="QZ12">
        <v>0</v>
      </c>
      <c r="RA12">
        <v>44222.131298040098</v>
      </c>
      <c r="RB12">
        <v>0</v>
      </c>
      <c r="RC12">
        <v>29117.944217303</v>
      </c>
      <c r="RD12">
        <v>0</v>
      </c>
      <c r="RE12">
        <v>99119.222757831405</v>
      </c>
      <c r="RF12">
        <v>0</v>
      </c>
      <c r="RG12">
        <v>64815.3754799815</v>
      </c>
      <c r="RH12" s="35">
        <v>0</v>
      </c>
      <c r="RI12">
        <v>0</v>
      </c>
      <c r="RJ12" s="35">
        <v>0</v>
      </c>
      <c r="RK12">
        <v>23.2307152049801</v>
      </c>
      <c r="RL12">
        <v>0</v>
      </c>
      <c r="RM12" s="35">
        <v>-3349.1358151580998</v>
      </c>
      <c r="RN12">
        <v>799.21195891654895</v>
      </c>
      <c r="RO12" s="35">
        <v>0</v>
      </c>
      <c r="RP12">
        <v>0</v>
      </c>
      <c r="RQ12" s="35">
        <v>23.232774451390799</v>
      </c>
      <c r="RR12" s="35">
        <v>0</v>
      </c>
      <c r="RS12">
        <v>-2129.6637184473502</v>
      </c>
      <c r="RT12">
        <v>505.14615963817499</v>
      </c>
      <c r="RU12">
        <v>0</v>
      </c>
      <c r="RV12">
        <v>0</v>
      </c>
      <c r="RW12">
        <v>23.570047370607799</v>
      </c>
      <c r="RX12">
        <v>-26.482124131534899</v>
      </c>
      <c r="RY12">
        <v>-3890.8857439510998</v>
      </c>
      <c r="RZ12">
        <v>253.13151749449901</v>
      </c>
      <c r="SA12">
        <v>0</v>
      </c>
      <c r="SB12">
        <v>0</v>
      </c>
      <c r="SC12">
        <v>23.145030553440701</v>
      </c>
      <c r="SD12">
        <v>0</v>
      </c>
      <c r="SE12">
        <v>-2051.2104187558998</v>
      </c>
      <c r="SF12">
        <v>584.58459311596005</v>
      </c>
      <c r="SG12">
        <v>0</v>
      </c>
      <c r="SH12">
        <v>8640.77749123186</v>
      </c>
      <c r="SI12">
        <v>24.8829319116116</v>
      </c>
      <c r="SJ12">
        <v>0</v>
      </c>
      <c r="SK12">
        <v>-18336.030219669999</v>
      </c>
      <c r="SL12">
        <v>3101.38189413703</v>
      </c>
      <c r="SM12">
        <v>21.1111</v>
      </c>
      <c r="SN12">
        <v>23.8889</v>
      </c>
      <c r="SO12">
        <v>0</v>
      </c>
      <c r="SP12">
        <v>0</v>
      </c>
      <c r="SQ12">
        <v>20.4632947742626</v>
      </c>
      <c r="SR12">
        <v>0</v>
      </c>
      <c r="SS12">
        <v>0</v>
      </c>
      <c r="ST12">
        <v>0</v>
      </c>
      <c r="SU12">
        <v>0</v>
      </c>
      <c r="SV12">
        <v>0</v>
      </c>
      <c r="SW12">
        <v>20.425399580114</v>
      </c>
      <c r="SX12">
        <v>0</v>
      </c>
      <c r="SY12">
        <v>0</v>
      </c>
      <c r="SZ12">
        <v>0</v>
      </c>
      <c r="TA12">
        <v>0</v>
      </c>
      <c r="TB12">
        <v>0</v>
      </c>
      <c r="TC12">
        <v>20.588918977876101</v>
      </c>
      <c r="TD12">
        <v>0</v>
      </c>
      <c r="TE12">
        <v>0</v>
      </c>
      <c r="TF12">
        <v>0</v>
      </c>
      <c r="TG12">
        <v>0</v>
      </c>
      <c r="TH12">
        <v>0</v>
      </c>
      <c r="TI12">
        <v>20.396699008642699</v>
      </c>
      <c r="TJ12">
        <v>0</v>
      </c>
      <c r="TK12">
        <v>0</v>
      </c>
      <c r="TL12">
        <v>0</v>
      </c>
      <c r="TM12">
        <v>2434.0724112600401</v>
      </c>
      <c r="TN12">
        <v>0</v>
      </c>
      <c r="TO12">
        <v>22.568346019950301</v>
      </c>
      <c r="TP12">
        <v>0</v>
      </c>
      <c r="TQ12">
        <v>0</v>
      </c>
      <c r="TR12">
        <v>0</v>
      </c>
      <c r="TS12">
        <v>0</v>
      </c>
      <c r="TT12">
        <v>0</v>
      </c>
      <c r="TU12">
        <v>23.7515640371393</v>
      </c>
      <c r="TV12">
        <v>-94.526494615891394</v>
      </c>
      <c r="TW12">
        <v>-4114.8146990939103</v>
      </c>
      <c r="TX12">
        <v>30.757318838723201</v>
      </c>
      <c r="TY12">
        <v>0</v>
      </c>
      <c r="TZ12">
        <v>0</v>
      </c>
      <c r="UA12">
        <v>23.7017818889856</v>
      </c>
      <c r="UB12">
        <v>-29.366884088180999</v>
      </c>
      <c r="UC12">
        <v>-2567.2978236644199</v>
      </c>
      <c r="UD12">
        <v>66.393623961520504</v>
      </c>
      <c r="UE12">
        <v>0</v>
      </c>
      <c r="UF12">
        <v>0</v>
      </c>
      <c r="UG12">
        <v>24.1083667334536</v>
      </c>
      <c r="UH12">
        <v>-540.44871479764004</v>
      </c>
      <c r="UI12">
        <v>-4681.5183245954804</v>
      </c>
      <c r="UJ12">
        <v>-540.44871479764004</v>
      </c>
      <c r="UK12">
        <v>0</v>
      </c>
      <c r="UL12">
        <v>0</v>
      </c>
      <c r="UM12">
        <v>23.637460951055399</v>
      </c>
      <c r="UN12">
        <v>-17.991913513188599</v>
      </c>
      <c r="UO12">
        <v>-2512.42597517167</v>
      </c>
      <c r="UP12">
        <v>122.08735935203001</v>
      </c>
      <c r="UQ12">
        <v>0</v>
      </c>
      <c r="UR12">
        <v>8421.8218097848803</v>
      </c>
      <c r="US12">
        <v>26.1952765749419</v>
      </c>
      <c r="UT12">
        <v>-6561.8049391787199</v>
      </c>
      <c r="UU12">
        <v>-27739.671696373</v>
      </c>
      <c r="UV12">
        <v>-6561.8049391787199</v>
      </c>
      <c r="UW12">
        <v>21.1111</v>
      </c>
      <c r="UX12">
        <v>23.8889</v>
      </c>
      <c r="UY12">
        <v>0</v>
      </c>
      <c r="UZ12">
        <v>0</v>
      </c>
      <c r="VA12">
        <v>20.651071374446701</v>
      </c>
      <c r="VB12">
        <v>0</v>
      </c>
      <c r="VC12">
        <v>0</v>
      </c>
      <c r="VD12">
        <v>0</v>
      </c>
      <c r="VE12">
        <v>0</v>
      </c>
      <c r="VF12">
        <v>0</v>
      </c>
      <c r="VG12">
        <v>20.585540331127699</v>
      </c>
      <c r="VH12">
        <v>0</v>
      </c>
      <c r="VI12">
        <v>0</v>
      </c>
      <c r="VJ12">
        <v>0</v>
      </c>
      <c r="VK12">
        <v>0</v>
      </c>
      <c r="VL12">
        <v>0</v>
      </c>
      <c r="VM12">
        <v>20.780331162176001</v>
      </c>
      <c r="VN12">
        <v>0</v>
      </c>
      <c r="VO12">
        <v>0</v>
      </c>
      <c r="VP12">
        <v>0</v>
      </c>
      <c r="VQ12">
        <v>0</v>
      </c>
      <c r="VR12">
        <v>0</v>
      </c>
      <c r="VS12">
        <v>20.5571074295286</v>
      </c>
      <c r="VT12">
        <v>0</v>
      </c>
      <c r="VU12">
        <v>0</v>
      </c>
      <c r="VV12">
        <v>0</v>
      </c>
      <c r="VW12">
        <v>2908.8346502033501</v>
      </c>
      <c r="VX12">
        <v>0</v>
      </c>
      <c r="VY12">
        <v>23.421466953602099</v>
      </c>
      <c r="VZ12">
        <v>0</v>
      </c>
      <c r="WA12">
        <v>0</v>
      </c>
      <c r="WB12">
        <v>0</v>
      </c>
      <c r="WC12">
        <v>0</v>
      </c>
      <c r="WD12">
        <v>0</v>
      </c>
      <c r="WE12">
        <v>22.782648165656699</v>
      </c>
      <c r="WF12">
        <v>0</v>
      </c>
      <c r="WG12">
        <v>-2746.5880323149399</v>
      </c>
      <c r="WH12">
        <v>1414.2433339915301</v>
      </c>
      <c r="WI12">
        <v>0</v>
      </c>
      <c r="WJ12">
        <v>0</v>
      </c>
      <c r="WK12">
        <v>0</v>
      </c>
      <c r="WL12">
        <v>22.756387250981799</v>
      </c>
      <c r="WM12">
        <v>0</v>
      </c>
      <c r="WN12">
        <v>-1718.0236566293399</v>
      </c>
      <c r="WO12">
        <v>925.20686841429699</v>
      </c>
      <c r="WP12">
        <v>21.1111</v>
      </c>
      <c r="WQ12">
        <v>23.8889</v>
      </c>
      <c r="WR12">
        <v>0</v>
      </c>
      <c r="WS12">
        <v>0</v>
      </c>
      <c r="WT12">
        <v>23.1394966400768</v>
      </c>
      <c r="WU12">
        <v>0</v>
      </c>
      <c r="WV12">
        <v>-3318.5834942920701</v>
      </c>
      <c r="WW12">
        <v>837.60507163764896</v>
      </c>
      <c r="WX12">
        <v>0</v>
      </c>
      <c r="WY12">
        <v>0</v>
      </c>
      <c r="WZ12">
        <v>0</v>
      </c>
      <c r="XA12">
        <v>22.6950887947648</v>
      </c>
      <c r="XB12">
        <v>0</v>
      </c>
      <c r="XC12">
        <v>-1661.9168751055799</v>
      </c>
      <c r="XD12">
        <v>981.93128432604203</v>
      </c>
      <c r="XE12">
        <v>0</v>
      </c>
      <c r="XF12">
        <v>7890.0831533608198</v>
      </c>
      <c r="XG12">
        <v>24.991294026243899</v>
      </c>
      <c r="XH12">
        <v>-765.91335970987302</v>
      </c>
      <c r="XI12">
        <v>-22238.6613434871</v>
      </c>
      <c r="XJ12">
        <v>-474.00694885699801</v>
      </c>
      <c r="XK12">
        <v>21.1111</v>
      </c>
      <c r="XL12">
        <v>23.8889</v>
      </c>
      <c r="XM12">
        <v>0</v>
      </c>
      <c r="XN12">
        <v>0</v>
      </c>
      <c r="XO12">
        <v>19.3164591491349</v>
      </c>
      <c r="XP12">
        <v>0</v>
      </c>
      <c r="XQ12">
        <v>0</v>
      </c>
      <c r="XR12">
        <v>0</v>
      </c>
      <c r="XS12">
        <v>0</v>
      </c>
      <c r="XT12">
        <v>0</v>
      </c>
      <c r="XU12">
        <v>19.2809036888269</v>
      </c>
      <c r="XV12">
        <v>0</v>
      </c>
      <c r="XW12">
        <v>0</v>
      </c>
      <c r="XX12">
        <v>0</v>
      </c>
      <c r="XY12">
        <v>0</v>
      </c>
      <c r="XZ12">
        <v>0</v>
      </c>
      <c r="YA12">
        <v>19.4909792002586</v>
      </c>
      <c r="YB12">
        <v>0</v>
      </c>
      <c r="YC12">
        <v>0</v>
      </c>
      <c r="YD12">
        <v>0</v>
      </c>
      <c r="YE12">
        <v>0</v>
      </c>
      <c r="YF12">
        <v>0</v>
      </c>
      <c r="YG12">
        <v>19.262487601349999</v>
      </c>
      <c r="YH12">
        <v>0</v>
      </c>
      <c r="YI12">
        <v>0</v>
      </c>
      <c r="YJ12">
        <v>0</v>
      </c>
      <c r="YK12">
        <v>2336.3524313135799</v>
      </c>
      <c r="YL12">
        <v>0</v>
      </c>
      <c r="YM12">
        <v>22.796886261246598</v>
      </c>
      <c r="YN12">
        <v>0</v>
      </c>
      <c r="YO12">
        <v>0</v>
      </c>
      <c r="YP12">
        <v>0</v>
      </c>
      <c r="YQ12">
        <v>0</v>
      </c>
      <c r="YR12">
        <v>0</v>
      </c>
      <c r="YS12">
        <v>18.916445041358401</v>
      </c>
      <c r="YT12">
        <v>0</v>
      </c>
      <c r="YU12">
        <v>0</v>
      </c>
      <c r="YV12">
        <v>0</v>
      </c>
      <c r="YW12">
        <v>0</v>
      </c>
      <c r="YX12">
        <v>0</v>
      </c>
      <c r="YY12">
        <v>18.900288731706901</v>
      </c>
      <c r="YZ12">
        <v>0</v>
      </c>
      <c r="ZA12">
        <v>0</v>
      </c>
      <c r="ZB12">
        <v>0</v>
      </c>
      <c r="ZC12">
        <v>0</v>
      </c>
      <c r="ZD12">
        <v>0</v>
      </c>
      <c r="ZE12">
        <v>18.9582796494234</v>
      </c>
      <c r="ZF12">
        <v>0</v>
      </c>
      <c r="ZG12">
        <v>0</v>
      </c>
      <c r="ZH12">
        <v>0</v>
      </c>
      <c r="ZI12">
        <v>0</v>
      </c>
      <c r="ZJ12">
        <v>0</v>
      </c>
      <c r="ZK12">
        <v>18.883040224412301</v>
      </c>
      <c r="ZL12">
        <v>0</v>
      </c>
      <c r="ZM12">
        <v>0</v>
      </c>
      <c r="ZN12">
        <v>0</v>
      </c>
      <c r="ZO12">
        <v>0</v>
      </c>
      <c r="ZP12">
        <v>7823.29351651658</v>
      </c>
      <c r="ZQ12">
        <v>16.8659200838765</v>
      </c>
      <c r="ZR12">
        <v>0</v>
      </c>
      <c r="ZS12">
        <v>0</v>
      </c>
      <c r="ZT12">
        <v>0</v>
      </c>
      <c r="ZU12">
        <v>0</v>
      </c>
      <c r="ZV12">
        <v>0</v>
      </c>
      <c r="ZW12">
        <v>20.303246871554599</v>
      </c>
      <c r="ZX12">
        <v>0</v>
      </c>
      <c r="ZY12">
        <v>0</v>
      </c>
      <c r="ZZ12">
        <v>0</v>
      </c>
      <c r="AAA12">
        <v>0</v>
      </c>
      <c r="AAB12">
        <v>0</v>
      </c>
      <c r="AAC12">
        <v>20.2413500078803</v>
      </c>
      <c r="AAD12">
        <v>0</v>
      </c>
      <c r="AAE12">
        <v>0</v>
      </c>
      <c r="AAF12">
        <v>0</v>
      </c>
      <c r="AAG12">
        <v>0</v>
      </c>
      <c r="AAH12">
        <v>0</v>
      </c>
      <c r="AAI12">
        <v>20.412917672248</v>
      </c>
      <c r="AAJ12">
        <v>0</v>
      </c>
      <c r="AAK12">
        <v>0</v>
      </c>
      <c r="AAL12">
        <v>0</v>
      </c>
      <c r="AAM12">
        <v>0</v>
      </c>
      <c r="AAN12">
        <v>0</v>
      </c>
      <c r="AAO12">
        <v>20.234228427006901</v>
      </c>
      <c r="AAP12">
        <v>0</v>
      </c>
      <c r="AAQ12">
        <v>0</v>
      </c>
      <c r="AAR12">
        <v>0</v>
      </c>
      <c r="AAS12">
        <v>0</v>
      </c>
      <c r="AAT12">
        <v>9375.5806010811793</v>
      </c>
      <c r="AAU12">
        <v>18.3307655955808</v>
      </c>
      <c r="AAV12">
        <v>0</v>
      </c>
      <c r="AAW12">
        <v>0</v>
      </c>
      <c r="AAX12">
        <v>0</v>
      </c>
      <c r="AAY12">
        <v>0</v>
      </c>
      <c r="AAZ12">
        <v>0</v>
      </c>
      <c r="ABA12">
        <v>19.673856059777901</v>
      </c>
      <c r="ABB12">
        <v>0</v>
      </c>
      <c r="ABC12">
        <v>0</v>
      </c>
      <c r="ABD12">
        <v>0</v>
      </c>
      <c r="ABE12">
        <v>0</v>
      </c>
      <c r="ABF12">
        <v>0</v>
      </c>
      <c r="ABG12">
        <v>19.620092523556199</v>
      </c>
      <c r="ABH12">
        <v>0</v>
      </c>
      <c r="ABI12">
        <v>0</v>
      </c>
      <c r="ABJ12">
        <v>0</v>
      </c>
      <c r="ABK12">
        <v>0</v>
      </c>
      <c r="ABL12">
        <v>0</v>
      </c>
      <c r="ABM12">
        <v>19.759423635079099</v>
      </c>
      <c r="ABN12">
        <v>0</v>
      </c>
      <c r="ABO12">
        <v>0</v>
      </c>
      <c r="ABP12">
        <v>0</v>
      </c>
      <c r="ABQ12">
        <v>0</v>
      </c>
      <c r="ABR12">
        <v>0</v>
      </c>
      <c r="ABS12">
        <v>19.597927385051801</v>
      </c>
      <c r="ABT12">
        <v>0</v>
      </c>
      <c r="ABU12">
        <v>0</v>
      </c>
      <c r="ABV12">
        <v>0</v>
      </c>
      <c r="ABW12">
        <v>0</v>
      </c>
      <c r="ABX12">
        <v>8843.5192654220209</v>
      </c>
      <c r="ABY12">
        <v>17.828672610190999</v>
      </c>
      <c r="ABZ12">
        <v>0</v>
      </c>
      <c r="ACA12">
        <v>0</v>
      </c>
      <c r="ACB12">
        <v>0</v>
      </c>
      <c r="ACC12">
        <v>0</v>
      </c>
      <c r="ACD12">
        <v>0</v>
      </c>
      <c r="ACE12">
        <v>0</v>
      </c>
      <c r="ACF12">
        <v>7.4249999999999998</v>
      </c>
      <c r="ACG12">
        <v>7.4249999999999998</v>
      </c>
      <c r="ACH12">
        <v>0</v>
      </c>
      <c r="ACI12">
        <v>0</v>
      </c>
      <c r="ACJ12">
        <v>0</v>
      </c>
      <c r="ACK12">
        <v>20.892476876737199</v>
      </c>
      <c r="ACL12">
        <v>20.892476876737199</v>
      </c>
      <c r="ACM12">
        <v>0</v>
      </c>
      <c r="ACN12">
        <v>94851.307274330306</v>
      </c>
      <c r="ACP12">
        <v>6616.8214674513902</v>
      </c>
      <c r="ACR12">
        <v>101468.128741782</v>
      </c>
      <c r="ACT12">
        <v>24.955515441050601</v>
      </c>
      <c r="ACU12">
        <v>22.254085043839499</v>
      </c>
      <c r="ACV12">
        <v>1.7</v>
      </c>
      <c r="ACW12">
        <v>1.4016062508218201</v>
      </c>
      <c r="ACX12">
        <v>0.66772152304447396</v>
      </c>
      <c r="ACY12">
        <v>26.224246709956599</v>
      </c>
      <c r="ACZ12">
        <v>23.577989796911599</v>
      </c>
      <c r="ADA12">
        <v>1.7</v>
      </c>
      <c r="ADB12">
        <v>1.4248151998659799</v>
      </c>
      <c r="ADC12">
        <v>0.66602802294176999</v>
      </c>
      <c r="ADD12">
        <v>25.187554866115001</v>
      </c>
      <c r="ADE12">
        <v>22.766702065063701</v>
      </c>
      <c r="ADF12">
        <v>1.7</v>
      </c>
      <c r="ADG12">
        <v>1.4269210822079501</v>
      </c>
      <c r="ADH12">
        <v>0.67392537661646701</v>
      </c>
      <c r="ADI12">
        <v>23.514756474095702</v>
      </c>
      <c r="ADJ12">
        <v>23.514756474095702</v>
      </c>
      <c r="ADK12">
        <v>0</v>
      </c>
      <c r="ADL12">
        <v>0</v>
      </c>
      <c r="ADM12">
        <v>1</v>
      </c>
      <c r="ADN12">
        <v>23.5128215170344</v>
      </c>
      <c r="ADO12">
        <v>23.5128215170344</v>
      </c>
      <c r="ADP12">
        <v>0</v>
      </c>
      <c r="ADQ12">
        <v>0</v>
      </c>
      <c r="ADR12">
        <v>1</v>
      </c>
      <c r="ADS12">
        <v>23.777248460952801</v>
      </c>
      <c r="ADT12">
        <v>23.777248460952801</v>
      </c>
      <c r="ADU12">
        <v>0</v>
      </c>
      <c r="ADV12">
        <v>0</v>
      </c>
      <c r="ADW12">
        <v>1</v>
      </c>
      <c r="ADX12">
        <v>23.426729868324699</v>
      </c>
      <c r="ADY12">
        <v>23.426729868324699</v>
      </c>
      <c r="ADZ12">
        <v>0</v>
      </c>
      <c r="AEA12">
        <v>0</v>
      </c>
      <c r="AEB12">
        <v>1</v>
      </c>
      <c r="AEC12">
        <v>24.0797964315123</v>
      </c>
      <c r="AED12">
        <v>24.0797964315123</v>
      </c>
      <c r="AEE12">
        <v>0</v>
      </c>
      <c r="AEF12">
        <v>0</v>
      </c>
      <c r="AEG12">
        <v>1</v>
      </c>
      <c r="AEH12">
        <v>24.031399837930199</v>
      </c>
      <c r="AEI12">
        <v>24.031399837930199</v>
      </c>
      <c r="AEJ12">
        <v>0</v>
      </c>
      <c r="AEK12">
        <v>0</v>
      </c>
      <c r="AEL12">
        <v>1</v>
      </c>
      <c r="AEM12">
        <v>24.360257945671901</v>
      </c>
      <c r="AEN12">
        <v>24.360257945671901</v>
      </c>
      <c r="AEO12">
        <v>0</v>
      </c>
      <c r="AEP12">
        <v>0</v>
      </c>
      <c r="AEQ12">
        <v>1</v>
      </c>
      <c r="AER12">
        <v>23.960085434833601</v>
      </c>
      <c r="AES12">
        <v>23.960085434833601</v>
      </c>
      <c r="AET12">
        <v>0</v>
      </c>
      <c r="AEU12">
        <v>0</v>
      </c>
      <c r="AEV12">
        <v>1</v>
      </c>
      <c r="AEW12">
        <v>23.070136593964801</v>
      </c>
      <c r="AEX12">
        <v>23.070136593964801</v>
      </c>
      <c r="AEY12">
        <v>0</v>
      </c>
      <c r="AEZ12">
        <v>0</v>
      </c>
      <c r="AFA12">
        <v>1</v>
      </c>
      <c r="AFB12">
        <v>23.046713651080299</v>
      </c>
      <c r="AFC12">
        <v>23.046713651080299</v>
      </c>
      <c r="AFD12">
        <v>0</v>
      </c>
      <c r="AFE12">
        <v>0</v>
      </c>
      <c r="AFF12">
        <v>1</v>
      </c>
      <c r="AFG12">
        <v>23.354267109760599</v>
      </c>
      <c r="AFH12">
        <v>23.354267109760599</v>
      </c>
      <c r="AFI12">
        <v>0</v>
      </c>
      <c r="AFJ12">
        <v>0</v>
      </c>
      <c r="AFK12">
        <v>1</v>
      </c>
      <c r="AFL12">
        <v>22.978974590197701</v>
      </c>
      <c r="AFM12">
        <v>22.978974590197701</v>
      </c>
      <c r="AFN12">
        <v>0</v>
      </c>
      <c r="AFO12">
        <v>0</v>
      </c>
      <c r="AFP12">
        <v>1</v>
      </c>
      <c r="AFQ12">
        <v>-0.48354123643970898</v>
      </c>
      <c r="AFR12">
        <v>-0.53615894982618795</v>
      </c>
      <c r="AFS12">
        <v>-0.55592149788054701</v>
      </c>
      <c r="AFT12">
        <v>-0.53838037888591295</v>
      </c>
      <c r="AFU12">
        <v>-0.34226881638902701</v>
      </c>
      <c r="AFV12">
        <v>-0.40275239713718902</v>
      </c>
      <c r="AFW12">
        <v>-0.427297586201629</v>
      </c>
      <c r="AFX12">
        <v>-0.412438221132434</v>
      </c>
      <c r="AFY12">
        <v>-0.58511671459446202</v>
      </c>
      <c r="AFZ12">
        <v>-0.64113576402855499</v>
      </c>
      <c r="AGA12">
        <v>-0.66749143771722597</v>
      </c>
      <c r="AGB12">
        <v>-0.64533375988809805</v>
      </c>
      <c r="AGC12">
        <v>-0.80564727049548002</v>
      </c>
      <c r="AGD12">
        <v>-0.50039024265893595</v>
      </c>
      <c r="AGE12">
        <v>-0.70109413285511601</v>
      </c>
      <c r="AGF12">
        <v>0</v>
      </c>
      <c r="AGG12">
        <v>0</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Z12">
        <v>0</v>
      </c>
      <c r="AIB12">
        <v>0</v>
      </c>
      <c r="AID12">
        <v>0</v>
      </c>
      <c r="AIF12">
        <v>0</v>
      </c>
      <c r="AIH12">
        <v>0</v>
      </c>
      <c r="AIJ12">
        <v>0</v>
      </c>
      <c r="AIL12">
        <v>0</v>
      </c>
      <c r="AIN12">
        <v>0</v>
      </c>
      <c r="AIP12">
        <v>0</v>
      </c>
      <c r="AIR12">
        <v>0</v>
      </c>
      <c r="AIT12">
        <v>0</v>
      </c>
      <c r="AIV12">
        <v>0</v>
      </c>
      <c r="AIX12">
        <v>0</v>
      </c>
      <c r="AIZ12">
        <v>0</v>
      </c>
      <c r="AJB12">
        <v>0</v>
      </c>
      <c r="AJC12">
        <v>0</v>
      </c>
      <c r="AJE12">
        <v>-2.0043265740232001E-4</v>
      </c>
      <c r="AJH12">
        <v>6544.0672005067099</v>
      </c>
      <c r="AJJ12">
        <v>72.754266944684005</v>
      </c>
      <c r="AJK12">
        <v>0</v>
      </c>
      <c r="AJL12">
        <v>0</v>
      </c>
      <c r="AJM12">
        <v>0</v>
      </c>
      <c r="AJN12">
        <v>0</v>
      </c>
      <c r="AJO12">
        <v>0</v>
      </c>
      <c r="AJP12">
        <v>0</v>
      </c>
      <c r="AJQ12">
        <v>0</v>
      </c>
      <c r="AJR12">
        <v>0</v>
      </c>
      <c r="AJS12">
        <v>0</v>
      </c>
      <c r="AJT12">
        <v>0</v>
      </c>
      <c r="AJU12">
        <v>0</v>
      </c>
      <c r="AJV12">
        <v>0</v>
      </c>
      <c r="AJW12">
        <v>0</v>
      </c>
      <c r="AJX12">
        <v>0</v>
      </c>
      <c r="AJY12">
        <v>0</v>
      </c>
      <c r="AJZ12">
        <v>0</v>
      </c>
      <c r="AKA12">
        <v>0</v>
      </c>
      <c r="AKB12">
        <v>0</v>
      </c>
      <c r="AKC12">
        <v>0</v>
      </c>
      <c r="AKD12">
        <v>0</v>
      </c>
      <c r="AKE12">
        <v>70.162396350790203</v>
      </c>
      <c r="AKF12">
        <v>70.162396350790203</v>
      </c>
      <c r="AKG12">
        <v>0</v>
      </c>
      <c r="AKH12">
        <v>0</v>
      </c>
      <c r="AKI12">
        <v>0</v>
      </c>
      <c r="AKJ12">
        <v>0</v>
      </c>
      <c r="AKK12">
        <v>0</v>
      </c>
      <c r="AKL12">
        <v>70.162396350790203</v>
      </c>
      <c r="AKM12">
        <v>70.162396350790203</v>
      </c>
      <c r="AKN12">
        <v>0</v>
      </c>
      <c r="AKO12">
        <v>0</v>
      </c>
      <c r="AKP12">
        <v>0</v>
      </c>
      <c r="AKT12">
        <v>0</v>
      </c>
      <c r="AKX12">
        <v>0</v>
      </c>
      <c r="ALB12">
        <v>20.892476876737199</v>
      </c>
      <c r="ALC12">
        <v>20.892476876737199</v>
      </c>
      <c r="ALD12">
        <v>0</v>
      </c>
      <c r="ALE12">
        <v>0</v>
      </c>
      <c r="ALF12">
        <v>0</v>
      </c>
      <c r="ALH12">
        <v>7.4250000630423303</v>
      </c>
      <c r="ALI12">
        <v>6.3628942706510901E-3</v>
      </c>
      <c r="ALJ12">
        <v>2.5982253599999998</v>
      </c>
      <c r="ALK12">
        <v>7.4249999999999998</v>
      </c>
      <c r="ALL12">
        <v>2.5982253599999998</v>
      </c>
      <c r="ALM12">
        <v>0</v>
      </c>
      <c r="ALN12">
        <v>22.785154780524302</v>
      </c>
      <c r="ALO12">
        <v>7.7045180286031802E-3</v>
      </c>
      <c r="ALP12">
        <v>44.9245743053593</v>
      </c>
      <c r="ALQ12">
        <v>2.5982253599999998</v>
      </c>
      <c r="ALR12">
        <v>7.4250000630423303</v>
      </c>
      <c r="ALS12">
        <v>2.5982253599999998</v>
      </c>
      <c r="ALT12">
        <v>9.4833124255110004</v>
      </c>
      <c r="ALU12">
        <v>2.5982253599999998</v>
      </c>
      <c r="ALV12">
        <v>12.2200383644412</v>
      </c>
      <c r="ALW12">
        <v>9.9999999999999897E-12</v>
      </c>
      <c r="ALX12">
        <v>7.4249999999999998</v>
      </c>
      <c r="ALY12">
        <v>9.9999999999999897E-12</v>
      </c>
      <c r="ALZ12">
        <v>0</v>
      </c>
      <c r="AMA12">
        <v>7.4249999999999998</v>
      </c>
      <c r="AMB12">
        <v>0</v>
      </c>
      <c r="AMC12">
        <v>7.4249999999999998</v>
      </c>
      <c r="AMD12">
        <v>0</v>
      </c>
      <c r="AME12">
        <v>7.4249999999999998</v>
      </c>
      <c r="AMF12">
        <v>0</v>
      </c>
      <c r="AMG12">
        <v>0</v>
      </c>
      <c r="AMH12">
        <v>2.5982253599999998</v>
      </c>
      <c r="AMI12">
        <v>18.836706697502301</v>
      </c>
      <c r="AMJ12">
        <v>0</v>
      </c>
      <c r="AMK12" s="580">
        <v>16.825675172017</v>
      </c>
      <c r="AML12">
        <v>0.86607511999999998</v>
      </c>
      <c r="AMM12">
        <v>18.852291045025101</v>
      </c>
      <c r="AMN12">
        <v>0</v>
      </c>
      <c r="AMO12">
        <v>18.870262520781399</v>
      </c>
      <c r="AMP12">
        <v>0</v>
      </c>
      <c r="AMQ12">
        <v>18.907336149338899</v>
      </c>
      <c r="AMR12">
        <v>0</v>
      </c>
      <c r="AMS12">
        <v>18.300726944625499</v>
      </c>
      <c r="AMT12">
        <v>0.86607511999999998</v>
      </c>
      <c r="AMU12">
        <v>20.173981063381099</v>
      </c>
      <c r="AMV12">
        <v>0</v>
      </c>
      <c r="AMW12">
        <v>20.169278672560299</v>
      </c>
      <c r="AMX12">
        <v>0</v>
      </c>
      <c r="AMY12">
        <v>20.237852867785801</v>
      </c>
      <c r="AMZ12">
        <v>0</v>
      </c>
      <c r="ANA12">
        <v>20.343076522260599</v>
      </c>
      <c r="ANB12">
        <v>0</v>
      </c>
      <c r="ANC12">
        <v>17.764061003120599</v>
      </c>
      <c r="AND12">
        <v>0.86607511999999998</v>
      </c>
      <c r="ANE12">
        <v>19.543484423631998</v>
      </c>
      <c r="ANF12">
        <v>0</v>
      </c>
      <c r="ANG12">
        <v>19.521647147467402</v>
      </c>
      <c r="ANH12">
        <v>0</v>
      </c>
      <c r="ANI12">
        <v>19.598575256862699</v>
      </c>
      <c r="ANJ12">
        <v>0</v>
      </c>
      <c r="ANK12">
        <v>19.677789587017699</v>
      </c>
      <c r="ANL12">
        <v>0</v>
      </c>
      <c r="ANM12">
        <v>0.86607511999999998</v>
      </c>
      <c r="ANN12">
        <v>0.86607511999999998</v>
      </c>
      <c r="ANO12">
        <v>0.86607511999999998</v>
      </c>
      <c r="ANP12">
        <v>16.825675172017</v>
      </c>
      <c r="ANQ12">
        <v>18.852291045025101</v>
      </c>
      <c r="ANR12">
        <v>18.836706697502301</v>
      </c>
      <c r="ANS12">
        <v>18.907336149338899</v>
      </c>
      <c r="ANT12">
        <v>18.870262520781399</v>
      </c>
      <c r="ANU12">
        <v>18.300726944625499</v>
      </c>
      <c r="ANV12">
        <v>20.173981063381099</v>
      </c>
      <c r="ANW12">
        <v>20.169278672560299</v>
      </c>
      <c r="ANX12">
        <v>20.343076522260599</v>
      </c>
      <c r="ANY12">
        <v>20.237852867785801</v>
      </c>
      <c r="ANZ12">
        <v>17.764061003120599</v>
      </c>
      <c r="AOA12">
        <v>19.543484423631998</v>
      </c>
      <c r="AOB12">
        <v>19.521647147467402</v>
      </c>
      <c r="AOC12">
        <v>19.677789587017699</v>
      </c>
      <c r="AOD12">
        <v>19.598575256862699</v>
      </c>
      <c r="AOE12">
        <v>22.785154780524302</v>
      </c>
      <c r="AOF12">
        <v>2.5982253599999998</v>
      </c>
      <c r="AOG12">
        <v>22.6505725175451</v>
      </c>
      <c r="AOH12">
        <v>2.5982253599999998</v>
      </c>
    </row>
    <row r="13" spans="1:1074">
      <c r="A13" t="s">
        <v>2948</v>
      </c>
      <c r="B13">
        <v>7.625</v>
      </c>
      <c r="D13">
        <v>7.625</v>
      </c>
      <c r="F13">
        <v>5</v>
      </c>
      <c r="G13">
        <v>10048319.7473223</v>
      </c>
      <c r="H13">
        <v>23239408.985511798</v>
      </c>
      <c r="I13">
        <v>6381282.1239868198</v>
      </c>
      <c r="J13">
        <v>14758410.247721599</v>
      </c>
      <c r="K13">
        <v>10048319.7473223</v>
      </c>
      <c r="L13">
        <v>23239408.985511798</v>
      </c>
      <c r="M13">
        <v>6381282.12398683</v>
      </c>
      <c r="N13">
        <v>14758410.247721599</v>
      </c>
      <c r="O13">
        <v>51821142.324441098</v>
      </c>
      <c r="P13">
        <v>119850159.11690401</v>
      </c>
      <c r="Q13">
        <v>10048319.7473223</v>
      </c>
      <c r="R13">
        <v>23239408.985511798</v>
      </c>
      <c r="S13">
        <v>6381282.1239868198</v>
      </c>
      <c r="T13">
        <v>14758410.247721599</v>
      </c>
      <c r="U13">
        <v>10048319.7473223</v>
      </c>
      <c r="V13">
        <v>23239408.985511798</v>
      </c>
      <c r="W13">
        <v>6381282.12398683</v>
      </c>
      <c r="X13">
        <v>14758410.247721599</v>
      </c>
      <c r="Y13">
        <v>51821142.324441098</v>
      </c>
      <c r="Z13">
        <v>119850159.11690401</v>
      </c>
      <c r="AA13">
        <v>10048319.7473223</v>
      </c>
      <c r="AB13">
        <v>23239408.985511798</v>
      </c>
      <c r="AC13">
        <v>6381282.1239868198</v>
      </c>
      <c r="AD13">
        <v>14758410.247721599</v>
      </c>
      <c r="AE13">
        <v>10048319.7473223</v>
      </c>
      <c r="AF13">
        <v>23239408.985511798</v>
      </c>
      <c r="AG13">
        <v>6381282.12398683</v>
      </c>
      <c r="AH13">
        <v>14758410.247721599</v>
      </c>
      <c r="AI13">
        <v>51821142.324441098</v>
      </c>
      <c r="AJ13">
        <v>119850159.11690401</v>
      </c>
      <c r="AK13">
        <v>22.530417077666101</v>
      </c>
      <c r="AL13">
        <v>3758257.41675806</v>
      </c>
      <c r="AM13">
        <v>9733140.1775517706</v>
      </c>
      <c r="AN13">
        <v>22.530417077666101</v>
      </c>
      <c r="AO13">
        <v>3758257.41675806</v>
      </c>
      <c r="AP13">
        <v>9733140.1775517706</v>
      </c>
      <c r="AQ13">
        <v>14.3081581158871</v>
      </c>
      <c r="AR13">
        <v>2386717.5283001899</v>
      </c>
      <c r="AS13">
        <v>6181124.3060632199</v>
      </c>
      <c r="AT13">
        <v>14.3081581158871</v>
      </c>
      <c r="AU13">
        <v>2386717.5283001899</v>
      </c>
      <c r="AV13">
        <v>6181124.3060632199</v>
      </c>
      <c r="AW13">
        <v>22.530417077666101</v>
      </c>
      <c r="AX13">
        <v>3758257.41675806</v>
      </c>
      <c r="AY13">
        <v>9733140.1775517706</v>
      </c>
      <c r="AZ13">
        <v>22.530417077666101</v>
      </c>
      <c r="BA13">
        <v>3758257.41675806</v>
      </c>
      <c r="BB13">
        <v>9733140.1775517706</v>
      </c>
      <c r="BC13">
        <v>14.3081581158871</v>
      </c>
      <c r="BD13">
        <v>2386717.5283001899</v>
      </c>
      <c r="BE13">
        <v>6181124.3060632199</v>
      </c>
      <c r="BF13">
        <v>14.3081581158871</v>
      </c>
      <c r="BG13">
        <v>2386717.5283001899</v>
      </c>
      <c r="BH13">
        <v>6181124.3060632199</v>
      </c>
      <c r="BI13">
        <v>22.530417077666101</v>
      </c>
      <c r="BJ13">
        <v>3758257.41675806</v>
      </c>
      <c r="BK13">
        <v>9733140.1775517706</v>
      </c>
      <c r="BL13">
        <v>22.530417077666101</v>
      </c>
      <c r="BM13">
        <v>3758257.41675806</v>
      </c>
      <c r="BN13">
        <v>9733140.1775517706</v>
      </c>
      <c r="BO13">
        <v>14.3081581158871</v>
      </c>
      <c r="BP13">
        <v>2386717.5283001899</v>
      </c>
      <c r="BQ13">
        <v>6181124.3060632199</v>
      </c>
      <c r="BR13">
        <v>14.3081581158871</v>
      </c>
      <c r="BS13">
        <v>2386717.5283001899</v>
      </c>
      <c r="BT13">
        <v>6181124.3060632199</v>
      </c>
      <c r="BU13">
        <v>50195699.886944197</v>
      </c>
      <c r="BV13">
        <v>116.193749738297</v>
      </c>
      <c r="BW13">
        <v>19382065.597345799</v>
      </c>
      <c r="BX13">
        <v>50195699.886944197</v>
      </c>
      <c r="BY13">
        <v>116.193749738297</v>
      </c>
      <c r="BZ13">
        <v>19382065.597345799</v>
      </c>
      <c r="CA13">
        <v>50195699.886944197</v>
      </c>
      <c r="CB13">
        <v>116.193749738297</v>
      </c>
      <c r="CC13">
        <v>19382065.597345799</v>
      </c>
      <c r="CD13">
        <v>50195699.886944197</v>
      </c>
      <c r="CE13">
        <v>3395861.87171567</v>
      </c>
      <c r="CF13">
        <v>7717867.8902628897</v>
      </c>
      <c r="CG13">
        <v>3395861.87171567</v>
      </c>
      <c r="CH13">
        <v>7717867.8902628897</v>
      </c>
      <c r="CI13">
        <v>2156574.7510455502</v>
      </c>
      <c r="CJ13">
        <v>4901306.2523762397</v>
      </c>
      <c r="CK13">
        <v>2156574.75104554</v>
      </c>
      <c r="CL13">
        <v>4901306.2523762397</v>
      </c>
      <c r="CM13">
        <v>3395861.87171567</v>
      </c>
      <c r="CN13">
        <v>7717867.8902628897</v>
      </c>
      <c r="CO13">
        <v>3395861.87171567</v>
      </c>
      <c r="CP13">
        <v>7717867.8902628897</v>
      </c>
      <c r="CQ13">
        <v>2156574.7510455502</v>
      </c>
      <c r="CR13">
        <v>4901306.2523762397</v>
      </c>
      <c r="CS13">
        <v>2156574.75104554</v>
      </c>
      <c r="CT13">
        <v>4901306.2523762397</v>
      </c>
      <c r="CU13">
        <v>3395861.87171567</v>
      </c>
      <c r="CV13">
        <v>7717867.8902628897</v>
      </c>
      <c r="CW13">
        <v>3395861.87171567</v>
      </c>
      <c r="CX13">
        <v>7717867.8902628897</v>
      </c>
      <c r="CY13">
        <v>2156574.7510455502</v>
      </c>
      <c r="CZ13">
        <v>4901306.2523762397</v>
      </c>
      <c r="DA13">
        <v>2156574.75104554</v>
      </c>
      <c r="DB13">
        <v>4901306.2523762397</v>
      </c>
      <c r="DC13">
        <v>17513121.177818298</v>
      </c>
      <c r="DD13">
        <v>39802548.131405301</v>
      </c>
      <c r="DE13">
        <v>17513121.177818298</v>
      </c>
      <c r="DF13">
        <v>39802548.131405301</v>
      </c>
      <c r="DG13">
        <v>17513121.177818298</v>
      </c>
      <c r="DH13">
        <v>39802548.131405301</v>
      </c>
      <c r="DI13">
        <v>2894200.4588485798</v>
      </c>
      <c r="DJ13">
        <v>5788400.9176971698</v>
      </c>
      <c r="DK13">
        <v>2894200.4588485798</v>
      </c>
      <c r="DL13">
        <v>5788400.9176971698</v>
      </c>
      <c r="DM13">
        <v>1837989.8446410899</v>
      </c>
      <c r="DN13">
        <v>3675979.6892821798</v>
      </c>
      <c r="DO13">
        <v>1837989.8446410899</v>
      </c>
      <c r="DP13">
        <v>3675979.6892821798</v>
      </c>
      <c r="DQ13">
        <v>2894200.4588485798</v>
      </c>
      <c r="DR13">
        <v>5788400.9176971698</v>
      </c>
      <c r="DS13">
        <v>2894200.4588485798</v>
      </c>
      <c r="DT13">
        <v>5788400.9176971698</v>
      </c>
      <c r="DU13">
        <v>1837989.8446410899</v>
      </c>
      <c r="DV13">
        <v>3675979.6892821798</v>
      </c>
      <c r="DW13">
        <v>1837989.8446410899</v>
      </c>
      <c r="DX13">
        <v>3675979.6892821798</v>
      </c>
      <c r="DY13">
        <v>2894200.4588485798</v>
      </c>
      <c r="DZ13">
        <v>5788400.9176971698</v>
      </c>
      <c r="EA13">
        <v>2894200.4588485798</v>
      </c>
      <c r="EB13">
        <v>5788400.9176971698</v>
      </c>
      <c r="EC13">
        <v>1837989.8446410899</v>
      </c>
      <c r="ED13">
        <v>3675979.6892821798</v>
      </c>
      <c r="EE13">
        <v>1837989.8446410899</v>
      </c>
      <c r="EF13">
        <v>3675979.6892821798</v>
      </c>
      <c r="EG13">
        <v>14925955.549277</v>
      </c>
      <c r="EH13">
        <v>29851911.098554</v>
      </c>
      <c r="EI13">
        <v>14925955.549277</v>
      </c>
      <c r="EJ13">
        <v>29851911.098554</v>
      </c>
      <c r="EK13">
        <v>14925955.549277</v>
      </c>
      <c r="EL13">
        <v>29851911.098554</v>
      </c>
      <c r="EM13">
        <v>0</v>
      </c>
      <c r="EN13">
        <v>0</v>
      </c>
      <c r="EO13">
        <v>0</v>
      </c>
      <c r="EP13">
        <v>0</v>
      </c>
      <c r="EQ13">
        <v>0</v>
      </c>
      <c r="ER13">
        <v>0</v>
      </c>
      <c r="ES13">
        <v>0</v>
      </c>
      <c r="ET13">
        <v>0</v>
      </c>
      <c r="EU13">
        <v>3.0375655539478998</v>
      </c>
      <c r="EV13">
        <v>0</v>
      </c>
      <c r="EW13">
        <v>0</v>
      </c>
      <c r="EX13">
        <v>0</v>
      </c>
      <c r="EY13">
        <v>3.1275516021721099</v>
      </c>
      <c r="EZ13">
        <v>0</v>
      </c>
      <c r="FA13">
        <v>0</v>
      </c>
      <c r="FB13">
        <v>3.0381999471535202</v>
      </c>
      <c r="FC13">
        <v>0</v>
      </c>
      <c r="FD13">
        <v>0</v>
      </c>
      <c r="FE13">
        <v>0</v>
      </c>
      <c r="FF13">
        <v>0</v>
      </c>
      <c r="FG13">
        <v>0</v>
      </c>
      <c r="FH13">
        <v>0</v>
      </c>
      <c r="FI13">
        <v>0</v>
      </c>
      <c r="FJ13">
        <v>0</v>
      </c>
      <c r="FK13">
        <v>0</v>
      </c>
      <c r="FL13">
        <v>0</v>
      </c>
      <c r="FM13">
        <v>0</v>
      </c>
      <c r="FN13">
        <v>0</v>
      </c>
      <c r="FO13">
        <v>2.45251372506161E-2</v>
      </c>
      <c r="FP13">
        <v>0</v>
      </c>
      <c r="FQ13">
        <v>3.7712464405102401E-3</v>
      </c>
      <c r="FR13">
        <v>0</v>
      </c>
      <c r="FS13">
        <v>0</v>
      </c>
      <c r="FT13">
        <v>0</v>
      </c>
      <c r="FU13">
        <v>298.30045820885402</v>
      </c>
      <c r="FV13">
        <v>0</v>
      </c>
      <c r="FW13">
        <v>0</v>
      </c>
      <c r="FX13">
        <v>0</v>
      </c>
      <c r="FY13">
        <v>2.45251372506161E-2</v>
      </c>
      <c r="FZ13">
        <v>0</v>
      </c>
      <c r="GA13">
        <v>3.7712464405102401E-3</v>
      </c>
      <c r="GB13">
        <v>-249.00280336100701</v>
      </c>
      <c r="GC13">
        <v>-448.51680698840897</v>
      </c>
      <c r="GD13">
        <v>-582.377102628226</v>
      </c>
      <c r="GE13">
        <v>-158.534936268575</v>
      </c>
      <c r="GF13">
        <v>-279.88525034838102</v>
      </c>
      <c r="GG13">
        <v>-365.43284823359699</v>
      </c>
      <c r="GH13">
        <v>-256.31240294798101</v>
      </c>
      <c r="GI13">
        <v>-484.18232737180301</v>
      </c>
      <c r="GJ13">
        <v>-628.28777118050004</v>
      </c>
      <c r="GK13">
        <v>-163.80528672398</v>
      </c>
      <c r="GL13">
        <v>-279.401268539309</v>
      </c>
      <c r="GM13">
        <v>-364.49976080299803</v>
      </c>
      <c r="GN13">
        <v>-43.764986724993399</v>
      </c>
      <c r="GO13">
        <v>21.2639026694204</v>
      </c>
      <c r="GP13">
        <v>22.339484236278601</v>
      </c>
      <c r="GQ13">
        <v>154.76360072057099</v>
      </c>
      <c r="GR13">
        <v>-53.1286037000162</v>
      </c>
      <c r="GS13">
        <v>-771.75945957480599</v>
      </c>
      <c r="GT13">
        <v>-27.782955602443099</v>
      </c>
      <c r="GU13">
        <v>21.2299704612238</v>
      </c>
      <c r="GV13">
        <v>22.3148232776391</v>
      </c>
      <c r="GW13">
        <v>99.627699878722893</v>
      </c>
      <c r="GX13">
        <v>-35.407910261478001</v>
      </c>
      <c r="GY13">
        <v>-496.91197611900299</v>
      </c>
      <c r="GZ13">
        <v>-40.946469407492799</v>
      </c>
      <c r="HA13">
        <v>21.451437463488201</v>
      </c>
      <c r="HB13">
        <v>22.6056238615053</v>
      </c>
      <c r="HC13">
        <v>167.594114863865</v>
      </c>
      <c r="HD13">
        <v>-59.006050335408098</v>
      </c>
      <c r="HE13">
        <v>-830.94020681418999</v>
      </c>
      <c r="HF13">
        <v>-28.9351023513798</v>
      </c>
      <c r="HG13">
        <v>21.205101244230701</v>
      </c>
      <c r="HH13">
        <v>22.2860306224181</v>
      </c>
      <c r="HI13">
        <v>99.6207087133388</v>
      </c>
      <c r="HJ13">
        <v>-33.259882138484201</v>
      </c>
      <c r="HK13">
        <v>-486.30112863449</v>
      </c>
      <c r="HL13">
        <v>-217.480077931219</v>
      </c>
      <c r="HM13">
        <v>23.855954610843899</v>
      </c>
      <c r="HN13">
        <v>24.265717123972301</v>
      </c>
      <c r="HO13">
        <v>-55.260029628476197</v>
      </c>
      <c r="HP13">
        <v>-351.74417225323901</v>
      </c>
      <c r="HQ13">
        <v>22.8426170772746</v>
      </c>
      <c r="HR13">
        <v>-608.90108091552202</v>
      </c>
      <c r="HS13">
        <v>-143.61445408674999</v>
      </c>
      <c r="HT13">
        <v>23.839230470716501</v>
      </c>
      <c r="HU13">
        <v>24.268878789794901</v>
      </c>
      <c r="HV13">
        <v>-34.1455885570061</v>
      </c>
      <c r="HW13">
        <v>-232.52384028427099</v>
      </c>
      <c r="HX13">
        <v>22.780847016895599</v>
      </c>
      <c r="HY13">
        <v>-377.45405038055901</v>
      </c>
      <c r="HZ13">
        <v>24.033486678679001</v>
      </c>
      <c r="IA13">
        <v>24.352773392797999</v>
      </c>
      <c r="IB13">
        <v>-66.158750643964197</v>
      </c>
      <c r="IC13">
        <v>-207.266875211491</v>
      </c>
      <c r="ID13">
        <v>-347.239960622475</v>
      </c>
      <c r="IE13">
        <v>23.092246707093398</v>
      </c>
      <c r="IF13">
        <v>-602.31530698309996</v>
      </c>
      <c r="IG13">
        <v>-15.8608038463834</v>
      </c>
      <c r="IH13">
        <v>23.831801965827999</v>
      </c>
      <c r="II13">
        <v>24.2656439314121</v>
      </c>
      <c r="IJ13">
        <v>-34.108711196153799</v>
      </c>
      <c r="IK13">
        <v>-13.618873867525901</v>
      </c>
      <c r="IL13">
        <v>-149.055278881975</v>
      </c>
      <c r="IM13">
        <v>-233.21237989180599</v>
      </c>
      <c r="IN13">
        <v>22.7649493805235</v>
      </c>
      <c r="IO13">
        <v>1.68574660184946</v>
      </c>
      <c r="IP13">
        <v>-379.27036435359298</v>
      </c>
      <c r="IQ13">
        <v>-88.748272182174304</v>
      </c>
      <c r="IR13">
        <v>-52.608842015661303</v>
      </c>
      <c r="IS13">
        <v>-70.265128301328502</v>
      </c>
      <c r="IT13">
        <v>-53.060219952124399</v>
      </c>
      <c r="IU13">
        <v>-4619.9575197686599</v>
      </c>
      <c r="IV13">
        <v>-54.0204162322269</v>
      </c>
      <c r="IW13">
        <v>21.557456284566001</v>
      </c>
      <c r="IX13">
        <v>22.8426170772746</v>
      </c>
      <c r="IY13">
        <v>149.243366907054</v>
      </c>
      <c r="IZ13">
        <v>-139.55562096489101</v>
      </c>
      <c r="JA13">
        <v>-1094.4577970441501</v>
      </c>
      <c r="JB13">
        <v>-28.3757385483352</v>
      </c>
      <c r="JC13">
        <v>21.469514151590801</v>
      </c>
      <c r="JD13">
        <v>22.780847016895599</v>
      </c>
      <c r="JE13">
        <v>121.72302561585801</v>
      </c>
      <c r="JF13">
        <v>-59.314946080062597</v>
      </c>
      <c r="JG13">
        <v>-662.27139047065702</v>
      </c>
      <c r="JH13">
        <v>-63.232312100353603</v>
      </c>
      <c r="JI13">
        <v>21.776452480810999</v>
      </c>
      <c r="JJ13">
        <v>23.092246707093398</v>
      </c>
      <c r="JK13">
        <v>119.440736389579</v>
      </c>
      <c r="JL13">
        <v>-213.68259524603101</v>
      </c>
      <c r="JM13">
        <v>-1228.3858083508601</v>
      </c>
      <c r="JN13">
        <v>-29.466506170651201</v>
      </c>
      <c r="JO13">
        <v>21.449139714494098</v>
      </c>
      <c r="JP13">
        <v>22.7649493805235</v>
      </c>
      <c r="JQ13">
        <v>1.2791048862860499</v>
      </c>
      <c r="JR13">
        <v>122.485247438926</v>
      </c>
      <c r="JS13">
        <v>1.1247272739496299</v>
      </c>
      <c r="JT13">
        <v>-57.721540762329901</v>
      </c>
      <c r="JU13">
        <v>-656.77524572713298</v>
      </c>
      <c r="JV13">
        <v>-228.57602324695699</v>
      </c>
      <c r="JW13">
        <v>-364.83784551410798</v>
      </c>
      <c r="JX13">
        <v>-557.22293454667295</v>
      </c>
      <c r="JY13">
        <v>-145.49078107238901</v>
      </c>
      <c r="JZ13">
        <v>-225.76427750788</v>
      </c>
      <c r="KA13">
        <v>-344.93789040378999</v>
      </c>
      <c r="KB13">
        <v>-237.12466885270399</v>
      </c>
      <c r="KC13">
        <v>-395.54941192277897</v>
      </c>
      <c r="KD13">
        <v>-593.399322145018</v>
      </c>
      <c r="KE13">
        <v>-150.93604393270499</v>
      </c>
      <c r="KF13">
        <v>22.264085307346399</v>
      </c>
      <c r="KG13">
        <v>-81.851666596691601</v>
      </c>
      <c r="KH13">
        <v>0.90142873433412896</v>
      </c>
      <c r="KI13">
        <v>-227.40285176440301</v>
      </c>
      <c r="KJ13">
        <v>-349.124141867498</v>
      </c>
      <c r="KK13">
        <v>-41.871791058086899</v>
      </c>
      <c r="KL13">
        <v>21.059155632106599</v>
      </c>
      <c r="KM13">
        <v>22.1514691027824</v>
      </c>
      <c r="KN13">
        <v>296.68620164580602</v>
      </c>
      <c r="KO13">
        <v>20.475201658765101</v>
      </c>
      <c r="KP13">
        <v>16.935130346778799</v>
      </c>
      <c r="KQ13">
        <v>34.804883774761002</v>
      </c>
      <c r="KR13">
        <v>-427.34148790636698</v>
      </c>
      <c r="KS13">
        <v>-26.635106518276501</v>
      </c>
      <c r="KT13">
        <v>21.012724877427601</v>
      </c>
      <c r="KU13">
        <v>22.106172512516899</v>
      </c>
      <c r="KV13">
        <v>187.56868164038099</v>
      </c>
      <c r="KW13">
        <v>20.422817597853701</v>
      </c>
      <c r="KX13">
        <v>16.839931001638998</v>
      </c>
      <c r="KY13">
        <v>21.159146548368799</v>
      </c>
      <c r="KZ13">
        <v>-270.76207166863298</v>
      </c>
      <c r="LA13">
        <v>-39.043069391852903</v>
      </c>
      <c r="LB13">
        <v>21.303303549253201</v>
      </c>
      <c r="LC13">
        <v>22.454119658313399</v>
      </c>
      <c r="LD13">
        <v>310.54123918039397</v>
      </c>
      <c r="LE13">
        <v>20.690486968006201</v>
      </c>
      <c r="LF13">
        <v>16.939613016868499</v>
      </c>
      <c r="LG13">
        <v>34.998270505600502</v>
      </c>
      <c r="LH13">
        <v>-449.777907561951</v>
      </c>
      <c r="LI13">
        <v>-27.2738065213839</v>
      </c>
      <c r="LJ13">
        <v>20.970967228598699</v>
      </c>
      <c r="LK13">
        <v>22.080225564128199</v>
      </c>
      <c r="LL13">
        <v>187.80907648141701</v>
      </c>
      <c r="LM13">
        <v>20.365810238568201</v>
      </c>
      <c r="LN13">
        <v>16.461687624420598</v>
      </c>
      <c r="LO13">
        <v>19.822113750366199</v>
      </c>
      <c r="LP13">
        <v>-281.85334816108798</v>
      </c>
      <c r="LQ13">
        <v>-19.0204627011538</v>
      </c>
      <c r="LR13">
        <v>18.624590024122401</v>
      </c>
      <c r="LS13">
        <v>16.440999999999999</v>
      </c>
      <c r="LT13">
        <v>-158.08328349931099</v>
      </c>
      <c r="LU13">
        <v>-1095.44677660209</v>
      </c>
      <c r="LV13">
        <v>19.635497555377999</v>
      </c>
      <c r="LW13">
        <v>21.768598894398501</v>
      </c>
      <c r="LX13">
        <v>220.96010694290999</v>
      </c>
      <c r="LY13">
        <v>-12.0701258739862</v>
      </c>
      <c r="LZ13">
        <v>18.6098584859018</v>
      </c>
      <c r="MA13">
        <v>16.440999999999999</v>
      </c>
      <c r="MB13">
        <v>-100.932688799555</v>
      </c>
      <c r="MC13">
        <v>-698.07208917714001</v>
      </c>
      <c r="MD13">
        <v>19.626218866680599</v>
      </c>
      <c r="ME13">
        <v>21.7583283384919</v>
      </c>
      <c r="MF13">
        <v>141.080883767426</v>
      </c>
      <c r="MG13">
        <v>-17.325022954516101</v>
      </c>
      <c r="MH13">
        <v>18.6594612857747</v>
      </c>
      <c r="MI13">
        <v>16.440999999999999</v>
      </c>
      <c r="MJ13">
        <v>-166.21122701398599</v>
      </c>
      <c r="MK13">
        <v>-1156.2400629967501</v>
      </c>
      <c r="ML13">
        <v>19.722019079477299</v>
      </c>
      <c r="MM13">
        <v>21.999681433308702</v>
      </c>
      <c r="MN13">
        <v>232.19861385996001</v>
      </c>
      <c r="MO13">
        <v>-12.675950953014</v>
      </c>
      <c r="MP13">
        <v>18.5980225905389</v>
      </c>
      <c r="MQ13">
        <v>16.440999999999999</v>
      </c>
      <c r="MR13">
        <v>-99.048475515157705</v>
      </c>
      <c r="MS13">
        <v>-687.19394444885495</v>
      </c>
      <c r="MT13">
        <v>19.601282720435499</v>
      </c>
      <c r="MU13">
        <v>21.7286420451968</v>
      </c>
      <c r="MV13">
        <v>139.84569316961</v>
      </c>
      <c r="MW13">
        <v>-19.371564914920999</v>
      </c>
      <c r="MX13">
        <v>20.3027852549118</v>
      </c>
      <c r="MY13">
        <v>20.440411726994601</v>
      </c>
      <c r="MZ13">
        <v>-28.056310682164401</v>
      </c>
      <c r="NA13">
        <v>-574.83088090316198</v>
      </c>
      <c r="NB13">
        <v>20.9133769526747</v>
      </c>
      <c r="NC13">
        <v>22.568773613545801</v>
      </c>
      <c r="ND13">
        <v>200.887227811874</v>
      </c>
      <c r="NE13">
        <v>-14.7417171565712</v>
      </c>
      <c r="NF13">
        <v>20.257656292086001</v>
      </c>
      <c r="NG13">
        <v>20.3922288866492</v>
      </c>
      <c r="NH13">
        <v>-43.443763553198302</v>
      </c>
      <c r="NI13">
        <v>-392.55245161948199</v>
      </c>
      <c r="NJ13">
        <v>20.8723539457031</v>
      </c>
      <c r="NK13">
        <v>22.5306068653097</v>
      </c>
      <c r="NL13">
        <v>102.92673456326099</v>
      </c>
      <c r="NM13">
        <v>-16.101628595205799</v>
      </c>
      <c r="NN13">
        <v>20.4036322569631</v>
      </c>
      <c r="NO13">
        <v>20.5712319523928</v>
      </c>
      <c r="NP13">
        <v>-4.7790021880819102</v>
      </c>
      <c r="NQ13" s="35">
        <v>-578.61657109206499</v>
      </c>
      <c r="NR13" s="35">
        <v>21.041954226807398</v>
      </c>
      <c r="NS13">
        <v>22.791996407753601</v>
      </c>
      <c r="NT13">
        <v>234.56210089286901</v>
      </c>
      <c r="NU13">
        <v>-15.1418814016795</v>
      </c>
      <c r="NV13">
        <v>20.2519523092711</v>
      </c>
      <c r="NW13">
        <v>20.378303821331599</v>
      </c>
      <c r="NX13">
        <v>1.7</v>
      </c>
      <c r="NY13">
        <v>-42.1443969822678</v>
      </c>
      <c r="NZ13">
        <v>-384.82564401478697</v>
      </c>
      <c r="OA13">
        <v>20.8572576575623</v>
      </c>
      <c r="OB13">
        <v>22.515526531716901</v>
      </c>
      <c r="OC13">
        <v>1.7</v>
      </c>
      <c r="OD13">
        <v>101.98962536283901</v>
      </c>
      <c r="OE13">
        <v>1.7</v>
      </c>
      <c r="OF13">
        <v>1.7</v>
      </c>
      <c r="OG13">
        <v>-22.1665408379049</v>
      </c>
      <c r="OH13">
        <v>19.8340974186561</v>
      </c>
      <c r="OI13">
        <v>20.505818753591001</v>
      </c>
      <c r="OJ13">
        <v>-26.4519343294259</v>
      </c>
      <c r="OK13">
        <v>-389.29762000084799</v>
      </c>
      <c r="OL13">
        <v>20.257930804764001</v>
      </c>
      <c r="OM13">
        <v>21.820442406492401</v>
      </c>
      <c r="ON13">
        <v>132.465907991314</v>
      </c>
      <c r="OO13">
        <v>-14.333379180572299</v>
      </c>
      <c r="OP13">
        <v>19.775921454123502</v>
      </c>
      <c r="OQ13">
        <v>20.416295950137101</v>
      </c>
      <c r="OR13">
        <v>-18.353707610316</v>
      </c>
      <c r="OS13">
        <v>-257.05139355593099</v>
      </c>
      <c r="OT13">
        <v>20.213934869113601</v>
      </c>
      <c r="OU13">
        <v>21.782311463510698</v>
      </c>
      <c r="OV13">
        <v>85.945115325664403</v>
      </c>
      <c r="OW13">
        <v>-21.087216343947301</v>
      </c>
      <c r="OX13">
        <v>19.9307695743964</v>
      </c>
      <c r="OY13">
        <v>20.664138965067298</v>
      </c>
      <c r="OZ13">
        <v>-29.836919000587901</v>
      </c>
      <c r="PA13">
        <v>-425.385071209731</v>
      </c>
      <c r="PB13">
        <v>20.388188389652601</v>
      </c>
      <c r="PC13">
        <v>22.082319556089502</v>
      </c>
      <c r="PD13">
        <v>141.67389996760301</v>
      </c>
      <c r="PE13">
        <v>-14.729775605651501</v>
      </c>
      <c r="PF13">
        <v>19.7578095726345</v>
      </c>
      <c r="PG13">
        <v>20.399486946770001</v>
      </c>
      <c r="PH13">
        <v>1.7</v>
      </c>
      <c r="PI13">
        <v>-17.096263953977601</v>
      </c>
      <c r="PJ13">
        <v>-250.488462950387</v>
      </c>
      <c r="PK13">
        <v>20.187920938099801</v>
      </c>
      <c r="PL13">
        <v>21.759961713476802</v>
      </c>
      <c r="PM13" s="35">
        <v>1.7</v>
      </c>
      <c r="PN13">
        <v>85.3209397529901</v>
      </c>
      <c r="PO13">
        <v>22.295620377421301</v>
      </c>
      <c r="PP13">
        <v>22.292605124601099</v>
      </c>
      <c r="PQ13">
        <v>22.573085862366302</v>
      </c>
      <c r="PR13">
        <v>22.265199998110699</v>
      </c>
      <c r="PS13">
        <v>22.706832578265701</v>
      </c>
      <c r="PT13">
        <v>22.928119736985899</v>
      </c>
      <c r="PU13">
        <v>22.894739420953002</v>
      </c>
      <c r="PV13">
        <v>23.179695738625998</v>
      </c>
      <c r="PW13">
        <v>22.8830755426441</v>
      </c>
      <c r="PX13">
        <v>23.9096512492474</v>
      </c>
      <c r="PY13">
        <v>22.189055584364301</v>
      </c>
      <c r="PZ13">
        <v>22.156150168057302</v>
      </c>
      <c r="QA13">
        <v>22.490065087700099</v>
      </c>
      <c r="QB13">
        <v>22.138363834293799</v>
      </c>
      <c r="QC13">
        <v>23.3118508427563</v>
      </c>
      <c r="QD13">
        <v>20.332270429908299</v>
      </c>
      <c r="QE13">
        <v>23.025229693422801</v>
      </c>
      <c r="QF13">
        <v>22.988944340650601</v>
      </c>
      <c r="QG13">
        <v>23.379487177089</v>
      </c>
      <c r="QH13">
        <v>22.9751251141811</v>
      </c>
      <c r="QI13">
        <v>23.9585606280489</v>
      </c>
      <c r="QJ13">
        <v>23.470838054352399</v>
      </c>
      <c r="QK13">
        <v>23.523491425690601</v>
      </c>
      <c r="QL13">
        <v>23.768840844482501</v>
      </c>
      <c r="QM13">
        <v>23.485905989878901</v>
      </c>
      <c r="QN13">
        <v>-1283.31024883344</v>
      </c>
      <c r="QO13">
        <v>25.1549554818844</v>
      </c>
      <c r="QP13">
        <v>-5501.6048873874297</v>
      </c>
      <c r="QQ13">
        <v>22.867222624899401</v>
      </c>
      <c r="QR13">
        <v>22.794132320261699</v>
      </c>
      <c r="QS13">
        <v>23.242440184730299</v>
      </c>
      <c r="QT13">
        <v>22.797578970972101</v>
      </c>
      <c r="QU13">
        <v>24.480911988160599</v>
      </c>
      <c r="QV13">
        <v>18.029881333098299</v>
      </c>
      <c r="QW13">
        <v>670092.77007922204</v>
      </c>
      <c r="QX13">
        <v>0</v>
      </c>
      <c r="QY13">
        <v>506501.445336162</v>
      </c>
      <c r="QZ13">
        <v>0</v>
      </c>
      <c r="RA13">
        <v>39966.108429919303</v>
      </c>
      <c r="RB13">
        <v>0</v>
      </c>
      <c r="RC13">
        <v>25814.60157296</v>
      </c>
      <c r="RD13">
        <v>0</v>
      </c>
      <c r="RE13">
        <v>148633.055878496</v>
      </c>
      <c r="RF13">
        <v>0</v>
      </c>
      <c r="RG13">
        <v>57618.864963308799</v>
      </c>
      <c r="RH13" s="35">
        <v>0</v>
      </c>
      <c r="RI13">
        <v>0</v>
      </c>
      <c r="RJ13" s="35">
        <v>0</v>
      </c>
      <c r="RK13">
        <v>23.754839009424199</v>
      </c>
      <c r="RL13">
        <v>-46.384682354342701</v>
      </c>
      <c r="RM13" s="35">
        <v>-4075.8644994777401</v>
      </c>
      <c r="RN13">
        <v>59.798763978087699</v>
      </c>
      <c r="RO13" s="35">
        <v>0</v>
      </c>
      <c r="RP13">
        <v>0</v>
      </c>
      <c r="RQ13" s="35">
        <v>23.6852835567</v>
      </c>
      <c r="RR13" s="35">
        <v>0</v>
      </c>
      <c r="RS13">
        <v>-2512.55031152939</v>
      </c>
      <c r="RT13">
        <v>114.65828410321301</v>
      </c>
      <c r="RU13">
        <v>0</v>
      </c>
      <c r="RV13">
        <v>0</v>
      </c>
      <c r="RW13">
        <v>24.185888491811799</v>
      </c>
      <c r="RX13">
        <v>-608.219728080594</v>
      </c>
      <c r="RY13">
        <v>-4738.1271273771399</v>
      </c>
      <c r="RZ13">
        <v>-608.219728080594</v>
      </c>
      <c r="SA13">
        <v>0</v>
      </c>
      <c r="SB13">
        <v>0</v>
      </c>
      <c r="SC13">
        <v>23.685050230251601</v>
      </c>
      <c r="SD13">
        <v>-9.3401064254139801</v>
      </c>
      <c r="SE13">
        <v>-2526.0471900703101</v>
      </c>
      <c r="SF13">
        <v>101.373317287552</v>
      </c>
      <c r="SG13">
        <v>0</v>
      </c>
      <c r="SH13">
        <v>8816.7749422582892</v>
      </c>
      <c r="SI13">
        <v>25.210288677832001</v>
      </c>
      <c r="SJ13">
        <v>0</v>
      </c>
      <c r="SK13">
        <v>-19677.132952327</v>
      </c>
      <c r="SL13">
        <v>1548.1030773565301</v>
      </c>
      <c r="SM13">
        <v>21.1111</v>
      </c>
      <c r="SN13">
        <v>23.8889</v>
      </c>
      <c r="SO13">
        <v>0</v>
      </c>
      <c r="SP13">
        <v>0</v>
      </c>
      <c r="SQ13">
        <v>20.749126330044799</v>
      </c>
      <c r="SR13">
        <v>0</v>
      </c>
      <c r="SS13">
        <v>0</v>
      </c>
      <c r="ST13">
        <v>0</v>
      </c>
      <c r="SU13">
        <v>0</v>
      </c>
      <c r="SV13">
        <v>0</v>
      </c>
      <c r="SW13">
        <v>20.708406760637299</v>
      </c>
      <c r="SX13">
        <v>0</v>
      </c>
      <c r="SY13">
        <v>0</v>
      </c>
      <c r="SZ13">
        <v>0</v>
      </c>
      <c r="TA13">
        <v>0</v>
      </c>
      <c r="TB13">
        <v>0</v>
      </c>
      <c r="TC13">
        <v>20.907216512437</v>
      </c>
      <c r="TD13">
        <v>0</v>
      </c>
      <c r="TE13">
        <v>0</v>
      </c>
      <c r="TF13">
        <v>0</v>
      </c>
      <c r="TG13">
        <v>0</v>
      </c>
      <c r="TH13">
        <v>0</v>
      </c>
      <c r="TI13">
        <v>20.685141446095301</v>
      </c>
      <c r="TJ13">
        <v>0</v>
      </c>
      <c r="TK13">
        <v>0</v>
      </c>
      <c r="TL13">
        <v>0</v>
      </c>
      <c r="TM13">
        <v>2524.0636811995701</v>
      </c>
      <c r="TN13">
        <v>0</v>
      </c>
      <c r="TO13">
        <v>22.805993351290098</v>
      </c>
      <c r="TP13">
        <v>0</v>
      </c>
      <c r="TQ13">
        <v>0</v>
      </c>
      <c r="TR13">
        <v>0</v>
      </c>
      <c r="TS13">
        <v>0</v>
      </c>
      <c r="TT13">
        <v>497.16138521902701</v>
      </c>
      <c r="TU13">
        <v>24.013556371719002</v>
      </c>
      <c r="TV13">
        <v>-732.87453225335605</v>
      </c>
      <c r="TW13">
        <v>-5125.7062392703901</v>
      </c>
      <c r="TX13">
        <v>-732.87453225335605</v>
      </c>
      <c r="TY13">
        <v>0</v>
      </c>
      <c r="TZ13">
        <v>0</v>
      </c>
      <c r="UA13">
        <v>24.1522434304282</v>
      </c>
      <c r="UB13">
        <v>-323.15046277829299</v>
      </c>
      <c r="UC13">
        <v>-2948.9405298322599</v>
      </c>
      <c r="UD13">
        <v>-323.15046277829299</v>
      </c>
      <c r="UE13">
        <v>0</v>
      </c>
      <c r="UF13">
        <v>896.50927114474098</v>
      </c>
      <c r="UG13">
        <v>24.357985950339</v>
      </c>
      <c r="UH13">
        <v>-1424.8527799272499</v>
      </c>
      <c r="UI13">
        <v>-5773.6244711708196</v>
      </c>
      <c r="UJ13">
        <v>-1424.8527799272499</v>
      </c>
      <c r="UK13">
        <v>0</v>
      </c>
      <c r="UL13">
        <v>144.74815710390001</v>
      </c>
      <c r="UM13">
        <v>24.088736437113699</v>
      </c>
      <c r="UN13">
        <v>-363.778309821265</v>
      </c>
      <c r="UO13">
        <v>-2989.5556617121201</v>
      </c>
      <c r="UP13">
        <v>-363.778309821265</v>
      </c>
      <c r="UQ13">
        <v>0</v>
      </c>
      <c r="UR13">
        <v>8779.6134038150703</v>
      </c>
      <c r="US13">
        <v>26.4002597145214</v>
      </c>
      <c r="UT13">
        <v>-7548.2986618950099</v>
      </c>
      <c r="UU13">
        <v>-28620.107621978699</v>
      </c>
      <c r="UV13">
        <v>-7548.2986618950099</v>
      </c>
      <c r="UW13">
        <v>21.1111</v>
      </c>
      <c r="UX13">
        <v>23.8889</v>
      </c>
      <c r="UY13">
        <v>303.83561979310201</v>
      </c>
      <c r="UZ13">
        <v>0</v>
      </c>
      <c r="VA13">
        <v>21.287378322326902</v>
      </c>
      <c r="VB13">
        <v>0</v>
      </c>
      <c r="VC13">
        <v>0</v>
      </c>
      <c r="VD13">
        <v>0</v>
      </c>
      <c r="VE13">
        <v>0</v>
      </c>
      <c r="VF13">
        <v>0</v>
      </c>
      <c r="VG13">
        <v>20.853307063204301</v>
      </c>
      <c r="VH13">
        <v>0</v>
      </c>
      <c r="VI13">
        <v>0</v>
      </c>
      <c r="VJ13">
        <v>0</v>
      </c>
      <c r="VK13">
        <v>515.77907552273803</v>
      </c>
      <c r="VL13">
        <v>0</v>
      </c>
      <c r="VM13">
        <v>21.680265784963201</v>
      </c>
      <c r="VN13">
        <v>0</v>
      </c>
      <c r="VO13">
        <v>0</v>
      </c>
      <c r="VP13">
        <v>0</v>
      </c>
      <c r="VQ13">
        <v>93.356628427171103</v>
      </c>
      <c r="VR13">
        <v>0</v>
      </c>
      <c r="VS13">
        <v>20.966639447993799</v>
      </c>
      <c r="VT13">
        <v>0</v>
      </c>
      <c r="VU13">
        <v>0</v>
      </c>
      <c r="VV13">
        <v>0</v>
      </c>
      <c r="VW13">
        <v>2402.0355808449599</v>
      </c>
      <c r="VX13">
        <v>0</v>
      </c>
      <c r="VY13">
        <v>23.413940019060099</v>
      </c>
      <c r="VZ13">
        <v>0</v>
      </c>
      <c r="WA13">
        <v>0</v>
      </c>
      <c r="WB13">
        <v>0</v>
      </c>
      <c r="WC13">
        <v>0</v>
      </c>
      <c r="WD13">
        <v>0</v>
      </c>
      <c r="WE13">
        <v>23.545389665434499</v>
      </c>
      <c r="WF13">
        <v>-11.954207208102201</v>
      </c>
      <c r="WG13">
        <v>-3845.3672343584399</v>
      </c>
      <c r="WH13">
        <v>298.74128255101499</v>
      </c>
      <c r="WI13">
        <v>0</v>
      </c>
      <c r="WJ13">
        <v>0</v>
      </c>
      <c r="WK13">
        <v>0</v>
      </c>
      <c r="WL13">
        <v>23.4321144724661</v>
      </c>
      <c r="WM13">
        <v>0</v>
      </c>
      <c r="WN13">
        <v>-2322.5613896715399</v>
      </c>
      <c r="WO13">
        <v>310.61965770350702</v>
      </c>
      <c r="WP13">
        <v>21.1111</v>
      </c>
      <c r="WQ13">
        <v>23.8889</v>
      </c>
      <c r="WR13">
        <v>0</v>
      </c>
      <c r="WS13">
        <v>0</v>
      </c>
      <c r="WT13">
        <v>23.994815281760399</v>
      </c>
      <c r="WU13">
        <v>-411.394914659189</v>
      </c>
      <c r="WV13">
        <v>-4541.0104101818297</v>
      </c>
      <c r="WW13">
        <v>-402.92976819243398</v>
      </c>
      <c r="WX13">
        <v>0</v>
      </c>
      <c r="WY13">
        <v>0</v>
      </c>
      <c r="WZ13">
        <v>0</v>
      </c>
      <c r="XA13">
        <v>23.4567941076503</v>
      </c>
      <c r="XB13">
        <v>0</v>
      </c>
      <c r="XC13">
        <v>-2359.0881418604899</v>
      </c>
      <c r="XD13">
        <v>273.94146163020099</v>
      </c>
      <c r="XE13">
        <v>0</v>
      </c>
      <c r="XF13">
        <v>8317.7278899356897</v>
      </c>
      <c r="XG13">
        <v>25.649973133564899</v>
      </c>
      <c r="XH13">
        <v>-4296.0470947930098</v>
      </c>
      <c r="XI13">
        <v>-25876.3991264615</v>
      </c>
      <c r="XJ13">
        <v>-4296.0470947930098</v>
      </c>
      <c r="XK13">
        <v>21.1111</v>
      </c>
      <c r="XL13">
        <v>23.8889</v>
      </c>
      <c r="XM13">
        <v>0</v>
      </c>
      <c r="XN13">
        <v>0</v>
      </c>
      <c r="XO13">
        <v>20.322465548316298</v>
      </c>
      <c r="XP13">
        <v>0</v>
      </c>
      <c r="XQ13">
        <v>0</v>
      </c>
      <c r="XR13">
        <v>0</v>
      </c>
      <c r="XS13">
        <v>0</v>
      </c>
      <c r="XT13">
        <v>0</v>
      </c>
      <c r="XU13">
        <v>20.276221660516999</v>
      </c>
      <c r="XV13">
        <v>0</v>
      </c>
      <c r="XW13">
        <v>0</v>
      </c>
      <c r="XX13">
        <v>0</v>
      </c>
      <c r="XY13">
        <v>0</v>
      </c>
      <c r="XZ13">
        <v>0</v>
      </c>
      <c r="YA13">
        <v>20.543180485815402</v>
      </c>
      <c r="YB13">
        <v>0</v>
      </c>
      <c r="YC13">
        <v>0</v>
      </c>
      <c r="YD13">
        <v>0</v>
      </c>
      <c r="YE13">
        <v>0</v>
      </c>
      <c r="YF13">
        <v>0</v>
      </c>
      <c r="YG13">
        <v>20.231920628512999</v>
      </c>
      <c r="YH13">
        <v>0</v>
      </c>
      <c r="YI13">
        <v>0</v>
      </c>
      <c r="YJ13">
        <v>0</v>
      </c>
      <c r="YK13">
        <v>2012.98624285644</v>
      </c>
      <c r="YL13">
        <v>0</v>
      </c>
      <c r="YM13">
        <v>23.7815672612113</v>
      </c>
      <c r="YN13">
        <v>0</v>
      </c>
      <c r="YO13">
        <v>0</v>
      </c>
      <c r="YP13">
        <v>0</v>
      </c>
      <c r="YQ13">
        <v>0</v>
      </c>
      <c r="YR13">
        <v>0</v>
      </c>
      <c r="YS13">
        <v>19.086374963975199</v>
      </c>
      <c r="YT13">
        <v>0</v>
      </c>
      <c r="YU13">
        <v>0</v>
      </c>
      <c r="YV13">
        <v>0</v>
      </c>
      <c r="YW13">
        <v>0</v>
      </c>
      <c r="YX13">
        <v>0</v>
      </c>
      <c r="YY13">
        <v>19.0743516024048</v>
      </c>
      <c r="YZ13">
        <v>0</v>
      </c>
      <c r="ZA13">
        <v>0</v>
      </c>
      <c r="ZB13">
        <v>0</v>
      </c>
      <c r="ZC13">
        <v>0</v>
      </c>
      <c r="ZD13">
        <v>0</v>
      </c>
      <c r="ZE13">
        <v>19.147822130021101</v>
      </c>
      <c r="ZF13">
        <v>0</v>
      </c>
      <c r="ZG13">
        <v>0</v>
      </c>
      <c r="ZH13">
        <v>0</v>
      </c>
      <c r="ZI13">
        <v>0</v>
      </c>
      <c r="ZJ13">
        <v>0</v>
      </c>
      <c r="ZK13">
        <v>19.054801214036601</v>
      </c>
      <c r="ZL13">
        <v>0</v>
      </c>
      <c r="ZM13">
        <v>0</v>
      </c>
      <c r="ZN13">
        <v>0</v>
      </c>
      <c r="ZO13">
        <v>0</v>
      </c>
      <c r="ZP13">
        <v>7961.6579021850903</v>
      </c>
      <c r="ZQ13">
        <v>16.955620466149099</v>
      </c>
      <c r="ZR13">
        <v>0</v>
      </c>
      <c r="ZS13">
        <v>0</v>
      </c>
      <c r="ZT13">
        <v>0</v>
      </c>
      <c r="ZU13">
        <v>0</v>
      </c>
      <c r="ZV13">
        <v>231.092917564966</v>
      </c>
      <c r="ZW13">
        <v>20.2803663873487</v>
      </c>
      <c r="ZX13">
        <v>0</v>
      </c>
      <c r="ZY13">
        <v>0</v>
      </c>
      <c r="ZZ13">
        <v>0</v>
      </c>
      <c r="AAA13">
        <v>0</v>
      </c>
      <c r="AAB13">
        <v>0</v>
      </c>
      <c r="AAC13">
        <v>20.503874988077101</v>
      </c>
      <c r="AAD13">
        <v>0</v>
      </c>
      <c r="AAE13">
        <v>0</v>
      </c>
      <c r="AAF13">
        <v>0</v>
      </c>
      <c r="AAG13">
        <v>0</v>
      </c>
      <c r="AAH13">
        <v>385.13171241547099</v>
      </c>
      <c r="AAI13">
        <v>20.240705547975001</v>
      </c>
      <c r="AAJ13">
        <v>0</v>
      </c>
      <c r="AAK13">
        <v>0</v>
      </c>
      <c r="AAL13">
        <v>0</v>
      </c>
      <c r="AAM13">
        <v>0</v>
      </c>
      <c r="AAN13">
        <v>73.599826264288097</v>
      </c>
      <c r="AAO13">
        <v>20.378597477173201</v>
      </c>
      <c r="AAP13">
        <v>0</v>
      </c>
      <c r="AAQ13">
        <v>0</v>
      </c>
      <c r="AAR13">
        <v>0</v>
      </c>
      <c r="AAS13">
        <v>0</v>
      </c>
      <c r="AAT13">
        <v>11821.3668952231</v>
      </c>
      <c r="AAU13">
        <v>17.856394569760202</v>
      </c>
      <c r="AAV13">
        <v>0</v>
      </c>
      <c r="AAW13">
        <v>0</v>
      </c>
      <c r="AAX13">
        <v>0</v>
      </c>
      <c r="AAY13">
        <v>0</v>
      </c>
      <c r="AAZ13">
        <v>0</v>
      </c>
      <c r="ABA13">
        <v>19.982954601761001</v>
      </c>
      <c r="ABB13">
        <v>0</v>
      </c>
      <c r="ABC13">
        <v>0</v>
      </c>
      <c r="ABD13">
        <v>0</v>
      </c>
      <c r="ABE13">
        <v>0</v>
      </c>
      <c r="ABF13">
        <v>0</v>
      </c>
      <c r="ABG13">
        <v>19.9311398499494</v>
      </c>
      <c r="ABH13">
        <v>0</v>
      </c>
      <c r="ABI13">
        <v>0</v>
      </c>
      <c r="ABJ13">
        <v>0</v>
      </c>
      <c r="ABK13">
        <v>0</v>
      </c>
      <c r="ABL13">
        <v>0</v>
      </c>
      <c r="ABM13">
        <v>20.095585108036801</v>
      </c>
      <c r="ABN13">
        <v>0</v>
      </c>
      <c r="ABO13">
        <v>0</v>
      </c>
      <c r="ABP13">
        <v>0</v>
      </c>
      <c r="ABQ13">
        <v>0</v>
      </c>
      <c r="ABR13">
        <v>0</v>
      </c>
      <c r="ABS13">
        <v>19.908271343965701</v>
      </c>
      <c r="ABT13">
        <v>0</v>
      </c>
      <c r="ABU13">
        <v>0</v>
      </c>
      <c r="ABV13">
        <v>0</v>
      </c>
      <c r="ABW13">
        <v>0</v>
      </c>
      <c r="ABX13">
        <v>9100.2590851168407</v>
      </c>
      <c r="ABY13">
        <v>18.029881333098299</v>
      </c>
      <c r="ABZ13">
        <v>0</v>
      </c>
      <c r="ACA13">
        <v>0</v>
      </c>
      <c r="ACB13">
        <v>0</v>
      </c>
      <c r="ACC13">
        <v>0</v>
      </c>
      <c r="ACD13">
        <v>0</v>
      </c>
      <c r="ACE13">
        <v>0</v>
      </c>
      <c r="ACF13">
        <v>7.625</v>
      </c>
      <c r="ACG13">
        <v>7.625</v>
      </c>
      <c r="ACH13">
        <v>0</v>
      </c>
      <c r="ACI13">
        <v>0</v>
      </c>
      <c r="ACJ13">
        <v>0</v>
      </c>
      <c r="ACK13">
        <v>20.892476876737199</v>
      </c>
      <c r="ACL13">
        <v>20.892476876737199</v>
      </c>
      <c r="ACM13">
        <v>0</v>
      </c>
      <c r="ACN13">
        <v>94851.307274330306</v>
      </c>
      <c r="ACP13">
        <v>6484.0657968866199</v>
      </c>
      <c r="ACR13">
        <v>101335.37307121701</v>
      </c>
      <c r="ACT13">
        <v>25.240580082601799</v>
      </c>
      <c r="ACU13">
        <v>22.469249496814999</v>
      </c>
      <c r="ACV13">
        <v>1.7</v>
      </c>
      <c r="ACW13">
        <v>1.40293352237297</v>
      </c>
      <c r="ACX13">
        <v>0.66574321023821603</v>
      </c>
      <c r="ACY13">
        <v>26.4139122056045</v>
      </c>
      <c r="ACZ13">
        <v>23.674932194659799</v>
      </c>
      <c r="ADA13">
        <v>1.7</v>
      </c>
      <c r="ADB13">
        <v>1.42051601490479</v>
      </c>
      <c r="ADC13">
        <v>0.66813768486551395</v>
      </c>
      <c r="ADD13">
        <v>25.816096534053599</v>
      </c>
      <c r="ADE13">
        <v>23.237687271837501</v>
      </c>
      <c r="ADF13">
        <v>1.7</v>
      </c>
      <c r="ADG13">
        <v>1.4201506983016801</v>
      </c>
      <c r="ADH13">
        <v>0.67035881196625202</v>
      </c>
      <c r="ADI13">
        <v>24.015086708808202</v>
      </c>
      <c r="ADJ13">
        <v>24.015086708808202</v>
      </c>
      <c r="ADK13">
        <v>0</v>
      </c>
      <c r="ADL13">
        <v>0</v>
      </c>
      <c r="ADM13">
        <v>1</v>
      </c>
      <c r="ADN13">
        <v>23.969208268036802</v>
      </c>
      <c r="ADO13">
        <v>23.969208268036802</v>
      </c>
      <c r="ADP13">
        <v>0</v>
      </c>
      <c r="ADQ13">
        <v>0</v>
      </c>
      <c r="ADR13">
        <v>1</v>
      </c>
      <c r="ADS13">
        <v>24.361071131596201</v>
      </c>
      <c r="ADT13">
        <v>24.361071131596201</v>
      </c>
      <c r="ADU13">
        <v>0</v>
      </c>
      <c r="ADV13">
        <v>0</v>
      </c>
      <c r="ADW13">
        <v>1</v>
      </c>
      <c r="ADX13">
        <v>23.947454418675299</v>
      </c>
      <c r="ADY13">
        <v>23.947454418675299</v>
      </c>
      <c r="ADZ13">
        <v>0</v>
      </c>
      <c r="AEA13">
        <v>0</v>
      </c>
      <c r="AEB13">
        <v>1</v>
      </c>
      <c r="AEC13">
        <v>24.708329057389101</v>
      </c>
      <c r="AED13">
        <v>24.251649266808599</v>
      </c>
      <c r="AEE13">
        <v>0.85</v>
      </c>
      <c r="AEF13">
        <v>1.75394717924708</v>
      </c>
      <c r="AEG13">
        <v>0.90173738388607405</v>
      </c>
      <c r="AEH13">
        <v>24.4854190327871</v>
      </c>
      <c r="AEI13">
        <v>24.4854190327871</v>
      </c>
      <c r="AEJ13">
        <v>0</v>
      </c>
      <c r="AEK13">
        <v>0</v>
      </c>
      <c r="AEL13">
        <v>1</v>
      </c>
      <c r="AEM13">
        <v>24.714214019928601</v>
      </c>
      <c r="AEN13">
        <v>24.394404707319801</v>
      </c>
      <c r="AEO13">
        <v>0.85</v>
      </c>
      <c r="AEP13">
        <v>2.52546055864764</v>
      </c>
      <c r="AEQ13">
        <v>0.92366111688595798</v>
      </c>
      <c r="AER13">
        <v>24.531667541884499</v>
      </c>
      <c r="AES13">
        <v>24.3846074148125</v>
      </c>
      <c r="AET13">
        <v>0.42499999999999999</v>
      </c>
      <c r="AEU13">
        <v>0.63165632411168104</v>
      </c>
      <c r="AEV13">
        <v>0.96543358633680398</v>
      </c>
      <c r="AEW13">
        <v>23.819516759363001</v>
      </c>
      <c r="AEX13">
        <v>23.819516759363001</v>
      </c>
      <c r="AEY13">
        <v>0</v>
      </c>
      <c r="AEZ13">
        <v>0</v>
      </c>
      <c r="AFA13">
        <v>1</v>
      </c>
      <c r="AFB13">
        <v>23.7382136446864</v>
      </c>
      <c r="AFC13">
        <v>23.7382136446864</v>
      </c>
      <c r="AFD13">
        <v>0</v>
      </c>
      <c r="AFE13">
        <v>0</v>
      </c>
      <c r="AFF13">
        <v>1</v>
      </c>
      <c r="AFG13">
        <v>24.186972021274102</v>
      </c>
      <c r="AFH13">
        <v>24.186972021274102</v>
      </c>
      <c r="AFI13">
        <v>0</v>
      </c>
      <c r="AFJ13">
        <v>0</v>
      </c>
      <c r="AFK13">
        <v>1</v>
      </c>
      <c r="AFL13">
        <v>23.733180319330302</v>
      </c>
      <c r="AFM13">
        <v>23.733180319330302</v>
      </c>
      <c r="AFN13">
        <v>0</v>
      </c>
      <c r="AFO13">
        <v>0</v>
      </c>
      <c r="AFP13">
        <v>1</v>
      </c>
      <c r="AFQ13">
        <v>-0.28207816264450603</v>
      </c>
      <c r="AFR13">
        <v>-0.35466658460428002</v>
      </c>
      <c r="AFS13">
        <v>-0.37064728247501799</v>
      </c>
      <c r="AFT13">
        <v>-0.36497378060497099</v>
      </c>
      <c r="AFU13">
        <v>-0.26368594612020402</v>
      </c>
      <c r="AFV13">
        <v>-0.28239463218135202</v>
      </c>
      <c r="AFW13">
        <v>-0.256138214417236</v>
      </c>
      <c r="AFX13">
        <v>-0.23771611262613199</v>
      </c>
      <c r="AFY13">
        <v>-0.32859784135986497</v>
      </c>
      <c r="AFZ13">
        <v>-0.40400010122506802</v>
      </c>
      <c r="AGA13">
        <v>-0.43033326913112602</v>
      </c>
      <c r="AGB13">
        <v>-0.41916422983109197</v>
      </c>
      <c r="AGC13">
        <v>-0.74567098926949005</v>
      </c>
      <c r="AGD13">
        <v>-0.46312324598633398</v>
      </c>
      <c r="AGE13">
        <v>-0.57593719779986097</v>
      </c>
      <c r="AGF13">
        <v>1</v>
      </c>
      <c r="AGG13">
        <v>1</v>
      </c>
      <c r="AGH13">
        <v>1</v>
      </c>
      <c r="AGI13">
        <v>1</v>
      </c>
      <c r="AGJ13">
        <v>0</v>
      </c>
      <c r="AGK13">
        <v>0</v>
      </c>
      <c r="AGL13">
        <v>0</v>
      </c>
      <c r="AGM13">
        <v>0</v>
      </c>
      <c r="AGN13">
        <v>0</v>
      </c>
      <c r="AGO13">
        <v>0</v>
      </c>
      <c r="AGP13">
        <v>0.75</v>
      </c>
      <c r="AGQ13">
        <v>1</v>
      </c>
      <c r="AGR13">
        <v>0.25</v>
      </c>
      <c r="AGS13">
        <v>1</v>
      </c>
      <c r="AGT13">
        <v>0</v>
      </c>
      <c r="AGU13">
        <v>0</v>
      </c>
      <c r="AGV13">
        <v>0</v>
      </c>
      <c r="AGW13">
        <v>0</v>
      </c>
      <c r="AGX13">
        <v>0</v>
      </c>
      <c r="AGY13">
        <v>0</v>
      </c>
      <c r="AGZ13">
        <v>0.75</v>
      </c>
      <c r="AHA13">
        <v>0.75</v>
      </c>
      <c r="AHB13">
        <v>0.75</v>
      </c>
      <c r="AHC13">
        <v>0.75</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Z13">
        <v>0</v>
      </c>
      <c r="AIB13">
        <v>0</v>
      </c>
      <c r="AID13">
        <v>0</v>
      </c>
      <c r="AIF13">
        <v>0</v>
      </c>
      <c r="AIH13">
        <v>0</v>
      </c>
      <c r="AIJ13">
        <v>0</v>
      </c>
      <c r="AIL13">
        <v>0</v>
      </c>
      <c r="AIN13">
        <v>0</v>
      </c>
      <c r="AIP13">
        <v>0</v>
      </c>
      <c r="AIR13">
        <v>0</v>
      </c>
      <c r="AIT13">
        <v>0</v>
      </c>
      <c r="AIV13">
        <v>0</v>
      </c>
      <c r="AIX13">
        <v>0</v>
      </c>
      <c r="AIZ13">
        <v>0</v>
      </c>
      <c r="AJB13">
        <v>0</v>
      </c>
      <c r="AJC13">
        <v>0</v>
      </c>
      <c r="AJE13">
        <v>-1.92072654313423E-4</v>
      </c>
      <c r="AJH13">
        <v>6370.3505238517901</v>
      </c>
      <c r="AJJ13">
        <v>90.354485742919707</v>
      </c>
      <c r="AJK13">
        <v>0</v>
      </c>
      <c r="AJL13">
        <v>1.8639387085939001</v>
      </c>
      <c r="AJM13">
        <v>14.0535519586237</v>
      </c>
      <c r="AJN13">
        <v>7.4432966246966199</v>
      </c>
      <c r="AJO13">
        <v>0</v>
      </c>
      <c r="AJP13">
        <v>0</v>
      </c>
      <c r="AJQ13">
        <v>0</v>
      </c>
      <c r="AJR13">
        <v>0</v>
      </c>
      <c r="AJS13">
        <v>0</v>
      </c>
      <c r="AJT13">
        <v>0</v>
      </c>
      <c r="AJU13">
        <v>0</v>
      </c>
      <c r="AJV13">
        <v>0</v>
      </c>
      <c r="AJW13">
        <v>0</v>
      </c>
      <c r="AJX13">
        <v>0</v>
      </c>
      <c r="AJY13">
        <v>0</v>
      </c>
      <c r="AJZ13">
        <v>0</v>
      </c>
      <c r="AKA13">
        <v>0</v>
      </c>
      <c r="AKB13">
        <v>0</v>
      </c>
      <c r="AKC13">
        <v>0</v>
      </c>
      <c r="AKD13">
        <v>0</v>
      </c>
      <c r="AKE13">
        <v>70.162396350790203</v>
      </c>
      <c r="AKF13">
        <v>70.162396350790203</v>
      </c>
      <c r="AKG13">
        <v>0</v>
      </c>
      <c r="AKH13">
        <v>0</v>
      </c>
      <c r="AKI13">
        <v>0</v>
      </c>
      <c r="AKJ13">
        <v>0</v>
      </c>
      <c r="AKK13">
        <v>0</v>
      </c>
      <c r="AKL13">
        <v>70.162396350790203</v>
      </c>
      <c r="AKM13">
        <v>70.162396350790203</v>
      </c>
      <c r="AKN13">
        <v>0</v>
      </c>
      <c r="AKO13">
        <v>0</v>
      </c>
      <c r="AKP13">
        <v>0</v>
      </c>
      <c r="AKT13">
        <v>0</v>
      </c>
      <c r="AKX13">
        <v>0</v>
      </c>
      <c r="ALB13">
        <v>20.892476876737199</v>
      </c>
      <c r="ALC13">
        <v>20.892476876737199</v>
      </c>
      <c r="ALD13">
        <v>0</v>
      </c>
      <c r="ALE13">
        <v>0</v>
      </c>
      <c r="ALF13">
        <v>0</v>
      </c>
      <c r="ALH13">
        <v>7.6250000547795302</v>
      </c>
      <c r="ALI13">
        <v>6.4592923254763101E-3</v>
      </c>
      <c r="ALJ13">
        <v>2.8893090680159998</v>
      </c>
      <c r="ALK13">
        <v>7.625</v>
      </c>
      <c r="ALL13">
        <v>2.8893090680159998</v>
      </c>
      <c r="ALM13">
        <v>0</v>
      </c>
      <c r="ALN13">
        <v>23.271660818496201</v>
      </c>
      <c r="ALO13">
        <v>8.0317990843560404E-3</v>
      </c>
      <c r="ALP13">
        <v>45.401670367182398</v>
      </c>
      <c r="ALQ13">
        <v>2.8893085230749098</v>
      </c>
      <c r="ALR13">
        <v>7.6250000547795302</v>
      </c>
      <c r="ALS13">
        <v>2.8893090680159998</v>
      </c>
      <c r="ALT13">
        <v>9.4438502556186599</v>
      </c>
      <c r="ALU13">
        <v>2.8893090680159998</v>
      </c>
      <c r="ALV13">
        <v>12.2200383644412</v>
      </c>
      <c r="ALW13">
        <v>9.9999999999999897E-12</v>
      </c>
      <c r="ALX13">
        <v>7.625</v>
      </c>
      <c r="ALY13">
        <v>9.9999999999999897E-12</v>
      </c>
      <c r="ALZ13">
        <v>0</v>
      </c>
      <c r="AMA13">
        <v>7.625</v>
      </c>
      <c r="AMB13">
        <v>0</v>
      </c>
      <c r="AMC13">
        <v>7.625</v>
      </c>
      <c r="AMD13">
        <v>0</v>
      </c>
      <c r="AME13">
        <v>7.625</v>
      </c>
      <c r="AMF13">
        <v>0</v>
      </c>
      <c r="AMG13">
        <v>0</v>
      </c>
      <c r="AMH13">
        <v>2.8893090680159998</v>
      </c>
      <c r="AMI13">
        <v>19.0139866425645</v>
      </c>
      <c r="AMJ13">
        <v>0</v>
      </c>
      <c r="AMK13" s="580">
        <v>16.949562405264299</v>
      </c>
      <c r="AML13">
        <v>0.86607511999999998</v>
      </c>
      <c r="AMM13">
        <v>19.033735481449099</v>
      </c>
      <c r="AMN13">
        <v>0</v>
      </c>
      <c r="AMO13">
        <v>19.0461976444759</v>
      </c>
      <c r="AMP13">
        <v>0</v>
      </c>
      <c r="AMQ13">
        <v>19.102746105941801</v>
      </c>
      <c r="AMR13">
        <v>0</v>
      </c>
      <c r="AMS13">
        <v>18.157972076831498</v>
      </c>
      <c r="AMT13">
        <v>0.86607511999999998</v>
      </c>
      <c r="AMU13">
        <v>20.440102754071798</v>
      </c>
      <c r="AMV13">
        <v>0</v>
      </c>
      <c r="AMW13">
        <v>20.442813574379201</v>
      </c>
      <c r="AMX13">
        <v>2.7470059951759801E-2</v>
      </c>
      <c r="AMY13">
        <v>20.412022732013799</v>
      </c>
      <c r="AMZ13">
        <v>8.8407164049397899E-2</v>
      </c>
      <c r="ANA13">
        <v>20.448571455386801</v>
      </c>
      <c r="ANB13">
        <v>0.17520593907375201</v>
      </c>
      <c r="ANC13">
        <v>17.9943827913471</v>
      </c>
      <c r="AND13">
        <v>0.86607511999999998</v>
      </c>
      <c r="ANE13">
        <v>19.852999698362801</v>
      </c>
      <c r="ANF13">
        <v>0</v>
      </c>
      <c r="ANG13">
        <v>19.8296070555519</v>
      </c>
      <c r="ANH13">
        <v>0</v>
      </c>
      <c r="ANI13">
        <v>19.904644644393802</v>
      </c>
      <c r="ANJ13">
        <v>0</v>
      </c>
      <c r="ANK13">
        <v>20.010344543615599</v>
      </c>
      <c r="ANL13">
        <v>0</v>
      </c>
      <c r="ANM13">
        <v>0.86607511999999998</v>
      </c>
      <c r="ANN13">
        <v>1.1571582830749101</v>
      </c>
      <c r="ANO13">
        <v>0.86607511999999998</v>
      </c>
      <c r="ANP13">
        <v>16.949562405264299</v>
      </c>
      <c r="ANQ13">
        <v>19.033735481449099</v>
      </c>
      <c r="ANR13">
        <v>19.0139866425645</v>
      </c>
      <c r="ANS13">
        <v>19.102746105941801</v>
      </c>
      <c r="ANT13">
        <v>19.0461976444759</v>
      </c>
      <c r="ANU13">
        <v>18.157972076831498</v>
      </c>
      <c r="ANV13">
        <v>20.440102754071798</v>
      </c>
      <c r="ANW13">
        <v>20.4289419504316</v>
      </c>
      <c r="ANX13">
        <v>20.416377840781799</v>
      </c>
      <c r="ANY13">
        <v>20.3776113473408</v>
      </c>
      <c r="ANZ13">
        <v>17.9943827913471</v>
      </c>
      <c r="AOA13">
        <v>19.852999698362801</v>
      </c>
      <c r="AOB13">
        <v>19.8296070555519</v>
      </c>
      <c r="AOC13">
        <v>20.010344543615599</v>
      </c>
      <c r="AOD13">
        <v>19.904644644393802</v>
      </c>
      <c r="AOE13">
        <v>23.2716608359055</v>
      </c>
      <c r="AOF13">
        <v>2.8893090680159998</v>
      </c>
      <c r="AOG13">
        <v>23.200503316401701</v>
      </c>
      <c r="AOH13">
        <v>2.8893090680159998</v>
      </c>
    </row>
    <row r="14" spans="1:1074">
      <c r="A14" t="s">
        <v>2949</v>
      </c>
      <c r="B14">
        <v>7.8875000000000002</v>
      </c>
      <c r="D14">
        <v>7.8875000000000002</v>
      </c>
      <c r="F14">
        <v>5</v>
      </c>
      <c r="G14">
        <v>7946514.7211496597</v>
      </c>
      <c r="H14">
        <v>17985818.507044401</v>
      </c>
      <c r="I14">
        <v>5046510.6219956204</v>
      </c>
      <c r="J14">
        <v>11422067.072941</v>
      </c>
      <c r="K14">
        <v>7946514.7211496504</v>
      </c>
      <c r="L14">
        <v>17985818.5070443</v>
      </c>
      <c r="M14">
        <v>5046510.6219956204</v>
      </c>
      <c r="N14">
        <v>11422067.072941</v>
      </c>
      <c r="O14">
        <v>40981724.378117897</v>
      </c>
      <c r="P14">
        <v>92756369.633190095</v>
      </c>
      <c r="Q14">
        <v>7946514.7211496597</v>
      </c>
      <c r="R14">
        <v>17985818.507044401</v>
      </c>
      <c r="S14">
        <v>5046510.6219956204</v>
      </c>
      <c r="T14">
        <v>11422067.072941</v>
      </c>
      <c r="U14">
        <v>7946514.7211496504</v>
      </c>
      <c r="V14">
        <v>17985818.5070443</v>
      </c>
      <c r="W14">
        <v>5046510.6219956204</v>
      </c>
      <c r="X14">
        <v>11422067.072941</v>
      </c>
      <c r="Y14">
        <v>40981724.378117897</v>
      </c>
      <c r="Z14">
        <v>92756369.633190095</v>
      </c>
      <c r="AA14">
        <v>7946514.7211496597</v>
      </c>
      <c r="AB14">
        <v>17985818.507044401</v>
      </c>
      <c r="AC14">
        <v>5046510.6219956204</v>
      </c>
      <c r="AD14">
        <v>11422067.072941</v>
      </c>
      <c r="AE14">
        <v>7946514.7211496504</v>
      </c>
      <c r="AF14">
        <v>17985818.5070443</v>
      </c>
      <c r="AG14">
        <v>5046510.6219956204</v>
      </c>
      <c r="AH14">
        <v>11422067.072941</v>
      </c>
      <c r="AI14">
        <v>40981724.378117897</v>
      </c>
      <c r="AJ14">
        <v>92756369.633190095</v>
      </c>
      <c r="AK14">
        <v>11.858114251403199</v>
      </c>
      <c r="AL14">
        <v>1978030.2193463501</v>
      </c>
      <c r="AM14">
        <v>5122705.3566061901</v>
      </c>
      <c r="AN14">
        <v>11.858114251403199</v>
      </c>
      <c r="AO14">
        <v>1978030.2193463501</v>
      </c>
      <c r="AP14">
        <v>5122705.3566061901</v>
      </c>
      <c r="AQ14">
        <v>7.5306095346774198</v>
      </c>
      <c r="AR14">
        <v>1256167.1201579999</v>
      </c>
      <c r="AS14">
        <v>3253223.3189806398</v>
      </c>
      <c r="AT14">
        <v>7.53060953467741</v>
      </c>
      <c r="AU14">
        <v>1256167.1201579999</v>
      </c>
      <c r="AV14">
        <v>3253223.3189806398</v>
      </c>
      <c r="AW14">
        <v>11.858114251403199</v>
      </c>
      <c r="AX14">
        <v>1978030.2193463501</v>
      </c>
      <c r="AY14">
        <v>5122705.3566061901</v>
      </c>
      <c r="AZ14">
        <v>11.858114251403199</v>
      </c>
      <c r="BA14">
        <v>1978030.2193463501</v>
      </c>
      <c r="BB14">
        <v>5122705.3566061901</v>
      </c>
      <c r="BC14">
        <v>7.5306095346774198</v>
      </c>
      <c r="BD14">
        <v>1256167.1201579999</v>
      </c>
      <c r="BE14">
        <v>3253223.3189806398</v>
      </c>
      <c r="BF14">
        <v>7.53060953467741</v>
      </c>
      <c r="BG14">
        <v>1256167.1201579999</v>
      </c>
      <c r="BH14">
        <v>3253223.3189806398</v>
      </c>
      <c r="BI14">
        <v>11.858114251403199</v>
      </c>
      <c r="BJ14">
        <v>1978030.2193463501</v>
      </c>
      <c r="BK14">
        <v>5122705.3566061901</v>
      </c>
      <c r="BL14">
        <v>11.858114251403199</v>
      </c>
      <c r="BM14">
        <v>1978030.2193463501</v>
      </c>
      <c r="BN14">
        <v>5122705.3566061901</v>
      </c>
      <c r="BO14">
        <v>7.5306095346774198</v>
      </c>
      <c r="BP14">
        <v>1256167.1201579999</v>
      </c>
      <c r="BQ14">
        <v>3253223.3189806398</v>
      </c>
      <c r="BR14">
        <v>7.53060953467741</v>
      </c>
      <c r="BS14">
        <v>1256167.1201579999</v>
      </c>
      <c r="BT14">
        <v>3253223.3189806398</v>
      </c>
      <c r="BU14">
        <v>26418789.414181199</v>
      </c>
      <c r="BV14">
        <v>61.154605125419401</v>
      </c>
      <c r="BW14">
        <v>10201087.156497801</v>
      </c>
      <c r="BX14">
        <v>26418789.414181199</v>
      </c>
      <c r="BY14">
        <v>61.154605125419401</v>
      </c>
      <c r="BZ14">
        <v>10201087.156497801</v>
      </c>
      <c r="CA14">
        <v>26418789.414181199</v>
      </c>
      <c r="CB14">
        <v>61.154605125419401</v>
      </c>
      <c r="CC14">
        <v>10201087.156497801</v>
      </c>
      <c r="CD14">
        <v>26418789.414181199</v>
      </c>
      <c r="CE14">
        <v>3395861.87171567</v>
      </c>
      <c r="CF14">
        <v>7717867.8902628897</v>
      </c>
      <c r="CG14">
        <v>3395861.87171567</v>
      </c>
      <c r="CH14">
        <v>7717867.8902628897</v>
      </c>
      <c r="CI14">
        <v>2156574.7510455502</v>
      </c>
      <c r="CJ14">
        <v>4901306.2523762397</v>
      </c>
      <c r="CK14">
        <v>2156574.75104554</v>
      </c>
      <c r="CL14">
        <v>4901306.2523762397</v>
      </c>
      <c r="CM14">
        <v>3395861.87171567</v>
      </c>
      <c r="CN14">
        <v>7717867.8902628897</v>
      </c>
      <c r="CO14">
        <v>3395861.87171567</v>
      </c>
      <c r="CP14">
        <v>7717867.8902628897</v>
      </c>
      <c r="CQ14">
        <v>2156574.7510455502</v>
      </c>
      <c r="CR14">
        <v>4901306.2523762397</v>
      </c>
      <c r="CS14">
        <v>2156574.75104554</v>
      </c>
      <c r="CT14">
        <v>4901306.2523762397</v>
      </c>
      <c r="CU14">
        <v>3395861.87171567</v>
      </c>
      <c r="CV14">
        <v>7717867.8902628897</v>
      </c>
      <c r="CW14">
        <v>3395861.87171567</v>
      </c>
      <c r="CX14">
        <v>7717867.8902628897</v>
      </c>
      <c r="CY14">
        <v>2156574.7510455502</v>
      </c>
      <c r="CZ14">
        <v>4901306.2523762397</v>
      </c>
      <c r="DA14">
        <v>2156574.75104554</v>
      </c>
      <c r="DB14">
        <v>4901306.2523762397</v>
      </c>
      <c r="DC14">
        <v>17513121.177818298</v>
      </c>
      <c r="DD14">
        <v>39802548.131405301</v>
      </c>
      <c r="DE14">
        <v>17513121.177818298</v>
      </c>
      <c r="DF14">
        <v>39802548.131405301</v>
      </c>
      <c r="DG14">
        <v>17513121.177818298</v>
      </c>
      <c r="DH14">
        <v>39802548.131405301</v>
      </c>
      <c r="DI14">
        <v>2572622.6300876299</v>
      </c>
      <c r="DJ14">
        <v>5145245.2601752598</v>
      </c>
      <c r="DK14">
        <v>2572622.6300876299</v>
      </c>
      <c r="DL14">
        <v>5145245.2601752598</v>
      </c>
      <c r="DM14">
        <v>1633768.7507920801</v>
      </c>
      <c r="DN14">
        <v>3267537.5015841601</v>
      </c>
      <c r="DO14">
        <v>1633768.7507920801</v>
      </c>
      <c r="DP14">
        <v>3267537.5015841601</v>
      </c>
      <c r="DQ14">
        <v>2572622.6300876299</v>
      </c>
      <c r="DR14">
        <v>5145245.2601752598</v>
      </c>
      <c r="DS14">
        <v>2572622.6300876299</v>
      </c>
      <c r="DT14">
        <v>5145245.2601752598</v>
      </c>
      <c r="DU14">
        <v>1633768.7507920801</v>
      </c>
      <c r="DV14">
        <v>3267537.5015841601</v>
      </c>
      <c r="DW14">
        <v>1633768.7507920801</v>
      </c>
      <c r="DX14">
        <v>3267537.5015841601</v>
      </c>
      <c r="DY14">
        <v>2572622.6300876299</v>
      </c>
      <c r="DZ14">
        <v>5145245.2601752598</v>
      </c>
      <c r="EA14">
        <v>2572622.6300876299</v>
      </c>
      <c r="EB14">
        <v>5145245.2601752598</v>
      </c>
      <c r="EC14">
        <v>1633768.7507920801</v>
      </c>
      <c r="ED14">
        <v>3267537.5015841601</v>
      </c>
      <c r="EE14">
        <v>1633768.7507920801</v>
      </c>
      <c r="EF14">
        <v>3267537.5015841601</v>
      </c>
      <c r="EG14">
        <v>13267516.043801799</v>
      </c>
      <c r="EH14">
        <v>26535032.087603599</v>
      </c>
      <c r="EI14">
        <v>13267516.043801799</v>
      </c>
      <c r="EJ14">
        <v>26535032.087603599</v>
      </c>
      <c r="EK14">
        <v>13267516.043801799</v>
      </c>
      <c r="EL14">
        <v>26535032.087603599</v>
      </c>
      <c r="EM14">
        <v>0</v>
      </c>
      <c r="EN14">
        <v>0</v>
      </c>
      <c r="EO14">
        <v>0</v>
      </c>
      <c r="EP14">
        <v>0</v>
      </c>
      <c r="EQ14">
        <v>0</v>
      </c>
      <c r="ER14">
        <v>0</v>
      </c>
      <c r="ES14">
        <v>0</v>
      </c>
      <c r="ET14">
        <v>0</v>
      </c>
      <c r="EU14">
        <v>3.1217448075536098</v>
      </c>
      <c r="EV14">
        <v>0</v>
      </c>
      <c r="EW14">
        <v>0</v>
      </c>
      <c r="EX14">
        <v>0</v>
      </c>
      <c r="EY14">
        <v>3.0413217989983199</v>
      </c>
      <c r="EZ14">
        <v>0</v>
      </c>
      <c r="FA14">
        <v>0</v>
      </c>
      <c r="FB14">
        <v>3.1224189328029501</v>
      </c>
      <c r="FC14">
        <v>0</v>
      </c>
      <c r="FD14">
        <v>0</v>
      </c>
      <c r="FE14">
        <v>0</v>
      </c>
      <c r="FF14">
        <v>0</v>
      </c>
      <c r="FG14">
        <v>0</v>
      </c>
      <c r="FH14">
        <v>0</v>
      </c>
      <c r="FI14">
        <v>0</v>
      </c>
      <c r="FJ14">
        <v>0</v>
      </c>
      <c r="FK14">
        <v>0</v>
      </c>
      <c r="FL14">
        <v>0</v>
      </c>
      <c r="FM14">
        <v>0</v>
      </c>
      <c r="FN14">
        <v>0</v>
      </c>
      <c r="FO14">
        <v>2.45251372506161E-2</v>
      </c>
      <c r="FP14">
        <v>0</v>
      </c>
      <c r="FQ14">
        <v>3.7712464405102401E-3</v>
      </c>
      <c r="FR14">
        <v>0</v>
      </c>
      <c r="FS14">
        <v>0</v>
      </c>
      <c r="FT14">
        <v>0</v>
      </c>
      <c r="FU14">
        <v>312.512023408179</v>
      </c>
      <c r="FV14">
        <v>0</v>
      </c>
      <c r="FW14">
        <v>0</v>
      </c>
      <c r="FX14">
        <v>7.0579227337934803E-4</v>
      </c>
      <c r="FY14">
        <v>2.45251372506161E-2</v>
      </c>
      <c r="FZ14">
        <v>0</v>
      </c>
      <c r="GA14">
        <v>3.7712464405102401E-3</v>
      </c>
      <c r="GB14">
        <v>-200.656357945515</v>
      </c>
      <c r="GC14">
        <v>-418.78654505714502</v>
      </c>
      <c r="GD14">
        <v>-540.54199169888795</v>
      </c>
      <c r="GE14">
        <v>-124.903614961003</v>
      </c>
      <c r="GF14">
        <v>-255.164433617941</v>
      </c>
      <c r="GG14">
        <v>-330.39025660846801</v>
      </c>
      <c r="GH14">
        <v>-204.63398395158899</v>
      </c>
      <c r="GI14">
        <v>-458.42823884894199</v>
      </c>
      <c r="GJ14">
        <v>-593.98997794044999</v>
      </c>
      <c r="GK14">
        <v>-132.80133369773199</v>
      </c>
      <c r="GL14">
        <v>-262.16751139834201</v>
      </c>
      <c r="GM14">
        <v>-340.43919774248297</v>
      </c>
      <c r="GN14">
        <v>-37.054982787199201</v>
      </c>
      <c r="GO14">
        <v>21.442261598818199</v>
      </c>
      <c r="GP14">
        <v>22.447857810599601</v>
      </c>
      <c r="GQ14">
        <v>139.05396572796101</v>
      </c>
      <c r="GR14">
        <v>-70.910658037162406</v>
      </c>
      <c r="GS14">
        <v>-811.75182055892299</v>
      </c>
      <c r="GT14">
        <v>-24.103705465337701</v>
      </c>
      <c r="GU14">
        <v>21.389444308418501</v>
      </c>
      <c r="GV14">
        <v>22.3892598326768</v>
      </c>
      <c r="GW14">
        <v>88.031452104970199</v>
      </c>
      <c r="GX14">
        <v>-45.675597547583202</v>
      </c>
      <c r="GY14">
        <v>-513.24048827095896</v>
      </c>
      <c r="GZ14">
        <v>-33.395972102115699</v>
      </c>
      <c r="HA14">
        <v>21.660396245909499</v>
      </c>
      <c r="HB14">
        <v>22.753309832259099</v>
      </c>
      <c r="HC14">
        <v>152.73266732757901</v>
      </c>
      <c r="HD14">
        <v>-80.042698364826293</v>
      </c>
      <c r="HE14">
        <v>-886.59349878933699</v>
      </c>
      <c r="HF14">
        <v>-24.504801601207301</v>
      </c>
      <c r="HG14">
        <v>21.392346948372001</v>
      </c>
      <c r="HH14">
        <v>22.412869475809899</v>
      </c>
      <c r="HI14">
        <v>90.557259789627807</v>
      </c>
      <c r="HJ14">
        <v>-44.910532315600001</v>
      </c>
      <c r="HK14">
        <v>-516.57181837968005</v>
      </c>
      <c r="HL14">
        <v>-161.140033997085</v>
      </c>
      <c r="HM14">
        <v>23.732583048962201</v>
      </c>
      <c r="HN14">
        <v>24.0416157542187</v>
      </c>
      <c r="HO14">
        <v>-58.597499388928803</v>
      </c>
      <c r="HP14">
        <v>-287.34905046361803</v>
      </c>
      <c r="HQ14">
        <v>22.902214458862701</v>
      </c>
      <c r="HR14">
        <v>-532.68776076532902</v>
      </c>
      <c r="HS14">
        <v>-112.00428153269399</v>
      </c>
      <c r="HT14">
        <v>23.732605808099201</v>
      </c>
      <c r="HU14">
        <v>24.051027271351199</v>
      </c>
      <c r="HV14">
        <v>-36.123286278048901</v>
      </c>
      <c r="HW14">
        <v>-204.77393171227101</v>
      </c>
      <c r="HX14">
        <v>22.841842695897899</v>
      </c>
      <c r="HY14">
        <v>-341.27439069272901</v>
      </c>
      <c r="HZ14">
        <v>23.8692147842645</v>
      </c>
      <c r="IA14">
        <v>24.1102368470576</v>
      </c>
      <c r="IB14">
        <v>-45.768762969847899</v>
      </c>
      <c r="IC14">
        <v>-134.23739901178601</v>
      </c>
      <c r="ID14">
        <v>-261.48105198272202</v>
      </c>
      <c r="IE14">
        <v>23.1133217407884</v>
      </c>
      <c r="IF14">
        <v>-464.188997104306</v>
      </c>
      <c r="IG14">
        <v>-13.7890554886361</v>
      </c>
      <c r="IH14">
        <v>23.726435616606299</v>
      </c>
      <c r="II14">
        <v>24.048331579315999</v>
      </c>
      <c r="IJ14">
        <v>-29.973065320017302</v>
      </c>
      <c r="IK14">
        <v>-11.882595095991</v>
      </c>
      <c r="IL14">
        <v>-111.39394155592601</v>
      </c>
      <c r="IM14">
        <v>-192.518579800852</v>
      </c>
      <c r="IN14">
        <v>22.8592346476294</v>
      </c>
      <c r="IO14">
        <v>1.57122520585948</v>
      </c>
      <c r="IP14">
        <v>-339.72794854981902</v>
      </c>
      <c r="IQ14">
        <v>-50.447821553641397</v>
      </c>
      <c r="IR14">
        <v>-28.845721492246099</v>
      </c>
      <c r="IS14">
        <v>-36.357897583043098</v>
      </c>
      <c r="IT14">
        <v>-29.220072119116001</v>
      </c>
      <c r="IU14">
        <v>-4244.0913978705603</v>
      </c>
      <c r="IV14">
        <v>-52.791428658787602</v>
      </c>
      <c r="IW14">
        <v>21.753507271235001</v>
      </c>
      <c r="IX14">
        <v>22.902214458862701</v>
      </c>
      <c r="IY14">
        <v>108.802878424516</v>
      </c>
      <c r="IZ14">
        <v>-204.94774607680699</v>
      </c>
      <c r="JA14">
        <v>-1165.96173428983</v>
      </c>
      <c r="JB14">
        <v>-24.690649001288499</v>
      </c>
      <c r="JC14">
        <v>21.618097089450501</v>
      </c>
      <c r="JD14">
        <v>22.841842695897899</v>
      </c>
      <c r="JE14">
        <v>109.860284077557</v>
      </c>
      <c r="JF14">
        <v>-69.756059877289502</v>
      </c>
      <c r="JG14">
        <v>-675.64016294889097</v>
      </c>
      <c r="JH14">
        <v>-68.698501664902196</v>
      </c>
      <c r="JI14">
        <v>22.001900201162901</v>
      </c>
      <c r="JJ14">
        <v>23.1133217407884</v>
      </c>
      <c r="JK14">
        <v>27.167240310800299</v>
      </c>
      <c r="JL14">
        <v>-337.57369042216999</v>
      </c>
      <c r="JM14">
        <v>-1348.02199401491</v>
      </c>
      <c r="JN14">
        <v>-32.3055724306017</v>
      </c>
      <c r="JO14">
        <v>21.6647429470747</v>
      </c>
      <c r="JP14">
        <v>22.8592346476294</v>
      </c>
      <c r="JQ14">
        <v>1.1011397389667901</v>
      </c>
      <c r="JR14">
        <v>77.846383877811704</v>
      </c>
      <c r="JS14">
        <v>1.27308878533909</v>
      </c>
      <c r="JT14">
        <v>-109.68502166826801</v>
      </c>
      <c r="JU14">
        <v>-726.801906706203</v>
      </c>
      <c r="JV14">
        <v>-186.18544141165401</v>
      </c>
      <c r="JW14">
        <v>-344.75037725570797</v>
      </c>
      <c r="JX14">
        <v>-468.051564581533</v>
      </c>
      <c r="JY14">
        <v>-116.30281604932399</v>
      </c>
      <c r="JZ14">
        <v>-206.587518270413</v>
      </c>
      <c r="KA14">
        <v>-280.19813887318298</v>
      </c>
      <c r="KB14">
        <v>-193.22464780626399</v>
      </c>
      <c r="KC14">
        <v>-379.70638673119203</v>
      </c>
      <c r="KD14">
        <v>-509.89460511116198</v>
      </c>
      <c r="KE14">
        <v>-124.19657680521</v>
      </c>
      <c r="KF14">
        <v>22.6890220497421</v>
      </c>
      <c r="KG14">
        <v>-73.459683187266705</v>
      </c>
      <c r="KH14">
        <v>0.87414491152351903</v>
      </c>
      <c r="KI14">
        <v>-215.31660241534101</v>
      </c>
      <c r="KJ14">
        <v>-295.27066681278899</v>
      </c>
      <c r="KK14">
        <v>-37.134461418075098</v>
      </c>
      <c r="KL14">
        <v>21.760112388453098</v>
      </c>
      <c r="KM14">
        <v>22.603228983082801</v>
      </c>
      <c r="KN14">
        <v>231.31527713199799</v>
      </c>
      <c r="KO14">
        <v>21.285315598063701</v>
      </c>
      <c r="KP14">
        <v>17.762821374797401</v>
      </c>
      <c r="KQ14">
        <v>29.1298077046869</v>
      </c>
      <c r="KR14">
        <v>-349.06579949267399</v>
      </c>
      <c r="KS14">
        <v>-24.197841938793399</v>
      </c>
      <c r="KT14">
        <v>21.678807401492602</v>
      </c>
      <c r="KU14">
        <v>22.5119917275874</v>
      </c>
      <c r="KV14">
        <v>144.229252761027</v>
      </c>
      <c r="KW14">
        <v>21.204428344701402</v>
      </c>
      <c r="KX14">
        <v>17.662537932391299</v>
      </c>
      <c r="KY14">
        <v>17.6006794796705</v>
      </c>
      <c r="KZ14">
        <v>-218.600071692217</v>
      </c>
      <c r="LA14">
        <v>-34.007686106261197</v>
      </c>
      <c r="LB14">
        <v>22.0523054815195</v>
      </c>
      <c r="LC14">
        <v>22.9539837241798</v>
      </c>
      <c r="LD14">
        <v>244.58358107629201</v>
      </c>
      <c r="LE14">
        <v>21.546437505684398</v>
      </c>
      <c r="LF14">
        <v>17.768313848315898</v>
      </c>
      <c r="LG14">
        <v>29.138223762903099</v>
      </c>
      <c r="LH14">
        <v>-373.079213126703</v>
      </c>
      <c r="LI14">
        <v>-24.381987156882499</v>
      </c>
      <c r="LJ14">
        <v>21.664564996635999</v>
      </c>
      <c r="LK14">
        <v>22.5381492507919</v>
      </c>
      <c r="LL14">
        <v>148.456100600002</v>
      </c>
      <c r="LM14">
        <v>21.162769692093399</v>
      </c>
      <c r="LN14">
        <v>17.265479238799799</v>
      </c>
      <c r="LO14">
        <v>16.5481615233385</v>
      </c>
      <c r="LP14">
        <v>-236.323368464194</v>
      </c>
      <c r="LQ14">
        <v>-15.4012768820904</v>
      </c>
      <c r="LR14">
        <v>18.686369739952202</v>
      </c>
      <c r="LS14">
        <v>16.440999999999999</v>
      </c>
      <c r="LT14">
        <v>-190.48150370420899</v>
      </c>
      <c r="LU14">
        <v>-1268.5677315141099</v>
      </c>
      <c r="LV14">
        <v>19.8332144287834</v>
      </c>
      <c r="LW14">
        <v>21.904797716289799</v>
      </c>
      <c r="LX14">
        <v>239.532009624095</v>
      </c>
      <c r="LY14">
        <v>-10.0919550552701</v>
      </c>
      <c r="LZ14">
        <v>18.672186888621599</v>
      </c>
      <c r="MA14">
        <v>16.440999999999999</v>
      </c>
      <c r="MB14">
        <v>-121.19570931667</v>
      </c>
      <c r="MC14">
        <v>-803.90565516623201</v>
      </c>
      <c r="MD14">
        <v>19.819377694037598</v>
      </c>
      <c r="ME14">
        <v>21.867372361034601</v>
      </c>
      <c r="MF14">
        <v>151.97092575223101</v>
      </c>
      <c r="MG14">
        <v>-13.3067718137189</v>
      </c>
      <c r="MH14">
        <v>18.729108801835199</v>
      </c>
      <c r="MI14">
        <v>16.440999999999999</v>
      </c>
      <c r="MJ14">
        <v>-202.70642280074901</v>
      </c>
      <c r="MK14">
        <v>-1353.4500738536001</v>
      </c>
      <c r="ML14">
        <v>19.9470307380581</v>
      </c>
      <c r="MM14">
        <v>22.175045076003801</v>
      </c>
      <c r="MN14">
        <v>253.95775836970299</v>
      </c>
      <c r="MO14">
        <v>-10.2497680662053</v>
      </c>
      <c r="MP14">
        <v>18.6609313351114</v>
      </c>
      <c r="MQ14">
        <v>16.440999999999999</v>
      </c>
      <c r="MR14">
        <v>-120.015965467662</v>
      </c>
      <c r="MS14">
        <v>-799.58399802748602</v>
      </c>
      <c r="MT14">
        <v>19.803399806443501</v>
      </c>
      <c r="MU14">
        <v>21.881613057876699</v>
      </c>
      <c r="MV14">
        <v>152.02619745129601</v>
      </c>
      <c r="MW14">
        <v>-15.196795867580301</v>
      </c>
      <c r="MX14">
        <v>20.4483863115635</v>
      </c>
      <c r="MY14">
        <v>20.6126264196715</v>
      </c>
      <c r="MZ14">
        <v>-22.043207614139401</v>
      </c>
      <c r="NA14">
        <v>-626.47024942531402</v>
      </c>
      <c r="NB14">
        <v>21.115308463822</v>
      </c>
      <c r="NC14">
        <v>22.638961846686399</v>
      </c>
      <c r="ND14">
        <v>228.02163604085001</v>
      </c>
      <c r="NE14">
        <v>-13.1774901722503</v>
      </c>
      <c r="NF14">
        <v>20.4455934202538</v>
      </c>
      <c r="NG14">
        <v>20.558489380769899</v>
      </c>
      <c r="NH14">
        <v>-56.210390970683903</v>
      </c>
      <c r="NI14">
        <v>-453.50112701925099</v>
      </c>
      <c r="NJ14">
        <v>21.135917220504201</v>
      </c>
      <c r="NK14">
        <v>22.649217984190201</v>
      </c>
      <c r="NL14">
        <v>108.168044362071</v>
      </c>
      <c r="NM14">
        <v>-5.67025080191112</v>
      </c>
      <c r="NN14">
        <v>20.509376758826701</v>
      </c>
      <c r="NO14">
        <v>20.762442229092901</v>
      </c>
      <c r="NP14">
        <v>92.302976443296203</v>
      </c>
      <c r="NQ14" s="35">
        <v>-537.70094678075498</v>
      </c>
      <c r="NR14" s="35">
        <v>21.202933510806499</v>
      </c>
      <c r="NS14">
        <v>22.8280809695481</v>
      </c>
      <c r="NT14">
        <v>352.35455841934498</v>
      </c>
      <c r="NU14">
        <v>-10.337457117787499</v>
      </c>
      <c r="NV14">
        <v>20.408055483511401</v>
      </c>
      <c r="NW14">
        <v>20.552728953099798</v>
      </c>
      <c r="NX14">
        <v>1.7</v>
      </c>
      <c r="NY14">
        <v>-22.192391014285199</v>
      </c>
      <c r="NZ14">
        <v>-412.87082598304198</v>
      </c>
      <c r="OA14">
        <v>21.088197276892199</v>
      </c>
      <c r="OB14">
        <v>22.630710318663699</v>
      </c>
      <c r="OC14">
        <v>1.7</v>
      </c>
      <c r="OD14">
        <v>139.761526494831</v>
      </c>
      <c r="OE14">
        <v>1.7</v>
      </c>
      <c r="OF14">
        <v>1.7</v>
      </c>
      <c r="OG14">
        <v>-19.417758433386901</v>
      </c>
      <c r="OH14">
        <v>20.068572824457</v>
      </c>
      <c r="OI14">
        <v>20.7164852595563</v>
      </c>
      <c r="OJ14">
        <v>-55.2327748830605</v>
      </c>
      <c r="OK14">
        <v>-552.535338069918</v>
      </c>
      <c r="OL14">
        <v>20.623054008901601</v>
      </c>
      <c r="OM14">
        <v>22.174433611414301</v>
      </c>
      <c r="ON14">
        <v>152.67192618023199</v>
      </c>
      <c r="OO14">
        <v>-13.0223801784533</v>
      </c>
      <c r="OP14">
        <v>20.007981407253101</v>
      </c>
      <c r="OQ14">
        <v>20.575320551658798</v>
      </c>
      <c r="OR14">
        <v>-36.286944801203802</v>
      </c>
      <c r="OS14">
        <v>-355.61795939767001</v>
      </c>
      <c r="OT14">
        <v>20.570215795931901</v>
      </c>
      <c r="OU14">
        <v>22.101755249495099</v>
      </c>
      <c r="OV14">
        <v>97.591112231975401</v>
      </c>
      <c r="OW14">
        <v>-18.149538844914701</v>
      </c>
      <c r="OX14">
        <v>20.1857613612076</v>
      </c>
      <c r="OY14">
        <v>20.9214790972514</v>
      </c>
      <c r="OZ14">
        <v>-61.343643453937403</v>
      </c>
      <c r="PA14">
        <v>-605.88511022325599</v>
      </c>
      <c r="PB14">
        <v>20.788231335595199</v>
      </c>
      <c r="PC14">
        <v>22.481086192791398</v>
      </c>
      <c r="PD14">
        <v>164.55462584463899</v>
      </c>
      <c r="PE14">
        <v>-12.858345207913001</v>
      </c>
      <c r="PF14">
        <v>19.992652895407598</v>
      </c>
      <c r="PG14">
        <v>20.605438315660699</v>
      </c>
      <c r="PH14">
        <v>1.7</v>
      </c>
      <c r="PI14">
        <v>-35.589195000448697</v>
      </c>
      <c r="PJ14">
        <v>-355.07083330025102</v>
      </c>
      <c r="PK14">
        <v>20.554489031607702</v>
      </c>
      <c r="PL14">
        <v>22.124108915790899</v>
      </c>
      <c r="PM14" s="35">
        <v>1.7</v>
      </c>
      <c r="PN14">
        <v>98.1940309993916</v>
      </c>
      <c r="PO14">
        <v>22.404563344544702</v>
      </c>
      <c r="PP14">
        <v>22.367274671740901</v>
      </c>
      <c r="PQ14">
        <v>22.725224892329599</v>
      </c>
      <c r="PR14">
        <v>22.3985721398988</v>
      </c>
      <c r="PS14">
        <v>22.659295591616999</v>
      </c>
      <c r="PT14">
        <v>22.960121871123</v>
      </c>
      <c r="PU14">
        <v>22.9535688549615</v>
      </c>
      <c r="PV14">
        <v>23.177810368865099</v>
      </c>
      <c r="PW14">
        <v>22.9580709839096</v>
      </c>
      <c r="PX14">
        <v>23.7303235819458</v>
      </c>
      <c r="PY14">
        <v>22.5459758642012</v>
      </c>
      <c r="PZ14">
        <v>22.467740521029601</v>
      </c>
      <c r="QA14">
        <v>22.894084427664598</v>
      </c>
      <c r="QB14">
        <v>22.5098003442661</v>
      </c>
      <c r="QC14">
        <v>23.516111022250598</v>
      </c>
      <c r="QD14">
        <v>20.561136790844699</v>
      </c>
      <c r="QE14">
        <v>23.003864986263601</v>
      </c>
      <c r="QF14">
        <v>22.921017321117802</v>
      </c>
      <c r="QG14">
        <v>23.4039442672645</v>
      </c>
      <c r="QH14">
        <v>22.995127376149799</v>
      </c>
      <c r="QI14">
        <v>23.8008855464318</v>
      </c>
      <c r="QJ14">
        <v>23.5108910040605</v>
      </c>
      <c r="QK14">
        <v>23.439427708571401</v>
      </c>
      <c r="QL14">
        <v>23.675648889905599</v>
      </c>
      <c r="QM14">
        <v>23.493024239849198</v>
      </c>
      <c r="QN14">
        <v>-1017.74225643539</v>
      </c>
      <c r="QO14">
        <v>24.890313921906301</v>
      </c>
      <c r="QP14">
        <v>-3171.9045918861302</v>
      </c>
      <c r="QQ14">
        <v>23.088234364262401</v>
      </c>
      <c r="QR14">
        <v>22.9570329232847</v>
      </c>
      <c r="QS14">
        <v>23.514488629287101</v>
      </c>
      <c r="QT14">
        <v>23.050796991030399</v>
      </c>
      <c r="QU14">
        <v>24.596870333512399</v>
      </c>
      <c r="QV14">
        <v>18.284374393430301</v>
      </c>
      <c r="QW14">
        <v>469221.09748288698</v>
      </c>
      <c r="QX14">
        <v>0</v>
      </c>
      <c r="QY14">
        <v>485044.73610694299</v>
      </c>
      <c r="QZ14">
        <v>0</v>
      </c>
      <c r="RA14">
        <v>35736.912255623101</v>
      </c>
      <c r="RB14">
        <v>0</v>
      </c>
      <c r="RC14">
        <v>22275.272091094099</v>
      </c>
      <c r="RD14">
        <v>0</v>
      </c>
      <c r="RE14">
        <v>151088.59686387901</v>
      </c>
      <c r="RF14">
        <v>0</v>
      </c>
      <c r="RG14">
        <v>49581.190188396598</v>
      </c>
      <c r="RH14" s="35">
        <v>0</v>
      </c>
      <c r="RI14">
        <v>0</v>
      </c>
      <c r="RJ14" s="35">
        <v>0</v>
      </c>
      <c r="RK14">
        <v>23.603166627982599</v>
      </c>
      <c r="RL14">
        <v>0</v>
      </c>
      <c r="RM14" s="35">
        <v>-3596.10438401085</v>
      </c>
      <c r="RN14">
        <v>533.73283413848003</v>
      </c>
      <c r="RO14" s="35">
        <v>0</v>
      </c>
      <c r="RP14">
        <v>0</v>
      </c>
      <c r="RQ14" s="35">
        <v>23.474759970494699</v>
      </c>
      <c r="RR14" s="35">
        <v>0</v>
      </c>
      <c r="RS14">
        <v>-2157.78671030435</v>
      </c>
      <c r="RT14">
        <v>466.31090119455598</v>
      </c>
      <c r="RU14">
        <v>0</v>
      </c>
      <c r="RV14">
        <v>0</v>
      </c>
      <c r="RW14">
        <v>24.0826636421994</v>
      </c>
      <c r="RX14">
        <v>-187.43483848604799</v>
      </c>
      <c r="RY14">
        <v>-4310.7498881106303</v>
      </c>
      <c r="RZ14">
        <v>-187.43483848604799</v>
      </c>
      <c r="SA14">
        <v>0</v>
      </c>
      <c r="SB14">
        <v>0</v>
      </c>
      <c r="SC14">
        <v>23.5916826124007</v>
      </c>
      <c r="SD14">
        <v>0</v>
      </c>
      <c r="SE14">
        <v>-2285.9754954744399</v>
      </c>
      <c r="SF14">
        <v>337.39320546978502</v>
      </c>
      <c r="SG14">
        <v>0</v>
      </c>
      <c r="SH14">
        <v>8301.4665874858201</v>
      </c>
      <c r="SI14">
        <v>24.942475501246498</v>
      </c>
      <c r="SJ14">
        <v>0</v>
      </c>
      <c r="SK14">
        <v>-15320.7894468303</v>
      </c>
      <c r="SL14">
        <v>5677.7984525032198</v>
      </c>
      <c r="SM14">
        <v>21.1111</v>
      </c>
      <c r="SN14">
        <v>23.8889</v>
      </c>
      <c r="SO14">
        <v>0</v>
      </c>
      <c r="SP14">
        <v>0</v>
      </c>
      <c r="SQ14">
        <v>20.953234078226799</v>
      </c>
      <c r="SR14">
        <v>0</v>
      </c>
      <c r="SS14">
        <v>0</v>
      </c>
      <c r="ST14">
        <v>0</v>
      </c>
      <c r="SU14">
        <v>0</v>
      </c>
      <c r="SV14">
        <v>0</v>
      </c>
      <c r="SW14">
        <v>20.899266026016502</v>
      </c>
      <c r="SX14">
        <v>0</v>
      </c>
      <c r="SY14">
        <v>0</v>
      </c>
      <c r="SZ14">
        <v>0</v>
      </c>
      <c r="TA14">
        <v>0</v>
      </c>
      <c r="TB14">
        <v>0</v>
      </c>
      <c r="TC14">
        <v>21.137472211200699</v>
      </c>
      <c r="TD14">
        <v>0</v>
      </c>
      <c r="TE14">
        <v>0</v>
      </c>
      <c r="TF14">
        <v>0</v>
      </c>
      <c r="TG14">
        <v>0</v>
      </c>
      <c r="TH14">
        <v>0</v>
      </c>
      <c r="TI14">
        <v>20.894675306365698</v>
      </c>
      <c r="TJ14">
        <v>0</v>
      </c>
      <c r="TK14">
        <v>0</v>
      </c>
      <c r="TL14">
        <v>0</v>
      </c>
      <c r="TM14">
        <v>2292.2472695844299</v>
      </c>
      <c r="TN14">
        <v>0</v>
      </c>
      <c r="TO14">
        <v>22.8612292520612</v>
      </c>
      <c r="TP14">
        <v>0</v>
      </c>
      <c r="TQ14">
        <v>0</v>
      </c>
      <c r="TR14">
        <v>0</v>
      </c>
      <c r="TS14">
        <v>0</v>
      </c>
      <c r="TT14">
        <v>0</v>
      </c>
      <c r="TU14">
        <v>24.061660136998</v>
      </c>
      <c r="TV14">
        <v>-304.55497017959198</v>
      </c>
      <c r="TW14">
        <v>-4813.5469481709097</v>
      </c>
      <c r="TX14">
        <v>-302.764626505482</v>
      </c>
      <c r="TY14">
        <v>0</v>
      </c>
      <c r="TZ14">
        <v>0</v>
      </c>
      <c r="UA14">
        <v>23.925286562181299</v>
      </c>
      <c r="UB14">
        <v>-12.4003142127785</v>
      </c>
      <c r="UC14">
        <v>-2581.9391606501699</v>
      </c>
      <c r="UD14">
        <v>40.5256212674376</v>
      </c>
      <c r="UE14">
        <v>0</v>
      </c>
      <c r="UF14">
        <v>646.30140942856201</v>
      </c>
      <c r="UG14">
        <v>24.173487410946201</v>
      </c>
      <c r="UH14">
        <v>-946.83181574402204</v>
      </c>
      <c r="UI14">
        <v>-5313.64840176706</v>
      </c>
      <c r="UJ14">
        <v>-946.83181574402204</v>
      </c>
      <c r="UK14">
        <v>0</v>
      </c>
      <c r="UL14">
        <v>0</v>
      </c>
      <c r="UM14">
        <v>24.0279774957888</v>
      </c>
      <c r="UN14">
        <v>-179.679768234151</v>
      </c>
      <c r="UO14">
        <v>-2967.8588432153301</v>
      </c>
      <c r="UP14">
        <v>-179.679768234151</v>
      </c>
      <c r="UQ14">
        <v>0</v>
      </c>
      <c r="UR14">
        <v>8466.85959099705</v>
      </c>
      <c r="US14">
        <v>26.050304261866799</v>
      </c>
      <c r="UT14">
        <v>-1722.63652223654</v>
      </c>
      <c r="UU14">
        <v>-22539.543558226898</v>
      </c>
      <c r="UV14">
        <v>-1722.63652223654</v>
      </c>
      <c r="UW14">
        <v>21.1111</v>
      </c>
      <c r="UX14">
        <v>23.8889</v>
      </c>
      <c r="UY14">
        <v>0</v>
      </c>
      <c r="UZ14">
        <v>0</v>
      </c>
      <c r="VA14">
        <v>21.191392947459899</v>
      </c>
      <c r="VB14">
        <v>0</v>
      </c>
      <c r="VC14">
        <v>0</v>
      </c>
      <c r="VD14">
        <v>0</v>
      </c>
      <c r="VE14">
        <v>0</v>
      </c>
      <c r="VF14">
        <v>0</v>
      </c>
      <c r="VG14">
        <v>21.032056935057799</v>
      </c>
      <c r="VH14">
        <v>0</v>
      </c>
      <c r="VI14">
        <v>0</v>
      </c>
      <c r="VJ14">
        <v>0</v>
      </c>
      <c r="VK14">
        <v>374.32865489719001</v>
      </c>
      <c r="VL14">
        <v>0</v>
      </c>
      <c r="VM14">
        <v>21.856797135103999</v>
      </c>
      <c r="VN14">
        <v>0</v>
      </c>
      <c r="VO14">
        <v>0</v>
      </c>
      <c r="VP14">
        <v>0</v>
      </c>
      <c r="VQ14">
        <v>0</v>
      </c>
      <c r="VR14">
        <v>0</v>
      </c>
      <c r="VS14">
        <v>21.0979525196352</v>
      </c>
      <c r="VT14">
        <v>0</v>
      </c>
      <c r="VU14">
        <v>0</v>
      </c>
      <c r="VV14">
        <v>0</v>
      </c>
      <c r="VW14">
        <v>2503.1511417780498</v>
      </c>
      <c r="VX14">
        <v>0</v>
      </c>
      <c r="VY14">
        <v>23.458404653482699</v>
      </c>
      <c r="VZ14">
        <v>0</v>
      </c>
      <c r="WA14">
        <v>0</v>
      </c>
      <c r="WB14">
        <v>0</v>
      </c>
      <c r="WC14">
        <v>0</v>
      </c>
      <c r="WD14">
        <v>0</v>
      </c>
      <c r="WE14">
        <v>23.6304928643236</v>
      </c>
      <c r="WF14">
        <v>0</v>
      </c>
      <c r="WG14">
        <v>-3714.7816723576998</v>
      </c>
      <c r="WH14">
        <v>419.372103033602</v>
      </c>
      <c r="WI14">
        <v>0</v>
      </c>
      <c r="WJ14">
        <v>0</v>
      </c>
      <c r="WK14">
        <v>0</v>
      </c>
      <c r="WL14">
        <v>23.4463253255397</v>
      </c>
      <c r="WM14">
        <v>0</v>
      </c>
      <c r="WN14">
        <v>-2179.17310926555</v>
      </c>
      <c r="WO14">
        <v>448.35194930577302</v>
      </c>
      <c r="WP14">
        <v>21.1111</v>
      </c>
      <c r="WQ14">
        <v>23.8889</v>
      </c>
      <c r="WR14">
        <v>0</v>
      </c>
      <c r="WS14">
        <v>0</v>
      </c>
      <c r="WT14">
        <v>24.1348928309095</v>
      </c>
      <c r="WU14">
        <v>-342.561746445317</v>
      </c>
      <c r="WV14">
        <v>-4469.8348355225498</v>
      </c>
      <c r="WW14">
        <v>-342.561746445317</v>
      </c>
      <c r="WX14">
        <v>0</v>
      </c>
      <c r="WY14">
        <v>0</v>
      </c>
      <c r="WZ14">
        <v>0</v>
      </c>
      <c r="XA14">
        <v>23.591793637794801</v>
      </c>
      <c r="XB14">
        <v>0</v>
      </c>
      <c r="XC14">
        <v>-2334.3318411241598</v>
      </c>
      <c r="XD14">
        <v>292.10578009115602</v>
      </c>
      <c r="XE14">
        <v>0</v>
      </c>
      <c r="XF14">
        <v>7952.8930265152403</v>
      </c>
      <c r="XG14">
        <v>25.6776296447742</v>
      </c>
      <c r="XH14">
        <v>-1731.6086143780899</v>
      </c>
      <c r="XI14">
        <v>-22995.250132123801</v>
      </c>
      <c r="XJ14">
        <v>-1731.6086143780899</v>
      </c>
      <c r="XK14">
        <v>21.1111</v>
      </c>
      <c r="XL14">
        <v>23.8889</v>
      </c>
      <c r="XM14">
        <v>0</v>
      </c>
      <c r="XN14">
        <v>0</v>
      </c>
      <c r="XO14">
        <v>21.129870528781002</v>
      </c>
      <c r="XP14">
        <v>0</v>
      </c>
      <c r="XQ14">
        <v>0</v>
      </c>
      <c r="XR14">
        <v>0</v>
      </c>
      <c r="XS14">
        <v>0</v>
      </c>
      <c r="XT14">
        <v>0</v>
      </c>
      <c r="XU14">
        <v>21.0530847403754</v>
      </c>
      <c r="XV14">
        <v>0</v>
      </c>
      <c r="XW14">
        <v>0</v>
      </c>
      <c r="XX14">
        <v>0</v>
      </c>
      <c r="XY14">
        <v>0</v>
      </c>
      <c r="XZ14">
        <v>0</v>
      </c>
      <c r="YA14">
        <v>21.397193257761199</v>
      </c>
      <c r="YB14">
        <v>0</v>
      </c>
      <c r="YC14">
        <v>0</v>
      </c>
      <c r="YD14">
        <v>0</v>
      </c>
      <c r="YE14">
        <v>0</v>
      </c>
      <c r="YF14">
        <v>0</v>
      </c>
      <c r="YG14">
        <v>21.027647328534599</v>
      </c>
      <c r="YH14">
        <v>0</v>
      </c>
      <c r="YI14">
        <v>0</v>
      </c>
      <c r="YJ14">
        <v>0</v>
      </c>
      <c r="YK14">
        <v>1576.05615109153</v>
      </c>
      <c r="YL14">
        <v>0</v>
      </c>
      <c r="YM14">
        <v>24.315581091183201</v>
      </c>
      <c r="YN14">
        <v>0</v>
      </c>
      <c r="YO14">
        <v>0</v>
      </c>
      <c r="YP14">
        <v>0</v>
      </c>
      <c r="YQ14">
        <v>0</v>
      </c>
      <c r="YR14">
        <v>0</v>
      </c>
      <c r="YS14">
        <v>19.223735655439899</v>
      </c>
      <c r="YT14">
        <v>0</v>
      </c>
      <c r="YU14">
        <v>0</v>
      </c>
      <c r="YV14">
        <v>0</v>
      </c>
      <c r="YW14">
        <v>0</v>
      </c>
      <c r="YX14">
        <v>0</v>
      </c>
      <c r="YY14">
        <v>19.209433979331202</v>
      </c>
      <c r="YZ14">
        <v>0</v>
      </c>
      <c r="ZA14">
        <v>0</v>
      </c>
      <c r="ZB14">
        <v>0</v>
      </c>
      <c r="ZC14">
        <v>0</v>
      </c>
      <c r="ZD14">
        <v>0</v>
      </c>
      <c r="ZE14">
        <v>19.3032669282866</v>
      </c>
      <c r="ZF14">
        <v>0</v>
      </c>
      <c r="ZG14">
        <v>0</v>
      </c>
      <c r="ZH14">
        <v>0</v>
      </c>
      <c r="ZI14">
        <v>0</v>
      </c>
      <c r="ZJ14">
        <v>0</v>
      </c>
      <c r="ZK14">
        <v>19.1952102048845</v>
      </c>
      <c r="ZL14">
        <v>0</v>
      </c>
      <c r="ZM14">
        <v>0</v>
      </c>
      <c r="ZN14">
        <v>0</v>
      </c>
      <c r="ZO14">
        <v>0</v>
      </c>
      <c r="ZP14">
        <v>7698.8053044182598</v>
      </c>
      <c r="ZQ14">
        <v>17.087972646250101</v>
      </c>
      <c r="ZR14">
        <v>0</v>
      </c>
      <c r="ZS14">
        <v>0</v>
      </c>
      <c r="ZT14">
        <v>0</v>
      </c>
      <c r="ZU14">
        <v>0</v>
      </c>
      <c r="ZV14">
        <v>0</v>
      </c>
      <c r="ZW14">
        <v>20.707421789165799</v>
      </c>
      <c r="ZX14">
        <v>0</v>
      </c>
      <c r="ZY14">
        <v>0</v>
      </c>
      <c r="ZZ14">
        <v>0</v>
      </c>
      <c r="AAA14">
        <v>0</v>
      </c>
      <c r="AAB14">
        <v>0</v>
      </c>
      <c r="AAC14">
        <v>20.734654735104101</v>
      </c>
      <c r="AAD14">
        <v>0</v>
      </c>
      <c r="AAE14">
        <v>0</v>
      </c>
      <c r="AAF14">
        <v>0</v>
      </c>
      <c r="AAG14">
        <v>0</v>
      </c>
      <c r="AAH14">
        <v>327.20596473485398</v>
      </c>
      <c r="AAI14">
        <v>20.374618353707898</v>
      </c>
      <c r="AAJ14">
        <v>0</v>
      </c>
      <c r="AAK14">
        <v>0</v>
      </c>
      <c r="AAL14">
        <v>0</v>
      </c>
      <c r="AAM14">
        <v>0</v>
      </c>
      <c r="AAN14">
        <v>0</v>
      </c>
      <c r="AAO14">
        <v>20.663277048604801</v>
      </c>
      <c r="AAP14">
        <v>0</v>
      </c>
      <c r="AAQ14">
        <v>0</v>
      </c>
      <c r="AAR14">
        <v>0</v>
      </c>
      <c r="AAS14">
        <v>0</v>
      </c>
      <c r="AAT14">
        <v>10171.474154989301</v>
      </c>
      <c r="AAU14">
        <v>18.135731103025702</v>
      </c>
      <c r="AAV14">
        <v>0</v>
      </c>
      <c r="AAW14">
        <v>0</v>
      </c>
      <c r="AAX14">
        <v>0</v>
      </c>
      <c r="AAY14">
        <v>0</v>
      </c>
      <c r="AAZ14">
        <v>0</v>
      </c>
      <c r="ABA14">
        <v>20.289262066299401</v>
      </c>
      <c r="ABB14">
        <v>0</v>
      </c>
      <c r="ABC14">
        <v>0</v>
      </c>
      <c r="ABD14">
        <v>0</v>
      </c>
      <c r="ABE14">
        <v>0</v>
      </c>
      <c r="ABF14">
        <v>0</v>
      </c>
      <c r="ABG14">
        <v>20.231531849799499</v>
      </c>
      <c r="ABH14">
        <v>0</v>
      </c>
      <c r="ABI14">
        <v>0</v>
      </c>
      <c r="ABJ14">
        <v>0</v>
      </c>
      <c r="ABK14">
        <v>0</v>
      </c>
      <c r="ABL14">
        <v>0</v>
      </c>
      <c r="ABM14">
        <v>20.429576728166602</v>
      </c>
      <c r="ABN14">
        <v>0</v>
      </c>
      <c r="ABO14">
        <v>0</v>
      </c>
      <c r="ABP14">
        <v>0</v>
      </c>
      <c r="ABQ14">
        <v>0</v>
      </c>
      <c r="ABR14">
        <v>0</v>
      </c>
      <c r="ABS14">
        <v>20.215925332282001</v>
      </c>
      <c r="ABT14">
        <v>0</v>
      </c>
      <c r="ABU14">
        <v>0</v>
      </c>
      <c r="ABV14">
        <v>0</v>
      </c>
      <c r="ABW14">
        <v>0</v>
      </c>
      <c r="ABX14">
        <v>8967.1175048000696</v>
      </c>
      <c r="ABY14">
        <v>18.284374393430301</v>
      </c>
      <c r="ABZ14">
        <v>0</v>
      </c>
      <c r="ACA14">
        <v>0</v>
      </c>
      <c r="ACB14">
        <v>0</v>
      </c>
      <c r="ACC14">
        <v>0</v>
      </c>
      <c r="ACD14">
        <v>0</v>
      </c>
      <c r="ACE14">
        <v>0</v>
      </c>
      <c r="ACF14">
        <v>7.8875000000000002</v>
      </c>
      <c r="ACG14">
        <v>7.8875000000000002</v>
      </c>
      <c r="ACH14">
        <v>0</v>
      </c>
      <c r="ACI14">
        <v>0</v>
      </c>
      <c r="ACJ14">
        <v>0</v>
      </c>
      <c r="ACK14">
        <v>20.892476876737199</v>
      </c>
      <c r="ACL14">
        <v>20.892476876737199</v>
      </c>
      <c r="ACM14">
        <v>0</v>
      </c>
      <c r="ACN14">
        <v>90334.578356504993</v>
      </c>
      <c r="ACP14">
        <v>6552.9280594184802</v>
      </c>
      <c r="ACR14">
        <v>96887.506415923504</v>
      </c>
      <c r="ACT14">
        <v>24.8536372768265</v>
      </c>
      <c r="ACU14">
        <v>22.1352868797097</v>
      </c>
      <c r="ACV14">
        <v>1.7</v>
      </c>
      <c r="ACW14">
        <v>1.4585590248804201</v>
      </c>
      <c r="ACX14">
        <v>0.65181551195644505</v>
      </c>
      <c r="ACY14">
        <v>25.8815483639227</v>
      </c>
      <c r="ACZ14">
        <v>23.076579698669502</v>
      </c>
      <c r="ADA14">
        <v>1.7</v>
      </c>
      <c r="ADB14">
        <v>1.4581900715687399</v>
      </c>
      <c r="ADC14">
        <v>0.646929972954848</v>
      </c>
      <c r="ADD14">
        <v>25.6911783220472</v>
      </c>
      <c r="ADE14">
        <v>23.105495238380001</v>
      </c>
      <c r="ADF14">
        <v>1.7</v>
      </c>
      <c r="ADG14">
        <v>1.47533256043618</v>
      </c>
      <c r="ADH14">
        <v>0.65428303051852499</v>
      </c>
      <c r="ADI14">
        <v>23.875490742223299</v>
      </c>
      <c r="ADJ14">
        <v>23.875490742223299</v>
      </c>
      <c r="ADK14">
        <v>0</v>
      </c>
      <c r="ADL14">
        <v>0</v>
      </c>
      <c r="ADM14">
        <v>1</v>
      </c>
      <c r="ADN14">
        <v>23.7808427983855</v>
      </c>
      <c r="ADO14">
        <v>23.7808427983855</v>
      </c>
      <c r="ADP14">
        <v>0</v>
      </c>
      <c r="ADQ14">
        <v>0</v>
      </c>
      <c r="ADR14">
        <v>1</v>
      </c>
      <c r="ADS14">
        <v>24.270216426329299</v>
      </c>
      <c r="ADT14">
        <v>24.270216426329299</v>
      </c>
      <c r="ADU14">
        <v>0</v>
      </c>
      <c r="ADV14">
        <v>0</v>
      </c>
      <c r="ADW14">
        <v>1</v>
      </c>
      <c r="ADX14">
        <v>23.8439020426528</v>
      </c>
      <c r="ADY14">
        <v>23.8439020426528</v>
      </c>
      <c r="ADZ14">
        <v>0</v>
      </c>
      <c r="AEA14">
        <v>0</v>
      </c>
      <c r="AEB14">
        <v>1</v>
      </c>
      <c r="AEC14">
        <v>24.316037902273798</v>
      </c>
      <c r="AED14">
        <v>24.316037902273798</v>
      </c>
      <c r="AEE14">
        <v>0</v>
      </c>
      <c r="AEF14">
        <v>0</v>
      </c>
      <c r="AEG14">
        <v>1</v>
      </c>
      <c r="AEH14">
        <v>24.279772367193601</v>
      </c>
      <c r="AEI14">
        <v>24.279772367193601</v>
      </c>
      <c r="AEJ14">
        <v>0</v>
      </c>
      <c r="AEK14">
        <v>0</v>
      </c>
      <c r="AEL14">
        <v>1</v>
      </c>
      <c r="AEM14">
        <v>24.446708547118099</v>
      </c>
      <c r="AEN14">
        <v>24.207898820581601</v>
      </c>
      <c r="AEO14">
        <v>0.85</v>
      </c>
      <c r="AEP14">
        <v>2.1472292092184899</v>
      </c>
      <c r="AEQ14">
        <v>0.93917173291054401</v>
      </c>
      <c r="AER14">
        <v>24.285447487410799</v>
      </c>
      <c r="AES14">
        <v>24.285447487410799</v>
      </c>
      <c r="AET14">
        <v>0</v>
      </c>
      <c r="AEU14">
        <v>0</v>
      </c>
      <c r="AEV14">
        <v>1</v>
      </c>
      <c r="AEW14">
        <v>23.926946800069601</v>
      </c>
      <c r="AEX14">
        <v>23.926946800069601</v>
      </c>
      <c r="AEY14">
        <v>0</v>
      </c>
      <c r="AEZ14">
        <v>0</v>
      </c>
      <c r="AFA14">
        <v>1</v>
      </c>
      <c r="AFB14">
        <v>23.784607309394399</v>
      </c>
      <c r="AFC14">
        <v>23.784607309394399</v>
      </c>
      <c r="AFD14">
        <v>0</v>
      </c>
      <c r="AFE14">
        <v>0</v>
      </c>
      <c r="AFF14">
        <v>1</v>
      </c>
      <c r="AFG14">
        <v>24.348816384410799</v>
      </c>
      <c r="AFH14">
        <v>24.348816384410799</v>
      </c>
      <c r="AFI14">
        <v>0</v>
      </c>
      <c r="AFJ14">
        <v>0</v>
      </c>
      <c r="AFK14">
        <v>1</v>
      </c>
      <c r="AFL14">
        <v>23.866270184419999</v>
      </c>
      <c r="AFM14">
        <v>23.866270184419999</v>
      </c>
      <c r="AFN14">
        <v>0</v>
      </c>
      <c r="AFO14">
        <v>0</v>
      </c>
      <c r="AFP14">
        <v>1</v>
      </c>
      <c r="AFQ14">
        <v>-0.22600313665309699</v>
      </c>
      <c r="AFR14">
        <v>-0.30856826711954199</v>
      </c>
      <c r="AFS14">
        <v>-0.31735504987319701</v>
      </c>
      <c r="AFT14">
        <v>-0.328266403393349</v>
      </c>
      <c r="AFU14">
        <v>-0.37167604827025003</v>
      </c>
      <c r="AFV14">
        <v>-0.30166692175013998</v>
      </c>
      <c r="AFW14">
        <v>-0.260349974217567</v>
      </c>
      <c r="AFX14">
        <v>-0.20726877708003899</v>
      </c>
      <c r="AFY14">
        <v>-0.214081257788832</v>
      </c>
      <c r="AFZ14">
        <v>-0.30230683330083402</v>
      </c>
      <c r="AGA14">
        <v>-0.32333590296575199</v>
      </c>
      <c r="AGB14">
        <v>-0.329666930796713</v>
      </c>
      <c r="AGC14">
        <v>-0.80116813893243999</v>
      </c>
      <c r="AGD14">
        <v>-0.57305285168031606</v>
      </c>
      <c r="AGE14">
        <v>-0.58250848955186196</v>
      </c>
      <c r="AGF14">
        <v>1</v>
      </c>
      <c r="AGG14">
        <v>1</v>
      </c>
      <c r="AGH14">
        <v>1</v>
      </c>
      <c r="AGI14">
        <v>1</v>
      </c>
      <c r="AGJ14">
        <v>0</v>
      </c>
      <c r="AGK14">
        <v>0</v>
      </c>
      <c r="AGL14">
        <v>0</v>
      </c>
      <c r="AGM14">
        <v>0</v>
      </c>
      <c r="AGN14">
        <v>0</v>
      </c>
      <c r="AGO14">
        <v>0</v>
      </c>
      <c r="AGP14">
        <v>0</v>
      </c>
      <c r="AGQ14">
        <v>1</v>
      </c>
      <c r="AGR14">
        <v>0</v>
      </c>
      <c r="AGS14">
        <v>1</v>
      </c>
      <c r="AGT14">
        <v>0</v>
      </c>
      <c r="AGU14">
        <v>0</v>
      </c>
      <c r="AGV14">
        <v>0</v>
      </c>
      <c r="AGW14">
        <v>0</v>
      </c>
      <c r="AGX14">
        <v>0</v>
      </c>
      <c r="AGY14">
        <v>0</v>
      </c>
      <c r="AGZ14">
        <v>1</v>
      </c>
      <c r="AHA14">
        <v>1</v>
      </c>
      <c r="AHB14">
        <v>1</v>
      </c>
      <c r="AHC14">
        <v>1</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Z14">
        <v>0</v>
      </c>
      <c r="AIB14">
        <v>0</v>
      </c>
      <c r="AID14">
        <v>0</v>
      </c>
      <c r="AIF14">
        <v>0</v>
      </c>
      <c r="AIH14">
        <v>0</v>
      </c>
      <c r="AIJ14">
        <v>0</v>
      </c>
      <c r="AIL14">
        <v>0</v>
      </c>
      <c r="AIN14">
        <v>0</v>
      </c>
      <c r="AIP14">
        <v>0</v>
      </c>
      <c r="AIR14">
        <v>0</v>
      </c>
      <c r="AIT14">
        <v>0</v>
      </c>
      <c r="AIV14">
        <v>0</v>
      </c>
      <c r="AIX14">
        <v>0</v>
      </c>
      <c r="AIZ14">
        <v>0</v>
      </c>
      <c r="AJB14">
        <v>0</v>
      </c>
      <c r="AJC14">
        <v>0</v>
      </c>
      <c r="AJE14">
        <v>-1.8110015173602201E-4</v>
      </c>
      <c r="AJH14">
        <v>6462.8439665021097</v>
      </c>
      <c r="AJJ14">
        <v>80.926313069767801</v>
      </c>
      <c r="AJK14">
        <v>0</v>
      </c>
      <c r="AJL14">
        <v>0</v>
      </c>
      <c r="AJM14">
        <v>9.1577798466045106</v>
      </c>
      <c r="AJN14">
        <v>0</v>
      </c>
      <c r="AJO14">
        <v>0</v>
      </c>
      <c r="AJP14">
        <v>0</v>
      </c>
      <c r="AJQ14">
        <v>0</v>
      </c>
      <c r="AJR14">
        <v>0</v>
      </c>
      <c r="AJS14">
        <v>0</v>
      </c>
      <c r="AJT14">
        <v>0</v>
      </c>
      <c r="AJU14">
        <v>0</v>
      </c>
      <c r="AJV14">
        <v>0</v>
      </c>
      <c r="AJW14">
        <v>0</v>
      </c>
      <c r="AJX14">
        <v>0</v>
      </c>
      <c r="AJY14">
        <v>0</v>
      </c>
      <c r="AJZ14">
        <v>0</v>
      </c>
      <c r="AKA14">
        <v>0</v>
      </c>
      <c r="AKB14">
        <v>0</v>
      </c>
      <c r="AKC14">
        <v>0</v>
      </c>
      <c r="AKD14">
        <v>0</v>
      </c>
      <c r="AKE14">
        <v>70.162396350790203</v>
      </c>
      <c r="AKF14">
        <v>70.162396350790203</v>
      </c>
      <c r="AKG14">
        <v>0</v>
      </c>
      <c r="AKH14">
        <v>0</v>
      </c>
      <c r="AKI14">
        <v>0</v>
      </c>
      <c r="AKJ14">
        <v>0</v>
      </c>
      <c r="AKK14">
        <v>0</v>
      </c>
      <c r="AKL14">
        <v>70.162396350790203</v>
      </c>
      <c r="AKM14">
        <v>70.162396350790203</v>
      </c>
      <c r="AKN14">
        <v>0</v>
      </c>
      <c r="AKO14">
        <v>0</v>
      </c>
      <c r="AKP14">
        <v>0</v>
      </c>
      <c r="AKT14">
        <v>0</v>
      </c>
      <c r="AKX14">
        <v>0</v>
      </c>
      <c r="ALB14">
        <v>20.892476876737199</v>
      </c>
      <c r="ALC14">
        <v>20.892476876737199</v>
      </c>
      <c r="ALD14">
        <v>0</v>
      </c>
      <c r="ALE14">
        <v>0</v>
      </c>
      <c r="ALF14">
        <v>0</v>
      </c>
      <c r="ALH14">
        <v>7.8875000543021798</v>
      </c>
      <c r="ALI14">
        <v>6.5855426905214402E-3</v>
      </c>
      <c r="ALJ14">
        <v>2.73225991953522</v>
      </c>
      <c r="ALK14">
        <v>7.8875000000000002</v>
      </c>
      <c r="ALL14">
        <v>2.73225991953522</v>
      </c>
      <c r="ALM14">
        <v>0</v>
      </c>
      <c r="ALN14">
        <v>23.524567978923901</v>
      </c>
      <c r="ALO14">
        <v>8.3381107431021294E-3</v>
      </c>
      <c r="ALP14">
        <v>46.337665568041601</v>
      </c>
      <c r="ALQ14">
        <v>2.7322596881537899</v>
      </c>
      <c r="ALR14">
        <v>7.8875000543021798</v>
      </c>
      <c r="ALS14">
        <v>2.73225991953522</v>
      </c>
      <c r="ALT14">
        <v>9.8256507554240304</v>
      </c>
      <c r="ALU14">
        <v>2.73225991953522</v>
      </c>
      <c r="ALV14">
        <v>12.2200383644412</v>
      </c>
      <c r="ALW14">
        <v>9.9999999999999897E-12</v>
      </c>
      <c r="ALX14">
        <v>7.8875000000000002</v>
      </c>
      <c r="ALY14">
        <v>9.9999999999999897E-12</v>
      </c>
      <c r="ALZ14">
        <v>0</v>
      </c>
      <c r="AMA14">
        <v>7.8875000000000002</v>
      </c>
      <c r="AMB14">
        <v>0</v>
      </c>
      <c r="AMC14">
        <v>7.8875000000000002</v>
      </c>
      <c r="AMD14">
        <v>0</v>
      </c>
      <c r="AME14">
        <v>7.8875000000000002</v>
      </c>
      <c r="AMF14">
        <v>0</v>
      </c>
      <c r="AMG14">
        <v>0</v>
      </c>
      <c r="AMH14">
        <v>2.73225991953522</v>
      </c>
      <c r="AMI14">
        <v>19.1649504736599</v>
      </c>
      <c r="AMJ14">
        <v>0</v>
      </c>
      <c r="AMK14" s="580">
        <v>17.046599447438702</v>
      </c>
      <c r="AML14">
        <v>0.86607511999999998</v>
      </c>
      <c r="AMM14">
        <v>19.181160480322799</v>
      </c>
      <c r="AMN14">
        <v>0</v>
      </c>
      <c r="AMO14">
        <v>19.1943833117884</v>
      </c>
      <c r="AMP14">
        <v>0</v>
      </c>
      <c r="AMQ14">
        <v>19.269726194488001</v>
      </c>
      <c r="AMR14">
        <v>0</v>
      </c>
      <c r="AMS14">
        <v>17.919099746267101</v>
      </c>
      <c r="AMT14">
        <v>0.86607511999999998</v>
      </c>
      <c r="AMU14">
        <v>20.681654620312599</v>
      </c>
      <c r="AMV14">
        <v>0</v>
      </c>
      <c r="AMW14">
        <v>20.501254665451601</v>
      </c>
      <c r="AMX14">
        <v>0</v>
      </c>
      <c r="AMY14">
        <v>20.5071754770048</v>
      </c>
      <c r="AMZ14">
        <v>0</v>
      </c>
      <c r="ANA14">
        <v>20.291044315224202</v>
      </c>
      <c r="ANB14">
        <v>0.13403432815379199</v>
      </c>
      <c r="ANC14">
        <v>18.211944891906999</v>
      </c>
      <c r="AND14">
        <v>0.86607511999999998</v>
      </c>
      <c r="ANE14">
        <v>20.160372087842902</v>
      </c>
      <c r="ANF14">
        <v>0</v>
      </c>
      <c r="ANG14">
        <v>20.142113305411101</v>
      </c>
      <c r="ANH14">
        <v>0</v>
      </c>
      <c r="ANI14">
        <v>20.215878461514201</v>
      </c>
      <c r="ANJ14">
        <v>0</v>
      </c>
      <c r="ANK14">
        <v>20.349364665541401</v>
      </c>
      <c r="ANL14">
        <v>0</v>
      </c>
      <c r="ANM14">
        <v>0.86607511999999998</v>
      </c>
      <c r="ANN14">
        <v>1.00010944815379</v>
      </c>
      <c r="ANO14">
        <v>0.86607511999999998</v>
      </c>
      <c r="ANP14">
        <v>17.046599447438702</v>
      </c>
      <c r="ANQ14">
        <v>19.181160480322799</v>
      </c>
      <c r="ANR14">
        <v>19.1649504736599</v>
      </c>
      <c r="ANS14">
        <v>19.269726194488001</v>
      </c>
      <c r="ANT14">
        <v>19.1943833117884</v>
      </c>
      <c r="ANU14">
        <v>17.919099746267101</v>
      </c>
      <c r="ANV14">
        <v>20.681654620312599</v>
      </c>
      <c r="ANW14">
        <v>20.501254665451601</v>
      </c>
      <c r="ANX14">
        <v>20.263205010692701</v>
      </c>
      <c r="ANY14">
        <v>20.5071754770048</v>
      </c>
      <c r="ANZ14">
        <v>18.211944891906999</v>
      </c>
      <c r="AOA14">
        <v>20.160372087842902</v>
      </c>
      <c r="AOB14">
        <v>20.142113305411101</v>
      </c>
      <c r="AOC14">
        <v>20.349364665541401</v>
      </c>
      <c r="AOD14">
        <v>20.215878461514201</v>
      </c>
      <c r="AOE14">
        <v>23.524567974381799</v>
      </c>
      <c r="AOF14">
        <v>2.73225991953522</v>
      </c>
      <c r="AOG14">
        <v>23.509240987821599</v>
      </c>
      <c r="AOH14">
        <v>2.73225991953522</v>
      </c>
    </row>
    <row r="15" spans="1:1074">
      <c r="A15" t="s">
        <v>2950</v>
      </c>
      <c r="B15">
        <v>8.1875</v>
      </c>
      <c r="D15">
        <v>8.1385338522311201</v>
      </c>
      <c r="F15">
        <v>5</v>
      </c>
      <c r="G15">
        <v>10048319.7473223</v>
      </c>
      <c r="H15">
        <v>23239408.985511798</v>
      </c>
      <c r="I15">
        <v>6381282.1239868198</v>
      </c>
      <c r="J15">
        <v>14758410.247721599</v>
      </c>
      <c r="K15">
        <v>10048319.7473223</v>
      </c>
      <c r="L15">
        <v>23239408.985511798</v>
      </c>
      <c r="M15">
        <v>6381282.12398683</v>
      </c>
      <c r="N15">
        <v>14758410.247721599</v>
      </c>
      <c r="O15">
        <v>51821142.324441098</v>
      </c>
      <c r="P15">
        <v>119850159.11690401</v>
      </c>
      <c r="Q15">
        <v>10048319.7473223</v>
      </c>
      <c r="R15">
        <v>23239408.985511798</v>
      </c>
      <c r="S15">
        <v>6381282.1239868198</v>
      </c>
      <c r="T15">
        <v>14758410.247721599</v>
      </c>
      <c r="U15">
        <v>10048319.7473223</v>
      </c>
      <c r="V15">
        <v>23239408.985511798</v>
      </c>
      <c r="W15">
        <v>6381282.12398683</v>
      </c>
      <c r="X15">
        <v>14758410.247721599</v>
      </c>
      <c r="Y15">
        <v>51821142.324441098</v>
      </c>
      <c r="Z15">
        <v>119850159.11690401</v>
      </c>
      <c r="AA15">
        <v>10048319.7473223</v>
      </c>
      <c r="AB15">
        <v>23239408.985511798</v>
      </c>
      <c r="AC15">
        <v>6381282.1239868198</v>
      </c>
      <c r="AD15">
        <v>14758410.247721599</v>
      </c>
      <c r="AE15">
        <v>10048319.7473223</v>
      </c>
      <c r="AF15">
        <v>23239408.985511798</v>
      </c>
      <c r="AG15">
        <v>6381282.12398683</v>
      </c>
      <c r="AH15">
        <v>14758410.247721599</v>
      </c>
      <c r="AI15">
        <v>51821142.324441098</v>
      </c>
      <c r="AJ15">
        <v>119850159.11690401</v>
      </c>
      <c r="AK15">
        <v>22.530417077666101</v>
      </c>
      <c r="AL15">
        <v>3758257.41675806</v>
      </c>
      <c r="AM15">
        <v>9733140.1775517706</v>
      </c>
      <c r="AN15">
        <v>22.530417077666101</v>
      </c>
      <c r="AO15">
        <v>3758257.41675806</v>
      </c>
      <c r="AP15">
        <v>9733140.1775517706</v>
      </c>
      <c r="AQ15">
        <v>14.3081581158871</v>
      </c>
      <c r="AR15">
        <v>2386717.5283001899</v>
      </c>
      <c r="AS15">
        <v>6181124.3060632199</v>
      </c>
      <c r="AT15">
        <v>14.3081581158871</v>
      </c>
      <c r="AU15">
        <v>2386717.5283001899</v>
      </c>
      <c r="AV15">
        <v>6181124.3060632199</v>
      </c>
      <c r="AW15">
        <v>22.530417077666101</v>
      </c>
      <c r="AX15">
        <v>3758257.41675806</v>
      </c>
      <c r="AY15">
        <v>9733140.1775517706</v>
      </c>
      <c r="AZ15">
        <v>22.530417077666101</v>
      </c>
      <c r="BA15">
        <v>3758257.41675806</v>
      </c>
      <c r="BB15">
        <v>9733140.1775517706</v>
      </c>
      <c r="BC15">
        <v>14.3081581158871</v>
      </c>
      <c r="BD15">
        <v>2386717.5283001899</v>
      </c>
      <c r="BE15">
        <v>6181124.3060632199</v>
      </c>
      <c r="BF15">
        <v>14.3081581158871</v>
      </c>
      <c r="BG15">
        <v>2386717.5283001899</v>
      </c>
      <c r="BH15">
        <v>6181124.3060632199</v>
      </c>
      <c r="BI15">
        <v>22.530417077666101</v>
      </c>
      <c r="BJ15">
        <v>3758257.41675806</v>
      </c>
      <c r="BK15">
        <v>9733140.1775517706</v>
      </c>
      <c r="BL15">
        <v>22.530417077666101</v>
      </c>
      <c r="BM15">
        <v>3758257.41675806</v>
      </c>
      <c r="BN15">
        <v>9733140.1775517706</v>
      </c>
      <c r="BO15">
        <v>14.3081581158871</v>
      </c>
      <c r="BP15">
        <v>2386717.5283001899</v>
      </c>
      <c r="BQ15">
        <v>6181124.3060632199</v>
      </c>
      <c r="BR15">
        <v>14.3081581158871</v>
      </c>
      <c r="BS15">
        <v>2386717.5283001899</v>
      </c>
      <c r="BT15">
        <v>6181124.3060632199</v>
      </c>
      <c r="BU15">
        <v>50195699.886944197</v>
      </c>
      <c r="BV15">
        <v>116.193749738297</v>
      </c>
      <c r="BW15">
        <v>19382065.597345799</v>
      </c>
      <c r="BX15">
        <v>50195699.886944197</v>
      </c>
      <c r="BY15">
        <v>116.193749738297</v>
      </c>
      <c r="BZ15">
        <v>19382065.597345799</v>
      </c>
      <c r="CA15">
        <v>50195699.886944197</v>
      </c>
      <c r="CB15">
        <v>116.193749738297</v>
      </c>
      <c r="CC15">
        <v>19382065.597345799</v>
      </c>
      <c r="CD15">
        <v>50195699.886944197</v>
      </c>
      <c r="CE15">
        <v>3395861.87171567</v>
      </c>
      <c r="CF15">
        <v>7717867.8902628897</v>
      </c>
      <c r="CG15">
        <v>3395861.87171567</v>
      </c>
      <c r="CH15">
        <v>7717867.8902628897</v>
      </c>
      <c r="CI15">
        <v>2156574.7510455502</v>
      </c>
      <c r="CJ15">
        <v>4901306.2523762397</v>
      </c>
      <c r="CK15">
        <v>2156574.75104554</v>
      </c>
      <c r="CL15">
        <v>4901306.2523762397</v>
      </c>
      <c r="CM15">
        <v>3395861.87171567</v>
      </c>
      <c r="CN15">
        <v>7717867.8902628897</v>
      </c>
      <c r="CO15">
        <v>3395861.87171567</v>
      </c>
      <c r="CP15">
        <v>7717867.8902628897</v>
      </c>
      <c r="CQ15">
        <v>2156574.7510455502</v>
      </c>
      <c r="CR15">
        <v>4901306.2523762397</v>
      </c>
      <c r="CS15">
        <v>2156574.75104554</v>
      </c>
      <c r="CT15">
        <v>4901306.2523762397</v>
      </c>
      <c r="CU15">
        <v>3395861.87171567</v>
      </c>
      <c r="CV15">
        <v>7717867.8902628897</v>
      </c>
      <c r="CW15">
        <v>3395861.87171567</v>
      </c>
      <c r="CX15">
        <v>7717867.8902628897</v>
      </c>
      <c r="CY15">
        <v>2156574.7510455502</v>
      </c>
      <c r="CZ15">
        <v>4901306.2523762397</v>
      </c>
      <c r="DA15">
        <v>2156574.75104554</v>
      </c>
      <c r="DB15">
        <v>4901306.2523762397</v>
      </c>
      <c r="DC15">
        <v>17513121.177818298</v>
      </c>
      <c r="DD15">
        <v>39802548.131405301</v>
      </c>
      <c r="DE15">
        <v>17513121.177818298</v>
      </c>
      <c r="DF15">
        <v>39802548.131405301</v>
      </c>
      <c r="DG15">
        <v>17513121.177818298</v>
      </c>
      <c r="DH15">
        <v>39802548.131405301</v>
      </c>
      <c r="DI15">
        <v>2894200.4588485798</v>
      </c>
      <c r="DJ15">
        <v>5788400.9176971698</v>
      </c>
      <c r="DK15">
        <v>2894200.4588485798</v>
      </c>
      <c r="DL15">
        <v>5788400.9176971698</v>
      </c>
      <c r="DM15">
        <v>1837989.8446410899</v>
      </c>
      <c r="DN15">
        <v>3675979.6892821798</v>
      </c>
      <c r="DO15">
        <v>1837989.8446410899</v>
      </c>
      <c r="DP15">
        <v>3675979.6892821798</v>
      </c>
      <c r="DQ15">
        <v>2894200.4588485798</v>
      </c>
      <c r="DR15">
        <v>5788400.9176971698</v>
      </c>
      <c r="DS15">
        <v>2894200.4588485798</v>
      </c>
      <c r="DT15">
        <v>5788400.9176971698</v>
      </c>
      <c r="DU15">
        <v>1837989.8446410899</v>
      </c>
      <c r="DV15">
        <v>3675979.6892821798</v>
      </c>
      <c r="DW15">
        <v>1837989.8446410899</v>
      </c>
      <c r="DX15">
        <v>3675979.6892821798</v>
      </c>
      <c r="DY15">
        <v>2894200.4588485798</v>
      </c>
      <c r="DZ15">
        <v>5788400.9176971698</v>
      </c>
      <c r="EA15">
        <v>2894200.4588485798</v>
      </c>
      <c r="EB15">
        <v>5788400.9176971698</v>
      </c>
      <c r="EC15">
        <v>1837989.8446410899</v>
      </c>
      <c r="ED15">
        <v>3675979.6892821798</v>
      </c>
      <c r="EE15">
        <v>1837989.8446410899</v>
      </c>
      <c r="EF15">
        <v>3675979.6892821798</v>
      </c>
      <c r="EG15">
        <v>14925955.549277</v>
      </c>
      <c r="EH15">
        <v>29851911.098554</v>
      </c>
      <c r="EI15">
        <v>14925955.549277</v>
      </c>
      <c r="EJ15">
        <v>29851911.098554</v>
      </c>
      <c r="EK15">
        <v>14925955.549277</v>
      </c>
      <c r="EL15">
        <v>29851911.098554</v>
      </c>
      <c r="EM15">
        <v>0</v>
      </c>
      <c r="EN15">
        <v>0</v>
      </c>
      <c r="EO15">
        <v>0</v>
      </c>
      <c r="EP15">
        <v>0</v>
      </c>
      <c r="EQ15">
        <v>0</v>
      </c>
      <c r="ER15">
        <v>0</v>
      </c>
      <c r="ES15">
        <v>0</v>
      </c>
      <c r="ET15">
        <v>0</v>
      </c>
      <c r="EU15">
        <v>2.9334192723834902</v>
      </c>
      <c r="EV15">
        <v>0</v>
      </c>
      <c r="EW15">
        <v>0</v>
      </c>
      <c r="EX15">
        <v>0</v>
      </c>
      <c r="EY15">
        <v>2.6650139320014099</v>
      </c>
      <c r="EZ15">
        <v>0</v>
      </c>
      <c r="FA15">
        <v>0</v>
      </c>
      <c r="FB15">
        <v>2.9341072157671699</v>
      </c>
      <c r="FC15">
        <v>0</v>
      </c>
      <c r="FD15">
        <v>0</v>
      </c>
      <c r="FE15">
        <v>0</v>
      </c>
      <c r="FF15">
        <v>0</v>
      </c>
      <c r="FG15">
        <v>0</v>
      </c>
      <c r="FH15">
        <v>0</v>
      </c>
      <c r="FI15">
        <v>0</v>
      </c>
      <c r="FJ15">
        <v>0</v>
      </c>
      <c r="FK15">
        <v>0</v>
      </c>
      <c r="FL15">
        <v>0</v>
      </c>
      <c r="FM15">
        <v>0</v>
      </c>
      <c r="FN15">
        <v>0</v>
      </c>
      <c r="FO15">
        <v>2.45251372506161E-2</v>
      </c>
      <c r="FP15">
        <v>0</v>
      </c>
      <c r="FQ15">
        <v>3.7712464405102401E-3</v>
      </c>
      <c r="FR15">
        <v>0</v>
      </c>
      <c r="FS15">
        <v>0</v>
      </c>
      <c r="FT15">
        <v>0</v>
      </c>
      <c r="FU15">
        <v>304.22025435746201</v>
      </c>
      <c r="FV15">
        <v>0</v>
      </c>
      <c r="FW15">
        <v>0</v>
      </c>
      <c r="FX15">
        <v>1.80958259802921E-3</v>
      </c>
      <c r="FY15">
        <v>2.45251372506161E-2</v>
      </c>
      <c r="FZ15">
        <v>0</v>
      </c>
      <c r="GA15">
        <v>3.7712464405102401E-3</v>
      </c>
      <c r="GB15">
        <v>-198.10506579893701</v>
      </c>
      <c r="GC15">
        <v>-423.66598268182599</v>
      </c>
      <c r="GD15">
        <v>-553.53416102543599</v>
      </c>
      <c r="GE15">
        <v>-125.90133955851999</v>
      </c>
      <c r="GF15">
        <v>-257.71661696681798</v>
      </c>
      <c r="GG15">
        <v>-338.16880923412799</v>
      </c>
      <c r="GH15">
        <v>-197.37560726624</v>
      </c>
      <c r="GI15">
        <v>-461.64767494359</v>
      </c>
      <c r="GJ15">
        <v>-605.21401142990703</v>
      </c>
      <c r="GK15">
        <v>-135.11452747522901</v>
      </c>
      <c r="GL15">
        <v>-273.032696315858</v>
      </c>
      <c r="GM15">
        <v>-360.17361943012202</v>
      </c>
      <c r="GN15">
        <v>-30.439559478227501</v>
      </c>
      <c r="GO15">
        <v>21.6029883350493</v>
      </c>
      <c r="GP15">
        <v>22.663042660076201</v>
      </c>
      <c r="GQ15">
        <v>144.09106696514201</v>
      </c>
      <c r="GR15">
        <v>-66.821153432673697</v>
      </c>
      <c r="GS15">
        <v>-822.96385502884505</v>
      </c>
      <c r="GT15">
        <v>-20.752875039510901</v>
      </c>
      <c r="GU15">
        <v>21.538003707345101</v>
      </c>
      <c r="GV15">
        <v>22.588777604561301</v>
      </c>
      <c r="GW15">
        <v>91.102362861126494</v>
      </c>
      <c r="GX15">
        <v>-41.734111112580798</v>
      </c>
      <c r="GY15">
        <v>-513.15801984785401</v>
      </c>
      <c r="GZ15">
        <v>-26.482618496015899</v>
      </c>
      <c r="HA15">
        <v>21.8363780377633</v>
      </c>
      <c r="HB15">
        <v>22.9807685080116</v>
      </c>
      <c r="HC15">
        <v>156.93570388638599</v>
      </c>
      <c r="HD15">
        <v>-77.444133541458001</v>
      </c>
      <c r="HE15">
        <v>-902.16685315367397</v>
      </c>
      <c r="HF15">
        <v>-19.942531357562199</v>
      </c>
      <c r="HG15">
        <v>21.580525577136701</v>
      </c>
      <c r="HH15">
        <v>22.679095636731599</v>
      </c>
      <c r="HI15">
        <v>96.3498431324103</v>
      </c>
      <c r="HJ15">
        <v>-43.344430261314301</v>
      </c>
      <c r="HK15">
        <v>-535.22433535074401</v>
      </c>
      <c r="HL15">
        <v>-137.26899559344699</v>
      </c>
      <c r="HM15">
        <v>23.917114155781601</v>
      </c>
      <c r="HN15">
        <v>24.2072081850648</v>
      </c>
      <c r="HO15">
        <v>-38.073120631525903</v>
      </c>
      <c r="HP15">
        <v>-244.065747111424</v>
      </c>
      <c r="HQ15">
        <v>23.080010090788601</v>
      </c>
      <c r="HR15">
        <v>-497.11118204488201</v>
      </c>
      <c r="HS15">
        <v>-88.961946660176395</v>
      </c>
      <c r="HT15">
        <v>23.873974625601701</v>
      </c>
      <c r="HU15">
        <v>24.2010090266396</v>
      </c>
      <c r="HV15">
        <v>-18.127141337487</v>
      </c>
      <c r="HW15">
        <v>-149.27164660639201</v>
      </c>
      <c r="HX15">
        <v>22.991842867833999</v>
      </c>
      <c r="HY15">
        <v>-311.39005549111499</v>
      </c>
      <c r="HZ15">
        <v>24.029215483927398</v>
      </c>
      <c r="IA15">
        <v>24.268286392187399</v>
      </c>
      <c r="IB15">
        <v>-31.039196286669998</v>
      </c>
      <c r="IC15">
        <v>-113.279593695049</v>
      </c>
      <c r="ID15">
        <v>-198.92150321245899</v>
      </c>
      <c r="IE15">
        <v>23.287334881510301</v>
      </c>
      <c r="IF15">
        <v>-496.09702333428203</v>
      </c>
      <c r="IG15">
        <v>-8.0215186217346197</v>
      </c>
      <c r="IH15">
        <v>23.9148341238249</v>
      </c>
      <c r="II15">
        <v>24.2191201319554</v>
      </c>
      <c r="IJ15">
        <v>-16.1442091743079</v>
      </c>
      <c r="IK15">
        <v>-6.8582615219349004</v>
      </c>
      <c r="IL15">
        <v>-86.928825298000106</v>
      </c>
      <c r="IM15">
        <v>-128.186901079574</v>
      </c>
      <c r="IN15">
        <v>23.0837861358746</v>
      </c>
      <c r="IO15">
        <v>1.4760478867313001</v>
      </c>
      <c r="IP15">
        <v>-349.89673970885201</v>
      </c>
      <c r="IQ15">
        <v>-27.340092021539299</v>
      </c>
      <c r="IR15">
        <v>-17.0602919504766</v>
      </c>
      <c r="IS15">
        <v>-15.080573151595599</v>
      </c>
      <c r="IT15">
        <v>-14.849575240554801</v>
      </c>
      <c r="IU15">
        <v>-4077.5565102192099</v>
      </c>
      <c r="IV15">
        <v>-63.779525433403101</v>
      </c>
      <c r="IW15">
        <v>21.944845006557301</v>
      </c>
      <c r="IX15">
        <v>23.080010090788601</v>
      </c>
      <c r="IY15">
        <v>44.910473373346697</v>
      </c>
      <c r="IZ15">
        <v>-294.82536993702502</v>
      </c>
      <c r="JA15">
        <v>-1263.0356707507201</v>
      </c>
      <c r="JB15">
        <v>-40.874013186651702</v>
      </c>
      <c r="JC15">
        <v>21.837587754515599</v>
      </c>
      <c r="JD15">
        <v>22.991842867833999</v>
      </c>
      <c r="JE15">
        <v>38.525597177530003</v>
      </c>
      <c r="JF15">
        <v>-168.351072140469</v>
      </c>
      <c r="JG15">
        <v>-779.90547792783298</v>
      </c>
      <c r="JH15">
        <v>-70.557760387087598</v>
      </c>
      <c r="JI15">
        <v>22.184961994995302</v>
      </c>
      <c r="JJ15">
        <v>23.287334881510301</v>
      </c>
      <c r="JK15">
        <v>3.1865571907479802</v>
      </c>
      <c r="JL15">
        <v>-394.81108170410999</v>
      </c>
      <c r="JM15">
        <v>-1390.4763441898399</v>
      </c>
      <c r="JN15">
        <v>-49.270800178858003</v>
      </c>
      <c r="JO15">
        <v>21.918338558512101</v>
      </c>
      <c r="JP15">
        <v>23.0837861358746</v>
      </c>
      <c r="JQ15">
        <v>0.652746289142486</v>
      </c>
      <c r="JR15">
        <v>20.081636073044699</v>
      </c>
      <c r="JS15">
        <v>1.5255643436725901</v>
      </c>
      <c r="JT15">
        <v>-225.92476953774499</v>
      </c>
      <c r="JU15">
        <v>-857.071569173537</v>
      </c>
      <c r="JV15">
        <v>-163.99505738137401</v>
      </c>
      <c r="JW15">
        <v>-308.93213449827402</v>
      </c>
      <c r="JX15">
        <v>-423.72855572378597</v>
      </c>
      <c r="JY15">
        <v>-118.364737977571</v>
      </c>
      <c r="JZ15">
        <v>-212.36739881541899</v>
      </c>
      <c r="KA15">
        <v>-276.823274323997</v>
      </c>
      <c r="KB15">
        <v>-139.21684693228099</v>
      </c>
      <c r="KC15">
        <v>-279.51357071796701</v>
      </c>
      <c r="KD15">
        <v>-396.02506636771102</v>
      </c>
      <c r="KE15">
        <v>-113.167252679131</v>
      </c>
      <c r="KF15">
        <v>22.9910067567696</v>
      </c>
      <c r="KG15">
        <v>-70.072686752340203</v>
      </c>
      <c r="KH15">
        <v>0.87979060156377298</v>
      </c>
      <c r="KI15">
        <v>-198.41309385691599</v>
      </c>
      <c r="KJ15">
        <v>-276.60976358849399</v>
      </c>
      <c r="KK15">
        <v>-42.693643039081898</v>
      </c>
      <c r="KL15">
        <v>22.2955070360989</v>
      </c>
      <c r="KM15">
        <v>23.047878775929501</v>
      </c>
      <c r="KN15">
        <v>134.89283669753701</v>
      </c>
      <c r="KO15">
        <v>21.827881097744999</v>
      </c>
      <c r="KP15">
        <v>17.174252789376599</v>
      </c>
      <c r="KQ15">
        <v>-1.9103614634822601</v>
      </c>
      <c r="KR15">
        <v>-386.53458795228801</v>
      </c>
      <c r="KS15">
        <v>-19.552843715561298</v>
      </c>
      <c r="KT15">
        <v>22.1372937799715</v>
      </c>
      <c r="KU15">
        <v>22.953460289528401</v>
      </c>
      <c r="KV15">
        <v>129.732402108017</v>
      </c>
      <c r="KW15">
        <v>21.667722718901299</v>
      </c>
      <c r="KX15">
        <v>17.077562276133701</v>
      </c>
      <c r="KY15">
        <v>14.547617433545</v>
      </c>
      <c r="KZ15">
        <v>-227.12845041260499</v>
      </c>
      <c r="LA15">
        <v>-55.691425231845201</v>
      </c>
      <c r="LB15">
        <v>22.6574209104338</v>
      </c>
      <c r="LC15">
        <v>23.365139024046499</v>
      </c>
      <c r="LD15">
        <v>78.139798503431294</v>
      </c>
      <c r="LE15">
        <v>22.185874957646501</v>
      </c>
      <c r="LF15">
        <v>17.1815150452449</v>
      </c>
      <c r="LG15">
        <v>-50.243072578696903</v>
      </c>
      <c r="LH15">
        <v>-435.04678562699002</v>
      </c>
      <c r="LI15">
        <v>-28.666380445951301</v>
      </c>
      <c r="LJ15">
        <v>22.235929961415501</v>
      </c>
      <c r="LK15">
        <v>23.032240131338799</v>
      </c>
      <c r="LL15">
        <v>87.288057470874193</v>
      </c>
      <c r="LM15">
        <v>21.7338748881639</v>
      </c>
      <c r="LN15">
        <v>16.7013635402026</v>
      </c>
      <c r="LO15">
        <v>-4.4096710581489003</v>
      </c>
      <c r="LP15">
        <v>-266.25162701472198</v>
      </c>
      <c r="LQ15">
        <v>-12.566901947372999</v>
      </c>
      <c r="LR15">
        <v>18.737454853772402</v>
      </c>
      <c r="LS15">
        <v>16.440999999999999</v>
      </c>
      <c r="LT15">
        <v>-207.53049379115001</v>
      </c>
      <c r="LU15">
        <v>-1354.24737563435</v>
      </c>
      <c r="LV15">
        <v>19.9485725334318</v>
      </c>
      <c r="LW15">
        <v>22.119422950488399</v>
      </c>
      <c r="LX15">
        <v>246.58240707172899</v>
      </c>
      <c r="LY15">
        <v>-8.7236183261283102</v>
      </c>
      <c r="LZ15">
        <v>18.722416151127</v>
      </c>
      <c r="MA15">
        <v>16.440999999999999</v>
      </c>
      <c r="MB15">
        <v>-131.02113834067001</v>
      </c>
      <c r="MC15">
        <v>-851.96416550665799</v>
      </c>
      <c r="MD15">
        <v>19.9265331502517</v>
      </c>
      <c r="ME15">
        <v>22.0671589023388</v>
      </c>
      <c r="MF15">
        <v>155.70064091985</v>
      </c>
      <c r="MG15">
        <v>-10.361669720431101</v>
      </c>
      <c r="MH15">
        <v>18.787543399322601</v>
      </c>
      <c r="MI15">
        <v>16.440999999999999</v>
      </c>
      <c r="MJ15">
        <v>-222.62405742457699</v>
      </c>
      <c r="MK15">
        <v>-1454.6022622707901</v>
      </c>
      <c r="ML15">
        <v>20.082067665730001</v>
      </c>
      <c r="MM15">
        <v>22.4053290668495</v>
      </c>
      <c r="MN15">
        <v>262.76244112028297</v>
      </c>
      <c r="MO15">
        <v>-8.22026192424965</v>
      </c>
      <c r="MP15">
        <v>18.714155639589801</v>
      </c>
      <c r="MQ15">
        <v>16.440999999999999</v>
      </c>
      <c r="MR15">
        <v>-131.602469198134</v>
      </c>
      <c r="MS15">
        <v>-860.34734185006596</v>
      </c>
      <c r="MT15">
        <v>19.929395215514699</v>
      </c>
      <c r="MU15">
        <v>22.1395967303989</v>
      </c>
      <c r="MV15">
        <v>157.76779439772599</v>
      </c>
      <c r="MW15">
        <v>-5.7595317529789698</v>
      </c>
      <c r="MX15">
        <v>20.562075647169099</v>
      </c>
      <c r="MY15">
        <v>20.7633248802988</v>
      </c>
      <c r="MZ15">
        <v>78.268955248995695</v>
      </c>
      <c r="NA15">
        <v>-541.46166458181301</v>
      </c>
      <c r="NB15">
        <v>21.246053508230901</v>
      </c>
      <c r="NC15">
        <v>22.821312179525599</v>
      </c>
      <c r="ND15">
        <v>334.72889785349702</v>
      </c>
      <c r="NE15">
        <v>-4.9109126106602199</v>
      </c>
      <c r="NF15">
        <v>20.541272259540602</v>
      </c>
      <c r="NG15">
        <v>20.704262338778701</v>
      </c>
      <c r="NH15">
        <v>36.922322819107301</v>
      </c>
      <c r="NI15">
        <v>-361.56545044298099</v>
      </c>
      <c r="NJ15">
        <v>21.236913155474401</v>
      </c>
      <c r="NK15">
        <v>22.774391571804799</v>
      </c>
      <c r="NL15">
        <v>202.566853669095</v>
      </c>
      <c r="NM15">
        <v>-0.25132227348606601</v>
      </c>
      <c r="NN15">
        <v>20.605052404914101</v>
      </c>
      <c r="NO15">
        <v>20.9264642090059</v>
      </c>
      <c r="NP15">
        <v>157.401818261259</v>
      </c>
      <c r="NQ15" s="35">
        <v>-464.17164059886801</v>
      </c>
      <c r="NR15" s="35">
        <v>21.2913885142307</v>
      </c>
      <c r="NS15">
        <v>22.948454328472302</v>
      </c>
      <c r="NT15">
        <v>414.74599447403699</v>
      </c>
      <c r="NU15">
        <v>-1.71431311045974</v>
      </c>
      <c r="NV15">
        <v>20.498562246599199</v>
      </c>
      <c r="NW15">
        <v>20.713682052903</v>
      </c>
      <c r="NX15">
        <v>1.7</v>
      </c>
      <c r="NY15">
        <v>82.424800013269504</v>
      </c>
      <c r="NZ15">
        <v>-319.10070388113598</v>
      </c>
      <c r="OA15">
        <v>21.1977870519849</v>
      </c>
      <c r="OB15">
        <v>22.7974981567186</v>
      </c>
      <c r="OC15">
        <v>1.7</v>
      </c>
      <c r="OD15">
        <v>248.92272376071799</v>
      </c>
      <c r="OE15">
        <v>1.7</v>
      </c>
      <c r="OF15">
        <v>1.7</v>
      </c>
      <c r="OG15">
        <v>-12.0085987654093</v>
      </c>
      <c r="OH15">
        <v>20.266703642528601</v>
      </c>
      <c r="OI15">
        <v>20.905970752352498</v>
      </c>
      <c r="OJ15">
        <v>-3.7119797191694102</v>
      </c>
      <c r="OK15">
        <v>-567.80798073304095</v>
      </c>
      <c r="OL15">
        <v>20.888835661480702</v>
      </c>
      <c r="OM15">
        <v>22.5428362889804</v>
      </c>
      <c r="ON15">
        <v>229.558643434055</v>
      </c>
      <c r="OO15">
        <v>-12.125959706527199</v>
      </c>
      <c r="OP15">
        <v>20.227967494725</v>
      </c>
      <c r="OQ15">
        <v>20.7930958174463</v>
      </c>
      <c r="OR15">
        <v>-46.448880331950498</v>
      </c>
      <c r="OS15">
        <v>-404.883183473222</v>
      </c>
      <c r="OT15">
        <v>20.853403112851101</v>
      </c>
      <c r="OU15">
        <v>22.494333664250401</v>
      </c>
      <c r="OV15">
        <v>102.478519058942</v>
      </c>
      <c r="OW15">
        <v>-5.3687696642099398</v>
      </c>
      <c r="OX15">
        <v>20.366876409605698</v>
      </c>
      <c r="OY15">
        <v>21.128762713489898</v>
      </c>
      <c r="OZ15">
        <v>77.488087765869295</v>
      </c>
      <c r="PA15">
        <v>-536.55092613178203</v>
      </c>
      <c r="PB15">
        <v>21.0406707463329</v>
      </c>
      <c r="PC15">
        <v>22.7998124038333</v>
      </c>
      <c r="PD15">
        <v>330.129681539155</v>
      </c>
      <c r="PE15">
        <v>-7.7997446665843704</v>
      </c>
      <c r="PF15">
        <v>20.192302810829101</v>
      </c>
      <c r="PG15">
        <v>20.845747384470499</v>
      </c>
      <c r="PH15">
        <v>1.7</v>
      </c>
      <c r="PI15">
        <v>-3.3563726183044</v>
      </c>
      <c r="PJ15">
        <v>-369.21893313939597</v>
      </c>
      <c r="PK15">
        <v>20.8280784962806</v>
      </c>
      <c r="PL15">
        <v>22.5311240135429</v>
      </c>
      <c r="PM15" s="35">
        <v>1.7</v>
      </c>
      <c r="PN15">
        <v>148.033181615834</v>
      </c>
      <c r="PO15">
        <v>22.627430313872299</v>
      </c>
      <c r="PP15">
        <v>22.5743159317731</v>
      </c>
      <c r="PQ15">
        <v>22.954352644856002</v>
      </c>
      <c r="PR15">
        <v>22.678026818919498</v>
      </c>
      <c r="PS15">
        <v>22.8338038364681</v>
      </c>
      <c r="PT15">
        <v>23.1288765884768</v>
      </c>
      <c r="PU15">
        <v>23.0655988115948</v>
      </c>
      <c r="PV15">
        <v>23.299414778092501</v>
      </c>
      <c r="PW15">
        <v>23.132640767079</v>
      </c>
      <c r="PX15">
        <v>23.827053561895799</v>
      </c>
      <c r="PY15">
        <v>22.9261005123887</v>
      </c>
      <c r="PZ15">
        <v>22.868767612808899</v>
      </c>
      <c r="QA15">
        <v>23.209267566778699</v>
      </c>
      <c r="QB15">
        <v>22.9403808100462</v>
      </c>
      <c r="QC15">
        <v>23.839250981885002</v>
      </c>
      <c r="QD15">
        <v>20.660512757137202</v>
      </c>
      <c r="QE15">
        <v>23.3378337031988</v>
      </c>
      <c r="QF15">
        <v>23.238586485549099</v>
      </c>
      <c r="QG15">
        <v>23.731311276359101</v>
      </c>
      <c r="QH15">
        <v>23.407207620788199</v>
      </c>
      <c r="QI15">
        <v>24.067449214352902</v>
      </c>
      <c r="QJ15">
        <v>23.565500037801701</v>
      </c>
      <c r="QK15">
        <v>23.4751873012349</v>
      </c>
      <c r="QL15">
        <v>23.810032865075499</v>
      </c>
      <c r="QM15">
        <v>23.5562502939149</v>
      </c>
      <c r="QN15">
        <v>-826.70935467292497</v>
      </c>
      <c r="QO15">
        <v>25.070048854932502</v>
      </c>
      <c r="QP15">
        <v>-4459.3996876066103</v>
      </c>
      <c r="QQ15">
        <v>23.462768162243002</v>
      </c>
      <c r="QR15">
        <v>23.467756014064499</v>
      </c>
      <c r="QS15">
        <v>23.749947604420701</v>
      </c>
      <c r="QT15">
        <v>23.491564278222398</v>
      </c>
      <c r="QU15">
        <v>25.0214251883652</v>
      </c>
      <c r="QV15">
        <v>17.594086647609998</v>
      </c>
      <c r="QW15">
        <v>432143.38248381298</v>
      </c>
      <c r="QX15">
        <v>0</v>
      </c>
      <c r="QY15">
        <v>415116.24887564703</v>
      </c>
      <c r="QZ15">
        <v>0</v>
      </c>
      <c r="RA15">
        <v>35317.2133668893</v>
      </c>
      <c r="RB15">
        <v>0</v>
      </c>
      <c r="RC15">
        <v>23490.915434185899</v>
      </c>
      <c r="RD15">
        <v>0</v>
      </c>
      <c r="RE15">
        <v>127547.132682222</v>
      </c>
      <c r="RF15">
        <v>0</v>
      </c>
      <c r="RG15">
        <v>117579.661401512</v>
      </c>
      <c r="RH15" s="35">
        <v>0</v>
      </c>
      <c r="RI15">
        <v>0</v>
      </c>
      <c r="RJ15" s="35">
        <v>0</v>
      </c>
      <c r="RK15">
        <v>24.048237092525302</v>
      </c>
      <c r="RL15">
        <v>-436.73972429161398</v>
      </c>
      <c r="RM15" s="35">
        <v>-4561.0357941356997</v>
      </c>
      <c r="RN15">
        <v>-436.73972429161398</v>
      </c>
      <c r="RO15" s="35">
        <v>0</v>
      </c>
      <c r="RP15">
        <v>0</v>
      </c>
      <c r="RQ15" s="35">
        <v>23.902857039325198</v>
      </c>
      <c r="RR15" s="35">
        <v>-135.81842067287801</v>
      </c>
      <c r="RS15">
        <v>-2756.5544486185199</v>
      </c>
      <c r="RT15">
        <v>-135.81842067287801</v>
      </c>
      <c r="RU15">
        <v>0</v>
      </c>
      <c r="RV15">
        <v>0</v>
      </c>
      <c r="RW15">
        <v>24.508269907862299</v>
      </c>
      <c r="RX15">
        <v>-1117.5010499180601</v>
      </c>
      <c r="RY15">
        <v>-5235.2632515011901</v>
      </c>
      <c r="RZ15">
        <v>-1117.5010499180601</v>
      </c>
      <c r="SA15">
        <v>0</v>
      </c>
      <c r="SB15">
        <v>0</v>
      </c>
      <c r="SC15">
        <v>24.1363884226568</v>
      </c>
      <c r="SD15">
        <v>-378.453642653396</v>
      </c>
      <c r="SE15">
        <v>-2997.3767235015098</v>
      </c>
      <c r="SF15">
        <v>-378.453642653396</v>
      </c>
      <c r="SG15">
        <v>0</v>
      </c>
      <c r="SH15">
        <v>8698.4090509306607</v>
      </c>
      <c r="SI15">
        <v>25.301094592237799</v>
      </c>
      <c r="SJ15">
        <v>-373.51016446316299</v>
      </c>
      <c r="SK15">
        <v>-20672.6360686263</v>
      </c>
      <c r="SL15">
        <v>120.7184186348</v>
      </c>
      <c r="SM15">
        <v>21.1111</v>
      </c>
      <c r="SN15">
        <v>23.8889</v>
      </c>
      <c r="SO15">
        <v>0</v>
      </c>
      <c r="SP15">
        <v>0</v>
      </c>
      <c r="SQ15">
        <v>21.103070223838898</v>
      </c>
      <c r="SR15">
        <v>0</v>
      </c>
      <c r="SS15">
        <v>0</v>
      </c>
      <c r="ST15">
        <v>0</v>
      </c>
      <c r="SU15">
        <v>0</v>
      </c>
      <c r="SV15">
        <v>0</v>
      </c>
      <c r="SW15">
        <v>21.038216690766198</v>
      </c>
      <c r="SX15">
        <v>0</v>
      </c>
      <c r="SY15">
        <v>0</v>
      </c>
      <c r="SZ15">
        <v>0</v>
      </c>
      <c r="TA15">
        <v>0</v>
      </c>
      <c r="TB15">
        <v>0</v>
      </c>
      <c r="TC15">
        <v>21.303360651457901</v>
      </c>
      <c r="TD15">
        <v>0</v>
      </c>
      <c r="TE15">
        <v>0</v>
      </c>
      <c r="TF15">
        <v>0</v>
      </c>
      <c r="TG15">
        <v>0</v>
      </c>
      <c r="TH15">
        <v>0</v>
      </c>
      <c r="TI15">
        <v>21.063130795352301</v>
      </c>
      <c r="TJ15">
        <v>0</v>
      </c>
      <c r="TK15">
        <v>0</v>
      </c>
      <c r="TL15">
        <v>0</v>
      </c>
      <c r="TM15">
        <v>2281.6820980201401</v>
      </c>
      <c r="TN15">
        <v>0</v>
      </c>
      <c r="TO15">
        <v>22.8969754867612</v>
      </c>
      <c r="TP15">
        <v>0</v>
      </c>
      <c r="TQ15">
        <v>0</v>
      </c>
      <c r="TR15">
        <v>0</v>
      </c>
      <c r="TS15">
        <v>0</v>
      </c>
      <c r="TT15">
        <v>1086.60768539741</v>
      </c>
      <c r="TU15">
        <v>24.0021234871266</v>
      </c>
      <c r="TV15">
        <v>-1263.82450843329</v>
      </c>
      <c r="TW15">
        <v>-6016.3124309898703</v>
      </c>
      <c r="TX15">
        <v>-1263.82450843329</v>
      </c>
      <c r="TY15">
        <v>0</v>
      </c>
      <c r="TZ15">
        <v>597.198056629392</v>
      </c>
      <c r="UA15">
        <v>23.884775790875</v>
      </c>
      <c r="UB15">
        <v>-670.60047543028099</v>
      </c>
      <c r="UC15">
        <v>-3733.1218743734398</v>
      </c>
      <c r="UD15">
        <v>-670.60047543028099</v>
      </c>
      <c r="UE15">
        <v>0</v>
      </c>
      <c r="UF15">
        <v>1361.66210513137</v>
      </c>
      <c r="UG15">
        <v>24.3206509520585</v>
      </c>
      <c r="UH15">
        <v>-1650.06441355642</v>
      </c>
      <c r="UI15">
        <v>-6329.8553044383598</v>
      </c>
      <c r="UJ15">
        <v>-1650.06441355642</v>
      </c>
      <c r="UK15">
        <v>0</v>
      </c>
      <c r="UL15">
        <v>776.52202807740503</v>
      </c>
      <c r="UM15">
        <v>23.9798598207508</v>
      </c>
      <c r="UN15">
        <v>-723.52215758336297</v>
      </c>
      <c r="UO15">
        <v>-3901.2568333352501</v>
      </c>
      <c r="UP15">
        <v>-723.52215758336297</v>
      </c>
      <c r="UQ15">
        <v>0</v>
      </c>
      <c r="UR15">
        <v>9313.9907820772805</v>
      </c>
      <c r="US15">
        <v>26.313044147969102</v>
      </c>
      <c r="UT15">
        <v>-6372.3910989924998</v>
      </c>
      <c r="UU15">
        <v>-26884.391654861101</v>
      </c>
      <c r="UV15">
        <v>-6372.3910989924998</v>
      </c>
      <c r="UW15">
        <v>21.1111</v>
      </c>
      <c r="UX15">
        <v>23.8889</v>
      </c>
      <c r="UY15">
        <v>585.342456066458</v>
      </c>
      <c r="UZ15">
        <v>0</v>
      </c>
      <c r="VA15">
        <v>22.054726572209599</v>
      </c>
      <c r="VB15">
        <v>0</v>
      </c>
      <c r="VC15">
        <v>0</v>
      </c>
      <c r="VD15">
        <v>0</v>
      </c>
      <c r="VE15">
        <v>334.64001056637102</v>
      </c>
      <c r="VF15">
        <v>0</v>
      </c>
      <c r="VG15">
        <v>21.845716666722499</v>
      </c>
      <c r="VH15">
        <v>0</v>
      </c>
      <c r="VI15">
        <v>0</v>
      </c>
      <c r="VJ15">
        <v>0</v>
      </c>
      <c r="VK15">
        <v>653.01512120759196</v>
      </c>
      <c r="VL15">
        <v>0</v>
      </c>
      <c r="VM15">
        <v>22.400930543949102</v>
      </c>
      <c r="VN15">
        <v>0</v>
      </c>
      <c r="VO15">
        <v>0</v>
      </c>
      <c r="VP15">
        <v>0</v>
      </c>
      <c r="VQ15">
        <v>419.26986518422399</v>
      </c>
      <c r="VR15">
        <v>0</v>
      </c>
      <c r="VS15">
        <v>22.131299464340501</v>
      </c>
      <c r="VT15">
        <v>0</v>
      </c>
      <c r="VU15">
        <v>0</v>
      </c>
      <c r="VV15">
        <v>0</v>
      </c>
      <c r="VW15">
        <v>1731.27396485074</v>
      </c>
      <c r="VX15">
        <v>0</v>
      </c>
      <c r="VY15">
        <v>23.2256638127507</v>
      </c>
      <c r="VZ15">
        <v>0</v>
      </c>
      <c r="WA15">
        <v>0</v>
      </c>
      <c r="WB15">
        <v>0</v>
      </c>
      <c r="WC15">
        <v>0</v>
      </c>
      <c r="WD15">
        <v>613.98491385448096</v>
      </c>
      <c r="WE15">
        <v>23.9994358120972</v>
      </c>
      <c r="WF15">
        <v>-863.26591819410805</v>
      </c>
      <c r="WG15">
        <v>-5225.5413040224803</v>
      </c>
      <c r="WH15">
        <v>-863.26591819410805</v>
      </c>
      <c r="WI15">
        <v>0</v>
      </c>
      <c r="WJ15">
        <v>0</v>
      </c>
      <c r="WK15">
        <v>0</v>
      </c>
      <c r="WL15">
        <v>24.066744415320098</v>
      </c>
      <c r="WM15">
        <v>-315.21796547948401</v>
      </c>
      <c r="WN15">
        <v>-2937.6220424419498</v>
      </c>
      <c r="WO15">
        <v>-315.21796547948401</v>
      </c>
      <c r="WP15">
        <v>21.1111</v>
      </c>
      <c r="WQ15">
        <v>23.8889</v>
      </c>
      <c r="WR15">
        <v>0</v>
      </c>
      <c r="WS15">
        <v>908.69225258250503</v>
      </c>
      <c r="WT15">
        <v>24.290627642062699</v>
      </c>
      <c r="WU15">
        <v>-1468.38945245884</v>
      </c>
      <c r="WV15">
        <v>-5929.3213329767104</v>
      </c>
      <c r="WW15">
        <v>-1468.38945245884</v>
      </c>
      <c r="WX15">
        <v>1560801.7195086901</v>
      </c>
      <c r="WY15">
        <v>0</v>
      </c>
      <c r="WZ15">
        <v>433.55603319686003</v>
      </c>
      <c r="XA15">
        <v>24.0427477463986</v>
      </c>
      <c r="XB15">
        <v>-613.70989677732302</v>
      </c>
      <c r="XC15">
        <v>-3374.6426718965099</v>
      </c>
      <c r="XD15">
        <v>-613.70989677732302</v>
      </c>
      <c r="XE15">
        <v>0</v>
      </c>
      <c r="XF15">
        <v>8981.6935670238108</v>
      </c>
      <c r="XG15">
        <v>26.203599394845401</v>
      </c>
      <c r="XH15">
        <v>-7864.2667666684501</v>
      </c>
      <c r="XI15">
        <v>-28835.861047134</v>
      </c>
      <c r="XJ15">
        <v>-7864.2667666684501</v>
      </c>
      <c r="XK15">
        <v>21.1111</v>
      </c>
      <c r="XL15">
        <v>23.8889</v>
      </c>
      <c r="XM15">
        <v>262.062968222873</v>
      </c>
      <c r="XN15">
        <v>0</v>
      </c>
      <c r="XO15">
        <v>22.023880636841099</v>
      </c>
      <c r="XP15">
        <v>0</v>
      </c>
      <c r="XQ15">
        <v>0</v>
      </c>
      <c r="XR15">
        <v>0</v>
      </c>
      <c r="XS15">
        <v>0</v>
      </c>
      <c r="XT15">
        <v>0</v>
      </c>
      <c r="XU15">
        <v>21.519190732698299</v>
      </c>
      <c r="XV15">
        <v>0</v>
      </c>
      <c r="XW15">
        <v>0</v>
      </c>
      <c r="XX15">
        <v>0</v>
      </c>
      <c r="XY15">
        <v>358.26878218595601</v>
      </c>
      <c r="XZ15">
        <v>0</v>
      </c>
      <c r="YA15">
        <v>22.582722138468501</v>
      </c>
      <c r="YB15">
        <v>0</v>
      </c>
      <c r="YC15">
        <v>0</v>
      </c>
      <c r="YD15">
        <v>0</v>
      </c>
      <c r="YE15">
        <v>187.604778792622</v>
      </c>
      <c r="YF15">
        <v>0</v>
      </c>
      <c r="YG15">
        <v>21.979374996636999</v>
      </c>
      <c r="YH15">
        <v>0</v>
      </c>
      <c r="YI15">
        <v>0</v>
      </c>
      <c r="YJ15">
        <v>0</v>
      </c>
      <c r="YK15">
        <v>794.15900216007299</v>
      </c>
      <c r="YL15">
        <v>0</v>
      </c>
      <c r="YM15">
        <v>24.244700204297999</v>
      </c>
      <c r="YN15">
        <v>0</v>
      </c>
      <c r="YO15">
        <v>0</v>
      </c>
      <c r="YP15">
        <v>0</v>
      </c>
      <c r="YQ15">
        <v>0</v>
      </c>
      <c r="YR15">
        <v>0</v>
      </c>
      <c r="YS15">
        <v>19.311452237717202</v>
      </c>
      <c r="YT15">
        <v>0</v>
      </c>
      <c r="YU15">
        <v>0</v>
      </c>
      <c r="YV15">
        <v>0</v>
      </c>
      <c r="YW15">
        <v>0</v>
      </c>
      <c r="YX15">
        <v>0</v>
      </c>
      <c r="YY15">
        <v>19.2918418386074</v>
      </c>
      <c r="YZ15">
        <v>0</v>
      </c>
      <c r="ZA15">
        <v>0</v>
      </c>
      <c r="ZB15">
        <v>0</v>
      </c>
      <c r="ZC15">
        <v>0</v>
      </c>
      <c r="ZD15">
        <v>0</v>
      </c>
      <c r="ZE15">
        <v>19.404733748229201</v>
      </c>
      <c r="ZF15">
        <v>0</v>
      </c>
      <c r="ZG15">
        <v>0</v>
      </c>
      <c r="ZH15">
        <v>0</v>
      </c>
      <c r="ZI15">
        <v>0</v>
      </c>
      <c r="ZJ15">
        <v>0</v>
      </c>
      <c r="ZK15">
        <v>19.289532678905701</v>
      </c>
      <c r="ZL15">
        <v>0</v>
      </c>
      <c r="ZM15">
        <v>0</v>
      </c>
      <c r="ZN15">
        <v>0</v>
      </c>
      <c r="ZO15">
        <v>0</v>
      </c>
      <c r="ZP15">
        <v>7997.8135654608805</v>
      </c>
      <c r="ZQ15">
        <v>17.055580678634399</v>
      </c>
      <c r="ZR15">
        <v>0</v>
      </c>
      <c r="ZS15">
        <v>0</v>
      </c>
      <c r="ZT15">
        <v>0</v>
      </c>
      <c r="ZU15">
        <v>0</v>
      </c>
      <c r="ZV15">
        <v>618.19482322579097</v>
      </c>
      <c r="ZW15">
        <v>20.1392554518095</v>
      </c>
      <c r="ZX15">
        <v>0</v>
      </c>
      <c r="ZY15">
        <v>0</v>
      </c>
      <c r="ZZ15">
        <v>0</v>
      </c>
      <c r="AAA15">
        <v>0</v>
      </c>
      <c r="AAB15">
        <v>353.07108129621503</v>
      </c>
      <c r="AAC15">
        <v>20.1968483541323</v>
      </c>
      <c r="AAD15">
        <v>0</v>
      </c>
      <c r="AAE15">
        <v>0</v>
      </c>
      <c r="AAF15">
        <v>0</v>
      </c>
      <c r="AAG15">
        <v>0</v>
      </c>
      <c r="AAH15">
        <v>672.63269344661501</v>
      </c>
      <c r="AAI15">
        <v>20.086719863558201</v>
      </c>
      <c r="AAJ15">
        <v>0</v>
      </c>
      <c r="AAK15">
        <v>0</v>
      </c>
      <c r="AAL15">
        <v>0</v>
      </c>
      <c r="AAM15">
        <v>0</v>
      </c>
      <c r="AAN15">
        <v>415.74783871062903</v>
      </c>
      <c r="AAO15">
        <v>19.9969125039521</v>
      </c>
      <c r="AAP15">
        <v>0</v>
      </c>
      <c r="AAQ15">
        <v>0</v>
      </c>
      <c r="AAR15">
        <v>0</v>
      </c>
      <c r="AAS15">
        <v>0</v>
      </c>
      <c r="AAT15">
        <v>14618.9838721744</v>
      </c>
      <c r="AAU15">
        <v>17.091923315477999</v>
      </c>
      <c r="AAV15">
        <v>0</v>
      </c>
      <c r="AAW15">
        <v>0</v>
      </c>
      <c r="AAX15">
        <v>0</v>
      </c>
      <c r="AAY15">
        <v>0</v>
      </c>
      <c r="AAZ15">
        <v>326.34894272555999</v>
      </c>
      <c r="ABA15">
        <v>20.158434003488299</v>
      </c>
      <c r="ABB15">
        <v>0</v>
      </c>
      <c r="ABC15">
        <v>0</v>
      </c>
      <c r="ABD15">
        <v>0</v>
      </c>
      <c r="ABE15">
        <v>0</v>
      </c>
      <c r="ABF15">
        <v>0</v>
      </c>
      <c r="ABG15">
        <v>20.484127800743099</v>
      </c>
      <c r="ABH15">
        <v>0</v>
      </c>
      <c r="ABI15">
        <v>0</v>
      </c>
      <c r="ABJ15">
        <v>0</v>
      </c>
      <c r="ABK15">
        <v>0</v>
      </c>
      <c r="ABL15">
        <v>420.95801474787999</v>
      </c>
      <c r="ABM15">
        <v>20.1058253323618</v>
      </c>
      <c r="ABN15">
        <v>0</v>
      </c>
      <c r="ABO15">
        <v>0</v>
      </c>
      <c r="ABP15">
        <v>0</v>
      </c>
      <c r="ABQ15">
        <v>0</v>
      </c>
      <c r="ABR15">
        <v>217.48685097704401</v>
      </c>
      <c r="ABS15">
        <v>20.075195462517399</v>
      </c>
      <c r="ABT15">
        <v>0</v>
      </c>
      <c r="ABU15">
        <v>0</v>
      </c>
      <c r="ABV15">
        <v>0</v>
      </c>
      <c r="ABW15">
        <v>0</v>
      </c>
      <c r="ABX15">
        <v>12304.3712777769</v>
      </c>
      <c r="ABY15">
        <v>17.594086647609998</v>
      </c>
      <c r="ABZ15">
        <v>0</v>
      </c>
      <c r="ACA15">
        <v>0</v>
      </c>
      <c r="ACB15">
        <v>0</v>
      </c>
      <c r="ACC15">
        <v>0</v>
      </c>
      <c r="ACD15">
        <v>0</v>
      </c>
      <c r="ACE15">
        <v>0</v>
      </c>
      <c r="ACF15">
        <v>8.1875</v>
      </c>
      <c r="ACG15">
        <v>8.1875</v>
      </c>
      <c r="ACH15">
        <v>0</v>
      </c>
      <c r="ACI15">
        <v>0</v>
      </c>
      <c r="ACJ15">
        <v>0</v>
      </c>
      <c r="ACK15">
        <v>20.892476876737199</v>
      </c>
      <c r="ACL15">
        <v>20.892476876737199</v>
      </c>
      <c r="ACM15">
        <v>0</v>
      </c>
      <c r="ACN15">
        <v>94851.307274330306</v>
      </c>
      <c r="ACP15">
        <v>6146.0914558782697</v>
      </c>
      <c r="ACR15">
        <v>100997.398730209</v>
      </c>
      <c r="ACT15">
        <v>25.2494271294137</v>
      </c>
      <c r="ACU15">
        <v>22.590735553930202</v>
      </c>
      <c r="ACV15">
        <v>1.7</v>
      </c>
      <c r="ACW15">
        <v>1.3949581533723201</v>
      </c>
      <c r="ACX15">
        <v>0.67510186713906695</v>
      </c>
      <c r="ACY15">
        <v>26.195358887586</v>
      </c>
      <c r="ACZ15">
        <v>23.370284742303699</v>
      </c>
      <c r="ADA15">
        <v>1.7</v>
      </c>
      <c r="ADB15">
        <v>1.38452103745896</v>
      </c>
      <c r="ADC15">
        <v>0.67702948794867401</v>
      </c>
      <c r="ADD15">
        <v>26.259425164653599</v>
      </c>
      <c r="ADE15">
        <v>23.571378060385101</v>
      </c>
      <c r="ADF15">
        <v>1.7</v>
      </c>
      <c r="ADG15">
        <v>1.3941306074503701</v>
      </c>
      <c r="ADH15">
        <v>0.68187394427922798</v>
      </c>
      <c r="ADI15">
        <v>24.327965880605301</v>
      </c>
      <c r="ADJ15">
        <v>24.327965880605301</v>
      </c>
      <c r="ADK15">
        <v>0</v>
      </c>
      <c r="ADL15">
        <v>0</v>
      </c>
      <c r="ADM15">
        <v>1</v>
      </c>
      <c r="ADN15">
        <v>24.216173677945999</v>
      </c>
      <c r="ADO15">
        <v>24.216173677945999</v>
      </c>
      <c r="ADP15">
        <v>0</v>
      </c>
      <c r="ADQ15">
        <v>0</v>
      </c>
      <c r="ADR15">
        <v>1</v>
      </c>
      <c r="ADS15">
        <v>24.722229964833399</v>
      </c>
      <c r="ADT15">
        <v>24.722229964833399</v>
      </c>
      <c r="ADU15">
        <v>0</v>
      </c>
      <c r="ADV15">
        <v>0</v>
      </c>
      <c r="ADW15">
        <v>1</v>
      </c>
      <c r="ADX15">
        <v>24.374708327711598</v>
      </c>
      <c r="ADY15">
        <v>24.374708327711598</v>
      </c>
      <c r="ADZ15">
        <v>0</v>
      </c>
      <c r="AEA15">
        <v>0</v>
      </c>
      <c r="AEB15">
        <v>1</v>
      </c>
      <c r="AEC15">
        <v>24.620575240501601</v>
      </c>
      <c r="AED15">
        <v>24.121621548484899</v>
      </c>
      <c r="AEE15">
        <v>1.2749999999999999</v>
      </c>
      <c r="AEF15">
        <v>3.8297096928542702</v>
      </c>
      <c r="AEG15">
        <v>0.882267560280246</v>
      </c>
      <c r="AEH15">
        <v>24.570069020350701</v>
      </c>
      <c r="AEI15">
        <v>24.081870321474899</v>
      </c>
      <c r="AEJ15">
        <v>1.2749999999999999</v>
      </c>
      <c r="AEK15">
        <v>2.4120414832745598</v>
      </c>
      <c r="AEL15">
        <v>0.88325451026334401</v>
      </c>
      <c r="AEM15">
        <v>24.847003644564399</v>
      </c>
      <c r="AEN15">
        <v>24.085007191925602</v>
      </c>
      <c r="AEO15">
        <v>1.2749999999999999</v>
      </c>
      <c r="AEP15">
        <v>3.4514760825231598</v>
      </c>
      <c r="AEQ15">
        <v>0.83557603115760803</v>
      </c>
      <c r="AER15">
        <v>25.014725705150401</v>
      </c>
      <c r="AES15">
        <v>23.733200517715101</v>
      </c>
      <c r="AET15">
        <v>1.7</v>
      </c>
      <c r="AEU15">
        <v>2.6640734230989001</v>
      </c>
      <c r="AEV15">
        <v>0.74083247560588705</v>
      </c>
      <c r="AEW15">
        <v>24.472120690506401</v>
      </c>
      <c r="AEX15">
        <v>24.209440935560799</v>
      </c>
      <c r="AEY15">
        <v>0.85</v>
      </c>
      <c r="AEZ15">
        <v>2.05886004621577</v>
      </c>
      <c r="AFA15">
        <v>0.93673425154561896</v>
      </c>
      <c r="AFB15">
        <v>24.420496045420901</v>
      </c>
      <c r="AFC15">
        <v>24.420496045420901</v>
      </c>
      <c r="AFD15">
        <v>0</v>
      </c>
      <c r="AFE15">
        <v>0</v>
      </c>
      <c r="AFF15">
        <v>1</v>
      </c>
      <c r="AFG15">
        <v>24.636099815961298</v>
      </c>
      <c r="AFH15">
        <v>24.3109929779155</v>
      </c>
      <c r="AFI15">
        <v>0.85</v>
      </c>
      <c r="AFJ15">
        <v>2.2801516899827901</v>
      </c>
      <c r="AFK15">
        <v>0.92133639601071304</v>
      </c>
      <c r="AFL15">
        <v>24.469330504827699</v>
      </c>
      <c r="AFM15">
        <v>24.180447086664401</v>
      </c>
      <c r="AFN15">
        <v>0.85</v>
      </c>
      <c r="AFO15">
        <v>1.5669856302541301</v>
      </c>
      <c r="AFP15">
        <v>0.93158054182955596</v>
      </c>
      <c r="AFQ15">
        <v>-8.7388213740805604E-2</v>
      </c>
      <c r="AFR15">
        <v>-0.17119258700525</v>
      </c>
      <c r="AFS15">
        <v>-0.164558860882108</v>
      </c>
      <c r="AFT15">
        <v>-0.195357340523439</v>
      </c>
      <c r="AFU15">
        <v>-0.41776044174663002</v>
      </c>
      <c r="AFV15">
        <v>-0.33401237366945202</v>
      </c>
      <c r="AFW15">
        <v>-0.37316312407186902</v>
      </c>
      <c r="AFX15">
        <v>-0.26119952704275401</v>
      </c>
      <c r="AFY15">
        <v>-0.23380142548676899</v>
      </c>
      <c r="AFZ15">
        <v>-0.21914713673800601</v>
      </c>
      <c r="AGA15">
        <v>-0.23322463616269701</v>
      </c>
      <c r="AGB15">
        <v>-0.152152875410097</v>
      </c>
      <c r="AGC15">
        <v>-0.72152021196556304</v>
      </c>
      <c r="AGD15">
        <v>-0.52248083543326795</v>
      </c>
      <c r="AGE15">
        <v>-0.48696362571290303</v>
      </c>
      <c r="AGF15">
        <v>1</v>
      </c>
      <c r="AGG15">
        <v>1</v>
      </c>
      <c r="AGH15">
        <v>1</v>
      </c>
      <c r="AGI15">
        <v>1</v>
      </c>
      <c r="AGJ15">
        <v>0</v>
      </c>
      <c r="AGK15">
        <v>0</v>
      </c>
      <c r="AGL15">
        <v>0</v>
      </c>
      <c r="AGM15">
        <v>0</v>
      </c>
      <c r="AGN15">
        <v>0</v>
      </c>
      <c r="AGO15">
        <v>0</v>
      </c>
      <c r="AGP15">
        <v>0</v>
      </c>
      <c r="AGQ15">
        <v>0.5</v>
      </c>
      <c r="AGR15">
        <v>0</v>
      </c>
      <c r="AGS15">
        <v>0.25</v>
      </c>
      <c r="AGT15">
        <v>0</v>
      </c>
      <c r="AGU15">
        <v>0</v>
      </c>
      <c r="AGV15">
        <v>0</v>
      </c>
      <c r="AGW15">
        <v>0</v>
      </c>
      <c r="AGX15">
        <v>0</v>
      </c>
      <c r="AGY15">
        <v>0</v>
      </c>
      <c r="AGZ15">
        <v>1</v>
      </c>
      <c r="AHA15">
        <v>1</v>
      </c>
      <c r="AHB15">
        <v>0.5</v>
      </c>
      <c r="AHC15">
        <v>0.75</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Z15">
        <v>0</v>
      </c>
      <c r="AIB15">
        <v>0</v>
      </c>
      <c r="AID15">
        <v>0</v>
      </c>
      <c r="AIF15">
        <v>0</v>
      </c>
      <c r="AIH15">
        <v>0</v>
      </c>
      <c r="AIJ15">
        <v>0</v>
      </c>
      <c r="AIL15">
        <v>0</v>
      </c>
      <c r="AIN15">
        <v>0</v>
      </c>
      <c r="AIP15">
        <v>0</v>
      </c>
      <c r="AIR15">
        <v>0</v>
      </c>
      <c r="AIT15">
        <v>0</v>
      </c>
      <c r="AIV15">
        <v>0</v>
      </c>
      <c r="AIX15">
        <v>0</v>
      </c>
      <c r="AIZ15">
        <v>0</v>
      </c>
      <c r="AJB15">
        <v>0</v>
      </c>
      <c r="AJC15">
        <v>0</v>
      </c>
      <c r="AJE15">
        <v>-1.6856014809151401E-4</v>
      </c>
      <c r="AJH15">
        <v>5915.4266142565402</v>
      </c>
      <c r="AJJ15">
        <v>138.004877932006</v>
      </c>
      <c r="AJK15">
        <v>10.034708492002499</v>
      </c>
      <c r="AJL15">
        <v>10.280424412187701</v>
      </c>
      <c r="AJM15">
        <v>19.671034141867</v>
      </c>
      <c r="AJN15">
        <v>21.707048652132102</v>
      </c>
      <c r="AJO15">
        <v>0</v>
      </c>
      <c r="AJP15">
        <v>6.8135784181675101</v>
      </c>
      <c r="AJQ15">
        <v>13.413385043719799</v>
      </c>
      <c r="AJR15">
        <v>10.7397845296484</v>
      </c>
      <c r="AJS15">
        <v>0</v>
      </c>
      <c r="AJT15">
        <v>0</v>
      </c>
      <c r="AJU15">
        <v>0</v>
      </c>
      <c r="AJV15">
        <v>0</v>
      </c>
      <c r="AJW15">
        <v>0</v>
      </c>
      <c r="AJX15">
        <v>0</v>
      </c>
      <c r="AJY15">
        <v>0</v>
      </c>
      <c r="AJZ15">
        <v>0</v>
      </c>
      <c r="AKA15">
        <v>0</v>
      </c>
      <c r="AKB15">
        <v>0</v>
      </c>
      <c r="AKC15">
        <v>0</v>
      </c>
      <c r="AKD15">
        <v>0</v>
      </c>
      <c r="AKE15">
        <v>70.162396350790203</v>
      </c>
      <c r="AKF15">
        <v>70.162396350790203</v>
      </c>
      <c r="AKG15">
        <v>0</v>
      </c>
      <c r="AKH15">
        <v>0</v>
      </c>
      <c r="AKI15">
        <v>0</v>
      </c>
      <c r="AKJ15">
        <v>0</v>
      </c>
      <c r="AKK15">
        <v>0</v>
      </c>
      <c r="AKL15">
        <v>70.162396350790203</v>
      </c>
      <c r="AKM15">
        <v>70.162396350790203</v>
      </c>
      <c r="AKN15">
        <v>0</v>
      </c>
      <c r="AKO15">
        <v>0</v>
      </c>
      <c r="AKP15">
        <v>0</v>
      </c>
      <c r="AKT15">
        <v>0</v>
      </c>
      <c r="AKX15">
        <v>0</v>
      </c>
      <c r="ALB15">
        <v>20.892476876737199</v>
      </c>
      <c r="ALC15">
        <v>20.892476876737199</v>
      </c>
      <c r="ALD15">
        <v>0</v>
      </c>
      <c r="ALE15">
        <v>0</v>
      </c>
      <c r="ALF15">
        <v>0</v>
      </c>
      <c r="ALH15">
        <v>8.1875000376400102</v>
      </c>
      <c r="ALI15">
        <v>6.6868302769964999E-3</v>
      </c>
      <c r="ALJ15">
        <v>3.70049245915461</v>
      </c>
      <c r="ALK15">
        <v>8.1875</v>
      </c>
      <c r="ALL15">
        <v>3.70049245915461</v>
      </c>
      <c r="ALM15">
        <v>0</v>
      </c>
      <c r="ALN15">
        <v>23.483973098516199</v>
      </c>
      <c r="ALO15">
        <v>8.2650498244941605E-3</v>
      </c>
      <c r="ALP15">
        <v>46.003376973589098</v>
      </c>
      <c r="ALQ15">
        <v>3.7004903591518699</v>
      </c>
      <c r="ALR15">
        <v>8.1875000376400102</v>
      </c>
      <c r="ALS15">
        <v>3.70049245915461</v>
      </c>
      <c r="ALT15">
        <v>9.5129152882403698</v>
      </c>
      <c r="ALU15">
        <v>3.70049245915461</v>
      </c>
      <c r="ALV15">
        <v>12.2200383644412</v>
      </c>
      <c r="ALW15">
        <v>9.9999999999999897E-12</v>
      </c>
      <c r="ALX15">
        <v>8.1875</v>
      </c>
      <c r="ALY15">
        <v>9.9999999999999897E-12</v>
      </c>
      <c r="ALZ15">
        <v>0</v>
      </c>
      <c r="AMA15">
        <v>8.1875</v>
      </c>
      <c r="AMB15">
        <v>0</v>
      </c>
      <c r="AMC15">
        <v>8.1875</v>
      </c>
      <c r="AMD15">
        <v>0</v>
      </c>
      <c r="AME15">
        <v>8.1875</v>
      </c>
      <c r="AMF15">
        <v>0</v>
      </c>
      <c r="AMG15">
        <v>0</v>
      </c>
      <c r="AMH15">
        <v>3.70049245915461</v>
      </c>
      <c r="AMI15">
        <v>19.266833467890699</v>
      </c>
      <c r="AMJ15">
        <v>0</v>
      </c>
      <c r="AMK15" s="580">
        <v>17.067213339183699</v>
      </c>
      <c r="AML15">
        <v>0.86607511999999998</v>
      </c>
      <c r="AMM15">
        <v>19.272652621923001</v>
      </c>
      <c r="AMN15">
        <v>0</v>
      </c>
      <c r="AMO15">
        <v>19.290938028598099</v>
      </c>
      <c r="AMP15">
        <v>0</v>
      </c>
      <c r="AMQ15">
        <v>19.3812810609307</v>
      </c>
      <c r="AMR15">
        <v>0</v>
      </c>
      <c r="AMS15">
        <v>17.434125630101601</v>
      </c>
      <c r="AMT15">
        <v>0.86607511999999998</v>
      </c>
      <c r="AMU15">
        <v>20.4363802593423</v>
      </c>
      <c r="AMV15">
        <v>0.120077531300709</v>
      </c>
      <c r="AMW15">
        <v>20.214133219092702</v>
      </c>
      <c r="AMX15">
        <v>0.13355605742777099</v>
      </c>
      <c r="AMY15">
        <v>20.413157235393399</v>
      </c>
      <c r="AMZ15">
        <v>0.218118182865156</v>
      </c>
      <c r="ANA15">
        <v>20.2312179971102</v>
      </c>
      <c r="ANB15">
        <v>0.25158553249271898</v>
      </c>
      <c r="ANC15">
        <v>17.810800085142599</v>
      </c>
      <c r="AND15">
        <v>0.86607511999999998</v>
      </c>
      <c r="ANE15">
        <v>20.423034247387701</v>
      </c>
      <c r="ANF15">
        <v>0</v>
      </c>
      <c r="ANG15">
        <v>20.239982955607601</v>
      </c>
      <c r="ANH15">
        <v>8.2701613254989606E-2</v>
      </c>
      <c r="ANI15">
        <v>20.313493261877301</v>
      </c>
      <c r="ANJ15">
        <v>0.118957016557768</v>
      </c>
      <c r="ANK15">
        <v>20.190546901803899</v>
      </c>
      <c r="ANL15">
        <v>0.17726906525276201</v>
      </c>
      <c r="ANM15">
        <v>0.86607511999999998</v>
      </c>
      <c r="ANN15">
        <v>1.5894124240863501</v>
      </c>
      <c r="ANO15">
        <v>1.2450028150655199</v>
      </c>
      <c r="ANP15">
        <v>17.067213339183699</v>
      </c>
      <c r="ANQ15">
        <v>19.272652621923001</v>
      </c>
      <c r="ANR15">
        <v>19.266833467890699</v>
      </c>
      <c r="ANS15">
        <v>19.3812810609307</v>
      </c>
      <c r="ANT15">
        <v>19.290938028598099</v>
      </c>
      <c r="ANU15">
        <v>17.434125630101601</v>
      </c>
      <c r="ANV15">
        <v>20.3862132449505</v>
      </c>
      <c r="ANW15">
        <v>20.152410994673399</v>
      </c>
      <c r="ANX15">
        <v>20.185262250209199</v>
      </c>
      <c r="ANY15">
        <v>20.353332589461701</v>
      </c>
      <c r="ANZ15">
        <v>17.810800085142599</v>
      </c>
      <c r="AOA15">
        <v>20.423034247387701</v>
      </c>
      <c r="AOB15">
        <v>20.206398235792999</v>
      </c>
      <c r="AOC15">
        <v>20.160215923022001</v>
      </c>
      <c r="AOD15">
        <v>20.276603480775599</v>
      </c>
      <c r="AOE15">
        <v>23.483973154800101</v>
      </c>
      <c r="AOF15">
        <v>3.70049245915461</v>
      </c>
      <c r="AOG15">
        <v>23.5051100147369</v>
      </c>
      <c r="AOH15">
        <v>3.70049245915461</v>
      </c>
    </row>
    <row r="16" spans="1:1074">
      <c r="A16" t="s">
        <v>2951</v>
      </c>
      <c r="B16">
        <v>8.4250000000000007</v>
      </c>
      <c r="D16">
        <v>8.2469349677208506</v>
      </c>
      <c r="F16">
        <v>5</v>
      </c>
      <c r="G16">
        <v>10048319.7473223</v>
      </c>
      <c r="H16">
        <v>23239408.985511798</v>
      </c>
      <c r="I16">
        <v>6381282.1239868198</v>
      </c>
      <c r="J16">
        <v>14758410.247721599</v>
      </c>
      <c r="K16">
        <v>10048319.7473223</v>
      </c>
      <c r="L16">
        <v>23239408.985511798</v>
      </c>
      <c r="M16">
        <v>6381282.12398683</v>
      </c>
      <c r="N16">
        <v>14758410.247721599</v>
      </c>
      <c r="O16">
        <v>51821142.324441098</v>
      </c>
      <c r="P16">
        <v>119850159.11690401</v>
      </c>
      <c r="Q16">
        <v>10048319.7473223</v>
      </c>
      <c r="R16">
        <v>23239408.985511798</v>
      </c>
      <c r="S16">
        <v>6381282.1239868198</v>
      </c>
      <c r="T16">
        <v>14758410.247721599</v>
      </c>
      <c r="U16">
        <v>10048319.7473223</v>
      </c>
      <c r="V16">
        <v>23239408.985511798</v>
      </c>
      <c r="W16">
        <v>6381282.12398683</v>
      </c>
      <c r="X16">
        <v>14758410.247721599</v>
      </c>
      <c r="Y16">
        <v>51821142.324441098</v>
      </c>
      <c r="Z16">
        <v>119850159.11690401</v>
      </c>
      <c r="AA16">
        <v>10048319.7473223</v>
      </c>
      <c r="AB16">
        <v>23239408.985511798</v>
      </c>
      <c r="AC16">
        <v>6381282.1239868198</v>
      </c>
      <c r="AD16">
        <v>14758410.247721599</v>
      </c>
      <c r="AE16">
        <v>10048319.7473223</v>
      </c>
      <c r="AF16">
        <v>23239408.985511798</v>
      </c>
      <c r="AG16">
        <v>6381282.12398683</v>
      </c>
      <c r="AH16">
        <v>14758410.247721599</v>
      </c>
      <c r="AI16">
        <v>51821142.324441098</v>
      </c>
      <c r="AJ16">
        <v>119850159.11690401</v>
      </c>
      <c r="AK16">
        <v>22.530417077666101</v>
      </c>
      <c r="AL16">
        <v>3758257.41675806</v>
      </c>
      <c r="AM16">
        <v>9733140.1775517706</v>
      </c>
      <c r="AN16">
        <v>22.530417077666101</v>
      </c>
      <c r="AO16">
        <v>3758257.41675806</v>
      </c>
      <c r="AP16">
        <v>9733140.1775517706</v>
      </c>
      <c r="AQ16">
        <v>14.3081581158871</v>
      </c>
      <c r="AR16">
        <v>2386717.5283001899</v>
      </c>
      <c r="AS16">
        <v>6181124.3060632199</v>
      </c>
      <c r="AT16">
        <v>14.3081581158871</v>
      </c>
      <c r="AU16">
        <v>2386717.5283001899</v>
      </c>
      <c r="AV16">
        <v>6181124.3060632199</v>
      </c>
      <c r="AW16">
        <v>22.530417077666101</v>
      </c>
      <c r="AX16">
        <v>3758257.41675806</v>
      </c>
      <c r="AY16">
        <v>9733140.1775517706</v>
      </c>
      <c r="AZ16">
        <v>22.530417077666101</v>
      </c>
      <c r="BA16">
        <v>3758257.41675806</v>
      </c>
      <c r="BB16">
        <v>9733140.1775517706</v>
      </c>
      <c r="BC16">
        <v>14.3081581158871</v>
      </c>
      <c r="BD16">
        <v>2386717.5283001899</v>
      </c>
      <c r="BE16">
        <v>6181124.3060632199</v>
      </c>
      <c r="BF16">
        <v>14.3081581158871</v>
      </c>
      <c r="BG16">
        <v>2386717.5283001899</v>
      </c>
      <c r="BH16">
        <v>6181124.3060632199</v>
      </c>
      <c r="BI16">
        <v>22.530417077666101</v>
      </c>
      <c r="BJ16">
        <v>3758257.41675806</v>
      </c>
      <c r="BK16">
        <v>9733140.1775517706</v>
      </c>
      <c r="BL16">
        <v>22.530417077666101</v>
      </c>
      <c r="BM16">
        <v>3758257.41675806</v>
      </c>
      <c r="BN16">
        <v>9733140.1775517706</v>
      </c>
      <c r="BO16">
        <v>14.3081581158871</v>
      </c>
      <c r="BP16">
        <v>2386717.5283001899</v>
      </c>
      <c r="BQ16">
        <v>6181124.3060632199</v>
      </c>
      <c r="BR16">
        <v>14.3081581158871</v>
      </c>
      <c r="BS16">
        <v>2386717.5283001899</v>
      </c>
      <c r="BT16">
        <v>6181124.3060632199</v>
      </c>
      <c r="BU16">
        <v>50195699.886944197</v>
      </c>
      <c r="BV16">
        <v>116.193749738297</v>
      </c>
      <c r="BW16">
        <v>19382065.597345799</v>
      </c>
      <c r="BX16">
        <v>50195699.886944197</v>
      </c>
      <c r="BY16">
        <v>116.193749738297</v>
      </c>
      <c r="BZ16">
        <v>19382065.597345799</v>
      </c>
      <c r="CA16">
        <v>50195699.886944197</v>
      </c>
      <c r="CB16">
        <v>116.193749738297</v>
      </c>
      <c r="CC16">
        <v>19382065.597345799</v>
      </c>
      <c r="CD16">
        <v>50195699.886944197</v>
      </c>
      <c r="CE16">
        <v>3395861.87171567</v>
      </c>
      <c r="CF16">
        <v>7717867.8902628897</v>
      </c>
      <c r="CG16">
        <v>3395861.87171567</v>
      </c>
      <c r="CH16">
        <v>7717867.8902628897</v>
      </c>
      <c r="CI16">
        <v>2156574.7510455502</v>
      </c>
      <c r="CJ16">
        <v>4901306.2523762397</v>
      </c>
      <c r="CK16">
        <v>2156574.75104554</v>
      </c>
      <c r="CL16">
        <v>4901306.2523762397</v>
      </c>
      <c r="CM16">
        <v>3395861.87171567</v>
      </c>
      <c r="CN16">
        <v>7717867.8902628897</v>
      </c>
      <c r="CO16">
        <v>3395861.87171567</v>
      </c>
      <c r="CP16">
        <v>7717867.8902628897</v>
      </c>
      <c r="CQ16">
        <v>2156574.7510455502</v>
      </c>
      <c r="CR16">
        <v>4901306.2523762397</v>
      </c>
      <c r="CS16">
        <v>2156574.75104554</v>
      </c>
      <c r="CT16">
        <v>4901306.2523762397</v>
      </c>
      <c r="CU16">
        <v>3395861.87171567</v>
      </c>
      <c r="CV16">
        <v>7717867.8902628897</v>
      </c>
      <c r="CW16">
        <v>3395861.87171567</v>
      </c>
      <c r="CX16">
        <v>7717867.8902628897</v>
      </c>
      <c r="CY16">
        <v>2156574.7510455502</v>
      </c>
      <c r="CZ16">
        <v>4901306.2523762397</v>
      </c>
      <c r="DA16">
        <v>2156574.75104554</v>
      </c>
      <c r="DB16">
        <v>4901306.2523762397</v>
      </c>
      <c r="DC16">
        <v>17513121.177818298</v>
      </c>
      <c r="DD16">
        <v>39802548.131405301</v>
      </c>
      <c r="DE16">
        <v>17513121.177818298</v>
      </c>
      <c r="DF16">
        <v>39802548.131405301</v>
      </c>
      <c r="DG16">
        <v>17513121.177818298</v>
      </c>
      <c r="DH16">
        <v>39802548.131405301</v>
      </c>
      <c r="DI16">
        <v>2894200.4588485798</v>
      </c>
      <c r="DJ16">
        <v>5788400.9176971698</v>
      </c>
      <c r="DK16">
        <v>2894200.4588485798</v>
      </c>
      <c r="DL16">
        <v>5788400.9176971698</v>
      </c>
      <c r="DM16">
        <v>1837989.8446410899</v>
      </c>
      <c r="DN16">
        <v>3675979.6892821798</v>
      </c>
      <c r="DO16">
        <v>1837989.8446410899</v>
      </c>
      <c r="DP16">
        <v>3675979.6892821798</v>
      </c>
      <c r="DQ16">
        <v>2894200.4588485798</v>
      </c>
      <c r="DR16">
        <v>5788400.9176971698</v>
      </c>
      <c r="DS16">
        <v>2894200.4588485798</v>
      </c>
      <c r="DT16">
        <v>5788400.9176971698</v>
      </c>
      <c r="DU16">
        <v>1837989.8446410899</v>
      </c>
      <c r="DV16">
        <v>3675979.6892821798</v>
      </c>
      <c r="DW16">
        <v>1837989.8446410899</v>
      </c>
      <c r="DX16">
        <v>3675979.6892821798</v>
      </c>
      <c r="DY16">
        <v>2894200.4588485798</v>
      </c>
      <c r="DZ16">
        <v>5788400.9176971698</v>
      </c>
      <c r="EA16">
        <v>2894200.4588485798</v>
      </c>
      <c r="EB16">
        <v>5788400.9176971698</v>
      </c>
      <c r="EC16">
        <v>1837989.8446410899</v>
      </c>
      <c r="ED16">
        <v>3675979.6892821798</v>
      </c>
      <c r="EE16">
        <v>1837989.8446410899</v>
      </c>
      <c r="EF16">
        <v>3675979.6892821798</v>
      </c>
      <c r="EG16">
        <v>14925955.549277</v>
      </c>
      <c r="EH16">
        <v>29851911.098554</v>
      </c>
      <c r="EI16">
        <v>14925955.549277</v>
      </c>
      <c r="EJ16">
        <v>29851911.098554</v>
      </c>
      <c r="EK16">
        <v>14925955.549277</v>
      </c>
      <c r="EL16">
        <v>29851911.098554</v>
      </c>
      <c r="EM16">
        <v>0</v>
      </c>
      <c r="EN16">
        <v>0</v>
      </c>
      <c r="EO16">
        <v>0</v>
      </c>
      <c r="EP16">
        <v>0</v>
      </c>
      <c r="EQ16">
        <v>0</v>
      </c>
      <c r="ER16">
        <v>0</v>
      </c>
      <c r="ES16">
        <v>0</v>
      </c>
      <c r="ET16">
        <v>0</v>
      </c>
      <c r="EU16">
        <v>2.4062636823981101</v>
      </c>
      <c r="EV16">
        <v>0</v>
      </c>
      <c r="EW16">
        <v>0</v>
      </c>
      <c r="EX16">
        <v>0</v>
      </c>
      <c r="EY16">
        <v>1.9572804060343201</v>
      </c>
      <c r="EZ16">
        <v>0</v>
      </c>
      <c r="FA16">
        <v>0</v>
      </c>
      <c r="FB16">
        <v>2.4068917807127699</v>
      </c>
      <c r="FC16">
        <v>0</v>
      </c>
      <c r="FD16">
        <v>0</v>
      </c>
      <c r="FE16">
        <v>0</v>
      </c>
      <c r="FF16">
        <v>0</v>
      </c>
      <c r="FG16">
        <v>0</v>
      </c>
      <c r="FH16">
        <v>0</v>
      </c>
      <c r="FI16">
        <v>0</v>
      </c>
      <c r="FJ16">
        <v>0</v>
      </c>
      <c r="FK16">
        <v>0</v>
      </c>
      <c r="FL16">
        <v>0</v>
      </c>
      <c r="FM16">
        <v>0</v>
      </c>
      <c r="FN16">
        <v>0</v>
      </c>
      <c r="FO16">
        <v>2.45251372506161E-2</v>
      </c>
      <c r="FP16">
        <v>0</v>
      </c>
      <c r="FQ16">
        <v>3.7712464405102401E-3</v>
      </c>
      <c r="FR16">
        <v>0</v>
      </c>
      <c r="FS16">
        <v>0</v>
      </c>
      <c r="FT16">
        <v>0</v>
      </c>
      <c r="FU16">
        <v>252.35996738417199</v>
      </c>
      <c r="FV16">
        <v>0</v>
      </c>
      <c r="FW16">
        <v>0</v>
      </c>
      <c r="FX16">
        <v>2.8215471925601898E-3</v>
      </c>
      <c r="FY16">
        <v>2.45251372506161E-2</v>
      </c>
      <c r="FZ16">
        <v>0</v>
      </c>
      <c r="GA16">
        <v>3.7712464405102401E-3</v>
      </c>
      <c r="GB16">
        <v>-194.635246171441</v>
      </c>
      <c r="GC16">
        <v>-445.42167386005298</v>
      </c>
      <c r="GD16">
        <v>-574.75698162578101</v>
      </c>
      <c r="GE16">
        <v>-124.862571864771</v>
      </c>
      <c r="GF16">
        <v>-269.93895643416198</v>
      </c>
      <c r="GG16">
        <v>-349.134317248066</v>
      </c>
      <c r="GH16">
        <v>-188.920733177801</v>
      </c>
      <c r="GI16">
        <v>-475.54274145656302</v>
      </c>
      <c r="GJ16">
        <v>-615.98655887601899</v>
      </c>
      <c r="GK16">
        <v>-133.58099868200901</v>
      </c>
      <c r="GL16">
        <v>-292.61609006770198</v>
      </c>
      <c r="GM16">
        <v>-382.43922342489498</v>
      </c>
      <c r="GN16">
        <v>-29.856434573244499</v>
      </c>
      <c r="GO16">
        <v>21.8185763319449</v>
      </c>
      <c r="GP16">
        <v>22.894729280956799</v>
      </c>
      <c r="GQ16">
        <v>148.17067939938701</v>
      </c>
      <c r="GR16">
        <v>-77.139814552529302</v>
      </c>
      <c r="GS16">
        <v>-875.95669985251004</v>
      </c>
      <c r="GT16">
        <v>-21.1408909000595</v>
      </c>
      <c r="GU16">
        <v>21.743708142069401</v>
      </c>
      <c r="GV16">
        <v>22.806663153748001</v>
      </c>
      <c r="GW16">
        <v>93.517169434521506</v>
      </c>
      <c r="GX16">
        <v>-47.297301743686198</v>
      </c>
      <c r="GY16">
        <v>-541.00951420237504</v>
      </c>
      <c r="GZ16">
        <v>-26.041172175404601</v>
      </c>
      <c r="HA16">
        <v>22.0468903584107</v>
      </c>
      <c r="HB16">
        <v>23.192963390683801</v>
      </c>
      <c r="HC16">
        <v>158.21630231467901</v>
      </c>
      <c r="HD16">
        <v>-88.044866486925898</v>
      </c>
      <c r="HE16">
        <v>-947.44895669727498</v>
      </c>
      <c r="HF16">
        <v>-18.963888754576899</v>
      </c>
      <c r="HG16">
        <v>21.8264837462964</v>
      </c>
      <c r="HH16">
        <v>22.957376460678901</v>
      </c>
      <c r="HI16">
        <v>100.68560713994199</v>
      </c>
      <c r="HJ16">
        <v>-51.6617779483636</v>
      </c>
      <c r="HK16">
        <v>-580.81770068006699</v>
      </c>
      <c r="HL16">
        <v>-118.17797652727801</v>
      </c>
      <c r="HM16">
        <v>23.9758372164106</v>
      </c>
      <c r="HN16">
        <v>24.2896926857462</v>
      </c>
      <c r="HO16">
        <v>-24.555823346353499</v>
      </c>
      <c r="HP16">
        <v>-229.02461628371501</v>
      </c>
      <c r="HQ16">
        <v>23.179195955186898</v>
      </c>
      <c r="HR16">
        <v>-435.529749054597</v>
      </c>
      <c r="HS16">
        <v>-82.182906381795206</v>
      </c>
      <c r="HT16">
        <v>23.950165596372099</v>
      </c>
      <c r="HU16">
        <v>24.290760734709998</v>
      </c>
      <c r="HV16">
        <v>-15.175903137296199</v>
      </c>
      <c r="HW16">
        <v>-144.825563135133</v>
      </c>
      <c r="HX16">
        <v>23.110635084741499</v>
      </c>
      <c r="HY16">
        <v>-285.55419613358799</v>
      </c>
      <c r="HZ16">
        <v>24.145463859697099</v>
      </c>
      <c r="IA16">
        <v>24.3754305918428</v>
      </c>
      <c r="IB16">
        <v>-39.006993136772003</v>
      </c>
      <c r="IC16">
        <v>-115.208005470676</v>
      </c>
      <c r="ID16">
        <v>-253.27414202224199</v>
      </c>
      <c r="IE16">
        <v>23.4198999646527</v>
      </c>
      <c r="IF16">
        <v>-428.175050754084</v>
      </c>
      <c r="IG16">
        <v>-11.0892245840769</v>
      </c>
      <c r="IH16">
        <v>24.0623327602354</v>
      </c>
      <c r="II16">
        <v>24.3404665434498</v>
      </c>
      <c r="IJ16">
        <v>-25.800924912962898</v>
      </c>
      <c r="IK16">
        <v>-9.1162928716598604</v>
      </c>
      <c r="IL16">
        <v>-88.714604115432493</v>
      </c>
      <c r="IM16">
        <v>-147.221479239871</v>
      </c>
      <c r="IN16">
        <v>23.289342869406799</v>
      </c>
      <c r="IO16">
        <v>1.45306283683619</v>
      </c>
      <c r="IP16">
        <v>-345.23092079737398</v>
      </c>
      <c r="IQ16">
        <v>-36.855256503227402</v>
      </c>
      <c r="IR16">
        <v>-21.8791270110402</v>
      </c>
      <c r="IS16">
        <v>-19.1561853650438</v>
      </c>
      <c r="IT16">
        <v>-15.759533264563601</v>
      </c>
      <c r="IU16">
        <v>-4610.7731378718399</v>
      </c>
      <c r="IV16">
        <v>-68.331605060763593</v>
      </c>
      <c r="IW16">
        <v>22.142494137691401</v>
      </c>
      <c r="IX16">
        <v>23.179195955186898</v>
      </c>
      <c r="IY16">
        <v>10.0207881201116</v>
      </c>
      <c r="IZ16">
        <v>-356.65743499154303</v>
      </c>
      <c r="JA16">
        <v>-1310.6370379642699</v>
      </c>
      <c r="JB16">
        <v>-43.562808106912897</v>
      </c>
      <c r="JC16">
        <v>22.043201904340801</v>
      </c>
      <c r="JD16">
        <v>23.110635084741499</v>
      </c>
      <c r="JE16">
        <v>14.6132828076873</v>
      </c>
      <c r="JF16">
        <v>-201.31444653192699</v>
      </c>
      <c r="JG16">
        <v>-808.68372183571</v>
      </c>
      <c r="JH16">
        <v>-65.248254862897994</v>
      </c>
      <c r="JI16">
        <v>22.367364941582501</v>
      </c>
      <c r="JJ16">
        <v>23.4198999646527</v>
      </c>
      <c r="JK16">
        <v>9.0574530333967104E-2</v>
      </c>
      <c r="JL16">
        <v>-383.59971918993199</v>
      </c>
      <c r="JM16">
        <v>-1369.3984817760099</v>
      </c>
      <c r="JN16">
        <v>-46.423712210130297</v>
      </c>
      <c r="JO16">
        <v>22.176061314535701</v>
      </c>
      <c r="JP16">
        <v>23.289342869406799</v>
      </c>
      <c r="JQ16">
        <v>0.64380397838188896</v>
      </c>
      <c r="JR16">
        <v>10.8714376856163</v>
      </c>
      <c r="JS16">
        <v>1.56145533945575</v>
      </c>
      <c r="JT16">
        <v>-244.53998406336299</v>
      </c>
      <c r="JU16">
        <v>-889.51703921637704</v>
      </c>
      <c r="JV16">
        <v>-127.404611227443</v>
      </c>
      <c r="JW16">
        <v>-252.525559986861</v>
      </c>
      <c r="JX16">
        <v>-352.23377171632501</v>
      </c>
      <c r="JY16">
        <v>-115.323721613099</v>
      </c>
      <c r="JZ16">
        <v>-221.03249980467399</v>
      </c>
      <c r="KA16">
        <v>-282.62126544398802</v>
      </c>
      <c r="KB16">
        <v>-119.44105130291101</v>
      </c>
      <c r="KC16">
        <v>-264.35372259621897</v>
      </c>
      <c r="KD16">
        <v>-326.309397766968</v>
      </c>
      <c r="KE16">
        <v>-87.317092752293803</v>
      </c>
      <c r="KF16">
        <v>22.836783802682401</v>
      </c>
      <c r="KG16">
        <v>-81.105016115279895</v>
      </c>
      <c r="KH16">
        <v>0.83337731522765501</v>
      </c>
      <c r="KI16">
        <v>-159.992244611426</v>
      </c>
      <c r="KJ16">
        <v>-237.99270390803099</v>
      </c>
      <c r="KK16">
        <v>-55.909484185575103</v>
      </c>
      <c r="KL16">
        <v>22.748180082094098</v>
      </c>
      <c r="KM16">
        <v>23.3413776347032</v>
      </c>
      <c r="KN16">
        <v>36.550649844536501</v>
      </c>
      <c r="KO16">
        <v>22.274551940933399</v>
      </c>
      <c r="KP16">
        <v>15.200764142281299</v>
      </c>
      <c r="KQ16">
        <v>-69.680137907110506</v>
      </c>
      <c r="KR16">
        <v>-477.48900493733998</v>
      </c>
      <c r="KS16">
        <v>-17.7415524563243</v>
      </c>
      <c r="KT16">
        <v>22.4857845965869</v>
      </c>
      <c r="KU16">
        <v>23.300171415109201</v>
      </c>
      <c r="KV16">
        <v>125.52698568000601</v>
      </c>
      <c r="KW16">
        <v>21.953106647575801</v>
      </c>
      <c r="KX16">
        <v>15.113788459657799</v>
      </c>
      <c r="KY16">
        <v>8.2862164646138403</v>
      </c>
      <c r="KZ16">
        <v>-279.91490958564702</v>
      </c>
      <c r="LA16">
        <v>-51.493484621743796</v>
      </c>
      <c r="LB16">
        <v>23.045708917477501</v>
      </c>
      <c r="LC16">
        <v>23.623588238972602</v>
      </c>
      <c r="LD16">
        <v>33.615202256508503</v>
      </c>
      <c r="LE16">
        <v>22.5798620889964</v>
      </c>
      <c r="LF16">
        <v>15.208430530949499</v>
      </c>
      <c r="LG16">
        <v>-75.320974852654203</v>
      </c>
      <c r="LH16">
        <v>-474.79986754005699</v>
      </c>
      <c r="LI16">
        <v>-38.629422467776699</v>
      </c>
      <c r="LJ16">
        <v>22.744943425267799</v>
      </c>
      <c r="LK16">
        <v>23.3705525174814</v>
      </c>
      <c r="LL16">
        <v>21.150562219945201</v>
      </c>
      <c r="LM16">
        <v>22.243178394482001</v>
      </c>
      <c r="LN16">
        <v>14.7969747401992</v>
      </c>
      <c r="LO16">
        <v>-54.163435219192202</v>
      </c>
      <c r="LP16">
        <v>-327.36206997003899</v>
      </c>
      <c r="LQ16">
        <v>-11.362692823880201</v>
      </c>
      <c r="LR16">
        <v>18.786611264621701</v>
      </c>
      <c r="LS16">
        <v>16.440999999999999</v>
      </c>
      <c r="LT16">
        <v>-221.945713234457</v>
      </c>
      <c r="LU16">
        <v>-1447.4793577221301</v>
      </c>
      <c r="LV16">
        <v>20.075373626634001</v>
      </c>
      <c r="LW16">
        <v>22.3218829559437</v>
      </c>
      <c r="LX16">
        <v>261.28033867229999</v>
      </c>
      <c r="LY16">
        <v>-8.2946548489870793</v>
      </c>
      <c r="LZ16">
        <v>18.770156172843102</v>
      </c>
      <c r="MA16">
        <v>16.440999999999999</v>
      </c>
      <c r="MB16">
        <v>-139.29594744545099</v>
      </c>
      <c r="MC16">
        <v>-905.96386353990499</v>
      </c>
      <c r="MD16">
        <v>20.0461281977311</v>
      </c>
      <c r="ME16">
        <v>22.2568867031389</v>
      </c>
      <c r="MF16">
        <v>164.535797749126</v>
      </c>
      <c r="MG16">
        <v>-9.3375701641893407</v>
      </c>
      <c r="MH16">
        <v>18.842537867745101</v>
      </c>
      <c r="MI16">
        <v>16.440999999999999</v>
      </c>
      <c r="MJ16">
        <v>-238.307335116724</v>
      </c>
      <c r="MK16">
        <v>-1552.2413283302701</v>
      </c>
      <c r="ML16">
        <v>20.217978291377602</v>
      </c>
      <c r="MM16">
        <v>22.595606906259899</v>
      </c>
      <c r="MN16">
        <v>277.41896566312801</v>
      </c>
      <c r="MO16">
        <v>-7.0918121385899404</v>
      </c>
      <c r="MP16">
        <v>18.767049600024301</v>
      </c>
      <c r="MQ16">
        <v>16.440999999999999</v>
      </c>
      <c r="MR16">
        <v>-142.30780771457501</v>
      </c>
      <c r="MS16">
        <v>-930.10187829690301</v>
      </c>
      <c r="MT16">
        <v>20.073569987466801</v>
      </c>
      <c r="MU16">
        <v>22.383404414851501</v>
      </c>
      <c r="MV16">
        <v>168.798048609983</v>
      </c>
      <c r="MW16">
        <v>0.89273820841363705</v>
      </c>
      <c r="MX16">
        <v>20.6145398405489</v>
      </c>
      <c r="MY16">
        <v>20.9391565638815</v>
      </c>
      <c r="MZ16">
        <v>195.274643726373</v>
      </c>
      <c r="NA16">
        <v>-406.96309568008002</v>
      </c>
      <c r="NB16">
        <v>21.2852192726141</v>
      </c>
      <c r="NC16">
        <v>22.8846739211235</v>
      </c>
      <c r="ND16">
        <v>446.74829286826798</v>
      </c>
      <c r="NE16">
        <v>-1.3752383293153301</v>
      </c>
      <c r="NF16">
        <v>20.599268146144201</v>
      </c>
      <c r="NG16">
        <v>20.8758348280404</v>
      </c>
      <c r="NH16">
        <v>99.935939088062</v>
      </c>
      <c r="NI16">
        <v>-282.63573166591101</v>
      </c>
      <c r="NJ16">
        <v>21.274972372157599</v>
      </c>
      <c r="NK16">
        <v>22.845263757984199</v>
      </c>
      <c r="NL16">
        <v>260.83319249222501</v>
      </c>
      <c r="NM16">
        <v>1.4311779277402099</v>
      </c>
      <c r="NN16">
        <v>20.7052483952268</v>
      </c>
      <c r="NO16">
        <v>21.1059414483633</v>
      </c>
      <c r="NP16">
        <v>179.57097841596399</v>
      </c>
      <c r="NQ16" s="35">
        <v>-434.61573478570602</v>
      </c>
      <c r="NR16" s="35">
        <v>21.387919181605401</v>
      </c>
      <c r="NS16">
        <v>23.088086234725999</v>
      </c>
      <c r="NT16">
        <v>435.54082869835298</v>
      </c>
      <c r="NU16">
        <v>-0.334365014111217</v>
      </c>
      <c r="NV16">
        <v>20.582002276052702</v>
      </c>
      <c r="NW16">
        <v>20.904117977425798</v>
      </c>
      <c r="NX16">
        <v>1.7</v>
      </c>
      <c r="NY16">
        <v>99.841028258469706</v>
      </c>
      <c r="NZ16">
        <v>-290.69156031719598</v>
      </c>
      <c r="OA16">
        <v>21.266352315895901</v>
      </c>
      <c r="OB16">
        <v>22.931794685483698</v>
      </c>
      <c r="OC16">
        <v>1.7</v>
      </c>
      <c r="OD16">
        <v>262.79700446631801</v>
      </c>
      <c r="OE16">
        <v>1.7</v>
      </c>
      <c r="OF16">
        <v>1.7</v>
      </c>
      <c r="OG16">
        <v>-3.09715667294352</v>
      </c>
      <c r="OH16">
        <v>20.399535302817899</v>
      </c>
      <c r="OI16">
        <v>21.130587621631001</v>
      </c>
      <c r="OJ16">
        <v>123.08216470040701</v>
      </c>
      <c r="OK16">
        <v>-474.03910108062701</v>
      </c>
      <c r="OL16">
        <v>21.0595166018383</v>
      </c>
      <c r="OM16">
        <v>22.746815273228499</v>
      </c>
      <c r="ON16">
        <v>370.54451063668802</v>
      </c>
      <c r="OO16">
        <v>-11.996087190549</v>
      </c>
      <c r="OP16">
        <v>20.452307034209099</v>
      </c>
      <c r="OQ16">
        <v>21.0159070839109</v>
      </c>
      <c r="OR16">
        <v>-52.740943241214403</v>
      </c>
      <c r="OS16">
        <v>-449.26122529303098</v>
      </c>
      <c r="OT16">
        <v>21.142640507331301</v>
      </c>
      <c r="OU16">
        <v>22.819918507793801</v>
      </c>
      <c r="OV16">
        <v>111.639795375191</v>
      </c>
      <c r="OW16">
        <v>-1.30884358486993</v>
      </c>
      <c r="OX16">
        <v>20.517061423528901</v>
      </c>
      <c r="OY16">
        <v>21.326673019081699</v>
      </c>
      <c r="OZ16">
        <v>142.588579834782</v>
      </c>
      <c r="PA16">
        <v>-483.82125800766102</v>
      </c>
      <c r="PB16">
        <v>21.2074631248198</v>
      </c>
      <c r="PC16">
        <v>22.9943623927579</v>
      </c>
      <c r="PD16">
        <v>401.457164283201</v>
      </c>
      <c r="PE16">
        <v>-1.6724098800542799</v>
      </c>
      <c r="PF16">
        <v>20.3269104048548</v>
      </c>
      <c r="PG16">
        <v>21.093908122136899</v>
      </c>
      <c r="PH16">
        <v>1.7</v>
      </c>
      <c r="PI16">
        <v>81.106242550361799</v>
      </c>
      <c r="PJ16">
        <v>-310.94402104082297</v>
      </c>
      <c r="PK16">
        <v>21.0085498384143</v>
      </c>
      <c r="PL16">
        <v>22.759156681733302</v>
      </c>
      <c r="PM16" s="35">
        <v>1.7</v>
      </c>
      <c r="PN16">
        <v>243.41677495408501</v>
      </c>
      <c r="PO16">
        <v>22.836198643138999</v>
      </c>
      <c r="PP16">
        <v>22.768204975587199</v>
      </c>
      <c r="PQ16">
        <v>23.136637184943599</v>
      </c>
      <c r="PR16">
        <v>22.932729832593001</v>
      </c>
      <c r="PS16">
        <v>23.069474980822001</v>
      </c>
      <c r="PT16">
        <v>23.186794531325699</v>
      </c>
      <c r="PU16">
        <v>23.136456327407501</v>
      </c>
      <c r="PV16">
        <v>23.419620833882099</v>
      </c>
      <c r="PW16">
        <v>23.2838104855437</v>
      </c>
      <c r="PX16">
        <v>23.9190109659339</v>
      </c>
      <c r="PY16">
        <v>23.128704081677299</v>
      </c>
      <c r="PZ16">
        <v>23.173823942000599</v>
      </c>
      <c r="QA16">
        <v>23.391823351430698</v>
      </c>
      <c r="QB16">
        <v>23.169906529600301</v>
      </c>
      <c r="QC16">
        <v>24.0623783326661</v>
      </c>
      <c r="QD16">
        <v>20.700885460558901</v>
      </c>
      <c r="QE16">
        <v>23.477485149958198</v>
      </c>
      <c r="QF16">
        <v>23.3620517826071</v>
      </c>
      <c r="QG16">
        <v>23.828130751252701</v>
      </c>
      <c r="QH16">
        <v>23.6014484384723</v>
      </c>
      <c r="QI16">
        <v>24.330627891585099</v>
      </c>
      <c r="QJ16">
        <v>23.560812134009598</v>
      </c>
      <c r="QK16">
        <v>23.484256372551101</v>
      </c>
      <c r="QL16">
        <v>23.8648225985336</v>
      </c>
      <c r="QM16">
        <v>23.741327054614199</v>
      </c>
      <c r="QN16">
        <v>-943.42216971810706</v>
      </c>
      <c r="QO16">
        <v>25.240684801180201</v>
      </c>
      <c r="QP16">
        <v>-4248.2602634833102</v>
      </c>
      <c r="QQ16">
        <v>23.5053645306185</v>
      </c>
      <c r="QR16">
        <v>23.694550323847999</v>
      </c>
      <c r="QS16">
        <v>23.837979425201301</v>
      </c>
      <c r="QT16">
        <v>23.6370986348084</v>
      </c>
      <c r="QU16">
        <v>25.333461834922002</v>
      </c>
      <c r="QV16">
        <v>17.536057711654902</v>
      </c>
      <c r="QW16">
        <v>483979.68654557201</v>
      </c>
      <c r="QX16">
        <v>0</v>
      </c>
      <c r="QY16">
        <v>373766.908547153</v>
      </c>
      <c r="QZ16">
        <v>0</v>
      </c>
      <c r="RA16">
        <v>39666.997411123601</v>
      </c>
      <c r="RB16">
        <v>0</v>
      </c>
      <c r="RC16">
        <v>26294.9237426373</v>
      </c>
      <c r="RD16">
        <v>0</v>
      </c>
      <c r="RE16">
        <v>137981.208185895</v>
      </c>
      <c r="RF16">
        <v>0</v>
      </c>
      <c r="RG16">
        <v>120045.234448724</v>
      </c>
      <c r="RH16" s="35">
        <v>0</v>
      </c>
      <c r="RI16">
        <v>0</v>
      </c>
      <c r="RJ16" s="35">
        <v>0</v>
      </c>
      <c r="RK16">
        <v>24.118771656777401</v>
      </c>
      <c r="RL16">
        <v>-354.13984616468201</v>
      </c>
      <c r="RM16" s="35">
        <v>-4475.7821293316701</v>
      </c>
      <c r="RN16">
        <v>-354.13984616468201</v>
      </c>
      <c r="RO16" s="35">
        <v>0</v>
      </c>
      <c r="RP16">
        <v>0</v>
      </c>
      <c r="RQ16" s="35">
        <v>23.9558985896271</v>
      </c>
      <c r="RR16" s="35">
        <v>-69.113921875869906</v>
      </c>
      <c r="RS16">
        <v>-2688.3947491101599</v>
      </c>
      <c r="RT16">
        <v>-69.113921875869906</v>
      </c>
      <c r="RU16">
        <v>0</v>
      </c>
      <c r="RV16">
        <v>0</v>
      </c>
      <c r="RW16">
        <v>24.5196243175617</v>
      </c>
      <c r="RX16">
        <v>-933.47726683395001</v>
      </c>
      <c r="RY16">
        <v>-5049.3651874453599</v>
      </c>
      <c r="RZ16">
        <v>-933.47726683395001</v>
      </c>
      <c r="SA16">
        <v>0</v>
      </c>
      <c r="SB16">
        <v>0</v>
      </c>
      <c r="SC16">
        <v>24.270167044351599</v>
      </c>
      <c r="SD16">
        <v>-376.89861179027997</v>
      </c>
      <c r="SE16">
        <v>-2993.45727591791</v>
      </c>
      <c r="SF16">
        <v>-376.89861179027997</v>
      </c>
      <c r="SG16">
        <v>0</v>
      </c>
      <c r="SH16">
        <v>9034.3419952436707</v>
      </c>
      <c r="SI16">
        <v>25.5917808023482</v>
      </c>
      <c r="SJ16">
        <v>-905.98340842919197</v>
      </c>
      <c r="SK16">
        <v>-22023.561846447399</v>
      </c>
      <c r="SL16">
        <v>-905.98340842919197</v>
      </c>
      <c r="SM16">
        <v>21.1111</v>
      </c>
      <c r="SN16">
        <v>23.8889</v>
      </c>
      <c r="SO16">
        <v>0</v>
      </c>
      <c r="SP16">
        <v>0</v>
      </c>
      <c r="SQ16">
        <v>21.305499674273399</v>
      </c>
      <c r="SR16">
        <v>0</v>
      </c>
      <c r="SS16">
        <v>0</v>
      </c>
      <c r="ST16">
        <v>0</v>
      </c>
      <c r="SU16">
        <v>0</v>
      </c>
      <c r="SV16">
        <v>0</v>
      </c>
      <c r="SW16">
        <v>21.231674596765899</v>
      </c>
      <c r="SX16">
        <v>0</v>
      </c>
      <c r="SY16">
        <v>0</v>
      </c>
      <c r="SZ16">
        <v>0</v>
      </c>
      <c r="TA16">
        <v>0</v>
      </c>
      <c r="TB16">
        <v>0</v>
      </c>
      <c r="TC16">
        <v>21.505737665873799</v>
      </c>
      <c r="TD16">
        <v>0</v>
      </c>
      <c r="TE16">
        <v>0</v>
      </c>
      <c r="TF16">
        <v>0</v>
      </c>
      <c r="TG16">
        <v>0</v>
      </c>
      <c r="TH16">
        <v>0</v>
      </c>
      <c r="TI16">
        <v>21.289033411271301</v>
      </c>
      <c r="TJ16">
        <v>0</v>
      </c>
      <c r="TK16">
        <v>0</v>
      </c>
      <c r="TL16">
        <v>0</v>
      </c>
      <c r="TM16">
        <v>2563.32230023085</v>
      </c>
      <c r="TN16">
        <v>0</v>
      </c>
      <c r="TO16">
        <v>23.157249384454399</v>
      </c>
      <c r="TP16">
        <v>0</v>
      </c>
      <c r="TQ16">
        <v>0</v>
      </c>
      <c r="TR16">
        <v>0</v>
      </c>
      <c r="TS16">
        <v>0</v>
      </c>
      <c r="TT16">
        <v>974.72011035691003</v>
      </c>
      <c r="TU16">
        <v>23.934829736693601</v>
      </c>
      <c r="TV16">
        <v>-1130.4942625225999</v>
      </c>
      <c r="TW16">
        <v>-5808.92706920606</v>
      </c>
      <c r="TX16">
        <v>-1130.4942625225999</v>
      </c>
      <c r="TY16">
        <v>0</v>
      </c>
      <c r="TZ16">
        <v>528.76642681102101</v>
      </c>
      <c r="UA16">
        <v>23.832056417694599</v>
      </c>
      <c r="UB16">
        <v>-591.03676077855403</v>
      </c>
      <c r="UC16">
        <v>-3621.1191183597298</v>
      </c>
      <c r="UD16">
        <v>-591.03676077855403</v>
      </c>
      <c r="UE16">
        <v>0</v>
      </c>
      <c r="UF16">
        <v>994.22419747656704</v>
      </c>
      <c r="UG16">
        <v>24.3100243631851</v>
      </c>
      <c r="UH16">
        <v>-1559.0548671030001</v>
      </c>
      <c r="UI16">
        <v>-6009.1199580543498</v>
      </c>
      <c r="UJ16">
        <v>-1559.0548671030001</v>
      </c>
      <c r="UK16">
        <v>0</v>
      </c>
      <c r="UL16">
        <v>482.20522896076898</v>
      </c>
      <c r="UM16">
        <v>24.198843623684599</v>
      </c>
      <c r="UN16">
        <v>-764.01646136862905</v>
      </c>
      <c r="UO16">
        <v>-3896.2193384778998</v>
      </c>
      <c r="UP16">
        <v>-764.01646136862905</v>
      </c>
      <c r="UQ16">
        <v>0</v>
      </c>
      <c r="UR16">
        <v>9835.8118303935807</v>
      </c>
      <c r="US16">
        <v>26.562358636426399</v>
      </c>
      <c r="UT16">
        <v>-5915.3533885511397</v>
      </c>
      <c r="UU16">
        <v>-26597.353736799399</v>
      </c>
      <c r="UV16">
        <v>-5915.3533885511397</v>
      </c>
      <c r="UW16">
        <v>21.1111</v>
      </c>
      <c r="UX16">
        <v>23.8889</v>
      </c>
      <c r="UY16">
        <v>453.98429730074901</v>
      </c>
      <c r="UZ16">
        <v>0</v>
      </c>
      <c r="VA16">
        <v>22.204071426076201</v>
      </c>
      <c r="VB16">
        <v>0</v>
      </c>
      <c r="VC16">
        <v>0</v>
      </c>
      <c r="VD16">
        <v>0</v>
      </c>
      <c r="VE16">
        <v>265.69433773907298</v>
      </c>
      <c r="VF16">
        <v>0</v>
      </c>
      <c r="VG16">
        <v>22.014313423071599</v>
      </c>
      <c r="VH16">
        <v>0</v>
      </c>
      <c r="VI16">
        <v>0</v>
      </c>
      <c r="VJ16">
        <v>0</v>
      </c>
      <c r="VK16">
        <v>448.33532721448898</v>
      </c>
      <c r="VL16">
        <v>0</v>
      </c>
      <c r="VM16">
        <v>22.395484206060701</v>
      </c>
      <c r="VN16">
        <v>0</v>
      </c>
      <c r="VO16">
        <v>0</v>
      </c>
      <c r="VP16">
        <v>0</v>
      </c>
      <c r="VQ16">
        <v>250.36378941643099</v>
      </c>
      <c r="VR16">
        <v>0</v>
      </c>
      <c r="VS16">
        <v>22.103654054789299</v>
      </c>
      <c r="VT16">
        <v>0</v>
      </c>
      <c r="VU16">
        <v>0</v>
      </c>
      <c r="VV16">
        <v>0</v>
      </c>
      <c r="VW16">
        <v>2177.2444167182398</v>
      </c>
      <c r="VX16">
        <v>0</v>
      </c>
      <c r="VY16">
        <v>23.4310599959292</v>
      </c>
      <c r="VZ16">
        <v>0</v>
      </c>
      <c r="WA16">
        <v>0</v>
      </c>
      <c r="WB16">
        <v>0</v>
      </c>
      <c r="WC16">
        <v>0</v>
      </c>
      <c r="WD16">
        <v>955.94935229996895</v>
      </c>
      <c r="WE16">
        <v>23.8820249795595</v>
      </c>
      <c r="WF16">
        <v>-1099.1730641126101</v>
      </c>
      <c r="WG16">
        <v>-5903.5513575269697</v>
      </c>
      <c r="WH16">
        <v>-1099.1730641126101</v>
      </c>
      <c r="WI16">
        <v>0</v>
      </c>
      <c r="WJ16">
        <v>0</v>
      </c>
      <c r="WK16">
        <v>0</v>
      </c>
      <c r="WL16">
        <v>24.215276705695398</v>
      </c>
      <c r="WM16">
        <v>-328.246788703677</v>
      </c>
      <c r="WN16">
        <v>-2948.6029254103</v>
      </c>
      <c r="WO16">
        <v>-328.246788703677</v>
      </c>
      <c r="WP16">
        <v>21.1111</v>
      </c>
      <c r="WQ16">
        <v>23.8889</v>
      </c>
      <c r="WR16">
        <v>0</v>
      </c>
      <c r="WS16">
        <v>1019.40211623321</v>
      </c>
      <c r="WT16">
        <v>24.2841354989718</v>
      </c>
      <c r="WU16">
        <v>-1572.25683246213</v>
      </c>
      <c r="WV16">
        <v>-6071.30484618028</v>
      </c>
      <c r="WW16">
        <v>-1572.25683246213</v>
      </c>
      <c r="WX16">
        <v>1705339.75779359</v>
      </c>
      <c r="WY16">
        <v>0</v>
      </c>
      <c r="WZ16">
        <v>473.705488275996</v>
      </c>
      <c r="XA16">
        <v>24.104290740016399</v>
      </c>
      <c r="XB16">
        <v>-736.16846959058705</v>
      </c>
      <c r="XC16">
        <v>-3730.7064363301201</v>
      </c>
      <c r="XD16">
        <v>-736.16846959058705</v>
      </c>
      <c r="XE16">
        <v>0</v>
      </c>
      <c r="XF16">
        <v>9696.6035705484501</v>
      </c>
      <c r="XG16">
        <v>26.6045453371779</v>
      </c>
      <c r="XH16">
        <v>-7872.3527043281001</v>
      </c>
      <c r="XI16">
        <v>-28945.068015831901</v>
      </c>
      <c r="XJ16">
        <v>-7872.3527043281001</v>
      </c>
      <c r="XK16">
        <v>21.1111</v>
      </c>
      <c r="XL16">
        <v>23.8889</v>
      </c>
      <c r="XM16">
        <v>343.495156897816</v>
      </c>
      <c r="XN16">
        <v>0</v>
      </c>
      <c r="XO16">
        <v>22.665842662939099</v>
      </c>
      <c r="XP16">
        <v>0</v>
      </c>
      <c r="XQ16">
        <v>0</v>
      </c>
      <c r="XR16">
        <v>0</v>
      </c>
      <c r="XS16">
        <v>0</v>
      </c>
      <c r="XT16">
        <v>0</v>
      </c>
      <c r="XU16">
        <v>21.8510119659075</v>
      </c>
      <c r="XV16">
        <v>0</v>
      </c>
      <c r="XW16">
        <v>0</v>
      </c>
      <c r="XX16">
        <v>0</v>
      </c>
      <c r="XY16">
        <v>326.919376220446</v>
      </c>
      <c r="XZ16">
        <v>0</v>
      </c>
      <c r="YA16">
        <v>22.9152500432746</v>
      </c>
      <c r="YB16">
        <v>0</v>
      </c>
      <c r="YC16">
        <v>0</v>
      </c>
      <c r="YD16">
        <v>0</v>
      </c>
      <c r="YE16">
        <v>176.247676114651</v>
      </c>
      <c r="YF16">
        <v>0</v>
      </c>
      <c r="YG16">
        <v>22.587110230536702</v>
      </c>
      <c r="YH16">
        <v>0</v>
      </c>
      <c r="YI16">
        <v>0</v>
      </c>
      <c r="YJ16">
        <v>0</v>
      </c>
      <c r="YK16">
        <v>1110.1890892818899</v>
      </c>
      <c r="YL16">
        <v>0</v>
      </c>
      <c r="YM16">
        <v>24.5296747232371</v>
      </c>
      <c r="YN16">
        <v>0</v>
      </c>
      <c r="YO16">
        <v>0</v>
      </c>
      <c r="YP16">
        <v>0</v>
      </c>
      <c r="YQ16">
        <v>0</v>
      </c>
      <c r="YR16">
        <v>0</v>
      </c>
      <c r="YS16">
        <v>19.400125942570298</v>
      </c>
      <c r="YT16">
        <v>0</v>
      </c>
      <c r="YU16">
        <v>0</v>
      </c>
      <c r="YV16">
        <v>0</v>
      </c>
      <c r="YW16">
        <v>0</v>
      </c>
      <c r="YX16">
        <v>0</v>
      </c>
      <c r="YY16">
        <v>19.375522068375499</v>
      </c>
      <c r="YZ16">
        <v>0</v>
      </c>
      <c r="ZA16">
        <v>0</v>
      </c>
      <c r="ZB16">
        <v>0</v>
      </c>
      <c r="ZC16">
        <v>0</v>
      </c>
      <c r="ZD16">
        <v>0</v>
      </c>
      <c r="ZE16">
        <v>19.5008838422821</v>
      </c>
      <c r="ZF16">
        <v>0</v>
      </c>
      <c r="ZG16">
        <v>0</v>
      </c>
      <c r="ZH16">
        <v>0</v>
      </c>
      <c r="ZI16">
        <v>0</v>
      </c>
      <c r="ZJ16">
        <v>0</v>
      </c>
      <c r="ZK16">
        <v>19.3892739175771</v>
      </c>
      <c r="ZL16">
        <v>0</v>
      </c>
      <c r="ZM16">
        <v>0</v>
      </c>
      <c r="ZN16">
        <v>0</v>
      </c>
      <c r="ZO16">
        <v>0</v>
      </c>
      <c r="ZP16">
        <v>7800.3204845492501</v>
      </c>
      <c r="ZQ16">
        <v>17.1450531583748</v>
      </c>
      <c r="ZR16">
        <v>0</v>
      </c>
      <c r="ZS16">
        <v>0</v>
      </c>
      <c r="ZT16">
        <v>0</v>
      </c>
      <c r="ZU16">
        <v>0</v>
      </c>
      <c r="ZV16">
        <v>614.99865873931606</v>
      </c>
      <c r="ZW16">
        <v>20.0909970344734</v>
      </c>
      <c r="ZX16">
        <v>0</v>
      </c>
      <c r="ZY16">
        <v>0</v>
      </c>
      <c r="ZZ16">
        <v>0</v>
      </c>
      <c r="AAA16">
        <v>0</v>
      </c>
      <c r="AAB16">
        <v>349.03846788314701</v>
      </c>
      <c r="AAC16">
        <v>20.170553881100499</v>
      </c>
      <c r="AAD16">
        <v>0</v>
      </c>
      <c r="AAE16">
        <v>0</v>
      </c>
      <c r="AAF16">
        <v>0</v>
      </c>
      <c r="AAG16">
        <v>0</v>
      </c>
      <c r="AAH16">
        <v>615.72355663018902</v>
      </c>
      <c r="AAI16">
        <v>20.2196046903872</v>
      </c>
      <c r="AAJ16">
        <v>0</v>
      </c>
      <c r="AAK16">
        <v>0</v>
      </c>
      <c r="AAL16">
        <v>0</v>
      </c>
      <c r="AAM16">
        <v>0</v>
      </c>
      <c r="AAN16">
        <v>270.97179325076797</v>
      </c>
      <c r="AAO16">
        <v>20.304497854715599</v>
      </c>
      <c r="AAP16">
        <v>0</v>
      </c>
      <c r="AAQ16">
        <v>0</v>
      </c>
      <c r="AAR16">
        <v>0</v>
      </c>
      <c r="AAS16">
        <v>0</v>
      </c>
      <c r="AAT16">
        <v>13045.780790492499</v>
      </c>
      <c r="AAU16">
        <v>17.2625205995231</v>
      </c>
      <c r="AAV16">
        <v>0</v>
      </c>
      <c r="AAW16">
        <v>0</v>
      </c>
      <c r="AAX16">
        <v>0</v>
      </c>
      <c r="AAY16">
        <v>0</v>
      </c>
      <c r="AAZ16">
        <v>483.02329298033698</v>
      </c>
      <c r="ABA16">
        <v>20.059615806028699</v>
      </c>
      <c r="ABB16">
        <v>0</v>
      </c>
      <c r="ABC16">
        <v>0</v>
      </c>
      <c r="ABD16">
        <v>0</v>
      </c>
      <c r="ABE16">
        <v>0</v>
      </c>
      <c r="ABF16">
        <v>0</v>
      </c>
      <c r="ABG16">
        <v>20.736469670859499</v>
      </c>
      <c r="ABH16">
        <v>0</v>
      </c>
      <c r="ABI16">
        <v>0</v>
      </c>
      <c r="ABJ16">
        <v>0</v>
      </c>
      <c r="ABK16">
        <v>0</v>
      </c>
      <c r="ABL16">
        <v>480.40348655755099</v>
      </c>
      <c r="ABM16">
        <v>20.204555443782301</v>
      </c>
      <c r="ABN16">
        <v>0</v>
      </c>
      <c r="ABO16">
        <v>0</v>
      </c>
      <c r="ABP16">
        <v>0</v>
      </c>
      <c r="ABQ16">
        <v>0</v>
      </c>
      <c r="ABR16">
        <v>209.44374276685301</v>
      </c>
      <c r="ABS16">
        <v>20.144746653902001</v>
      </c>
      <c r="ABT16">
        <v>0</v>
      </c>
      <c r="ABU16">
        <v>0</v>
      </c>
      <c r="ABV16">
        <v>0</v>
      </c>
      <c r="ABW16">
        <v>0</v>
      </c>
      <c r="ABX16">
        <v>12368.0691411056</v>
      </c>
      <c r="ABY16">
        <v>17.536057711654902</v>
      </c>
      <c r="ABZ16">
        <v>0</v>
      </c>
      <c r="ACA16">
        <v>0</v>
      </c>
      <c r="ACB16">
        <v>0</v>
      </c>
      <c r="ACC16">
        <v>0</v>
      </c>
      <c r="ACD16">
        <v>0</v>
      </c>
      <c r="ACE16">
        <v>0</v>
      </c>
      <c r="ACF16">
        <v>8.4250000000000007</v>
      </c>
      <c r="ACG16">
        <v>8.4250000000000007</v>
      </c>
      <c r="ACH16">
        <v>0</v>
      </c>
      <c r="ACI16">
        <v>0</v>
      </c>
      <c r="ACJ16">
        <v>0</v>
      </c>
      <c r="ACK16">
        <v>20.892476876737199</v>
      </c>
      <c r="ACL16">
        <v>20.892476876737199</v>
      </c>
      <c r="ACM16">
        <v>0</v>
      </c>
      <c r="ACN16">
        <v>94851.307274330306</v>
      </c>
      <c r="ACP16">
        <v>6181.9389139865798</v>
      </c>
      <c r="ACR16">
        <v>101033.246188317</v>
      </c>
      <c r="ACT16">
        <v>25.609210599049</v>
      </c>
      <c r="ACU16">
        <v>22.762590977400301</v>
      </c>
      <c r="ACV16">
        <v>1.7</v>
      </c>
      <c r="ACW16">
        <v>1.40494733072671</v>
      </c>
      <c r="ACX16">
        <v>0.66477836541069102</v>
      </c>
      <c r="ACY16">
        <v>26.393352822174901</v>
      </c>
      <c r="ACZ16">
        <v>23.301595822132601</v>
      </c>
      <c r="ADA16">
        <v>1.7</v>
      </c>
      <c r="ADB16">
        <v>1.3810165973950399</v>
      </c>
      <c r="ADC16">
        <v>0.66530686494841396</v>
      </c>
      <c r="ADD16">
        <v>26.589082423007401</v>
      </c>
      <c r="ADE16">
        <v>23.540555417857899</v>
      </c>
      <c r="ADF16">
        <v>1.7</v>
      </c>
      <c r="ADG16">
        <v>1.3852587758296999</v>
      </c>
      <c r="ADH16">
        <v>0.66494678117962103</v>
      </c>
      <c r="ADI16">
        <v>24.5039113355773</v>
      </c>
      <c r="ADJ16">
        <v>24.5039113355773</v>
      </c>
      <c r="ADK16">
        <v>0</v>
      </c>
      <c r="ADL16">
        <v>0</v>
      </c>
      <c r="ADM16">
        <v>1</v>
      </c>
      <c r="ADN16">
        <v>24.374900757148399</v>
      </c>
      <c r="ADO16">
        <v>24.374900757148399</v>
      </c>
      <c r="ADP16">
        <v>0</v>
      </c>
      <c r="ADQ16">
        <v>0</v>
      </c>
      <c r="ADR16">
        <v>1</v>
      </c>
      <c r="ADS16">
        <v>24.8576424785104</v>
      </c>
      <c r="ADT16">
        <v>24.8576424785104</v>
      </c>
      <c r="ADU16">
        <v>0</v>
      </c>
      <c r="ADV16">
        <v>0</v>
      </c>
      <c r="ADW16">
        <v>1</v>
      </c>
      <c r="ADX16">
        <v>24.613241827211599</v>
      </c>
      <c r="ADY16">
        <v>24.613241827211599</v>
      </c>
      <c r="ADZ16">
        <v>0</v>
      </c>
      <c r="AEA16">
        <v>0</v>
      </c>
      <c r="AEB16">
        <v>1</v>
      </c>
      <c r="AEC16">
        <v>24.696169830727001</v>
      </c>
      <c r="AED16">
        <v>24.1237508311136</v>
      </c>
      <c r="AEE16">
        <v>1.2749999999999999</v>
      </c>
      <c r="AEF16">
        <v>3.1633936245273602</v>
      </c>
      <c r="AEG16">
        <v>0.87866068360420901</v>
      </c>
      <c r="AEH16">
        <v>24.683605832757099</v>
      </c>
      <c r="AEI16">
        <v>24.1270570237951</v>
      </c>
      <c r="AEJ16">
        <v>1.2749999999999999</v>
      </c>
      <c r="AEK16">
        <v>1.9814223347407001</v>
      </c>
      <c r="AEL16">
        <v>0.88042108883588499</v>
      </c>
      <c r="AEM16">
        <v>24.751952500816099</v>
      </c>
      <c r="AEN16">
        <v>24.453695261811198</v>
      </c>
      <c r="AEO16">
        <v>0.85</v>
      </c>
      <c r="AEP16">
        <v>2.6771018880514901</v>
      </c>
      <c r="AEQ16">
        <v>0.92856450639856603</v>
      </c>
      <c r="AER16">
        <v>24.7872087556911</v>
      </c>
      <c r="AES16">
        <v>24.4010523128469</v>
      </c>
      <c r="AET16">
        <v>0.85</v>
      </c>
      <c r="AEU16">
        <v>1.7638407285101301</v>
      </c>
      <c r="AEV16">
        <v>0.92126187828945705</v>
      </c>
      <c r="AEW16">
        <v>24.677834147752101</v>
      </c>
      <c r="AEX16">
        <v>24.079706007807701</v>
      </c>
      <c r="AEY16">
        <v>1.2749999999999999</v>
      </c>
      <c r="AEZ16">
        <v>2.8302282112938202</v>
      </c>
      <c r="AFA16">
        <v>0.87440535382728701</v>
      </c>
      <c r="AFB16">
        <v>24.685399517044701</v>
      </c>
      <c r="AFC16">
        <v>24.685399517044701</v>
      </c>
      <c r="AFD16">
        <v>0</v>
      </c>
      <c r="AFE16">
        <v>0</v>
      </c>
      <c r="AFF16">
        <v>1</v>
      </c>
      <c r="AFG16">
        <v>24.741955807162999</v>
      </c>
      <c r="AFH16">
        <v>24.422080494225298</v>
      </c>
      <c r="AFI16">
        <v>0.85</v>
      </c>
      <c r="AFJ16">
        <v>2.3778149406707199</v>
      </c>
      <c r="AFK16">
        <v>0.92707082370271598</v>
      </c>
      <c r="AFL16">
        <v>24.6253998861757</v>
      </c>
      <c r="AFM16">
        <v>24.223197302391899</v>
      </c>
      <c r="AFN16">
        <v>0.85</v>
      </c>
      <c r="AFO16">
        <v>1.5406783321525399</v>
      </c>
      <c r="AFP16">
        <v>0.91605465511544004</v>
      </c>
      <c r="AFQ16">
        <v>1.6711830057871999E-2</v>
      </c>
      <c r="AFR16">
        <v>-5.9423920893824901E-2</v>
      </c>
      <c r="AFS16">
        <v>-4.0345416295538797E-2</v>
      </c>
      <c r="AFT16">
        <v>-8.7711633002590994E-2</v>
      </c>
      <c r="AFU16">
        <v>-0.34977710492585701</v>
      </c>
      <c r="AFV16">
        <v>-0.389954767094709</v>
      </c>
      <c r="AFW16">
        <v>-0.327653999354516</v>
      </c>
      <c r="AFX16">
        <v>-0.35414231307865901</v>
      </c>
      <c r="AFY16">
        <v>-0.30568494854721401</v>
      </c>
      <c r="AFZ16">
        <v>-0.32604504980572402</v>
      </c>
      <c r="AGA16">
        <v>-0.312276828808634</v>
      </c>
      <c r="AGB16">
        <v>-2.1077431945552901E-2</v>
      </c>
      <c r="AGC16">
        <v>-0.66643562100237597</v>
      </c>
      <c r="AGD16">
        <v>-0.51626177992797495</v>
      </c>
      <c r="AGE16">
        <v>-0.46437748088971098</v>
      </c>
      <c r="AGF16">
        <v>1</v>
      </c>
      <c r="AGG16">
        <v>1</v>
      </c>
      <c r="AGH16">
        <v>1</v>
      </c>
      <c r="AGI16">
        <v>1</v>
      </c>
      <c r="AGJ16">
        <v>0</v>
      </c>
      <c r="AGK16">
        <v>0</v>
      </c>
      <c r="AGL16">
        <v>0</v>
      </c>
      <c r="AGM16">
        <v>0</v>
      </c>
      <c r="AGN16">
        <v>0</v>
      </c>
      <c r="AGO16">
        <v>0</v>
      </c>
      <c r="AGP16">
        <v>0</v>
      </c>
      <c r="AGQ16">
        <v>0</v>
      </c>
      <c r="AGR16">
        <v>0</v>
      </c>
      <c r="AGS16">
        <v>0</v>
      </c>
      <c r="AGT16">
        <v>0</v>
      </c>
      <c r="AGU16">
        <v>0</v>
      </c>
      <c r="AGV16">
        <v>0</v>
      </c>
      <c r="AGW16">
        <v>0</v>
      </c>
      <c r="AGX16">
        <v>0</v>
      </c>
      <c r="AGY16">
        <v>0</v>
      </c>
      <c r="AGZ16">
        <v>0</v>
      </c>
      <c r="AHA16">
        <v>1</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Z16">
        <v>0</v>
      </c>
      <c r="AIB16">
        <v>0</v>
      </c>
      <c r="AID16">
        <v>0</v>
      </c>
      <c r="AIF16">
        <v>0</v>
      </c>
      <c r="AIH16">
        <v>0</v>
      </c>
      <c r="AIJ16">
        <v>0</v>
      </c>
      <c r="AIL16">
        <v>0</v>
      </c>
      <c r="AIN16">
        <v>0</v>
      </c>
      <c r="AIP16">
        <v>0</v>
      </c>
      <c r="AIR16">
        <v>0</v>
      </c>
      <c r="AIT16">
        <v>0</v>
      </c>
      <c r="AIV16">
        <v>0</v>
      </c>
      <c r="AIX16">
        <v>0</v>
      </c>
      <c r="AIZ16">
        <v>0</v>
      </c>
      <c r="AJB16">
        <v>0</v>
      </c>
      <c r="AJC16">
        <v>0</v>
      </c>
      <c r="AJE16">
        <v>-1.58632647571201E-4</v>
      </c>
      <c r="AJH16">
        <v>5962.7978824952097</v>
      </c>
      <c r="AJJ16">
        <v>132.84655782925</v>
      </c>
      <c r="AJK16">
        <v>7.4766499782665798</v>
      </c>
      <c r="AJL16">
        <v>7.6690137471388899</v>
      </c>
      <c r="AJM16">
        <v>16.302596947764901</v>
      </c>
      <c r="AJN16">
        <v>17.0387282677112</v>
      </c>
      <c r="AJO16">
        <v>0</v>
      </c>
      <c r="AJP16">
        <v>7.2549540327398301</v>
      </c>
      <c r="AJQ16">
        <v>14.8462567461725</v>
      </c>
      <c r="AJR16">
        <v>15.7062739423257</v>
      </c>
      <c r="AJS16">
        <v>0</v>
      </c>
      <c r="AJT16">
        <v>0</v>
      </c>
      <c r="AJU16">
        <v>0</v>
      </c>
      <c r="AJV16">
        <v>0</v>
      </c>
      <c r="AJW16">
        <v>0</v>
      </c>
      <c r="AJX16">
        <v>0</v>
      </c>
      <c r="AJY16">
        <v>0</v>
      </c>
      <c r="AJZ16">
        <v>0</v>
      </c>
      <c r="AKA16">
        <v>0</v>
      </c>
      <c r="AKB16">
        <v>0</v>
      </c>
      <c r="AKC16">
        <v>0</v>
      </c>
      <c r="AKD16">
        <v>0</v>
      </c>
      <c r="AKE16">
        <v>70.162396350790203</v>
      </c>
      <c r="AKF16">
        <v>70.162396350790203</v>
      </c>
      <c r="AKG16">
        <v>0</v>
      </c>
      <c r="AKH16">
        <v>0</v>
      </c>
      <c r="AKI16">
        <v>0</v>
      </c>
      <c r="AKJ16">
        <v>0</v>
      </c>
      <c r="AKK16">
        <v>0</v>
      </c>
      <c r="AKL16">
        <v>70.162396350790203</v>
      </c>
      <c r="AKM16">
        <v>70.162396350790203</v>
      </c>
      <c r="AKN16">
        <v>0</v>
      </c>
      <c r="AKO16">
        <v>0</v>
      </c>
      <c r="AKP16">
        <v>0</v>
      </c>
      <c r="AKT16">
        <v>0</v>
      </c>
      <c r="AKX16">
        <v>0</v>
      </c>
      <c r="ALB16">
        <v>20.892476876737199</v>
      </c>
      <c r="ALC16">
        <v>20.892476876737199</v>
      </c>
      <c r="ALD16">
        <v>0</v>
      </c>
      <c r="ALE16">
        <v>0</v>
      </c>
      <c r="ALF16">
        <v>0</v>
      </c>
      <c r="ALH16">
        <v>8.4250000362042794</v>
      </c>
      <c r="ALI16">
        <v>6.6892204186142397E-3</v>
      </c>
      <c r="ALJ16">
        <v>3.61030068349304</v>
      </c>
      <c r="ALK16">
        <v>8.4250000000000007</v>
      </c>
      <c r="ALL16">
        <v>3.61030068349304</v>
      </c>
      <c r="ALM16">
        <v>0</v>
      </c>
      <c r="ALN16">
        <v>23.724018676372602</v>
      </c>
      <c r="ALO16">
        <v>9.0160936477456204E-3</v>
      </c>
      <c r="ALP16">
        <v>49.371860540364402</v>
      </c>
      <c r="ALQ16">
        <v>3.61029889492122</v>
      </c>
      <c r="ALR16">
        <v>8.4250000362042794</v>
      </c>
      <c r="ALS16">
        <v>3.61030068349304</v>
      </c>
      <c r="ALT16">
        <v>9.7892729420387798</v>
      </c>
      <c r="ALU16">
        <v>3.61030068349304</v>
      </c>
      <c r="ALV16">
        <v>12.2200383644412</v>
      </c>
      <c r="ALW16">
        <v>9.9999999999999897E-12</v>
      </c>
      <c r="ALX16">
        <v>8.4250000000000007</v>
      </c>
      <c r="ALY16">
        <v>9.9999999999999897E-12</v>
      </c>
      <c r="ALZ16">
        <v>0</v>
      </c>
      <c r="AMA16">
        <v>8.4250000000000007</v>
      </c>
      <c r="AMB16">
        <v>0</v>
      </c>
      <c r="AMC16">
        <v>8.4250000000000007</v>
      </c>
      <c r="AMD16">
        <v>0</v>
      </c>
      <c r="AME16">
        <v>8.4250000000000007</v>
      </c>
      <c r="AMF16">
        <v>0</v>
      </c>
      <c r="AMG16">
        <v>0</v>
      </c>
      <c r="AMH16">
        <v>3.61030068349304</v>
      </c>
      <c r="AMI16">
        <v>19.364685575984101</v>
      </c>
      <c r="AMJ16">
        <v>0</v>
      </c>
      <c r="AMK16" s="580">
        <v>17.117397883753799</v>
      </c>
      <c r="AML16">
        <v>0.86607511999999998</v>
      </c>
      <c r="AMM16">
        <v>19.355143538158899</v>
      </c>
      <c r="AMN16">
        <v>0</v>
      </c>
      <c r="AMO16">
        <v>19.3785397844063</v>
      </c>
      <c r="AMP16">
        <v>0</v>
      </c>
      <c r="AMQ16">
        <v>19.478102781677201</v>
      </c>
      <c r="AMR16">
        <v>0</v>
      </c>
      <c r="AMS16">
        <v>17.1482291972778</v>
      </c>
      <c r="AMT16">
        <v>0.86607511999999998</v>
      </c>
      <c r="AMU16">
        <v>20.225166853335001</v>
      </c>
      <c r="AMV16">
        <v>9.8382335220593503E-2</v>
      </c>
      <c r="AMW16">
        <v>20.1968184002897</v>
      </c>
      <c r="AMX16">
        <v>8.84180377124692E-2</v>
      </c>
      <c r="AMY16">
        <v>20.150010776698</v>
      </c>
      <c r="AMZ16">
        <v>0.18126185733174099</v>
      </c>
      <c r="ANA16">
        <v>20.260649506250001</v>
      </c>
      <c r="ANB16">
        <v>0.19399607891991</v>
      </c>
      <c r="ANC16">
        <v>17.474803984459701</v>
      </c>
      <c r="AND16">
        <v>0.86607511999999998</v>
      </c>
      <c r="ANE16">
        <v>20.6737979389824</v>
      </c>
      <c r="ANF16">
        <v>0</v>
      </c>
      <c r="ANG16">
        <v>20.018881263211298</v>
      </c>
      <c r="ANH16">
        <v>8.6891977982800198E-2</v>
      </c>
      <c r="ANI16">
        <v>20.125464406686898</v>
      </c>
      <c r="ANJ16">
        <v>0.17431532180352599</v>
      </c>
      <c r="ANK16">
        <v>20.168888668989101</v>
      </c>
      <c r="ANL16">
        <v>0.18880792595017801</v>
      </c>
      <c r="ANM16">
        <v>0.86607511999999998</v>
      </c>
      <c r="ANN16">
        <v>1.4281334291847101</v>
      </c>
      <c r="ANO16">
        <v>1.3160903457365001</v>
      </c>
      <c r="ANP16">
        <v>17.117397883753799</v>
      </c>
      <c r="ANQ16">
        <v>19.355143538158899</v>
      </c>
      <c r="ANR16">
        <v>19.364685575984101</v>
      </c>
      <c r="ANS16">
        <v>19.478102781677201</v>
      </c>
      <c r="ANT16">
        <v>19.3785397844063</v>
      </c>
      <c r="ANU16">
        <v>17.1482291972778</v>
      </c>
      <c r="ANV16">
        <v>20.1795771014325</v>
      </c>
      <c r="ANW16">
        <v>20.1627098189322</v>
      </c>
      <c r="ANX16">
        <v>20.226333160050501</v>
      </c>
      <c r="ANY16">
        <v>20.093742979334799</v>
      </c>
      <c r="ANZ16">
        <v>17.474803984459701</v>
      </c>
      <c r="AOA16">
        <v>20.6737979389824</v>
      </c>
      <c r="AOB16">
        <v>19.9862965678387</v>
      </c>
      <c r="AOC16">
        <v>20.136778129160302</v>
      </c>
      <c r="AOD16">
        <v>20.071275556318401</v>
      </c>
      <c r="AOE16">
        <v>23.724018721329202</v>
      </c>
      <c r="AOF16">
        <v>3.61030068349304</v>
      </c>
      <c r="AOG16">
        <v>23.73046596599</v>
      </c>
      <c r="AOH16">
        <v>3.61030068349304</v>
      </c>
    </row>
    <row r="17" spans="1:1074">
      <c r="A17" t="s">
        <v>2952</v>
      </c>
      <c r="B17">
        <v>8.6875</v>
      </c>
      <c r="D17">
        <v>8.3974221018388899</v>
      </c>
      <c r="F17">
        <v>5</v>
      </c>
      <c r="G17">
        <v>10048319.7473223</v>
      </c>
      <c r="H17">
        <v>23239408.985511798</v>
      </c>
      <c r="I17">
        <v>6381282.1239868198</v>
      </c>
      <c r="J17">
        <v>14758410.247721599</v>
      </c>
      <c r="K17">
        <v>10048319.7473223</v>
      </c>
      <c r="L17">
        <v>23239408.985511798</v>
      </c>
      <c r="M17">
        <v>6381282.12398683</v>
      </c>
      <c r="N17">
        <v>14758410.247721599</v>
      </c>
      <c r="O17">
        <v>51821142.324441098</v>
      </c>
      <c r="P17">
        <v>119850159.11690401</v>
      </c>
      <c r="Q17">
        <v>10048319.7473223</v>
      </c>
      <c r="R17">
        <v>23239408.985511798</v>
      </c>
      <c r="S17">
        <v>6381282.1239868198</v>
      </c>
      <c r="T17">
        <v>14758410.247721599</v>
      </c>
      <c r="U17">
        <v>10048319.7473223</v>
      </c>
      <c r="V17">
        <v>23239408.985511798</v>
      </c>
      <c r="W17">
        <v>6381282.12398683</v>
      </c>
      <c r="X17">
        <v>14758410.247721599</v>
      </c>
      <c r="Y17">
        <v>51821142.324441098</v>
      </c>
      <c r="Z17">
        <v>119850159.11690401</v>
      </c>
      <c r="AA17">
        <v>10048319.7473223</v>
      </c>
      <c r="AB17">
        <v>23239408.985511798</v>
      </c>
      <c r="AC17">
        <v>6381282.1239868198</v>
      </c>
      <c r="AD17">
        <v>14758410.247721599</v>
      </c>
      <c r="AE17">
        <v>10048319.7473223</v>
      </c>
      <c r="AF17">
        <v>23239408.985511798</v>
      </c>
      <c r="AG17">
        <v>6381282.12398683</v>
      </c>
      <c r="AH17">
        <v>14758410.247721599</v>
      </c>
      <c r="AI17">
        <v>51821142.324441098</v>
      </c>
      <c r="AJ17">
        <v>119850159.11690401</v>
      </c>
      <c r="AK17">
        <v>22.530417077666101</v>
      </c>
      <c r="AL17">
        <v>3758257.41675806</v>
      </c>
      <c r="AM17">
        <v>9733140.1775517706</v>
      </c>
      <c r="AN17">
        <v>22.530417077666101</v>
      </c>
      <c r="AO17">
        <v>3758257.41675806</v>
      </c>
      <c r="AP17">
        <v>9733140.1775517706</v>
      </c>
      <c r="AQ17">
        <v>14.3081581158871</v>
      </c>
      <c r="AR17">
        <v>2386717.5283001899</v>
      </c>
      <c r="AS17">
        <v>6181124.3060632199</v>
      </c>
      <c r="AT17">
        <v>14.3081581158871</v>
      </c>
      <c r="AU17">
        <v>2386717.5283001899</v>
      </c>
      <c r="AV17">
        <v>6181124.3060632199</v>
      </c>
      <c r="AW17">
        <v>22.530417077666101</v>
      </c>
      <c r="AX17">
        <v>3758257.41675806</v>
      </c>
      <c r="AY17">
        <v>9733140.1775517706</v>
      </c>
      <c r="AZ17">
        <v>22.530417077666101</v>
      </c>
      <c r="BA17">
        <v>3758257.41675806</v>
      </c>
      <c r="BB17">
        <v>9733140.1775517706</v>
      </c>
      <c r="BC17">
        <v>14.3081581158871</v>
      </c>
      <c r="BD17">
        <v>2386717.5283001899</v>
      </c>
      <c r="BE17">
        <v>6181124.3060632199</v>
      </c>
      <c r="BF17">
        <v>14.3081581158871</v>
      </c>
      <c r="BG17">
        <v>2386717.5283001899</v>
      </c>
      <c r="BH17">
        <v>6181124.3060632199</v>
      </c>
      <c r="BI17">
        <v>22.530417077666101</v>
      </c>
      <c r="BJ17">
        <v>3758257.41675806</v>
      </c>
      <c r="BK17">
        <v>9733140.1775517706</v>
      </c>
      <c r="BL17">
        <v>22.530417077666101</v>
      </c>
      <c r="BM17">
        <v>3758257.41675806</v>
      </c>
      <c r="BN17">
        <v>9733140.1775517706</v>
      </c>
      <c r="BO17">
        <v>14.3081581158871</v>
      </c>
      <c r="BP17">
        <v>2386717.5283001899</v>
      </c>
      <c r="BQ17">
        <v>6181124.3060632199</v>
      </c>
      <c r="BR17">
        <v>14.3081581158871</v>
      </c>
      <c r="BS17">
        <v>2386717.5283001899</v>
      </c>
      <c r="BT17">
        <v>6181124.3060632199</v>
      </c>
      <c r="BU17">
        <v>50195699.886944197</v>
      </c>
      <c r="BV17">
        <v>116.193749738297</v>
      </c>
      <c r="BW17">
        <v>19382065.597345799</v>
      </c>
      <c r="BX17">
        <v>50195699.886944197</v>
      </c>
      <c r="BY17">
        <v>116.193749738297</v>
      </c>
      <c r="BZ17">
        <v>19382065.597345799</v>
      </c>
      <c r="CA17">
        <v>50195699.886944197</v>
      </c>
      <c r="CB17">
        <v>116.193749738297</v>
      </c>
      <c r="CC17">
        <v>19382065.597345799</v>
      </c>
      <c r="CD17">
        <v>50195699.886944197</v>
      </c>
      <c r="CE17">
        <v>3395861.87171567</v>
      </c>
      <c r="CF17">
        <v>7717867.8902628897</v>
      </c>
      <c r="CG17">
        <v>3395861.87171567</v>
      </c>
      <c r="CH17">
        <v>7717867.8902628897</v>
      </c>
      <c r="CI17">
        <v>2156574.7510455502</v>
      </c>
      <c r="CJ17">
        <v>4901306.2523762397</v>
      </c>
      <c r="CK17">
        <v>2156574.75104554</v>
      </c>
      <c r="CL17">
        <v>4901306.2523762397</v>
      </c>
      <c r="CM17">
        <v>3395861.87171567</v>
      </c>
      <c r="CN17">
        <v>7717867.8902628897</v>
      </c>
      <c r="CO17">
        <v>3395861.87171567</v>
      </c>
      <c r="CP17">
        <v>7717867.8902628897</v>
      </c>
      <c r="CQ17">
        <v>2156574.7510455502</v>
      </c>
      <c r="CR17">
        <v>4901306.2523762397</v>
      </c>
      <c r="CS17">
        <v>2156574.75104554</v>
      </c>
      <c r="CT17">
        <v>4901306.2523762397</v>
      </c>
      <c r="CU17">
        <v>3395861.87171567</v>
      </c>
      <c r="CV17">
        <v>7717867.8902628897</v>
      </c>
      <c r="CW17">
        <v>3395861.87171567</v>
      </c>
      <c r="CX17">
        <v>7717867.8902628897</v>
      </c>
      <c r="CY17">
        <v>2156574.7510455502</v>
      </c>
      <c r="CZ17">
        <v>4901306.2523762397</v>
      </c>
      <c r="DA17">
        <v>2156574.75104554</v>
      </c>
      <c r="DB17">
        <v>4901306.2523762397</v>
      </c>
      <c r="DC17">
        <v>17513121.177818298</v>
      </c>
      <c r="DD17">
        <v>39802548.131405301</v>
      </c>
      <c r="DE17">
        <v>17513121.177818298</v>
      </c>
      <c r="DF17">
        <v>39802548.131405301</v>
      </c>
      <c r="DG17">
        <v>17513121.177818298</v>
      </c>
      <c r="DH17">
        <v>39802548.131405301</v>
      </c>
      <c r="DI17">
        <v>2894200.4588485798</v>
      </c>
      <c r="DJ17">
        <v>5788400.9176971698</v>
      </c>
      <c r="DK17">
        <v>2894200.4588485798</v>
      </c>
      <c r="DL17">
        <v>5788400.9176971698</v>
      </c>
      <c r="DM17">
        <v>1837989.8446410899</v>
      </c>
      <c r="DN17">
        <v>3675979.6892821798</v>
      </c>
      <c r="DO17">
        <v>1837989.8446410899</v>
      </c>
      <c r="DP17">
        <v>3675979.6892821798</v>
      </c>
      <c r="DQ17">
        <v>2894200.4588485798</v>
      </c>
      <c r="DR17">
        <v>5788400.9176971698</v>
      </c>
      <c r="DS17">
        <v>2894200.4588485798</v>
      </c>
      <c r="DT17">
        <v>5788400.9176971698</v>
      </c>
      <c r="DU17">
        <v>1837989.8446410899</v>
      </c>
      <c r="DV17">
        <v>3675979.6892821798</v>
      </c>
      <c r="DW17">
        <v>1837989.8446410899</v>
      </c>
      <c r="DX17">
        <v>3675979.6892821798</v>
      </c>
      <c r="DY17">
        <v>2894200.4588485798</v>
      </c>
      <c r="DZ17">
        <v>5788400.9176971698</v>
      </c>
      <c r="EA17">
        <v>2894200.4588485798</v>
      </c>
      <c r="EB17">
        <v>5788400.9176971698</v>
      </c>
      <c r="EC17">
        <v>1837989.8446410899</v>
      </c>
      <c r="ED17">
        <v>3675979.6892821798</v>
      </c>
      <c r="EE17">
        <v>1837989.8446410899</v>
      </c>
      <c r="EF17">
        <v>3675979.6892821798</v>
      </c>
      <c r="EG17">
        <v>14925955.549277</v>
      </c>
      <c r="EH17">
        <v>29851911.098554</v>
      </c>
      <c r="EI17">
        <v>14925955.549277</v>
      </c>
      <c r="EJ17">
        <v>29851911.098554</v>
      </c>
      <c r="EK17">
        <v>14925955.549277</v>
      </c>
      <c r="EL17">
        <v>29851911.098554</v>
      </c>
      <c r="EM17">
        <v>0</v>
      </c>
      <c r="EN17">
        <v>0</v>
      </c>
      <c r="EO17">
        <v>0</v>
      </c>
      <c r="EP17">
        <v>0</v>
      </c>
      <c r="EQ17">
        <v>0</v>
      </c>
      <c r="ER17">
        <v>0</v>
      </c>
      <c r="ES17">
        <v>0</v>
      </c>
      <c r="ET17">
        <v>0</v>
      </c>
      <c r="EU17">
        <v>1.64745129452216</v>
      </c>
      <c r="EV17">
        <v>0</v>
      </c>
      <c r="EW17">
        <v>0</v>
      </c>
      <c r="EX17">
        <v>0</v>
      </c>
      <c r="EY17">
        <v>1.0193547728952099</v>
      </c>
      <c r="EZ17">
        <v>0</v>
      </c>
      <c r="FA17">
        <v>0</v>
      </c>
      <c r="FB17">
        <v>1.64796941249466</v>
      </c>
      <c r="FC17">
        <v>0</v>
      </c>
      <c r="FD17">
        <v>0</v>
      </c>
      <c r="FE17">
        <v>0</v>
      </c>
      <c r="FF17">
        <v>0</v>
      </c>
      <c r="FG17">
        <v>0</v>
      </c>
      <c r="FH17">
        <v>0</v>
      </c>
      <c r="FI17">
        <v>0</v>
      </c>
      <c r="FJ17">
        <v>0</v>
      </c>
      <c r="FK17">
        <v>0</v>
      </c>
      <c r="FL17">
        <v>0</v>
      </c>
      <c r="FM17">
        <v>0</v>
      </c>
      <c r="FN17">
        <v>0</v>
      </c>
      <c r="FO17">
        <v>2.45251372506161E-2</v>
      </c>
      <c r="FP17">
        <v>0</v>
      </c>
      <c r="FQ17">
        <v>3.7712464405102401E-3</v>
      </c>
      <c r="FR17">
        <v>0</v>
      </c>
      <c r="FS17">
        <v>0</v>
      </c>
      <c r="FT17">
        <v>0</v>
      </c>
      <c r="FU17">
        <v>163.004687780236</v>
      </c>
      <c r="FV17">
        <v>0</v>
      </c>
      <c r="FW17">
        <v>0</v>
      </c>
      <c r="FX17">
        <v>3.75607347425989E-3</v>
      </c>
      <c r="FY17">
        <v>2.45251372506161E-2</v>
      </c>
      <c r="FZ17">
        <v>0</v>
      </c>
      <c r="GA17">
        <v>3.7712464405102401E-3</v>
      </c>
      <c r="GB17">
        <v>-172.16603761464401</v>
      </c>
      <c r="GC17">
        <v>-416.92914512205402</v>
      </c>
      <c r="GD17">
        <v>-527.97206121336205</v>
      </c>
      <c r="GE17">
        <v>-111.415429775015</v>
      </c>
      <c r="GF17">
        <v>-251.90039351329</v>
      </c>
      <c r="GG17">
        <v>-319.32988846025501</v>
      </c>
      <c r="GH17">
        <v>-167.27582880029399</v>
      </c>
      <c r="GI17">
        <v>-442.85059059554601</v>
      </c>
      <c r="GJ17">
        <v>-564.51221616328303</v>
      </c>
      <c r="GK17">
        <v>-115.188986885733</v>
      </c>
      <c r="GL17">
        <v>-273.62216883462798</v>
      </c>
      <c r="GM17">
        <v>-351.43139061384801</v>
      </c>
      <c r="GN17">
        <v>-29.918562269567701</v>
      </c>
      <c r="GO17">
        <v>21.9172358364549</v>
      </c>
      <c r="GP17">
        <v>22.927000229136599</v>
      </c>
      <c r="GQ17">
        <v>136.078890387824</v>
      </c>
      <c r="GR17">
        <v>-76.794723579001598</v>
      </c>
      <c r="GS17">
        <v>-841.32895992212502</v>
      </c>
      <c r="GT17">
        <v>-21.567978873923501</v>
      </c>
      <c r="GU17">
        <v>21.8371036443653</v>
      </c>
      <c r="GV17">
        <v>22.8348532708367</v>
      </c>
      <c r="GW17">
        <v>86.106869929221503</v>
      </c>
      <c r="GX17">
        <v>-46.360391905399702</v>
      </c>
      <c r="GY17">
        <v>-516.36614242353198</v>
      </c>
      <c r="GZ17">
        <v>-26.802542631244901</v>
      </c>
      <c r="HA17">
        <v>22.133535949194702</v>
      </c>
      <c r="HB17">
        <v>23.202221477784899</v>
      </c>
      <c r="HC17">
        <v>144.172243138026</v>
      </c>
      <c r="HD17">
        <v>-85.967177097584894</v>
      </c>
      <c r="HE17">
        <v>-900.16639432677403</v>
      </c>
      <c r="HF17">
        <v>-18.4588452333963</v>
      </c>
      <c r="HG17">
        <v>21.940327463207399</v>
      </c>
      <c r="HH17">
        <v>23.001376108119999</v>
      </c>
      <c r="HI17">
        <v>92.269044823443494</v>
      </c>
      <c r="HJ17">
        <v>-52.772454307137501</v>
      </c>
      <c r="HK17">
        <v>-563.17765183186998</v>
      </c>
      <c r="HL17">
        <v>-105.764009190461</v>
      </c>
      <c r="HM17">
        <v>23.981412266325801</v>
      </c>
      <c r="HN17">
        <v>24.321691769271599</v>
      </c>
      <c r="HO17">
        <v>-31.915956620787298</v>
      </c>
      <c r="HP17">
        <v>-205.818248435632</v>
      </c>
      <c r="HQ17">
        <v>23.185483135193898</v>
      </c>
      <c r="HR17">
        <v>-410.92169459752802</v>
      </c>
      <c r="HS17">
        <v>-72.288916957032001</v>
      </c>
      <c r="HT17">
        <v>23.962531684559099</v>
      </c>
      <c r="HU17">
        <v>24.326312836946101</v>
      </c>
      <c r="HV17">
        <v>-20.823141628419702</v>
      </c>
      <c r="HW17">
        <v>-128.81406899879499</v>
      </c>
      <c r="HX17">
        <v>23.112042400629999</v>
      </c>
      <c r="HY17">
        <v>-253.39548415921601</v>
      </c>
      <c r="HZ17">
        <v>24.127162182528199</v>
      </c>
      <c r="IA17">
        <v>24.397312567088701</v>
      </c>
      <c r="IB17">
        <v>-32.4909821379579</v>
      </c>
      <c r="IC17">
        <v>-103.819922824955</v>
      </c>
      <c r="ID17">
        <v>-234.88095511668701</v>
      </c>
      <c r="IE17">
        <v>23.408913590728101</v>
      </c>
      <c r="IF17">
        <v>-401.453007103262</v>
      </c>
      <c r="IG17">
        <v>-7.8837401102447204</v>
      </c>
      <c r="IH17">
        <v>24.023399842054499</v>
      </c>
      <c r="II17">
        <v>24.353165245507</v>
      </c>
      <c r="IJ17">
        <v>-13.678711132933699</v>
      </c>
      <c r="IK17">
        <v>-6.6838172950695203</v>
      </c>
      <c r="IL17">
        <v>-69.911839085545296</v>
      </c>
      <c r="IM17">
        <v>-141.205045050173</v>
      </c>
      <c r="IN17">
        <v>23.225422903689498</v>
      </c>
      <c r="IO17">
        <v>1.3722953163326801</v>
      </c>
      <c r="IP17">
        <v>-255.56360857929801</v>
      </c>
      <c r="IQ17">
        <v>-44.831972619286098</v>
      </c>
      <c r="IR17">
        <v>-26.1639264865067</v>
      </c>
      <c r="IS17">
        <v>-28.8157872485809</v>
      </c>
      <c r="IT17">
        <v>-22.757663341984902</v>
      </c>
      <c r="IU17">
        <v>-4656.6883370174201</v>
      </c>
      <c r="IV17">
        <v>-63.596507373586498</v>
      </c>
      <c r="IW17">
        <v>22.221173769129901</v>
      </c>
      <c r="IX17">
        <v>23.185483135193898</v>
      </c>
      <c r="IY17">
        <v>7.4792755103641504</v>
      </c>
      <c r="IZ17">
        <v>-322.05171126380299</v>
      </c>
      <c r="JA17">
        <v>-1214.5470301605701</v>
      </c>
      <c r="JB17">
        <v>-42.1597474264289</v>
      </c>
      <c r="JC17">
        <v>22.1226214498563</v>
      </c>
      <c r="JD17">
        <v>23.112042400629999</v>
      </c>
      <c r="JE17">
        <v>13.5436075847915</v>
      </c>
      <c r="JF17">
        <v>-186.87337794333399</v>
      </c>
      <c r="JG17">
        <v>-751.70565811214601</v>
      </c>
      <c r="JH17">
        <v>-55.8935095732704</v>
      </c>
      <c r="JI17">
        <v>22.417446924429601</v>
      </c>
      <c r="JJ17">
        <v>23.408913590728101</v>
      </c>
      <c r="JK17">
        <v>16.040188821381498</v>
      </c>
      <c r="JL17">
        <v>-307.94188194237603</v>
      </c>
      <c r="JM17">
        <v>-1222.3562962195199</v>
      </c>
      <c r="JN17">
        <v>-36.398559553059201</v>
      </c>
      <c r="JO17">
        <v>22.222826458343601</v>
      </c>
      <c r="JP17">
        <v>23.225422903689498</v>
      </c>
      <c r="JQ17">
        <v>0.74748751921462697</v>
      </c>
      <c r="JR17">
        <v>17.005478283676599</v>
      </c>
      <c r="JS17">
        <v>1.4585936826112</v>
      </c>
      <c r="JT17">
        <v>-192.07546247872699</v>
      </c>
      <c r="JU17">
        <v>-784.54913844230998</v>
      </c>
      <c r="JV17">
        <v>-109.560621299023</v>
      </c>
      <c r="JW17">
        <v>-222.62027307732399</v>
      </c>
      <c r="JX17">
        <v>-313.69285633646899</v>
      </c>
      <c r="JY17">
        <v>-100.639408921463</v>
      </c>
      <c r="JZ17">
        <v>-197.93428433681399</v>
      </c>
      <c r="KA17">
        <v>-260.54828740499602</v>
      </c>
      <c r="KB17">
        <v>-109.230421640426</v>
      </c>
      <c r="KC17">
        <v>-250.49121292189801</v>
      </c>
      <c r="KD17">
        <v>-304.57220318097097</v>
      </c>
      <c r="KE17">
        <v>-76.507463051754499</v>
      </c>
      <c r="KF17">
        <v>22.388084049240199</v>
      </c>
      <c r="KG17">
        <v>-131.212627671082</v>
      </c>
      <c r="KH17">
        <v>0.77246351086116805</v>
      </c>
      <c r="KI17">
        <v>-154.86825845823799</v>
      </c>
      <c r="KJ17">
        <v>-198.158280511523</v>
      </c>
      <c r="KK17">
        <v>-47.219135136063301</v>
      </c>
      <c r="KL17">
        <v>22.798239489600402</v>
      </c>
      <c r="KM17">
        <v>23.373269179597099</v>
      </c>
      <c r="KN17">
        <v>30.1486154508992</v>
      </c>
      <c r="KO17">
        <v>22.273524991927101</v>
      </c>
      <c r="KP17">
        <v>12.2866273060663</v>
      </c>
      <c r="KQ17">
        <v>-98.770617500088306</v>
      </c>
      <c r="KR17">
        <v>-578.40386196608199</v>
      </c>
      <c r="KS17">
        <v>-15.8384792015932</v>
      </c>
      <c r="KT17">
        <v>22.536044540676901</v>
      </c>
      <c r="KU17">
        <v>23.3591449339932</v>
      </c>
      <c r="KV17">
        <v>114.53595187106001</v>
      </c>
      <c r="KW17">
        <v>21.919392171765701</v>
      </c>
      <c r="KX17">
        <v>12.223162684550401</v>
      </c>
      <c r="KY17">
        <v>0.773485891203883</v>
      </c>
      <c r="KZ17">
        <v>-350.27685601040599</v>
      </c>
      <c r="LA17">
        <v>-39.315428425750902</v>
      </c>
      <c r="LB17">
        <v>23.045738967979698</v>
      </c>
      <c r="LC17">
        <v>23.637165432165698</v>
      </c>
      <c r="LD17">
        <v>38.071704181660699</v>
      </c>
      <c r="LE17">
        <v>22.508544355327398</v>
      </c>
      <c r="LF17">
        <v>12.2931093222653</v>
      </c>
      <c r="LG17">
        <v>-83.802585743002297</v>
      </c>
      <c r="LH17">
        <v>-573.99289357760495</v>
      </c>
      <c r="LI17">
        <v>-28.743649970464599</v>
      </c>
      <c r="LJ17">
        <v>22.819015530257602</v>
      </c>
      <c r="LK17">
        <v>23.423775591192999</v>
      </c>
      <c r="LL17">
        <v>25.924731835921602</v>
      </c>
      <c r="LM17">
        <v>22.269267670954001</v>
      </c>
      <c r="LN17">
        <v>12.013317145556</v>
      </c>
      <c r="LO17">
        <v>-57.473217436626001</v>
      </c>
      <c r="LP17">
        <v>-374.63094564765203</v>
      </c>
      <c r="LQ17">
        <v>-11.581420654546999</v>
      </c>
      <c r="LR17">
        <v>18.830946721934598</v>
      </c>
      <c r="LS17">
        <v>16.440999999999999</v>
      </c>
      <c r="LT17">
        <v>-233.804878805139</v>
      </c>
      <c r="LU17">
        <v>-1507.0829084110201</v>
      </c>
      <c r="LV17">
        <v>20.167451949729301</v>
      </c>
      <c r="LW17">
        <v>22.365720468742801</v>
      </c>
      <c r="LX17">
        <v>267.32253119431499</v>
      </c>
      <c r="LY17">
        <v>-8.6369787421292994</v>
      </c>
      <c r="LZ17">
        <v>18.812896304352801</v>
      </c>
      <c r="MA17">
        <v>16.440999999999999</v>
      </c>
      <c r="MB17">
        <v>-146.134602946683</v>
      </c>
      <c r="MC17">
        <v>-940.01125193197402</v>
      </c>
      <c r="MD17">
        <v>20.132311745550101</v>
      </c>
      <c r="ME17">
        <v>22.296047612526699</v>
      </c>
      <c r="MF17">
        <v>168.04179615648701</v>
      </c>
      <c r="MG17">
        <v>-9.9448435674680304</v>
      </c>
      <c r="MH17">
        <v>18.890692703725701</v>
      </c>
      <c r="MI17">
        <v>16.440999999999999</v>
      </c>
      <c r="MJ17">
        <v>-249.71969020648399</v>
      </c>
      <c r="MK17">
        <v>-1606.73522599431</v>
      </c>
      <c r="ML17">
        <v>20.3097798956125</v>
      </c>
      <c r="MM17">
        <v>22.621084550236102</v>
      </c>
      <c r="MN17">
        <v>282.372122264045</v>
      </c>
      <c r="MO17">
        <v>-6.9663998654780297</v>
      </c>
      <c r="MP17">
        <v>18.815831429784101</v>
      </c>
      <c r="MQ17">
        <v>16.440999999999999</v>
      </c>
      <c r="MR17">
        <v>-151.52761707598</v>
      </c>
      <c r="MS17">
        <v>-977.218373735402</v>
      </c>
      <c r="MT17">
        <v>20.181651017273602</v>
      </c>
      <c r="MU17">
        <v>22.440541457353302</v>
      </c>
      <c r="MV17">
        <v>173.69843866323799</v>
      </c>
      <c r="MW17">
        <v>-0.95966055585897003</v>
      </c>
      <c r="MX17">
        <v>20.714379957263802</v>
      </c>
      <c r="MY17">
        <v>21.076244846448301</v>
      </c>
      <c r="MZ17">
        <v>178.34391252649601</v>
      </c>
      <c r="NA17">
        <v>-397.40982935263298</v>
      </c>
      <c r="NB17">
        <v>21.358652886514001</v>
      </c>
      <c r="NC17">
        <v>22.883754579504402</v>
      </c>
      <c r="ND17">
        <v>419.916349097254</v>
      </c>
      <c r="NE17">
        <v>-2.0771550204423601</v>
      </c>
      <c r="NF17">
        <v>20.696659053856699</v>
      </c>
      <c r="NG17">
        <v>21.0098693019169</v>
      </c>
      <c r="NH17">
        <v>98.974299364807806</v>
      </c>
      <c r="NI17">
        <v>-266.913425784727</v>
      </c>
      <c r="NJ17">
        <v>21.346984639235401</v>
      </c>
      <c r="NK17">
        <v>22.84889923187</v>
      </c>
      <c r="NL17">
        <v>253.82844482904801</v>
      </c>
      <c r="NM17">
        <v>-0.22334832831503501</v>
      </c>
      <c r="NN17">
        <v>20.818066924149001</v>
      </c>
      <c r="NO17">
        <v>21.241192824421699</v>
      </c>
      <c r="NP17">
        <v>172.297891863621</v>
      </c>
      <c r="NQ17" s="35">
        <v>-424.20187752882401</v>
      </c>
      <c r="NR17" s="35">
        <v>21.4842542158706</v>
      </c>
      <c r="NS17">
        <v>23.0951981051623</v>
      </c>
      <c r="NT17">
        <v>422.08719693491003</v>
      </c>
      <c r="NU17">
        <v>-1.7899862760926999</v>
      </c>
      <c r="NV17">
        <v>20.694072531215099</v>
      </c>
      <c r="NW17">
        <v>21.0533806852082</v>
      </c>
      <c r="NX17">
        <v>1.7</v>
      </c>
      <c r="NY17">
        <v>83.968160883557999</v>
      </c>
      <c r="NZ17">
        <v>-295.54948344509597</v>
      </c>
      <c r="OA17">
        <v>21.360985132982201</v>
      </c>
      <c r="OB17">
        <v>22.9293537333097</v>
      </c>
      <c r="OC17">
        <v>1.7</v>
      </c>
      <c r="OD17">
        <v>242.771971417684</v>
      </c>
      <c r="OE17">
        <v>1.7</v>
      </c>
      <c r="OF17">
        <v>1.7</v>
      </c>
      <c r="OG17">
        <v>-2.6393659219914101</v>
      </c>
      <c r="OH17">
        <v>20.551548599337</v>
      </c>
      <c r="OI17">
        <v>21.273671684745199</v>
      </c>
      <c r="OJ17">
        <v>146.22007807651499</v>
      </c>
      <c r="OK17">
        <v>-444.97390917913401</v>
      </c>
      <c r="OL17">
        <v>21.206427415611898</v>
      </c>
      <c r="OM17">
        <v>22.816319015986299</v>
      </c>
      <c r="ON17">
        <v>391.76922987806802</v>
      </c>
      <c r="OO17">
        <v>-12.5736277703129</v>
      </c>
      <c r="OP17">
        <v>20.671012267233198</v>
      </c>
      <c r="OQ17">
        <v>21.165219273499002</v>
      </c>
      <c r="OR17">
        <v>-57.259704962535999</v>
      </c>
      <c r="OS17">
        <v>-467.966556653179</v>
      </c>
      <c r="OT17">
        <v>21.385104211035699</v>
      </c>
      <c r="OU17">
        <v>22.952351002504901</v>
      </c>
      <c r="OV17">
        <v>112.778350169551</v>
      </c>
      <c r="OW17">
        <v>-3.2871103296496602</v>
      </c>
      <c r="OX17">
        <v>20.697459538935401</v>
      </c>
      <c r="OY17">
        <v>21.447617849037702</v>
      </c>
      <c r="OZ17">
        <v>129.18760297213299</v>
      </c>
      <c r="PA17">
        <v>-488.74799710505499</v>
      </c>
      <c r="PB17">
        <v>21.380609948080899</v>
      </c>
      <c r="PC17">
        <v>23.067142097797799</v>
      </c>
      <c r="PD17">
        <v>385.337289524467</v>
      </c>
      <c r="PE17">
        <v>-3.3540339198168798</v>
      </c>
      <c r="PF17">
        <v>20.5167643514548</v>
      </c>
      <c r="PG17">
        <v>21.231513369974301</v>
      </c>
      <c r="PH17">
        <v>1.7</v>
      </c>
      <c r="PI17">
        <v>54.340225430469502</v>
      </c>
      <c r="PJ17">
        <v>-339.51892474884301</v>
      </c>
      <c r="PK17">
        <v>21.201455336189198</v>
      </c>
      <c r="PL17">
        <v>22.865322626826099</v>
      </c>
      <c r="PM17" s="35">
        <v>1.7</v>
      </c>
      <c r="PN17">
        <v>217.37738671081399</v>
      </c>
      <c r="PO17">
        <v>22.847495105574801</v>
      </c>
      <c r="PP17">
        <v>22.774878922169702</v>
      </c>
      <c r="PQ17">
        <v>23.116645061781799</v>
      </c>
      <c r="PR17">
        <v>22.949354238282101</v>
      </c>
      <c r="PS17">
        <v>23.181719499048501</v>
      </c>
      <c r="PT17">
        <v>23.160410529690498</v>
      </c>
      <c r="PU17">
        <v>23.1133959505318</v>
      </c>
      <c r="PV17">
        <v>23.377281063408098</v>
      </c>
      <c r="PW17">
        <v>23.223994603474502</v>
      </c>
      <c r="PX17">
        <v>23.967394195001699</v>
      </c>
      <c r="PY17">
        <v>23.155469768220399</v>
      </c>
      <c r="PZ17">
        <v>23.2381567262298</v>
      </c>
      <c r="QA17">
        <v>23.403740651185501</v>
      </c>
      <c r="QB17">
        <v>23.221923918024601</v>
      </c>
      <c r="QC17">
        <v>24.170777238098498</v>
      </c>
      <c r="QD17">
        <v>20.803576579784401</v>
      </c>
      <c r="QE17">
        <v>23.402728195293001</v>
      </c>
      <c r="QF17">
        <v>23.295989417526702</v>
      </c>
      <c r="QG17">
        <v>23.709313787181198</v>
      </c>
      <c r="QH17">
        <v>23.5151461388866</v>
      </c>
      <c r="QI17">
        <v>24.4691151580137</v>
      </c>
      <c r="QJ17">
        <v>23.494881567129699</v>
      </c>
      <c r="QK17">
        <v>23.413202008452501</v>
      </c>
      <c r="QL17">
        <v>23.8114434309304</v>
      </c>
      <c r="QM17">
        <v>23.5723363070313</v>
      </c>
      <c r="QN17">
        <v>-832.79408204514903</v>
      </c>
      <c r="QO17">
        <v>25.320610810388999</v>
      </c>
      <c r="QP17">
        <v>-4457.3956334823497</v>
      </c>
      <c r="QQ17">
        <v>23.490181162629298</v>
      </c>
      <c r="QR17">
        <v>23.685787973579</v>
      </c>
      <c r="QS17">
        <v>23.769580592141299</v>
      </c>
      <c r="QT17">
        <v>23.530271498050102</v>
      </c>
      <c r="QU17">
        <v>25.5019383101091</v>
      </c>
      <c r="QV17">
        <v>17.847737227655902</v>
      </c>
      <c r="QW17">
        <v>545712.21236736805</v>
      </c>
      <c r="QX17">
        <v>0</v>
      </c>
      <c r="QY17">
        <v>386683.45577826601</v>
      </c>
      <c r="QZ17">
        <v>0</v>
      </c>
      <c r="RA17">
        <v>44336.2927878091</v>
      </c>
      <c r="RB17">
        <v>0</v>
      </c>
      <c r="RC17">
        <v>28995.660526935699</v>
      </c>
      <c r="RD17">
        <v>0</v>
      </c>
      <c r="RE17">
        <v>150082.674211807</v>
      </c>
      <c r="RF17">
        <v>0</v>
      </c>
      <c r="RG17">
        <v>115936.24642869399</v>
      </c>
      <c r="RH17" s="35">
        <v>0</v>
      </c>
      <c r="RI17">
        <v>0</v>
      </c>
      <c r="RJ17" s="35">
        <v>0</v>
      </c>
      <c r="RK17">
        <v>23.957961285011098</v>
      </c>
      <c r="RL17">
        <v>-89.170102176096407</v>
      </c>
      <c r="RM17" s="35">
        <v>-4189.9794565964103</v>
      </c>
      <c r="RN17">
        <v>-66.923970242307405</v>
      </c>
      <c r="RO17" s="35">
        <v>0</v>
      </c>
      <c r="RP17">
        <v>0</v>
      </c>
      <c r="RQ17" s="35">
        <v>23.817099912883599</v>
      </c>
      <c r="RR17" s="35">
        <v>0</v>
      </c>
      <c r="RS17">
        <v>-2536.5150325069098</v>
      </c>
      <c r="RT17">
        <v>83.670325556728997</v>
      </c>
      <c r="RU17">
        <v>0</v>
      </c>
      <c r="RV17">
        <v>0</v>
      </c>
      <c r="RW17">
        <v>24.301982512580601</v>
      </c>
      <c r="RX17">
        <v>-557.72057402521602</v>
      </c>
      <c r="RY17">
        <v>-4675.7428751453699</v>
      </c>
      <c r="RZ17">
        <v>-557.72057402521602</v>
      </c>
      <c r="SA17">
        <v>0</v>
      </c>
      <c r="SB17">
        <v>0</v>
      </c>
      <c r="SC17">
        <v>24.080938039491102</v>
      </c>
      <c r="SD17">
        <v>-166.37468664156901</v>
      </c>
      <c r="SE17">
        <v>-2768.6165555835</v>
      </c>
      <c r="SF17">
        <v>-150.979731657906</v>
      </c>
      <c r="SG17">
        <v>0</v>
      </c>
      <c r="SH17">
        <v>9055.0841275333896</v>
      </c>
      <c r="SI17">
        <v>25.756510816978999</v>
      </c>
      <c r="SJ17">
        <v>-1569.4512599524101</v>
      </c>
      <c r="SK17">
        <v>-22533.325122713599</v>
      </c>
      <c r="SL17">
        <v>-1569.4512599524101</v>
      </c>
      <c r="SM17">
        <v>21.1111</v>
      </c>
      <c r="SN17">
        <v>23.8889</v>
      </c>
      <c r="SO17">
        <v>0</v>
      </c>
      <c r="SP17">
        <v>0</v>
      </c>
      <c r="SQ17">
        <v>21.425758208165199</v>
      </c>
      <c r="SR17">
        <v>0</v>
      </c>
      <c r="SS17">
        <v>0</v>
      </c>
      <c r="ST17">
        <v>0</v>
      </c>
      <c r="SU17">
        <v>0</v>
      </c>
      <c r="SV17">
        <v>0</v>
      </c>
      <c r="SW17">
        <v>21.346219977106401</v>
      </c>
      <c r="SX17">
        <v>0</v>
      </c>
      <c r="SY17">
        <v>0</v>
      </c>
      <c r="SZ17">
        <v>0</v>
      </c>
      <c r="TA17">
        <v>0</v>
      </c>
      <c r="TB17">
        <v>0</v>
      </c>
      <c r="TC17">
        <v>21.618126157879999</v>
      </c>
      <c r="TD17">
        <v>0</v>
      </c>
      <c r="TE17">
        <v>0</v>
      </c>
      <c r="TF17">
        <v>0</v>
      </c>
      <c r="TG17">
        <v>0</v>
      </c>
      <c r="TH17">
        <v>0</v>
      </c>
      <c r="TI17">
        <v>21.4251617911507</v>
      </c>
      <c r="TJ17">
        <v>0</v>
      </c>
      <c r="TK17">
        <v>0</v>
      </c>
      <c r="TL17">
        <v>0</v>
      </c>
      <c r="TM17">
        <v>2585.7109141426699</v>
      </c>
      <c r="TN17">
        <v>0</v>
      </c>
      <c r="TO17">
        <v>23.276575763649301</v>
      </c>
      <c r="TP17">
        <v>0</v>
      </c>
      <c r="TQ17">
        <v>0</v>
      </c>
      <c r="TR17">
        <v>0</v>
      </c>
      <c r="TS17">
        <v>0</v>
      </c>
      <c r="TT17">
        <v>601.20954063340002</v>
      </c>
      <c r="TU17">
        <v>23.8293526045689</v>
      </c>
      <c r="TV17">
        <v>-891.22962730658196</v>
      </c>
      <c r="TW17">
        <v>-5985.0892299724801</v>
      </c>
      <c r="TX17">
        <v>-891.22962730658196</v>
      </c>
      <c r="TY17">
        <v>0</v>
      </c>
      <c r="TZ17">
        <v>344.27262237966102</v>
      </c>
      <c r="UA17">
        <v>23.713008066373298</v>
      </c>
      <c r="UB17">
        <v>-483.76753856533003</v>
      </c>
      <c r="UC17">
        <v>-3782.0177302995598</v>
      </c>
      <c r="UD17">
        <v>-483.76753856533003</v>
      </c>
      <c r="UE17">
        <v>0</v>
      </c>
      <c r="UF17">
        <v>436.36520355651101</v>
      </c>
      <c r="UG17">
        <v>24.245605798452701</v>
      </c>
      <c r="UH17">
        <v>-1201.10715887574</v>
      </c>
      <c r="UI17">
        <v>-5758.0384307724898</v>
      </c>
      <c r="UJ17">
        <v>-1201.10715887574</v>
      </c>
      <c r="UK17">
        <v>0</v>
      </c>
      <c r="UL17">
        <v>617.88603038098495</v>
      </c>
      <c r="UM17">
        <v>23.920678010588201</v>
      </c>
      <c r="UN17">
        <v>-651.17036810789398</v>
      </c>
      <c r="UO17">
        <v>-3562.49322601322</v>
      </c>
      <c r="UP17">
        <v>-651.17036810789398</v>
      </c>
      <c r="UQ17">
        <v>0</v>
      </c>
      <c r="UR17">
        <v>9633.3743890655096</v>
      </c>
      <c r="US17">
        <v>26.673827425776299</v>
      </c>
      <c r="UT17">
        <v>-6036.3362133278997</v>
      </c>
      <c r="UU17">
        <v>-26483.349047469499</v>
      </c>
      <c r="UV17">
        <v>-6036.3362133278997</v>
      </c>
      <c r="UW17">
        <v>21.1111</v>
      </c>
      <c r="UX17">
        <v>23.8889</v>
      </c>
      <c r="UY17">
        <v>288.10131905013498</v>
      </c>
      <c r="UZ17">
        <v>0</v>
      </c>
      <c r="VA17">
        <v>22.113631586111001</v>
      </c>
      <c r="VB17">
        <v>0</v>
      </c>
      <c r="VC17">
        <v>0</v>
      </c>
      <c r="VD17">
        <v>0</v>
      </c>
      <c r="VE17">
        <v>173.479086077067</v>
      </c>
      <c r="VF17">
        <v>0</v>
      </c>
      <c r="VG17">
        <v>21.966989955230101</v>
      </c>
      <c r="VH17">
        <v>0</v>
      </c>
      <c r="VI17">
        <v>0</v>
      </c>
      <c r="VJ17">
        <v>0</v>
      </c>
      <c r="VK17">
        <v>190.28498686241801</v>
      </c>
      <c r="VL17">
        <v>0</v>
      </c>
      <c r="VM17">
        <v>22.182270639272101</v>
      </c>
      <c r="VN17">
        <v>0</v>
      </c>
      <c r="VO17">
        <v>0</v>
      </c>
      <c r="VP17">
        <v>0</v>
      </c>
      <c r="VQ17">
        <v>296.67839240686902</v>
      </c>
      <c r="VR17">
        <v>0</v>
      </c>
      <c r="VS17">
        <v>22.1972955280912</v>
      </c>
      <c r="VT17">
        <v>0</v>
      </c>
      <c r="VU17">
        <v>0</v>
      </c>
      <c r="VV17">
        <v>0</v>
      </c>
      <c r="VW17">
        <v>2324.0052709640599</v>
      </c>
      <c r="VX17">
        <v>0</v>
      </c>
      <c r="VY17">
        <v>23.565112051866599</v>
      </c>
      <c r="VZ17">
        <v>0</v>
      </c>
      <c r="WA17">
        <v>0</v>
      </c>
      <c r="WB17">
        <v>0</v>
      </c>
      <c r="WC17">
        <v>0</v>
      </c>
      <c r="WD17">
        <v>585.01945533285698</v>
      </c>
      <c r="WE17">
        <v>23.8248925570383</v>
      </c>
      <c r="WF17">
        <v>-884.23722809324295</v>
      </c>
      <c r="WG17">
        <v>-5991.0052979882403</v>
      </c>
      <c r="WH17">
        <v>-884.23722809324295</v>
      </c>
      <c r="WI17">
        <v>0</v>
      </c>
      <c r="WJ17">
        <v>0</v>
      </c>
      <c r="WK17">
        <v>0</v>
      </c>
      <c r="WL17">
        <v>24.1334192209283</v>
      </c>
      <c r="WM17">
        <v>-223.74763688534901</v>
      </c>
      <c r="WN17">
        <v>-2845.09812039096</v>
      </c>
      <c r="WO17">
        <v>-223.74763688534901</v>
      </c>
      <c r="WP17">
        <v>21.1111</v>
      </c>
      <c r="WQ17">
        <v>23.8889</v>
      </c>
      <c r="WR17">
        <v>0</v>
      </c>
      <c r="WS17">
        <v>838.90766445053498</v>
      </c>
      <c r="WT17">
        <v>24.135420533097101</v>
      </c>
      <c r="WU17">
        <v>-1326.3410008168</v>
      </c>
      <c r="WV17">
        <v>-5943.0214685160599</v>
      </c>
      <c r="WW17">
        <v>-1326.3410008168</v>
      </c>
      <c r="WX17">
        <v>2065448.96902224</v>
      </c>
      <c r="WY17">
        <v>0</v>
      </c>
      <c r="WZ17">
        <v>573.73582472840098</v>
      </c>
      <c r="XA17">
        <v>23.838619078075599</v>
      </c>
      <c r="XB17">
        <v>-645.505389160184</v>
      </c>
      <c r="XC17">
        <v>-3746.1357494572799</v>
      </c>
      <c r="XD17">
        <v>-645.505389160184</v>
      </c>
      <c r="XE17">
        <v>0</v>
      </c>
      <c r="XF17">
        <v>9570.8051505527092</v>
      </c>
      <c r="XG17">
        <v>26.833099382119698</v>
      </c>
      <c r="XH17">
        <v>-8112.68569872853</v>
      </c>
      <c r="XI17">
        <v>-28773.574436790099</v>
      </c>
      <c r="XJ17">
        <v>-8112.68569872853</v>
      </c>
      <c r="XK17">
        <v>21.1111</v>
      </c>
      <c r="XL17">
        <v>23.8889</v>
      </c>
      <c r="XM17">
        <v>213.97738421220299</v>
      </c>
      <c r="XN17">
        <v>0</v>
      </c>
      <c r="XO17">
        <v>22.537990947460699</v>
      </c>
      <c r="XP17">
        <v>0</v>
      </c>
      <c r="XQ17">
        <v>0</v>
      </c>
      <c r="XR17">
        <v>0</v>
      </c>
      <c r="XS17">
        <v>0</v>
      </c>
      <c r="XT17">
        <v>0</v>
      </c>
      <c r="XU17">
        <v>21.893709576188702</v>
      </c>
      <c r="XV17">
        <v>0</v>
      </c>
      <c r="XW17">
        <v>0</v>
      </c>
      <c r="XX17">
        <v>0</v>
      </c>
      <c r="XY17">
        <v>275.18476833146701</v>
      </c>
      <c r="XZ17">
        <v>0</v>
      </c>
      <c r="YA17">
        <v>22.826484836895599</v>
      </c>
      <c r="YB17">
        <v>0</v>
      </c>
      <c r="YC17">
        <v>0</v>
      </c>
      <c r="YD17">
        <v>0</v>
      </c>
      <c r="YE17">
        <v>217.593850167553</v>
      </c>
      <c r="YF17">
        <v>0</v>
      </c>
      <c r="YG17">
        <v>22.644928907319599</v>
      </c>
      <c r="YH17">
        <v>0</v>
      </c>
      <c r="YI17">
        <v>0</v>
      </c>
      <c r="YJ17">
        <v>0</v>
      </c>
      <c r="YK17">
        <v>1291.4044795376301</v>
      </c>
      <c r="YL17">
        <v>0</v>
      </c>
      <c r="YM17">
        <v>24.603358175713002</v>
      </c>
      <c r="YN17">
        <v>0</v>
      </c>
      <c r="YO17">
        <v>0</v>
      </c>
      <c r="YP17">
        <v>0</v>
      </c>
      <c r="YQ17">
        <v>0</v>
      </c>
      <c r="YR17">
        <v>0</v>
      </c>
      <c r="YS17">
        <v>19.468829334791302</v>
      </c>
      <c r="YT17">
        <v>0</v>
      </c>
      <c r="YU17">
        <v>0</v>
      </c>
      <c r="YV17">
        <v>0</v>
      </c>
      <c r="YW17">
        <v>0</v>
      </c>
      <c r="YX17">
        <v>0</v>
      </c>
      <c r="YY17">
        <v>19.4400190382018</v>
      </c>
      <c r="YZ17">
        <v>0</v>
      </c>
      <c r="ZA17">
        <v>0</v>
      </c>
      <c r="ZB17">
        <v>0</v>
      </c>
      <c r="ZC17">
        <v>0</v>
      </c>
      <c r="ZD17">
        <v>0</v>
      </c>
      <c r="ZE17">
        <v>19.571013994314502</v>
      </c>
      <c r="ZF17">
        <v>0</v>
      </c>
      <c r="ZG17">
        <v>0</v>
      </c>
      <c r="ZH17">
        <v>0</v>
      </c>
      <c r="ZI17">
        <v>0</v>
      </c>
      <c r="ZJ17">
        <v>0</v>
      </c>
      <c r="ZK17">
        <v>19.4687998246416</v>
      </c>
      <c r="ZL17">
        <v>0</v>
      </c>
      <c r="ZM17">
        <v>0</v>
      </c>
      <c r="ZN17">
        <v>0</v>
      </c>
      <c r="ZO17">
        <v>0</v>
      </c>
      <c r="ZP17">
        <v>7518.8027861793198</v>
      </c>
      <c r="ZQ17">
        <v>17.272227363221401</v>
      </c>
      <c r="ZR17">
        <v>0</v>
      </c>
      <c r="ZS17">
        <v>0</v>
      </c>
      <c r="ZT17">
        <v>0</v>
      </c>
      <c r="ZU17">
        <v>0</v>
      </c>
      <c r="ZV17">
        <v>389.14117474441599</v>
      </c>
      <c r="ZW17">
        <v>20.447186092932601</v>
      </c>
      <c r="ZX17">
        <v>0</v>
      </c>
      <c r="ZY17">
        <v>0</v>
      </c>
      <c r="ZZ17">
        <v>0</v>
      </c>
      <c r="AAA17">
        <v>0</v>
      </c>
      <c r="AAB17">
        <v>234.929680953001</v>
      </c>
      <c r="AAC17">
        <v>20.455309550547302</v>
      </c>
      <c r="AAD17">
        <v>0</v>
      </c>
      <c r="AAE17">
        <v>0</v>
      </c>
      <c r="AAF17">
        <v>0</v>
      </c>
      <c r="AAG17">
        <v>0</v>
      </c>
      <c r="AAH17">
        <v>246.70023303779399</v>
      </c>
      <c r="AAI17">
        <v>20.698940729794</v>
      </c>
      <c r="AAJ17">
        <v>0</v>
      </c>
      <c r="AAK17">
        <v>0</v>
      </c>
      <c r="AAL17">
        <v>0</v>
      </c>
      <c r="AAM17">
        <v>0</v>
      </c>
      <c r="AAN17">
        <v>395.89367791004003</v>
      </c>
      <c r="AAO17">
        <v>20.255075420789002</v>
      </c>
      <c r="AAP17">
        <v>0</v>
      </c>
      <c r="AAQ17">
        <v>0</v>
      </c>
      <c r="AAR17">
        <v>0</v>
      </c>
      <c r="AAS17">
        <v>0</v>
      </c>
      <c r="AAT17">
        <v>11568.806166688601</v>
      </c>
      <c r="AAU17">
        <v>17.6835222734809</v>
      </c>
      <c r="AAV17">
        <v>0</v>
      </c>
      <c r="AAW17">
        <v>0</v>
      </c>
      <c r="AAX17">
        <v>0</v>
      </c>
      <c r="AAY17">
        <v>0</v>
      </c>
      <c r="AAZ17">
        <v>325.64960628704398</v>
      </c>
      <c r="ABA17">
        <v>20.371032405711698</v>
      </c>
      <c r="ABB17">
        <v>0</v>
      </c>
      <c r="ABC17">
        <v>0</v>
      </c>
      <c r="ABD17">
        <v>0</v>
      </c>
      <c r="ABE17">
        <v>0</v>
      </c>
      <c r="ABF17">
        <v>0</v>
      </c>
      <c r="ABG17">
        <v>20.964613934691702</v>
      </c>
      <c r="ABH17">
        <v>0</v>
      </c>
      <c r="ABI17">
        <v>0</v>
      </c>
      <c r="ABJ17">
        <v>0</v>
      </c>
      <c r="ABK17">
        <v>0</v>
      </c>
      <c r="ABL17">
        <v>469.18604002487803</v>
      </c>
      <c r="ABM17">
        <v>20.390195918593101</v>
      </c>
      <c r="ABN17">
        <v>0</v>
      </c>
      <c r="ABO17">
        <v>0</v>
      </c>
      <c r="ABP17">
        <v>0</v>
      </c>
      <c r="ABQ17">
        <v>0</v>
      </c>
      <c r="ABR17">
        <v>314.09004843367097</v>
      </c>
      <c r="ABS17">
        <v>20.2384739497836</v>
      </c>
      <c r="ABT17">
        <v>0</v>
      </c>
      <c r="ABU17">
        <v>0</v>
      </c>
      <c r="ABV17">
        <v>0</v>
      </c>
      <c r="ABW17">
        <v>0</v>
      </c>
      <c r="ABX17">
        <v>11698.691699659001</v>
      </c>
      <c r="ABY17">
        <v>17.847737227655902</v>
      </c>
      <c r="ABZ17">
        <v>0</v>
      </c>
      <c r="ACA17">
        <v>0</v>
      </c>
      <c r="ACB17">
        <v>0</v>
      </c>
      <c r="ACC17">
        <v>0</v>
      </c>
      <c r="ACD17">
        <v>0</v>
      </c>
      <c r="ACE17">
        <v>0</v>
      </c>
      <c r="ACF17">
        <v>8.6875</v>
      </c>
      <c r="ACG17">
        <v>8.6875</v>
      </c>
      <c r="ACH17">
        <v>0</v>
      </c>
      <c r="ACI17">
        <v>0</v>
      </c>
      <c r="ACJ17">
        <v>0</v>
      </c>
      <c r="ACK17">
        <v>20.892476876737199</v>
      </c>
      <c r="ACL17">
        <v>20.892476876737199</v>
      </c>
      <c r="ACM17">
        <v>0</v>
      </c>
      <c r="ACN17">
        <v>94851.307274330306</v>
      </c>
      <c r="ACP17">
        <v>6273.5579976497102</v>
      </c>
      <c r="ACR17">
        <v>101124.86527198</v>
      </c>
      <c r="ACT17">
        <v>25.732886735109101</v>
      </c>
      <c r="ACU17">
        <v>22.869966117689799</v>
      </c>
      <c r="ACV17">
        <v>1.7</v>
      </c>
      <c r="ACW17">
        <v>1.4085746741649701</v>
      </c>
      <c r="ACX17">
        <v>0.663531164250171</v>
      </c>
      <c r="ACY17">
        <v>26.4537032206253</v>
      </c>
      <c r="ACZ17">
        <v>23.393107455070002</v>
      </c>
      <c r="ADA17">
        <v>1.7</v>
      </c>
      <c r="ADB17">
        <v>1.38861285594828</v>
      </c>
      <c r="ADC17">
        <v>0.66159964472909905</v>
      </c>
      <c r="ADD17">
        <v>26.706681311791801</v>
      </c>
      <c r="ADE17">
        <v>23.664881806975</v>
      </c>
      <c r="ADF17">
        <v>1.7</v>
      </c>
      <c r="ADG17">
        <v>1.3917632864655101</v>
      </c>
      <c r="ADH17">
        <v>0.66175839923452395</v>
      </c>
      <c r="ADI17">
        <v>24.441310511861399</v>
      </c>
      <c r="ADJ17">
        <v>24.441310511861399</v>
      </c>
      <c r="ADK17">
        <v>0</v>
      </c>
      <c r="ADL17">
        <v>0</v>
      </c>
      <c r="ADM17">
        <v>1</v>
      </c>
      <c r="ADN17">
        <v>24.315086907193201</v>
      </c>
      <c r="ADO17">
        <v>24.315086907193201</v>
      </c>
      <c r="ADP17">
        <v>0</v>
      </c>
      <c r="ADQ17">
        <v>0</v>
      </c>
      <c r="ADR17">
        <v>1</v>
      </c>
      <c r="ADS17">
        <v>24.761666017106698</v>
      </c>
      <c r="ADT17">
        <v>24.761666017106698</v>
      </c>
      <c r="ADU17">
        <v>0</v>
      </c>
      <c r="ADV17">
        <v>0</v>
      </c>
      <c r="ADW17">
        <v>1</v>
      </c>
      <c r="ADX17">
        <v>24.547271375871301</v>
      </c>
      <c r="ADY17">
        <v>24.547271375871301</v>
      </c>
      <c r="ADZ17">
        <v>0</v>
      </c>
      <c r="AEA17">
        <v>0</v>
      </c>
      <c r="AEB17">
        <v>1</v>
      </c>
      <c r="AEC17">
        <v>24.5045289371918</v>
      </c>
      <c r="AED17">
        <v>24.226380232228902</v>
      </c>
      <c r="AEE17">
        <v>0.85</v>
      </c>
      <c r="AEF17">
        <v>2.1549368627839498</v>
      </c>
      <c r="AEG17">
        <v>0.93703656587569095</v>
      </c>
      <c r="AEH17">
        <v>24.405805224679799</v>
      </c>
      <c r="AEI17">
        <v>24.1817113040786</v>
      </c>
      <c r="AEJ17">
        <v>0.85</v>
      </c>
      <c r="AEK17">
        <v>1.41258010396987</v>
      </c>
      <c r="AEL17">
        <v>0.94779519239647703</v>
      </c>
      <c r="AEM17">
        <v>24.741494038107099</v>
      </c>
      <c r="AEN17">
        <v>24.601916904019799</v>
      </c>
      <c r="AEO17">
        <v>0.42499999999999999</v>
      </c>
      <c r="AEP17">
        <v>1.2034643217460099</v>
      </c>
      <c r="AEQ17">
        <v>0.96649210994102497</v>
      </c>
      <c r="AER17">
        <v>24.5999344866248</v>
      </c>
      <c r="AES17">
        <v>24.2272062036356</v>
      </c>
      <c r="AET17">
        <v>1.2749999999999999</v>
      </c>
      <c r="AEU17">
        <v>2.4195032460976398</v>
      </c>
      <c r="AEV17">
        <v>0.91912187611227303</v>
      </c>
      <c r="AEW17">
        <v>24.531055862964799</v>
      </c>
      <c r="AEX17">
        <v>24.2267954642844</v>
      </c>
      <c r="AEY17">
        <v>0.85</v>
      </c>
      <c r="AEZ17">
        <v>1.8446635958927899</v>
      </c>
      <c r="AFA17">
        <v>0.93344565947074098</v>
      </c>
      <c r="AFB17">
        <v>24.679551200940399</v>
      </c>
      <c r="AFC17">
        <v>24.679551200940399</v>
      </c>
      <c r="AFD17">
        <v>0</v>
      </c>
      <c r="AFE17">
        <v>0</v>
      </c>
      <c r="AFF17">
        <v>1</v>
      </c>
      <c r="AFG17">
        <v>24.746165356257599</v>
      </c>
      <c r="AFH17">
        <v>24.466426327170598</v>
      </c>
      <c r="AFI17">
        <v>0.85</v>
      </c>
      <c r="AFJ17">
        <v>2.1028712703746799</v>
      </c>
      <c r="AFK17">
        <v>0.933428384205643</v>
      </c>
      <c r="AFL17">
        <v>24.6884536028127</v>
      </c>
      <c r="AFM17">
        <v>24.237499623924201</v>
      </c>
      <c r="AFN17">
        <v>1.2749999999999999</v>
      </c>
      <c r="AFO17">
        <v>1.99523509708547</v>
      </c>
      <c r="AFP17">
        <v>0.90499423396637402</v>
      </c>
      <c r="AFQ17">
        <v>6.5340186545924495E-2</v>
      </c>
      <c r="AFR17">
        <v>-1.23775051916013E-2</v>
      </c>
      <c r="AFS17">
        <v>1.23137937643794E-2</v>
      </c>
      <c r="AFT17">
        <v>-4.2072689988500701E-2</v>
      </c>
      <c r="AFU17">
        <v>-0.31999588248588301</v>
      </c>
      <c r="AFV17">
        <v>-0.38327517496628699</v>
      </c>
      <c r="AFW17">
        <v>-0.37837350265435099</v>
      </c>
      <c r="AFX17">
        <v>-0.368795006670459</v>
      </c>
      <c r="AFY17">
        <v>-0.321248869810497</v>
      </c>
      <c r="AFZ17">
        <v>-0.35354044972992299</v>
      </c>
      <c r="AGA17">
        <v>-0.348607957752671</v>
      </c>
      <c r="AGB17">
        <v>4.7802863879980201E-2</v>
      </c>
      <c r="AGC17">
        <v>-0.63737242861992305</v>
      </c>
      <c r="AGD17">
        <v>-0.49465991325992298</v>
      </c>
      <c r="AGE17">
        <v>-0.43349676600481402</v>
      </c>
      <c r="AGF17">
        <v>1</v>
      </c>
      <c r="AGG17">
        <v>1</v>
      </c>
      <c r="AGH17">
        <v>1</v>
      </c>
      <c r="AGI17">
        <v>1</v>
      </c>
      <c r="AGJ17">
        <v>0</v>
      </c>
      <c r="AGK17">
        <v>0</v>
      </c>
      <c r="AGL17">
        <v>0</v>
      </c>
      <c r="AGM17">
        <v>0</v>
      </c>
      <c r="AGN17">
        <v>0</v>
      </c>
      <c r="AGO17">
        <v>0</v>
      </c>
      <c r="AGP17">
        <v>0</v>
      </c>
      <c r="AGQ17">
        <v>0</v>
      </c>
      <c r="AGR17">
        <v>0</v>
      </c>
      <c r="AGS17">
        <v>0</v>
      </c>
      <c r="AGT17">
        <v>0</v>
      </c>
      <c r="AGU17">
        <v>0</v>
      </c>
      <c r="AGV17">
        <v>0</v>
      </c>
      <c r="AGW17">
        <v>0</v>
      </c>
      <c r="AGX17">
        <v>0</v>
      </c>
      <c r="AGY17">
        <v>0</v>
      </c>
      <c r="AGZ17">
        <v>0</v>
      </c>
      <c r="AHA17">
        <v>1</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Z17">
        <v>0</v>
      </c>
      <c r="AIB17">
        <v>0</v>
      </c>
      <c r="AID17">
        <v>0</v>
      </c>
      <c r="AIF17">
        <v>0</v>
      </c>
      <c r="AIH17">
        <v>0</v>
      </c>
      <c r="AIJ17">
        <v>0</v>
      </c>
      <c r="AIL17">
        <v>0</v>
      </c>
      <c r="AIN17">
        <v>0</v>
      </c>
      <c r="AIP17">
        <v>0</v>
      </c>
      <c r="AIR17">
        <v>0</v>
      </c>
      <c r="AIT17">
        <v>0</v>
      </c>
      <c r="AIV17">
        <v>0</v>
      </c>
      <c r="AIX17">
        <v>0</v>
      </c>
      <c r="AIZ17">
        <v>0</v>
      </c>
      <c r="AJB17">
        <v>0</v>
      </c>
      <c r="AJC17">
        <v>0</v>
      </c>
      <c r="AJE17">
        <v>-1.4766014392908101E-4</v>
      </c>
      <c r="AJH17">
        <v>6090.4010475995101</v>
      </c>
      <c r="AJJ17">
        <v>119.35028131780901</v>
      </c>
      <c r="AJK17">
        <v>5.5284253131339396</v>
      </c>
      <c r="AJL17">
        <v>10.5316760994682</v>
      </c>
      <c r="AJM17">
        <v>6.7803939373268598</v>
      </c>
      <c r="AJN17">
        <v>11.219337987032301</v>
      </c>
      <c r="AJO17">
        <v>0</v>
      </c>
      <c r="AJP17">
        <v>8.2107379274442707</v>
      </c>
      <c r="AJQ17">
        <v>11.660690490270699</v>
      </c>
      <c r="AJR17">
        <v>9.8754069777120694</v>
      </c>
      <c r="AJS17">
        <v>0</v>
      </c>
      <c r="AJT17">
        <v>0</v>
      </c>
      <c r="AJU17">
        <v>0</v>
      </c>
      <c r="AJV17">
        <v>0</v>
      </c>
      <c r="AJW17">
        <v>0</v>
      </c>
      <c r="AJX17">
        <v>0</v>
      </c>
      <c r="AJY17">
        <v>0</v>
      </c>
      <c r="AJZ17">
        <v>0</v>
      </c>
      <c r="AKA17">
        <v>0</v>
      </c>
      <c r="AKB17">
        <v>0</v>
      </c>
      <c r="AKC17">
        <v>0</v>
      </c>
      <c r="AKD17">
        <v>0</v>
      </c>
      <c r="AKE17">
        <v>70.162396350790203</v>
      </c>
      <c r="AKF17">
        <v>70.162396350790203</v>
      </c>
      <c r="AKG17">
        <v>0</v>
      </c>
      <c r="AKH17">
        <v>0</v>
      </c>
      <c r="AKI17">
        <v>0</v>
      </c>
      <c r="AKJ17">
        <v>0</v>
      </c>
      <c r="AKK17">
        <v>0</v>
      </c>
      <c r="AKL17">
        <v>70.162396350790203</v>
      </c>
      <c r="AKM17">
        <v>70.162396350790203</v>
      </c>
      <c r="AKN17">
        <v>0</v>
      </c>
      <c r="AKO17">
        <v>0</v>
      </c>
      <c r="AKP17">
        <v>0</v>
      </c>
      <c r="AKT17">
        <v>0</v>
      </c>
      <c r="AKX17">
        <v>0</v>
      </c>
      <c r="ALB17">
        <v>20.892476876737199</v>
      </c>
      <c r="ALC17">
        <v>20.892476876737199</v>
      </c>
      <c r="ALD17">
        <v>0</v>
      </c>
      <c r="ALE17">
        <v>0</v>
      </c>
      <c r="ALF17">
        <v>0</v>
      </c>
      <c r="ALH17">
        <v>8.6875000360459804</v>
      </c>
      <c r="ALI17">
        <v>6.7189740653402904E-3</v>
      </c>
      <c r="ALJ17">
        <v>3.3790636951532198</v>
      </c>
      <c r="ALK17">
        <v>8.6875</v>
      </c>
      <c r="ALL17">
        <v>3.3790636951532198</v>
      </c>
      <c r="ALM17">
        <v>0</v>
      </c>
      <c r="ALN17">
        <v>23.838656396551801</v>
      </c>
      <c r="ALO17">
        <v>8.8999629993103697E-3</v>
      </c>
      <c r="ALP17">
        <v>48.372609019506299</v>
      </c>
      <c r="ALQ17">
        <v>3.3790619504403701</v>
      </c>
      <c r="ALR17">
        <v>8.6875000360459804</v>
      </c>
      <c r="ALS17">
        <v>3.3790636951532198</v>
      </c>
      <c r="ALT17">
        <v>10.181825924784601</v>
      </c>
      <c r="ALU17">
        <v>3.3790636951532198</v>
      </c>
      <c r="ALV17">
        <v>12.2200383644412</v>
      </c>
      <c r="ALW17">
        <v>9.9999999999999897E-12</v>
      </c>
      <c r="ALX17">
        <v>8.6875</v>
      </c>
      <c r="ALY17">
        <v>9.9999999999999897E-12</v>
      </c>
      <c r="ALZ17">
        <v>0</v>
      </c>
      <c r="AMA17">
        <v>8.6875</v>
      </c>
      <c r="AMB17">
        <v>0</v>
      </c>
      <c r="AMC17">
        <v>8.6875</v>
      </c>
      <c r="AMD17">
        <v>0</v>
      </c>
      <c r="AME17">
        <v>8.6875</v>
      </c>
      <c r="AMF17">
        <v>0</v>
      </c>
      <c r="AMG17">
        <v>0</v>
      </c>
      <c r="AMH17">
        <v>3.3790636951532198</v>
      </c>
      <c r="AMI17">
        <v>19.452186924049698</v>
      </c>
      <c r="AMJ17">
        <v>0</v>
      </c>
      <c r="AMK17" s="580">
        <v>17.224137588128301</v>
      </c>
      <c r="AML17">
        <v>0.86607511999999998</v>
      </c>
      <c r="AMM17">
        <v>19.426603292438099</v>
      </c>
      <c r="AMN17">
        <v>0</v>
      </c>
      <c r="AMO17">
        <v>19.4545035990316</v>
      </c>
      <c r="AMP17">
        <v>0</v>
      </c>
      <c r="AMQ17">
        <v>19.5566943328216</v>
      </c>
      <c r="AMR17">
        <v>0</v>
      </c>
      <c r="AMS17">
        <v>17.4015546844096</v>
      </c>
      <c r="AMT17">
        <v>0.86607511999999998</v>
      </c>
      <c r="AMU17">
        <v>20.313206971035498</v>
      </c>
      <c r="AMV17">
        <v>6.9978501359710302E-2</v>
      </c>
      <c r="AMW17">
        <v>20.392043549902699</v>
      </c>
      <c r="AMX17">
        <v>0.124148797627344</v>
      </c>
      <c r="AMY17">
        <v>20.276364990489402</v>
      </c>
      <c r="AMZ17">
        <v>0.12068902603462001</v>
      </c>
      <c r="ANA17">
        <v>20.374783880877001</v>
      </c>
      <c r="ANB17">
        <v>8.5276799357857799E-2</v>
      </c>
      <c r="ANC17">
        <v>17.7133210133366</v>
      </c>
      <c r="AND17">
        <v>0.86607511999999998</v>
      </c>
      <c r="ANE17">
        <v>20.9114801671188</v>
      </c>
      <c r="ANF17">
        <v>0</v>
      </c>
      <c r="ANG17">
        <v>20.335576329225098</v>
      </c>
      <c r="ANH17">
        <v>0.10696597083140599</v>
      </c>
      <c r="ANI17">
        <v>20.197499563558001</v>
      </c>
      <c r="ANJ17">
        <v>0.111448654664257</v>
      </c>
      <c r="ANK17">
        <v>20.3821539323921</v>
      </c>
      <c r="ANL17">
        <v>0.16232884056517299</v>
      </c>
      <c r="ANM17">
        <v>0.86607511999999998</v>
      </c>
      <c r="ANN17">
        <v>1.2661682443795299</v>
      </c>
      <c r="ANO17">
        <v>1.2468185860608401</v>
      </c>
      <c r="ANP17">
        <v>17.224137588128301</v>
      </c>
      <c r="ANQ17">
        <v>19.426603292438099</v>
      </c>
      <c r="ANR17">
        <v>19.452186924049698</v>
      </c>
      <c r="ANS17">
        <v>19.5566943328216</v>
      </c>
      <c r="ANT17">
        <v>19.4545035990316</v>
      </c>
      <c r="ANU17">
        <v>17.4015546844096</v>
      </c>
      <c r="ANV17">
        <v>20.2810065120477</v>
      </c>
      <c r="ANW17">
        <v>20.3414397798214</v>
      </c>
      <c r="ANX17">
        <v>20.358548987953899</v>
      </c>
      <c r="ANY17">
        <v>20.238737302958999</v>
      </c>
      <c r="ANZ17">
        <v>17.7133210133366</v>
      </c>
      <c r="AOA17">
        <v>20.9114801671188</v>
      </c>
      <c r="AOB17">
        <v>20.288557100000599</v>
      </c>
      <c r="AOC17">
        <v>20.3529166077501</v>
      </c>
      <c r="AOD17">
        <v>20.161580110568799</v>
      </c>
      <c r="AOE17">
        <v>23.838656484372699</v>
      </c>
      <c r="AOF17">
        <v>3.3790636951532198</v>
      </c>
      <c r="AOG17">
        <v>23.8314455007318</v>
      </c>
      <c r="AOH17">
        <v>3.3790636951532198</v>
      </c>
    </row>
    <row r="18" spans="1:1074">
      <c r="A18" t="s">
        <v>2953</v>
      </c>
      <c r="B18">
        <v>8.6125000000000007</v>
      </c>
      <c r="D18">
        <v>8.2429298229466408</v>
      </c>
      <c r="F18">
        <v>5</v>
      </c>
      <c r="G18">
        <v>10048319.7473223</v>
      </c>
      <c r="H18">
        <v>23239408.985511798</v>
      </c>
      <c r="I18">
        <v>6381282.1239868198</v>
      </c>
      <c r="J18">
        <v>14758410.247721599</v>
      </c>
      <c r="K18">
        <v>10048319.7473223</v>
      </c>
      <c r="L18">
        <v>23239408.985511798</v>
      </c>
      <c r="M18">
        <v>6381282.12398683</v>
      </c>
      <c r="N18">
        <v>14758410.247721599</v>
      </c>
      <c r="O18">
        <v>51821142.324441098</v>
      </c>
      <c r="P18">
        <v>119850159.11690401</v>
      </c>
      <c r="Q18">
        <v>10048319.7473223</v>
      </c>
      <c r="R18">
        <v>23239408.985511798</v>
      </c>
      <c r="S18">
        <v>6381282.1239868198</v>
      </c>
      <c r="T18">
        <v>14758410.247721599</v>
      </c>
      <c r="U18">
        <v>10048319.7473223</v>
      </c>
      <c r="V18">
        <v>23239408.985511798</v>
      </c>
      <c r="W18">
        <v>6381282.12398683</v>
      </c>
      <c r="X18">
        <v>14758410.247721599</v>
      </c>
      <c r="Y18">
        <v>51821142.324441098</v>
      </c>
      <c r="Z18">
        <v>119850159.11690401</v>
      </c>
      <c r="AA18">
        <v>10048319.7473223</v>
      </c>
      <c r="AB18">
        <v>23239408.985511798</v>
      </c>
      <c r="AC18">
        <v>6381282.1239868198</v>
      </c>
      <c r="AD18">
        <v>14758410.247721599</v>
      </c>
      <c r="AE18">
        <v>10048319.7473223</v>
      </c>
      <c r="AF18">
        <v>23239408.985511798</v>
      </c>
      <c r="AG18">
        <v>6381282.12398683</v>
      </c>
      <c r="AH18">
        <v>14758410.247721599</v>
      </c>
      <c r="AI18">
        <v>51821142.324441098</v>
      </c>
      <c r="AJ18">
        <v>119850159.11690401</v>
      </c>
      <c r="AK18">
        <v>22.530417077666101</v>
      </c>
      <c r="AL18">
        <v>3758257.41675806</v>
      </c>
      <c r="AM18">
        <v>9733140.1775517706</v>
      </c>
      <c r="AN18">
        <v>22.530417077666101</v>
      </c>
      <c r="AO18">
        <v>3758257.41675806</v>
      </c>
      <c r="AP18">
        <v>9733140.1775517706</v>
      </c>
      <c r="AQ18">
        <v>14.3081581158871</v>
      </c>
      <c r="AR18">
        <v>2386717.5283001899</v>
      </c>
      <c r="AS18">
        <v>6181124.3060632199</v>
      </c>
      <c r="AT18">
        <v>14.3081581158871</v>
      </c>
      <c r="AU18">
        <v>2386717.5283001899</v>
      </c>
      <c r="AV18">
        <v>6181124.3060632199</v>
      </c>
      <c r="AW18">
        <v>22.530417077666101</v>
      </c>
      <c r="AX18">
        <v>3758257.41675806</v>
      </c>
      <c r="AY18">
        <v>9733140.1775517706</v>
      </c>
      <c r="AZ18">
        <v>22.530417077666101</v>
      </c>
      <c r="BA18">
        <v>3758257.41675806</v>
      </c>
      <c r="BB18">
        <v>9733140.1775517706</v>
      </c>
      <c r="BC18">
        <v>14.3081581158871</v>
      </c>
      <c r="BD18">
        <v>2386717.5283001899</v>
      </c>
      <c r="BE18">
        <v>6181124.3060632199</v>
      </c>
      <c r="BF18">
        <v>14.3081581158871</v>
      </c>
      <c r="BG18">
        <v>2386717.5283001899</v>
      </c>
      <c r="BH18">
        <v>6181124.3060632199</v>
      </c>
      <c r="BI18">
        <v>22.530417077666101</v>
      </c>
      <c r="BJ18">
        <v>3758257.41675806</v>
      </c>
      <c r="BK18">
        <v>9733140.1775517706</v>
      </c>
      <c r="BL18">
        <v>22.530417077666101</v>
      </c>
      <c r="BM18">
        <v>3758257.41675806</v>
      </c>
      <c r="BN18">
        <v>9733140.1775517706</v>
      </c>
      <c r="BO18">
        <v>14.3081581158871</v>
      </c>
      <c r="BP18">
        <v>2386717.5283001899</v>
      </c>
      <c r="BQ18">
        <v>6181124.3060632199</v>
      </c>
      <c r="BR18">
        <v>14.3081581158871</v>
      </c>
      <c r="BS18">
        <v>2386717.5283001899</v>
      </c>
      <c r="BT18">
        <v>6181124.3060632199</v>
      </c>
      <c r="BU18">
        <v>50195699.886944197</v>
      </c>
      <c r="BV18">
        <v>116.193749738297</v>
      </c>
      <c r="BW18">
        <v>19382065.597345799</v>
      </c>
      <c r="BX18">
        <v>50195699.886944197</v>
      </c>
      <c r="BY18">
        <v>116.193749738297</v>
      </c>
      <c r="BZ18">
        <v>19382065.597345799</v>
      </c>
      <c r="CA18">
        <v>50195699.886944197</v>
      </c>
      <c r="CB18">
        <v>116.193749738297</v>
      </c>
      <c r="CC18">
        <v>19382065.597345799</v>
      </c>
      <c r="CD18">
        <v>50195699.886944197</v>
      </c>
      <c r="CE18">
        <v>3395861.87171567</v>
      </c>
      <c r="CF18">
        <v>7717867.8902628897</v>
      </c>
      <c r="CG18">
        <v>3395861.87171567</v>
      </c>
      <c r="CH18">
        <v>7717867.8902628897</v>
      </c>
      <c r="CI18">
        <v>2156574.7510455502</v>
      </c>
      <c r="CJ18">
        <v>4901306.2523762397</v>
      </c>
      <c r="CK18">
        <v>2156574.75104554</v>
      </c>
      <c r="CL18">
        <v>4901306.2523762397</v>
      </c>
      <c r="CM18">
        <v>3395861.87171567</v>
      </c>
      <c r="CN18">
        <v>7717867.8902628897</v>
      </c>
      <c r="CO18">
        <v>3395861.87171567</v>
      </c>
      <c r="CP18">
        <v>7717867.8902628897</v>
      </c>
      <c r="CQ18">
        <v>2156574.7510455502</v>
      </c>
      <c r="CR18">
        <v>4901306.2523762397</v>
      </c>
      <c r="CS18">
        <v>2156574.75104554</v>
      </c>
      <c r="CT18">
        <v>4901306.2523762397</v>
      </c>
      <c r="CU18">
        <v>3395861.87171567</v>
      </c>
      <c r="CV18">
        <v>7717867.8902628897</v>
      </c>
      <c r="CW18">
        <v>3395861.87171567</v>
      </c>
      <c r="CX18">
        <v>7717867.8902628897</v>
      </c>
      <c r="CY18">
        <v>2156574.7510455502</v>
      </c>
      <c r="CZ18">
        <v>4901306.2523762397</v>
      </c>
      <c r="DA18">
        <v>2156574.75104554</v>
      </c>
      <c r="DB18">
        <v>4901306.2523762397</v>
      </c>
      <c r="DC18">
        <v>17513121.177818298</v>
      </c>
      <c r="DD18">
        <v>39802548.131405301</v>
      </c>
      <c r="DE18">
        <v>17513121.177818298</v>
      </c>
      <c r="DF18">
        <v>39802548.131405301</v>
      </c>
      <c r="DG18">
        <v>17513121.177818298</v>
      </c>
      <c r="DH18">
        <v>39802548.131405301</v>
      </c>
      <c r="DI18">
        <v>2894200.4588485798</v>
      </c>
      <c r="DJ18">
        <v>5788400.9176971698</v>
      </c>
      <c r="DK18">
        <v>2894200.4588485798</v>
      </c>
      <c r="DL18">
        <v>5788400.9176971698</v>
      </c>
      <c r="DM18">
        <v>1837989.8446410899</v>
      </c>
      <c r="DN18">
        <v>3675979.6892821798</v>
      </c>
      <c r="DO18">
        <v>1837989.8446410899</v>
      </c>
      <c r="DP18">
        <v>3675979.6892821798</v>
      </c>
      <c r="DQ18">
        <v>2894200.4588485798</v>
      </c>
      <c r="DR18">
        <v>5788400.9176971698</v>
      </c>
      <c r="DS18">
        <v>2894200.4588485798</v>
      </c>
      <c r="DT18">
        <v>5788400.9176971698</v>
      </c>
      <c r="DU18">
        <v>1837989.8446410899</v>
      </c>
      <c r="DV18">
        <v>3675979.6892821798</v>
      </c>
      <c r="DW18">
        <v>1837989.8446410899</v>
      </c>
      <c r="DX18">
        <v>3675979.6892821798</v>
      </c>
      <c r="DY18">
        <v>2894200.4588485798</v>
      </c>
      <c r="DZ18">
        <v>5788400.9176971698</v>
      </c>
      <c r="EA18">
        <v>2894200.4588485798</v>
      </c>
      <c r="EB18">
        <v>5788400.9176971698</v>
      </c>
      <c r="EC18">
        <v>1837989.8446410899</v>
      </c>
      <c r="ED18">
        <v>3675979.6892821798</v>
      </c>
      <c r="EE18">
        <v>1837989.8446410899</v>
      </c>
      <c r="EF18">
        <v>3675979.6892821798</v>
      </c>
      <c r="EG18">
        <v>14925955.549277</v>
      </c>
      <c r="EH18">
        <v>29851911.098554</v>
      </c>
      <c r="EI18">
        <v>14925955.549277</v>
      </c>
      <c r="EJ18">
        <v>29851911.098554</v>
      </c>
      <c r="EK18">
        <v>14925955.549277</v>
      </c>
      <c r="EL18">
        <v>29851911.098554</v>
      </c>
      <c r="EM18">
        <v>0</v>
      </c>
      <c r="EN18">
        <v>0</v>
      </c>
      <c r="EO18">
        <v>0</v>
      </c>
      <c r="EP18">
        <v>0</v>
      </c>
      <c r="EQ18">
        <v>0</v>
      </c>
      <c r="ER18">
        <v>0</v>
      </c>
      <c r="ES18">
        <v>0</v>
      </c>
      <c r="ET18">
        <v>0</v>
      </c>
      <c r="EU18">
        <v>0.18384486352613599</v>
      </c>
      <c r="EV18">
        <v>0</v>
      </c>
      <c r="EW18">
        <v>0</v>
      </c>
      <c r="EX18">
        <v>0</v>
      </c>
      <c r="EY18">
        <v>0.13594835688332599</v>
      </c>
      <c r="EZ18">
        <v>0</v>
      </c>
      <c r="FA18">
        <v>0</v>
      </c>
      <c r="FB18">
        <v>0.183897397242685</v>
      </c>
      <c r="FC18">
        <v>0</v>
      </c>
      <c r="FD18">
        <v>0</v>
      </c>
      <c r="FE18">
        <v>0</v>
      </c>
      <c r="FF18">
        <v>0</v>
      </c>
      <c r="FG18">
        <v>0</v>
      </c>
      <c r="FH18">
        <v>0</v>
      </c>
      <c r="FI18">
        <v>0</v>
      </c>
      <c r="FJ18">
        <v>0</v>
      </c>
      <c r="FK18">
        <v>0</v>
      </c>
      <c r="FL18">
        <v>0</v>
      </c>
      <c r="FM18">
        <v>0</v>
      </c>
      <c r="FN18">
        <v>0</v>
      </c>
      <c r="FO18">
        <v>1.8393852937962099E-2</v>
      </c>
      <c r="FP18">
        <v>0</v>
      </c>
      <c r="FQ18">
        <v>2.82843483038268E-3</v>
      </c>
      <c r="FR18">
        <v>0</v>
      </c>
      <c r="FS18">
        <v>0</v>
      </c>
      <c r="FT18">
        <v>0</v>
      </c>
      <c r="FU18">
        <v>16.9275585249922</v>
      </c>
      <c r="FV18">
        <v>0</v>
      </c>
      <c r="FW18">
        <v>0</v>
      </c>
      <c r="FX18">
        <v>3.4264427572460901E-3</v>
      </c>
      <c r="FY18">
        <v>1.8393852937962099E-2</v>
      </c>
      <c r="FZ18">
        <v>0</v>
      </c>
      <c r="GA18">
        <v>2.82843483038268E-3</v>
      </c>
      <c r="GB18">
        <v>-152.39156971265299</v>
      </c>
      <c r="GC18">
        <v>-372.055443934229</v>
      </c>
      <c r="GD18">
        <v>-455.35720926026499</v>
      </c>
      <c r="GE18">
        <v>-101.471722164149</v>
      </c>
      <c r="GF18">
        <v>-228.825530950955</v>
      </c>
      <c r="GG18">
        <v>-281.186301889795</v>
      </c>
      <c r="GH18">
        <v>-135.88003955094501</v>
      </c>
      <c r="GI18">
        <v>-372.14369318175</v>
      </c>
      <c r="GJ18">
        <v>-451.57716644068603</v>
      </c>
      <c r="GK18">
        <v>-91.589028787305807</v>
      </c>
      <c r="GL18">
        <v>-230.34171306421899</v>
      </c>
      <c r="GM18">
        <v>-282.11969273886399</v>
      </c>
      <c r="GN18">
        <v>-32.130059821278003</v>
      </c>
      <c r="GO18">
        <v>21.941073913227299</v>
      </c>
      <c r="GP18">
        <v>22.853637432886799</v>
      </c>
      <c r="GQ18">
        <v>120.10035789246901</v>
      </c>
      <c r="GR18">
        <v>-68.801364800122798</v>
      </c>
      <c r="GS18">
        <v>-760.48628504459498</v>
      </c>
      <c r="GT18">
        <v>-22.927058399586201</v>
      </c>
      <c r="GU18">
        <v>21.8683308148786</v>
      </c>
      <c r="GV18">
        <v>22.778278803340498</v>
      </c>
      <c r="GW18">
        <v>77.160179997713001</v>
      </c>
      <c r="GX18">
        <v>-41.356272589583497</v>
      </c>
      <c r="GY18">
        <v>-468.67184280946401</v>
      </c>
      <c r="GZ18">
        <v>-29.997898131920799</v>
      </c>
      <c r="HA18">
        <v>22.1177897383293</v>
      </c>
      <c r="HB18">
        <v>23.045972232800501</v>
      </c>
      <c r="HC18">
        <v>121.071328175674</v>
      </c>
      <c r="HD18">
        <v>-75.522536929271396</v>
      </c>
      <c r="HE18">
        <v>-788.79177774774803</v>
      </c>
      <c r="HF18">
        <v>-19.9985588484084</v>
      </c>
      <c r="HG18">
        <v>21.938205135219999</v>
      </c>
      <c r="HH18">
        <v>22.858600891580402</v>
      </c>
      <c r="HI18">
        <v>77.263911893676493</v>
      </c>
      <c r="HJ18">
        <v>-47.337566023872498</v>
      </c>
      <c r="HK18">
        <v>-497.34531936533801</v>
      </c>
      <c r="HL18">
        <v>-119.843649033066</v>
      </c>
      <c r="HM18">
        <v>24.013072792871601</v>
      </c>
      <c r="HN18">
        <v>24.408976098070902</v>
      </c>
      <c r="HO18">
        <v>-31.167249233263199</v>
      </c>
      <c r="HP18">
        <v>-244.152197379977</v>
      </c>
      <c r="HQ18">
        <v>23.1480381516607</v>
      </c>
      <c r="HR18">
        <v>-365.80567575383702</v>
      </c>
      <c r="HS18">
        <v>-88.6203127675373</v>
      </c>
      <c r="HT18">
        <v>24.013131334120899</v>
      </c>
      <c r="HU18">
        <v>24.422321776095799</v>
      </c>
      <c r="HV18">
        <v>-18.613421161964901</v>
      </c>
      <c r="HW18">
        <v>-161.68919015926701</v>
      </c>
      <c r="HX18">
        <v>23.111242963395501</v>
      </c>
      <c r="HY18">
        <v>-253.265848207955</v>
      </c>
      <c r="HZ18">
        <v>24.178488451692601</v>
      </c>
      <c r="IA18">
        <v>24.493435291112199</v>
      </c>
      <c r="IB18">
        <v>-51.221680181974399</v>
      </c>
      <c r="IC18">
        <v>-128.65240072318699</v>
      </c>
      <c r="ID18">
        <v>-278.61706444126099</v>
      </c>
      <c r="IE18">
        <v>23.390381276334601</v>
      </c>
      <c r="IF18">
        <v>-431.63850798729698</v>
      </c>
      <c r="IG18">
        <v>-8.7282980190314507</v>
      </c>
      <c r="IH18">
        <v>24.007291560225799</v>
      </c>
      <c r="II18">
        <v>24.4197750888789</v>
      </c>
      <c r="IJ18">
        <v>-22.031808473276801</v>
      </c>
      <c r="IK18">
        <v>-6.0629435920050696</v>
      </c>
      <c r="IL18">
        <v>-63.563673394322599</v>
      </c>
      <c r="IM18">
        <v>-131.53975076310201</v>
      </c>
      <c r="IN18">
        <v>23.114857765708699</v>
      </c>
      <c r="IO18">
        <v>1.12544720414293</v>
      </c>
      <c r="IP18">
        <v>-209.306864774117</v>
      </c>
      <c r="IQ18">
        <v>-69.071296921168695</v>
      </c>
      <c r="IR18">
        <v>-39.492519177084397</v>
      </c>
      <c r="IS18">
        <v>-50.833851366536003</v>
      </c>
      <c r="IT18">
        <v>-39.801286448210298</v>
      </c>
      <c r="IU18">
        <v>-4642.7323780983197</v>
      </c>
      <c r="IV18">
        <v>-38.198459504294298</v>
      </c>
      <c r="IW18">
        <v>22.194006086162101</v>
      </c>
      <c r="IX18">
        <v>23.1480381516607</v>
      </c>
      <c r="IY18">
        <v>80.324997637212604</v>
      </c>
      <c r="IZ18">
        <v>-147.003327575322</v>
      </c>
      <c r="JA18">
        <v>-958.65653898232199</v>
      </c>
      <c r="JB18">
        <v>-22.575188600489799</v>
      </c>
      <c r="JC18">
        <v>22.095649475445899</v>
      </c>
      <c r="JD18">
        <v>23.111242963395501</v>
      </c>
      <c r="JE18">
        <v>79.523292540627295</v>
      </c>
      <c r="JF18">
        <v>-65.957682323644306</v>
      </c>
      <c r="JG18">
        <v>-577.23122936782499</v>
      </c>
      <c r="JH18">
        <v>-26.009181531164899</v>
      </c>
      <c r="JI18">
        <v>22.345374143813199</v>
      </c>
      <c r="JJ18">
        <v>23.390381276334601</v>
      </c>
      <c r="JK18">
        <v>142.346271012752</v>
      </c>
      <c r="JL18">
        <v>-87.294222811731004</v>
      </c>
      <c r="JM18">
        <v>-911.44480983183905</v>
      </c>
      <c r="JN18">
        <v>-29.616512996164801</v>
      </c>
      <c r="JO18">
        <v>22.188510721312301</v>
      </c>
      <c r="JP18">
        <v>23.114857765708699</v>
      </c>
      <c r="JQ18">
        <v>0.853097196514921</v>
      </c>
      <c r="JR18">
        <v>34.262094713190997</v>
      </c>
      <c r="JS18">
        <v>1.30396358700405</v>
      </c>
      <c r="JT18">
        <v>-130.106007600114</v>
      </c>
      <c r="JU18">
        <v>-652.811849526846</v>
      </c>
      <c r="JV18">
        <v>-133.04682176533001</v>
      </c>
      <c r="JW18">
        <v>-279.99682401036603</v>
      </c>
      <c r="JX18">
        <v>-353.48612057762301</v>
      </c>
      <c r="JY18">
        <v>-89.086845861307495</v>
      </c>
      <c r="JZ18">
        <v>-168.452940317952</v>
      </c>
      <c r="KA18">
        <v>-241.090054047265</v>
      </c>
      <c r="KB18">
        <v>-122.567234980134</v>
      </c>
      <c r="KC18">
        <v>-274.12548541650102</v>
      </c>
      <c r="KD18">
        <v>-337.39955245019399</v>
      </c>
      <c r="KE18">
        <v>-76.064629747829201</v>
      </c>
      <c r="KF18">
        <v>21.692048870921401</v>
      </c>
      <c r="KG18">
        <v>-206.40028754089099</v>
      </c>
      <c r="KH18">
        <v>0.74202832555954101</v>
      </c>
      <c r="KI18">
        <v>-161.13756356763599</v>
      </c>
      <c r="KJ18">
        <v>-194.06137097323199</v>
      </c>
      <c r="KK18">
        <v>-17.6247837758429</v>
      </c>
      <c r="KL18">
        <v>22.508942395410099</v>
      </c>
      <c r="KM18">
        <v>23.286433449448101</v>
      </c>
      <c r="KN18">
        <v>140.699530460082</v>
      </c>
      <c r="KO18">
        <v>21.827858939370898</v>
      </c>
      <c r="KP18">
        <v>8.7701508885145092</v>
      </c>
      <c r="KQ18">
        <v>-21.953936890921899</v>
      </c>
      <c r="KR18">
        <v>-672.021160727189</v>
      </c>
      <c r="KS18">
        <v>-14.94639136382</v>
      </c>
      <c r="KT18">
        <v>22.3661208480287</v>
      </c>
      <c r="KU18">
        <v>23.254072414997999</v>
      </c>
      <c r="KV18">
        <v>108.259043103811</v>
      </c>
      <c r="KW18">
        <v>21.625365189983999</v>
      </c>
      <c r="KX18">
        <v>8.7440905491073906</v>
      </c>
      <c r="KY18">
        <v>-12.511057364893899</v>
      </c>
      <c r="KZ18">
        <v>-449.72766928931901</v>
      </c>
      <c r="LA18">
        <v>-17.052305246087101</v>
      </c>
      <c r="LB18">
        <v>22.720476231121701</v>
      </c>
      <c r="LC18">
        <v>23.4884906558284</v>
      </c>
      <c r="LD18">
        <v>130.80799851774401</v>
      </c>
      <c r="LE18">
        <v>22.034606503449101</v>
      </c>
      <c r="LF18">
        <v>8.77634486711408</v>
      </c>
      <c r="LG18">
        <v>-26.6649549307378</v>
      </c>
      <c r="LH18">
        <v>-680.02625147410595</v>
      </c>
      <c r="LI18">
        <v>-14.5810012763886</v>
      </c>
      <c r="LJ18">
        <v>22.534756569354499</v>
      </c>
      <c r="LK18">
        <v>23.261878334852501</v>
      </c>
      <c r="LL18">
        <v>66.929329827709395</v>
      </c>
      <c r="LM18">
        <v>21.861282414620099</v>
      </c>
      <c r="LN18">
        <v>8.6817332807874905</v>
      </c>
      <c r="LO18">
        <v>-31.1019908554706</v>
      </c>
      <c r="LP18">
        <v>-436.84694965440599</v>
      </c>
      <c r="LQ18">
        <v>-12.9366509848889</v>
      </c>
      <c r="LR18">
        <v>18.865932084724001</v>
      </c>
      <c r="LS18">
        <v>16.440999999999999</v>
      </c>
      <c r="LT18">
        <v>-237.88156615219799</v>
      </c>
      <c r="LU18">
        <v>-1517.2907632618401</v>
      </c>
      <c r="LV18">
        <v>20.209601630396499</v>
      </c>
      <c r="LW18">
        <v>22.312380802341199</v>
      </c>
      <c r="LX18">
        <v>265.93213043098899</v>
      </c>
      <c r="LY18">
        <v>-9.4632529984850802</v>
      </c>
      <c r="LZ18">
        <v>18.8468313556357</v>
      </c>
      <c r="MA18">
        <v>16.440999999999999</v>
      </c>
      <c r="MB18">
        <v>-148.44708251104601</v>
      </c>
      <c r="MC18">
        <v>-946.25852531422299</v>
      </c>
      <c r="MD18">
        <v>20.173394758251899</v>
      </c>
      <c r="ME18">
        <v>22.254239795941899</v>
      </c>
      <c r="MF18">
        <v>167.43137396493901</v>
      </c>
      <c r="MG18">
        <v>-11.8195777188414</v>
      </c>
      <c r="MH18">
        <v>18.927259269626798</v>
      </c>
      <c r="MI18">
        <v>16.440999999999999</v>
      </c>
      <c r="MJ18">
        <v>-252.348577108146</v>
      </c>
      <c r="MK18">
        <v>-1603.1975295863599</v>
      </c>
      <c r="ML18">
        <v>20.341940393193401</v>
      </c>
      <c r="MM18">
        <v>22.499808692614</v>
      </c>
      <c r="MN18">
        <v>278.091164304465</v>
      </c>
      <c r="MO18">
        <v>-7.9516110240094298</v>
      </c>
      <c r="MP18">
        <v>18.8538187979266</v>
      </c>
      <c r="MQ18">
        <v>16.440999999999999</v>
      </c>
      <c r="MR18">
        <v>-154.80073119418901</v>
      </c>
      <c r="MS18">
        <v>-983.85411364613105</v>
      </c>
      <c r="MT18">
        <v>20.226359300242599</v>
      </c>
      <c r="MU18">
        <v>22.332830457115399</v>
      </c>
      <c r="MV18">
        <v>172.025694491378</v>
      </c>
      <c r="MW18">
        <v>-13.5659599459545</v>
      </c>
      <c r="MX18">
        <v>20.889311837777498</v>
      </c>
      <c r="MY18">
        <v>21.174145239237799</v>
      </c>
      <c r="MZ18">
        <v>1.2158177006855599</v>
      </c>
      <c r="NA18">
        <v>-547.34868907071302</v>
      </c>
      <c r="NB18">
        <v>21.500686600957099</v>
      </c>
      <c r="NC18">
        <v>22.910201955012798</v>
      </c>
      <c r="ND18">
        <v>230.45296937030099</v>
      </c>
      <c r="NE18">
        <v>-12.8819567615054</v>
      </c>
      <c r="NF18">
        <v>20.886922650693801</v>
      </c>
      <c r="NG18">
        <v>21.109411524910801</v>
      </c>
      <c r="NH18">
        <v>-33.496241366857902</v>
      </c>
      <c r="NI18">
        <v>-384.38612672323399</v>
      </c>
      <c r="NJ18">
        <v>21.506147198254599</v>
      </c>
      <c r="NK18">
        <v>22.902085267985999</v>
      </c>
      <c r="NL18">
        <v>113.952191108951</v>
      </c>
      <c r="NM18">
        <v>-19.486933011189802</v>
      </c>
      <c r="NN18">
        <v>21.0630004420528</v>
      </c>
      <c r="NO18">
        <v>21.328221578908899</v>
      </c>
      <c r="NP18">
        <v>-81.794726410501099</v>
      </c>
      <c r="NQ18" s="35">
        <v>-668.28507879064603</v>
      </c>
      <c r="NR18" s="35">
        <v>21.712977437044199</v>
      </c>
      <c r="NS18">
        <v>23.157873817430399</v>
      </c>
      <c r="NT18">
        <v>161.91646998843899</v>
      </c>
      <c r="NU18">
        <v>-6.3449799235147104</v>
      </c>
      <c r="NV18">
        <v>20.8406346499163</v>
      </c>
      <c r="NW18">
        <v>21.1501482215665</v>
      </c>
      <c r="NX18" s="35">
        <v>1.7</v>
      </c>
      <c r="NY18">
        <v>31.1105485572511</v>
      </c>
      <c r="NZ18">
        <v>-330.61338560446598</v>
      </c>
      <c r="OA18">
        <v>21.474496184669999</v>
      </c>
      <c r="OB18">
        <v>22.881073766521599</v>
      </c>
      <c r="OC18">
        <v>1.7</v>
      </c>
      <c r="OD18">
        <v>182.04430929768401</v>
      </c>
      <c r="OE18">
        <v>1.7</v>
      </c>
      <c r="OF18">
        <v>1.7</v>
      </c>
      <c r="OG18">
        <v>-18.796064395013101</v>
      </c>
      <c r="OH18">
        <v>20.797105126329701</v>
      </c>
      <c r="OI18">
        <v>21.323228733352298</v>
      </c>
      <c r="OJ18">
        <v>-60.381729579085601</v>
      </c>
      <c r="OK18">
        <v>-631.435056950339</v>
      </c>
      <c r="OL18">
        <v>21.426907786012901</v>
      </c>
      <c r="OM18">
        <v>22.892923940803399</v>
      </c>
      <c r="ON18">
        <v>175.765027720641</v>
      </c>
      <c r="OO18">
        <v>-13.479054391448001</v>
      </c>
      <c r="OP18">
        <v>20.869984225220701</v>
      </c>
      <c r="OQ18">
        <v>21.216072192662299</v>
      </c>
      <c r="OR18">
        <v>-57.445153810202299</v>
      </c>
      <c r="OS18">
        <v>-459.32404818252502</v>
      </c>
      <c r="OT18">
        <v>21.5662229455267</v>
      </c>
      <c r="OU18">
        <v>22.9727698556819</v>
      </c>
      <c r="OV18">
        <v>108.341729708022</v>
      </c>
      <c r="OW18">
        <v>-17.864368130551998</v>
      </c>
      <c r="OX18">
        <v>20.942875218287799</v>
      </c>
      <c r="OY18">
        <v>21.4553396387909</v>
      </c>
      <c r="OZ18">
        <v>-52.435678649343998</v>
      </c>
      <c r="PA18">
        <v>-643.99198458878004</v>
      </c>
      <c r="PB18">
        <v>21.595625087086599</v>
      </c>
      <c r="PC18">
        <v>23.088135405287201</v>
      </c>
      <c r="PD18">
        <v>192.31521669012801</v>
      </c>
      <c r="PE18">
        <v>-8.9368996307667707</v>
      </c>
      <c r="PF18">
        <v>20.725552934096999</v>
      </c>
      <c r="PG18">
        <v>21.304691021719901</v>
      </c>
      <c r="PH18">
        <v>1.7</v>
      </c>
      <c r="PI18">
        <v>-2.8747522401673402</v>
      </c>
      <c r="PJ18">
        <v>-381.60479905268102</v>
      </c>
      <c r="PK18">
        <v>21.3826450620261</v>
      </c>
      <c r="PL18">
        <v>22.865573056973499</v>
      </c>
      <c r="PM18" s="35">
        <v>1.7</v>
      </c>
      <c r="PN18">
        <v>153.590627947028</v>
      </c>
      <c r="PO18">
        <v>22.753171729562698</v>
      </c>
      <c r="PP18">
        <v>22.692659292379499</v>
      </c>
      <c r="PQ18">
        <v>22.926289745670001</v>
      </c>
      <c r="PR18">
        <v>22.770375362793601</v>
      </c>
      <c r="PS18">
        <v>23.260278620916701</v>
      </c>
      <c r="PT18">
        <v>23.142993921459102</v>
      </c>
      <c r="PU18">
        <v>23.1263841283122</v>
      </c>
      <c r="PV18">
        <v>23.3688140903933</v>
      </c>
      <c r="PW18">
        <v>23.109599853159899</v>
      </c>
      <c r="PX18">
        <v>24.0767436330013</v>
      </c>
      <c r="PY18">
        <v>23.158864119289401</v>
      </c>
      <c r="PZ18">
        <v>23.1796435842177</v>
      </c>
      <c r="QA18">
        <v>23.325873259093399</v>
      </c>
      <c r="QB18">
        <v>23.124742896777501</v>
      </c>
      <c r="QC18">
        <v>24.270481179997802</v>
      </c>
      <c r="QD18">
        <v>21.0246665287357</v>
      </c>
      <c r="QE18">
        <v>23.2045384760535</v>
      </c>
      <c r="QF18">
        <v>23.1197030185701</v>
      </c>
      <c r="QG18">
        <v>23.371201331483299</v>
      </c>
      <c r="QH18">
        <v>23.185411601117099</v>
      </c>
      <c r="QI18">
        <v>24.557376612257102</v>
      </c>
      <c r="QJ18">
        <v>23.501697474005301</v>
      </c>
      <c r="QK18">
        <v>23.493246699692399</v>
      </c>
      <c r="QL18">
        <v>23.727003076959999</v>
      </c>
      <c r="QM18">
        <v>23.3580672053398</v>
      </c>
      <c r="QN18">
        <v>-835.14643396480699</v>
      </c>
      <c r="QO18">
        <v>25.432866211979999</v>
      </c>
      <c r="QP18">
        <v>-5346.0271811438997</v>
      </c>
      <c r="QQ18">
        <v>23.554023691112501</v>
      </c>
      <c r="QR18">
        <v>23.517033867950602</v>
      </c>
      <c r="QS18">
        <v>23.696596876684801</v>
      </c>
      <c r="QT18">
        <v>23.438500927028802</v>
      </c>
      <c r="QU18">
        <v>25.583515092152801</v>
      </c>
      <c r="QV18">
        <v>18.676323322833198</v>
      </c>
      <c r="QW18">
        <v>681553.32215046696</v>
      </c>
      <c r="QX18">
        <v>0</v>
      </c>
      <c r="QY18">
        <v>457666.54456759599</v>
      </c>
      <c r="QZ18">
        <v>0</v>
      </c>
      <c r="RA18">
        <v>49595.468059241997</v>
      </c>
      <c r="RB18">
        <v>0</v>
      </c>
      <c r="RC18">
        <v>32716.704219792398</v>
      </c>
      <c r="RD18">
        <v>0</v>
      </c>
      <c r="RE18">
        <v>154630.917274304</v>
      </c>
      <c r="RF18">
        <v>0</v>
      </c>
      <c r="RG18">
        <v>115952.78703319799</v>
      </c>
      <c r="RH18" s="35">
        <v>0</v>
      </c>
      <c r="RI18">
        <v>0</v>
      </c>
      <c r="RJ18" s="35">
        <v>0</v>
      </c>
      <c r="RK18">
        <v>23.655905222544298</v>
      </c>
      <c r="RL18">
        <v>0</v>
      </c>
      <c r="RM18" s="35">
        <v>-3717.0693423645398</v>
      </c>
      <c r="RN18">
        <v>407.124253641905</v>
      </c>
      <c r="RO18" s="35">
        <v>0</v>
      </c>
      <c r="RP18">
        <v>0</v>
      </c>
      <c r="RQ18" s="35">
        <v>23.5467467447606</v>
      </c>
      <c r="RR18" s="35">
        <v>0</v>
      </c>
      <c r="RS18">
        <v>-2258.6664830362902</v>
      </c>
      <c r="RT18">
        <v>361.84503023254399</v>
      </c>
      <c r="RU18">
        <v>0</v>
      </c>
      <c r="RV18">
        <v>0</v>
      </c>
      <c r="RW18">
        <v>23.8161129172966</v>
      </c>
      <c r="RX18">
        <v>0</v>
      </c>
      <c r="RY18">
        <v>-3922.7557071474498</v>
      </c>
      <c r="RZ18">
        <v>199.09017237362201</v>
      </c>
      <c r="SA18">
        <v>0</v>
      </c>
      <c r="SB18">
        <v>0</v>
      </c>
      <c r="SC18">
        <v>23.600447839440498</v>
      </c>
      <c r="SD18">
        <v>0</v>
      </c>
      <c r="SE18">
        <v>-2287.8290905926101</v>
      </c>
      <c r="SF18">
        <v>332.02803448437101</v>
      </c>
      <c r="SG18">
        <v>0</v>
      </c>
      <c r="SH18">
        <v>8964.9107497060195</v>
      </c>
      <c r="SI18">
        <v>25.854474603597499</v>
      </c>
      <c r="SJ18">
        <v>-2195.5342752799002</v>
      </c>
      <c r="SK18">
        <v>-23092.1195145612</v>
      </c>
      <c r="SL18">
        <v>-2195.5342752799002</v>
      </c>
      <c r="SM18">
        <v>21.1111</v>
      </c>
      <c r="SN18">
        <v>23.8889</v>
      </c>
      <c r="SO18">
        <v>0</v>
      </c>
      <c r="SP18">
        <v>0</v>
      </c>
      <c r="SQ18">
        <v>21.485602284150101</v>
      </c>
      <c r="SR18">
        <v>0</v>
      </c>
      <c r="SS18">
        <v>0</v>
      </c>
      <c r="ST18">
        <v>0</v>
      </c>
      <c r="SU18">
        <v>0</v>
      </c>
      <c r="SV18">
        <v>0</v>
      </c>
      <c r="SW18">
        <v>21.409774231163599</v>
      </c>
      <c r="SX18">
        <v>0</v>
      </c>
      <c r="SY18">
        <v>0</v>
      </c>
      <c r="SZ18">
        <v>0</v>
      </c>
      <c r="TA18">
        <v>0</v>
      </c>
      <c r="TB18">
        <v>0</v>
      </c>
      <c r="TC18">
        <v>21.654110773507401</v>
      </c>
      <c r="TD18">
        <v>0</v>
      </c>
      <c r="TE18">
        <v>0</v>
      </c>
      <c r="TF18">
        <v>0</v>
      </c>
      <c r="TG18">
        <v>0</v>
      </c>
      <c r="TH18">
        <v>0</v>
      </c>
      <c r="TI18">
        <v>21.474762554170201</v>
      </c>
      <c r="TJ18">
        <v>0</v>
      </c>
      <c r="TK18">
        <v>0</v>
      </c>
      <c r="TL18">
        <v>0</v>
      </c>
      <c r="TM18">
        <v>2590.6015335502402</v>
      </c>
      <c r="TN18">
        <v>0</v>
      </c>
      <c r="TO18">
        <v>23.364126630672299</v>
      </c>
      <c r="TP18">
        <v>0</v>
      </c>
      <c r="TQ18">
        <v>0</v>
      </c>
      <c r="TR18">
        <v>0</v>
      </c>
      <c r="TS18">
        <v>0</v>
      </c>
      <c r="TT18">
        <v>156.353965679395</v>
      </c>
      <c r="TU18">
        <v>23.860401026551401</v>
      </c>
      <c r="TV18">
        <v>-183.03857820169301</v>
      </c>
      <c r="TW18">
        <v>-4301.6836600649003</v>
      </c>
      <c r="TX18">
        <v>-183.03857820169301</v>
      </c>
      <c r="TY18">
        <v>0</v>
      </c>
      <c r="TZ18">
        <v>0</v>
      </c>
      <c r="UA18">
        <v>23.860109271072599</v>
      </c>
      <c r="UB18">
        <v>-100.077962282401</v>
      </c>
      <c r="UC18">
        <v>-2628.75682076866</v>
      </c>
      <c r="UD18">
        <v>-12.120128826652</v>
      </c>
      <c r="UE18">
        <v>0</v>
      </c>
      <c r="UF18">
        <v>0</v>
      </c>
      <c r="UG18">
        <v>24.085192063526701</v>
      </c>
      <c r="UH18">
        <v>-243.68045776794</v>
      </c>
      <c r="UI18">
        <v>-4358.24578104786</v>
      </c>
      <c r="UJ18">
        <v>-243.68045776794</v>
      </c>
      <c r="UK18">
        <v>0</v>
      </c>
      <c r="UL18">
        <v>155.75035289542001</v>
      </c>
      <c r="UM18">
        <v>23.606534557519801</v>
      </c>
      <c r="UN18">
        <v>-261.74343475937701</v>
      </c>
      <c r="UO18">
        <v>-3412.55786218908</v>
      </c>
      <c r="UP18">
        <v>-261.74343475937701</v>
      </c>
      <c r="UQ18">
        <v>0</v>
      </c>
      <c r="UR18">
        <v>8717.0226456471592</v>
      </c>
      <c r="US18">
        <v>26.788988790958701</v>
      </c>
      <c r="UT18">
        <v>-7610.1728348265196</v>
      </c>
      <c r="UU18">
        <v>-27969.763249083</v>
      </c>
      <c r="UV18">
        <v>-7610.1728348265196</v>
      </c>
      <c r="UW18">
        <v>21.1111</v>
      </c>
      <c r="UX18">
        <v>23.8889</v>
      </c>
      <c r="UY18">
        <v>95.350807023797003</v>
      </c>
      <c r="UZ18">
        <v>0</v>
      </c>
      <c r="VA18">
        <v>21.7863870655254</v>
      </c>
      <c r="VB18">
        <v>0</v>
      </c>
      <c r="VC18">
        <v>0</v>
      </c>
      <c r="VD18">
        <v>0</v>
      </c>
      <c r="VE18">
        <v>0</v>
      </c>
      <c r="VF18">
        <v>0</v>
      </c>
      <c r="VG18">
        <v>21.557335373351499</v>
      </c>
      <c r="VH18">
        <v>0</v>
      </c>
      <c r="VI18">
        <v>0</v>
      </c>
      <c r="VJ18">
        <v>0</v>
      </c>
      <c r="VK18">
        <v>0</v>
      </c>
      <c r="VL18">
        <v>0</v>
      </c>
      <c r="VM18">
        <v>21.826323325421502</v>
      </c>
      <c r="VN18">
        <v>0</v>
      </c>
      <c r="VO18">
        <v>0</v>
      </c>
      <c r="VP18">
        <v>0</v>
      </c>
      <c r="VQ18">
        <v>76.192295917236194</v>
      </c>
      <c r="VR18">
        <v>0</v>
      </c>
      <c r="VS18">
        <v>21.861638794887501</v>
      </c>
      <c r="VT18">
        <v>0</v>
      </c>
      <c r="VU18">
        <v>0</v>
      </c>
      <c r="VV18">
        <v>0</v>
      </c>
      <c r="VW18">
        <v>2761.0492633038498</v>
      </c>
      <c r="VX18">
        <v>0</v>
      </c>
      <c r="VY18">
        <v>23.812895567588399</v>
      </c>
      <c r="VZ18">
        <v>0</v>
      </c>
      <c r="WA18">
        <v>0</v>
      </c>
      <c r="WB18">
        <v>0</v>
      </c>
      <c r="WC18">
        <v>0</v>
      </c>
      <c r="WD18">
        <v>0</v>
      </c>
      <c r="WE18">
        <v>23.949183262935598</v>
      </c>
      <c r="WF18">
        <v>-231.96358415023099</v>
      </c>
      <c r="WG18">
        <v>-4263.65493203807</v>
      </c>
      <c r="WH18">
        <v>-144.40113210494599</v>
      </c>
      <c r="WI18">
        <v>0</v>
      </c>
      <c r="WJ18">
        <v>0</v>
      </c>
      <c r="WK18">
        <v>0</v>
      </c>
      <c r="WL18">
        <v>23.8544241516834</v>
      </c>
      <c r="WM18">
        <v>-18.101210155569799</v>
      </c>
      <c r="WN18">
        <v>-2550.5202336273201</v>
      </c>
      <c r="WO18">
        <v>71.565050678095801</v>
      </c>
      <c r="WP18">
        <v>21.1111</v>
      </c>
      <c r="WQ18">
        <v>23.8889</v>
      </c>
      <c r="WR18">
        <v>0</v>
      </c>
      <c r="WS18">
        <v>0</v>
      </c>
      <c r="WT18">
        <v>24.067320494276199</v>
      </c>
      <c r="WU18">
        <v>-278.94766218039098</v>
      </c>
      <c r="WV18">
        <v>-4389.7059554259104</v>
      </c>
      <c r="WW18">
        <v>-273.01073569700202</v>
      </c>
      <c r="WX18">
        <v>0</v>
      </c>
      <c r="WY18">
        <v>0</v>
      </c>
      <c r="WZ18">
        <v>0</v>
      </c>
      <c r="XA18">
        <v>23.752258957280102</v>
      </c>
      <c r="XB18">
        <v>-124.708288229842</v>
      </c>
      <c r="XC18">
        <v>-2737.2986325296201</v>
      </c>
      <c r="XD18">
        <v>-8.0955781280081691</v>
      </c>
      <c r="XE18">
        <v>0</v>
      </c>
      <c r="XF18">
        <v>9354.7968271304107</v>
      </c>
      <c r="XG18">
        <v>26.8965490043079</v>
      </c>
      <c r="XH18">
        <v>-9266.1767251598903</v>
      </c>
      <c r="XI18">
        <v>-29771.016608890601</v>
      </c>
      <c r="XJ18">
        <v>-9266.1767251598903</v>
      </c>
      <c r="XK18">
        <v>21.1111</v>
      </c>
      <c r="XL18">
        <v>23.8889</v>
      </c>
      <c r="XM18">
        <v>0</v>
      </c>
      <c r="XN18">
        <v>0</v>
      </c>
      <c r="XO18">
        <v>21.866801247093399</v>
      </c>
      <c r="XP18">
        <v>0</v>
      </c>
      <c r="XQ18">
        <v>0</v>
      </c>
      <c r="XR18">
        <v>0</v>
      </c>
      <c r="XS18">
        <v>0</v>
      </c>
      <c r="XT18">
        <v>0</v>
      </c>
      <c r="XU18">
        <v>21.712093486897601</v>
      </c>
      <c r="XV18">
        <v>0</v>
      </c>
      <c r="XW18">
        <v>0</v>
      </c>
      <c r="XX18">
        <v>0</v>
      </c>
      <c r="XY18">
        <v>0</v>
      </c>
      <c r="XZ18">
        <v>0</v>
      </c>
      <c r="YA18">
        <v>22.0839790755217</v>
      </c>
      <c r="YB18">
        <v>0</v>
      </c>
      <c r="YC18">
        <v>0</v>
      </c>
      <c r="YD18">
        <v>0</v>
      </c>
      <c r="YE18">
        <v>0</v>
      </c>
      <c r="YF18">
        <v>0</v>
      </c>
      <c r="YG18">
        <v>21.948071491660599</v>
      </c>
      <c r="YH18">
        <v>0</v>
      </c>
      <c r="YI18">
        <v>0</v>
      </c>
      <c r="YJ18">
        <v>0</v>
      </c>
      <c r="YK18">
        <v>2238.7551556881599</v>
      </c>
      <c r="YL18">
        <v>0</v>
      </c>
      <c r="YM18">
        <v>24.801888615859198</v>
      </c>
      <c r="YN18">
        <v>0</v>
      </c>
      <c r="YO18">
        <v>0</v>
      </c>
      <c r="YP18">
        <v>0</v>
      </c>
      <c r="YQ18">
        <v>0</v>
      </c>
      <c r="YR18">
        <v>0</v>
      </c>
      <c r="YS18">
        <v>19.507102962530201</v>
      </c>
      <c r="YT18">
        <v>0</v>
      </c>
      <c r="YU18">
        <v>0</v>
      </c>
      <c r="YV18">
        <v>0</v>
      </c>
      <c r="YW18">
        <v>0</v>
      </c>
      <c r="YX18">
        <v>0</v>
      </c>
      <c r="YY18">
        <v>19.477089307934602</v>
      </c>
      <c r="YZ18">
        <v>0</v>
      </c>
      <c r="ZA18">
        <v>0</v>
      </c>
      <c r="ZB18">
        <v>0</v>
      </c>
      <c r="ZC18">
        <v>0</v>
      </c>
      <c r="ZD18">
        <v>0</v>
      </c>
      <c r="ZE18">
        <v>19.604895094151999</v>
      </c>
      <c r="ZF18">
        <v>0</v>
      </c>
      <c r="ZG18">
        <v>0</v>
      </c>
      <c r="ZH18">
        <v>0</v>
      </c>
      <c r="ZI18">
        <v>0</v>
      </c>
      <c r="ZJ18">
        <v>0</v>
      </c>
      <c r="ZK18">
        <v>19.510107677491799</v>
      </c>
      <c r="ZL18">
        <v>0</v>
      </c>
      <c r="ZM18">
        <v>0</v>
      </c>
      <c r="ZN18">
        <v>0</v>
      </c>
      <c r="ZO18">
        <v>0</v>
      </c>
      <c r="ZP18">
        <v>7277.6344179809603</v>
      </c>
      <c r="ZQ18">
        <v>17.3995675729896</v>
      </c>
      <c r="ZR18">
        <v>0</v>
      </c>
      <c r="ZS18">
        <v>0</v>
      </c>
      <c r="ZT18">
        <v>0</v>
      </c>
      <c r="ZU18">
        <v>0</v>
      </c>
      <c r="ZV18">
        <v>124.685354769387</v>
      </c>
      <c r="ZW18">
        <v>20.9980018515983</v>
      </c>
      <c r="ZX18">
        <v>0</v>
      </c>
      <c r="ZY18">
        <v>0</v>
      </c>
      <c r="ZZ18">
        <v>0</v>
      </c>
      <c r="AAA18">
        <v>0</v>
      </c>
      <c r="AAB18">
        <v>0</v>
      </c>
      <c r="AAC18">
        <v>21.150194023255601</v>
      </c>
      <c r="AAD18">
        <v>0</v>
      </c>
      <c r="AAE18">
        <v>0</v>
      </c>
      <c r="AAF18">
        <v>0</v>
      </c>
      <c r="AAG18">
        <v>0</v>
      </c>
      <c r="AAH18">
        <v>0</v>
      </c>
      <c r="AAI18">
        <v>21.3303424927627</v>
      </c>
      <c r="AAJ18">
        <v>0</v>
      </c>
      <c r="AAK18">
        <v>0</v>
      </c>
      <c r="AAL18">
        <v>0</v>
      </c>
      <c r="AAM18">
        <v>0</v>
      </c>
      <c r="AAN18">
        <v>72.034233322488006</v>
      </c>
      <c r="AAO18">
        <v>20.914727464533499</v>
      </c>
      <c r="AAP18">
        <v>0</v>
      </c>
      <c r="AAQ18">
        <v>0</v>
      </c>
      <c r="AAR18">
        <v>0</v>
      </c>
      <c r="AAS18">
        <v>0</v>
      </c>
      <c r="AAT18">
        <v>9196.5300720973901</v>
      </c>
      <c r="AAU18">
        <v>18.537481070496099</v>
      </c>
      <c r="AAV18">
        <v>0</v>
      </c>
      <c r="AAW18">
        <v>0</v>
      </c>
      <c r="AAX18">
        <v>0</v>
      </c>
      <c r="AAY18">
        <v>0</v>
      </c>
      <c r="AAZ18">
        <v>0</v>
      </c>
      <c r="ABA18">
        <v>21.063240618950399</v>
      </c>
      <c r="ABB18">
        <v>0</v>
      </c>
      <c r="ABC18">
        <v>0</v>
      </c>
      <c r="ABD18">
        <v>0</v>
      </c>
      <c r="ABE18">
        <v>0</v>
      </c>
      <c r="ABF18">
        <v>0</v>
      </c>
      <c r="ABG18">
        <v>21.1555036744221</v>
      </c>
      <c r="ABH18">
        <v>0</v>
      </c>
      <c r="ABI18">
        <v>0</v>
      </c>
      <c r="ABJ18">
        <v>0</v>
      </c>
      <c r="ABK18">
        <v>0</v>
      </c>
      <c r="ABL18">
        <v>0</v>
      </c>
      <c r="ABM18">
        <v>21.2184016172782</v>
      </c>
      <c r="ABN18">
        <v>0</v>
      </c>
      <c r="ABO18">
        <v>0</v>
      </c>
      <c r="ABP18">
        <v>0</v>
      </c>
      <c r="ABQ18">
        <v>0</v>
      </c>
      <c r="ABR18">
        <v>0</v>
      </c>
      <c r="ABS18">
        <v>20.9513233080975</v>
      </c>
      <c r="ABT18">
        <v>0</v>
      </c>
      <c r="ABU18">
        <v>0</v>
      </c>
      <c r="ABV18">
        <v>0</v>
      </c>
      <c r="ABW18">
        <v>0</v>
      </c>
      <c r="ABX18">
        <v>9330.9902091086806</v>
      </c>
      <c r="ABY18">
        <v>18.676323322833198</v>
      </c>
      <c r="ABZ18">
        <v>0</v>
      </c>
      <c r="ACA18">
        <v>0</v>
      </c>
      <c r="ACB18">
        <v>0</v>
      </c>
      <c r="ACC18">
        <v>0</v>
      </c>
      <c r="ACD18">
        <v>0</v>
      </c>
      <c r="ACE18">
        <v>0</v>
      </c>
      <c r="ACF18">
        <v>8.6125000000000007</v>
      </c>
      <c r="ACG18">
        <v>8.6125000000000007</v>
      </c>
      <c r="ACH18">
        <v>0</v>
      </c>
      <c r="ACI18">
        <v>0</v>
      </c>
      <c r="ACJ18">
        <v>0</v>
      </c>
      <c r="ACK18">
        <v>20.892476876737199</v>
      </c>
      <c r="ACL18">
        <v>20.892476876737199</v>
      </c>
      <c r="ACM18">
        <v>0</v>
      </c>
      <c r="ACN18">
        <v>94851.307274330306</v>
      </c>
      <c r="ACP18">
        <v>6542.4345365295203</v>
      </c>
      <c r="ACR18">
        <v>101393.74181086</v>
      </c>
      <c r="ACT18">
        <v>25.817480561165201</v>
      </c>
      <c r="ACU18">
        <v>22.977545380398201</v>
      </c>
      <c r="ACV18">
        <v>1.7</v>
      </c>
      <c r="ACW18">
        <v>1.41548933475129</v>
      </c>
      <c r="ACX18">
        <v>0.66283442400602499</v>
      </c>
      <c r="ACY18">
        <v>26.569483318009802</v>
      </c>
      <c r="ACZ18">
        <v>23.769880002348899</v>
      </c>
      <c r="ADA18">
        <v>1.7</v>
      </c>
      <c r="ADB18">
        <v>1.43447385441835</v>
      </c>
      <c r="ADC18">
        <v>0.65624687126316805</v>
      </c>
      <c r="ADD18">
        <v>26.738022952696198</v>
      </c>
      <c r="ADE18">
        <v>23.938590628152301</v>
      </c>
      <c r="ADF18">
        <v>1.7</v>
      </c>
      <c r="ADG18">
        <v>1.5837125450316401</v>
      </c>
      <c r="ADH18">
        <v>0.65613191883940203</v>
      </c>
      <c r="ADI18">
        <v>24.242147540235202</v>
      </c>
      <c r="ADJ18">
        <v>24.242147540235202</v>
      </c>
      <c r="ADK18">
        <v>0</v>
      </c>
      <c r="ADL18">
        <v>0</v>
      </c>
      <c r="ADM18">
        <v>1</v>
      </c>
      <c r="ADN18">
        <v>24.143534276041201</v>
      </c>
      <c r="ADO18">
        <v>24.143534276041201</v>
      </c>
      <c r="ADP18">
        <v>0</v>
      </c>
      <c r="ADQ18">
        <v>0</v>
      </c>
      <c r="ADR18">
        <v>1</v>
      </c>
      <c r="ADS18">
        <v>24.413451568839001</v>
      </c>
      <c r="ADT18">
        <v>24.413451568839001</v>
      </c>
      <c r="ADU18">
        <v>0</v>
      </c>
      <c r="ADV18">
        <v>0</v>
      </c>
      <c r="ADW18">
        <v>1</v>
      </c>
      <c r="ADX18">
        <v>24.213139574368199</v>
      </c>
      <c r="ADY18">
        <v>24.213139574368199</v>
      </c>
      <c r="ADZ18">
        <v>0</v>
      </c>
      <c r="AEA18">
        <v>0</v>
      </c>
      <c r="AEB18">
        <v>1</v>
      </c>
      <c r="AEC18">
        <v>24.4600424427543</v>
      </c>
      <c r="AED18">
        <v>24.4600424427543</v>
      </c>
      <c r="AEE18">
        <v>0</v>
      </c>
      <c r="AEF18">
        <v>0.79173533283083797</v>
      </c>
      <c r="AEG18">
        <v>1</v>
      </c>
      <c r="AEH18">
        <v>24.495027862638501</v>
      </c>
      <c r="AEI18">
        <v>24.495027862638501</v>
      </c>
      <c r="AEJ18">
        <v>0</v>
      </c>
      <c r="AEK18">
        <v>0</v>
      </c>
      <c r="AEL18">
        <v>1</v>
      </c>
      <c r="AEM18">
        <v>24.7556045013655</v>
      </c>
      <c r="AEN18">
        <v>24.7556045013655</v>
      </c>
      <c r="AEO18">
        <v>0</v>
      </c>
      <c r="AEP18">
        <v>0</v>
      </c>
      <c r="AEQ18">
        <v>1</v>
      </c>
      <c r="AER18">
        <v>24.4747943673949</v>
      </c>
      <c r="AES18">
        <v>24.273496803492598</v>
      </c>
      <c r="AET18">
        <v>0.42499999999999999</v>
      </c>
      <c r="AEU18">
        <v>0.59920536667631996</v>
      </c>
      <c r="AEV18">
        <v>0.95578338910621896</v>
      </c>
      <c r="AEW18">
        <v>24.573146349490202</v>
      </c>
      <c r="AEX18">
        <v>24.573146349490202</v>
      </c>
      <c r="AEY18">
        <v>0</v>
      </c>
      <c r="AEZ18">
        <v>0</v>
      </c>
      <c r="AFA18">
        <v>1</v>
      </c>
      <c r="AFB18">
        <v>24.517104934942001</v>
      </c>
      <c r="AFC18">
        <v>24.517104934942001</v>
      </c>
      <c r="AFD18">
        <v>0</v>
      </c>
      <c r="AFE18">
        <v>0</v>
      </c>
      <c r="AFF18">
        <v>1</v>
      </c>
      <c r="AFG18">
        <v>24.7163332851813</v>
      </c>
      <c r="AFH18">
        <v>24.7163332851813</v>
      </c>
      <c r="AFI18">
        <v>0</v>
      </c>
      <c r="AFJ18">
        <v>0</v>
      </c>
      <c r="AFK18">
        <v>1</v>
      </c>
      <c r="AFL18">
        <v>24.422856242678002</v>
      </c>
      <c r="AFM18">
        <v>24.422856242678002</v>
      </c>
      <c r="AFN18">
        <v>0</v>
      </c>
      <c r="AFO18">
        <v>0</v>
      </c>
      <c r="AFP18">
        <v>1</v>
      </c>
      <c r="AFQ18">
        <v>-5.0767511788533002E-3</v>
      </c>
      <c r="AFR18">
        <v>-5.3556398326227203E-2</v>
      </c>
      <c r="AFS18">
        <v>-5.7293782758917E-2</v>
      </c>
      <c r="AFT18">
        <v>-7.75752965960253E-2</v>
      </c>
      <c r="AFU18">
        <v>-0.24566875098666399</v>
      </c>
      <c r="AFV18">
        <v>-0.33071365164225103</v>
      </c>
      <c r="AFW18">
        <v>-0.36628748640975201</v>
      </c>
      <c r="AFX18">
        <v>-0.29866656344662201</v>
      </c>
      <c r="AFY18">
        <v>-0.25945603562342401</v>
      </c>
      <c r="AFZ18">
        <v>-0.28042345976678001</v>
      </c>
      <c r="AGA18">
        <v>-0.31722452692664599</v>
      </c>
      <c r="AGB18">
        <v>3.8829345275647201E-2</v>
      </c>
      <c r="AGC18">
        <v>-0.61309920940796703</v>
      </c>
      <c r="AGD18">
        <v>-0.42408522115368702</v>
      </c>
      <c r="AGE18">
        <v>-0.38079330434831699</v>
      </c>
      <c r="AGF18">
        <v>1</v>
      </c>
      <c r="AGG18">
        <v>1</v>
      </c>
      <c r="AGH18">
        <v>1</v>
      </c>
      <c r="AGI18">
        <v>1</v>
      </c>
      <c r="AGJ18">
        <v>0</v>
      </c>
      <c r="AGK18">
        <v>0</v>
      </c>
      <c r="AGL18">
        <v>0</v>
      </c>
      <c r="AGM18">
        <v>0</v>
      </c>
      <c r="AGN18">
        <v>0</v>
      </c>
      <c r="AGO18">
        <v>0</v>
      </c>
      <c r="AGP18">
        <v>0</v>
      </c>
      <c r="AGQ18">
        <v>0</v>
      </c>
      <c r="AGR18">
        <v>0</v>
      </c>
      <c r="AGS18">
        <v>0</v>
      </c>
      <c r="AGT18">
        <v>0</v>
      </c>
      <c r="AGU18">
        <v>0</v>
      </c>
      <c r="AGV18">
        <v>0</v>
      </c>
      <c r="AGW18">
        <v>0</v>
      </c>
      <c r="AGX18">
        <v>0</v>
      </c>
      <c r="AGY18">
        <v>0</v>
      </c>
      <c r="AGZ18">
        <v>0</v>
      </c>
      <c r="AHA18">
        <v>1</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Z18">
        <v>0</v>
      </c>
      <c r="AIB18">
        <v>0</v>
      </c>
      <c r="AID18">
        <v>0</v>
      </c>
      <c r="AIF18">
        <v>0</v>
      </c>
      <c r="AIH18">
        <v>0</v>
      </c>
      <c r="AIJ18">
        <v>0</v>
      </c>
      <c r="AIL18">
        <v>0</v>
      </c>
      <c r="AIN18">
        <v>0</v>
      </c>
      <c r="AIP18">
        <v>0</v>
      </c>
      <c r="AIR18">
        <v>0</v>
      </c>
      <c r="AIT18">
        <v>0</v>
      </c>
      <c r="AIV18">
        <v>0</v>
      </c>
      <c r="AIX18">
        <v>0</v>
      </c>
      <c r="AIZ18">
        <v>0</v>
      </c>
      <c r="AJB18">
        <v>0</v>
      </c>
      <c r="AJC18">
        <v>0</v>
      </c>
      <c r="AJE18">
        <v>-1.5079514451501601E-4</v>
      </c>
      <c r="AJH18">
        <v>6455.3152996748304</v>
      </c>
      <c r="AJJ18">
        <v>81.668539791249103</v>
      </c>
      <c r="AJK18">
        <v>0</v>
      </c>
      <c r="AJL18">
        <v>1.9085794588457601</v>
      </c>
      <c r="AJM18">
        <v>0</v>
      </c>
      <c r="AJN18">
        <v>3.5421176045916098</v>
      </c>
      <c r="AJO18">
        <v>0</v>
      </c>
      <c r="AJP18">
        <v>0</v>
      </c>
      <c r="AJQ18">
        <v>0</v>
      </c>
      <c r="AJR18">
        <v>0</v>
      </c>
      <c r="AJS18">
        <v>0</v>
      </c>
      <c r="AJT18">
        <v>0</v>
      </c>
      <c r="AJU18">
        <v>0</v>
      </c>
      <c r="AJV18">
        <v>0</v>
      </c>
      <c r="AJW18">
        <v>0</v>
      </c>
      <c r="AJX18">
        <v>0</v>
      </c>
      <c r="AJY18">
        <v>0</v>
      </c>
      <c r="AJZ18">
        <v>0</v>
      </c>
      <c r="AKA18">
        <v>0</v>
      </c>
      <c r="AKB18">
        <v>0</v>
      </c>
      <c r="AKC18">
        <v>0</v>
      </c>
      <c r="AKD18">
        <v>0</v>
      </c>
      <c r="AKE18">
        <v>70.162396350790203</v>
      </c>
      <c r="AKF18">
        <v>70.162396350790203</v>
      </c>
      <c r="AKG18">
        <v>0</v>
      </c>
      <c r="AKH18">
        <v>0</v>
      </c>
      <c r="AKI18">
        <v>0</v>
      </c>
      <c r="AKJ18">
        <v>0</v>
      </c>
      <c r="AKK18">
        <v>0</v>
      </c>
      <c r="AKL18">
        <v>70.162396350790203</v>
      </c>
      <c r="AKM18">
        <v>70.162396350790203</v>
      </c>
      <c r="AKN18">
        <v>0</v>
      </c>
      <c r="AKO18">
        <v>0</v>
      </c>
      <c r="AKP18">
        <v>0</v>
      </c>
      <c r="AKT18">
        <v>0</v>
      </c>
      <c r="AKX18">
        <v>0</v>
      </c>
      <c r="ALB18">
        <v>20.892476876737199</v>
      </c>
      <c r="ALC18">
        <v>20.892476876737199</v>
      </c>
      <c r="ALD18">
        <v>0</v>
      </c>
      <c r="ALE18">
        <v>0</v>
      </c>
      <c r="ALF18">
        <v>0</v>
      </c>
      <c r="ALH18">
        <v>8.6125000449465805</v>
      </c>
      <c r="ALI18">
        <v>6.6199580442128604E-3</v>
      </c>
      <c r="ALJ18">
        <v>2.7440626966105999</v>
      </c>
      <c r="ALK18">
        <v>8.6125000000000007</v>
      </c>
      <c r="ALL18">
        <v>2.7440626966105999</v>
      </c>
      <c r="ALM18">
        <v>0</v>
      </c>
      <c r="ALN18">
        <v>23.972268806018601</v>
      </c>
      <c r="ALO18">
        <v>8.7414781327015394E-3</v>
      </c>
      <c r="ALP18">
        <v>47.106897705516197</v>
      </c>
      <c r="ALQ18">
        <v>2.7440624489434202</v>
      </c>
      <c r="ALR18">
        <v>8.6125000449465805</v>
      </c>
      <c r="ALS18">
        <v>2.7440626966105999</v>
      </c>
      <c r="ALT18">
        <v>10.536540396633001</v>
      </c>
      <c r="ALU18">
        <v>2.7440626966105999</v>
      </c>
      <c r="ALV18">
        <v>12.2200383644412</v>
      </c>
      <c r="ALW18">
        <v>9.9999999999999897E-12</v>
      </c>
      <c r="ALX18">
        <v>8.6125000000000007</v>
      </c>
      <c r="ALY18">
        <v>9.9999999999999897E-12</v>
      </c>
      <c r="ALZ18">
        <v>0</v>
      </c>
      <c r="AMA18">
        <v>8.6125000000000007</v>
      </c>
      <c r="AMB18">
        <v>0</v>
      </c>
      <c r="AMC18">
        <v>8.6125000000000007</v>
      </c>
      <c r="AMD18">
        <v>0</v>
      </c>
      <c r="AME18">
        <v>8.6125000000000007</v>
      </c>
      <c r="AMF18">
        <v>0</v>
      </c>
      <c r="AMG18">
        <v>0</v>
      </c>
      <c r="AMH18">
        <v>2.7440626966105999</v>
      </c>
      <c r="AMI18">
        <v>19.5039200646968</v>
      </c>
      <c r="AMJ18">
        <v>0</v>
      </c>
      <c r="AMK18" s="580">
        <v>17.394497245478401</v>
      </c>
      <c r="AML18">
        <v>0.86607511999999998</v>
      </c>
      <c r="AMM18">
        <v>19.470249834633101</v>
      </c>
      <c r="AMN18">
        <v>0</v>
      </c>
      <c r="AMO18">
        <v>19.500361474165601</v>
      </c>
      <c r="AMP18">
        <v>0</v>
      </c>
      <c r="AMQ18">
        <v>19.600272131828799</v>
      </c>
      <c r="AMR18">
        <v>0</v>
      </c>
      <c r="AMS18">
        <v>18.426052295817598</v>
      </c>
      <c r="AMT18">
        <v>0.87117428123456597</v>
      </c>
      <c r="AMU18">
        <v>21.027593491048702</v>
      </c>
      <c r="AMV18">
        <v>0</v>
      </c>
      <c r="AMW18">
        <v>20.723984333101299</v>
      </c>
      <c r="AMX18">
        <v>2.7832031868041399E-2</v>
      </c>
      <c r="AMY18">
        <v>20.9030234339047</v>
      </c>
      <c r="AMZ18">
        <v>4.2657883497872903E-2</v>
      </c>
      <c r="ANA18">
        <v>21.281146720369101</v>
      </c>
      <c r="ANB18">
        <v>0</v>
      </c>
      <c r="ANC18">
        <v>18.598786028899699</v>
      </c>
      <c r="AND18">
        <v>0.93632313234293496</v>
      </c>
      <c r="ANE18">
        <v>21.111230936226001</v>
      </c>
      <c r="ANF18">
        <v>0</v>
      </c>
      <c r="ANG18">
        <v>20.7376257457599</v>
      </c>
      <c r="ANH18">
        <v>0</v>
      </c>
      <c r="ANI18">
        <v>20.9581430093818</v>
      </c>
      <c r="ANJ18">
        <v>0</v>
      </c>
      <c r="ANK18">
        <v>21.082721008479002</v>
      </c>
      <c r="ANL18">
        <v>0</v>
      </c>
      <c r="ANM18">
        <v>0.86607511999999998</v>
      </c>
      <c r="ANN18">
        <v>0.94166419660047995</v>
      </c>
      <c r="ANO18">
        <v>0.93632313234293496</v>
      </c>
      <c r="ANP18">
        <v>17.394497245478401</v>
      </c>
      <c r="ANQ18">
        <v>19.470249834633101</v>
      </c>
      <c r="ANR18">
        <v>19.5039200646968</v>
      </c>
      <c r="ANS18">
        <v>19.600272131828799</v>
      </c>
      <c r="ANT18">
        <v>19.500361474165601</v>
      </c>
      <c r="ANU18">
        <v>18.426052295817598</v>
      </c>
      <c r="ANV18">
        <v>21.027593491048702</v>
      </c>
      <c r="ANW18">
        <v>20.7099827668731</v>
      </c>
      <c r="ANX18">
        <v>21.281146720369101</v>
      </c>
      <c r="ANY18">
        <v>20.886069255790201</v>
      </c>
      <c r="ANZ18">
        <v>18.598786028899699</v>
      </c>
      <c r="AOA18">
        <v>21.111230936226001</v>
      </c>
      <c r="AOB18">
        <v>20.7376257457599</v>
      </c>
      <c r="AOC18">
        <v>21.082721008479002</v>
      </c>
      <c r="AOD18">
        <v>20.9581430093818</v>
      </c>
      <c r="AOE18">
        <v>23.9722687906389</v>
      </c>
      <c r="AOF18">
        <v>2.7440626966105999</v>
      </c>
      <c r="AOG18">
        <v>23.938338716262301</v>
      </c>
      <c r="AOH18">
        <v>2.7440626966105999</v>
      </c>
    </row>
    <row r="19" spans="1:1074">
      <c r="A19" t="s">
        <v>2954</v>
      </c>
      <c r="B19">
        <v>8.375</v>
      </c>
      <c r="D19">
        <v>7.9285650936596497</v>
      </c>
      <c r="F19">
        <v>5</v>
      </c>
      <c r="G19">
        <v>4681297.2041435102</v>
      </c>
      <c r="H19">
        <v>10577105.885052601</v>
      </c>
      <c r="I19">
        <v>2972902.8252540398</v>
      </c>
      <c r="J19">
        <v>6717092.8478652798</v>
      </c>
      <c r="K19">
        <v>4681297.2041435102</v>
      </c>
      <c r="L19">
        <v>10577105.885052601</v>
      </c>
      <c r="M19">
        <v>2972902.8252540398</v>
      </c>
      <c r="N19">
        <v>6717092.84786529</v>
      </c>
      <c r="O19">
        <v>24142361.5867294</v>
      </c>
      <c r="P19">
        <v>54548195.442930497</v>
      </c>
      <c r="Q19">
        <v>4681297.2041435102</v>
      </c>
      <c r="R19">
        <v>10577105.885052601</v>
      </c>
      <c r="S19">
        <v>2972902.8252540398</v>
      </c>
      <c r="T19">
        <v>6717092.8478652798</v>
      </c>
      <c r="U19">
        <v>4681297.2041435102</v>
      </c>
      <c r="V19">
        <v>10577105.885052601</v>
      </c>
      <c r="W19">
        <v>2972902.8252540398</v>
      </c>
      <c r="X19">
        <v>6717092.84786529</v>
      </c>
      <c r="Y19">
        <v>24142361.5867294</v>
      </c>
      <c r="Z19">
        <v>54548195.442930497</v>
      </c>
      <c r="AA19">
        <v>4681297.2041435102</v>
      </c>
      <c r="AB19">
        <v>10577105.885052601</v>
      </c>
      <c r="AC19">
        <v>2972902.8252540398</v>
      </c>
      <c r="AD19">
        <v>6717092.8478652798</v>
      </c>
      <c r="AE19">
        <v>4681297.2041435102</v>
      </c>
      <c r="AF19">
        <v>10577105.885052601</v>
      </c>
      <c r="AG19">
        <v>2972902.8252540398</v>
      </c>
      <c r="AH19">
        <v>6717092.84786529</v>
      </c>
      <c r="AI19">
        <v>24142361.5867294</v>
      </c>
      <c r="AJ19">
        <v>54548195.442930497</v>
      </c>
      <c r="AK19">
        <v>7.1148685508419396</v>
      </c>
      <c r="AL19">
        <v>1186818.13160781</v>
      </c>
      <c r="AM19">
        <v>3073623.21396372</v>
      </c>
      <c r="AN19">
        <v>7.1148685508419396</v>
      </c>
      <c r="AO19">
        <v>1186818.13160781</v>
      </c>
      <c r="AP19">
        <v>3073623.21396372</v>
      </c>
      <c r="AQ19">
        <v>4.5183657208064503</v>
      </c>
      <c r="AR19">
        <v>753700.27209479804</v>
      </c>
      <c r="AS19">
        <v>1951933.9913883901</v>
      </c>
      <c r="AT19">
        <v>4.5183657208064503</v>
      </c>
      <c r="AU19">
        <v>753700.27209479699</v>
      </c>
      <c r="AV19">
        <v>1951933.9913883901</v>
      </c>
      <c r="AW19">
        <v>7.1148685508419396</v>
      </c>
      <c r="AX19">
        <v>1186818.13160781</v>
      </c>
      <c r="AY19">
        <v>3073623.21396372</v>
      </c>
      <c r="AZ19">
        <v>7.1148685508419396</v>
      </c>
      <c r="BA19">
        <v>1186818.13160781</v>
      </c>
      <c r="BB19">
        <v>3073623.21396372</v>
      </c>
      <c r="BC19">
        <v>4.5183657208064503</v>
      </c>
      <c r="BD19">
        <v>753700.27209479804</v>
      </c>
      <c r="BE19">
        <v>1951933.9913883901</v>
      </c>
      <c r="BF19">
        <v>4.5183657208064503</v>
      </c>
      <c r="BG19">
        <v>753700.27209479699</v>
      </c>
      <c r="BH19">
        <v>1951933.9913883901</v>
      </c>
      <c r="BI19">
        <v>7.1148685508419396</v>
      </c>
      <c r="BJ19">
        <v>1186818.13160781</v>
      </c>
      <c r="BK19">
        <v>3073623.21396372</v>
      </c>
      <c r="BL19">
        <v>7.1148685508419396</v>
      </c>
      <c r="BM19">
        <v>1186818.13160781</v>
      </c>
      <c r="BN19">
        <v>3073623.21396372</v>
      </c>
      <c r="BO19">
        <v>4.5183657208064503</v>
      </c>
      <c r="BP19">
        <v>753700.27209479804</v>
      </c>
      <c r="BQ19">
        <v>1951933.9913883901</v>
      </c>
      <c r="BR19">
        <v>4.5183657208064503</v>
      </c>
      <c r="BS19">
        <v>753700.27209479699</v>
      </c>
      <c r="BT19">
        <v>1951933.9913883901</v>
      </c>
      <c r="BU19">
        <v>15851273.6485087</v>
      </c>
      <c r="BV19">
        <v>36.692763075251598</v>
      </c>
      <c r="BW19">
        <v>6120652.2938986598</v>
      </c>
      <c r="BX19">
        <v>15851273.6485087</v>
      </c>
      <c r="BY19">
        <v>36.692763075251598</v>
      </c>
      <c r="BZ19">
        <v>6120652.2938986598</v>
      </c>
      <c r="CA19">
        <v>15851273.6485087</v>
      </c>
      <c r="CB19">
        <v>36.692763075251598</v>
      </c>
      <c r="CC19">
        <v>6120652.2938986598</v>
      </c>
      <c r="CD19">
        <v>15851273.6485087</v>
      </c>
      <c r="CE19">
        <v>1886589.92873093</v>
      </c>
      <c r="CF19">
        <v>4287704.38347938</v>
      </c>
      <c r="CG19">
        <v>1886589.92873093</v>
      </c>
      <c r="CH19">
        <v>4287704.3834793903</v>
      </c>
      <c r="CI19">
        <v>1198097.0839141901</v>
      </c>
      <c r="CJ19">
        <v>2722947.9179868</v>
      </c>
      <c r="CK19">
        <v>1198097.0839141901</v>
      </c>
      <c r="CL19">
        <v>2722947.9179868</v>
      </c>
      <c r="CM19">
        <v>1886589.92873093</v>
      </c>
      <c r="CN19">
        <v>4287704.38347938</v>
      </c>
      <c r="CO19">
        <v>1886589.92873093</v>
      </c>
      <c r="CP19">
        <v>4287704.3834793903</v>
      </c>
      <c r="CQ19">
        <v>1198097.0839141901</v>
      </c>
      <c r="CR19">
        <v>2722947.9179868</v>
      </c>
      <c r="CS19">
        <v>1198097.0839141901</v>
      </c>
      <c r="CT19">
        <v>2722947.9179868</v>
      </c>
      <c r="CU19">
        <v>1886589.92873093</v>
      </c>
      <c r="CV19">
        <v>4287704.38347938</v>
      </c>
      <c r="CW19">
        <v>1886589.92873093</v>
      </c>
      <c r="CX19">
        <v>4287704.3834793903</v>
      </c>
      <c r="CY19">
        <v>1198097.0839141901</v>
      </c>
      <c r="CZ19">
        <v>2722947.9179868</v>
      </c>
      <c r="DA19">
        <v>1198097.0839141901</v>
      </c>
      <c r="DB19">
        <v>2722947.9179868</v>
      </c>
      <c r="DC19">
        <v>9729511.7654546406</v>
      </c>
      <c r="DD19">
        <v>22112526.739669599</v>
      </c>
      <c r="DE19">
        <v>9729511.7654546406</v>
      </c>
      <c r="DF19">
        <v>22112526.739669599</v>
      </c>
      <c r="DG19">
        <v>9729511.7654546406</v>
      </c>
      <c r="DH19">
        <v>22112526.739669599</v>
      </c>
      <c r="DI19">
        <v>1607889.14380477</v>
      </c>
      <c r="DJ19">
        <v>3215778.2876095399</v>
      </c>
      <c r="DK19">
        <v>1607889.14380477</v>
      </c>
      <c r="DL19">
        <v>3215778.2876095399</v>
      </c>
      <c r="DM19">
        <v>1021105.46924505</v>
      </c>
      <c r="DN19">
        <v>2042210.9384901</v>
      </c>
      <c r="DO19">
        <v>1021105.46924505</v>
      </c>
      <c r="DP19">
        <v>2042210.9384901</v>
      </c>
      <c r="DQ19">
        <v>1607889.14380477</v>
      </c>
      <c r="DR19">
        <v>3215778.2876095399</v>
      </c>
      <c r="DS19">
        <v>1607889.14380477</v>
      </c>
      <c r="DT19">
        <v>3215778.2876095399</v>
      </c>
      <c r="DU19">
        <v>1021105.46924505</v>
      </c>
      <c r="DV19">
        <v>2042210.9384901</v>
      </c>
      <c r="DW19">
        <v>1021105.46924505</v>
      </c>
      <c r="DX19">
        <v>2042210.9384901</v>
      </c>
      <c r="DY19">
        <v>1607889.14380477</v>
      </c>
      <c r="DZ19">
        <v>3215778.2876095399</v>
      </c>
      <c r="EA19">
        <v>1607889.14380477</v>
      </c>
      <c r="EB19">
        <v>3215778.2876095399</v>
      </c>
      <c r="EC19">
        <v>1021105.46924505</v>
      </c>
      <c r="ED19">
        <v>2042210.9384901</v>
      </c>
      <c r="EE19">
        <v>1021105.46924505</v>
      </c>
      <c r="EF19">
        <v>2042210.9384901</v>
      </c>
      <c r="EG19">
        <v>8292197.5273761097</v>
      </c>
      <c r="EH19">
        <v>16584395.054752201</v>
      </c>
      <c r="EI19">
        <v>8292197.5273761097</v>
      </c>
      <c r="EJ19">
        <v>16584395.054752201</v>
      </c>
      <c r="EK19">
        <v>8292197.5273761097</v>
      </c>
      <c r="EL19">
        <v>16584395.054752201</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-84.748924304759896</v>
      </c>
      <c r="GC19">
        <v>-206.13156532999801</v>
      </c>
      <c r="GD19">
        <v>-225.03384128554899</v>
      </c>
      <c r="GE19">
        <v>-55.653782112205199</v>
      </c>
      <c r="GF19">
        <v>-126.49089605643501</v>
      </c>
      <c r="GG19">
        <v>-137.514867347983</v>
      </c>
      <c r="GH19">
        <v>-76.594119579478303</v>
      </c>
      <c r="GI19">
        <v>-200.024372919798</v>
      </c>
      <c r="GJ19">
        <v>-218.255035284814</v>
      </c>
      <c r="GK19">
        <v>-50.107961528459697</v>
      </c>
      <c r="GL19">
        <v>-129.276413451271</v>
      </c>
      <c r="GM19">
        <v>-134.30677905436499</v>
      </c>
      <c r="GN19">
        <v>-35.669924800879599</v>
      </c>
      <c r="GO19">
        <v>21.6580192535782</v>
      </c>
      <c r="GP19">
        <v>22.129500012815001</v>
      </c>
      <c r="GQ19">
        <v>54.354052539698003</v>
      </c>
      <c r="GR19">
        <v>-55.189403115580703</v>
      </c>
      <c r="GS19">
        <v>-484.21575964550698</v>
      </c>
      <c r="GT19">
        <v>-24.7033866302238</v>
      </c>
      <c r="GU19">
        <v>21.593350857540599</v>
      </c>
      <c r="GV19">
        <v>22.067986222075199</v>
      </c>
      <c r="GW19">
        <v>35.7275559806762</v>
      </c>
      <c r="GX19">
        <v>-33.027363310150299</v>
      </c>
      <c r="GY19">
        <v>-297.82621233099502</v>
      </c>
      <c r="GZ19">
        <v>-34.733774828681398</v>
      </c>
      <c r="HA19">
        <v>21.804978665928399</v>
      </c>
      <c r="HB19">
        <v>22.283645022135101</v>
      </c>
      <c r="HC19">
        <v>54.460512422341601</v>
      </c>
      <c r="HD19">
        <v>-56.566810414984502</v>
      </c>
      <c r="HE19">
        <v>-487.21615733131898</v>
      </c>
      <c r="HF19">
        <v>-22.816290535919801</v>
      </c>
      <c r="HG19">
        <v>21.630727616883998</v>
      </c>
      <c r="HH19">
        <v>22.105074093542001</v>
      </c>
      <c r="HI19">
        <v>34.779147987867802</v>
      </c>
      <c r="HJ19">
        <v>-35.638310483970102</v>
      </c>
      <c r="HK19">
        <v>-308.81047390249199</v>
      </c>
      <c r="HL19">
        <v>-74.336366202997496</v>
      </c>
      <c r="HM19">
        <v>23.238514631130201</v>
      </c>
      <c r="HN19">
        <v>23.689091864824</v>
      </c>
      <c r="HO19">
        <v>-26.0137649412986</v>
      </c>
      <c r="HP19">
        <v>-173.54191646014399</v>
      </c>
      <c r="HQ19">
        <v>22.539990977379599</v>
      </c>
      <c r="HR19">
        <v>-208.15390748802901</v>
      </c>
      <c r="HS19">
        <v>-46.313552636980397</v>
      </c>
      <c r="HT19">
        <v>23.223105248106201</v>
      </c>
      <c r="HU19">
        <v>23.6986735793453</v>
      </c>
      <c r="HV19">
        <v>-13.148249560355501</v>
      </c>
      <c r="HW19">
        <v>-100.624734843594</v>
      </c>
      <c r="HX19">
        <v>22.481672770528899</v>
      </c>
      <c r="HY19">
        <v>-120.18282384561699</v>
      </c>
      <c r="HZ19">
        <v>23.347936577600802</v>
      </c>
      <c r="IA19">
        <v>23.7535186504442</v>
      </c>
      <c r="IB19">
        <v>-30.692593622988401</v>
      </c>
      <c r="IC19">
        <v>-64.556162515479599</v>
      </c>
      <c r="ID19">
        <v>-163.229309586509</v>
      </c>
      <c r="IE19">
        <v>22.7080260805729</v>
      </c>
      <c r="IF19">
        <v>-196.39774028612601</v>
      </c>
      <c r="IG19">
        <v>-8.3887701220117705</v>
      </c>
      <c r="IH19">
        <v>23.213679689935802</v>
      </c>
      <c r="II19">
        <v>23.694213305796399</v>
      </c>
      <c r="IJ19">
        <v>-9.81128500140772</v>
      </c>
      <c r="IK19">
        <v>-6.9797814622347198</v>
      </c>
      <c r="IL19">
        <v>-44.434535790400297</v>
      </c>
      <c r="IM19">
        <v>-103.303218713519</v>
      </c>
      <c r="IN19">
        <v>22.484660848784401</v>
      </c>
      <c r="IO19">
        <v>0.77833441077166399</v>
      </c>
      <c r="IP19">
        <v>-119.1617333904</v>
      </c>
      <c r="IQ19">
        <v>-156.12848735314799</v>
      </c>
      <c r="IR19">
        <v>-92.070409725889206</v>
      </c>
      <c r="IS19">
        <v>-142.971397952004</v>
      </c>
      <c r="IT19">
        <v>-92.375307983588996</v>
      </c>
      <c r="IU19">
        <v>-2469.7127274647301</v>
      </c>
      <c r="IV19">
        <v>-34.427219280137798</v>
      </c>
      <c r="IW19">
        <v>21.916498871371001</v>
      </c>
      <c r="IX19">
        <v>22.539990977379599</v>
      </c>
      <c r="IY19">
        <v>75.132690243827696</v>
      </c>
      <c r="IZ19">
        <v>-73.217563390407904</v>
      </c>
      <c r="JA19">
        <v>-642.28786504814695</v>
      </c>
      <c r="JB19">
        <v>-24.833821111396801</v>
      </c>
      <c r="JC19">
        <v>21.846164919416701</v>
      </c>
      <c r="JD19">
        <v>22.481672770528899</v>
      </c>
      <c r="JE19">
        <v>49.028096142260502</v>
      </c>
      <c r="JF19">
        <v>-46.227251049819301</v>
      </c>
      <c r="JG19">
        <v>-404.162513425501</v>
      </c>
      <c r="JH19">
        <v>-35.028927802082798</v>
      </c>
      <c r="JI19">
        <v>22.070571371030798</v>
      </c>
      <c r="JJ19">
        <v>22.7080260805729</v>
      </c>
      <c r="JK19">
        <v>75.790679683201006</v>
      </c>
      <c r="JL19">
        <v>-74.656943914478703</v>
      </c>
      <c r="JM19">
        <v>-645.05509304410702</v>
      </c>
      <c r="JN19">
        <v>-21.4591311122912</v>
      </c>
      <c r="JO19">
        <v>21.866065859292799</v>
      </c>
      <c r="JP19">
        <v>22.484660848784401</v>
      </c>
      <c r="JQ19">
        <v>1.1161537605868499</v>
      </c>
      <c r="JR19">
        <v>47.940720475681502</v>
      </c>
      <c r="JS19">
        <v>1.0103883265231299</v>
      </c>
      <c r="JT19">
        <v>-45.724216940000701</v>
      </c>
      <c r="JU19">
        <v>-403.30743831776698</v>
      </c>
      <c r="JV19">
        <v>-68.552216976671502</v>
      </c>
      <c r="JW19">
        <v>-174.092008591271</v>
      </c>
      <c r="JX19">
        <v>-186.404425834227</v>
      </c>
      <c r="JY19">
        <v>-45.299351494212701</v>
      </c>
      <c r="JZ19">
        <v>-101.284742251154</v>
      </c>
      <c r="KA19">
        <v>-118.09686665932099</v>
      </c>
      <c r="KB19">
        <v>-61.001022596224097</v>
      </c>
      <c r="KC19">
        <v>-164.77960382619599</v>
      </c>
      <c r="KD19">
        <v>-159.227875388976</v>
      </c>
      <c r="KE19">
        <v>-38.9141488816663</v>
      </c>
      <c r="KF19">
        <v>20.7712772219054</v>
      </c>
      <c r="KG19">
        <v>-192.11541083263401</v>
      </c>
      <c r="KH19">
        <v>0.87576546482901996</v>
      </c>
      <c r="KI19">
        <v>-102.44978220669999</v>
      </c>
      <c r="KJ19">
        <v>-95.126867354356307</v>
      </c>
      <c r="KK19">
        <v>-18.264850970485998</v>
      </c>
      <c r="KL19">
        <v>21.8523309560229</v>
      </c>
      <c r="KM19">
        <v>22.458857827512102</v>
      </c>
      <c r="KN19">
        <v>98.012306056350099</v>
      </c>
      <c r="KO19">
        <v>21.1631922549977</v>
      </c>
      <c r="KP19">
        <v>6.8435177488439498</v>
      </c>
      <c r="KQ19">
        <v>-57.9604866952074</v>
      </c>
      <c r="KR19">
        <v>-732.06430293823303</v>
      </c>
      <c r="KS19">
        <v>-14.4732423839276</v>
      </c>
      <c r="KT19">
        <v>21.769702078230399</v>
      </c>
      <c r="KU19">
        <v>22.422934712012601</v>
      </c>
      <c r="KV19">
        <v>69.642431378074704</v>
      </c>
      <c r="KW19">
        <v>21.058502101925502</v>
      </c>
      <c r="KX19">
        <v>6.8509696804065001</v>
      </c>
      <c r="KY19">
        <v>-35.3163360016434</v>
      </c>
      <c r="KZ19">
        <v>-467.72627288093503</v>
      </c>
      <c r="LA19">
        <v>-17.0222899635095</v>
      </c>
      <c r="LB19">
        <v>22.002796352307701</v>
      </c>
      <c r="LC19">
        <v>22.6072335506963</v>
      </c>
      <c r="LD19">
        <v>95.919517541438793</v>
      </c>
      <c r="LE19">
        <v>21.312897894151401</v>
      </c>
      <c r="LF19">
        <v>6.8489187582936797</v>
      </c>
      <c r="LG19">
        <v>-59.019799326029997</v>
      </c>
      <c r="LH19">
        <v>-732.09199514439103</v>
      </c>
      <c r="LI19">
        <v>-10.953790031891399</v>
      </c>
      <c r="LJ19">
        <v>21.8098546116275</v>
      </c>
      <c r="LK19">
        <v>22.395479371501501</v>
      </c>
      <c r="LL19">
        <v>59.318797521885799</v>
      </c>
      <c r="LM19">
        <v>21.130842631043901</v>
      </c>
      <c r="LN19">
        <v>6.9050663489277202</v>
      </c>
      <c r="LO19">
        <v>-36.959060991345901</v>
      </c>
      <c r="LP19">
        <v>-457.04198347764401</v>
      </c>
      <c r="LQ19">
        <v>-15.1727556111202</v>
      </c>
      <c r="LR19">
        <v>18.884825558707298</v>
      </c>
      <c r="LS19">
        <v>16.440999999999999</v>
      </c>
      <c r="LT19">
        <v>-233.44202723619799</v>
      </c>
      <c r="LU19">
        <v>-1445.9446075897999</v>
      </c>
      <c r="LV19">
        <v>20.163257850507499</v>
      </c>
      <c r="LW19">
        <v>21.695302761305499</v>
      </c>
      <c r="LX19">
        <v>245.91072793906301</v>
      </c>
      <c r="LY19">
        <v>-10.675607454006499</v>
      </c>
      <c r="LZ19">
        <v>18.8654692296634</v>
      </c>
      <c r="MA19">
        <v>16.440999999999999</v>
      </c>
      <c r="MB19">
        <v>-145.90964538634799</v>
      </c>
      <c r="MC19">
        <v>-903.21447574395404</v>
      </c>
      <c r="MD19">
        <v>20.129124017513199</v>
      </c>
      <c r="ME19">
        <v>21.648339687354099</v>
      </c>
      <c r="MF19">
        <v>154.989145517482</v>
      </c>
      <c r="MG19">
        <v>-14.7422265053311</v>
      </c>
      <c r="MH19">
        <v>18.944758807619301</v>
      </c>
      <c r="MI19">
        <v>16.440999999999999</v>
      </c>
      <c r="MJ19">
        <v>-244.30044087655901</v>
      </c>
      <c r="MK19">
        <v>-1507.91849584947</v>
      </c>
      <c r="ML19">
        <v>20.274851107857799</v>
      </c>
      <c r="MM19">
        <v>21.8456794342415</v>
      </c>
      <c r="MN19">
        <v>254.42241902467299</v>
      </c>
      <c r="MO19">
        <v>-9.7784164296146603</v>
      </c>
      <c r="MP19">
        <v>18.872517743799801</v>
      </c>
      <c r="MQ19">
        <v>16.440999999999999</v>
      </c>
      <c r="MR19">
        <v>-150.543163734773</v>
      </c>
      <c r="MS19">
        <v>-927.83895594796002</v>
      </c>
      <c r="MT19">
        <v>20.165887652965498</v>
      </c>
      <c r="MU19">
        <v>21.692780153587499</v>
      </c>
      <c r="MV19">
        <v>157.43132866721101</v>
      </c>
      <c r="MW19">
        <v>-21.6212882407617</v>
      </c>
      <c r="MX19">
        <v>21.062741883409299</v>
      </c>
      <c r="MY19">
        <v>21.166824585383502</v>
      </c>
      <c r="MZ19">
        <v>-77.681375994391004</v>
      </c>
      <c r="NA19">
        <v>-588.19441181550701</v>
      </c>
      <c r="NB19">
        <v>21.6344459057592</v>
      </c>
      <c r="NC19">
        <v>22.4769997694012</v>
      </c>
      <c r="ND19">
        <v>136.681089672301</v>
      </c>
      <c r="NE19">
        <v>-14.7993680885687</v>
      </c>
      <c r="NF19">
        <v>21.043445672243301</v>
      </c>
      <c r="NG19">
        <v>21.106410527755202</v>
      </c>
      <c r="NH19">
        <v>-50.2232131964765</v>
      </c>
      <c r="NI19">
        <v>-378.37305339465399</v>
      </c>
      <c r="NJ19">
        <v>21.624691647553099</v>
      </c>
      <c r="NK19">
        <v>22.4482370016445</v>
      </c>
      <c r="NL19">
        <v>88.181842416860206</v>
      </c>
      <c r="NM19">
        <v>-21.606306027703599</v>
      </c>
      <c r="NN19">
        <v>21.221063514697999</v>
      </c>
      <c r="NO19">
        <v>21.308813197434699</v>
      </c>
      <c r="NP19">
        <v>-83.706761335946993</v>
      </c>
      <c r="NQ19" s="35">
        <v>-621.24808943032895</v>
      </c>
      <c r="NR19" s="35">
        <v>21.822162449916</v>
      </c>
      <c r="NS19">
        <v>22.665709237278499</v>
      </c>
      <c r="NT19">
        <v>141.67743192778701</v>
      </c>
      <c r="NU19">
        <v>-14.2167438134721</v>
      </c>
      <c r="NV19">
        <v>21.0248167774396</v>
      </c>
      <c r="NW19">
        <v>21.134774434206999</v>
      </c>
      <c r="NX19" s="35">
        <v>1.7</v>
      </c>
      <c r="NY19">
        <v>-49.882426857490103</v>
      </c>
      <c r="NZ19">
        <v>-375.86989361726398</v>
      </c>
      <c r="OA19">
        <v>21.600882371240701</v>
      </c>
      <c r="OB19">
        <v>22.4345092380631</v>
      </c>
      <c r="OC19">
        <v>1.7</v>
      </c>
      <c r="OD19">
        <v>87.289087327157404</v>
      </c>
      <c r="OE19">
        <v>1.7</v>
      </c>
      <c r="OF19">
        <v>1.7</v>
      </c>
      <c r="OG19">
        <v>-21.5583286776032</v>
      </c>
      <c r="OH19">
        <v>20.9878126445799</v>
      </c>
      <c r="OI19">
        <v>21.291358849084499</v>
      </c>
      <c r="OJ19">
        <v>-77.181216987794002</v>
      </c>
      <c r="OK19">
        <v>-600.25682307829697</v>
      </c>
      <c r="OL19">
        <v>21.5696142132253</v>
      </c>
      <c r="OM19">
        <v>22.389996091430199</v>
      </c>
      <c r="ON19">
        <v>140.96735973717099</v>
      </c>
      <c r="OO19">
        <v>-14.6416259885576</v>
      </c>
      <c r="OP19">
        <v>21.025078857544202</v>
      </c>
      <c r="OQ19">
        <v>21.2157396436202</v>
      </c>
      <c r="OR19">
        <v>-55.2111357687401</v>
      </c>
      <c r="OS19">
        <v>-405.59923750749903</v>
      </c>
      <c r="OT19">
        <v>21.639501145431002</v>
      </c>
      <c r="OU19">
        <v>22.419338564258801</v>
      </c>
      <c r="OV19">
        <v>91.093792845572693</v>
      </c>
      <c r="OW19">
        <v>-22.006037096060201</v>
      </c>
      <c r="OX19">
        <v>21.138625340010201</v>
      </c>
      <c r="OY19">
        <v>21.438255140171901</v>
      </c>
      <c r="OZ19">
        <v>-78.940591211522403</v>
      </c>
      <c r="PA19">
        <v>-610.08252768689999</v>
      </c>
      <c r="PB19">
        <v>21.731490379646502</v>
      </c>
      <c r="PC19">
        <v>22.552357300236601</v>
      </c>
      <c r="PD19">
        <v>143.35627348713601</v>
      </c>
      <c r="PE19">
        <v>-14.2475310787926</v>
      </c>
      <c r="PF19">
        <v>20.9321283289935</v>
      </c>
      <c r="PG19">
        <v>21.244062011117499</v>
      </c>
      <c r="PH19">
        <v>1.7</v>
      </c>
      <c r="PI19">
        <v>-49.859225574719098</v>
      </c>
      <c r="PJ19">
        <v>-386.19505842270399</v>
      </c>
      <c r="PK19">
        <v>21.5223860774848</v>
      </c>
      <c r="PL19">
        <v>22.336522982368798</v>
      </c>
      <c r="PM19" s="35">
        <v>1.7</v>
      </c>
      <c r="PN19">
        <v>90.691694304969005</v>
      </c>
      <c r="PO19">
        <v>22.014731537874798</v>
      </c>
      <c r="PP19">
        <v>21.964870165324601</v>
      </c>
      <c r="PQ19">
        <v>22.154194510410601</v>
      </c>
      <c r="PR19">
        <v>22.003005747900701</v>
      </c>
      <c r="PS19">
        <v>22.688879053943499</v>
      </c>
      <c r="PT19">
        <v>22.551644468508801</v>
      </c>
      <c r="PU19">
        <v>22.507470333639201</v>
      </c>
      <c r="PV19">
        <v>22.705775683783301</v>
      </c>
      <c r="PW19">
        <v>22.5014565291305</v>
      </c>
      <c r="PX19">
        <v>23.6216314662495</v>
      </c>
      <c r="PY19">
        <v>22.444250191895001</v>
      </c>
      <c r="PZ19">
        <v>22.433725791552899</v>
      </c>
      <c r="QA19">
        <v>22.575669957056899</v>
      </c>
      <c r="QB19">
        <v>22.381606639707499</v>
      </c>
      <c r="QC19">
        <v>23.716940024344002</v>
      </c>
      <c r="QD19">
        <v>21.177707707132299</v>
      </c>
      <c r="QE19">
        <v>21.975062495961499</v>
      </c>
      <c r="QF19">
        <v>21.9157062877063</v>
      </c>
      <c r="QG19">
        <v>22.116527867703802</v>
      </c>
      <c r="QH19">
        <v>21.922776596061802</v>
      </c>
      <c r="QI19">
        <v>23.095094089391999</v>
      </c>
      <c r="QJ19">
        <v>22.378507370391102</v>
      </c>
      <c r="QK19">
        <v>22.332221834049399</v>
      </c>
      <c r="QL19">
        <v>22.535914017000501</v>
      </c>
      <c r="QM19">
        <v>22.283937497358</v>
      </c>
      <c r="QN19">
        <v>-301.72173341420802</v>
      </c>
      <c r="QO19">
        <v>24.0435805148506</v>
      </c>
      <c r="QP19">
        <v>-3286.5112613830001</v>
      </c>
      <c r="QQ19">
        <v>22.280855179469601</v>
      </c>
      <c r="QR19">
        <v>22.260983282631202</v>
      </c>
      <c r="QS19">
        <v>22.416224994262901</v>
      </c>
      <c r="QT19">
        <v>22.184825010943001</v>
      </c>
      <c r="QU19">
        <v>24.1451364143884</v>
      </c>
      <c r="QV19">
        <v>18.898933315489302</v>
      </c>
      <c r="QW19">
        <v>735940.99881310202</v>
      </c>
      <c r="QX19">
        <v>0</v>
      </c>
      <c r="QY19">
        <v>494148.11829022301</v>
      </c>
      <c r="QZ19">
        <v>0</v>
      </c>
      <c r="RA19">
        <v>52580.047124762299</v>
      </c>
      <c r="RB19">
        <v>0</v>
      </c>
      <c r="RC19">
        <v>34678.9871481749</v>
      </c>
      <c r="RD19">
        <v>0</v>
      </c>
      <c r="RE19">
        <v>157690.18744561999</v>
      </c>
      <c r="RF19">
        <v>0</v>
      </c>
      <c r="RG19">
        <v>117663.53848066799</v>
      </c>
      <c r="RH19" s="35">
        <v>0</v>
      </c>
      <c r="RI19">
        <v>0</v>
      </c>
      <c r="RJ19" s="35">
        <v>0</v>
      </c>
      <c r="RK19">
        <v>21.9353934540481</v>
      </c>
      <c r="RL19">
        <v>0</v>
      </c>
      <c r="RM19" s="35">
        <v>-766.60241202295902</v>
      </c>
      <c r="RN19">
        <v>3370.3167756156299</v>
      </c>
      <c r="RO19" s="35">
        <v>0</v>
      </c>
      <c r="RP19">
        <v>0</v>
      </c>
      <c r="RQ19" s="35">
        <v>21.866542410087899</v>
      </c>
      <c r="RR19" s="35">
        <v>0</v>
      </c>
      <c r="RS19">
        <v>-425.918740488114</v>
      </c>
      <c r="RT19">
        <v>2202.49729833007</v>
      </c>
      <c r="RU19">
        <v>0</v>
      </c>
      <c r="RV19">
        <v>0</v>
      </c>
      <c r="RW19">
        <v>22.078861224996899</v>
      </c>
      <c r="RX19">
        <v>0</v>
      </c>
      <c r="RY19">
        <v>-981.90260246306798</v>
      </c>
      <c r="RZ19">
        <v>3153.2930316852899</v>
      </c>
      <c r="SA19">
        <v>0</v>
      </c>
      <c r="SB19">
        <v>0</v>
      </c>
      <c r="SC19">
        <v>21.842547444222902</v>
      </c>
      <c r="SD19">
        <v>0</v>
      </c>
      <c r="SE19">
        <v>-395.29615304138702</v>
      </c>
      <c r="SF19">
        <v>2233.1306047195599</v>
      </c>
      <c r="SG19">
        <v>0</v>
      </c>
      <c r="SH19">
        <v>6681.4114409159001</v>
      </c>
      <c r="SI19">
        <v>23.5013091248405</v>
      </c>
      <c r="SJ19">
        <v>0</v>
      </c>
      <c r="SK19">
        <v>-16132.8797118644</v>
      </c>
      <c r="SL19">
        <v>5200.7220183695499</v>
      </c>
      <c r="SM19">
        <v>21.1111</v>
      </c>
      <c r="SN19">
        <v>23.8889</v>
      </c>
      <c r="SO19">
        <v>0</v>
      </c>
      <c r="SP19">
        <v>0</v>
      </c>
      <c r="SQ19">
        <v>21.366293193583701</v>
      </c>
      <c r="SR19">
        <v>0</v>
      </c>
      <c r="SS19">
        <v>0</v>
      </c>
      <c r="ST19">
        <v>0</v>
      </c>
      <c r="SU19">
        <v>0</v>
      </c>
      <c r="SV19">
        <v>0</v>
      </c>
      <c r="SW19">
        <v>21.296311349246398</v>
      </c>
      <c r="SX19">
        <v>0</v>
      </c>
      <c r="SY19">
        <v>0</v>
      </c>
      <c r="SZ19">
        <v>0</v>
      </c>
      <c r="TA19">
        <v>0</v>
      </c>
      <c r="TB19">
        <v>0</v>
      </c>
      <c r="TC19">
        <v>21.509440650322201</v>
      </c>
      <c r="TD19">
        <v>0</v>
      </c>
      <c r="TE19">
        <v>0</v>
      </c>
      <c r="TF19">
        <v>0</v>
      </c>
      <c r="TG19">
        <v>0</v>
      </c>
      <c r="TH19">
        <v>0</v>
      </c>
      <c r="TI19">
        <v>21.335114959825201</v>
      </c>
      <c r="TJ19">
        <v>0</v>
      </c>
      <c r="TK19">
        <v>0</v>
      </c>
      <c r="TL19">
        <v>0</v>
      </c>
      <c r="TM19">
        <v>1422.3399766244299</v>
      </c>
      <c r="TN19">
        <v>0</v>
      </c>
      <c r="TO19">
        <v>22.9390317570628</v>
      </c>
      <c r="TP19">
        <v>0</v>
      </c>
      <c r="TQ19">
        <v>0</v>
      </c>
      <c r="TR19">
        <v>0</v>
      </c>
      <c r="TS19">
        <v>0</v>
      </c>
      <c r="TT19">
        <v>0</v>
      </c>
      <c r="TU19">
        <v>22.205370272273299</v>
      </c>
      <c r="TV19">
        <v>0</v>
      </c>
      <c r="TW19">
        <v>-1142.6784829641001</v>
      </c>
      <c r="TX19">
        <v>2988.92695203635</v>
      </c>
      <c r="TY19">
        <v>0</v>
      </c>
      <c r="TZ19">
        <v>0</v>
      </c>
      <c r="UA19">
        <v>22.1569733344597</v>
      </c>
      <c r="UB19">
        <v>0</v>
      </c>
      <c r="UC19">
        <v>-698.504312876928</v>
      </c>
      <c r="UD19">
        <v>1927.2785744032201</v>
      </c>
      <c r="UE19">
        <v>0</v>
      </c>
      <c r="UF19">
        <v>0</v>
      </c>
      <c r="UG19">
        <v>22.3660523502177</v>
      </c>
      <c r="UH19">
        <v>0</v>
      </c>
      <c r="UI19">
        <v>-1395.8193378430799</v>
      </c>
      <c r="UJ19">
        <v>2734.5415113797399</v>
      </c>
      <c r="UK19">
        <v>0</v>
      </c>
      <c r="UL19">
        <v>0</v>
      </c>
      <c r="UM19">
        <v>22.0664184655854</v>
      </c>
      <c r="UN19">
        <v>0</v>
      </c>
      <c r="UO19">
        <v>-584.71761355877504</v>
      </c>
      <c r="UP19">
        <v>2040.7397465105801</v>
      </c>
      <c r="UQ19">
        <v>0</v>
      </c>
      <c r="UR19">
        <v>6220.2432484795499</v>
      </c>
      <c r="US19">
        <v>24.4655295634516</v>
      </c>
      <c r="UT19">
        <v>-2029.0234082787899</v>
      </c>
      <c r="UU19">
        <v>-23129.6943961291</v>
      </c>
      <c r="UV19">
        <v>-1980.68369571415</v>
      </c>
      <c r="UW19">
        <v>21.1111</v>
      </c>
      <c r="UX19">
        <v>23.8889</v>
      </c>
      <c r="UY19">
        <v>0</v>
      </c>
      <c r="UZ19">
        <v>0</v>
      </c>
      <c r="VA19">
        <v>21.5612772462644</v>
      </c>
      <c r="VB19">
        <v>0</v>
      </c>
      <c r="VC19">
        <v>0</v>
      </c>
      <c r="VD19">
        <v>0</v>
      </c>
      <c r="VE19">
        <v>0</v>
      </c>
      <c r="VF19">
        <v>0</v>
      </c>
      <c r="VG19">
        <v>21.477003132286399</v>
      </c>
      <c r="VH19">
        <v>0</v>
      </c>
      <c r="VI19">
        <v>0</v>
      </c>
      <c r="VJ19">
        <v>0</v>
      </c>
      <c r="VK19">
        <v>0</v>
      </c>
      <c r="VL19">
        <v>0</v>
      </c>
      <c r="VM19">
        <v>21.704079347351598</v>
      </c>
      <c r="VN19">
        <v>0</v>
      </c>
      <c r="VO19">
        <v>0</v>
      </c>
      <c r="VP19">
        <v>0</v>
      </c>
      <c r="VQ19">
        <v>0</v>
      </c>
      <c r="VR19">
        <v>0</v>
      </c>
      <c r="VS19">
        <v>21.515008241356799</v>
      </c>
      <c r="VT19">
        <v>0</v>
      </c>
      <c r="VU19">
        <v>0</v>
      </c>
      <c r="VV19">
        <v>0</v>
      </c>
      <c r="VW19">
        <v>1779.6994263766701</v>
      </c>
      <c r="VX19">
        <v>0</v>
      </c>
      <c r="VY19">
        <v>23.499998254242399</v>
      </c>
      <c r="VZ19">
        <v>0</v>
      </c>
      <c r="WA19">
        <v>0</v>
      </c>
      <c r="WB19">
        <v>0</v>
      </c>
      <c r="WC19">
        <v>0</v>
      </c>
      <c r="WD19">
        <v>0</v>
      </c>
      <c r="WE19">
        <v>22.1174601670443</v>
      </c>
      <c r="WF19">
        <v>0</v>
      </c>
      <c r="WG19">
        <v>-997.95915682581199</v>
      </c>
      <c r="WH19">
        <v>3136.9492670177301</v>
      </c>
      <c r="WI19">
        <v>0</v>
      </c>
      <c r="WJ19">
        <v>0</v>
      </c>
      <c r="WK19">
        <v>0</v>
      </c>
      <c r="WL19">
        <v>22.088240773709401</v>
      </c>
      <c r="WM19">
        <v>0</v>
      </c>
      <c r="WN19">
        <v>-608.01020196076297</v>
      </c>
      <c r="WO19">
        <v>2022.4966808234799</v>
      </c>
      <c r="WP19">
        <v>21.1111</v>
      </c>
      <c r="WQ19">
        <v>23.8889</v>
      </c>
      <c r="WR19">
        <v>0</v>
      </c>
      <c r="WS19">
        <v>0</v>
      </c>
      <c r="WT19">
        <v>22.2567800314688</v>
      </c>
      <c r="WU19">
        <v>0</v>
      </c>
      <c r="WV19">
        <v>-1229.33318864281</v>
      </c>
      <c r="WW19">
        <v>2903.4559571923501</v>
      </c>
      <c r="WX19">
        <v>0</v>
      </c>
      <c r="WY19">
        <v>0</v>
      </c>
      <c r="WZ19">
        <v>0</v>
      </c>
      <c r="XA19">
        <v>21.9880433821784</v>
      </c>
      <c r="XB19">
        <v>0</v>
      </c>
      <c r="XC19">
        <v>-520.91915775824202</v>
      </c>
      <c r="XD19">
        <v>2106.6654663827599</v>
      </c>
      <c r="XE19">
        <v>0</v>
      </c>
      <c r="XF19">
        <v>6260.2864184516202</v>
      </c>
      <c r="XG19">
        <v>24.573332804432798</v>
      </c>
      <c r="XH19">
        <v>-2973.27756651243</v>
      </c>
      <c r="XI19">
        <v>-24132.695524434501</v>
      </c>
      <c r="XJ19">
        <v>-2973.27756651243</v>
      </c>
      <c r="XK19">
        <v>21.1111</v>
      </c>
      <c r="XL19">
        <v>23.8889</v>
      </c>
      <c r="XM19">
        <v>0</v>
      </c>
      <c r="XN19">
        <v>0</v>
      </c>
      <c r="XO19">
        <v>21.300428013291299</v>
      </c>
      <c r="XP19">
        <v>0</v>
      </c>
      <c r="XQ19">
        <v>0</v>
      </c>
      <c r="XR19">
        <v>0</v>
      </c>
      <c r="XS19">
        <v>0</v>
      </c>
      <c r="XT19">
        <v>0</v>
      </c>
      <c r="XU19">
        <v>21.199525681016301</v>
      </c>
      <c r="XV19">
        <v>0</v>
      </c>
      <c r="XW19">
        <v>0</v>
      </c>
      <c r="XX19">
        <v>0</v>
      </c>
      <c r="XY19">
        <v>0</v>
      </c>
      <c r="XZ19">
        <v>0</v>
      </c>
      <c r="YA19">
        <v>21.447844451501702</v>
      </c>
      <c r="YB19">
        <v>0</v>
      </c>
      <c r="YC19">
        <v>0</v>
      </c>
      <c r="YD19">
        <v>0</v>
      </c>
      <c r="YE19">
        <v>0</v>
      </c>
      <c r="YF19">
        <v>0</v>
      </c>
      <c r="YG19">
        <v>21.2670123077006</v>
      </c>
      <c r="YH19">
        <v>0</v>
      </c>
      <c r="YI19">
        <v>0</v>
      </c>
      <c r="YJ19">
        <v>0</v>
      </c>
      <c r="YK19">
        <v>1233.0402890749101</v>
      </c>
      <c r="YL19">
        <v>0</v>
      </c>
      <c r="YM19">
        <v>24.095861182923901</v>
      </c>
      <c r="YN19">
        <v>0</v>
      </c>
      <c r="YO19">
        <v>0</v>
      </c>
      <c r="YP19">
        <v>0</v>
      </c>
      <c r="YQ19">
        <v>0</v>
      </c>
      <c r="YR19">
        <v>0</v>
      </c>
      <c r="YS19">
        <v>19.494722004809901</v>
      </c>
      <c r="YT19">
        <v>0</v>
      </c>
      <c r="YU19">
        <v>0</v>
      </c>
      <c r="YV19">
        <v>0</v>
      </c>
      <c r="YW19">
        <v>0</v>
      </c>
      <c r="YX19">
        <v>0</v>
      </c>
      <c r="YY19">
        <v>19.4659801126</v>
      </c>
      <c r="YZ19">
        <v>0</v>
      </c>
      <c r="ZA19">
        <v>0</v>
      </c>
      <c r="ZB19">
        <v>0</v>
      </c>
      <c r="ZC19">
        <v>0</v>
      </c>
      <c r="ZD19">
        <v>0</v>
      </c>
      <c r="ZE19">
        <v>19.580715048898899</v>
      </c>
      <c r="ZF19">
        <v>0</v>
      </c>
      <c r="ZG19">
        <v>0</v>
      </c>
      <c r="ZH19">
        <v>0</v>
      </c>
      <c r="ZI19">
        <v>0</v>
      </c>
      <c r="ZJ19">
        <v>0</v>
      </c>
      <c r="ZK19">
        <v>19.489964711491801</v>
      </c>
      <c r="ZL19">
        <v>0</v>
      </c>
      <c r="ZM19">
        <v>0</v>
      </c>
      <c r="ZN19">
        <v>0</v>
      </c>
      <c r="ZO19">
        <v>0</v>
      </c>
      <c r="ZP19">
        <v>7373.3651481636398</v>
      </c>
      <c r="ZQ19">
        <v>17.388562476995499</v>
      </c>
      <c r="ZR19">
        <v>0</v>
      </c>
      <c r="ZS19">
        <v>0</v>
      </c>
      <c r="ZT19">
        <v>0</v>
      </c>
      <c r="ZU19">
        <v>0</v>
      </c>
      <c r="ZV19">
        <v>0</v>
      </c>
      <c r="ZW19">
        <v>21.291335897430098</v>
      </c>
      <c r="ZX19">
        <v>0</v>
      </c>
      <c r="ZY19">
        <v>0</v>
      </c>
      <c r="ZZ19">
        <v>0</v>
      </c>
      <c r="AAA19">
        <v>0</v>
      </c>
      <c r="AAB19">
        <v>0</v>
      </c>
      <c r="AAC19">
        <v>21.276475607280801</v>
      </c>
      <c r="AAD19">
        <v>0</v>
      </c>
      <c r="AAE19">
        <v>0</v>
      </c>
      <c r="AAF19">
        <v>0</v>
      </c>
      <c r="AAG19">
        <v>0</v>
      </c>
      <c r="AAH19">
        <v>0</v>
      </c>
      <c r="AAI19">
        <v>21.464573004955401</v>
      </c>
      <c r="AAJ19">
        <v>0</v>
      </c>
      <c r="AAK19">
        <v>0</v>
      </c>
      <c r="AAL19">
        <v>0</v>
      </c>
      <c r="AAM19">
        <v>0</v>
      </c>
      <c r="AAN19">
        <v>0</v>
      </c>
      <c r="AAO19">
        <v>21.253777807491101</v>
      </c>
      <c r="AAP19">
        <v>0</v>
      </c>
      <c r="AAQ19">
        <v>0</v>
      </c>
      <c r="AAR19">
        <v>0</v>
      </c>
      <c r="AAS19">
        <v>0</v>
      </c>
      <c r="AAT19">
        <v>8853.7807621282409</v>
      </c>
      <c r="AAU19">
        <v>18.7850996207004</v>
      </c>
      <c r="AAV19">
        <v>0</v>
      </c>
      <c r="AAW19">
        <v>0</v>
      </c>
      <c r="AAX19">
        <v>0</v>
      </c>
      <c r="AAY19">
        <v>0</v>
      </c>
      <c r="AAZ19">
        <v>0</v>
      </c>
      <c r="ABA19">
        <v>21.221384474980599</v>
      </c>
      <c r="ABB19">
        <v>0</v>
      </c>
      <c r="ABC19">
        <v>0</v>
      </c>
      <c r="ABD19">
        <v>0</v>
      </c>
      <c r="ABE19">
        <v>0</v>
      </c>
      <c r="ABF19">
        <v>0</v>
      </c>
      <c r="ABG19">
        <v>21.273362263126199</v>
      </c>
      <c r="ABH19">
        <v>0</v>
      </c>
      <c r="ABI19">
        <v>0</v>
      </c>
      <c r="ABJ19">
        <v>0</v>
      </c>
      <c r="ABK19">
        <v>0</v>
      </c>
      <c r="ABL19">
        <v>0</v>
      </c>
      <c r="ABM19">
        <v>21.3756411590347</v>
      </c>
      <c r="ABN19">
        <v>0</v>
      </c>
      <c r="ABO19">
        <v>0</v>
      </c>
      <c r="ABP19">
        <v>0</v>
      </c>
      <c r="ABQ19">
        <v>0</v>
      </c>
      <c r="ABR19">
        <v>0</v>
      </c>
      <c r="ABS19">
        <v>21.1677320393642</v>
      </c>
      <c r="ABT19">
        <v>0</v>
      </c>
      <c r="ABU19">
        <v>0</v>
      </c>
      <c r="ABV19">
        <v>0</v>
      </c>
      <c r="ABW19">
        <v>0</v>
      </c>
      <c r="ABX19">
        <v>8974.4286943776297</v>
      </c>
      <c r="ABY19">
        <v>18.898933315489302</v>
      </c>
      <c r="ABZ19">
        <v>0</v>
      </c>
      <c r="ACA19">
        <v>0</v>
      </c>
      <c r="ACB19">
        <v>0</v>
      </c>
      <c r="ACC19">
        <v>0</v>
      </c>
      <c r="ACD19">
        <v>0</v>
      </c>
      <c r="ACE19">
        <v>0</v>
      </c>
      <c r="ACF19">
        <v>8.375</v>
      </c>
      <c r="ACG19">
        <v>8.375</v>
      </c>
      <c r="ACH19">
        <v>0</v>
      </c>
      <c r="ACI19">
        <v>0</v>
      </c>
      <c r="ACJ19">
        <v>0</v>
      </c>
      <c r="ACK19">
        <v>20.892476876737199</v>
      </c>
      <c r="ACL19">
        <v>20.892476876737199</v>
      </c>
      <c r="ACM19">
        <v>0</v>
      </c>
      <c r="ACN19">
        <v>52695.170707961202</v>
      </c>
      <c r="ACP19">
        <v>6616.8214674513902</v>
      </c>
      <c r="ACR19">
        <v>59311.992175412597</v>
      </c>
      <c r="ACT19">
        <v>23.7312007436303</v>
      </c>
      <c r="ACU19">
        <v>22.994796809304098</v>
      </c>
      <c r="ACV19">
        <v>0.85</v>
      </c>
      <c r="ACW19">
        <v>0.77215010068925205</v>
      </c>
      <c r="ACX19">
        <v>0.87730956530092297</v>
      </c>
      <c r="ACY19">
        <v>24.6664337138387</v>
      </c>
      <c r="ACZ19">
        <v>23.986379300311299</v>
      </c>
      <c r="ADA19">
        <v>0.85</v>
      </c>
      <c r="ADB19">
        <v>0.78821056326104</v>
      </c>
      <c r="ADC19">
        <v>0.87701762226519697</v>
      </c>
      <c r="ADD19">
        <v>24.754634122072101</v>
      </c>
      <c r="ADE19">
        <v>24.073636516372002</v>
      </c>
      <c r="ADF19">
        <v>0.85</v>
      </c>
      <c r="ADG19">
        <v>0.79404249922105996</v>
      </c>
      <c r="ADH19">
        <v>0.87644780521565802</v>
      </c>
      <c r="ADI19">
        <v>22.620392005545899</v>
      </c>
      <c r="ADJ19">
        <v>22.620392005545899</v>
      </c>
      <c r="ADK19">
        <v>0</v>
      </c>
      <c r="ADL19">
        <v>0</v>
      </c>
      <c r="ADM19">
        <v>1</v>
      </c>
      <c r="ADN19">
        <v>22.5508815939803</v>
      </c>
      <c r="ADO19">
        <v>22.5508815939803</v>
      </c>
      <c r="ADP19">
        <v>0</v>
      </c>
      <c r="ADQ19">
        <v>0</v>
      </c>
      <c r="ADR19">
        <v>1</v>
      </c>
      <c r="ADS19">
        <v>22.759014764879101</v>
      </c>
      <c r="ADT19">
        <v>22.759014764879101</v>
      </c>
      <c r="ADU19">
        <v>0</v>
      </c>
      <c r="ADV19">
        <v>0</v>
      </c>
      <c r="ADW19">
        <v>1</v>
      </c>
      <c r="ADX19">
        <v>22.558654207656101</v>
      </c>
      <c r="ADY19">
        <v>22.558654207656101</v>
      </c>
      <c r="ADZ19">
        <v>0</v>
      </c>
      <c r="AEA19">
        <v>0</v>
      </c>
      <c r="AEB19">
        <v>1</v>
      </c>
      <c r="AEC19">
        <v>22.975633877804601</v>
      </c>
      <c r="AED19">
        <v>22.975633877804601</v>
      </c>
      <c r="AEE19">
        <v>0</v>
      </c>
      <c r="AEF19">
        <v>0</v>
      </c>
      <c r="AEG19">
        <v>1</v>
      </c>
      <c r="AEH19">
        <v>22.918867377680801</v>
      </c>
      <c r="AEI19">
        <v>22.918867377680801</v>
      </c>
      <c r="AEJ19">
        <v>0</v>
      </c>
      <c r="AEK19">
        <v>0</v>
      </c>
      <c r="AEL19">
        <v>1</v>
      </c>
      <c r="AEM19">
        <v>23.131204978339301</v>
      </c>
      <c r="AEN19">
        <v>23.131204978339301</v>
      </c>
      <c r="AEO19">
        <v>0</v>
      </c>
      <c r="AEP19">
        <v>0</v>
      </c>
      <c r="AEQ19">
        <v>1</v>
      </c>
      <c r="AER19">
        <v>22.8661785929804</v>
      </c>
      <c r="AES19">
        <v>22.8661785929804</v>
      </c>
      <c r="AET19">
        <v>0</v>
      </c>
      <c r="AEU19">
        <v>0</v>
      </c>
      <c r="AEV19">
        <v>1</v>
      </c>
      <c r="AEW19">
        <v>22.8852651568568</v>
      </c>
      <c r="AEX19">
        <v>22.8852651568568</v>
      </c>
      <c r="AEY19">
        <v>0</v>
      </c>
      <c r="AEZ19">
        <v>0</v>
      </c>
      <c r="AFA19">
        <v>1</v>
      </c>
      <c r="AFB19">
        <v>22.854692926394101</v>
      </c>
      <c r="AFC19">
        <v>22.854692926394101</v>
      </c>
      <c r="AFD19">
        <v>0</v>
      </c>
      <c r="AFE19">
        <v>0</v>
      </c>
      <c r="AFF19">
        <v>1</v>
      </c>
      <c r="AFG19">
        <v>23.015053141240099</v>
      </c>
      <c r="AFH19">
        <v>23.015053141240099</v>
      </c>
      <c r="AFI19">
        <v>0</v>
      </c>
      <c r="AFJ19">
        <v>0</v>
      </c>
      <c r="AFK19">
        <v>1</v>
      </c>
      <c r="AFL19">
        <v>22.776711710606602</v>
      </c>
      <c r="AFM19">
        <v>22.776711710606602</v>
      </c>
      <c r="AFN19">
        <v>0</v>
      </c>
      <c r="AFO19">
        <v>0</v>
      </c>
      <c r="AFP19">
        <v>1</v>
      </c>
      <c r="AFQ19">
        <v>-0.37548925926857102</v>
      </c>
      <c r="AFR19">
        <v>-0.41211207914551001</v>
      </c>
      <c r="AFS19">
        <v>-0.42367220229517699</v>
      </c>
      <c r="AFT19">
        <v>-0.42848592771208399</v>
      </c>
      <c r="AFU19">
        <v>-0.489887234000701</v>
      </c>
      <c r="AFV19">
        <v>-0.55479139460296001</v>
      </c>
      <c r="AFW19">
        <v>-0.58279554324836602</v>
      </c>
      <c r="AFX19">
        <v>-0.53157076818480797</v>
      </c>
      <c r="AFY19">
        <v>-0.52438716143736397</v>
      </c>
      <c r="AFZ19">
        <v>-0.53922849501621894</v>
      </c>
      <c r="AGA19">
        <v>-0.57393266205843096</v>
      </c>
      <c r="AGB19">
        <v>-0.33316498705288899</v>
      </c>
      <c r="AGC19">
        <v>-0.64450240985342799</v>
      </c>
      <c r="AGD19">
        <v>-0.41586302894534199</v>
      </c>
      <c r="AGE19">
        <v>-0.39607849020390701</v>
      </c>
      <c r="AGF19">
        <v>1</v>
      </c>
      <c r="AGG19">
        <v>1</v>
      </c>
      <c r="AGH19">
        <v>1</v>
      </c>
      <c r="AGI19">
        <v>1</v>
      </c>
      <c r="AGJ19">
        <v>0</v>
      </c>
      <c r="AGK19">
        <v>0</v>
      </c>
      <c r="AGL19">
        <v>0</v>
      </c>
      <c r="AGM19">
        <v>0</v>
      </c>
      <c r="AGN19">
        <v>0</v>
      </c>
      <c r="AGO19">
        <v>0</v>
      </c>
      <c r="AGP19">
        <v>0</v>
      </c>
      <c r="AGQ19">
        <v>0</v>
      </c>
      <c r="AGR19">
        <v>0</v>
      </c>
      <c r="AGS19">
        <v>0</v>
      </c>
      <c r="AGT19">
        <v>0</v>
      </c>
      <c r="AGU19">
        <v>0</v>
      </c>
      <c r="AGV19">
        <v>0</v>
      </c>
      <c r="AGW19">
        <v>0</v>
      </c>
      <c r="AGX19">
        <v>0</v>
      </c>
      <c r="AGY19">
        <v>0</v>
      </c>
      <c r="AGZ19">
        <v>0</v>
      </c>
      <c r="AHA19">
        <v>1</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Z19">
        <v>0</v>
      </c>
      <c r="AIB19">
        <v>0</v>
      </c>
      <c r="AID19">
        <v>0</v>
      </c>
      <c r="AIF19">
        <v>0</v>
      </c>
      <c r="AIH19">
        <v>0</v>
      </c>
      <c r="AIJ19">
        <v>0</v>
      </c>
      <c r="AIL19">
        <v>0</v>
      </c>
      <c r="AIN19">
        <v>0</v>
      </c>
      <c r="AIP19">
        <v>0</v>
      </c>
      <c r="AIR19">
        <v>0</v>
      </c>
      <c r="AIT19">
        <v>0</v>
      </c>
      <c r="AIV19">
        <v>0</v>
      </c>
      <c r="AIX19">
        <v>0</v>
      </c>
      <c r="AIZ19">
        <v>0</v>
      </c>
      <c r="AJB19">
        <v>0</v>
      </c>
      <c r="AJC19">
        <v>0</v>
      </c>
      <c r="AJE19">
        <v>-1.6072264601183701E-4</v>
      </c>
      <c r="AJH19">
        <v>6544.0672005067099</v>
      </c>
      <c r="AJJ19">
        <v>72.754266944684005</v>
      </c>
      <c r="AJK19">
        <v>0</v>
      </c>
      <c r="AJL19">
        <v>0</v>
      </c>
      <c r="AJM19">
        <v>0</v>
      </c>
      <c r="AJN19">
        <v>0</v>
      </c>
      <c r="AJO19">
        <v>0</v>
      </c>
      <c r="AJP19">
        <v>0</v>
      </c>
      <c r="AJQ19">
        <v>0</v>
      </c>
      <c r="AJR19">
        <v>0</v>
      </c>
      <c r="AJS19">
        <v>0</v>
      </c>
      <c r="AJT19">
        <v>0</v>
      </c>
      <c r="AJU19">
        <v>0</v>
      </c>
      <c r="AJV19">
        <v>0</v>
      </c>
      <c r="AJW19">
        <v>0</v>
      </c>
      <c r="AJX19">
        <v>0</v>
      </c>
      <c r="AJY19">
        <v>0</v>
      </c>
      <c r="AJZ19">
        <v>0</v>
      </c>
      <c r="AKA19">
        <v>0</v>
      </c>
      <c r="AKB19">
        <v>0</v>
      </c>
      <c r="AKC19">
        <v>0</v>
      </c>
      <c r="AKD19">
        <v>0</v>
      </c>
      <c r="AKE19">
        <v>70.162396350790203</v>
      </c>
      <c r="AKF19">
        <v>70.162396350790203</v>
      </c>
      <c r="AKG19">
        <v>0</v>
      </c>
      <c r="AKH19">
        <v>0</v>
      </c>
      <c r="AKI19">
        <v>0</v>
      </c>
      <c r="AKJ19">
        <v>0</v>
      </c>
      <c r="AKK19">
        <v>0</v>
      </c>
      <c r="AKL19">
        <v>70.162396350790203</v>
      </c>
      <c r="AKM19">
        <v>70.162396350790203</v>
      </c>
      <c r="AKN19">
        <v>0</v>
      </c>
      <c r="AKO19">
        <v>0</v>
      </c>
      <c r="AKP19">
        <v>0</v>
      </c>
      <c r="AKT19">
        <v>0</v>
      </c>
      <c r="AKX19">
        <v>0</v>
      </c>
      <c r="ALB19">
        <v>20.892476876737199</v>
      </c>
      <c r="ALC19">
        <v>20.892476876737199</v>
      </c>
      <c r="ALD19">
        <v>0</v>
      </c>
      <c r="ALE19">
        <v>0</v>
      </c>
      <c r="ALF19">
        <v>0</v>
      </c>
      <c r="ALH19">
        <v>8.3750000505443492</v>
      </c>
      <c r="ALI19">
        <v>6.4491552819341798E-3</v>
      </c>
      <c r="ALJ19">
        <v>2.5982253599999998</v>
      </c>
      <c r="ALK19">
        <v>8.375</v>
      </c>
      <c r="ALL19">
        <v>2.5982253599999998</v>
      </c>
      <c r="ALM19">
        <v>0</v>
      </c>
      <c r="ALN19">
        <v>23.760881415064802</v>
      </c>
      <c r="ALO19">
        <v>8.6339789184788993E-3</v>
      </c>
      <c r="ALP19">
        <v>47.091473953510999</v>
      </c>
      <c r="ALQ19">
        <v>2.5982253599999998</v>
      </c>
      <c r="ALR19">
        <v>8.3750000505443492</v>
      </c>
      <c r="ALS19">
        <v>2.5982253599999998</v>
      </c>
      <c r="ALT19">
        <v>10.4329878225779</v>
      </c>
      <c r="ALU19">
        <v>2.5982253599999998</v>
      </c>
      <c r="ALV19">
        <v>12.2200383644412</v>
      </c>
      <c r="ALW19">
        <v>9.9999999999999897E-12</v>
      </c>
      <c r="ALX19">
        <v>8.375</v>
      </c>
      <c r="ALY19">
        <v>9.9999999999999897E-12</v>
      </c>
      <c r="ALZ19">
        <v>0</v>
      </c>
      <c r="AMA19">
        <v>8.375</v>
      </c>
      <c r="AMB19">
        <v>0</v>
      </c>
      <c r="AMC19">
        <v>8.375</v>
      </c>
      <c r="AMD19">
        <v>0</v>
      </c>
      <c r="AME19">
        <v>8.375</v>
      </c>
      <c r="AMF19">
        <v>0</v>
      </c>
      <c r="AMG19">
        <v>0</v>
      </c>
      <c r="AMH19">
        <v>2.5982253599999998</v>
      </c>
      <c r="AMI19">
        <v>19.5047389270756</v>
      </c>
      <c r="AMJ19">
        <v>0</v>
      </c>
      <c r="AMK19" s="580">
        <v>17.3950110133196</v>
      </c>
      <c r="AML19">
        <v>0.86607511999999998</v>
      </c>
      <c r="AMM19">
        <v>19.478231485809701</v>
      </c>
      <c r="AMN19">
        <v>0</v>
      </c>
      <c r="AMO19">
        <v>19.5074147118101</v>
      </c>
      <c r="AMP19">
        <v>0</v>
      </c>
      <c r="AMQ19">
        <v>19.596307315781001</v>
      </c>
      <c r="AMR19">
        <v>0</v>
      </c>
      <c r="AMS19">
        <v>18.7597726786375</v>
      </c>
      <c r="AMT19">
        <v>0.86607511999999998</v>
      </c>
      <c r="AMU19">
        <v>21.2543631160333</v>
      </c>
      <c r="AMV19">
        <v>0</v>
      </c>
      <c r="AMW19">
        <v>21.234303054664899</v>
      </c>
      <c r="AMX19">
        <v>0</v>
      </c>
      <c r="AMY19">
        <v>21.269917869091099</v>
      </c>
      <c r="AMZ19">
        <v>0</v>
      </c>
      <c r="ANA19">
        <v>21.444309184152299</v>
      </c>
      <c r="ANB19">
        <v>0</v>
      </c>
      <c r="ANC19">
        <v>18.814340916640099</v>
      </c>
      <c r="AND19">
        <v>0.86607511999999998</v>
      </c>
      <c r="ANE19">
        <v>21.256943584707798</v>
      </c>
      <c r="ANF19">
        <v>0</v>
      </c>
      <c r="ANG19">
        <v>21.1415171700943</v>
      </c>
      <c r="ANH19">
        <v>0</v>
      </c>
      <c r="ANI19">
        <v>21.1936547077627</v>
      </c>
      <c r="ANJ19">
        <v>0</v>
      </c>
      <c r="ANK19">
        <v>21.349159648719301</v>
      </c>
      <c r="ANL19">
        <v>0</v>
      </c>
      <c r="ANM19">
        <v>0.86607511999999998</v>
      </c>
      <c r="ANN19">
        <v>0.86607511999999998</v>
      </c>
      <c r="ANO19">
        <v>0.86607511999999998</v>
      </c>
      <c r="ANP19">
        <v>17.3950110133196</v>
      </c>
      <c r="ANQ19">
        <v>19.478231485809701</v>
      </c>
      <c r="ANR19">
        <v>19.5047389270756</v>
      </c>
      <c r="ANS19">
        <v>19.596307315781001</v>
      </c>
      <c r="ANT19">
        <v>19.5074147118101</v>
      </c>
      <c r="ANU19">
        <v>18.7597726786375</v>
      </c>
      <c r="ANV19">
        <v>21.2543631160333</v>
      </c>
      <c r="ANW19">
        <v>21.234303054664899</v>
      </c>
      <c r="ANX19">
        <v>21.444309184152299</v>
      </c>
      <c r="ANY19">
        <v>21.269917869091099</v>
      </c>
      <c r="ANZ19">
        <v>18.814340916640099</v>
      </c>
      <c r="AOA19">
        <v>21.256943584707798</v>
      </c>
      <c r="AOB19">
        <v>21.1415171700943</v>
      </c>
      <c r="AOC19">
        <v>21.349159648719301</v>
      </c>
      <c r="AOD19">
        <v>21.1936547077627</v>
      </c>
      <c r="AOE19">
        <v>23.760881415064802</v>
      </c>
      <c r="AOF19">
        <v>2.5982253599999998</v>
      </c>
      <c r="AOG19">
        <v>23.9722032628097</v>
      </c>
      <c r="AOH19">
        <v>2.5982253599999998</v>
      </c>
    </row>
    <row r="20" spans="1:1074">
      <c r="A20" t="s">
        <v>2955</v>
      </c>
      <c r="B20">
        <v>8.1125000000000007</v>
      </c>
      <c r="D20">
        <v>7.5908358754706597</v>
      </c>
      <c r="F20">
        <v>5</v>
      </c>
      <c r="G20">
        <v>2813871.3161516399</v>
      </c>
      <c r="H20">
        <v>6169786.3314965004</v>
      </c>
      <c r="I20">
        <v>1786976.0497761499</v>
      </c>
      <c r="J20">
        <v>3918182.1653802898</v>
      </c>
      <c r="K20">
        <v>2813871.3161516399</v>
      </c>
      <c r="L20">
        <v>6169786.3314965004</v>
      </c>
      <c r="M20">
        <v>1786976.0497761499</v>
      </c>
      <c r="N20">
        <v>3918182.1653802898</v>
      </c>
      <c r="O20">
        <v>14511682.5124732</v>
      </c>
      <c r="P20">
        <v>31818789.970439799</v>
      </c>
      <c r="Q20">
        <v>2813871.3161516399</v>
      </c>
      <c r="R20">
        <v>6169786.3314965004</v>
      </c>
      <c r="S20">
        <v>1786976.0497761499</v>
      </c>
      <c r="T20">
        <v>3918182.1653802898</v>
      </c>
      <c r="U20">
        <v>2813871.3161516399</v>
      </c>
      <c r="V20">
        <v>6169786.3314965004</v>
      </c>
      <c r="W20">
        <v>1786976.0497761499</v>
      </c>
      <c r="X20">
        <v>3918182.1653802898</v>
      </c>
      <c r="Y20">
        <v>14511682.5124732</v>
      </c>
      <c r="Z20">
        <v>31818789.970439799</v>
      </c>
      <c r="AA20">
        <v>2813871.3161516399</v>
      </c>
      <c r="AB20">
        <v>6169786.3314965004</v>
      </c>
      <c r="AC20">
        <v>1786976.0497761499</v>
      </c>
      <c r="AD20">
        <v>3918182.1653802898</v>
      </c>
      <c r="AE20">
        <v>2813871.3161516399</v>
      </c>
      <c r="AF20">
        <v>6169786.3314965004</v>
      </c>
      <c r="AG20">
        <v>1786976.0497761499</v>
      </c>
      <c r="AH20">
        <v>3918182.1653802898</v>
      </c>
      <c r="AI20">
        <v>14511682.5124732</v>
      </c>
      <c r="AJ20">
        <v>31818789.970439799</v>
      </c>
      <c r="AK20">
        <v>2.3716228502806498</v>
      </c>
      <c r="AL20">
        <v>395606.04386927001</v>
      </c>
      <c r="AM20">
        <v>1024541.07132124</v>
      </c>
      <c r="AN20">
        <v>2.3716228502806498</v>
      </c>
      <c r="AO20">
        <v>395606.04386927001</v>
      </c>
      <c r="AP20">
        <v>1024541.07132124</v>
      </c>
      <c r="AQ20">
        <v>1.5061219069354801</v>
      </c>
      <c r="AR20">
        <v>251233.42403159899</v>
      </c>
      <c r="AS20">
        <v>650644.66379612905</v>
      </c>
      <c r="AT20">
        <v>1.5061219069354801</v>
      </c>
      <c r="AU20">
        <v>251233.42403159899</v>
      </c>
      <c r="AV20">
        <v>650644.66379612905</v>
      </c>
      <c r="AW20">
        <v>2.3716228502806498</v>
      </c>
      <c r="AX20">
        <v>395606.04386927001</v>
      </c>
      <c r="AY20">
        <v>1024541.07132124</v>
      </c>
      <c r="AZ20">
        <v>2.3716228502806498</v>
      </c>
      <c r="BA20">
        <v>395606.04386927001</v>
      </c>
      <c r="BB20">
        <v>1024541.07132124</v>
      </c>
      <c r="BC20">
        <v>1.5061219069354801</v>
      </c>
      <c r="BD20">
        <v>251233.42403159899</v>
      </c>
      <c r="BE20">
        <v>650644.66379612905</v>
      </c>
      <c r="BF20">
        <v>1.5061219069354801</v>
      </c>
      <c r="BG20">
        <v>251233.42403159899</v>
      </c>
      <c r="BH20">
        <v>650644.66379612905</v>
      </c>
      <c r="BI20">
        <v>2.3716228502806498</v>
      </c>
      <c r="BJ20">
        <v>395606.04386927001</v>
      </c>
      <c r="BK20">
        <v>1024541.07132124</v>
      </c>
      <c r="BL20">
        <v>2.3716228502806498</v>
      </c>
      <c r="BM20">
        <v>395606.04386927001</v>
      </c>
      <c r="BN20">
        <v>1024541.07132124</v>
      </c>
      <c r="BO20">
        <v>1.5061219069354801</v>
      </c>
      <c r="BP20">
        <v>251233.42403159899</v>
      </c>
      <c r="BQ20">
        <v>650644.66379612905</v>
      </c>
      <c r="BR20">
        <v>1.5061219069354801</v>
      </c>
      <c r="BS20">
        <v>251233.42403159899</v>
      </c>
      <c r="BT20">
        <v>650644.66379612905</v>
      </c>
      <c r="BU20">
        <v>5283757.8828362301</v>
      </c>
      <c r="BV20">
        <v>12.2309210250839</v>
      </c>
      <c r="BW20">
        <v>2040217.43129955</v>
      </c>
      <c r="BX20">
        <v>5283757.8828362301</v>
      </c>
      <c r="BY20">
        <v>12.2309210250839</v>
      </c>
      <c r="BZ20">
        <v>2040217.43129955</v>
      </c>
      <c r="CA20">
        <v>5283757.8828362301</v>
      </c>
      <c r="CB20">
        <v>12.2309210250839</v>
      </c>
      <c r="CC20">
        <v>2040217.43129955</v>
      </c>
      <c r="CD20">
        <v>5283757.8828362301</v>
      </c>
      <c r="CE20">
        <v>1131953.9572385601</v>
      </c>
      <c r="CF20">
        <v>2572622.6300876299</v>
      </c>
      <c r="CG20">
        <v>1131953.9572385601</v>
      </c>
      <c r="CH20">
        <v>2572622.6300876299</v>
      </c>
      <c r="CI20">
        <v>718858.25034851499</v>
      </c>
      <c r="CJ20">
        <v>1633768.7507920801</v>
      </c>
      <c r="CK20">
        <v>718858.25034851499</v>
      </c>
      <c r="CL20">
        <v>1633768.7507920801</v>
      </c>
      <c r="CM20">
        <v>1131953.9572385601</v>
      </c>
      <c r="CN20">
        <v>2572622.6300876299</v>
      </c>
      <c r="CO20">
        <v>1131953.9572385601</v>
      </c>
      <c r="CP20">
        <v>2572622.6300876299</v>
      </c>
      <c r="CQ20">
        <v>718858.25034851499</v>
      </c>
      <c r="CR20">
        <v>1633768.7507920801</v>
      </c>
      <c r="CS20">
        <v>718858.25034851499</v>
      </c>
      <c r="CT20">
        <v>1633768.7507920801</v>
      </c>
      <c r="CU20">
        <v>1131953.9572385601</v>
      </c>
      <c r="CV20">
        <v>2572622.6300876299</v>
      </c>
      <c r="CW20">
        <v>1131953.9572385601</v>
      </c>
      <c r="CX20">
        <v>2572622.6300876299</v>
      </c>
      <c r="CY20">
        <v>718858.25034851499</v>
      </c>
      <c r="CZ20">
        <v>1633768.7507920801</v>
      </c>
      <c r="DA20">
        <v>718858.25034851499</v>
      </c>
      <c r="DB20">
        <v>1633768.7507920801</v>
      </c>
      <c r="DC20">
        <v>5837707.0592727801</v>
      </c>
      <c r="DD20">
        <v>13267516.043801799</v>
      </c>
      <c r="DE20">
        <v>5837707.0592727801</v>
      </c>
      <c r="DF20">
        <v>13267516.043801799</v>
      </c>
      <c r="DG20">
        <v>5837707.0592727801</v>
      </c>
      <c r="DH20">
        <v>13267516.043801799</v>
      </c>
      <c r="DI20">
        <v>1286311.3150438201</v>
      </c>
      <c r="DJ20">
        <v>2572622.6300876299</v>
      </c>
      <c r="DK20">
        <v>1286311.3150438201</v>
      </c>
      <c r="DL20">
        <v>2572622.6300876299</v>
      </c>
      <c r="DM20">
        <v>816884.37539604004</v>
      </c>
      <c r="DN20">
        <v>1633768.7507920801</v>
      </c>
      <c r="DO20">
        <v>816884.37539603899</v>
      </c>
      <c r="DP20">
        <v>1633768.7507920801</v>
      </c>
      <c r="DQ20">
        <v>1286311.3150438201</v>
      </c>
      <c r="DR20">
        <v>2572622.6300876299</v>
      </c>
      <c r="DS20">
        <v>1286311.3150438201</v>
      </c>
      <c r="DT20">
        <v>2572622.6300876299</v>
      </c>
      <c r="DU20">
        <v>816884.37539604004</v>
      </c>
      <c r="DV20">
        <v>1633768.7507920801</v>
      </c>
      <c r="DW20">
        <v>816884.37539603899</v>
      </c>
      <c r="DX20">
        <v>1633768.7507920801</v>
      </c>
      <c r="DY20">
        <v>1286311.3150438201</v>
      </c>
      <c r="DZ20">
        <v>2572622.6300876299</v>
      </c>
      <c r="EA20">
        <v>1286311.3150438201</v>
      </c>
      <c r="EB20">
        <v>2572622.6300876299</v>
      </c>
      <c r="EC20">
        <v>816884.37539604004</v>
      </c>
      <c r="ED20">
        <v>1633768.7507920801</v>
      </c>
      <c r="EE20">
        <v>816884.37539603899</v>
      </c>
      <c r="EF20">
        <v>1633768.7507920801</v>
      </c>
      <c r="EG20">
        <v>6633758.0219008904</v>
      </c>
      <c r="EH20">
        <v>13267516.043801799</v>
      </c>
      <c r="EI20">
        <v>6633758.0219008904</v>
      </c>
      <c r="EJ20">
        <v>13267516.043801799</v>
      </c>
      <c r="EK20">
        <v>6633758.0219008904</v>
      </c>
      <c r="EL20">
        <v>13267516.043801799</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-45.048188752552797</v>
      </c>
      <c r="GC20">
        <v>-76.2434218444685</v>
      </c>
      <c r="GD20">
        <v>-59.269336330892898</v>
      </c>
      <c r="GE20">
        <v>-33.3510217181109</v>
      </c>
      <c r="GF20">
        <v>-51.640866408716903</v>
      </c>
      <c r="GG20">
        <v>-34.884669095647702</v>
      </c>
      <c r="GH20">
        <v>-42.8811493938476</v>
      </c>
      <c r="GI20">
        <v>-63.139386617333301</v>
      </c>
      <c r="GJ20">
        <v>-60.372234946355299</v>
      </c>
      <c r="GK20">
        <v>-32.445679055482898</v>
      </c>
      <c r="GL20">
        <v>-63.891312434065597</v>
      </c>
      <c r="GM20">
        <v>-39.264878185566801</v>
      </c>
      <c r="GN20">
        <v>-36.773939665421103</v>
      </c>
      <c r="GO20">
        <v>21.154122742163899</v>
      </c>
      <c r="GP20">
        <v>21.245320667955301</v>
      </c>
      <c r="GQ20">
        <v>3.2048413367434998</v>
      </c>
      <c r="GR20">
        <v>-15.211007729698901</v>
      </c>
      <c r="GS20">
        <v>-81.064172332417797</v>
      </c>
      <c r="GT20">
        <v>-25.156442514133101</v>
      </c>
      <c r="GU20">
        <v>21.1040702707318</v>
      </c>
      <c r="GV20">
        <v>21.2022336279157</v>
      </c>
      <c r="GW20">
        <v>2.5122978951014598</v>
      </c>
      <c r="GX20">
        <v>-9.4126031194158806</v>
      </c>
      <c r="GY20">
        <v>-49.550336234884298</v>
      </c>
      <c r="GZ20">
        <v>-37.238952602961497</v>
      </c>
      <c r="HA20">
        <v>21.292229329182302</v>
      </c>
      <c r="HB20">
        <v>21.384869766779602</v>
      </c>
      <c r="HC20">
        <v>2.3445199877051399</v>
      </c>
      <c r="HD20">
        <v>-17.113859498532499</v>
      </c>
      <c r="HE20">
        <v>-77.407399379481603</v>
      </c>
      <c r="HF20">
        <v>-23.954381137412401</v>
      </c>
      <c r="HG20">
        <v>21.133304492611501</v>
      </c>
      <c r="HH20">
        <v>21.241094537576402</v>
      </c>
      <c r="HI20">
        <v>3.7413931725867</v>
      </c>
      <c r="HJ20">
        <v>-9.0231138161409703</v>
      </c>
      <c r="HK20">
        <v>-55.194718200080999</v>
      </c>
      <c r="HL20">
        <v>-43.023050689062103</v>
      </c>
      <c r="HM20">
        <v>22.2147711800379</v>
      </c>
      <c r="HN20">
        <v>22.606355780692599</v>
      </c>
      <c r="HO20">
        <v>9.2672979878899095</v>
      </c>
      <c r="HP20">
        <v>-93.082949015731401</v>
      </c>
      <c r="HQ20">
        <v>21.7350269464979</v>
      </c>
      <c r="HR20">
        <v>-58.7083141388703</v>
      </c>
      <c r="HS20">
        <v>-30.7787781049045</v>
      </c>
      <c r="HT20">
        <v>22.2197020969849</v>
      </c>
      <c r="HU20">
        <v>22.6255463451864</v>
      </c>
      <c r="HV20">
        <v>4.2003498866559701</v>
      </c>
      <c r="HW20">
        <v>-65.000204898340996</v>
      </c>
      <c r="HX20">
        <v>21.708620109477799</v>
      </c>
      <c r="HY20">
        <v>-40.848776494191299</v>
      </c>
      <c r="HZ20">
        <v>22.288449268377899</v>
      </c>
      <c r="IA20">
        <v>22.657501422337301</v>
      </c>
      <c r="IB20">
        <v>13.9050034454732</v>
      </c>
      <c r="IC20">
        <v>-36.675498656138203</v>
      </c>
      <c r="ID20">
        <v>-63.7764206325662</v>
      </c>
      <c r="IE20">
        <v>21.881982715635399</v>
      </c>
      <c r="IF20">
        <v>-45.811983232620101</v>
      </c>
      <c r="IG20">
        <v>-5.1879141229243899</v>
      </c>
      <c r="IH20">
        <v>22.2078311243225</v>
      </c>
      <c r="II20">
        <v>22.620144826173401</v>
      </c>
      <c r="IJ20">
        <v>6.7016710158344397</v>
      </c>
      <c r="IK20">
        <v>-4.3423705309852201</v>
      </c>
      <c r="IL20">
        <v>-29.422573317028899</v>
      </c>
      <c r="IM20">
        <v>-61.981031693459798</v>
      </c>
      <c r="IN20">
        <v>21.7004109430329</v>
      </c>
      <c r="IO20">
        <v>0.633012042791264</v>
      </c>
      <c r="IP20">
        <v>-38.891148078587797</v>
      </c>
      <c r="IQ20">
        <v>-31.276139571155099</v>
      </c>
      <c r="IR20">
        <v>-16.872517711834501</v>
      </c>
      <c r="IS20">
        <v>-22.982928743702701</v>
      </c>
      <c r="IT20">
        <v>-17.4354734999919</v>
      </c>
      <c r="IU20">
        <v>-1490.2077145338701</v>
      </c>
      <c r="IV20">
        <v>-36.8471714419885</v>
      </c>
      <c r="IW20">
        <v>21.458338069949299</v>
      </c>
      <c r="IX20">
        <v>21.7350269464979</v>
      </c>
      <c r="IY20">
        <v>24.347528687674899</v>
      </c>
      <c r="IZ20">
        <v>-29.366885732156401</v>
      </c>
      <c r="JA20">
        <v>-260.32917015525197</v>
      </c>
      <c r="JB20">
        <v>-25.491007662466799</v>
      </c>
      <c r="JC20">
        <v>21.412522824004501</v>
      </c>
      <c r="JD20">
        <v>21.708620109477799</v>
      </c>
      <c r="JE20">
        <v>17.070865777253399</v>
      </c>
      <c r="JF20">
        <v>-18.5258584802712</v>
      </c>
      <c r="JG20">
        <v>-166.58573901175399</v>
      </c>
      <c r="JH20">
        <v>-37.491802125702598</v>
      </c>
      <c r="JI20">
        <v>21.603162348251502</v>
      </c>
      <c r="JJ20">
        <v>21.881982715635399</v>
      </c>
      <c r="JK20">
        <v>24.629487748735698</v>
      </c>
      <c r="JL20">
        <v>-30.1382481704036</v>
      </c>
      <c r="JM20">
        <v>-255.52078031649</v>
      </c>
      <c r="JN20">
        <v>-23.942048759089701</v>
      </c>
      <c r="JO20">
        <v>21.413378437899102</v>
      </c>
      <c r="JP20">
        <v>21.7004109430329</v>
      </c>
      <c r="JQ20">
        <v>0.91658401827613101</v>
      </c>
      <c r="JR20">
        <v>16.958404454223601</v>
      </c>
      <c r="JS20">
        <v>0.74451620733883095</v>
      </c>
      <c r="JT20">
        <v>-17.700993415306201</v>
      </c>
      <c r="JU20">
        <v>-164.76291100261</v>
      </c>
      <c r="JV20">
        <v>-44.638519064948603</v>
      </c>
      <c r="JW20">
        <v>-113.730099694206</v>
      </c>
      <c r="JX20">
        <v>-78.173414719434007</v>
      </c>
      <c r="JY20">
        <v>-30.875317379613001</v>
      </c>
      <c r="JZ20">
        <v>-72.743166746701803</v>
      </c>
      <c r="KA20">
        <v>-51.095253338210803</v>
      </c>
      <c r="KB20">
        <v>-41.951712259265001</v>
      </c>
      <c r="KC20">
        <v>-92.419386092767695</v>
      </c>
      <c r="KD20">
        <v>-72.866457297208498</v>
      </c>
      <c r="KE20">
        <v>-30.065131585279602</v>
      </c>
      <c r="KF20">
        <v>19.169918147487</v>
      </c>
      <c r="KG20">
        <v>-223.46655839859901</v>
      </c>
      <c r="KH20">
        <v>1.2502605233320301</v>
      </c>
      <c r="KI20">
        <v>-74.901346074252899</v>
      </c>
      <c r="KJ20">
        <v>-50.009004344513102</v>
      </c>
      <c r="KK20">
        <v>-20.792951524680699</v>
      </c>
      <c r="KL20">
        <v>20.9277540634308</v>
      </c>
      <c r="KM20">
        <v>21.412515024412901</v>
      </c>
      <c r="KN20">
        <v>43.605700695489702</v>
      </c>
      <c r="KO20">
        <v>20.331790420979502</v>
      </c>
      <c r="KP20">
        <v>7.5041643051755704</v>
      </c>
      <c r="KQ20">
        <v>-84.900508945953106</v>
      </c>
      <c r="KR20">
        <v>-662.39051279996204</v>
      </c>
      <c r="KS20">
        <v>-15.3725716731063</v>
      </c>
      <c r="KT20">
        <v>20.887303112883998</v>
      </c>
      <c r="KU20">
        <v>21.397967918326099</v>
      </c>
      <c r="KV20">
        <v>30.334860739302702</v>
      </c>
      <c r="KW20">
        <v>20.277065231539598</v>
      </c>
      <c r="KX20">
        <v>7.5042109982026801</v>
      </c>
      <c r="KY20">
        <v>-54.476723073953501</v>
      </c>
      <c r="KZ20">
        <v>-423.517314321409</v>
      </c>
      <c r="LA20">
        <v>-22.539066245018901</v>
      </c>
      <c r="LB20">
        <v>21.070668575916699</v>
      </c>
      <c r="LC20">
        <v>21.555643820719801</v>
      </c>
      <c r="LD20">
        <v>36.672852655412498</v>
      </c>
      <c r="LE20">
        <v>20.4714592495788</v>
      </c>
      <c r="LF20">
        <v>7.5042241264559797</v>
      </c>
      <c r="LG20">
        <v>-95.292889367983193</v>
      </c>
      <c r="LH20">
        <v>-671.94822773554495</v>
      </c>
      <c r="LI20">
        <v>-13.256742991267499</v>
      </c>
      <c r="LJ20">
        <v>20.887441842946501</v>
      </c>
      <c r="LK20">
        <v>21.377346762654199</v>
      </c>
      <c r="LL20">
        <v>28.937288011806402</v>
      </c>
      <c r="LM20">
        <v>20.2886692873893</v>
      </c>
      <c r="LN20">
        <v>7.5045478881626702</v>
      </c>
      <c r="LO20">
        <v>-52.890778664647598</v>
      </c>
      <c r="LP20">
        <v>-418.32270067093299</v>
      </c>
      <c r="LQ20">
        <v>-6.6384609965546604</v>
      </c>
      <c r="LR20">
        <v>18.844353823240599</v>
      </c>
      <c r="LS20">
        <v>16.440999999999999</v>
      </c>
      <c r="LT20">
        <v>-54.844942364238797</v>
      </c>
      <c r="LU20">
        <v>-1016.15188930586</v>
      </c>
      <c r="LV20">
        <v>19.877968299172601</v>
      </c>
      <c r="LW20">
        <v>20.912209083722701</v>
      </c>
      <c r="LX20">
        <v>332.712498107893</v>
      </c>
      <c r="LY20">
        <v>-4.7121719201203698</v>
      </c>
      <c r="LZ20">
        <v>18.825846690843299</v>
      </c>
      <c r="MA20">
        <v>16.440999999999999</v>
      </c>
      <c r="MB20">
        <v>-34.242103722880202</v>
      </c>
      <c r="MC20">
        <v>-635.840000847341</v>
      </c>
      <c r="MD20">
        <v>19.8497821550982</v>
      </c>
      <c r="ME20">
        <v>20.882238117301</v>
      </c>
      <c r="MF20">
        <v>209.57523161291101</v>
      </c>
      <c r="MG20">
        <v>-3.2653801871744599</v>
      </c>
      <c r="MH20">
        <v>18.890052851375899</v>
      </c>
      <c r="MI20">
        <v>16.440999999999999</v>
      </c>
      <c r="MJ20">
        <v>15.110565494450601</v>
      </c>
      <c r="MK20">
        <v>-969.17175404403804</v>
      </c>
      <c r="ML20">
        <v>19.948968654028501</v>
      </c>
      <c r="MM20">
        <v>21.035093387548599</v>
      </c>
      <c r="MN20">
        <v>412.15482881275</v>
      </c>
      <c r="MO20">
        <v>-4.36064315319478</v>
      </c>
      <c r="MP20">
        <v>18.831987475140799</v>
      </c>
      <c r="MQ20">
        <v>16.440999999999999</v>
      </c>
      <c r="MR20">
        <v>-36.5543367715443</v>
      </c>
      <c r="MS20">
        <v>-652.08968411795195</v>
      </c>
      <c r="MT20">
        <v>19.877546162575602</v>
      </c>
      <c r="MU20">
        <v>20.929224860415601</v>
      </c>
      <c r="MV20">
        <v>212.411874485765</v>
      </c>
      <c r="MW20">
        <v>-9.5393445457314705</v>
      </c>
      <c r="MX20">
        <v>21.055221854094601</v>
      </c>
      <c r="MY20">
        <v>21.033072593471498</v>
      </c>
      <c r="MZ20">
        <v>100.49115175916</v>
      </c>
      <c r="NA20">
        <v>-246.55564831028099</v>
      </c>
      <c r="NB20">
        <v>21.470270582916498</v>
      </c>
      <c r="NC20">
        <v>21.8353698366316</v>
      </c>
      <c r="ND20">
        <v>256.11515544619402</v>
      </c>
      <c r="NE20">
        <v>-6.5608629570166999</v>
      </c>
      <c r="NF20">
        <v>21.029973728072399</v>
      </c>
      <c r="NG20">
        <v>20.981220128590198</v>
      </c>
      <c r="NH20">
        <v>62.061839817671803</v>
      </c>
      <c r="NI20">
        <v>-160.56142053681799</v>
      </c>
      <c r="NJ20">
        <v>21.451175756511098</v>
      </c>
      <c r="NK20">
        <v>21.822071806161301</v>
      </c>
      <c r="NL20">
        <v>162.35757113769199</v>
      </c>
      <c r="NM20">
        <v>-6.5803896636730697</v>
      </c>
      <c r="NN20">
        <v>21.1809049798707</v>
      </c>
      <c r="NO20" s="35">
        <v>21.171664215240899</v>
      </c>
      <c r="NP20">
        <v>164.06720705733301</v>
      </c>
      <c r="NQ20" s="35">
        <v>-194.35934531420199</v>
      </c>
      <c r="NR20" s="35">
        <v>21.611011337384401</v>
      </c>
      <c r="NS20">
        <v>21.986408198053599</v>
      </c>
      <c r="NT20">
        <v>325.33712241772798</v>
      </c>
      <c r="NU20">
        <v>-6.4439613146725998</v>
      </c>
      <c r="NV20">
        <v>21.017537930950802</v>
      </c>
      <c r="NW20">
        <v>21.001397707182299</v>
      </c>
      <c r="NX20">
        <v>1.7</v>
      </c>
      <c r="NY20">
        <v>62.333025752237198</v>
      </c>
      <c r="NZ20">
        <v>-157.27277090559301</v>
      </c>
      <c r="OA20">
        <v>21.433326216852301</v>
      </c>
      <c r="OB20">
        <v>21.804190668224301</v>
      </c>
      <c r="OC20">
        <v>1.7</v>
      </c>
      <c r="OD20">
        <v>161.33964821170301</v>
      </c>
      <c r="OE20">
        <v>1.7</v>
      </c>
      <c r="OF20">
        <v>1.7</v>
      </c>
      <c r="OG20">
        <v>-10.178378898563601</v>
      </c>
      <c r="OH20">
        <v>20.9987474108691</v>
      </c>
      <c r="OI20">
        <v>21.171821522564301</v>
      </c>
      <c r="OJ20">
        <v>94.134633940041695</v>
      </c>
      <c r="OK20">
        <v>-239.645252370083</v>
      </c>
      <c r="OL20">
        <v>21.3973744954042</v>
      </c>
      <c r="OM20">
        <v>21.676782328216699</v>
      </c>
      <c r="ON20">
        <v>243.601283433291</v>
      </c>
      <c r="OO20">
        <v>-6.7763836274680802</v>
      </c>
      <c r="OP20">
        <v>21.014809728544499</v>
      </c>
      <c r="OQ20">
        <v>21.1164334550223</v>
      </c>
      <c r="OR20">
        <v>57.132728519805198</v>
      </c>
      <c r="OS20">
        <v>-164.31335872253399</v>
      </c>
      <c r="OT20">
        <v>21.431577953400399</v>
      </c>
      <c r="OU20">
        <v>21.694828827383901</v>
      </c>
      <c r="OV20">
        <v>156.372691959224</v>
      </c>
      <c r="OW20">
        <v>-7.5431033904802396</v>
      </c>
      <c r="OX20">
        <v>21.122144780497798</v>
      </c>
      <c r="OY20">
        <v>21.316305540696</v>
      </c>
      <c r="OZ20">
        <v>152.576997263257</v>
      </c>
      <c r="PA20">
        <v>-181.57922058626599</v>
      </c>
      <c r="PB20">
        <v>21.525019929676599</v>
      </c>
      <c r="PC20">
        <v>21.816872993736599</v>
      </c>
      <c r="PD20">
        <v>303.63647377141803</v>
      </c>
      <c r="PE20">
        <v>-6.9209195756962103</v>
      </c>
      <c r="PF20">
        <v>20.945437950902299</v>
      </c>
      <c r="PG20">
        <v>21.122210518672102</v>
      </c>
      <c r="PH20">
        <v>1.7</v>
      </c>
      <c r="PI20">
        <v>57.6631064159087</v>
      </c>
      <c r="PJ20">
        <v>-155.397404821295</v>
      </c>
      <c r="PK20">
        <v>21.347771739096501</v>
      </c>
      <c r="PL20">
        <v>21.6379071689244</v>
      </c>
      <c r="PM20" s="35">
        <v>1.7</v>
      </c>
      <c r="PN20">
        <v>153.465972492492</v>
      </c>
      <c r="PO20">
        <v>21.088622138553401</v>
      </c>
      <c r="PP20">
        <v>21.050534170252501</v>
      </c>
      <c r="PQ20">
        <v>21.199787812215298</v>
      </c>
      <c r="PR20">
        <v>21.091046383577499</v>
      </c>
      <c r="PS20">
        <v>21.6556762687534</v>
      </c>
      <c r="PT20">
        <v>21.718626256179999</v>
      </c>
      <c r="PU20">
        <v>21.689330786601399</v>
      </c>
      <c r="PV20">
        <v>21.8350278474684</v>
      </c>
      <c r="PW20">
        <v>21.677233413042099</v>
      </c>
      <c r="PX20">
        <v>22.793282405570899</v>
      </c>
      <c r="PY20">
        <v>21.492594710307301</v>
      </c>
      <c r="PZ20">
        <v>21.479955241049399</v>
      </c>
      <c r="QA20">
        <v>21.601159093868599</v>
      </c>
      <c r="QB20">
        <v>21.446399113756399</v>
      </c>
      <c r="QC20">
        <v>22.7317186835716</v>
      </c>
      <c r="QD20">
        <v>21.070081723222302</v>
      </c>
      <c r="QE20">
        <v>21.118866946401301</v>
      </c>
      <c r="QF20">
        <v>21.097087780940299</v>
      </c>
      <c r="QG20">
        <v>21.193199084244601</v>
      </c>
      <c r="QH20">
        <v>21.114650388741101</v>
      </c>
      <c r="QI20">
        <v>21.312552783356502</v>
      </c>
      <c r="QJ20">
        <v>21.455509526054701</v>
      </c>
      <c r="QK20">
        <v>21.435197193197201</v>
      </c>
      <c r="QL20">
        <v>21.539763841294398</v>
      </c>
      <c r="QM20">
        <v>21.421126510926101</v>
      </c>
      <c r="QN20">
        <v>-410.30571728735401</v>
      </c>
      <c r="QO20">
        <v>23.128894589991699</v>
      </c>
      <c r="QP20">
        <v>393.04187240792601</v>
      </c>
      <c r="QQ20">
        <v>21.3316400470083</v>
      </c>
      <c r="QR20">
        <v>21.323160536432901</v>
      </c>
      <c r="QS20">
        <v>21.408006029888401</v>
      </c>
      <c r="QT20">
        <v>21.297873437305999</v>
      </c>
      <c r="QU20">
        <v>23.1560742342539</v>
      </c>
      <c r="QV20">
        <v>18.401886705786598</v>
      </c>
      <c r="QW20">
        <v>573287.79174755304</v>
      </c>
      <c r="QX20">
        <v>0</v>
      </c>
      <c r="QY20">
        <v>410844.03714233299</v>
      </c>
      <c r="QZ20">
        <v>0</v>
      </c>
      <c r="RA20">
        <v>49806.318029823597</v>
      </c>
      <c r="RB20">
        <v>0</v>
      </c>
      <c r="RC20">
        <v>33482.822173381202</v>
      </c>
      <c r="RD20">
        <v>0</v>
      </c>
      <c r="RE20">
        <v>198887.13448240599</v>
      </c>
      <c r="RF20">
        <v>0</v>
      </c>
      <c r="RG20">
        <v>137239.518080915</v>
      </c>
      <c r="RH20" s="35">
        <v>0</v>
      </c>
      <c r="RI20">
        <v>1268.48833977564</v>
      </c>
      <c r="RJ20" s="35">
        <v>0</v>
      </c>
      <c r="RK20">
        <v>21.149111754249098</v>
      </c>
      <c r="RL20">
        <v>1248.9546931396101</v>
      </c>
      <c r="RM20" s="35">
        <v>1248.9546931396101</v>
      </c>
      <c r="RN20">
        <v>5397.2401205829701</v>
      </c>
      <c r="RO20" s="35">
        <v>874.27751628278395</v>
      </c>
      <c r="RP20">
        <v>0</v>
      </c>
      <c r="RQ20" s="35">
        <v>21.143641391628101</v>
      </c>
      <c r="RR20" s="35">
        <v>861.89043179692203</v>
      </c>
      <c r="RS20">
        <v>861.89043179692203</v>
      </c>
      <c r="RT20">
        <v>3496.9388948298101</v>
      </c>
      <c r="RU20">
        <v>1149.27564133033</v>
      </c>
      <c r="RV20">
        <v>0</v>
      </c>
      <c r="RW20" s="35">
        <v>21.186610356273899</v>
      </c>
      <c r="RX20">
        <v>1104.90014379185</v>
      </c>
      <c r="RY20">
        <v>1104.90014379185</v>
      </c>
      <c r="RZ20">
        <v>5251.2172906257301</v>
      </c>
      <c r="SA20">
        <v>902.41055479986699</v>
      </c>
      <c r="SB20">
        <v>0</v>
      </c>
      <c r="SC20">
        <v>21.138254393904699</v>
      </c>
      <c r="SD20">
        <v>892.79337984074004</v>
      </c>
      <c r="SE20">
        <v>892.79337984074004</v>
      </c>
      <c r="SF20">
        <v>3527.98486965455</v>
      </c>
      <c r="SG20">
        <v>0</v>
      </c>
      <c r="SH20">
        <v>16313.231822641301</v>
      </c>
      <c r="SI20">
        <v>20.9694292979596</v>
      </c>
      <c r="SJ20">
        <v>4420.95530000493</v>
      </c>
      <c r="SK20">
        <v>1842.8489862809799</v>
      </c>
      <c r="SL20">
        <v>24435.664698232998</v>
      </c>
      <c r="SM20" s="35">
        <v>21.1111</v>
      </c>
      <c r="SN20">
        <v>23.8889</v>
      </c>
      <c r="SO20">
        <v>28.8370852256683</v>
      </c>
      <c r="SP20">
        <v>0</v>
      </c>
      <c r="SQ20">
        <v>21.0708706722207</v>
      </c>
      <c r="SR20">
        <v>0</v>
      </c>
      <c r="SS20">
        <v>0</v>
      </c>
      <c r="ST20">
        <v>0</v>
      </c>
      <c r="SU20">
        <v>22.380640692604199</v>
      </c>
      <c r="SV20">
        <v>0</v>
      </c>
      <c r="SW20">
        <v>21.0242349680099</v>
      </c>
      <c r="SX20">
        <v>0</v>
      </c>
      <c r="SY20" s="35">
        <v>0</v>
      </c>
      <c r="SZ20">
        <v>0</v>
      </c>
      <c r="TA20">
        <v>29.966519126930301</v>
      </c>
      <c r="TB20">
        <v>0</v>
      </c>
      <c r="TC20">
        <v>21.2061990659546</v>
      </c>
      <c r="TD20">
        <v>0</v>
      </c>
      <c r="TE20">
        <v>0</v>
      </c>
      <c r="TF20">
        <v>0</v>
      </c>
      <c r="TG20">
        <v>17.9704319176304</v>
      </c>
      <c r="TH20">
        <v>0</v>
      </c>
      <c r="TI20">
        <v>21.038004352763402</v>
      </c>
      <c r="TJ20">
        <v>0</v>
      </c>
      <c r="TK20">
        <v>0</v>
      </c>
      <c r="TL20">
        <v>0</v>
      </c>
      <c r="TM20">
        <v>724.76846714295402</v>
      </c>
      <c r="TN20">
        <v>1483.2202205536501</v>
      </c>
      <c r="TO20">
        <v>21.996437643606999</v>
      </c>
      <c r="TP20">
        <v>0</v>
      </c>
      <c r="TQ20">
        <v>0</v>
      </c>
      <c r="TR20">
        <v>0</v>
      </c>
      <c r="TS20">
        <v>1205.74051354266</v>
      </c>
      <c r="TT20">
        <v>0</v>
      </c>
      <c r="TU20">
        <v>21.192392795929301</v>
      </c>
      <c r="TV20">
        <v>1170.02673508934</v>
      </c>
      <c r="TW20">
        <v>1170.02673508934</v>
      </c>
      <c r="TX20">
        <v>5318.0564375800504</v>
      </c>
      <c r="TY20">
        <v>858.98478780697303</v>
      </c>
      <c r="TZ20">
        <v>0</v>
      </c>
      <c r="UA20">
        <v>21.181063599792999</v>
      </c>
      <c r="UB20">
        <v>838.877576005484</v>
      </c>
      <c r="UC20">
        <v>838.877576005484</v>
      </c>
      <c r="UD20">
        <v>3474.3444115348102</v>
      </c>
      <c r="UE20">
        <v>1008.82893736549</v>
      </c>
      <c r="UF20">
        <v>0</v>
      </c>
      <c r="UG20">
        <v>21.244499835120401</v>
      </c>
      <c r="UH20">
        <v>954.40442781689296</v>
      </c>
      <c r="UI20">
        <v>954.40442781689296</v>
      </c>
      <c r="UJ20">
        <v>5101.2424270311403</v>
      </c>
      <c r="UK20">
        <v>860.36027869679594</v>
      </c>
      <c r="UL20">
        <v>0</v>
      </c>
      <c r="UM20">
        <v>21.165019608809999</v>
      </c>
      <c r="UN20">
        <v>842.98457552864295</v>
      </c>
      <c r="UO20">
        <v>842.98457552864295</v>
      </c>
      <c r="UP20">
        <v>3478.2486760520601</v>
      </c>
      <c r="UQ20">
        <v>0</v>
      </c>
      <c r="UR20">
        <v>5986.2812285665004</v>
      </c>
      <c r="US20">
        <v>23.464506774412602</v>
      </c>
      <c r="UT20">
        <v>0</v>
      </c>
      <c r="UU20">
        <v>-10688.0566416482</v>
      </c>
      <c r="UV20">
        <v>11673.216411662799</v>
      </c>
      <c r="UW20">
        <v>21.1111</v>
      </c>
      <c r="UX20">
        <v>23.8889</v>
      </c>
      <c r="UY20">
        <v>12.595934447054301</v>
      </c>
      <c r="UZ20">
        <v>1.24963132705852</v>
      </c>
      <c r="VA20">
        <v>21.262390770361701</v>
      </c>
      <c r="VB20">
        <v>0</v>
      </c>
      <c r="VC20">
        <v>0</v>
      </c>
      <c r="VD20">
        <v>0</v>
      </c>
      <c r="VE20">
        <v>11.744049636156101</v>
      </c>
      <c r="VF20">
        <v>0</v>
      </c>
      <c r="VG20">
        <v>21.214187883462198</v>
      </c>
      <c r="VH20">
        <v>0</v>
      </c>
      <c r="VI20">
        <v>0</v>
      </c>
      <c r="VJ20">
        <v>0</v>
      </c>
      <c r="VK20">
        <v>18.7735191440233</v>
      </c>
      <c r="VL20">
        <v>12.3913087259739</v>
      </c>
      <c r="VM20">
        <v>21.394422491326502</v>
      </c>
      <c r="VN20">
        <v>0</v>
      </c>
      <c r="VO20">
        <v>0</v>
      </c>
      <c r="VP20">
        <v>0</v>
      </c>
      <c r="VQ20">
        <v>7.8801110024049903</v>
      </c>
      <c r="VR20">
        <v>0.53985091659762896</v>
      </c>
      <c r="VS20">
        <v>21.2105543971679</v>
      </c>
      <c r="VT20">
        <v>0</v>
      </c>
      <c r="VU20">
        <v>0</v>
      </c>
      <c r="VV20">
        <v>0</v>
      </c>
      <c r="VW20">
        <v>446.35244770691901</v>
      </c>
      <c r="VX20">
        <v>0</v>
      </c>
      <c r="VY20">
        <v>22.674024013847401</v>
      </c>
      <c r="VZ20">
        <v>0</v>
      </c>
      <c r="WA20">
        <v>0</v>
      </c>
      <c r="WB20">
        <v>0</v>
      </c>
      <c r="WC20">
        <v>1393.87303844966</v>
      </c>
      <c r="WD20">
        <v>0</v>
      </c>
      <c r="WE20">
        <v>21.170685383709301</v>
      </c>
      <c r="WF20">
        <v>1370.5497809195899</v>
      </c>
      <c r="WG20">
        <v>1370.5497809195899</v>
      </c>
      <c r="WH20">
        <v>5521.3574927473501</v>
      </c>
      <c r="WI20">
        <v>0</v>
      </c>
      <c r="WJ20">
        <v>956.65416080370096</v>
      </c>
      <c r="WK20">
        <v>0</v>
      </c>
      <c r="WL20">
        <v>21.1663658318164</v>
      </c>
      <c r="WM20">
        <v>940.64790917611799</v>
      </c>
      <c r="WN20">
        <v>940.64790917611799</v>
      </c>
      <c r="WO20">
        <v>3579.35407675542</v>
      </c>
      <c r="WP20">
        <v>21.1111</v>
      </c>
      <c r="WQ20">
        <v>23.8889</v>
      </c>
      <c r="WR20">
        <v>1241.05286015866</v>
      </c>
      <c r="WS20">
        <v>0</v>
      </c>
      <c r="WT20">
        <v>21.2148529659082</v>
      </c>
      <c r="WU20">
        <v>1195.7247512387601</v>
      </c>
      <c r="WV20">
        <v>1195.7247512387601</v>
      </c>
      <c r="WW20">
        <v>5344.6610081568797</v>
      </c>
      <c r="WX20">
        <v>0</v>
      </c>
      <c r="WY20">
        <v>979.05405840925096</v>
      </c>
      <c r="WZ20">
        <v>0</v>
      </c>
      <c r="XA20">
        <v>21.149347760855601</v>
      </c>
      <c r="XB20">
        <v>966.213668362833</v>
      </c>
      <c r="XC20">
        <v>966.213668362833</v>
      </c>
      <c r="XD20">
        <v>3603.2236797980399</v>
      </c>
      <c r="XE20">
        <v>0</v>
      </c>
      <c r="XF20">
        <v>5835.8308479543603</v>
      </c>
      <c r="XG20">
        <v>23.5804297849362</v>
      </c>
      <c r="XH20">
        <v>0</v>
      </c>
      <c r="XI20">
        <v>-10415.8879344048</v>
      </c>
      <c r="XJ20">
        <v>11528.262471984301</v>
      </c>
      <c r="XK20">
        <v>21.1111</v>
      </c>
      <c r="XL20">
        <v>23.8889</v>
      </c>
      <c r="XM20">
        <v>137.039402091178</v>
      </c>
      <c r="XN20">
        <v>0</v>
      </c>
      <c r="XO20">
        <v>20.598863707621899</v>
      </c>
      <c r="XP20">
        <v>0</v>
      </c>
      <c r="XQ20">
        <v>0</v>
      </c>
      <c r="XR20">
        <v>0</v>
      </c>
      <c r="XS20">
        <v>92.540534848421999</v>
      </c>
      <c r="XT20">
        <v>0</v>
      </c>
      <c r="XU20">
        <v>20.554554654644502</v>
      </c>
      <c r="XV20">
        <v>0</v>
      </c>
      <c r="XW20">
        <v>0</v>
      </c>
      <c r="XX20">
        <v>0</v>
      </c>
      <c r="XY20">
        <v>169.659433748715</v>
      </c>
      <c r="XZ20">
        <v>0</v>
      </c>
      <c r="YA20">
        <v>20.777946506450601</v>
      </c>
      <c r="YB20">
        <v>0</v>
      </c>
      <c r="YC20">
        <v>0</v>
      </c>
      <c r="YD20">
        <v>0</v>
      </c>
      <c r="YE20">
        <v>86.667500307869503</v>
      </c>
      <c r="YF20">
        <v>0</v>
      </c>
      <c r="YG20">
        <v>20.553931360277399</v>
      </c>
      <c r="YH20">
        <v>0</v>
      </c>
      <c r="YI20">
        <v>0</v>
      </c>
      <c r="YJ20">
        <v>0</v>
      </c>
      <c r="YK20">
        <v>259.88655754641701</v>
      </c>
      <c r="YL20">
        <v>0</v>
      </c>
      <c r="YM20">
        <v>22.555873218865301</v>
      </c>
      <c r="YN20">
        <v>0</v>
      </c>
      <c r="YO20">
        <v>0</v>
      </c>
      <c r="YP20">
        <v>0</v>
      </c>
      <c r="YQ20">
        <v>0</v>
      </c>
      <c r="YR20">
        <v>461.545565141152</v>
      </c>
      <c r="YS20">
        <v>18.7752954301437</v>
      </c>
      <c r="YT20">
        <v>0</v>
      </c>
      <c r="YU20">
        <v>0</v>
      </c>
      <c r="YV20">
        <v>0</v>
      </c>
      <c r="YW20">
        <v>0</v>
      </c>
      <c r="YX20">
        <v>290.75838551889501</v>
      </c>
      <c r="YY20">
        <v>18.7572373722668</v>
      </c>
      <c r="YZ20">
        <v>0</v>
      </c>
      <c r="ZA20">
        <v>0</v>
      </c>
      <c r="ZB20">
        <v>0</v>
      </c>
      <c r="ZC20">
        <v>0</v>
      </c>
      <c r="ZD20">
        <v>700.39062491484503</v>
      </c>
      <c r="ZE20">
        <v>18.5446093272136</v>
      </c>
      <c r="ZF20">
        <v>0</v>
      </c>
      <c r="ZG20">
        <v>0</v>
      </c>
      <c r="ZH20">
        <v>0</v>
      </c>
      <c r="ZI20">
        <v>0</v>
      </c>
      <c r="ZJ20">
        <v>292.57664347169401</v>
      </c>
      <c r="ZK20">
        <v>18.771141860053099</v>
      </c>
      <c r="ZL20">
        <v>0</v>
      </c>
      <c r="ZM20">
        <v>0</v>
      </c>
      <c r="ZN20">
        <v>0</v>
      </c>
      <c r="ZO20">
        <v>0</v>
      </c>
      <c r="ZP20">
        <v>10931.7687205974</v>
      </c>
      <c r="ZQ20">
        <v>16.3364264593855</v>
      </c>
      <c r="ZR20">
        <v>0</v>
      </c>
      <c r="ZS20">
        <v>0</v>
      </c>
      <c r="ZT20">
        <v>0</v>
      </c>
      <c r="ZU20">
        <v>0</v>
      </c>
      <c r="ZV20">
        <v>499.46901689419298</v>
      </c>
      <c r="ZW20">
        <v>20.6023934194647</v>
      </c>
      <c r="ZX20">
        <v>0</v>
      </c>
      <c r="ZY20">
        <v>0</v>
      </c>
      <c r="ZZ20">
        <v>0</v>
      </c>
      <c r="AAA20">
        <v>0</v>
      </c>
      <c r="AAB20">
        <v>314.95831019776</v>
      </c>
      <c r="AAC20">
        <v>20.585501267157198</v>
      </c>
      <c r="AAD20">
        <v>0</v>
      </c>
      <c r="AAE20">
        <v>0</v>
      </c>
      <c r="AAF20">
        <v>0</v>
      </c>
      <c r="AAG20">
        <v>0</v>
      </c>
      <c r="AAH20">
        <v>698.69420206408495</v>
      </c>
      <c r="AAI20">
        <v>20.490246111870199</v>
      </c>
      <c r="AAJ20">
        <v>0</v>
      </c>
      <c r="AAK20">
        <v>0</v>
      </c>
      <c r="AAL20">
        <v>0</v>
      </c>
      <c r="AAM20">
        <v>0</v>
      </c>
      <c r="AAN20">
        <v>313.47562093198297</v>
      </c>
      <c r="AAO20">
        <v>20.573463611474502</v>
      </c>
      <c r="AAP20">
        <v>0</v>
      </c>
      <c r="AAQ20">
        <v>0</v>
      </c>
      <c r="AAR20">
        <v>0</v>
      </c>
      <c r="AAS20">
        <v>0</v>
      </c>
      <c r="AAT20">
        <v>10337.243719001501</v>
      </c>
      <c r="AAU20">
        <v>18.290849828912499</v>
      </c>
      <c r="AAV20">
        <v>0</v>
      </c>
      <c r="AAW20">
        <v>0</v>
      </c>
      <c r="AAX20">
        <v>0</v>
      </c>
      <c r="AAY20">
        <v>0</v>
      </c>
      <c r="AAZ20">
        <v>469.53922831233001</v>
      </c>
      <c r="ABA20">
        <v>20.572843680851399</v>
      </c>
      <c r="ABB20">
        <v>0</v>
      </c>
      <c r="ABC20">
        <v>0</v>
      </c>
      <c r="ABD20">
        <v>0</v>
      </c>
      <c r="ABE20">
        <v>0</v>
      </c>
      <c r="ABF20">
        <v>300.73702867805503</v>
      </c>
      <c r="ABG20">
        <v>20.594007915496601</v>
      </c>
      <c r="ABH20">
        <v>0</v>
      </c>
      <c r="ABI20">
        <v>0</v>
      </c>
      <c r="ABJ20">
        <v>0</v>
      </c>
      <c r="ABK20">
        <v>0</v>
      </c>
      <c r="ABL20">
        <v>645.53134312266798</v>
      </c>
      <c r="ABM20">
        <v>20.481188661910299</v>
      </c>
      <c r="ABN20">
        <v>0</v>
      </c>
      <c r="ABO20">
        <v>0</v>
      </c>
      <c r="ABP20">
        <v>0</v>
      </c>
      <c r="ABQ20">
        <v>0</v>
      </c>
      <c r="ABR20">
        <v>292.99921844342902</v>
      </c>
      <c r="ABS20">
        <v>20.5321675439037</v>
      </c>
      <c r="ABT20">
        <v>0</v>
      </c>
      <c r="ABU20">
        <v>0</v>
      </c>
      <c r="ABV20">
        <v>0</v>
      </c>
      <c r="ABW20">
        <v>0</v>
      </c>
      <c r="ABX20">
        <v>10498.487865049699</v>
      </c>
      <c r="ABY20">
        <v>18.401886705786598</v>
      </c>
      <c r="ABZ20">
        <v>0</v>
      </c>
      <c r="ACA20">
        <v>0</v>
      </c>
      <c r="ACB20">
        <v>0</v>
      </c>
      <c r="ACC20">
        <v>0</v>
      </c>
      <c r="ACD20">
        <v>0</v>
      </c>
      <c r="ACE20">
        <v>0</v>
      </c>
      <c r="ACF20">
        <v>11.979373407660701</v>
      </c>
      <c r="ACG20">
        <v>11.979373407660701</v>
      </c>
      <c r="ACH20">
        <v>0</v>
      </c>
      <c r="ACI20">
        <v>0</v>
      </c>
      <c r="ACJ20">
        <v>0</v>
      </c>
      <c r="ACK20">
        <v>20.892476876737199</v>
      </c>
      <c r="ACL20">
        <v>20.892476876737199</v>
      </c>
      <c r="ACM20">
        <v>0</v>
      </c>
      <c r="ACN20">
        <v>36133.831342602003</v>
      </c>
      <c r="ACP20">
        <v>5021.4128078046197</v>
      </c>
      <c r="ACR20">
        <v>41155.244150406601</v>
      </c>
      <c r="ACT20">
        <v>21.254689272747299</v>
      </c>
      <c r="ACU20">
        <v>19.682172059987099</v>
      </c>
      <c r="ACV20">
        <v>1.7</v>
      </c>
      <c r="ACW20">
        <v>12.7950206643703</v>
      </c>
      <c r="ACX20">
        <v>0.68407310484742401</v>
      </c>
      <c r="ACY20">
        <v>23.810990476573501</v>
      </c>
      <c r="ACZ20">
        <v>21.796889591986801</v>
      </c>
      <c r="ADA20">
        <v>1.7</v>
      </c>
      <c r="ADB20">
        <v>1.6509874613277</v>
      </c>
      <c r="ADC20">
        <v>0.64019040496125401</v>
      </c>
      <c r="ADD20">
        <v>23.784977694976501</v>
      </c>
      <c r="ADE20">
        <v>21.7940458196897</v>
      </c>
      <c r="ADF20">
        <v>1.7</v>
      </c>
      <c r="ADG20">
        <v>1.67934060294862</v>
      </c>
      <c r="ADH20">
        <v>0.63485804451933703</v>
      </c>
      <c r="ADI20">
        <v>21.839392883508399</v>
      </c>
      <c r="ADJ20">
        <v>21.839392883508399</v>
      </c>
      <c r="ADK20">
        <v>0</v>
      </c>
      <c r="ADL20">
        <v>0</v>
      </c>
      <c r="ADM20">
        <v>1</v>
      </c>
      <c r="ADN20">
        <v>21.846425807188702</v>
      </c>
      <c r="ADO20">
        <v>21.846425807188702</v>
      </c>
      <c r="ADP20">
        <v>0</v>
      </c>
      <c r="ADQ20">
        <v>0</v>
      </c>
      <c r="ADR20">
        <v>1</v>
      </c>
      <c r="ADS20">
        <v>21.852224767058299</v>
      </c>
      <c r="ADT20">
        <v>21.852224767058299</v>
      </c>
      <c r="ADU20">
        <v>0</v>
      </c>
      <c r="ADV20">
        <v>0</v>
      </c>
      <c r="ADW20">
        <v>1</v>
      </c>
      <c r="ADX20">
        <v>21.870184377606702</v>
      </c>
      <c r="ADY20">
        <v>21.870184377606702</v>
      </c>
      <c r="ADZ20">
        <v>0</v>
      </c>
      <c r="AEA20">
        <v>0</v>
      </c>
      <c r="AEB20">
        <v>1</v>
      </c>
      <c r="AEC20">
        <v>22.078201996850101</v>
      </c>
      <c r="AED20">
        <v>22.078201996850101</v>
      </c>
      <c r="AEE20">
        <v>0</v>
      </c>
      <c r="AEF20">
        <v>0</v>
      </c>
      <c r="AEG20">
        <v>1</v>
      </c>
      <c r="AEH20">
        <v>22.110280298598699</v>
      </c>
      <c r="AEI20">
        <v>22.110280298598699</v>
      </c>
      <c r="AEJ20">
        <v>0</v>
      </c>
      <c r="AEK20">
        <v>0</v>
      </c>
      <c r="AEL20">
        <v>1</v>
      </c>
      <c r="AEM20">
        <v>22.0672811318633</v>
      </c>
      <c r="AEN20">
        <v>22.0672811318633</v>
      </c>
      <c r="AEO20">
        <v>0</v>
      </c>
      <c r="AEP20">
        <v>0</v>
      </c>
      <c r="AEQ20">
        <v>1</v>
      </c>
      <c r="AER20">
        <v>22.0924253009909</v>
      </c>
      <c r="AES20">
        <v>22.0924253009909</v>
      </c>
      <c r="AET20">
        <v>0</v>
      </c>
      <c r="AEU20">
        <v>0</v>
      </c>
      <c r="AEV20">
        <v>1</v>
      </c>
      <c r="AEW20">
        <v>22.0271446803734</v>
      </c>
      <c r="AEX20">
        <v>22.0271446803734</v>
      </c>
      <c r="AEY20">
        <v>0</v>
      </c>
      <c r="AEZ20">
        <v>0</v>
      </c>
      <c r="AFA20">
        <v>1</v>
      </c>
      <c r="AFB20">
        <v>22.051834273207799</v>
      </c>
      <c r="AFC20">
        <v>22.051834273207799</v>
      </c>
      <c r="AFD20">
        <v>0</v>
      </c>
      <c r="AFE20">
        <v>0</v>
      </c>
      <c r="AFF20">
        <v>1</v>
      </c>
      <c r="AFG20">
        <v>22.034580852117401</v>
      </c>
      <c r="AFH20">
        <v>22.034580852117401</v>
      </c>
      <c r="AFI20">
        <v>0</v>
      </c>
      <c r="AFJ20">
        <v>0</v>
      </c>
      <c r="AFK20">
        <v>1</v>
      </c>
      <c r="AFL20">
        <v>22.033899547187598</v>
      </c>
      <c r="AFM20">
        <v>22.033899547187598</v>
      </c>
      <c r="AFN20">
        <v>0</v>
      </c>
      <c r="AFO20">
        <v>0</v>
      </c>
      <c r="AFP20">
        <v>1</v>
      </c>
      <c r="AFQ20">
        <v>-0.72721936664129705</v>
      </c>
      <c r="AFR20">
        <v>-0.70366717766203801</v>
      </c>
      <c r="AFS20">
        <v>-0.70086381286463995</v>
      </c>
      <c r="AFT20">
        <v>-0.70681424509836999</v>
      </c>
      <c r="AFU20">
        <v>-0.74552618958989103</v>
      </c>
      <c r="AFV20">
        <v>-0.75877369299165298</v>
      </c>
      <c r="AFW20">
        <v>-0.76611240621149101</v>
      </c>
      <c r="AFX20">
        <v>-0.72984601390188397</v>
      </c>
      <c r="AFY20">
        <v>-0.77258320156761096</v>
      </c>
      <c r="AFZ20">
        <v>-0.75632602443713204</v>
      </c>
      <c r="AGA20">
        <v>-0.76983083070984004</v>
      </c>
      <c r="AGB20">
        <v>-0.63453431217856604</v>
      </c>
      <c r="AGC20">
        <v>-1.2217528021576201</v>
      </c>
      <c r="AGD20">
        <v>-0.84307038533346401</v>
      </c>
      <c r="AGE20">
        <v>-0.85195681159702796</v>
      </c>
      <c r="AGF20">
        <v>0.5</v>
      </c>
      <c r="AGG20">
        <v>0.5</v>
      </c>
      <c r="AGH20">
        <v>0.25</v>
      </c>
      <c r="AGI20">
        <v>0.5</v>
      </c>
      <c r="AGJ20">
        <v>0.5</v>
      </c>
      <c r="AGK20">
        <v>0</v>
      </c>
      <c r="AGL20">
        <v>0</v>
      </c>
      <c r="AGM20">
        <v>0</v>
      </c>
      <c r="AGN20">
        <v>0</v>
      </c>
      <c r="AGO20">
        <v>0</v>
      </c>
      <c r="AGP20">
        <v>0</v>
      </c>
      <c r="AGQ20">
        <v>0</v>
      </c>
      <c r="AGR20">
        <v>0</v>
      </c>
      <c r="AGS20">
        <v>0</v>
      </c>
      <c r="AGT20">
        <v>0</v>
      </c>
      <c r="AGU20">
        <v>0</v>
      </c>
      <c r="AGV20">
        <v>0</v>
      </c>
      <c r="AGW20">
        <v>0</v>
      </c>
      <c r="AGX20">
        <v>0</v>
      </c>
      <c r="AGY20">
        <v>0</v>
      </c>
      <c r="AGZ20">
        <v>0</v>
      </c>
      <c r="AHA20">
        <v>0.5</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Z20">
        <v>1171.42956168153</v>
      </c>
      <c r="AIB20">
        <v>0</v>
      </c>
      <c r="AID20">
        <v>1146.4987312391199</v>
      </c>
      <c r="AIF20">
        <v>1695.41483545033</v>
      </c>
      <c r="AIH20">
        <v>1948.7816948499701</v>
      </c>
      <c r="AIJ20">
        <v>0</v>
      </c>
      <c r="AIL20">
        <v>906.38789011234405</v>
      </c>
      <c r="AIN20">
        <v>908.76560210718003</v>
      </c>
      <c r="AIP20">
        <v>1281.60254773618</v>
      </c>
      <c r="AIR20">
        <v>1153.5376250478901</v>
      </c>
      <c r="AIT20">
        <v>0</v>
      </c>
      <c r="AIV20">
        <v>994.98217406488504</v>
      </c>
      <c r="AIX20">
        <v>1030.4392625202499</v>
      </c>
      <c r="AIZ20">
        <v>1470.3047986466199</v>
      </c>
      <c r="AJB20">
        <v>1380.3489849319801</v>
      </c>
      <c r="AJC20">
        <v>0</v>
      </c>
      <c r="AJE20">
        <v>-1.00597971291091E-5</v>
      </c>
      <c r="AJH20">
        <v>4746.9996638866896</v>
      </c>
      <c r="AJJ20">
        <v>199.49864000107499</v>
      </c>
      <c r="AJK20">
        <v>0</v>
      </c>
      <c r="AJL20">
        <v>0</v>
      </c>
      <c r="AJM20">
        <v>0</v>
      </c>
      <c r="AJN20">
        <v>0</v>
      </c>
      <c r="AJO20">
        <v>0</v>
      </c>
      <c r="AJP20">
        <v>0</v>
      </c>
      <c r="AJQ20">
        <v>0</v>
      </c>
      <c r="AJR20">
        <v>0</v>
      </c>
      <c r="AJS20">
        <v>0</v>
      </c>
      <c r="AJT20">
        <v>0</v>
      </c>
      <c r="AJU20">
        <v>0</v>
      </c>
      <c r="AJV20">
        <v>0</v>
      </c>
      <c r="AJW20">
        <v>0</v>
      </c>
      <c r="AJX20">
        <v>0</v>
      </c>
      <c r="AJY20">
        <v>13720.495081266999</v>
      </c>
      <c r="AJZ20">
        <v>0</v>
      </c>
      <c r="AKA20">
        <v>0</v>
      </c>
      <c r="AKB20">
        <v>13653.0720277419</v>
      </c>
      <c r="AKC20">
        <v>17189.365982163399</v>
      </c>
      <c r="AKD20">
        <v>61881717.535788201</v>
      </c>
      <c r="AKE20">
        <v>40.299221558839598</v>
      </c>
      <c r="AKF20">
        <v>67.446367726454696</v>
      </c>
      <c r="AKG20">
        <v>0.121770130042684</v>
      </c>
      <c r="AKH20">
        <v>0.32232037403749098</v>
      </c>
      <c r="AKI20">
        <v>0</v>
      </c>
      <c r="AKJ20">
        <v>0</v>
      </c>
      <c r="AKK20">
        <v>0</v>
      </c>
      <c r="AKL20">
        <v>40.299221558839598</v>
      </c>
      <c r="AKM20">
        <v>40.299221558839598</v>
      </c>
      <c r="AKN20">
        <v>0</v>
      </c>
      <c r="AKO20">
        <v>0</v>
      </c>
      <c r="AKP20">
        <v>269692.21410070901</v>
      </c>
      <c r="AKT20">
        <v>0</v>
      </c>
      <c r="AKX20">
        <v>0</v>
      </c>
      <c r="ALB20">
        <v>20.892476876737199</v>
      </c>
      <c r="ALC20">
        <v>20.892476876737199</v>
      </c>
      <c r="ALD20">
        <v>0</v>
      </c>
      <c r="ALE20">
        <v>0</v>
      </c>
      <c r="ALF20">
        <v>0</v>
      </c>
      <c r="ALH20">
        <v>11.9793734151304</v>
      </c>
      <c r="ALI20">
        <v>6.7487932085054598E-3</v>
      </c>
      <c r="ALJ20">
        <v>7.3415308876551197</v>
      </c>
      <c r="ALK20">
        <v>11.979373407660701</v>
      </c>
      <c r="ALL20">
        <v>7.3415308876551197</v>
      </c>
      <c r="ALM20">
        <v>7.5078246486554104E-6</v>
      </c>
      <c r="ALN20">
        <v>22.652432530988602</v>
      </c>
      <c r="ALO20">
        <v>8.0454574300271395E-3</v>
      </c>
      <c r="ALP20">
        <v>46.927341452665701</v>
      </c>
      <c r="ALQ20">
        <v>7.3415308876551197</v>
      </c>
      <c r="ALR20">
        <v>11.9793734151304</v>
      </c>
      <c r="ALS20">
        <v>7.3415308876551197</v>
      </c>
      <c r="ALT20">
        <v>12.6374637567384</v>
      </c>
      <c r="ALU20">
        <v>7.3415308876551197</v>
      </c>
      <c r="ALV20">
        <v>12.2200383644412</v>
      </c>
      <c r="ALW20">
        <v>9.9999999999999897E-12</v>
      </c>
      <c r="ALX20">
        <v>11.979373407660701</v>
      </c>
      <c r="ALY20">
        <v>9.9999999999999897E-12</v>
      </c>
      <c r="ALZ20">
        <v>1.21770097444468E-4</v>
      </c>
      <c r="AMA20">
        <v>11.979373407660701</v>
      </c>
      <c r="AMB20">
        <v>0</v>
      </c>
      <c r="AMC20">
        <v>11.979373407660701</v>
      </c>
      <c r="AMD20">
        <v>0</v>
      </c>
      <c r="AME20">
        <v>11.979373407660701</v>
      </c>
      <c r="AMF20">
        <v>0</v>
      </c>
      <c r="AMG20">
        <v>0</v>
      </c>
      <c r="AMH20">
        <v>4.7873284556605498</v>
      </c>
      <c r="AMI20">
        <v>27.957898807797498</v>
      </c>
      <c r="AMJ20">
        <v>0.1067187</v>
      </c>
      <c r="AMK20" s="580">
        <v>16.530230597526</v>
      </c>
      <c r="AML20">
        <v>3.6938625599999999</v>
      </c>
      <c r="AMM20">
        <v>27.751055187335599</v>
      </c>
      <c r="AMN20">
        <v>0.1067176</v>
      </c>
      <c r="AMO20">
        <v>27.237506396926801</v>
      </c>
      <c r="AMP20">
        <v>0.16802987</v>
      </c>
      <c r="AMQ20">
        <v>24.454483885036101</v>
      </c>
      <c r="AMR20">
        <v>0.28417766619485202</v>
      </c>
      <c r="AMS20">
        <v>18.173939473242701</v>
      </c>
      <c r="AMT20">
        <v>0.86607511999999998</v>
      </c>
      <c r="AMU20">
        <v>27.709590805958801</v>
      </c>
      <c r="AMV20">
        <v>0.10670032</v>
      </c>
      <c r="AMW20">
        <v>27.712269321566101</v>
      </c>
      <c r="AMX20">
        <v>0.10672805</v>
      </c>
      <c r="AMY20">
        <v>27.018730213053701</v>
      </c>
      <c r="AMZ20">
        <v>0.16802747000000001</v>
      </c>
      <c r="ANA20">
        <v>24.567759143707502</v>
      </c>
      <c r="ANB20">
        <v>0.24644330342694401</v>
      </c>
      <c r="ANC20">
        <v>18.289284556614302</v>
      </c>
      <c r="AND20">
        <v>0.86607511999999998</v>
      </c>
      <c r="ANE20">
        <v>28.3997024863516</v>
      </c>
      <c r="ANF20">
        <v>0.10665288000000001</v>
      </c>
      <c r="ANG20">
        <v>28.5913994012502</v>
      </c>
      <c r="ANH20">
        <v>0.10672506</v>
      </c>
      <c r="ANI20">
        <v>27.898581041160199</v>
      </c>
      <c r="ANJ20">
        <v>0.16798560000000001</v>
      </c>
      <c r="ANK20">
        <v>25.402425427697398</v>
      </c>
      <c r="ANL20">
        <v>0.24061156803332601</v>
      </c>
      <c r="ANM20">
        <v>4.3595063961948499</v>
      </c>
      <c r="ANN20">
        <v>1.49397426342694</v>
      </c>
      <c r="ANO20">
        <v>1.4880502280333301</v>
      </c>
      <c r="ANP20">
        <v>16.530230597526</v>
      </c>
      <c r="ANQ20">
        <v>18.969649855307601</v>
      </c>
      <c r="ANR20">
        <v>18.985501095249699</v>
      </c>
      <c r="ANS20">
        <v>18.8497530206836</v>
      </c>
      <c r="ANT20">
        <v>18.990625112188798</v>
      </c>
      <c r="ANU20">
        <v>18.173939473242701</v>
      </c>
      <c r="ANV20">
        <v>20.7693387790492</v>
      </c>
      <c r="ANW20">
        <v>20.7557641092735</v>
      </c>
      <c r="ANX20">
        <v>20.743338254190999</v>
      </c>
      <c r="ANY20">
        <v>20.787212268122499</v>
      </c>
      <c r="ANZ20">
        <v>18.289284556614302</v>
      </c>
      <c r="AOA20">
        <v>20.774875079022902</v>
      </c>
      <c r="AOB20">
        <v>20.703275925970601</v>
      </c>
      <c r="AOC20">
        <v>20.7152224082337</v>
      </c>
      <c r="AOD20">
        <v>20.7476906379468</v>
      </c>
      <c r="AOE20">
        <v>22.652432530988602</v>
      </c>
      <c r="AOF20">
        <v>4.7873284556605498</v>
      </c>
      <c r="AOG20">
        <v>22.928952116450301</v>
      </c>
      <c r="AOH20">
        <v>4.7873284556605498</v>
      </c>
    </row>
    <row r="21" spans="1:1074">
      <c r="A21" t="s">
        <v>2956</v>
      </c>
      <c r="B21">
        <v>7.5625</v>
      </c>
      <c r="D21">
        <v>7.0219336661360803</v>
      </c>
      <c r="F21">
        <v>5</v>
      </c>
      <c r="G21">
        <v>2813871.3161516399</v>
      </c>
      <c r="H21">
        <v>6169786.3314965004</v>
      </c>
      <c r="I21">
        <v>1786976.0497761499</v>
      </c>
      <c r="J21">
        <v>3918182.1653802898</v>
      </c>
      <c r="K21">
        <v>2813871.3161516399</v>
      </c>
      <c r="L21">
        <v>6169786.3314965004</v>
      </c>
      <c r="M21">
        <v>1786976.0497761499</v>
      </c>
      <c r="N21">
        <v>3918182.1653802898</v>
      </c>
      <c r="O21">
        <v>14511682.5124732</v>
      </c>
      <c r="P21">
        <v>31818789.970439799</v>
      </c>
      <c r="Q21">
        <v>2813871.3161516399</v>
      </c>
      <c r="R21">
        <v>6169786.3314965004</v>
      </c>
      <c r="S21">
        <v>1786976.0497761499</v>
      </c>
      <c r="T21">
        <v>3918182.1653802898</v>
      </c>
      <c r="U21">
        <v>2813871.3161516399</v>
      </c>
      <c r="V21">
        <v>6169786.3314965004</v>
      </c>
      <c r="W21">
        <v>1786976.0497761499</v>
      </c>
      <c r="X21">
        <v>3918182.1653802898</v>
      </c>
      <c r="Y21">
        <v>14511682.5124732</v>
      </c>
      <c r="Z21">
        <v>31818789.970439799</v>
      </c>
      <c r="AA21">
        <v>2813871.3161516399</v>
      </c>
      <c r="AB21">
        <v>6169786.3314965004</v>
      </c>
      <c r="AC21">
        <v>1786976.0497761499</v>
      </c>
      <c r="AD21">
        <v>3918182.1653802898</v>
      </c>
      <c r="AE21">
        <v>2813871.3161516399</v>
      </c>
      <c r="AF21">
        <v>6169786.3314965004</v>
      </c>
      <c r="AG21">
        <v>1786976.0497761499</v>
      </c>
      <c r="AH21">
        <v>3918182.1653802898</v>
      </c>
      <c r="AI21">
        <v>14511682.5124732</v>
      </c>
      <c r="AJ21">
        <v>31818789.970439799</v>
      </c>
      <c r="AK21">
        <v>2.3716228502806498</v>
      </c>
      <c r="AL21">
        <v>395606.04386927001</v>
      </c>
      <c r="AM21">
        <v>1024541.07132124</v>
      </c>
      <c r="AN21">
        <v>2.3716228502806498</v>
      </c>
      <c r="AO21">
        <v>395606.04386927001</v>
      </c>
      <c r="AP21">
        <v>1024541.07132124</v>
      </c>
      <c r="AQ21">
        <v>1.5061219069354801</v>
      </c>
      <c r="AR21">
        <v>251233.42403159899</v>
      </c>
      <c r="AS21">
        <v>650644.66379612905</v>
      </c>
      <c r="AT21">
        <v>1.5061219069354801</v>
      </c>
      <c r="AU21">
        <v>251233.42403159899</v>
      </c>
      <c r="AV21">
        <v>650644.66379612905</v>
      </c>
      <c r="AW21">
        <v>2.3716228502806498</v>
      </c>
      <c r="AX21">
        <v>395606.04386927001</v>
      </c>
      <c r="AY21">
        <v>1024541.07132124</v>
      </c>
      <c r="AZ21">
        <v>2.3716228502806498</v>
      </c>
      <c r="BA21">
        <v>395606.04386927001</v>
      </c>
      <c r="BB21">
        <v>1024541.07132124</v>
      </c>
      <c r="BC21">
        <v>1.5061219069354801</v>
      </c>
      <c r="BD21">
        <v>251233.42403159899</v>
      </c>
      <c r="BE21">
        <v>650644.66379612905</v>
      </c>
      <c r="BF21">
        <v>1.5061219069354801</v>
      </c>
      <c r="BG21">
        <v>251233.42403159899</v>
      </c>
      <c r="BH21">
        <v>650644.66379612905</v>
      </c>
      <c r="BI21">
        <v>2.3716228502806498</v>
      </c>
      <c r="BJ21">
        <v>395606.04386927001</v>
      </c>
      <c r="BK21">
        <v>1024541.07132124</v>
      </c>
      <c r="BL21">
        <v>2.3716228502806498</v>
      </c>
      <c r="BM21">
        <v>395606.04386927001</v>
      </c>
      <c r="BN21">
        <v>1024541.07132124</v>
      </c>
      <c r="BO21">
        <v>1.5061219069354801</v>
      </c>
      <c r="BP21">
        <v>251233.42403159899</v>
      </c>
      <c r="BQ21">
        <v>650644.66379612905</v>
      </c>
      <c r="BR21">
        <v>1.5061219069354801</v>
      </c>
      <c r="BS21">
        <v>251233.42403159899</v>
      </c>
      <c r="BT21">
        <v>650644.66379612905</v>
      </c>
      <c r="BU21">
        <v>5283757.8828362301</v>
      </c>
      <c r="BV21">
        <v>12.2309210250839</v>
      </c>
      <c r="BW21">
        <v>2040217.43129955</v>
      </c>
      <c r="BX21">
        <v>5283757.8828362301</v>
      </c>
      <c r="BY21">
        <v>12.2309210250839</v>
      </c>
      <c r="BZ21">
        <v>2040217.43129955</v>
      </c>
      <c r="CA21">
        <v>5283757.8828362301</v>
      </c>
      <c r="CB21">
        <v>12.2309210250839</v>
      </c>
      <c r="CC21">
        <v>2040217.43129955</v>
      </c>
      <c r="CD21">
        <v>5283757.8828362301</v>
      </c>
      <c r="CE21">
        <v>1131953.9572385601</v>
      </c>
      <c r="CF21">
        <v>2572622.6300876299</v>
      </c>
      <c r="CG21">
        <v>1131953.9572385601</v>
      </c>
      <c r="CH21">
        <v>2572622.6300876299</v>
      </c>
      <c r="CI21">
        <v>718858.25034851499</v>
      </c>
      <c r="CJ21">
        <v>1633768.7507920801</v>
      </c>
      <c r="CK21">
        <v>718858.25034851499</v>
      </c>
      <c r="CL21">
        <v>1633768.7507920801</v>
      </c>
      <c r="CM21">
        <v>1131953.9572385601</v>
      </c>
      <c r="CN21">
        <v>2572622.6300876299</v>
      </c>
      <c r="CO21">
        <v>1131953.9572385601</v>
      </c>
      <c r="CP21">
        <v>2572622.6300876299</v>
      </c>
      <c r="CQ21">
        <v>718858.25034851499</v>
      </c>
      <c r="CR21">
        <v>1633768.7507920801</v>
      </c>
      <c r="CS21">
        <v>718858.25034851499</v>
      </c>
      <c r="CT21">
        <v>1633768.7507920801</v>
      </c>
      <c r="CU21">
        <v>1131953.9572385601</v>
      </c>
      <c r="CV21">
        <v>2572622.6300876299</v>
      </c>
      <c r="CW21">
        <v>1131953.9572385601</v>
      </c>
      <c r="CX21">
        <v>2572622.6300876299</v>
      </c>
      <c r="CY21">
        <v>718858.25034851499</v>
      </c>
      <c r="CZ21">
        <v>1633768.7507920801</v>
      </c>
      <c r="DA21">
        <v>718858.25034851499</v>
      </c>
      <c r="DB21">
        <v>1633768.7507920801</v>
      </c>
      <c r="DC21">
        <v>5837707.0592727801</v>
      </c>
      <c r="DD21">
        <v>13267516.043801799</v>
      </c>
      <c r="DE21">
        <v>5837707.0592727801</v>
      </c>
      <c r="DF21">
        <v>13267516.043801799</v>
      </c>
      <c r="DG21">
        <v>5837707.0592727801</v>
      </c>
      <c r="DH21">
        <v>13267516.043801799</v>
      </c>
      <c r="DI21">
        <v>1286311.3150438201</v>
      </c>
      <c r="DJ21">
        <v>2572622.6300876299</v>
      </c>
      <c r="DK21">
        <v>1286311.3150438201</v>
      </c>
      <c r="DL21">
        <v>2572622.6300876299</v>
      </c>
      <c r="DM21">
        <v>816884.37539604004</v>
      </c>
      <c r="DN21">
        <v>1633768.7507920801</v>
      </c>
      <c r="DO21">
        <v>816884.37539603899</v>
      </c>
      <c r="DP21">
        <v>1633768.7507920801</v>
      </c>
      <c r="DQ21">
        <v>1286311.3150438201</v>
      </c>
      <c r="DR21">
        <v>2572622.6300876299</v>
      </c>
      <c r="DS21">
        <v>1286311.3150438201</v>
      </c>
      <c r="DT21">
        <v>2572622.6300876299</v>
      </c>
      <c r="DU21">
        <v>816884.37539604004</v>
      </c>
      <c r="DV21">
        <v>1633768.7507920801</v>
      </c>
      <c r="DW21">
        <v>816884.37539603899</v>
      </c>
      <c r="DX21">
        <v>1633768.7507920801</v>
      </c>
      <c r="DY21">
        <v>1286311.3150438201</v>
      </c>
      <c r="DZ21">
        <v>2572622.6300876299</v>
      </c>
      <c r="EA21">
        <v>1286311.3150438201</v>
      </c>
      <c r="EB21">
        <v>2572622.6300876299</v>
      </c>
      <c r="EC21">
        <v>816884.37539604004</v>
      </c>
      <c r="ED21">
        <v>1633768.7507920801</v>
      </c>
      <c r="EE21">
        <v>816884.37539603899</v>
      </c>
      <c r="EF21">
        <v>1633768.7507920801</v>
      </c>
      <c r="EG21">
        <v>6633758.0219008904</v>
      </c>
      <c r="EH21">
        <v>13267516.043801799</v>
      </c>
      <c r="EI21">
        <v>6633758.0219008904</v>
      </c>
      <c r="EJ21">
        <v>13267516.043801799</v>
      </c>
      <c r="EK21">
        <v>6633758.0219008904</v>
      </c>
      <c r="EL21">
        <v>13267516.043801799</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-118.44001908317</v>
      </c>
      <c r="GC21">
        <v>-153.79945386302001</v>
      </c>
      <c r="GD21">
        <v>-136.64504289468701</v>
      </c>
      <c r="GE21">
        <v>-78.900362073383704</v>
      </c>
      <c r="GF21">
        <v>-99.859582504648202</v>
      </c>
      <c r="GG21">
        <v>-93.907904445536502</v>
      </c>
      <c r="GH21">
        <v>-98.986510568496897</v>
      </c>
      <c r="GI21">
        <v>-132.73553315166001</v>
      </c>
      <c r="GJ21">
        <v>-87.660441926440498</v>
      </c>
      <c r="GK21">
        <v>-76.877868368475902</v>
      </c>
      <c r="GL21">
        <v>-98.472407437358598</v>
      </c>
      <c r="GM21">
        <v>-90.617224865111794</v>
      </c>
      <c r="GN21">
        <v>-43.141269200066198</v>
      </c>
      <c r="GO21">
        <v>20.884339844068499</v>
      </c>
      <c r="GP21">
        <v>20.9143782461177</v>
      </c>
      <c r="GQ21">
        <v>-1.5119121348739299</v>
      </c>
      <c r="GR21">
        <v>1.5566787235203099</v>
      </c>
      <c r="GS21">
        <v>132.78302517720201</v>
      </c>
      <c r="GT21">
        <v>-29.388455950564701</v>
      </c>
      <c r="GU21">
        <v>20.851358154384801</v>
      </c>
      <c r="GV21">
        <v>20.895975439165099</v>
      </c>
      <c r="GW21">
        <v>-0.99676381327291197</v>
      </c>
      <c r="GX21">
        <v>0.54953306619448095</v>
      </c>
      <c r="GY21">
        <v>79.310063798303005</v>
      </c>
      <c r="GZ21">
        <v>-42.677921364157498</v>
      </c>
      <c r="HA21">
        <v>20.982765067299699</v>
      </c>
      <c r="HB21">
        <v>20.9834348315363</v>
      </c>
      <c r="HC21">
        <v>-1.7803844883567299</v>
      </c>
      <c r="HD21">
        <v>2.69142553047068</v>
      </c>
      <c r="HE21">
        <v>163.54559447370499</v>
      </c>
      <c r="HF21">
        <v>-28.968518565728701</v>
      </c>
      <c r="HG21">
        <v>20.866308814705</v>
      </c>
      <c r="HH21">
        <v>20.909653031364599</v>
      </c>
      <c r="HI21">
        <v>-0.94462555592187203</v>
      </c>
      <c r="HJ21">
        <v>0.58354160787855502</v>
      </c>
      <c r="HK21">
        <v>78.142315645791996</v>
      </c>
      <c r="HL21">
        <v>-47.417197037827499</v>
      </c>
      <c r="HM21">
        <v>21.9312786707053</v>
      </c>
      <c r="HN21">
        <v>22.296942967755399</v>
      </c>
      <c r="HO21">
        <v>12.1502865814915</v>
      </c>
      <c r="HP21">
        <v>-76.872515865826699</v>
      </c>
      <c r="HQ21">
        <v>21.469174396901099</v>
      </c>
      <c r="HR21">
        <v>-44.9390912016068</v>
      </c>
      <c r="HS21">
        <v>-32.993349664598803</v>
      </c>
      <c r="HT21">
        <v>21.9465458864562</v>
      </c>
      <c r="HU21">
        <v>22.327288241685402</v>
      </c>
      <c r="HV21">
        <v>7.3029797751032604</v>
      </c>
      <c r="HW21">
        <v>-51.824715479611001</v>
      </c>
      <c r="HX21">
        <v>21.4571124185718</v>
      </c>
      <c r="HY21">
        <v>-30.059010012914602</v>
      </c>
      <c r="HZ21">
        <v>21.9660763262529</v>
      </c>
      <c r="IA21">
        <v>22.3370096867922</v>
      </c>
      <c r="IB21">
        <v>27.697841337024801</v>
      </c>
      <c r="IC21">
        <v>-33.530063325905203</v>
      </c>
      <c r="ID21">
        <v>-37.251971609768297</v>
      </c>
      <c r="IE21">
        <v>21.574605327698901</v>
      </c>
      <c r="IF21">
        <v>-26.476195415365702</v>
      </c>
      <c r="IG21">
        <v>-4.4683971212922096</v>
      </c>
      <c r="IH21">
        <v>21.942563914899999</v>
      </c>
      <c r="II21">
        <v>22.325431100376399</v>
      </c>
      <c r="IJ21">
        <v>5.4537548841169698</v>
      </c>
      <c r="IK21">
        <v>-4.0374795083497697</v>
      </c>
      <c r="IL21">
        <v>-33.536810990351498</v>
      </c>
      <c r="IM21">
        <v>-55.8871335058734</v>
      </c>
      <c r="IN21">
        <v>21.449836043766101</v>
      </c>
      <c r="IO21">
        <v>0.52571457739864202</v>
      </c>
      <c r="IP21">
        <v>-31.8162740694193</v>
      </c>
      <c r="IQ21">
        <v>-11.5463319911398</v>
      </c>
      <c r="IR21">
        <v>-4.28316029622661</v>
      </c>
      <c r="IS21">
        <v>-5.81451012339289</v>
      </c>
      <c r="IT21">
        <v>-4.4385333497751596</v>
      </c>
      <c r="IU21">
        <v>-923.47850408592399</v>
      </c>
      <c r="IV21">
        <v>-41.129314271551998</v>
      </c>
      <c r="IW21">
        <v>21.245445803754599</v>
      </c>
      <c r="IX21">
        <v>21.469174396901099</v>
      </c>
      <c r="IY21">
        <v>29.505208639695599</v>
      </c>
      <c r="IZ21">
        <v>-0.17570328564457899</v>
      </c>
      <c r="JA21">
        <v>-83.359535117066002</v>
      </c>
      <c r="JB21">
        <v>-28.115282793558801</v>
      </c>
      <c r="JC21">
        <v>21.216410160361999</v>
      </c>
      <c r="JD21">
        <v>21.4571124185718</v>
      </c>
      <c r="JE21">
        <v>18.938943107479101</v>
      </c>
      <c r="JF21">
        <v>-0.49287111212228901</v>
      </c>
      <c r="JG21">
        <v>-56.350831186259299</v>
      </c>
      <c r="JH21">
        <v>-39.034890589357403</v>
      </c>
      <c r="JI21">
        <v>21.358939190704</v>
      </c>
      <c r="JJ21">
        <v>21.574605327698901</v>
      </c>
      <c r="JK21">
        <v>36.661137767207599</v>
      </c>
      <c r="JL21">
        <v>3.0027618640763301</v>
      </c>
      <c r="JM21">
        <v>-56.702970586910801</v>
      </c>
      <c r="JN21">
        <v>-27.704668397204699</v>
      </c>
      <c r="JO21">
        <v>21.2109158705032</v>
      </c>
      <c r="JP21">
        <v>21.449836043766101</v>
      </c>
      <c r="JQ21">
        <v>0.86419111300403595</v>
      </c>
      <c r="JR21">
        <v>18.5679287763157</v>
      </c>
      <c r="JS21">
        <v>0.222281440213802</v>
      </c>
      <c r="JT21">
        <v>-0.59878236967214105</v>
      </c>
      <c r="JU21">
        <v>-57.934553576608998</v>
      </c>
      <c r="JV21">
        <v>-67.057962156778004</v>
      </c>
      <c r="JW21">
        <v>-98.6053214597394</v>
      </c>
      <c r="JX21">
        <v>-127.626617434899</v>
      </c>
      <c r="JY21">
        <v>-45.6970950797039</v>
      </c>
      <c r="JZ21">
        <v>-62.541675630919201</v>
      </c>
      <c r="KA21">
        <v>-80.947460855464001</v>
      </c>
      <c r="KB21">
        <v>-55.294802341691302</v>
      </c>
      <c r="KC21">
        <v>-78.375359137732801</v>
      </c>
      <c r="KD21">
        <v>-83.8932414410192</v>
      </c>
      <c r="KE21">
        <v>-48.420039283774003</v>
      </c>
      <c r="KF21">
        <v>19.334159924955301</v>
      </c>
      <c r="KG21">
        <v>-183.94838332843801</v>
      </c>
      <c r="KH21">
        <v>0.869895189047456</v>
      </c>
      <c r="KI21">
        <v>-65.0698086414003</v>
      </c>
      <c r="KJ21">
        <v>-83.942975756538402</v>
      </c>
      <c r="KK21">
        <v>-30.391873121492502</v>
      </c>
      <c r="KL21">
        <v>20.3322775356047</v>
      </c>
      <c r="KM21">
        <v>20.948729325699102</v>
      </c>
      <c r="KN21">
        <v>42.859669166178698</v>
      </c>
      <c r="KO21">
        <v>19.6791461580505</v>
      </c>
      <c r="KP21">
        <v>6.2282217484414</v>
      </c>
      <c r="KQ21">
        <v>-104.945756019076</v>
      </c>
      <c r="KR21">
        <v>-711.558585085853</v>
      </c>
      <c r="KS21">
        <v>-21.050679705896702</v>
      </c>
      <c r="KT21">
        <v>20.316881942223802</v>
      </c>
      <c r="KU21">
        <v>20.949727044179902</v>
      </c>
      <c r="KV21">
        <v>28.606061220162299</v>
      </c>
      <c r="KW21">
        <v>19.6535400876392</v>
      </c>
      <c r="KX21">
        <v>6.2409555444911096</v>
      </c>
      <c r="KY21">
        <v>-67.334957123714403</v>
      </c>
      <c r="KZ21">
        <v>-453.01423426734402</v>
      </c>
      <c r="LA21">
        <v>-33.510612321539703</v>
      </c>
      <c r="LB21">
        <v>20.4581406385457</v>
      </c>
      <c r="LC21">
        <v>21.052060302447501</v>
      </c>
      <c r="LD21">
        <v>28.326276976973102</v>
      </c>
      <c r="LE21">
        <v>19.8127569723144</v>
      </c>
      <c r="LF21">
        <v>6.2308585298116501</v>
      </c>
      <c r="LG21">
        <v>-121.43551633637</v>
      </c>
      <c r="LH21">
        <v>-718.08775277142001</v>
      </c>
      <c r="LI21">
        <v>-20.380793831145901</v>
      </c>
      <c r="LJ21">
        <v>20.305041904539099</v>
      </c>
      <c r="LK21">
        <v>20.9277501890708</v>
      </c>
      <c r="LL21">
        <v>27.535003765749501</v>
      </c>
      <c r="LM21">
        <v>19.648063960757199</v>
      </c>
      <c r="LN21">
        <v>6.2940643628719704</v>
      </c>
      <c r="LO21">
        <v>-67.242103382737298</v>
      </c>
      <c r="LP21">
        <v>-450.488388493667</v>
      </c>
      <c r="LQ21">
        <v>-8.8122841078179306</v>
      </c>
      <c r="LR21">
        <v>18.769974628737099</v>
      </c>
      <c r="LS21">
        <v>16.440999999999999</v>
      </c>
      <c r="LT21">
        <v>10.6404344531823</v>
      </c>
      <c r="LU21">
        <v>-653.01558072849696</v>
      </c>
      <c r="LV21">
        <v>19.507456921622101</v>
      </c>
      <c r="LW21">
        <v>20.529373636294299</v>
      </c>
      <c r="LX21">
        <v>467.54987598905302</v>
      </c>
      <c r="LY21">
        <v>-6.0036078445236596</v>
      </c>
      <c r="LZ21">
        <v>18.7529294414256</v>
      </c>
      <c r="MA21">
        <v>16.440999999999999</v>
      </c>
      <c r="MB21">
        <v>6.6199085376790903</v>
      </c>
      <c r="MC21">
        <v>-410.21062876210601</v>
      </c>
      <c r="MD21">
        <v>19.486676316141899</v>
      </c>
      <c r="ME21">
        <v>20.515495196973401</v>
      </c>
      <c r="MF21">
        <v>295.318576363224</v>
      </c>
      <c r="MG21">
        <v>-4.3463586549284603</v>
      </c>
      <c r="MH21">
        <v>18.789664655664499</v>
      </c>
      <c r="MI21">
        <v>16.440999999999999</v>
      </c>
      <c r="MJ21">
        <v>147.185013721507</v>
      </c>
      <c r="MK21">
        <v>-501.505375744677</v>
      </c>
      <c r="ML21">
        <v>19.513752564890702</v>
      </c>
      <c r="MM21">
        <v>20.589120099619699</v>
      </c>
      <c r="MN21">
        <v>590.96731711540701</v>
      </c>
      <c r="MO21">
        <v>-5.8670514427836196</v>
      </c>
      <c r="MP21">
        <v>18.758039477067001</v>
      </c>
      <c r="MQ21">
        <v>16.440999999999999</v>
      </c>
      <c r="MR21">
        <v>4.1548942673451501</v>
      </c>
      <c r="MS21">
        <v>-420.91034225543302</v>
      </c>
      <c r="MT21">
        <v>19.504854338654201</v>
      </c>
      <c r="MU21">
        <v>20.5336500348633</v>
      </c>
      <c r="MV21">
        <v>298.08647781160403</v>
      </c>
      <c r="MW21">
        <v>-12.620661915359101</v>
      </c>
      <c r="MX21">
        <v>20.9987871125347</v>
      </c>
      <c r="MY21">
        <v>20.920803929555799</v>
      </c>
      <c r="MZ21">
        <v>123.62760463367999</v>
      </c>
      <c r="NA21">
        <v>-49.965652054671402</v>
      </c>
      <c r="NB21">
        <v>21.2385662502179</v>
      </c>
      <c r="NC21">
        <v>21.544255964719799</v>
      </c>
      <c r="ND21">
        <v>213.533648949997</v>
      </c>
      <c r="NE21">
        <v>-8.5157545427393408</v>
      </c>
      <c r="NF21">
        <v>20.971597453714601</v>
      </c>
      <c r="NG21">
        <v>20.878240288075201</v>
      </c>
      <c r="NH21">
        <v>76.430840148511805</v>
      </c>
      <c r="NI21">
        <v>-37.302696405538001</v>
      </c>
      <c r="NJ21">
        <v>21.219364805627698</v>
      </c>
      <c r="NK21">
        <v>21.5380669344419</v>
      </c>
      <c r="NL21">
        <v>135.42867510545901</v>
      </c>
      <c r="NM21" s="35">
        <v>-8.4398408917718992</v>
      </c>
      <c r="NN21" s="35">
        <v>21.096330046374799</v>
      </c>
      <c r="NO21" s="35">
        <v>21.0457853210727</v>
      </c>
      <c r="NP21">
        <v>186.22288635162599</v>
      </c>
      <c r="NQ21">
        <v>23.711610494998599</v>
      </c>
      <c r="NR21" s="35">
        <v>21.328820907847501</v>
      </c>
      <c r="NS21">
        <v>21.6415316674222</v>
      </c>
      <c r="NT21">
        <v>273.39616546449201</v>
      </c>
      <c r="NU21">
        <v>-8.5265286432962597</v>
      </c>
      <c r="NV21">
        <v>20.963592909697802</v>
      </c>
      <c r="NW21">
        <v>20.8914082790895</v>
      </c>
      <c r="NX21">
        <v>1.7</v>
      </c>
      <c r="NY21">
        <v>76.690427197573996</v>
      </c>
      <c r="NZ21">
        <v>-34.416115878256498</v>
      </c>
      <c r="OA21">
        <v>21.2069714037656</v>
      </c>
      <c r="OB21">
        <v>21.528088223716299</v>
      </c>
      <c r="OC21">
        <v>1.7</v>
      </c>
      <c r="OD21">
        <v>134.64319665734601</v>
      </c>
      <c r="OE21">
        <v>1.7</v>
      </c>
      <c r="OF21">
        <v>1.7</v>
      </c>
      <c r="OG21">
        <v>-13.4117038360653</v>
      </c>
      <c r="OH21">
        <v>20.951156661168</v>
      </c>
      <c r="OI21">
        <v>21.089801006003601</v>
      </c>
      <c r="OJ21">
        <v>118.025592633459</v>
      </c>
      <c r="OK21">
        <v>-17.603962873709001</v>
      </c>
      <c r="OL21">
        <v>21.149435674587401</v>
      </c>
      <c r="OM21">
        <v>21.311127218180701</v>
      </c>
      <c r="ON21">
        <v>192.371017092469</v>
      </c>
      <c r="OO21">
        <v>-8.8378227502783897</v>
      </c>
      <c r="OP21">
        <v>20.954470935188301</v>
      </c>
      <c r="OQ21">
        <v>21.049467867253998</v>
      </c>
      <c r="OR21">
        <v>73.3871646456778</v>
      </c>
      <c r="OS21">
        <v>-18.885590380506098</v>
      </c>
      <c r="OT21">
        <v>21.165332324459101</v>
      </c>
      <c r="OU21">
        <v>21.3255108240086</v>
      </c>
      <c r="OV21">
        <v>123.597030259248</v>
      </c>
      <c r="OW21">
        <v>-9.7873918087149097</v>
      </c>
      <c r="OX21">
        <v>21.051788699815301</v>
      </c>
      <c r="OY21">
        <v>21.221810471205899</v>
      </c>
      <c r="OZ21">
        <v>174.001583955554</v>
      </c>
      <c r="PA21">
        <v>52.485277615288197</v>
      </c>
      <c r="PB21">
        <v>21.2398605652672</v>
      </c>
      <c r="PC21">
        <v>21.415425952977301</v>
      </c>
      <c r="PD21">
        <v>244.51980181781201</v>
      </c>
      <c r="PE21">
        <v>-9.0977739088564196</v>
      </c>
      <c r="PF21">
        <v>20.901536349401798</v>
      </c>
      <c r="PG21">
        <v>21.0430863980413</v>
      </c>
      <c r="PH21">
        <v>1.7</v>
      </c>
      <c r="PI21">
        <v>72.306004625293596</v>
      </c>
      <c r="PJ21">
        <v>-16.1033367977527</v>
      </c>
      <c r="PK21">
        <v>21.105338631208699</v>
      </c>
      <c r="PL21">
        <v>21.2815885824321</v>
      </c>
      <c r="PM21" s="35">
        <v>1.7</v>
      </c>
      <c r="PN21">
        <v>120.83497058085101</v>
      </c>
      <c r="PO21">
        <v>20.691856333282701</v>
      </c>
      <c r="PP21">
        <v>20.679392021022402</v>
      </c>
      <c r="PQ21">
        <v>20.751637139881598</v>
      </c>
      <c r="PR21">
        <v>20.693519869922198</v>
      </c>
      <c r="PS21">
        <v>20.351479253466099</v>
      </c>
      <c r="PT21">
        <v>21.4594799422044</v>
      </c>
      <c r="PU21">
        <v>21.445250872311799</v>
      </c>
      <c r="PV21">
        <v>21.5342724070406</v>
      </c>
      <c r="PW21">
        <v>21.434853576320201</v>
      </c>
      <c r="PX21">
        <v>22.503302577958902</v>
      </c>
      <c r="PY21">
        <v>21.124454285255801</v>
      </c>
      <c r="PZ21">
        <v>21.124413245326998</v>
      </c>
      <c r="QA21">
        <v>21.204013686926199</v>
      </c>
      <c r="QB21">
        <v>21.093154352412999</v>
      </c>
      <c r="QC21">
        <v>22.2381011778733</v>
      </c>
      <c r="QD21">
        <v>21.0740673858203</v>
      </c>
      <c r="QE21">
        <v>20.912513784462</v>
      </c>
      <c r="QF21">
        <v>20.907933221767699</v>
      </c>
      <c r="QG21">
        <v>20.9437477925336</v>
      </c>
      <c r="QH21">
        <v>20.914668035956101</v>
      </c>
      <c r="QI21">
        <v>19.4542767420992</v>
      </c>
      <c r="QJ21">
        <v>21.308709803762099</v>
      </c>
      <c r="QK21">
        <v>21.304800136443699</v>
      </c>
      <c r="QL21">
        <v>21.348813535994498</v>
      </c>
      <c r="QM21">
        <v>21.296755707161299</v>
      </c>
      <c r="QN21">
        <v>-313.57906367006598</v>
      </c>
      <c r="QO21">
        <v>22.773135805833999</v>
      </c>
      <c r="QP21">
        <v>-52.3076326594731</v>
      </c>
      <c r="QQ21">
        <v>21.136123455487599</v>
      </c>
      <c r="QR21">
        <v>21.138816791544699</v>
      </c>
      <c r="QS21">
        <v>21.179797571173399</v>
      </c>
      <c r="QT21">
        <v>21.121298863481201</v>
      </c>
      <c r="QU21">
        <v>22.638282384369202</v>
      </c>
      <c r="QV21">
        <v>19.250694958425399</v>
      </c>
      <c r="QW21">
        <v>610642.96541919105</v>
      </c>
      <c r="QX21">
        <v>0</v>
      </c>
      <c r="QY21">
        <v>439683.205382279</v>
      </c>
      <c r="QZ21">
        <v>0</v>
      </c>
      <c r="RA21">
        <v>77986.329398759597</v>
      </c>
      <c r="RB21">
        <v>0</v>
      </c>
      <c r="RC21">
        <v>52005.730289815401</v>
      </c>
      <c r="RD21">
        <v>0</v>
      </c>
      <c r="RE21">
        <v>203806.426191951</v>
      </c>
      <c r="RF21">
        <v>0</v>
      </c>
      <c r="RG21">
        <v>151824.02865679999</v>
      </c>
      <c r="RH21" s="35">
        <v>0</v>
      </c>
      <c r="RI21">
        <v>1221.4760056484799</v>
      </c>
      <c r="RJ21" s="35">
        <v>0</v>
      </c>
      <c r="RK21">
        <v>21.133171235641299</v>
      </c>
      <c r="RL21">
        <v>1215.3675899262</v>
      </c>
      <c r="RM21" s="35">
        <v>1215.3675899262</v>
      </c>
      <c r="RN21">
        <v>5363.7643177967302</v>
      </c>
      <c r="RO21" s="35">
        <v>777.71851257090202</v>
      </c>
      <c r="RP21">
        <v>0</v>
      </c>
      <c r="RQ21" s="35">
        <v>21.1364744225131</v>
      </c>
      <c r="RR21" s="35">
        <v>773.69992687584704</v>
      </c>
      <c r="RS21">
        <v>773.69992687584704</v>
      </c>
      <c r="RT21">
        <v>3408.8114157170598</v>
      </c>
      <c r="RU21">
        <v>1004.3562018950799</v>
      </c>
      <c r="RV21">
        <v>0</v>
      </c>
      <c r="RW21" s="35">
        <v>21.135858445185601</v>
      </c>
      <c r="RX21">
        <v>996.34490269974299</v>
      </c>
      <c r="RY21">
        <v>996.34490269974299</v>
      </c>
      <c r="RZ21">
        <v>5143.2534456746798</v>
      </c>
      <c r="SA21">
        <v>807.77046304937403</v>
      </c>
      <c r="SB21">
        <v>0</v>
      </c>
      <c r="SC21">
        <v>21.13581620199</v>
      </c>
      <c r="SD21">
        <v>803.30076295439801</v>
      </c>
      <c r="SE21">
        <v>803.30076295439801</v>
      </c>
      <c r="SF21">
        <v>3438.40254429277</v>
      </c>
      <c r="SG21">
        <v>0</v>
      </c>
      <c r="SH21">
        <v>14754.9251462386</v>
      </c>
      <c r="SI21">
        <v>18.5570742307324</v>
      </c>
      <c r="SJ21">
        <v>7875.00288691069</v>
      </c>
      <c r="SK21">
        <v>7875.00288691069</v>
      </c>
      <c r="SL21">
        <v>30066.517783546002</v>
      </c>
      <c r="SM21" s="35">
        <v>21.1111</v>
      </c>
      <c r="SN21">
        <v>23.8889</v>
      </c>
      <c r="SO21">
        <v>58.9678508253307</v>
      </c>
      <c r="SP21">
        <v>0</v>
      </c>
      <c r="SQ21">
        <v>20.853488691348701</v>
      </c>
      <c r="SR21">
        <v>0</v>
      </c>
      <c r="SS21">
        <v>0</v>
      </c>
      <c r="ST21">
        <v>0</v>
      </c>
      <c r="SU21">
        <v>41.750786296103101</v>
      </c>
      <c r="SV21">
        <v>0</v>
      </c>
      <c r="SW21">
        <v>20.824585816661799</v>
      </c>
      <c r="SX21">
        <v>0</v>
      </c>
      <c r="SY21" s="35">
        <v>0</v>
      </c>
      <c r="SZ21">
        <v>0</v>
      </c>
      <c r="TA21">
        <v>61.592133447154097</v>
      </c>
      <c r="TB21">
        <v>0</v>
      </c>
      <c r="TC21">
        <v>20.9662376025877</v>
      </c>
      <c r="TD21">
        <v>0</v>
      </c>
      <c r="TE21">
        <v>0</v>
      </c>
      <c r="TF21">
        <v>0</v>
      </c>
      <c r="TG21">
        <v>40.310966669542303</v>
      </c>
      <c r="TH21">
        <v>0</v>
      </c>
      <c r="TI21">
        <v>20.8350614304407</v>
      </c>
      <c r="TJ21">
        <v>0</v>
      </c>
      <c r="TK21">
        <v>0</v>
      </c>
      <c r="TL21">
        <v>0</v>
      </c>
      <c r="TM21">
        <v>0</v>
      </c>
      <c r="TN21">
        <v>4758.6279893526798</v>
      </c>
      <c r="TO21">
        <v>19.362160945372999</v>
      </c>
      <c r="TP21">
        <v>0</v>
      </c>
      <c r="TQ21">
        <v>0</v>
      </c>
      <c r="TR21">
        <v>0</v>
      </c>
      <c r="TS21">
        <v>826.484311007413</v>
      </c>
      <c r="TT21">
        <v>0</v>
      </c>
      <c r="TU21">
        <v>21.157939665319802</v>
      </c>
      <c r="TV21">
        <v>822.28662271876101</v>
      </c>
      <c r="TW21">
        <v>822.28662271876101</v>
      </c>
      <c r="TX21">
        <v>4975.4228744481197</v>
      </c>
      <c r="TY21">
        <v>536.67645713121101</v>
      </c>
      <c r="TZ21">
        <v>0</v>
      </c>
      <c r="UA21">
        <v>21.164349400575599</v>
      </c>
      <c r="UB21">
        <v>534.011278297697</v>
      </c>
      <c r="UC21">
        <v>534.011278297697</v>
      </c>
      <c r="UD21">
        <v>3172.48371606512</v>
      </c>
      <c r="UE21">
        <v>589.91065633750395</v>
      </c>
      <c r="UF21">
        <v>0</v>
      </c>
      <c r="UG21">
        <v>21.1633546649484</v>
      </c>
      <c r="UH21">
        <v>584.85999491224902</v>
      </c>
      <c r="UI21">
        <v>584.85999491224902</v>
      </c>
      <c r="UJ21">
        <v>4737.46365490683</v>
      </c>
      <c r="UK21">
        <v>596.40205427860997</v>
      </c>
      <c r="UL21">
        <v>0</v>
      </c>
      <c r="UM21">
        <v>21.158657838002402</v>
      </c>
      <c r="UN21">
        <v>593.89069823741102</v>
      </c>
      <c r="UO21">
        <v>593.89069823741102</v>
      </c>
      <c r="UP21">
        <v>3232.23461889277</v>
      </c>
      <c r="UQ21">
        <v>0</v>
      </c>
      <c r="UR21">
        <v>4341.6897271767202</v>
      </c>
      <c r="US21">
        <v>23.042969033709099</v>
      </c>
      <c r="UT21">
        <v>0</v>
      </c>
      <c r="UU21">
        <v>-9660.5220972234802</v>
      </c>
      <c r="UV21">
        <v>13007.5844402192</v>
      </c>
      <c r="UW21">
        <v>21.1111</v>
      </c>
      <c r="UX21">
        <v>23.8889</v>
      </c>
      <c r="UY21">
        <v>21.544275653678799</v>
      </c>
      <c r="UZ21">
        <v>0</v>
      </c>
      <c r="VA21">
        <v>21.058090910852101</v>
      </c>
      <c r="VB21">
        <v>0</v>
      </c>
      <c r="VC21">
        <v>0</v>
      </c>
      <c r="VD21">
        <v>0</v>
      </c>
      <c r="VE21">
        <v>18.002979457375702</v>
      </c>
      <c r="VF21">
        <v>0</v>
      </c>
      <c r="VG21">
        <v>21.030369954654098</v>
      </c>
      <c r="VH21">
        <v>0</v>
      </c>
      <c r="VI21">
        <v>0</v>
      </c>
      <c r="VJ21">
        <v>0</v>
      </c>
      <c r="VK21">
        <v>10.8591880441566</v>
      </c>
      <c r="VL21">
        <v>2.5888162967835302</v>
      </c>
      <c r="VM21">
        <v>21.1423550379522</v>
      </c>
      <c r="VN21">
        <v>0</v>
      </c>
      <c r="VO21">
        <v>0</v>
      </c>
      <c r="VP21">
        <v>0</v>
      </c>
      <c r="VQ21">
        <v>17.664305863625</v>
      </c>
      <c r="VR21">
        <v>0</v>
      </c>
      <c r="VS21">
        <v>21.0263111682169</v>
      </c>
      <c r="VT21">
        <v>0</v>
      </c>
      <c r="VU21">
        <v>0</v>
      </c>
      <c r="VV21">
        <v>0</v>
      </c>
      <c r="VW21">
        <v>201.57730801122301</v>
      </c>
      <c r="VX21">
        <v>0</v>
      </c>
      <c r="VY21">
        <v>22.303649248369702</v>
      </c>
      <c r="VZ21">
        <v>0</v>
      </c>
      <c r="WA21">
        <v>0</v>
      </c>
      <c r="WB21">
        <v>0</v>
      </c>
      <c r="WC21">
        <v>1125.66037780083</v>
      </c>
      <c r="WD21">
        <v>0</v>
      </c>
      <c r="WE21">
        <v>21.147792625719301</v>
      </c>
      <c r="WF21">
        <v>1117.5957579619301</v>
      </c>
      <c r="WG21">
        <v>1117.5957579619301</v>
      </c>
      <c r="WH21">
        <v>5273.1725600506497</v>
      </c>
      <c r="WI21">
        <v>0</v>
      </c>
      <c r="WJ21">
        <v>711.29335872702495</v>
      </c>
      <c r="WK21">
        <v>0</v>
      </c>
      <c r="WL21">
        <v>21.153220337762399</v>
      </c>
      <c r="WM21">
        <v>706.18605296937699</v>
      </c>
      <c r="WN21">
        <v>706.18605296937699</v>
      </c>
      <c r="WO21">
        <v>3346.8038861097598</v>
      </c>
      <c r="WP21">
        <v>21.1111</v>
      </c>
      <c r="WQ21">
        <v>23.8889</v>
      </c>
      <c r="WR21">
        <v>897.16824034307899</v>
      </c>
      <c r="WS21">
        <v>0</v>
      </c>
      <c r="WT21">
        <v>21.155581455420599</v>
      </c>
      <c r="WU21">
        <v>890.98301163883195</v>
      </c>
      <c r="WV21">
        <v>890.98301163883195</v>
      </c>
      <c r="WW21">
        <v>5045.7504082812302</v>
      </c>
      <c r="WX21">
        <v>0</v>
      </c>
      <c r="WY21">
        <v>775.61380660378597</v>
      </c>
      <c r="WZ21">
        <v>0</v>
      </c>
      <c r="XA21">
        <v>21.1494433745493</v>
      </c>
      <c r="XB21">
        <v>769.04421849739401</v>
      </c>
      <c r="XC21">
        <v>769.04421849739401</v>
      </c>
      <c r="XD21">
        <v>3408.9990236236199</v>
      </c>
      <c r="XE21">
        <v>0</v>
      </c>
      <c r="XF21">
        <v>3983.0696362820599</v>
      </c>
      <c r="XG21">
        <v>23.038463590865</v>
      </c>
      <c r="XH21">
        <v>0</v>
      </c>
      <c r="XI21">
        <v>-7675.8757304886503</v>
      </c>
      <c r="XJ21">
        <v>13773.737282513999</v>
      </c>
      <c r="XK21">
        <v>21.1111</v>
      </c>
      <c r="XL21">
        <v>23.8889</v>
      </c>
      <c r="XM21">
        <v>237.50874857055399</v>
      </c>
      <c r="XN21">
        <v>0</v>
      </c>
      <c r="XO21">
        <v>20.003066282976999</v>
      </c>
      <c r="XP21">
        <v>0</v>
      </c>
      <c r="XQ21">
        <v>0</v>
      </c>
      <c r="XR21">
        <v>0</v>
      </c>
      <c r="XS21">
        <v>154.62087372298501</v>
      </c>
      <c r="XT21">
        <v>0</v>
      </c>
      <c r="XU21">
        <v>19.9829542136039</v>
      </c>
      <c r="XV21">
        <v>0</v>
      </c>
      <c r="XW21">
        <v>0</v>
      </c>
      <c r="XX21">
        <v>0</v>
      </c>
      <c r="XY21">
        <v>286.51776970609302</v>
      </c>
      <c r="XZ21">
        <v>0</v>
      </c>
      <c r="YA21">
        <v>20.193097892196601</v>
      </c>
      <c r="YB21">
        <v>0</v>
      </c>
      <c r="YC21">
        <v>0</v>
      </c>
      <c r="YD21">
        <v>0</v>
      </c>
      <c r="YE21">
        <v>154.49525072109401</v>
      </c>
      <c r="YF21">
        <v>0</v>
      </c>
      <c r="YG21">
        <v>19.9762142326305</v>
      </c>
      <c r="YH21">
        <v>0</v>
      </c>
      <c r="YI21">
        <v>0</v>
      </c>
      <c r="YJ21">
        <v>0</v>
      </c>
      <c r="YK21">
        <v>488.75226057924601</v>
      </c>
      <c r="YL21">
        <v>0</v>
      </c>
      <c r="YM21">
        <v>21.6595842161002</v>
      </c>
      <c r="YN21">
        <v>0</v>
      </c>
      <c r="YO21">
        <v>0</v>
      </c>
      <c r="YP21">
        <v>0</v>
      </c>
      <c r="YQ21">
        <v>0</v>
      </c>
      <c r="YR21">
        <v>419.458682396499</v>
      </c>
      <c r="YS21">
        <v>18.785417687643701</v>
      </c>
      <c r="YT21">
        <v>0</v>
      </c>
      <c r="YU21">
        <v>0</v>
      </c>
      <c r="YV21">
        <v>0</v>
      </c>
      <c r="YW21">
        <v>0</v>
      </c>
      <c r="YX21">
        <v>264.24779011920202</v>
      </c>
      <c r="YY21">
        <v>18.7689325771216</v>
      </c>
      <c r="YZ21">
        <v>0</v>
      </c>
      <c r="ZA21">
        <v>0</v>
      </c>
      <c r="ZB21">
        <v>0</v>
      </c>
      <c r="ZC21">
        <v>0</v>
      </c>
      <c r="ZD21">
        <v>651.37348595416802</v>
      </c>
      <c r="ZE21">
        <v>18.618597229719398</v>
      </c>
      <c r="ZF21">
        <v>0</v>
      </c>
      <c r="ZG21">
        <v>0</v>
      </c>
      <c r="ZH21">
        <v>0</v>
      </c>
      <c r="ZI21">
        <v>0</v>
      </c>
      <c r="ZJ21">
        <v>265.57478422912101</v>
      </c>
      <c r="ZK21">
        <v>18.779062776721201</v>
      </c>
      <c r="ZL21">
        <v>0</v>
      </c>
      <c r="ZM21">
        <v>0</v>
      </c>
      <c r="ZN21">
        <v>0</v>
      </c>
      <c r="ZO21">
        <v>0</v>
      </c>
      <c r="ZP21">
        <v>12964.1166562374</v>
      </c>
      <c r="ZQ21">
        <v>16.747034163846902</v>
      </c>
      <c r="ZR21">
        <v>0</v>
      </c>
      <c r="ZS21">
        <v>0</v>
      </c>
      <c r="ZT21">
        <v>0</v>
      </c>
      <c r="ZU21">
        <v>0</v>
      </c>
      <c r="ZV21">
        <v>304.47976236410602</v>
      </c>
      <c r="ZW21">
        <v>20.6829551752231</v>
      </c>
      <c r="ZX21">
        <v>0</v>
      </c>
      <c r="ZY21">
        <v>0</v>
      </c>
      <c r="ZZ21">
        <v>0</v>
      </c>
      <c r="AAA21">
        <v>0</v>
      </c>
      <c r="AAB21">
        <v>190.88848741190901</v>
      </c>
      <c r="AAC21">
        <v>20.6641227894055</v>
      </c>
      <c r="AAD21">
        <v>0</v>
      </c>
      <c r="AAE21">
        <v>0</v>
      </c>
      <c r="AAF21">
        <v>0</v>
      </c>
      <c r="AAG21">
        <v>0</v>
      </c>
      <c r="AAH21">
        <v>428.34665943108899</v>
      </c>
      <c r="AAI21">
        <v>20.622482161662699</v>
      </c>
      <c r="AAJ21">
        <v>0</v>
      </c>
      <c r="AAK21">
        <v>0</v>
      </c>
      <c r="AAL21">
        <v>0</v>
      </c>
      <c r="AAM21">
        <v>0</v>
      </c>
      <c r="AAN21" s="581">
        <v>189.869232678305</v>
      </c>
      <c r="AAO21">
        <v>20.655946378189501</v>
      </c>
      <c r="AAP21">
        <v>0</v>
      </c>
      <c r="AAQ21">
        <v>0</v>
      </c>
      <c r="AAR21">
        <v>0</v>
      </c>
      <c r="AAS21">
        <v>0</v>
      </c>
      <c r="AAT21">
        <v>7108.8138467319704</v>
      </c>
      <c r="AAU21">
        <v>19.1585590361858</v>
      </c>
      <c r="AAV21">
        <v>0</v>
      </c>
      <c r="AAW21">
        <v>0</v>
      </c>
      <c r="AAX21">
        <v>0</v>
      </c>
      <c r="AAY21">
        <v>0</v>
      </c>
      <c r="AAZ21">
        <v>277.09703550011301</v>
      </c>
      <c r="ABA21">
        <v>20.647396920396002</v>
      </c>
      <c r="ABB21">
        <v>0</v>
      </c>
      <c r="ABC21">
        <v>0</v>
      </c>
      <c r="ABD21">
        <v>0</v>
      </c>
      <c r="ABE21">
        <v>0</v>
      </c>
      <c r="ABF21">
        <v>176.85912224398999</v>
      </c>
      <c r="ABG21">
        <v>20.6545315597577</v>
      </c>
      <c r="ABH21">
        <v>0</v>
      </c>
      <c r="ABI21">
        <v>0</v>
      </c>
      <c r="ABJ21">
        <v>0</v>
      </c>
      <c r="ABK21">
        <v>0</v>
      </c>
      <c r="ABL21">
        <v>385.26652460585001</v>
      </c>
      <c r="ABM21">
        <v>20.607864443604001</v>
      </c>
      <c r="ABN21">
        <v>0</v>
      </c>
      <c r="ABO21">
        <v>0</v>
      </c>
      <c r="ABP21">
        <v>0</v>
      </c>
      <c r="ABQ21">
        <v>0</v>
      </c>
      <c r="ABR21">
        <v>171.08525729493701</v>
      </c>
      <c r="ABS21">
        <v>20.609449237362401</v>
      </c>
      <c r="ABT21">
        <v>0</v>
      </c>
      <c r="ABU21">
        <v>0</v>
      </c>
      <c r="ABV21">
        <v>0</v>
      </c>
      <c r="ABW21">
        <v>0</v>
      </c>
      <c r="ABX21">
        <v>7248.6019117378701</v>
      </c>
      <c r="ABY21">
        <v>19.250694958425399</v>
      </c>
      <c r="ABZ21">
        <v>0</v>
      </c>
      <c r="ACA21">
        <v>0</v>
      </c>
      <c r="ACB21">
        <v>0</v>
      </c>
      <c r="ACC21">
        <v>7.4999999999999997E-2</v>
      </c>
      <c r="ACD21">
        <v>280290.84715313202</v>
      </c>
      <c r="ACE21">
        <v>420.924703021624</v>
      </c>
      <c r="ACF21">
        <v>14.2067253236995</v>
      </c>
      <c r="ACG21">
        <v>14.199266089420901</v>
      </c>
      <c r="ACH21">
        <v>3.3750009034974999</v>
      </c>
      <c r="ACI21">
        <v>498.78327167527198</v>
      </c>
      <c r="ACJ21">
        <v>1.3515683318495699</v>
      </c>
      <c r="ACK21">
        <v>20.910249915981701</v>
      </c>
      <c r="ACL21">
        <v>20.9178165684615</v>
      </c>
      <c r="ACM21">
        <v>3.9425010554189299</v>
      </c>
      <c r="ACN21">
        <v>36133.831342602003</v>
      </c>
      <c r="ACP21">
        <v>5209.9511627895899</v>
      </c>
      <c r="ACR21">
        <v>41343.782505391602</v>
      </c>
      <c r="ACT21">
        <v>18.594316651909701</v>
      </c>
      <c r="ACU21">
        <v>18.243303892524001</v>
      </c>
      <c r="ACV21">
        <v>1.7</v>
      </c>
      <c r="ACW21">
        <v>25.749891407027601</v>
      </c>
      <c r="ACX21">
        <v>0.81026418386069998</v>
      </c>
      <c r="ACY21">
        <v>23.2945200479672</v>
      </c>
      <c r="ACZ21">
        <v>21.850739633588301</v>
      </c>
      <c r="ADA21">
        <v>1.7</v>
      </c>
      <c r="ADB21">
        <v>1.71542279276709</v>
      </c>
      <c r="ADC21">
        <v>0.64706247037095699</v>
      </c>
      <c r="ADD21">
        <v>23.0538483906731</v>
      </c>
      <c r="ADE21">
        <v>21.7006899825396</v>
      </c>
      <c r="ADF21">
        <v>1.7</v>
      </c>
      <c r="ADG21">
        <v>1.77008968617353</v>
      </c>
      <c r="ADH21">
        <v>0.63975179517070702</v>
      </c>
      <c r="ADI21">
        <v>21.624549670303502</v>
      </c>
      <c r="ADJ21">
        <v>21.624549670303502</v>
      </c>
      <c r="ADK21">
        <v>0</v>
      </c>
      <c r="ADL21">
        <v>0</v>
      </c>
      <c r="ADM21">
        <v>1</v>
      </c>
      <c r="ADN21">
        <v>21.615977738937499</v>
      </c>
      <c r="ADO21">
        <v>21.615977738937499</v>
      </c>
      <c r="ADP21">
        <v>0</v>
      </c>
      <c r="ADQ21">
        <v>0</v>
      </c>
      <c r="ADR21">
        <v>1</v>
      </c>
      <c r="ADS21">
        <v>21.566083970162701</v>
      </c>
      <c r="ADT21">
        <v>21.566083970162701</v>
      </c>
      <c r="ADU21">
        <v>0</v>
      </c>
      <c r="ADV21">
        <v>0</v>
      </c>
      <c r="ADW21">
        <v>1</v>
      </c>
      <c r="ADX21">
        <v>21.635884087450702</v>
      </c>
      <c r="ADY21">
        <v>21.635884087450702</v>
      </c>
      <c r="ADZ21">
        <v>0</v>
      </c>
      <c r="AEA21">
        <v>0</v>
      </c>
      <c r="AEB21">
        <v>1</v>
      </c>
      <c r="AEC21">
        <v>21.779818556580398</v>
      </c>
      <c r="AED21">
        <v>21.779818556580398</v>
      </c>
      <c r="AEE21">
        <v>0</v>
      </c>
      <c r="AEF21">
        <v>0</v>
      </c>
      <c r="AEG21">
        <v>1</v>
      </c>
      <c r="AEH21">
        <v>21.785447559366499</v>
      </c>
      <c r="AEI21">
        <v>21.785447559366499</v>
      </c>
      <c r="AEJ21">
        <v>0</v>
      </c>
      <c r="AEK21">
        <v>0</v>
      </c>
      <c r="AEL21">
        <v>1</v>
      </c>
      <c r="AEM21">
        <v>21.705515184868499</v>
      </c>
      <c r="AEN21">
        <v>21.705515184868499</v>
      </c>
      <c r="AEO21">
        <v>0</v>
      </c>
      <c r="AEP21">
        <v>0</v>
      </c>
      <c r="AEQ21">
        <v>1</v>
      </c>
      <c r="AER21">
        <v>21.811216834552699</v>
      </c>
      <c r="AES21">
        <v>21.811216834552699</v>
      </c>
      <c r="AET21">
        <v>0</v>
      </c>
      <c r="AEU21">
        <v>0</v>
      </c>
      <c r="AEV21">
        <v>1</v>
      </c>
      <c r="AEW21">
        <v>21.742026078127001</v>
      </c>
      <c r="AEX21">
        <v>21.742026078127001</v>
      </c>
      <c r="AEY21">
        <v>0</v>
      </c>
      <c r="AEZ21">
        <v>0</v>
      </c>
      <c r="AFA21">
        <v>1</v>
      </c>
      <c r="AFB21">
        <v>21.738262975344899</v>
      </c>
      <c r="AFC21">
        <v>21.738262975344899</v>
      </c>
      <c r="AFD21">
        <v>0</v>
      </c>
      <c r="AFE21">
        <v>0</v>
      </c>
      <c r="AFF21">
        <v>1</v>
      </c>
      <c r="AFG21">
        <v>21.686993353279401</v>
      </c>
      <c r="AFH21">
        <v>21.686993353279401</v>
      </c>
      <c r="AFI21">
        <v>0</v>
      </c>
      <c r="AFJ21">
        <v>0</v>
      </c>
      <c r="AFK21">
        <v>1</v>
      </c>
      <c r="AFL21">
        <v>21.7565951432255</v>
      </c>
      <c r="AFM21">
        <v>21.7565951432255</v>
      </c>
      <c r="AFN21">
        <v>0</v>
      </c>
      <c r="AFO21">
        <v>0</v>
      </c>
      <c r="AFP21">
        <v>1</v>
      </c>
      <c r="AFQ21">
        <v>-1.00040970243701</v>
      </c>
      <c r="AFR21">
        <v>-0.94118648233012503</v>
      </c>
      <c r="AFS21">
        <v>-0.94133018947141101</v>
      </c>
      <c r="AFT21">
        <v>-0.94467261957147197</v>
      </c>
      <c r="AFU21">
        <v>-0.92577749335356496</v>
      </c>
      <c r="AFV21">
        <v>-0.90402714278865903</v>
      </c>
      <c r="AFW21">
        <v>-0.90400620289602496</v>
      </c>
      <c r="AFX21">
        <v>-0.89554938219810698</v>
      </c>
      <c r="AFY21">
        <v>-0.956162545983132</v>
      </c>
      <c r="AFZ21">
        <v>-0.92833782030580303</v>
      </c>
      <c r="AGA21">
        <v>-0.933031621717478</v>
      </c>
      <c r="AGB21">
        <v>-0.88978767419968896</v>
      </c>
      <c r="AGC21">
        <v>-1.48239605057866</v>
      </c>
      <c r="AGD21">
        <v>-0.86324368875250601</v>
      </c>
      <c r="AGE21">
        <v>-0.90993134518748497</v>
      </c>
      <c r="AGF21">
        <v>0</v>
      </c>
      <c r="AGG21">
        <v>0</v>
      </c>
      <c r="AGH21">
        <v>0</v>
      </c>
      <c r="AGI21">
        <v>0</v>
      </c>
      <c r="AGJ21">
        <v>1</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Z21">
        <v>1116.7649793114699</v>
      </c>
      <c r="AIB21">
        <v>0</v>
      </c>
      <c r="AID21">
        <v>1088.3411200025901</v>
      </c>
      <c r="AIF21">
        <v>1706.4014581054701</v>
      </c>
      <c r="AIH21">
        <v>1899.54669836423</v>
      </c>
      <c r="AIJ21">
        <v>0</v>
      </c>
      <c r="AIL21">
        <v>602.60355304640404</v>
      </c>
      <c r="AIN21">
        <v>662.97985857260005</v>
      </c>
      <c r="AIP21">
        <v>925.58100712907401</v>
      </c>
      <c r="AIR21">
        <v>759.49263610828996</v>
      </c>
      <c r="AIT21">
        <v>0</v>
      </c>
      <c r="AIV21">
        <v>774.67063202735301</v>
      </c>
      <c r="AIX21">
        <v>846.155789142868</v>
      </c>
      <c r="AIZ21">
        <v>1228.4060908982899</v>
      </c>
      <c r="AJB21">
        <v>1063.67993319523</v>
      </c>
      <c r="AJC21">
        <v>0</v>
      </c>
      <c r="AJE21">
        <v>0.14300600333236399</v>
      </c>
      <c r="AJH21">
        <v>3994.4228226630598</v>
      </c>
      <c r="AJJ21">
        <v>174.42752372447501</v>
      </c>
      <c r="AJK21">
        <v>0</v>
      </c>
      <c r="AJL21">
        <v>0</v>
      </c>
      <c r="AJM21">
        <v>0</v>
      </c>
      <c r="AJN21">
        <v>0</v>
      </c>
      <c r="AJO21">
        <v>0</v>
      </c>
      <c r="AJP21">
        <v>0</v>
      </c>
      <c r="AJQ21">
        <v>0</v>
      </c>
      <c r="AJR21">
        <v>0</v>
      </c>
      <c r="AJS21">
        <v>0</v>
      </c>
      <c r="AJT21">
        <v>0</v>
      </c>
      <c r="AJU21">
        <v>0</v>
      </c>
      <c r="AJV21">
        <v>0</v>
      </c>
      <c r="AJW21">
        <v>0</v>
      </c>
      <c r="AJX21">
        <v>0</v>
      </c>
      <c r="AJY21">
        <v>11816.5116687095</v>
      </c>
      <c r="AJZ21">
        <v>0</v>
      </c>
      <c r="AKA21">
        <v>0</v>
      </c>
      <c r="AKB21">
        <v>11750.415710867201</v>
      </c>
      <c r="AKC21">
        <v>14864.915944692701</v>
      </c>
      <c r="AKD21">
        <v>53513697.400893599</v>
      </c>
      <c r="AKE21">
        <v>39.011668961423197</v>
      </c>
      <c r="AKF21">
        <v>67.996037792441498</v>
      </c>
      <c r="AKG21">
        <v>9.7271789485164697E-2</v>
      </c>
      <c r="AKH21">
        <v>0.27740265189600299</v>
      </c>
      <c r="AKI21">
        <v>0</v>
      </c>
      <c r="AKJ21">
        <v>0</v>
      </c>
      <c r="AKK21">
        <v>0</v>
      </c>
      <c r="AKL21">
        <v>39.011668961423197</v>
      </c>
      <c r="AKM21">
        <v>39.011668961423197</v>
      </c>
      <c r="AKN21">
        <v>0</v>
      </c>
      <c r="AKO21">
        <v>0</v>
      </c>
      <c r="AKP21">
        <v>264383.83136923797</v>
      </c>
      <c r="AKT21">
        <v>1683698.81208654</v>
      </c>
      <c r="AKX21">
        <v>1519589.44843846</v>
      </c>
      <c r="ALB21">
        <v>20.923579695415199</v>
      </c>
      <c r="ALC21">
        <v>20.923579695415199</v>
      </c>
      <c r="ALD21">
        <v>0</v>
      </c>
      <c r="ALE21">
        <v>0</v>
      </c>
      <c r="ALF21">
        <v>0</v>
      </c>
      <c r="ALH21">
        <v>14.954109382473</v>
      </c>
      <c r="ALI21">
        <v>6.9505529852759602E-3</v>
      </c>
      <c r="ALJ21">
        <v>10.1693183276551</v>
      </c>
      <c r="ALK21">
        <v>14.9541208596341</v>
      </c>
      <c r="ALL21">
        <v>10.1693183276551</v>
      </c>
      <c r="ALM21">
        <v>4.9474722912335304E-6</v>
      </c>
      <c r="ALN21">
        <v>20.4469443267249</v>
      </c>
      <c r="ALO21">
        <v>7.6473686308732502E-3</v>
      </c>
      <c r="ALP21">
        <v>51.0714970955853</v>
      </c>
      <c r="ALQ21">
        <v>10.1693183276551</v>
      </c>
      <c r="ALR21">
        <v>14.954109382473</v>
      </c>
      <c r="ALS21">
        <v>10.1693183276551</v>
      </c>
      <c r="ALT21">
        <v>15.274763001293101</v>
      </c>
      <c r="ALU21">
        <v>10.1693183276551</v>
      </c>
      <c r="ALV21">
        <v>12.2200409410781</v>
      </c>
      <c r="ALW21">
        <v>1.1331547936245301E-8</v>
      </c>
      <c r="ALX21">
        <v>14.9541208596341</v>
      </c>
      <c r="ALY21">
        <v>1.1331547936245301E-8</v>
      </c>
      <c r="ALZ21">
        <v>9.7271763445225506E-5</v>
      </c>
      <c r="AMA21">
        <v>14.2067253236995</v>
      </c>
      <c r="AMB21">
        <v>3.375E-3</v>
      </c>
      <c r="AMC21">
        <v>14.199266089420901</v>
      </c>
      <c r="AMD21">
        <v>3.375E-3</v>
      </c>
      <c r="AME21">
        <v>14.199266089420901</v>
      </c>
      <c r="AMF21">
        <v>3.375E-3</v>
      </c>
      <c r="AMG21">
        <v>3.9424999999999998E-3</v>
      </c>
      <c r="AMH21">
        <v>4.3381107880685903</v>
      </c>
      <c r="AMI21">
        <v>27.290305163353299</v>
      </c>
      <c r="AMJ21">
        <v>0.1067187</v>
      </c>
      <c r="AMK21" s="580">
        <v>16.747551538229299</v>
      </c>
      <c r="AML21">
        <v>6.5216500000000002</v>
      </c>
      <c r="AMM21">
        <v>27.061821878459199</v>
      </c>
      <c r="AMN21">
        <v>0.1067176</v>
      </c>
      <c r="AMO21">
        <v>27.0434351529689</v>
      </c>
      <c r="AMP21">
        <v>0.16802987</v>
      </c>
      <c r="AMQ21">
        <v>24.0169352819422</v>
      </c>
      <c r="AMR21">
        <v>0.28417766619485202</v>
      </c>
      <c r="AMS21">
        <v>19.2035726560248</v>
      </c>
      <c r="AMT21">
        <v>0.86607511999999998</v>
      </c>
      <c r="AMU21">
        <v>25.261352435570299</v>
      </c>
      <c r="AMV21">
        <v>0.10670032</v>
      </c>
      <c r="AMW21">
        <v>25.7128968844141</v>
      </c>
      <c r="AMX21">
        <v>0.10672805</v>
      </c>
      <c r="AMY21">
        <v>25.1662190833291</v>
      </c>
      <c r="AMZ21">
        <v>0.16802747000000001</v>
      </c>
      <c r="ANA21">
        <v>23.115540277522001</v>
      </c>
      <c r="ANB21">
        <v>0.24644330342694401</v>
      </c>
      <c r="ANC21">
        <v>19.300723301875799</v>
      </c>
      <c r="AND21">
        <v>0.86607511999999998</v>
      </c>
      <c r="ANE21">
        <v>26.576001736853399</v>
      </c>
      <c r="ANF21">
        <v>0.10665288000000001</v>
      </c>
      <c r="ANG21">
        <v>27.070424152053999</v>
      </c>
      <c r="ANH21">
        <v>0.10672506</v>
      </c>
      <c r="ANI21">
        <v>26.6061978253585</v>
      </c>
      <c r="ANJ21">
        <v>0.16798560000000001</v>
      </c>
      <c r="ANK21">
        <v>24.196570133652699</v>
      </c>
      <c r="ANL21">
        <v>0.24061156803332601</v>
      </c>
      <c r="ANM21">
        <v>7.1872938361948497</v>
      </c>
      <c r="ANN21">
        <v>1.49397426342694</v>
      </c>
      <c r="ANO21">
        <v>1.4880502280333301</v>
      </c>
      <c r="ANP21">
        <v>16.747551538229299</v>
      </c>
      <c r="ANQ21">
        <v>18.736711772268201</v>
      </c>
      <c r="ANR21">
        <v>18.747860680754599</v>
      </c>
      <c r="ANS21">
        <v>18.560675698411298</v>
      </c>
      <c r="ANT21">
        <v>18.753420348321299</v>
      </c>
      <c r="ANU21">
        <v>19.2035726560248</v>
      </c>
      <c r="ANV21">
        <v>20.650618440130099</v>
      </c>
      <c r="ANW21">
        <v>20.641523734147601</v>
      </c>
      <c r="ANX21">
        <v>20.599674193636201</v>
      </c>
      <c r="ANY21">
        <v>20.669072679447101</v>
      </c>
      <c r="ANZ21">
        <v>19.300723301875799</v>
      </c>
      <c r="AOA21">
        <v>20.6462741435274</v>
      </c>
      <c r="AOB21">
        <v>20.5978799981729</v>
      </c>
      <c r="AOC21">
        <v>20.587727022164501</v>
      </c>
      <c r="AOD21">
        <v>20.636382776482002</v>
      </c>
      <c r="AOE21">
        <v>20.4469443267249</v>
      </c>
      <c r="AOF21">
        <v>4.3381107880685903</v>
      </c>
      <c r="AOG21">
        <v>20.4797099326751</v>
      </c>
      <c r="AOH21">
        <v>4.3381107880685903</v>
      </c>
    </row>
    <row r="22" spans="1:1074">
      <c r="A22" t="s">
        <v>2957</v>
      </c>
      <c r="B22">
        <v>6.7374999999999998</v>
      </c>
      <c r="D22">
        <v>6.3071920936699097</v>
      </c>
      <c r="F22">
        <v>5</v>
      </c>
      <c r="G22">
        <v>2436553.3304054602</v>
      </c>
      <c r="H22">
        <v>5312245.4548006197</v>
      </c>
      <c r="I22">
        <v>1547356.63299332</v>
      </c>
      <c r="J22">
        <v>3373592.5817829301</v>
      </c>
      <c r="K22">
        <v>2436553.3304054602</v>
      </c>
      <c r="L22">
        <v>5312245.4548006197</v>
      </c>
      <c r="M22">
        <v>1547356.63299332</v>
      </c>
      <c r="N22">
        <v>3373592.5817829301</v>
      </c>
      <c r="O22">
        <v>12565780.1593823</v>
      </c>
      <c r="P22">
        <v>27396284.6225059</v>
      </c>
      <c r="Q22">
        <v>2436553.3304054602</v>
      </c>
      <c r="R22">
        <v>5312245.4548006197</v>
      </c>
      <c r="S22">
        <v>1547356.63299332</v>
      </c>
      <c r="T22">
        <v>3373592.5817829301</v>
      </c>
      <c r="U22">
        <v>2436553.3304054602</v>
      </c>
      <c r="V22">
        <v>5312245.4548006197</v>
      </c>
      <c r="W22">
        <v>1547356.63299332</v>
      </c>
      <c r="X22">
        <v>3373592.5817829301</v>
      </c>
      <c r="Y22">
        <v>12565780.1593823</v>
      </c>
      <c r="Z22">
        <v>27396284.6225059</v>
      </c>
      <c r="AA22">
        <v>2436553.3304054602</v>
      </c>
      <c r="AB22">
        <v>5312245.4548006197</v>
      </c>
      <c r="AC22">
        <v>1547356.63299332</v>
      </c>
      <c r="AD22">
        <v>3373592.5817829301</v>
      </c>
      <c r="AE22">
        <v>2436553.3304054602</v>
      </c>
      <c r="AF22">
        <v>5312245.4548006197</v>
      </c>
      <c r="AG22">
        <v>1547356.63299332</v>
      </c>
      <c r="AH22">
        <v>3373592.5817829301</v>
      </c>
      <c r="AI22">
        <v>12565780.1593823</v>
      </c>
      <c r="AJ22">
        <v>27396284.6225059</v>
      </c>
      <c r="AK22">
        <v>2.3716228502806498</v>
      </c>
      <c r="AL22">
        <v>395606.04386927001</v>
      </c>
      <c r="AM22">
        <v>1024541.07132124</v>
      </c>
      <c r="AN22">
        <v>2.3716228502806498</v>
      </c>
      <c r="AO22">
        <v>395606.04386927001</v>
      </c>
      <c r="AP22">
        <v>1024541.07132124</v>
      </c>
      <c r="AQ22">
        <v>1.5061219069354801</v>
      </c>
      <c r="AR22">
        <v>251233.42403159899</v>
      </c>
      <c r="AS22">
        <v>650644.66379612905</v>
      </c>
      <c r="AT22">
        <v>1.5061219069354801</v>
      </c>
      <c r="AU22">
        <v>251233.42403159899</v>
      </c>
      <c r="AV22">
        <v>650644.66379612905</v>
      </c>
      <c r="AW22">
        <v>2.3716228502806498</v>
      </c>
      <c r="AX22">
        <v>395606.04386927001</v>
      </c>
      <c r="AY22">
        <v>1024541.07132124</v>
      </c>
      <c r="AZ22">
        <v>2.3716228502806498</v>
      </c>
      <c r="BA22">
        <v>395606.04386927001</v>
      </c>
      <c r="BB22">
        <v>1024541.07132124</v>
      </c>
      <c r="BC22">
        <v>1.5061219069354801</v>
      </c>
      <c r="BD22">
        <v>251233.42403159899</v>
      </c>
      <c r="BE22">
        <v>650644.66379612905</v>
      </c>
      <c r="BF22">
        <v>1.5061219069354801</v>
      </c>
      <c r="BG22">
        <v>251233.42403159899</v>
      </c>
      <c r="BH22">
        <v>650644.66379612905</v>
      </c>
      <c r="BI22">
        <v>2.3716228502806498</v>
      </c>
      <c r="BJ22">
        <v>395606.04386927001</v>
      </c>
      <c r="BK22">
        <v>1024541.07132124</v>
      </c>
      <c r="BL22">
        <v>2.3716228502806498</v>
      </c>
      <c r="BM22">
        <v>395606.04386927001</v>
      </c>
      <c r="BN22">
        <v>1024541.07132124</v>
      </c>
      <c r="BO22">
        <v>1.5061219069354801</v>
      </c>
      <c r="BP22">
        <v>251233.42403159899</v>
      </c>
      <c r="BQ22">
        <v>650644.66379612905</v>
      </c>
      <c r="BR22">
        <v>1.5061219069354801</v>
      </c>
      <c r="BS22">
        <v>251233.42403159899</v>
      </c>
      <c r="BT22">
        <v>650644.66379612905</v>
      </c>
      <c r="BU22">
        <v>5283757.8828362301</v>
      </c>
      <c r="BV22">
        <v>12.2309210250839</v>
      </c>
      <c r="BW22">
        <v>2040217.43129955</v>
      </c>
      <c r="BX22">
        <v>5283757.8828362301</v>
      </c>
      <c r="BY22">
        <v>12.2309210250839</v>
      </c>
      <c r="BZ22">
        <v>2040217.43129955</v>
      </c>
      <c r="CA22">
        <v>5283757.8828362301</v>
      </c>
      <c r="CB22">
        <v>12.2309210250839</v>
      </c>
      <c r="CC22">
        <v>2040217.43129955</v>
      </c>
      <c r="CD22">
        <v>5283757.8828362301</v>
      </c>
      <c r="CE22">
        <v>754635.97149237199</v>
      </c>
      <c r="CF22">
        <v>1715081.7533917499</v>
      </c>
      <c r="CG22">
        <v>754635.97149237199</v>
      </c>
      <c r="CH22">
        <v>1715081.7533917499</v>
      </c>
      <c r="CI22">
        <v>479238.83356567699</v>
      </c>
      <c r="CJ22">
        <v>1089179.1671947199</v>
      </c>
      <c r="CK22">
        <v>479238.83356567699</v>
      </c>
      <c r="CL22">
        <v>1089179.1671947199</v>
      </c>
      <c r="CM22">
        <v>754635.97149237199</v>
      </c>
      <c r="CN22">
        <v>1715081.7533917499</v>
      </c>
      <c r="CO22">
        <v>754635.97149237199</v>
      </c>
      <c r="CP22">
        <v>1715081.7533917499</v>
      </c>
      <c r="CQ22">
        <v>479238.83356567699</v>
      </c>
      <c r="CR22">
        <v>1089179.1671947199</v>
      </c>
      <c r="CS22">
        <v>479238.83356567699</v>
      </c>
      <c r="CT22">
        <v>1089179.1671947199</v>
      </c>
      <c r="CU22">
        <v>754635.97149237199</v>
      </c>
      <c r="CV22">
        <v>1715081.7533917499</v>
      </c>
      <c r="CW22">
        <v>754635.97149237199</v>
      </c>
      <c r="CX22">
        <v>1715081.7533917499</v>
      </c>
      <c r="CY22">
        <v>479238.83356567699</v>
      </c>
      <c r="CZ22">
        <v>1089179.1671947199</v>
      </c>
      <c r="DA22">
        <v>479238.83356567699</v>
      </c>
      <c r="DB22">
        <v>1089179.1671947199</v>
      </c>
      <c r="DC22">
        <v>3891804.7061818601</v>
      </c>
      <c r="DD22">
        <v>8845010.6958678495</v>
      </c>
      <c r="DE22">
        <v>3891804.7061818601</v>
      </c>
      <c r="DF22">
        <v>8845010.6958678495</v>
      </c>
      <c r="DG22">
        <v>3891804.7061818601</v>
      </c>
      <c r="DH22">
        <v>8845010.6958678495</v>
      </c>
      <c r="DI22">
        <v>1286311.3150438201</v>
      </c>
      <c r="DJ22">
        <v>2572622.6300876299</v>
      </c>
      <c r="DK22">
        <v>1286311.3150438201</v>
      </c>
      <c r="DL22">
        <v>2572622.6300876299</v>
      </c>
      <c r="DM22">
        <v>816884.37539604004</v>
      </c>
      <c r="DN22">
        <v>1633768.7507920801</v>
      </c>
      <c r="DO22">
        <v>816884.37539603899</v>
      </c>
      <c r="DP22">
        <v>1633768.7507920801</v>
      </c>
      <c r="DQ22">
        <v>1286311.3150438201</v>
      </c>
      <c r="DR22">
        <v>2572622.6300876299</v>
      </c>
      <c r="DS22">
        <v>1286311.3150438201</v>
      </c>
      <c r="DT22">
        <v>2572622.6300876299</v>
      </c>
      <c r="DU22">
        <v>816884.37539604004</v>
      </c>
      <c r="DV22">
        <v>1633768.7507920801</v>
      </c>
      <c r="DW22">
        <v>816884.37539603899</v>
      </c>
      <c r="DX22">
        <v>1633768.7507920801</v>
      </c>
      <c r="DY22">
        <v>1286311.3150438201</v>
      </c>
      <c r="DZ22">
        <v>2572622.6300876299</v>
      </c>
      <c r="EA22">
        <v>1286311.3150438201</v>
      </c>
      <c r="EB22">
        <v>2572622.6300876299</v>
      </c>
      <c r="EC22">
        <v>816884.37539604004</v>
      </c>
      <c r="ED22">
        <v>1633768.7507920801</v>
      </c>
      <c r="EE22">
        <v>816884.37539603899</v>
      </c>
      <c r="EF22">
        <v>1633768.7507920801</v>
      </c>
      <c r="EG22">
        <v>6633758.0219008904</v>
      </c>
      <c r="EH22">
        <v>13267516.043801799</v>
      </c>
      <c r="EI22">
        <v>6633758.0219008904</v>
      </c>
      <c r="EJ22">
        <v>13267516.043801799</v>
      </c>
      <c r="EK22">
        <v>6633758.0219008904</v>
      </c>
      <c r="EL22">
        <v>13267516.043801799</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-77.362311830302204</v>
      </c>
      <c r="GC22">
        <v>-112.17767720198199</v>
      </c>
      <c r="GD22">
        <v>-55.634192751796299</v>
      </c>
      <c r="GE22">
        <v>-48.641107887882697</v>
      </c>
      <c r="GF22">
        <v>-63.255362800895597</v>
      </c>
      <c r="GG22">
        <v>-40.792218568173801</v>
      </c>
      <c r="GH22">
        <v>-68.828455665571994</v>
      </c>
      <c r="GI22">
        <v>-92.838676689135198</v>
      </c>
      <c r="GJ22">
        <v>-48.658399684559697</v>
      </c>
      <c r="GK22">
        <v>-46.169298979032497</v>
      </c>
      <c r="GL22">
        <v>-60.359640406259999</v>
      </c>
      <c r="GM22">
        <v>-42.305247731924503</v>
      </c>
      <c r="GN22">
        <v>-39.624777556869198</v>
      </c>
      <c r="GO22">
        <v>20.639258478917501</v>
      </c>
      <c r="GP22">
        <v>20.530409451902798</v>
      </c>
      <c r="GQ22">
        <v>8.1913908651696605</v>
      </c>
      <c r="GR22">
        <v>22.4756676630216</v>
      </c>
      <c r="GS22">
        <v>298.04204322734302</v>
      </c>
      <c r="GT22">
        <v>-26.766779642674098</v>
      </c>
      <c r="GU22">
        <v>20.610709736583999</v>
      </c>
      <c r="GV22">
        <v>20.513044507461402</v>
      </c>
      <c r="GW22">
        <v>5.2196721890797697</v>
      </c>
      <c r="GX22">
        <v>13.351044606854799</v>
      </c>
      <c r="GY22">
        <v>183.57955672423299</v>
      </c>
      <c r="GZ22">
        <v>-39.029352920852901</v>
      </c>
      <c r="HA22">
        <v>20.732978884758602</v>
      </c>
      <c r="HB22">
        <v>20.610021419689701</v>
      </c>
      <c r="HC22">
        <v>8.6560151488866204</v>
      </c>
      <c r="HD22">
        <v>25.841232124854699</v>
      </c>
      <c r="HE22">
        <v>328.257558099378</v>
      </c>
      <c r="HF22">
        <v>-26.434910007645101</v>
      </c>
      <c r="HG22">
        <v>20.617865259392602</v>
      </c>
      <c r="HH22">
        <v>20.518816482019801</v>
      </c>
      <c r="HI22">
        <v>5.7259014381783802</v>
      </c>
      <c r="HJ22">
        <v>13.7603556815573</v>
      </c>
      <c r="HK22">
        <v>184.59865834624301</v>
      </c>
      <c r="HL22">
        <v>-35.632303629796397</v>
      </c>
      <c r="HM22">
        <v>21.597753894126299</v>
      </c>
      <c r="HN22">
        <v>22.035448904005602</v>
      </c>
      <c r="HO22">
        <v>53.230059194921203</v>
      </c>
      <c r="HP22">
        <v>2.5239804592608102</v>
      </c>
      <c r="HQ22">
        <v>21.2021825452487</v>
      </c>
      <c r="HR22">
        <v>-13.404583662009999</v>
      </c>
      <c r="HS22">
        <v>-26.528461780606001</v>
      </c>
      <c r="HT22">
        <v>21.6138047345617</v>
      </c>
      <c r="HU22">
        <v>22.068211675486399</v>
      </c>
      <c r="HV22">
        <v>32.509215886381</v>
      </c>
      <c r="HW22">
        <v>0.624049349246246</v>
      </c>
      <c r="HX22">
        <v>21.194713845921299</v>
      </c>
      <c r="HY22">
        <v>-10.891764644563001</v>
      </c>
      <c r="HZ22">
        <v>21.6138755940596</v>
      </c>
      <c r="IA22">
        <v>22.069158846821001</v>
      </c>
      <c r="IB22">
        <v>72.780832100265599</v>
      </c>
      <c r="IC22">
        <v>-35.067330813170699</v>
      </c>
      <c r="ID22">
        <v>51.841972235570402</v>
      </c>
      <c r="IE22">
        <v>21.278925830783201</v>
      </c>
      <c r="IF22">
        <v>12.692714690028801</v>
      </c>
      <c r="IG22">
        <v>-0.23982191193918501</v>
      </c>
      <c r="IH22">
        <v>21.6033106610214</v>
      </c>
      <c r="II22">
        <v>22.063298645000401</v>
      </c>
      <c r="IJ22">
        <v>32.4191736246012</v>
      </c>
      <c r="IK22">
        <v>0.12207396623807901</v>
      </c>
      <c r="IL22">
        <v>-25.835134558090701</v>
      </c>
      <c r="IM22">
        <v>-0.157451630108916</v>
      </c>
      <c r="IN22">
        <v>21.1817664750482</v>
      </c>
      <c r="IO22">
        <v>0.62408245737909396</v>
      </c>
      <c r="IP22">
        <v>-11.3347787636158</v>
      </c>
      <c r="IQ22">
        <v>-27.855851504068902</v>
      </c>
      <c r="IR22">
        <v>-13.758705475587499</v>
      </c>
      <c r="IS22">
        <v>-22.834434862184299</v>
      </c>
      <c r="IT22">
        <v>-14.156636391588</v>
      </c>
      <c r="IU22">
        <v>-772.63220696843405</v>
      </c>
      <c r="IV22">
        <v>-57.329642432729202</v>
      </c>
      <c r="IW22">
        <v>21.106182601430099</v>
      </c>
      <c r="IX22">
        <v>21.2021825452487</v>
      </c>
      <c r="IY22">
        <v>0.54213492798762597</v>
      </c>
      <c r="IZ22">
        <v>-31.250859588946501</v>
      </c>
      <c r="JA22">
        <v>-17.069301679733101</v>
      </c>
      <c r="JB22">
        <v>-40.181375179163503</v>
      </c>
      <c r="JC22">
        <v>21.087978392876799</v>
      </c>
      <c r="JD22">
        <v>21.194713845921299</v>
      </c>
      <c r="JE22">
        <v>-2.5570136044961198</v>
      </c>
      <c r="JF22">
        <v>-26.840424436888998</v>
      </c>
      <c r="JG22">
        <v>-20.220648867808599</v>
      </c>
      <c r="JH22">
        <v>-42.752547542005203</v>
      </c>
      <c r="JI22">
        <v>21.181887183257899</v>
      </c>
      <c r="JJ22">
        <v>21.278925830783201</v>
      </c>
      <c r="JK22">
        <v>29.6692609550872</v>
      </c>
      <c r="JL22">
        <v>10.8018248344596</v>
      </c>
      <c r="JM22">
        <v>59.197860918474099</v>
      </c>
      <c r="JN22">
        <v>-40.306532523319802</v>
      </c>
      <c r="JO22">
        <v>21.077353205460099</v>
      </c>
      <c r="JP22">
        <v>21.1817664750482</v>
      </c>
      <c r="JQ22">
        <v>0.66255677114719302</v>
      </c>
      <c r="JR22">
        <v>-3.4097058555922102</v>
      </c>
      <c r="JS22">
        <v>0.65928230609738503</v>
      </c>
      <c r="JT22">
        <v>-28.384699375594401</v>
      </c>
      <c r="JU22">
        <v>-23.917213055089</v>
      </c>
      <c r="JV22">
        <v>-49.012687501814099</v>
      </c>
      <c r="JW22">
        <v>-12.3284490718267</v>
      </c>
      <c r="JX22">
        <v>-93.709200913574307</v>
      </c>
      <c r="JY22">
        <v>-33.949563857678498</v>
      </c>
      <c r="JZ22">
        <v>-8.6199571458771107</v>
      </c>
      <c r="KA22">
        <v>-58.775281015935001</v>
      </c>
      <c r="KB22">
        <v>-49.962277873039298</v>
      </c>
      <c r="KC22">
        <v>-11.5386145636162</v>
      </c>
      <c r="KD22">
        <v>-84.391968302325793</v>
      </c>
      <c r="KE22">
        <v>-33.300601795084397</v>
      </c>
      <c r="KF22">
        <v>18.682670978640498</v>
      </c>
      <c r="KG22">
        <v>-170.89274171614599</v>
      </c>
      <c r="KH22">
        <v>1.1837989177192401</v>
      </c>
      <c r="KI22">
        <v>-8.1718152807076407</v>
      </c>
      <c r="KJ22">
        <v>-61.725771192635001</v>
      </c>
      <c r="KK22">
        <v>-51.687965833319097</v>
      </c>
      <c r="KL22">
        <v>19.876421195022399</v>
      </c>
      <c r="KM22">
        <v>20.479099910258601</v>
      </c>
      <c r="KN22">
        <v>9.5255155660686199</v>
      </c>
      <c r="KO22">
        <v>19.2055332026789</v>
      </c>
      <c r="KP22">
        <v>5.1692369042388098</v>
      </c>
      <c r="KQ22">
        <v>-198.80543708610099</v>
      </c>
      <c r="KR22">
        <v>-809.978904864622</v>
      </c>
      <c r="KS22">
        <v>-36.760686010365902</v>
      </c>
      <c r="KT22">
        <v>19.879328435115202</v>
      </c>
      <c r="KU22">
        <v>20.487196623927201</v>
      </c>
      <c r="KV22">
        <v>2.8361572469807501</v>
      </c>
      <c r="KW22">
        <v>19.205037339110099</v>
      </c>
      <c r="KX22">
        <v>5.19370081096117</v>
      </c>
      <c r="KY22">
        <v>-135.69824618679601</v>
      </c>
      <c r="KZ22">
        <v>-520.71705972941697</v>
      </c>
      <c r="LA22">
        <v>-56.542533153714203</v>
      </c>
      <c r="LB22">
        <v>20.000027467126898</v>
      </c>
      <c r="LC22">
        <v>20.599423614886302</v>
      </c>
      <c r="LD22">
        <v>-3.57975755293739</v>
      </c>
      <c r="LE22">
        <v>19.334415070132199</v>
      </c>
      <c r="LF22">
        <v>5.1725978347859201</v>
      </c>
      <c r="LG22">
        <v>-224.651223287264</v>
      </c>
      <c r="LH22">
        <v>-828.114332387883</v>
      </c>
      <c r="LI22">
        <v>-36.3654341173267</v>
      </c>
      <c r="LJ22">
        <v>19.866044223622598</v>
      </c>
      <c r="LK22">
        <v>20.464362725115301</v>
      </c>
      <c r="LL22">
        <v>2.6005792728824999</v>
      </c>
      <c r="LM22">
        <v>19.198414368827802</v>
      </c>
      <c r="LN22">
        <v>5.2904665309391499</v>
      </c>
      <c r="LO22">
        <v>-134.193353337215</v>
      </c>
      <c r="LP22">
        <v>-515.78970243359004</v>
      </c>
      <c r="LQ22">
        <v>-10.4771651521311</v>
      </c>
      <c r="LR22">
        <v>18.707761804684498</v>
      </c>
      <c r="LS22">
        <v>16.440999999999999</v>
      </c>
      <c r="LT22">
        <v>55.282297928918503</v>
      </c>
      <c r="LU22">
        <v>-450.19581776317602</v>
      </c>
      <c r="LV22">
        <v>19.288359949819199</v>
      </c>
      <c r="LW22">
        <v>20.134541035197401</v>
      </c>
      <c r="LX22">
        <v>415.43337339118301</v>
      </c>
      <c r="LY22">
        <v>-6.9232143704914604</v>
      </c>
      <c r="LZ22">
        <v>18.691416210103</v>
      </c>
      <c r="MA22">
        <v>16.440999999999999</v>
      </c>
      <c r="MB22">
        <v>37.276861183788903</v>
      </c>
      <c r="MC22">
        <v>-281.08919524827098</v>
      </c>
      <c r="MD22">
        <v>19.270842739768</v>
      </c>
      <c r="ME22">
        <v>20.1170982978031</v>
      </c>
      <c r="MF22">
        <v>265.45869905431698</v>
      </c>
      <c r="MG22">
        <v>-9.6100680524697299</v>
      </c>
      <c r="MH22">
        <v>18.728897793826</v>
      </c>
      <c r="MI22">
        <v>16.440999999999999</v>
      </c>
      <c r="MJ22">
        <v>91.600378281803799</v>
      </c>
      <c r="MK22">
        <v>-400.735851649925</v>
      </c>
      <c r="ML22">
        <v>19.297520554633198</v>
      </c>
      <c r="MM22">
        <v>20.1808409859606</v>
      </c>
      <c r="MN22">
        <v>443.02590349622102</v>
      </c>
      <c r="MO22">
        <v>-6.8122731728292703</v>
      </c>
      <c r="MP22">
        <v>18.694917190372401</v>
      </c>
      <c r="MQ22">
        <v>16.440999999999999</v>
      </c>
      <c r="MR22">
        <v>36.929015113387599</v>
      </c>
      <c r="MS22">
        <v>-285.58191192439301</v>
      </c>
      <c r="MT22">
        <v>19.280995121273001</v>
      </c>
      <c r="MU22">
        <v>20.1230308431469</v>
      </c>
      <c r="MV22">
        <v>267.75491285476198</v>
      </c>
      <c r="MW22">
        <v>-5.37212419888297</v>
      </c>
      <c r="MX22">
        <v>20.8799552152838</v>
      </c>
      <c r="MY22">
        <v>20.811584092714501</v>
      </c>
      <c r="MZ22">
        <v>308.27949508460699</v>
      </c>
      <c r="NA22" s="35">
        <v>238.00833878576</v>
      </c>
      <c r="NB22">
        <v>21.022678256202202</v>
      </c>
      <c r="NC22">
        <v>21.232310772431301</v>
      </c>
      <c r="ND22">
        <v>349.52232039729302</v>
      </c>
      <c r="NE22">
        <v>-3.03809628362648</v>
      </c>
      <c r="NF22">
        <v>20.845237500232699</v>
      </c>
      <c r="NG22">
        <v>20.774444520083701</v>
      </c>
      <c r="NH22">
        <v>203.892968030991</v>
      </c>
      <c r="NI22">
        <v>155.41329011173499</v>
      </c>
      <c r="NJ22">
        <v>20.996360906726299</v>
      </c>
      <c r="NK22">
        <v>21.224605177424699</v>
      </c>
      <c r="NL22">
        <v>231.865705627447</v>
      </c>
      <c r="NM22">
        <v>-9.0789239925383605</v>
      </c>
      <c r="NN22">
        <v>21.0164703988975</v>
      </c>
      <c r="NO22">
        <v>20.9281170636085</v>
      </c>
      <c r="NP22" s="35">
        <v>238.37491827862601</v>
      </c>
      <c r="NQ22">
        <v>187.18824992232501</v>
      </c>
      <c r="NR22">
        <v>21.142399575025301</v>
      </c>
      <c r="NS22" s="35">
        <v>21.304939531976899</v>
      </c>
      <c r="NT22" s="35">
        <v>276.14426058963801</v>
      </c>
      <c r="NU22" s="35">
        <v>-3.0660545629378402</v>
      </c>
      <c r="NV22">
        <v>20.840331062420699</v>
      </c>
      <c r="NW22" s="35">
        <v>20.782539045003499</v>
      </c>
      <c r="NX22">
        <v>1.88259211398348</v>
      </c>
      <c r="NY22">
        <v>204.26519192221201</v>
      </c>
      <c r="NZ22">
        <v>157.81404465831</v>
      </c>
      <c r="OA22" s="35">
        <v>20.988171293982901</v>
      </c>
      <c r="OB22">
        <v>21.211821374009499</v>
      </c>
      <c r="OC22">
        <v>1.81024666599013</v>
      </c>
      <c r="OD22">
        <v>231.37040300296201</v>
      </c>
      <c r="OE22">
        <v>1.88259211398348</v>
      </c>
      <c r="OF22">
        <v>1.81024666599013</v>
      </c>
      <c r="OG22">
        <v>-7.0829228389431398</v>
      </c>
      <c r="OH22">
        <v>20.856181904947299</v>
      </c>
      <c r="OI22">
        <v>21.0458546604291</v>
      </c>
      <c r="OJ22">
        <v>248.31654452692101</v>
      </c>
      <c r="OK22">
        <v>244.639884092991</v>
      </c>
      <c r="OL22">
        <v>20.929317841593999</v>
      </c>
      <c r="OM22">
        <v>20.911792360670201</v>
      </c>
      <c r="ON22">
        <v>275.73912526017602</v>
      </c>
      <c r="OO22">
        <v>-4.1114097000552903</v>
      </c>
      <c r="OP22">
        <v>20.847872749520899</v>
      </c>
      <c r="OQ22">
        <v>21.0184939777773</v>
      </c>
      <c r="OR22">
        <v>163.439666477857</v>
      </c>
      <c r="OS22">
        <v>156.715400363312</v>
      </c>
      <c r="OT22">
        <v>20.930801356436898</v>
      </c>
      <c r="OU22">
        <v>20.921930748615001</v>
      </c>
      <c r="OV22">
        <v>183.186450007893</v>
      </c>
      <c r="OW22">
        <v>-4.0713584863067602</v>
      </c>
      <c r="OX22">
        <v>20.947752579459099</v>
      </c>
      <c r="OY22">
        <v>21.149149381821001</v>
      </c>
      <c r="OZ22">
        <v>298.35914777458498</v>
      </c>
      <c r="PA22">
        <v>312.39476952790102</v>
      </c>
      <c r="PB22">
        <v>21.007082310131601</v>
      </c>
      <c r="PC22">
        <v>21.0235646055629</v>
      </c>
      <c r="PD22">
        <v>320.60504225339002</v>
      </c>
      <c r="PE22">
        <v>-4.4018488444564499</v>
      </c>
      <c r="PF22">
        <v>20.805882489321998</v>
      </c>
      <c r="PG22">
        <v>21.005702266281599</v>
      </c>
      <c r="PH22">
        <v>1.7</v>
      </c>
      <c r="PI22">
        <v>160.794107476938</v>
      </c>
      <c r="PJ22">
        <v>155.64068706259201</v>
      </c>
      <c r="PK22">
        <v>20.8854294218708</v>
      </c>
      <c r="PL22">
        <v>20.881931370506699</v>
      </c>
      <c r="PM22" s="35">
        <v>1.7</v>
      </c>
      <c r="PN22">
        <v>179.73565389782601</v>
      </c>
      <c r="PO22">
        <v>20.263728178925099</v>
      </c>
      <c r="PP22">
        <v>20.247426180821002</v>
      </c>
      <c r="PQ22">
        <v>20.321415104738101</v>
      </c>
      <c r="PR22">
        <v>20.249626584878101</v>
      </c>
      <c r="PS22">
        <v>19.9393276445517</v>
      </c>
      <c r="PT22">
        <v>21.138544524642299</v>
      </c>
      <c r="PU22">
        <v>21.122292784283101</v>
      </c>
      <c r="PV22">
        <v>21.190048885998799</v>
      </c>
      <c r="PW22">
        <v>21.1061249761187</v>
      </c>
      <c r="PX22">
        <v>22.332798014511098</v>
      </c>
      <c r="PY22">
        <v>20.679426197024899</v>
      </c>
      <c r="PZ22">
        <v>20.6803617623885</v>
      </c>
      <c r="QA22">
        <v>20.7753409415016</v>
      </c>
      <c r="QB22">
        <v>20.646960040592901</v>
      </c>
      <c r="QC22">
        <v>21.9139255883556</v>
      </c>
      <c r="QD22">
        <v>20.923260042735901</v>
      </c>
      <c r="QE22">
        <v>19.716830062337799</v>
      </c>
      <c r="QF22">
        <v>19.718989960681299</v>
      </c>
      <c r="QG22">
        <v>19.784137388953202</v>
      </c>
      <c r="QH22">
        <v>19.706645189377699</v>
      </c>
      <c r="QI22">
        <v>19.1234985436522</v>
      </c>
      <c r="QJ22">
        <v>20.7615978804501</v>
      </c>
      <c r="QK22">
        <v>20.780746256427701</v>
      </c>
      <c r="QL22">
        <v>20.740424002605199</v>
      </c>
      <c r="QM22">
        <v>20.748116248598102</v>
      </c>
      <c r="QN22">
        <v>3.1044193479801598</v>
      </c>
      <c r="QO22">
        <v>22.475836256821601</v>
      </c>
      <c r="QP22">
        <v>124.752163829762</v>
      </c>
      <c r="QQ22">
        <v>20.408567950007399</v>
      </c>
      <c r="QR22">
        <v>20.443092718220498</v>
      </c>
      <c r="QS22">
        <v>20.576607493409899</v>
      </c>
      <c r="QT22">
        <v>20.393789526005499</v>
      </c>
      <c r="QU22">
        <v>22.203400944246901</v>
      </c>
      <c r="QV22">
        <v>18.328648305704402</v>
      </c>
      <c r="QW22">
        <v>842139.29348005401</v>
      </c>
      <c r="QX22">
        <v>0</v>
      </c>
      <c r="QY22">
        <v>558512.82905377203</v>
      </c>
      <c r="QZ22">
        <v>0</v>
      </c>
      <c r="RA22">
        <v>111176.768093936</v>
      </c>
      <c r="RB22">
        <v>0</v>
      </c>
      <c r="RC22">
        <v>72218.557746317296</v>
      </c>
      <c r="RD22">
        <v>0</v>
      </c>
      <c r="RE22">
        <v>277790.55364659801</v>
      </c>
      <c r="RF22">
        <v>0</v>
      </c>
      <c r="RG22">
        <v>191828.196184753</v>
      </c>
      <c r="RH22" s="35">
        <v>0</v>
      </c>
      <c r="RI22">
        <v>100.50058706025</v>
      </c>
      <c r="RJ22" s="35">
        <v>327.597680384657</v>
      </c>
      <c r="RK22">
        <v>19.169931945750498</v>
      </c>
      <c r="RL22">
        <v>-832.12276523095898</v>
      </c>
      <c r="RM22" s="35">
        <v>-832.12276523095898</v>
      </c>
      <c r="RN22">
        <v>-2023.3758302020301</v>
      </c>
      <c r="RO22" s="35">
        <v>68.940059839655106</v>
      </c>
      <c r="RP22">
        <v>223.01632716341899</v>
      </c>
      <c r="RQ22" s="35">
        <v>19.190553740541599</v>
      </c>
      <c r="RR22" s="35">
        <v>-2026.85087790336</v>
      </c>
      <c r="RS22">
        <v>-2026.85087790336</v>
      </c>
      <c r="RT22">
        <v>-5054.4679064940701</v>
      </c>
      <c r="RU22">
        <v>0</v>
      </c>
      <c r="RV22">
        <v>370.538099832993</v>
      </c>
      <c r="RW22" s="35">
        <v>19.246859673168199</v>
      </c>
      <c r="RX22">
        <v>3614.2516219259701</v>
      </c>
      <c r="RY22">
        <v>3614.2516219259701</v>
      </c>
      <c r="RZ22">
        <v>9905.7210766519293</v>
      </c>
      <c r="SA22">
        <v>83.979558096079003</v>
      </c>
      <c r="SB22">
        <v>226.27048694839601</v>
      </c>
      <c r="SC22">
        <v>19.163663793877301</v>
      </c>
      <c r="SD22">
        <v>-1063.41515608142</v>
      </c>
      <c r="SE22">
        <v>-1063.41515608142</v>
      </c>
      <c r="SF22">
        <v>-2544.6033413668702</v>
      </c>
      <c r="SG22">
        <v>0</v>
      </c>
      <c r="SH22">
        <v>13112.2211786484</v>
      </c>
      <c r="SI22">
        <v>18.307669442752701</v>
      </c>
      <c r="SJ22">
        <v>11633.0309127371</v>
      </c>
      <c r="SK22">
        <v>11633.0309127371</v>
      </c>
      <c r="SL22">
        <v>33572.281021368697</v>
      </c>
      <c r="SM22" s="35">
        <v>21.1111</v>
      </c>
      <c r="SN22">
        <v>23.8889</v>
      </c>
      <c r="SO22">
        <v>27.060458852299199</v>
      </c>
      <c r="SP22">
        <v>23.387219176079501</v>
      </c>
      <c r="SQ22">
        <v>20.4991861884622</v>
      </c>
      <c r="SR22">
        <v>0</v>
      </c>
      <c r="SS22">
        <v>0</v>
      </c>
      <c r="ST22">
        <v>0</v>
      </c>
      <c r="SU22">
        <v>27.587020023320498</v>
      </c>
      <c r="SV22">
        <v>12.4995341337304</v>
      </c>
      <c r="SW22">
        <v>20.490035061728399</v>
      </c>
      <c r="SX22">
        <v>0</v>
      </c>
      <c r="SY22" s="35">
        <v>0</v>
      </c>
      <c r="SZ22">
        <v>0</v>
      </c>
      <c r="TA22">
        <v>24.315232665608399</v>
      </c>
      <c r="TB22">
        <v>21.934148826312601</v>
      </c>
      <c r="TC22">
        <v>20.5938904302145</v>
      </c>
      <c r="TD22">
        <v>0</v>
      </c>
      <c r="TE22">
        <v>0</v>
      </c>
      <c r="TF22">
        <v>0</v>
      </c>
      <c r="TG22">
        <v>30.984128460805</v>
      </c>
      <c r="TH22">
        <v>13.463861920062399</v>
      </c>
      <c r="TI22">
        <v>20.499431231157399</v>
      </c>
      <c r="TJ22">
        <v>0</v>
      </c>
      <c r="TK22">
        <v>0</v>
      </c>
      <c r="TL22">
        <v>0</v>
      </c>
      <c r="TM22">
        <v>0</v>
      </c>
      <c r="TN22">
        <v>3997.02004773913</v>
      </c>
      <c r="TO22">
        <v>19.156941622260799</v>
      </c>
      <c r="TP22">
        <v>0</v>
      </c>
      <c r="TQ22">
        <v>0</v>
      </c>
      <c r="TR22">
        <v>0</v>
      </c>
      <c r="TS22">
        <v>284.32266287530899</v>
      </c>
      <c r="TT22">
        <v>231.54766472720999</v>
      </c>
      <c r="TU22">
        <v>20.384651236257799</v>
      </c>
      <c r="TV22">
        <v>-320.58970810865799</v>
      </c>
      <c r="TW22">
        <v>-320.58970810865799</v>
      </c>
      <c r="TX22">
        <v>-1806.20739734377</v>
      </c>
      <c r="TY22">
        <v>207.180884634276</v>
      </c>
      <c r="TZ22">
        <v>166.67605247240201</v>
      </c>
      <c r="UA22">
        <v>20.439199728572401</v>
      </c>
      <c r="UB22">
        <v>-440.23609260043901</v>
      </c>
      <c r="UC22">
        <v>-440.23609260043901</v>
      </c>
      <c r="UD22">
        <v>-2110.5796629731699</v>
      </c>
      <c r="UE22">
        <v>57.967184238989603</v>
      </c>
      <c r="UF22">
        <v>78.300538342874006</v>
      </c>
      <c r="UG22">
        <v>20.290799119211599</v>
      </c>
      <c r="UH22">
        <v>1243.28542993617</v>
      </c>
      <c r="UI22">
        <v>1243.28542993617</v>
      </c>
      <c r="UJ22">
        <v>5414.4415572301896</v>
      </c>
      <c r="UK22">
        <v>220.08088479195601</v>
      </c>
      <c r="UL22">
        <v>166.196759240782</v>
      </c>
      <c r="UM22">
        <v>20.3901075210775</v>
      </c>
      <c r="UN22">
        <v>-322.50227143056998</v>
      </c>
      <c r="UO22">
        <v>-322.50227143056998</v>
      </c>
      <c r="UP22">
        <v>-1385.6094304506501</v>
      </c>
      <c r="UQ22">
        <v>0</v>
      </c>
      <c r="UR22">
        <v>4744.2303874915197</v>
      </c>
      <c r="US22">
        <v>22.618874499132001</v>
      </c>
      <c r="UT22">
        <v>0</v>
      </c>
      <c r="UU22">
        <v>-7796.0567468386498</v>
      </c>
      <c r="UV22">
        <v>15129.554911854901</v>
      </c>
      <c r="UW22">
        <v>21.1111</v>
      </c>
      <c r="UX22">
        <v>23.8889</v>
      </c>
      <c r="UY22">
        <v>132.455616746315</v>
      </c>
      <c r="UZ22">
        <v>37.370306211122902</v>
      </c>
      <c r="VA22">
        <v>21.104442020582901</v>
      </c>
      <c r="VB22">
        <v>0</v>
      </c>
      <c r="VC22">
        <v>0</v>
      </c>
      <c r="VD22">
        <v>0</v>
      </c>
      <c r="VE22">
        <v>97.563145955883897</v>
      </c>
      <c r="VF22">
        <v>22.216926773565302</v>
      </c>
      <c r="VG22">
        <v>21.126138350659399</v>
      </c>
      <c r="VH22">
        <v>0</v>
      </c>
      <c r="VI22">
        <v>0</v>
      </c>
      <c r="VJ22">
        <v>0</v>
      </c>
      <c r="VK22">
        <v>43.316567502444499</v>
      </c>
      <c r="VL22">
        <v>68.809767841535205</v>
      </c>
      <c r="VM22">
        <v>20.919206101019999</v>
      </c>
      <c r="VN22">
        <v>0</v>
      </c>
      <c r="VO22">
        <v>0</v>
      </c>
      <c r="VP22">
        <v>0</v>
      </c>
      <c r="VQ22">
        <v>98.506967129602501</v>
      </c>
      <c r="VR22">
        <v>23.840897216155</v>
      </c>
      <c r="VS22">
        <v>21.118772796580199</v>
      </c>
      <c r="VT22">
        <v>0</v>
      </c>
      <c r="VU22">
        <v>0</v>
      </c>
      <c r="VV22">
        <v>0</v>
      </c>
      <c r="VW22">
        <v>264.58098912696602</v>
      </c>
      <c r="VX22">
        <v>522.03703624950901</v>
      </c>
      <c r="VY22">
        <v>21.924518810106399</v>
      </c>
      <c r="VZ22">
        <v>0</v>
      </c>
      <c r="WA22">
        <v>0</v>
      </c>
      <c r="WB22">
        <v>0</v>
      </c>
      <c r="WC22">
        <v>426.34938633109499</v>
      </c>
      <c r="WD22">
        <v>115.689871253623</v>
      </c>
      <c r="WE22">
        <v>20.137709702989898</v>
      </c>
      <c r="WF22">
        <v>1132.13813388668</v>
      </c>
      <c r="WG22">
        <v>1132.13813388668</v>
      </c>
      <c r="WH22">
        <v>3670.68363164108</v>
      </c>
      <c r="WI22">
        <v>324869.724312921</v>
      </c>
      <c r="WJ22">
        <v>310.16656368658101</v>
      </c>
      <c r="WK22">
        <v>90.2415900869225</v>
      </c>
      <c r="WL22">
        <v>20.205823674052599</v>
      </c>
      <c r="WM22">
        <v>656.72683634981104</v>
      </c>
      <c r="WN22">
        <v>656.72683634981104</v>
      </c>
      <c r="WO22">
        <v>2220.6722061475198</v>
      </c>
      <c r="WP22">
        <v>21.1111</v>
      </c>
      <c r="WQ22">
        <v>23.8889</v>
      </c>
      <c r="WR22">
        <v>537.45609776707204</v>
      </c>
      <c r="WS22">
        <v>171.019416022874</v>
      </c>
      <c r="WT22">
        <v>20.377874045318201</v>
      </c>
      <c r="WU22">
        <v>764.15370324746902</v>
      </c>
      <c r="WV22">
        <v>764.15370324746902</v>
      </c>
      <c r="WW22">
        <v>3049.63110041971</v>
      </c>
      <c r="WX22">
        <v>318900.72896354902</v>
      </c>
      <c r="WY22">
        <v>328.46423610449602</v>
      </c>
      <c r="WZ22">
        <v>88.583535823208194</v>
      </c>
      <c r="XA22">
        <v>20.140619011418199</v>
      </c>
      <c r="XB22">
        <v>716.950631417414</v>
      </c>
      <c r="XC22">
        <v>716.950631417414</v>
      </c>
      <c r="XD22">
        <v>2314.5999799473002</v>
      </c>
      <c r="XE22">
        <v>0</v>
      </c>
      <c r="XF22">
        <v>4363.3767120931798</v>
      </c>
      <c r="XG22">
        <v>22.492876300138199</v>
      </c>
      <c r="XH22">
        <v>0</v>
      </c>
      <c r="XI22">
        <v>-5139.84585490465</v>
      </c>
      <c r="XJ22">
        <v>16394.708196871099</v>
      </c>
      <c r="XK22">
        <v>21.1111</v>
      </c>
      <c r="XL22">
        <v>23.8889</v>
      </c>
      <c r="XM22">
        <v>559.75271526531697</v>
      </c>
      <c r="XN22">
        <v>0</v>
      </c>
      <c r="XO22">
        <v>19.860885050834298</v>
      </c>
      <c r="XP22">
        <v>0</v>
      </c>
      <c r="XQ22">
        <v>0</v>
      </c>
      <c r="XR22">
        <v>0</v>
      </c>
      <c r="XS22">
        <v>386.70153327394701</v>
      </c>
      <c r="XT22">
        <v>0</v>
      </c>
      <c r="XU22">
        <v>19.9211175731601</v>
      </c>
      <c r="XV22">
        <v>0</v>
      </c>
      <c r="XW22">
        <v>0</v>
      </c>
      <c r="XX22">
        <v>0</v>
      </c>
      <c r="XY22">
        <v>624.56827870842903</v>
      </c>
      <c r="XZ22">
        <v>0</v>
      </c>
      <c r="YA22">
        <v>20.075902073575701</v>
      </c>
      <c r="YB22">
        <v>0</v>
      </c>
      <c r="YC22">
        <v>0</v>
      </c>
      <c r="YD22">
        <v>0</v>
      </c>
      <c r="YE22">
        <v>381.71667823410399</v>
      </c>
      <c r="YF22">
        <v>0</v>
      </c>
      <c r="YG22">
        <v>19.903600597181299</v>
      </c>
      <c r="YH22">
        <v>0</v>
      </c>
      <c r="YI22">
        <v>0</v>
      </c>
      <c r="YJ22">
        <v>0</v>
      </c>
      <c r="YK22">
        <v>651.11103117251696</v>
      </c>
      <c r="YL22">
        <v>790.83416032337095</v>
      </c>
      <c r="YM22">
        <v>20.754072307428402</v>
      </c>
      <c r="YN22">
        <v>0</v>
      </c>
      <c r="YO22">
        <v>0</v>
      </c>
      <c r="YP22">
        <v>0</v>
      </c>
      <c r="YQ22">
        <v>0</v>
      </c>
      <c r="YR22">
        <v>720.79970298136004</v>
      </c>
      <c r="YS22">
        <v>18.441823600251901</v>
      </c>
      <c r="YT22">
        <v>0</v>
      </c>
      <c r="YU22">
        <v>0</v>
      </c>
      <c r="YV22">
        <v>0</v>
      </c>
      <c r="YW22">
        <v>0</v>
      </c>
      <c r="YX22">
        <v>505.24054116967602</v>
      </c>
      <c r="YY22">
        <v>18.375764315379602</v>
      </c>
      <c r="YZ22">
        <v>0</v>
      </c>
      <c r="ZA22">
        <v>0</v>
      </c>
      <c r="ZB22">
        <v>0</v>
      </c>
      <c r="ZC22">
        <v>0</v>
      </c>
      <c r="ZD22">
        <v>509.74025315239402</v>
      </c>
      <c r="ZE22">
        <v>18.590340741999601</v>
      </c>
      <c r="ZF22">
        <v>0</v>
      </c>
      <c r="ZG22">
        <v>0</v>
      </c>
      <c r="ZH22">
        <v>0</v>
      </c>
      <c r="ZI22">
        <v>0</v>
      </c>
      <c r="ZJ22">
        <v>533.95520340153996</v>
      </c>
      <c r="ZK22">
        <v>18.352669090690799</v>
      </c>
      <c r="ZL22">
        <v>0</v>
      </c>
      <c r="ZM22">
        <v>0</v>
      </c>
      <c r="ZN22">
        <v>0</v>
      </c>
      <c r="ZO22">
        <v>0</v>
      </c>
      <c r="ZP22">
        <v>11642.3208356582</v>
      </c>
      <c r="ZQ22">
        <v>16.692578985074601</v>
      </c>
      <c r="ZR22">
        <v>0</v>
      </c>
      <c r="ZS22">
        <v>0</v>
      </c>
      <c r="ZT22">
        <v>0</v>
      </c>
      <c r="ZU22">
        <v>0</v>
      </c>
      <c r="ZV22">
        <v>679.66524819824701</v>
      </c>
      <c r="ZW22">
        <v>20.072171325311501</v>
      </c>
      <c r="ZX22">
        <v>0</v>
      </c>
      <c r="ZY22">
        <v>0</v>
      </c>
      <c r="ZZ22">
        <v>0</v>
      </c>
      <c r="AAA22">
        <v>0</v>
      </c>
      <c r="AAB22">
        <v>452.05765062120901</v>
      </c>
      <c r="AAC22">
        <v>20.002902558540999</v>
      </c>
      <c r="AAD22">
        <v>0</v>
      </c>
      <c r="AAE22">
        <v>0</v>
      </c>
      <c r="AAF22">
        <v>0</v>
      </c>
      <c r="AAG22">
        <v>0</v>
      </c>
      <c r="AAH22">
        <v>505.92832077912101</v>
      </c>
      <c r="AAI22">
        <v>20.4158792546462</v>
      </c>
      <c r="AAJ22">
        <v>0</v>
      </c>
      <c r="AAK22">
        <v>0</v>
      </c>
      <c r="AAL22">
        <v>0</v>
      </c>
      <c r="AAM22">
        <v>0</v>
      </c>
      <c r="AAN22">
        <v>452.39689621600701</v>
      </c>
      <c r="AAO22">
        <v>19.996149282293299</v>
      </c>
      <c r="AAP22">
        <v>0</v>
      </c>
      <c r="AAQ22">
        <v>0</v>
      </c>
      <c r="AAR22">
        <v>0</v>
      </c>
      <c r="AAS22">
        <v>0</v>
      </c>
      <c r="AAT22">
        <v>8972.0794558346497</v>
      </c>
      <c r="AAU22">
        <v>18.6451615772393</v>
      </c>
      <c r="AAV22">
        <v>0</v>
      </c>
      <c r="AAW22">
        <v>0</v>
      </c>
      <c r="AAX22">
        <v>0</v>
      </c>
      <c r="AAY22">
        <v>0</v>
      </c>
      <c r="AAZ22">
        <v>752.24803666224705</v>
      </c>
      <c r="ABA22">
        <v>19.910156080051099</v>
      </c>
      <c r="ABB22">
        <v>0</v>
      </c>
      <c r="ABC22">
        <v>0</v>
      </c>
      <c r="ABD22">
        <v>0</v>
      </c>
      <c r="ABE22">
        <v>0</v>
      </c>
      <c r="ABF22">
        <v>499.116703167764</v>
      </c>
      <c r="ABG22">
        <v>19.864379314572101</v>
      </c>
      <c r="ABH22">
        <v>0</v>
      </c>
      <c r="ABI22">
        <v>0</v>
      </c>
      <c r="ABJ22">
        <v>0</v>
      </c>
      <c r="ABK22">
        <v>0</v>
      </c>
      <c r="ABL22">
        <v>837.89621524099402</v>
      </c>
      <c r="ABM22">
        <v>19.874516285298998</v>
      </c>
      <c r="ABN22">
        <v>0</v>
      </c>
      <c r="ABO22">
        <v>0</v>
      </c>
      <c r="ABP22">
        <v>0</v>
      </c>
      <c r="ABQ22">
        <v>0</v>
      </c>
      <c r="ABR22">
        <v>491.32229468000298</v>
      </c>
      <c r="ABS22">
        <v>19.836857214987301</v>
      </c>
      <c r="ABT22">
        <v>0</v>
      </c>
      <c r="ABU22">
        <v>0</v>
      </c>
      <c r="ABV22">
        <v>0</v>
      </c>
      <c r="ABW22">
        <v>0</v>
      </c>
      <c r="ABX22">
        <v>10129.396148440601</v>
      </c>
      <c r="ABY22">
        <v>18.328648305704402</v>
      </c>
      <c r="ABZ22">
        <v>0</v>
      </c>
      <c r="ACA22">
        <v>0</v>
      </c>
      <c r="ACB22">
        <v>0</v>
      </c>
      <c r="ACC22">
        <v>7.4999999999999997E-2</v>
      </c>
      <c r="ACD22">
        <v>366048.03653601703</v>
      </c>
      <c r="ACE22">
        <v>549.31521999650204</v>
      </c>
      <c r="ACF22">
        <v>14.4337797186428</v>
      </c>
      <c r="ACG22">
        <v>14.424045267589401</v>
      </c>
      <c r="ACH22">
        <v>3.3750009034974999</v>
      </c>
      <c r="ACI22">
        <v>650.995230145395</v>
      </c>
      <c r="ACJ22">
        <v>1.3505978687259199</v>
      </c>
      <c r="ACK22">
        <v>20.9231248706133</v>
      </c>
      <c r="ACL22">
        <v>20.933000612147101</v>
      </c>
      <c r="ACM22">
        <v>3.9425010554189299</v>
      </c>
      <c r="ACN22">
        <v>30111.526118835001</v>
      </c>
      <c r="ACP22">
        <v>9529.2794685844492</v>
      </c>
      <c r="ACR22">
        <v>39640.805587419403</v>
      </c>
      <c r="ACT22">
        <v>18.3408041881126</v>
      </c>
      <c r="ACU22">
        <v>18.022473644147599</v>
      </c>
      <c r="ACV22">
        <v>1.7</v>
      </c>
      <c r="ACW22">
        <v>26.557204810213101</v>
      </c>
      <c r="ACX22">
        <v>0.80639561215629296</v>
      </c>
      <c r="ACY22">
        <v>23.060899009679499</v>
      </c>
      <c r="ACZ22">
        <v>21.5695062174361</v>
      </c>
      <c r="ADA22">
        <v>1.7</v>
      </c>
      <c r="ADB22">
        <v>1.7116405482309101</v>
      </c>
      <c r="ADC22">
        <v>0.66335335194077105</v>
      </c>
      <c r="ADD22">
        <v>22.647489034433001</v>
      </c>
      <c r="ADE22">
        <v>21.3203416190876</v>
      </c>
      <c r="ADF22">
        <v>1.7</v>
      </c>
      <c r="ADG22">
        <v>1.7856983523132399</v>
      </c>
      <c r="ADH22">
        <v>0.67144015299172699</v>
      </c>
      <c r="ADI22">
        <v>20.2000984736991</v>
      </c>
      <c r="ADJ22">
        <v>20.104572788857102</v>
      </c>
      <c r="ADK22">
        <v>0.85</v>
      </c>
      <c r="ADL22">
        <v>4.8506860288076901</v>
      </c>
      <c r="ADM22">
        <v>0.94329213656947897</v>
      </c>
      <c r="ADN22">
        <v>20.2275059334509</v>
      </c>
      <c r="ADO22">
        <v>20.059404618405502</v>
      </c>
      <c r="ADP22">
        <v>0.85</v>
      </c>
      <c r="ADQ22">
        <v>3.4756805392827199</v>
      </c>
      <c r="ADR22">
        <v>0.90557037480684799</v>
      </c>
      <c r="ADS22">
        <v>20.2864805361694</v>
      </c>
      <c r="ADT22">
        <v>20.113057639345101</v>
      </c>
      <c r="ADU22">
        <v>0.85</v>
      </c>
      <c r="ADV22">
        <v>3.3531892598111699</v>
      </c>
      <c r="ADW22">
        <v>0.90587840395652397</v>
      </c>
      <c r="ADX22">
        <v>20.237054696943801</v>
      </c>
      <c r="ADY22">
        <v>20.0380851478705</v>
      </c>
      <c r="ADZ22">
        <v>0.85</v>
      </c>
      <c r="AEA22">
        <v>2.8442999342139399</v>
      </c>
      <c r="AEB22">
        <v>0.89004785098669703</v>
      </c>
      <c r="AEC22">
        <v>21.1362682199833</v>
      </c>
      <c r="AED22">
        <v>20.991768859130101</v>
      </c>
      <c r="AEE22">
        <v>1.2749999999999999</v>
      </c>
      <c r="AEF22">
        <v>4.2364273545077999</v>
      </c>
      <c r="AEG22">
        <v>0.86773547425111397</v>
      </c>
      <c r="AEH22">
        <v>21.1594817755729</v>
      </c>
      <c r="AEI22">
        <v>20.968096911059199</v>
      </c>
      <c r="AEJ22">
        <v>1.2749999999999999</v>
      </c>
      <c r="AEK22">
        <v>3.0488562616839499</v>
      </c>
      <c r="AEL22">
        <v>0.83850670341825695</v>
      </c>
      <c r="AEM22">
        <v>20.967797088277301</v>
      </c>
      <c r="AEN22">
        <v>20.906418412758399</v>
      </c>
      <c r="AEO22">
        <v>0.42499999999999999</v>
      </c>
      <c r="AEP22">
        <v>1.2794203128672801</v>
      </c>
      <c r="AEQ22">
        <v>0.94563570146231501</v>
      </c>
      <c r="AER22">
        <v>21.136770123579499</v>
      </c>
      <c r="AES22">
        <v>20.949416075279501</v>
      </c>
      <c r="AET22">
        <v>1.2749999999999999</v>
      </c>
      <c r="AEU22">
        <v>3.12670349709337</v>
      </c>
      <c r="AEV22">
        <v>0.84013162384038598</v>
      </c>
      <c r="AEW22">
        <v>20.731568425264101</v>
      </c>
      <c r="AEX22">
        <v>20.680810929182002</v>
      </c>
      <c r="AEY22">
        <v>0.85</v>
      </c>
      <c r="AEZ22">
        <v>3.2783856608117499</v>
      </c>
      <c r="AFA22">
        <v>0.91663513149562303</v>
      </c>
      <c r="AFB22">
        <v>20.778939436249299</v>
      </c>
      <c r="AFC22">
        <v>20.6928547820199</v>
      </c>
      <c r="AFD22">
        <v>0.85</v>
      </c>
      <c r="AFE22">
        <v>2.3877864933959398</v>
      </c>
      <c r="AFF22">
        <v>0.87697061064936999</v>
      </c>
      <c r="AFG22">
        <v>20.902656089139199</v>
      </c>
      <c r="AFH22">
        <v>20.8050401494169</v>
      </c>
      <c r="AFI22">
        <v>0.85</v>
      </c>
      <c r="AFJ22">
        <v>2.6414349999730402</v>
      </c>
      <c r="AFK22">
        <v>0.89057930402008101</v>
      </c>
      <c r="AFL22">
        <v>20.739922010543101</v>
      </c>
      <c r="AFM22">
        <v>20.655857443624502</v>
      </c>
      <c r="AFN22">
        <v>0.85</v>
      </c>
      <c r="AFO22">
        <v>2.3734835754286099</v>
      </c>
      <c r="AFP22">
        <v>0.87704438615258795</v>
      </c>
      <c r="AFQ22">
        <v>-1.2398546351622399</v>
      </c>
      <c r="AFR22">
        <v>-1.2226514938927799</v>
      </c>
      <c r="AFS22">
        <v>-1.2337858150835299</v>
      </c>
      <c r="AFT22">
        <v>-1.23113170246515</v>
      </c>
      <c r="AFU22">
        <v>-1.0729306338761899</v>
      </c>
      <c r="AFV22">
        <v>-1.0650963175080299</v>
      </c>
      <c r="AFW22">
        <v>-1.0756985056333299</v>
      </c>
      <c r="AFX22">
        <v>-1.0696003712698701</v>
      </c>
      <c r="AFY22">
        <v>-1.1239898801295101</v>
      </c>
      <c r="AFZ22">
        <v>-1.1380520930263101</v>
      </c>
      <c r="AGA22">
        <v>-1.14567122998001</v>
      </c>
      <c r="AGB22">
        <v>-1.1268240799751099</v>
      </c>
      <c r="AGC22">
        <v>-1.5433148946955899</v>
      </c>
      <c r="AGD22">
        <v>-0.91539703414412499</v>
      </c>
      <c r="AGE22">
        <v>-0.986825869238384</v>
      </c>
      <c r="AGF22">
        <v>0.75</v>
      </c>
      <c r="AGG22">
        <v>0.75</v>
      </c>
      <c r="AGH22">
        <v>0.75</v>
      </c>
      <c r="AGI22">
        <v>0.75</v>
      </c>
      <c r="AGJ22">
        <v>1</v>
      </c>
      <c r="AGK22">
        <v>0</v>
      </c>
      <c r="AGL22">
        <v>0</v>
      </c>
      <c r="AGM22">
        <v>0</v>
      </c>
      <c r="AGN22">
        <v>0</v>
      </c>
      <c r="AGO22">
        <v>0</v>
      </c>
      <c r="AGP22">
        <v>0</v>
      </c>
      <c r="AGQ22">
        <v>0</v>
      </c>
      <c r="AGR22">
        <v>0</v>
      </c>
      <c r="AGS22">
        <v>0</v>
      </c>
      <c r="AGT22">
        <v>0</v>
      </c>
      <c r="AGU22">
        <v>0</v>
      </c>
      <c r="AGV22">
        <v>0</v>
      </c>
      <c r="AGW22">
        <v>0</v>
      </c>
      <c r="AGX22">
        <v>0</v>
      </c>
      <c r="AGY22">
        <v>0</v>
      </c>
      <c r="AGZ22">
        <v>0.25</v>
      </c>
      <c r="AHA22">
        <v>0.25</v>
      </c>
      <c r="AHB22">
        <v>0</v>
      </c>
      <c r="AHC22">
        <v>0.25</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Z22">
        <v>0</v>
      </c>
      <c r="AIB22">
        <v>0</v>
      </c>
      <c r="AID22">
        <v>0</v>
      </c>
      <c r="AIF22">
        <v>0</v>
      </c>
      <c r="AIH22">
        <v>0</v>
      </c>
      <c r="AIJ22">
        <v>0</v>
      </c>
      <c r="AIL22">
        <v>0</v>
      </c>
      <c r="AIN22">
        <v>0</v>
      </c>
      <c r="AIP22">
        <v>0</v>
      </c>
      <c r="AIR22">
        <v>0</v>
      </c>
      <c r="AIT22">
        <v>0</v>
      </c>
      <c r="AIV22">
        <v>0</v>
      </c>
      <c r="AIX22">
        <v>0</v>
      </c>
      <c r="AIZ22">
        <v>0</v>
      </c>
      <c r="AJB22">
        <v>0</v>
      </c>
      <c r="AJC22">
        <v>0</v>
      </c>
      <c r="AJE22">
        <v>127.800916051222</v>
      </c>
      <c r="AJH22">
        <v>4716.0354210159903</v>
      </c>
      <c r="AJJ22">
        <v>228.69458597168</v>
      </c>
      <c r="AJK22">
        <v>323.28175692483802</v>
      </c>
      <c r="AJL22">
        <v>322.21002337668398</v>
      </c>
      <c r="AJM22">
        <v>13.098189744187</v>
      </c>
      <c r="AJN22">
        <v>358.66998784351898</v>
      </c>
      <c r="AJO22">
        <v>347.31602594535099</v>
      </c>
      <c r="AJP22">
        <v>351.17484822665801</v>
      </c>
      <c r="AJQ22">
        <v>870.70458774879603</v>
      </c>
      <c r="AJR22">
        <v>392.91554797499901</v>
      </c>
      <c r="AJS22">
        <v>177.64147257357101</v>
      </c>
      <c r="AJT22">
        <v>214.532257509033</v>
      </c>
      <c r="AJU22">
        <v>19.523784525495302</v>
      </c>
      <c r="AJV22">
        <v>201.998674464479</v>
      </c>
      <c r="AJW22">
        <v>0</v>
      </c>
      <c r="AJX22">
        <v>0</v>
      </c>
      <c r="AJY22">
        <v>0</v>
      </c>
      <c r="AJZ22">
        <v>128.39051697487801</v>
      </c>
      <c r="AKA22">
        <v>0</v>
      </c>
      <c r="AKB22">
        <v>0</v>
      </c>
      <c r="AKC22">
        <v>0</v>
      </c>
      <c r="AKD22">
        <v>0</v>
      </c>
      <c r="AKE22">
        <v>70.113568682114405</v>
      </c>
      <c r="AKF22">
        <v>70.113568682114405</v>
      </c>
      <c r="AKG22">
        <v>0</v>
      </c>
      <c r="AKH22">
        <v>0</v>
      </c>
      <c r="AKI22">
        <v>0</v>
      </c>
      <c r="AKJ22">
        <v>0</v>
      </c>
      <c r="AKK22">
        <v>0</v>
      </c>
      <c r="AKL22">
        <v>70.113568682114405</v>
      </c>
      <c r="AKM22">
        <v>70.113568682114405</v>
      </c>
      <c r="AKN22">
        <v>0</v>
      </c>
      <c r="AKO22">
        <v>0</v>
      </c>
      <c r="AKP22">
        <v>0</v>
      </c>
      <c r="AKT22">
        <v>1683698.81208654</v>
      </c>
      <c r="AKX22">
        <v>1519589.44843846</v>
      </c>
      <c r="ALB22">
        <v>20.9387637391008</v>
      </c>
      <c r="ALC22">
        <v>20.9387637391008</v>
      </c>
      <c r="ALD22">
        <v>0</v>
      </c>
      <c r="ALE22">
        <v>0</v>
      </c>
      <c r="ALF22">
        <v>0</v>
      </c>
      <c r="ALH22">
        <v>15.1911813184326</v>
      </c>
      <c r="ALI22">
        <v>6.7084676690398496E-3</v>
      </c>
      <c r="ALJ22">
        <v>14.3150304006871</v>
      </c>
      <c r="ALK22">
        <v>15.1967267435052</v>
      </c>
      <c r="ALL22">
        <v>14.3150304006871</v>
      </c>
      <c r="ALM22">
        <v>0</v>
      </c>
      <c r="ALN22">
        <v>20.177250038790302</v>
      </c>
      <c r="ALO22">
        <v>7.2702382347538501E-3</v>
      </c>
      <c r="ALP22">
        <v>49.391988924457003</v>
      </c>
      <c r="ALQ22">
        <v>14.3150304006871</v>
      </c>
      <c r="ALR22">
        <v>15.1911813184326</v>
      </c>
      <c r="ALS22">
        <v>14.3150304006871</v>
      </c>
      <c r="ALT22">
        <v>15.462086870816201</v>
      </c>
      <c r="ALU22">
        <v>14.3150304006871</v>
      </c>
      <c r="ALV22">
        <v>12.2200382562727</v>
      </c>
      <c r="ALW22">
        <v>9.8924295591624792E-6</v>
      </c>
      <c r="ALX22">
        <v>15.1967267435052</v>
      </c>
      <c r="ALY22">
        <v>9.8924295591624792E-6</v>
      </c>
      <c r="ALZ22">
        <v>0</v>
      </c>
      <c r="AMA22">
        <v>14.4337797186428</v>
      </c>
      <c r="AMB22">
        <v>3.375E-3</v>
      </c>
      <c r="AMC22">
        <v>14.426320484364201</v>
      </c>
      <c r="AMD22">
        <v>3.375E-3</v>
      </c>
      <c r="AME22">
        <v>14.424045267589401</v>
      </c>
      <c r="AMF22">
        <v>3.375E-3</v>
      </c>
      <c r="AMG22">
        <v>3.9424999999999998E-3</v>
      </c>
      <c r="AMH22">
        <v>5.3038208716125297</v>
      </c>
      <c r="AMI22">
        <v>18.8331731408053</v>
      </c>
      <c r="AMJ22">
        <v>0.35444874148390099</v>
      </c>
      <c r="AMK22" s="580">
        <v>16.699282526369</v>
      </c>
      <c r="AML22">
        <v>6.5216500000000002</v>
      </c>
      <c r="AMM22">
        <v>18.831850257102001</v>
      </c>
      <c r="AMN22">
        <v>0.30885058783649799</v>
      </c>
      <c r="AMO22">
        <v>18.861727886566701</v>
      </c>
      <c r="AMP22">
        <v>0.38638510215664601</v>
      </c>
      <c r="AMQ22">
        <v>18.659299062909799</v>
      </c>
      <c r="AMR22">
        <v>0.22009402136737599</v>
      </c>
      <c r="AMS22">
        <v>18.5907671452314</v>
      </c>
      <c r="AMT22">
        <v>0.86607511999999998</v>
      </c>
      <c r="AMU22">
        <v>20.313756498453799</v>
      </c>
      <c r="AMV22">
        <v>0.48810239388737803</v>
      </c>
      <c r="AMW22">
        <v>20.3079654190939</v>
      </c>
      <c r="AMX22">
        <v>0.48790165904031502</v>
      </c>
      <c r="AMY22">
        <v>20.384971198442202</v>
      </c>
      <c r="AMZ22">
        <v>0.58240724914342101</v>
      </c>
      <c r="ANA22">
        <v>20.5075889377725</v>
      </c>
      <c r="ANB22">
        <v>0.22634070484027699</v>
      </c>
      <c r="ANC22">
        <v>18.536148185787599</v>
      </c>
      <c r="AND22">
        <v>0.86607511999999998</v>
      </c>
      <c r="ANE22">
        <v>20.3862979979823</v>
      </c>
      <c r="ANF22">
        <v>0.54500375186152505</v>
      </c>
      <c r="ANG22">
        <v>20.3553616901957</v>
      </c>
      <c r="ANH22">
        <v>0.55065496068423703</v>
      </c>
      <c r="ANI22">
        <v>20.423825071507</v>
      </c>
      <c r="ANJ22">
        <v>0.66835308836298302</v>
      </c>
      <c r="ANK22">
        <v>20.364032310665401</v>
      </c>
      <c r="ANL22">
        <v>1.2426879000225799</v>
      </c>
      <c r="ANM22">
        <v>7.7914284528444204</v>
      </c>
      <c r="ANN22">
        <v>2.6508271269113899</v>
      </c>
      <c r="ANO22">
        <v>3.8727748209313302</v>
      </c>
      <c r="ANP22">
        <v>16.699282526369</v>
      </c>
      <c r="ANQ22">
        <v>18.600604134186401</v>
      </c>
      <c r="ANR22">
        <v>18.604959806516199</v>
      </c>
      <c r="ANS22">
        <v>18.586868410542099</v>
      </c>
      <c r="ANT22">
        <v>18.622233026789001</v>
      </c>
      <c r="ANU22">
        <v>18.5907671452314</v>
      </c>
      <c r="ANV22">
        <v>20.0925277693214</v>
      </c>
      <c r="ANW22">
        <v>20.086416075454</v>
      </c>
      <c r="ANX22">
        <v>20.460338706304299</v>
      </c>
      <c r="ANY22">
        <v>20.157845246833102</v>
      </c>
      <c r="ANZ22">
        <v>18.536148185787599</v>
      </c>
      <c r="AOA22">
        <v>20.161491403657202</v>
      </c>
      <c r="AOB22">
        <v>20.130611435021802</v>
      </c>
      <c r="AOC22">
        <v>20.152029669867002</v>
      </c>
      <c r="AOD22">
        <v>20.193922460969802</v>
      </c>
      <c r="AOE22">
        <v>20.177250038790302</v>
      </c>
      <c r="AOF22">
        <v>5.3038208716125297</v>
      </c>
      <c r="AOG22">
        <v>20.210552728900598</v>
      </c>
      <c r="AOH22">
        <v>5.3038208716125297</v>
      </c>
    </row>
    <row r="23" spans="1:1074">
      <c r="A23" t="s">
        <v>2958</v>
      </c>
      <c r="B23">
        <v>5.9625000000000004</v>
      </c>
      <c r="D23">
        <v>5.6453295067810103</v>
      </c>
      <c r="F23">
        <v>5</v>
      </c>
      <c r="G23">
        <v>2436553.3304054602</v>
      </c>
      <c r="H23">
        <v>5312245.4548006197</v>
      </c>
      <c r="I23">
        <v>1547356.63299332</v>
      </c>
      <c r="J23">
        <v>3373592.5817829301</v>
      </c>
      <c r="K23">
        <v>2436553.3304054602</v>
      </c>
      <c r="L23">
        <v>5312245.4548006197</v>
      </c>
      <c r="M23">
        <v>1547356.63299332</v>
      </c>
      <c r="N23">
        <v>3373592.5817829301</v>
      </c>
      <c r="O23">
        <v>12565780.1593823</v>
      </c>
      <c r="P23">
        <v>27396284.6225059</v>
      </c>
      <c r="Q23">
        <v>2436553.3304054602</v>
      </c>
      <c r="R23">
        <v>5312245.4548006197</v>
      </c>
      <c r="S23">
        <v>1547356.63299332</v>
      </c>
      <c r="T23">
        <v>3373592.5817829301</v>
      </c>
      <c r="U23">
        <v>2436553.3304054602</v>
      </c>
      <c r="V23">
        <v>5312245.4548006197</v>
      </c>
      <c r="W23">
        <v>1547356.63299332</v>
      </c>
      <c r="X23">
        <v>3373592.5817829301</v>
      </c>
      <c r="Y23">
        <v>12565780.1593823</v>
      </c>
      <c r="Z23">
        <v>27396284.6225059</v>
      </c>
      <c r="AA23">
        <v>2436553.3304054602</v>
      </c>
      <c r="AB23">
        <v>5312245.4548006197</v>
      </c>
      <c r="AC23">
        <v>1547356.63299332</v>
      </c>
      <c r="AD23">
        <v>3373592.5817829301</v>
      </c>
      <c r="AE23">
        <v>2436553.3304054602</v>
      </c>
      <c r="AF23">
        <v>5312245.4548006197</v>
      </c>
      <c r="AG23">
        <v>1547356.63299332</v>
      </c>
      <c r="AH23">
        <v>3373592.5817829301</v>
      </c>
      <c r="AI23">
        <v>12565780.1593823</v>
      </c>
      <c r="AJ23">
        <v>27396284.6225059</v>
      </c>
      <c r="AK23">
        <v>2.3716228502806498</v>
      </c>
      <c r="AL23">
        <v>395606.04386927001</v>
      </c>
      <c r="AM23">
        <v>1024541.07132124</v>
      </c>
      <c r="AN23">
        <v>2.3716228502806498</v>
      </c>
      <c r="AO23">
        <v>395606.04386927001</v>
      </c>
      <c r="AP23">
        <v>1024541.07132124</v>
      </c>
      <c r="AQ23">
        <v>1.5061219069354801</v>
      </c>
      <c r="AR23">
        <v>251233.42403159899</v>
      </c>
      <c r="AS23">
        <v>650644.66379612905</v>
      </c>
      <c r="AT23">
        <v>1.5061219069354801</v>
      </c>
      <c r="AU23">
        <v>251233.42403159899</v>
      </c>
      <c r="AV23">
        <v>650644.66379612905</v>
      </c>
      <c r="AW23">
        <v>2.3716228502806498</v>
      </c>
      <c r="AX23">
        <v>395606.04386927001</v>
      </c>
      <c r="AY23">
        <v>1024541.07132124</v>
      </c>
      <c r="AZ23">
        <v>2.3716228502806498</v>
      </c>
      <c r="BA23">
        <v>395606.04386927001</v>
      </c>
      <c r="BB23">
        <v>1024541.07132124</v>
      </c>
      <c r="BC23">
        <v>1.5061219069354801</v>
      </c>
      <c r="BD23">
        <v>251233.42403159899</v>
      </c>
      <c r="BE23">
        <v>650644.66379612905</v>
      </c>
      <c r="BF23">
        <v>1.5061219069354801</v>
      </c>
      <c r="BG23">
        <v>251233.42403159899</v>
      </c>
      <c r="BH23">
        <v>650644.66379612905</v>
      </c>
      <c r="BI23">
        <v>2.3716228502806498</v>
      </c>
      <c r="BJ23">
        <v>395606.04386927001</v>
      </c>
      <c r="BK23">
        <v>1024541.07132124</v>
      </c>
      <c r="BL23">
        <v>2.3716228502806498</v>
      </c>
      <c r="BM23">
        <v>395606.04386927001</v>
      </c>
      <c r="BN23">
        <v>1024541.07132124</v>
      </c>
      <c r="BO23">
        <v>1.5061219069354801</v>
      </c>
      <c r="BP23">
        <v>251233.42403159899</v>
      </c>
      <c r="BQ23">
        <v>650644.66379612905</v>
      </c>
      <c r="BR23">
        <v>1.5061219069354801</v>
      </c>
      <c r="BS23">
        <v>251233.42403159899</v>
      </c>
      <c r="BT23">
        <v>650644.66379612905</v>
      </c>
      <c r="BU23">
        <v>5283757.8828362301</v>
      </c>
      <c r="BV23">
        <v>12.2309210250839</v>
      </c>
      <c r="BW23">
        <v>2040217.43129955</v>
      </c>
      <c r="BX23">
        <v>5283757.8828362301</v>
      </c>
      <c r="BY23">
        <v>12.2309210250839</v>
      </c>
      <c r="BZ23">
        <v>2040217.43129955</v>
      </c>
      <c r="CA23">
        <v>5283757.8828362301</v>
      </c>
      <c r="CB23">
        <v>12.2309210250839</v>
      </c>
      <c r="CC23">
        <v>2040217.43129955</v>
      </c>
      <c r="CD23">
        <v>5283757.8828362301</v>
      </c>
      <c r="CE23">
        <v>754635.97149237199</v>
      </c>
      <c r="CF23">
        <v>1715081.7533917499</v>
      </c>
      <c r="CG23">
        <v>754635.97149237199</v>
      </c>
      <c r="CH23">
        <v>1715081.7533917499</v>
      </c>
      <c r="CI23">
        <v>479238.83356567699</v>
      </c>
      <c r="CJ23">
        <v>1089179.1671947199</v>
      </c>
      <c r="CK23">
        <v>479238.83356567699</v>
      </c>
      <c r="CL23">
        <v>1089179.1671947199</v>
      </c>
      <c r="CM23">
        <v>754635.97149237199</v>
      </c>
      <c r="CN23">
        <v>1715081.7533917499</v>
      </c>
      <c r="CO23">
        <v>754635.97149237199</v>
      </c>
      <c r="CP23">
        <v>1715081.7533917499</v>
      </c>
      <c r="CQ23">
        <v>479238.83356567699</v>
      </c>
      <c r="CR23">
        <v>1089179.1671947199</v>
      </c>
      <c r="CS23">
        <v>479238.83356567699</v>
      </c>
      <c r="CT23">
        <v>1089179.1671947199</v>
      </c>
      <c r="CU23">
        <v>754635.97149237199</v>
      </c>
      <c r="CV23">
        <v>1715081.7533917499</v>
      </c>
      <c r="CW23">
        <v>754635.97149237199</v>
      </c>
      <c r="CX23">
        <v>1715081.7533917499</v>
      </c>
      <c r="CY23">
        <v>479238.83356567699</v>
      </c>
      <c r="CZ23">
        <v>1089179.1671947199</v>
      </c>
      <c r="DA23">
        <v>479238.83356567699</v>
      </c>
      <c r="DB23">
        <v>1089179.1671947199</v>
      </c>
      <c r="DC23">
        <v>3891804.7061818601</v>
      </c>
      <c r="DD23">
        <v>8845010.6958678495</v>
      </c>
      <c r="DE23">
        <v>3891804.7061818601</v>
      </c>
      <c r="DF23">
        <v>8845010.6958678495</v>
      </c>
      <c r="DG23">
        <v>3891804.7061818601</v>
      </c>
      <c r="DH23">
        <v>8845010.6958678495</v>
      </c>
      <c r="DI23">
        <v>1286311.3150438201</v>
      </c>
      <c r="DJ23">
        <v>2572622.6300876299</v>
      </c>
      <c r="DK23">
        <v>1286311.3150438201</v>
      </c>
      <c r="DL23">
        <v>2572622.6300876299</v>
      </c>
      <c r="DM23">
        <v>816884.37539604004</v>
      </c>
      <c r="DN23">
        <v>1633768.7507920801</v>
      </c>
      <c r="DO23">
        <v>816884.37539603899</v>
      </c>
      <c r="DP23">
        <v>1633768.7507920801</v>
      </c>
      <c r="DQ23">
        <v>1286311.3150438201</v>
      </c>
      <c r="DR23">
        <v>2572622.6300876299</v>
      </c>
      <c r="DS23">
        <v>1286311.3150438201</v>
      </c>
      <c r="DT23">
        <v>2572622.6300876299</v>
      </c>
      <c r="DU23">
        <v>816884.37539604004</v>
      </c>
      <c r="DV23">
        <v>1633768.7507920801</v>
      </c>
      <c r="DW23">
        <v>816884.37539603899</v>
      </c>
      <c r="DX23">
        <v>1633768.7507920801</v>
      </c>
      <c r="DY23">
        <v>1286311.3150438201</v>
      </c>
      <c r="DZ23">
        <v>2572622.6300876299</v>
      </c>
      <c r="EA23">
        <v>1286311.3150438201</v>
      </c>
      <c r="EB23">
        <v>2572622.6300876299</v>
      </c>
      <c r="EC23">
        <v>816884.37539604004</v>
      </c>
      <c r="ED23">
        <v>1633768.7507920801</v>
      </c>
      <c r="EE23">
        <v>816884.37539603899</v>
      </c>
      <c r="EF23">
        <v>1633768.7507920801</v>
      </c>
      <c r="EG23">
        <v>6633758.0219008904</v>
      </c>
      <c r="EH23">
        <v>13267516.043801799</v>
      </c>
      <c r="EI23">
        <v>6633758.0219008904</v>
      </c>
      <c r="EJ23">
        <v>13267516.043801799</v>
      </c>
      <c r="EK23">
        <v>6633758.0219008904</v>
      </c>
      <c r="EL23">
        <v>13267516.043801799</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-14.0472453653638</v>
      </c>
      <c r="GC23">
        <v>77.489078358247497</v>
      </c>
      <c r="GD23">
        <v>102.61117974071399</v>
      </c>
      <c r="GE23">
        <v>-8.2882884835741795</v>
      </c>
      <c r="GF23">
        <v>48.609666975998898</v>
      </c>
      <c r="GG23">
        <v>61.140051119243601</v>
      </c>
      <c r="GH23">
        <v>-9.5346261426766592</v>
      </c>
      <c r="GI23">
        <v>87.933463051457494</v>
      </c>
      <c r="GJ23">
        <v>109.68463598055899</v>
      </c>
      <c r="GK23">
        <v>-8.4873704430840196</v>
      </c>
      <c r="GL23">
        <v>48.714476442488497</v>
      </c>
      <c r="GM23">
        <v>59.771703838046903</v>
      </c>
      <c r="GN23">
        <v>-19.820747968803001</v>
      </c>
      <c r="GO23">
        <v>20.176126352639301</v>
      </c>
      <c r="GP23">
        <v>19.8615204294255</v>
      </c>
      <c r="GQ23">
        <v>57.450574762868698</v>
      </c>
      <c r="GR23">
        <v>99.470193053613301</v>
      </c>
      <c r="GS23">
        <v>616.84712895346001</v>
      </c>
      <c r="GT23">
        <v>-14.314121679769499</v>
      </c>
      <c r="GU23">
        <v>20.152841839707602</v>
      </c>
      <c r="GV23">
        <v>19.8432439703505</v>
      </c>
      <c r="GW23">
        <v>32.659238633609398</v>
      </c>
      <c r="GX23">
        <v>59.079001308794801</v>
      </c>
      <c r="GY23">
        <v>382.88304687844902</v>
      </c>
      <c r="GZ23">
        <v>-18.7336335854434</v>
      </c>
      <c r="HA23">
        <v>20.270979594396401</v>
      </c>
      <c r="HB23">
        <v>19.952957694311898</v>
      </c>
      <c r="HC23">
        <v>64.279176271953801</v>
      </c>
      <c r="HD23">
        <v>107.042049683409</v>
      </c>
      <c r="HE23">
        <v>645.22011248218303</v>
      </c>
      <c r="HF23">
        <v>-14.800573487834701</v>
      </c>
      <c r="HG23">
        <v>20.159633342950599</v>
      </c>
      <c r="HH23">
        <v>19.849870902055802</v>
      </c>
      <c r="HI23">
        <v>31.566081403055701</v>
      </c>
      <c r="HJ23">
        <v>57.933860459213101</v>
      </c>
      <c r="HK23">
        <v>381.79376863816401</v>
      </c>
      <c r="HL23">
        <v>-19.744145108462799</v>
      </c>
      <c r="HM23">
        <v>21.067448368202001</v>
      </c>
      <c r="HN23">
        <v>21.667786005252701</v>
      </c>
      <c r="HO23">
        <v>145.34531679666901</v>
      </c>
      <c r="HP23">
        <v>169.298714055641</v>
      </c>
      <c r="HQ23">
        <v>20.711746019377902</v>
      </c>
      <c r="HR23">
        <v>70.946548769864904</v>
      </c>
      <c r="HS23">
        <v>-11.185905353260701</v>
      </c>
      <c r="HT23">
        <v>21.060275813694201</v>
      </c>
      <c r="HU23">
        <v>21.690034851122</v>
      </c>
      <c r="HV23">
        <v>91.4834424955245</v>
      </c>
      <c r="HW23">
        <v>113.18674847610301</v>
      </c>
      <c r="HX23">
        <v>20.685752698126901</v>
      </c>
      <c r="HY23">
        <v>45.842333256185903</v>
      </c>
      <c r="HZ23">
        <v>21.116758535650501</v>
      </c>
      <c r="IA23">
        <v>21.717649530207598</v>
      </c>
      <c r="IB23">
        <v>142.83072743363601</v>
      </c>
      <c r="IC23">
        <v>-16.587914392838101</v>
      </c>
      <c r="ID23">
        <v>181.3475021765</v>
      </c>
      <c r="IE23">
        <v>20.7964328154764</v>
      </c>
      <c r="IF23">
        <v>84.004480207665793</v>
      </c>
      <c r="IG23">
        <v>9.0371712960309303</v>
      </c>
      <c r="IH23">
        <v>21.048497338205099</v>
      </c>
      <c r="II23">
        <v>21.684587439758001</v>
      </c>
      <c r="IJ23">
        <v>92.905994040114606</v>
      </c>
      <c r="IK23">
        <v>9.9617686453293999</v>
      </c>
      <c r="IL23">
        <v>-11.094826818427499</v>
      </c>
      <c r="IM23">
        <v>115.10384209372999</v>
      </c>
      <c r="IN23">
        <v>20.668669268192499</v>
      </c>
      <c r="IO23">
        <v>0.84068943727198098</v>
      </c>
      <c r="IP23">
        <v>46.664250202597401</v>
      </c>
      <c r="IQ23">
        <v>-43.530716075046499</v>
      </c>
      <c r="IR23">
        <v>-23.896249813020901</v>
      </c>
      <c r="IS23">
        <v>-35.769386460214797</v>
      </c>
      <c r="IT23">
        <v>-24.405770366503798</v>
      </c>
      <c r="IU23">
        <v>-584.27492498500101</v>
      </c>
      <c r="IV23">
        <v>-27.852587635641498</v>
      </c>
      <c r="IW23">
        <v>20.7707797496499</v>
      </c>
      <c r="IX23">
        <v>20.711746019377902</v>
      </c>
      <c r="IY23">
        <v>65.430398165409898</v>
      </c>
      <c r="IZ23">
        <v>53.362534814159098</v>
      </c>
      <c r="JA23">
        <v>257.72839633180899</v>
      </c>
      <c r="JB23">
        <v>-18.501607700354999</v>
      </c>
      <c r="JC23">
        <v>20.744908460634399</v>
      </c>
      <c r="JD23">
        <v>20.685752698126901</v>
      </c>
      <c r="JE23">
        <v>41.0959227843816</v>
      </c>
      <c r="JF23">
        <v>33.6720869270805</v>
      </c>
      <c r="JG23">
        <v>165.709517098752</v>
      </c>
      <c r="JH23">
        <v>-21.9435564887984</v>
      </c>
      <c r="JI23">
        <v>20.829498960904601</v>
      </c>
      <c r="JJ23">
        <v>20.7964328154764</v>
      </c>
      <c r="JK23">
        <v>98.676463335605803</v>
      </c>
      <c r="JL23">
        <v>76.409797879969702</v>
      </c>
      <c r="JM23">
        <v>316.23445040714398</v>
      </c>
      <c r="JN23">
        <v>-18.161897199358599</v>
      </c>
      <c r="JO23">
        <v>20.726269307817802</v>
      </c>
      <c r="JP23">
        <v>20.668669268192499</v>
      </c>
      <c r="JQ23">
        <v>1.06076471201101</v>
      </c>
      <c r="JR23">
        <v>41.959225236925498</v>
      </c>
      <c r="JS23">
        <v>0.56049919900262302</v>
      </c>
      <c r="JT23">
        <v>34.0763798736483</v>
      </c>
      <c r="JU23">
        <v>165.036393973667</v>
      </c>
      <c r="JV23">
        <v>-29.533740551381602</v>
      </c>
      <c r="JW23">
        <v>65.011226855299995</v>
      </c>
      <c r="JX23">
        <v>-45.792025570845098</v>
      </c>
      <c r="JY23">
        <v>-21.2405137539882</v>
      </c>
      <c r="JZ23">
        <v>40.939192474623397</v>
      </c>
      <c r="KA23">
        <v>-28.711276058403701</v>
      </c>
      <c r="KB23">
        <v>-24.362461526933899</v>
      </c>
      <c r="KC23">
        <v>159.04608405121999</v>
      </c>
      <c r="KD23">
        <v>-17.976285980421899</v>
      </c>
      <c r="KE23">
        <v>-20.495867088928598</v>
      </c>
      <c r="KF23">
        <v>17.465496764986799</v>
      </c>
      <c r="KG23">
        <v>-201.70104126656</v>
      </c>
      <c r="KH23">
        <v>1.3672067986885299</v>
      </c>
      <c r="KI23">
        <v>40.956269174257699</v>
      </c>
      <c r="KJ23">
        <v>-28.492598259789499</v>
      </c>
      <c r="KK23">
        <v>-54.122814609153501</v>
      </c>
      <c r="KL23">
        <v>19.409527158042799</v>
      </c>
      <c r="KM23">
        <v>19.918331116616798</v>
      </c>
      <c r="KN23">
        <v>-7.1296369431181299</v>
      </c>
      <c r="KO23">
        <v>18.812382120531499</v>
      </c>
      <c r="KP23">
        <v>5.5582537546382502</v>
      </c>
      <c r="KQ23">
        <v>-196.29535152512099</v>
      </c>
      <c r="KR23">
        <v>-733.17068461431495</v>
      </c>
      <c r="KS23">
        <v>-40.349972109086202</v>
      </c>
      <c r="KT23">
        <v>19.446931234380401</v>
      </c>
      <c r="KU23">
        <v>19.939052475981601</v>
      </c>
      <c r="KV23">
        <v>-9.7689879291904607</v>
      </c>
      <c r="KW23">
        <v>18.863161208138301</v>
      </c>
      <c r="KX23">
        <v>5.5583795069696196</v>
      </c>
      <c r="KY23">
        <v>-143.05974349429101</v>
      </c>
      <c r="KZ23">
        <v>-470.61024306660897</v>
      </c>
      <c r="LA23">
        <v>-36.342759818579097</v>
      </c>
      <c r="LB23">
        <v>19.458232795426198</v>
      </c>
      <c r="LC23">
        <v>19.983055105748399</v>
      </c>
      <c r="LD23">
        <v>39.405721823782997</v>
      </c>
      <c r="LE23">
        <v>18.844553705958599</v>
      </c>
      <c r="LF23">
        <v>5.5582881644430504</v>
      </c>
      <c r="LG23">
        <v>-111.893617903654</v>
      </c>
      <c r="LH23">
        <v>-664.72266915602097</v>
      </c>
      <c r="LI23">
        <v>-39.859398414806499</v>
      </c>
      <c r="LJ23">
        <v>19.424324573744901</v>
      </c>
      <c r="LK23">
        <v>19.913300506892401</v>
      </c>
      <c r="LL23">
        <v>-9.8500949695280404</v>
      </c>
      <c r="LM23">
        <v>18.8425181609087</v>
      </c>
      <c r="LN23">
        <v>5.55880875602484</v>
      </c>
      <c r="LO23">
        <v>-141.10805439479299</v>
      </c>
      <c r="LP23">
        <v>-468.10298653778102</v>
      </c>
      <c r="LQ23">
        <v>-5.8620611334309203</v>
      </c>
      <c r="LR23">
        <v>18.5988289099969</v>
      </c>
      <c r="LS23">
        <v>16.440999999999999</v>
      </c>
      <c r="LT23">
        <v>281.735624472886</v>
      </c>
      <c r="LU23">
        <v>-16.4484401438955</v>
      </c>
      <c r="LV23">
        <v>18.971943388172001</v>
      </c>
      <c r="LW23">
        <v>19.5035015082785</v>
      </c>
      <c r="LX23">
        <v>531.65494871451995</v>
      </c>
      <c r="LY23">
        <v>-3.0171677417142</v>
      </c>
      <c r="LZ23">
        <v>18.571313223890701</v>
      </c>
      <c r="MA23">
        <v>16.440999999999999</v>
      </c>
      <c r="MB23">
        <v>217.77948949780699</v>
      </c>
      <c r="MC23">
        <v>37.320190844362997</v>
      </c>
      <c r="MD23">
        <v>18.932734749044702</v>
      </c>
      <c r="ME23">
        <v>19.4843060775599</v>
      </c>
      <c r="MF23">
        <v>370.67336577528499</v>
      </c>
      <c r="MG23">
        <v>-8.0799186583312199</v>
      </c>
      <c r="MH23">
        <v>18.644876808879498</v>
      </c>
      <c r="MI23">
        <v>16.440999999999999</v>
      </c>
      <c r="MJ23">
        <v>230.98058196671599</v>
      </c>
      <c r="MK23">
        <v>-84.647660272794198</v>
      </c>
      <c r="ML23">
        <v>19.036677099468999</v>
      </c>
      <c r="MM23">
        <v>19.5767790208272</v>
      </c>
      <c r="MN23">
        <v>494.01385824677698</v>
      </c>
      <c r="MO23">
        <v>-2.3244262391980599</v>
      </c>
      <c r="MP23">
        <v>18.566358149026701</v>
      </c>
      <c r="MQ23">
        <v>16.440999999999999</v>
      </c>
      <c r="MR23">
        <v>240.00178778040501</v>
      </c>
      <c r="MS23">
        <v>62.146664348816103</v>
      </c>
      <c r="MT23">
        <v>18.923929350975801</v>
      </c>
      <c r="MU23">
        <v>19.487740311834301</v>
      </c>
      <c r="MV23">
        <v>390.776944165126</v>
      </c>
      <c r="MW23">
        <v>-13.4366002814021</v>
      </c>
      <c r="MX23">
        <v>20.802242229223399</v>
      </c>
      <c r="MY23">
        <v>20.599613226746101</v>
      </c>
      <c r="MZ23">
        <v>184.858647110606</v>
      </c>
      <c r="NA23">
        <v>239.33475595559401</v>
      </c>
      <c r="NB23">
        <v>20.816496053356801</v>
      </c>
      <c r="NC23">
        <v>20.721514387215699</v>
      </c>
      <c r="ND23">
        <v>190.203169393064</v>
      </c>
      <c r="NE23">
        <v>-8.8565556533140803</v>
      </c>
      <c r="NF23">
        <v>20.7680402810951</v>
      </c>
      <c r="NG23">
        <v>20.5686871341379</v>
      </c>
      <c r="NH23">
        <v>117.28125447668801</v>
      </c>
      <c r="NI23">
        <v>149.62199228678301</v>
      </c>
      <c r="NJ23">
        <v>20.787545185268399</v>
      </c>
      <c r="NK23">
        <v>20.691756124572201</v>
      </c>
      <c r="NL23">
        <v>121.92572078100299</v>
      </c>
      <c r="NM23">
        <v>-12.538610173021</v>
      </c>
      <c r="NN23">
        <v>20.927621739542499</v>
      </c>
      <c r="NO23">
        <v>20.7105175119022</v>
      </c>
      <c r="NP23" s="35">
        <v>196.16177310149101</v>
      </c>
      <c r="NQ23">
        <v>260.04000853149302</v>
      </c>
      <c r="NR23">
        <v>20.9350402367558</v>
      </c>
      <c r="NS23" s="35">
        <v>20.832725543693101</v>
      </c>
      <c r="NT23" s="35">
        <v>198.94336513516399</v>
      </c>
      <c r="NU23" s="35">
        <v>-8.8636045468437796</v>
      </c>
      <c r="NV23">
        <v>20.763637413319401</v>
      </c>
      <c r="NW23">
        <v>20.5753045045475</v>
      </c>
      <c r="NX23">
        <v>1.7</v>
      </c>
      <c r="NY23" s="35">
        <v>118.315741451224</v>
      </c>
      <c r="NZ23">
        <v>153.534323834725</v>
      </c>
      <c r="OA23" s="35">
        <v>20.778602894700299</v>
      </c>
      <c r="OB23">
        <v>20.677369495495</v>
      </c>
      <c r="OC23">
        <v>1.7</v>
      </c>
      <c r="OD23">
        <v>121.879290053343</v>
      </c>
      <c r="OE23">
        <v>1.7</v>
      </c>
      <c r="OF23">
        <v>1.7</v>
      </c>
      <c r="OG23">
        <v>-2.9940600948096301</v>
      </c>
      <c r="OH23">
        <v>20.597561550373602</v>
      </c>
      <c r="OI23">
        <v>20.905289145770301</v>
      </c>
      <c r="OJ23">
        <v>512.49516116273901</v>
      </c>
      <c r="OK23">
        <v>669.887607785716</v>
      </c>
      <c r="OL23">
        <v>20.5094827256227</v>
      </c>
      <c r="OM23">
        <v>20.372782244826901</v>
      </c>
      <c r="ON23">
        <v>475.14544213394601</v>
      </c>
      <c r="OO23">
        <v>-1.4067444521892101</v>
      </c>
      <c r="OP23">
        <v>20.577517462703199</v>
      </c>
      <c r="OQ23">
        <v>20.8791234617782</v>
      </c>
      <c r="OR23">
        <v>335.151675106055</v>
      </c>
      <c r="OS23">
        <v>432.76937924113901</v>
      </c>
      <c r="OT23">
        <v>20.495246025447202</v>
      </c>
      <c r="OU23">
        <v>20.374653693457098</v>
      </c>
      <c r="OV23">
        <v>313.54740759460299</v>
      </c>
      <c r="OW23">
        <v>-6.42364955057577</v>
      </c>
      <c r="OX23">
        <v>20.7104008162061</v>
      </c>
      <c r="OY23">
        <v>20.991341717984</v>
      </c>
      <c r="OZ23">
        <v>482.98588669900198</v>
      </c>
      <c r="PA23">
        <v>654.89743072209001</v>
      </c>
      <c r="PB23">
        <v>20.6101104431654</v>
      </c>
      <c r="PC23">
        <v>20.417127657822299</v>
      </c>
      <c r="PD23">
        <v>441.739022074758</v>
      </c>
      <c r="PE23">
        <v>-1.67307995080506</v>
      </c>
      <c r="PF23">
        <v>20.5431173916636</v>
      </c>
      <c r="PG23">
        <v>20.8597316845531</v>
      </c>
      <c r="PH23">
        <v>2.44758163198104</v>
      </c>
      <c r="PI23">
        <v>331.64736492784999</v>
      </c>
      <c r="PJ23">
        <v>429.885410400372</v>
      </c>
      <c r="PK23">
        <v>20.459132260339</v>
      </c>
      <c r="PL23">
        <v>20.3419996647673</v>
      </c>
      <c r="PM23">
        <v>2.45026760900212</v>
      </c>
      <c r="PN23">
        <v>309.43724745028999</v>
      </c>
      <c r="PO23">
        <v>19.553822636003499</v>
      </c>
      <c r="PP23">
        <v>19.5278182539152</v>
      </c>
      <c r="PQ23">
        <v>19.620718049450399</v>
      </c>
      <c r="PR23">
        <v>19.533792332017899</v>
      </c>
      <c r="PS23">
        <v>19.6454387038495</v>
      </c>
      <c r="PT23">
        <v>20.582245540477899</v>
      </c>
      <c r="PU23">
        <v>20.5344745818139</v>
      </c>
      <c r="PV23">
        <v>20.6547376240649</v>
      </c>
      <c r="PW23">
        <v>20.519910599338399</v>
      </c>
      <c r="PX23">
        <v>22.112675209293698</v>
      </c>
      <c r="PY23">
        <v>20.0927426792903</v>
      </c>
      <c r="PZ23">
        <v>20.084700129739701</v>
      </c>
      <c r="QA23">
        <v>20.114217239850401</v>
      </c>
      <c r="QB23">
        <v>20.057592066600598</v>
      </c>
      <c r="QC23">
        <v>21.493950347901102</v>
      </c>
      <c r="QD23">
        <v>20.568480479183101</v>
      </c>
      <c r="QE23">
        <v>18.9956185497064</v>
      </c>
      <c r="QF23">
        <v>18.973135138375699</v>
      </c>
      <c r="QG23">
        <v>19.104330354974099</v>
      </c>
      <c r="QH23">
        <v>18.990082867412401</v>
      </c>
      <c r="QI23">
        <v>18.8691166614305</v>
      </c>
      <c r="QJ23">
        <v>19.9524052160153</v>
      </c>
      <c r="QK23">
        <v>19.892299013652799</v>
      </c>
      <c r="QL23">
        <v>20.0462895505486</v>
      </c>
      <c r="QM23">
        <v>19.878432032148599</v>
      </c>
      <c r="QN23">
        <v>349.98789633051899</v>
      </c>
      <c r="QO23">
        <v>22.268567403691598</v>
      </c>
      <c r="QP23">
        <v>142.89139066448001</v>
      </c>
      <c r="QQ23">
        <v>19.6941503812942</v>
      </c>
      <c r="QR23">
        <v>19.8254208064387</v>
      </c>
      <c r="QS23">
        <v>19.5796587863891</v>
      </c>
      <c r="QT23">
        <v>19.799590592485401</v>
      </c>
      <c r="QU23">
        <v>21.626152479029098</v>
      </c>
      <c r="QV23">
        <v>18.3385681499817</v>
      </c>
      <c r="QW23">
        <v>1061346.1399360001</v>
      </c>
      <c r="QX23">
        <v>0</v>
      </c>
      <c r="QY23">
        <v>688828.27751754702</v>
      </c>
      <c r="QZ23">
        <v>0</v>
      </c>
      <c r="RA23">
        <v>147892.65752265899</v>
      </c>
      <c r="RB23">
        <v>0</v>
      </c>
      <c r="RC23">
        <v>97830.735176609494</v>
      </c>
      <c r="RD23">
        <v>0</v>
      </c>
      <c r="RE23">
        <v>356325.02569623699</v>
      </c>
      <c r="RF23">
        <v>0</v>
      </c>
      <c r="RG23">
        <v>230983.497851697</v>
      </c>
      <c r="RH23" s="35">
        <v>0</v>
      </c>
      <c r="RI23">
        <v>207.97214908053601</v>
      </c>
      <c r="RJ23" s="35">
        <v>171.69060437735101</v>
      </c>
      <c r="RK23">
        <v>18.4374144634094</v>
      </c>
      <c r="RL23">
        <v>-2488.9142582095301</v>
      </c>
      <c r="RM23">
        <v>-2488.9142582095301</v>
      </c>
      <c r="RN23">
        <v>-4962.1984425717601</v>
      </c>
      <c r="RO23" s="35">
        <v>174.00654127292799</v>
      </c>
      <c r="RP23">
        <v>135.028991020587</v>
      </c>
      <c r="RQ23">
        <v>18.418452022836199</v>
      </c>
      <c r="RR23">
        <v>-1823.4979024321301</v>
      </c>
      <c r="RS23">
        <v>-1823.4979024321301</v>
      </c>
      <c r="RT23">
        <v>-3475.4675173195301</v>
      </c>
      <c r="RU23">
        <v>274.83657387445402</v>
      </c>
      <c r="RV23">
        <v>156.32396934402999</v>
      </c>
      <c r="RW23">
        <v>18.587942660497699</v>
      </c>
      <c r="RX23">
        <v>-1493.81221514668</v>
      </c>
      <c r="RY23">
        <v>-1493.81221514668</v>
      </c>
      <c r="RZ23">
        <v>-3027.1633831772101</v>
      </c>
      <c r="SA23">
        <v>193.483467578892</v>
      </c>
      <c r="SB23">
        <v>151.10016641749499</v>
      </c>
      <c r="SC23">
        <v>18.446373402806898</v>
      </c>
      <c r="SD23">
        <v>-2574.44151733642</v>
      </c>
      <c r="SE23">
        <v>-2574.44151733642</v>
      </c>
      <c r="SF23">
        <v>-4936.3382478014801</v>
      </c>
      <c r="SG23">
        <v>0</v>
      </c>
      <c r="SH23">
        <v>12725.2043383985</v>
      </c>
      <c r="SI23">
        <v>18.092794619011599</v>
      </c>
      <c r="SJ23">
        <v>13604.9196573638</v>
      </c>
      <c r="SK23">
        <v>13604.9196573638</v>
      </c>
      <c r="SL23">
        <v>35536.153448596102</v>
      </c>
      <c r="SM23">
        <v>21.1111</v>
      </c>
      <c r="SN23">
        <v>23.8889</v>
      </c>
      <c r="SO23">
        <v>0</v>
      </c>
      <c r="SP23">
        <v>217.847600013316</v>
      </c>
      <c r="SQ23">
        <v>19.763574005395899</v>
      </c>
      <c r="SR23">
        <v>0</v>
      </c>
      <c r="SS23">
        <v>0</v>
      </c>
      <c r="ST23">
        <v>0</v>
      </c>
      <c r="SU23">
        <v>3.7937190264374299</v>
      </c>
      <c r="SV23">
        <v>134.551592446981</v>
      </c>
      <c r="SW23">
        <v>19.7580366905039</v>
      </c>
      <c r="SX23">
        <v>0</v>
      </c>
      <c r="SY23">
        <v>0</v>
      </c>
      <c r="SZ23">
        <v>0</v>
      </c>
      <c r="TA23">
        <v>0</v>
      </c>
      <c r="TB23">
        <v>227.425665143484</v>
      </c>
      <c r="TC23">
        <v>19.838092405862501</v>
      </c>
      <c r="TD23">
        <v>0</v>
      </c>
      <c r="TE23">
        <v>0</v>
      </c>
      <c r="TF23">
        <v>0</v>
      </c>
      <c r="TG23">
        <v>7.97747213673847</v>
      </c>
      <c r="TH23">
        <v>134.22419560360601</v>
      </c>
      <c r="TI23">
        <v>19.775243597770999</v>
      </c>
      <c r="TJ23">
        <v>0</v>
      </c>
      <c r="TK23">
        <v>0</v>
      </c>
      <c r="TL23">
        <v>0</v>
      </c>
      <c r="TM23">
        <v>0</v>
      </c>
      <c r="TN23">
        <v>4114.0682881182902</v>
      </c>
      <c r="TO23">
        <v>18.9228612222748</v>
      </c>
      <c r="TP23">
        <v>0</v>
      </c>
      <c r="TQ23">
        <v>0</v>
      </c>
      <c r="TR23">
        <v>0</v>
      </c>
      <c r="TS23">
        <v>300.51290438715398</v>
      </c>
      <c r="TT23">
        <v>0</v>
      </c>
      <c r="TU23">
        <v>19.322564891552702</v>
      </c>
      <c r="TV23">
        <v>2992.1911019106201</v>
      </c>
      <c r="TW23">
        <v>2992.1911019106201</v>
      </c>
      <c r="TX23">
        <v>7187.4552827931102</v>
      </c>
      <c r="TY23">
        <v>202.34106836970599</v>
      </c>
      <c r="TZ23">
        <v>0</v>
      </c>
      <c r="UA23">
        <v>19.250123445491699</v>
      </c>
      <c r="UB23">
        <v>4381.28274455675</v>
      </c>
      <c r="UC23">
        <v>4381.28274455675</v>
      </c>
      <c r="UD23">
        <v>11304.5670403282</v>
      </c>
      <c r="UE23">
        <v>281.09992593691197</v>
      </c>
      <c r="UF23">
        <v>0</v>
      </c>
      <c r="UG23">
        <v>19.437841477032102</v>
      </c>
      <c r="UH23">
        <v>3020.7447723307801</v>
      </c>
      <c r="UI23">
        <v>3020.7447723307801</v>
      </c>
      <c r="UJ23">
        <v>7214.09458554715</v>
      </c>
      <c r="UK23">
        <v>205.525663554506</v>
      </c>
      <c r="UL23">
        <v>0</v>
      </c>
      <c r="UM23">
        <v>19.236953464958798</v>
      </c>
      <c r="UN23">
        <v>5850.0107826762396</v>
      </c>
      <c r="UO23">
        <v>5850.0107826762396</v>
      </c>
      <c r="UP23">
        <v>15317.659282606201</v>
      </c>
      <c r="UQ23">
        <v>0</v>
      </c>
      <c r="UR23">
        <v>3992.1748246698498</v>
      </c>
      <c r="US23">
        <v>22.424459598089499</v>
      </c>
      <c r="UT23">
        <v>0</v>
      </c>
      <c r="UU23">
        <v>-7056.86462391846</v>
      </c>
      <c r="UV23">
        <v>16830.061231231</v>
      </c>
      <c r="UW23">
        <v>21.1111</v>
      </c>
      <c r="UX23">
        <v>23.8889</v>
      </c>
      <c r="UY23">
        <v>21.735525620348401</v>
      </c>
      <c r="UZ23">
        <v>173.94033017292099</v>
      </c>
      <c r="VA23">
        <v>20.326588624076201</v>
      </c>
      <c r="VB23">
        <v>0</v>
      </c>
      <c r="VC23">
        <v>0</v>
      </c>
      <c r="VD23">
        <v>0</v>
      </c>
      <c r="VE23">
        <v>15.8125779226385</v>
      </c>
      <c r="VF23">
        <v>116.47613488095899</v>
      </c>
      <c r="VG23">
        <v>20.2889890340691</v>
      </c>
      <c r="VH23">
        <v>0</v>
      </c>
      <c r="VI23">
        <v>0</v>
      </c>
      <c r="VJ23">
        <v>0</v>
      </c>
      <c r="VK23">
        <v>0</v>
      </c>
      <c r="VL23">
        <v>187.74270164567099</v>
      </c>
      <c r="VM23">
        <v>20.334492662494501</v>
      </c>
      <c r="VN23">
        <v>0</v>
      </c>
      <c r="VO23">
        <v>0</v>
      </c>
      <c r="VP23">
        <v>0</v>
      </c>
      <c r="VQ23">
        <v>15.438910226979401</v>
      </c>
      <c r="VR23">
        <v>117.13768540482199</v>
      </c>
      <c r="VS23">
        <v>20.267624016821799</v>
      </c>
      <c r="VT23">
        <v>0</v>
      </c>
      <c r="VU23">
        <v>0</v>
      </c>
      <c r="VV23">
        <v>0</v>
      </c>
      <c r="VW23">
        <v>0</v>
      </c>
      <c r="VX23">
        <v>227.40584323577099</v>
      </c>
      <c r="VY23">
        <v>21.857381251379199</v>
      </c>
      <c r="VZ23">
        <v>0</v>
      </c>
      <c r="WA23">
        <v>0</v>
      </c>
      <c r="WB23">
        <v>0</v>
      </c>
      <c r="WC23">
        <v>691.89496222848697</v>
      </c>
      <c r="WD23">
        <v>88.914919822209896</v>
      </c>
      <c r="WE23">
        <v>19.295558083298001</v>
      </c>
      <c r="WF23">
        <v>-397.57079509033701</v>
      </c>
      <c r="WG23">
        <v>-397.57079509033701</v>
      </c>
      <c r="WH23">
        <v>-557.994685889685</v>
      </c>
      <c r="WI23">
        <v>314943.83814164501</v>
      </c>
      <c r="WJ23">
        <v>723.57099694045405</v>
      </c>
      <c r="WK23">
        <v>87.484399483790199</v>
      </c>
      <c r="WL23">
        <v>19.566141483137599</v>
      </c>
      <c r="WM23">
        <v>-3908.3775831808598</v>
      </c>
      <c r="WN23">
        <v>-3908.3775831808598</v>
      </c>
      <c r="WO23">
        <v>-8112.7791490616901</v>
      </c>
      <c r="WP23">
        <v>21.1111</v>
      </c>
      <c r="WQ23">
        <v>23.8889</v>
      </c>
      <c r="WR23">
        <v>331.32734872862301</v>
      </c>
      <c r="WS23">
        <v>111.828469094713</v>
      </c>
      <c r="WT23">
        <v>19.045100332927799</v>
      </c>
      <c r="WU23">
        <v>3663.9399876246498</v>
      </c>
      <c r="WV23">
        <v>3663.9399876246498</v>
      </c>
      <c r="WW23">
        <v>8161.4649642545901</v>
      </c>
      <c r="WX23">
        <v>311463.01299020799</v>
      </c>
      <c r="WY23">
        <v>724.27766667427898</v>
      </c>
      <c r="WZ23">
        <v>86.517503608391095</v>
      </c>
      <c r="XA23">
        <v>19.541589118370201</v>
      </c>
      <c r="XB23">
        <v>-3463.1314640278401</v>
      </c>
      <c r="XC23">
        <v>-3463.1314640278401</v>
      </c>
      <c r="XD23">
        <v>-7117.6250858211697</v>
      </c>
      <c r="XE23">
        <v>0</v>
      </c>
      <c r="XF23">
        <v>4065.1766916940701</v>
      </c>
      <c r="XG23">
        <v>21.758354610157099</v>
      </c>
      <c r="XH23">
        <v>0</v>
      </c>
      <c r="XI23">
        <v>-852.805940522068</v>
      </c>
      <c r="XJ23">
        <v>22978.431814813699</v>
      </c>
      <c r="XK23">
        <v>21.1111</v>
      </c>
      <c r="XL23">
        <v>23.8889</v>
      </c>
      <c r="XM23">
        <v>561.584611002977</v>
      </c>
      <c r="XN23">
        <v>0</v>
      </c>
      <c r="XO23">
        <v>19.226257182943801</v>
      </c>
      <c r="XP23">
        <v>0</v>
      </c>
      <c r="XQ23">
        <v>0</v>
      </c>
      <c r="XR23">
        <v>0</v>
      </c>
      <c r="XS23">
        <v>554.79005035446005</v>
      </c>
      <c r="XT23">
        <v>0</v>
      </c>
      <c r="XU23">
        <v>19.590629071374099</v>
      </c>
      <c r="XV23">
        <v>0</v>
      </c>
      <c r="XW23">
        <v>0</v>
      </c>
      <c r="XX23">
        <v>0</v>
      </c>
      <c r="XY23">
        <v>327.47484927224298</v>
      </c>
      <c r="XZ23">
        <v>0</v>
      </c>
      <c r="YA23">
        <v>18.9289283761672</v>
      </c>
      <c r="YB23">
        <v>0</v>
      </c>
      <c r="YC23">
        <v>0</v>
      </c>
      <c r="YD23">
        <v>0</v>
      </c>
      <c r="YE23">
        <v>551.41781002755397</v>
      </c>
      <c r="YF23">
        <v>0</v>
      </c>
      <c r="YG23">
        <v>19.5655265657504</v>
      </c>
      <c r="YH23">
        <v>0</v>
      </c>
      <c r="YI23">
        <v>0</v>
      </c>
      <c r="YJ23">
        <v>0</v>
      </c>
      <c r="YK23">
        <v>562.91624445829996</v>
      </c>
      <c r="YL23">
        <v>857.42473660012502</v>
      </c>
      <c r="YM23">
        <v>20.259192011130001</v>
      </c>
      <c r="YN23">
        <v>0</v>
      </c>
      <c r="YO23">
        <v>0</v>
      </c>
      <c r="YP23">
        <v>0</v>
      </c>
      <c r="YQ23">
        <v>0</v>
      </c>
      <c r="YR23">
        <v>690.01790713120602</v>
      </c>
      <c r="YS23">
        <v>18.230031825410698</v>
      </c>
      <c r="YT23">
        <v>0</v>
      </c>
      <c r="YU23">
        <v>0</v>
      </c>
      <c r="YV23">
        <v>0</v>
      </c>
      <c r="YW23">
        <v>0</v>
      </c>
      <c r="YX23">
        <v>476.93663207950499</v>
      </c>
      <c r="YY23">
        <v>18.1406971277789</v>
      </c>
      <c r="YZ23">
        <v>0</v>
      </c>
      <c r="ZA23">
        <v>0</v>
      </c>
      <c r="ZB23">
        <v>0</v>
      </c>
      <c r="ZC23">
        <v>0</v>
      </c>
      <c r="ZD23">
        <v>832.40469033679597</v>
      </c>
      <c r="ZE23">
        <v>18.193721474275701</v>
      </c>
      <c r="ZF23">
        <v>0</v>
      </c>
      <c r="ZG23">
        <v>0</v>
      </c>
      <c r="ZH23">
        <v>0</v>
      </c>
      <c r="ZI23">
        <v>0</v>
      </c>
      <c r="ZJ23">
        <v>499.56023345577199</v>
      </c>
      <c r="ZK23">
        <v>18.100721444435099</v>
      </c>
      <c r="ZL23">
        <v>0</v>
      </c>
      <c r="ZM23">
        <v>0</v>
      </c>
      <c r="ZN23">
        <v>0</v>
      </c>
      <c r="ZO23">
        <v>0</v>
      </c>
      <c r="ZP23">
        <v>11769.0425886675</v>
      </c>
      <c r="ZQ23">
        <v>16.562193025648899</v>
      </c>
      <c r="ZR23">
        <v>0</v>
      </c>
      <c r="ZS23">
        <v>0</v>
      </c>
      <c r="ZT23">
        <v>0</v>
      </c>
      <c r="ZU23">
        <v>0</v>
      </c>
      <c r="ZV23">
        <v>355.03132111813102</v>
      </c>
      <c r="ZW23">
        <v>20.295310953538301</v>
      </c>
      <c r="ZX23">
        <v>0</v>
      </c>
      <c r="ZY23">
        <v>0</v>
      </c>
      <c r="ZZ23">
        <v>0</v>
      </c>
      <c r="AAA23">
        <v>0</v>
      </c>
      <c r="AAB23">
        <v>226.107156057607</v>
      </c>
      <c r="AAC23">
        <v>20.261795936157402</v>
      </c>
      <c r="AAD23">
        <v>0</v>
      </c>
      <c r="AAE23">
        <v>0</v>
      </c>
      <c r="AAF23">
        <v>0</v>
      </c>
      <c r="AAG23">
        <v>0</v>
      </c>
      <c r="AAH23">
        <v>374.023598191681</v>
      </c>
      <c r="AAI23">
        <v>20.390651231126</v>
      </c>
      <c r="AAJ23">
        <v>0</v>
      </c>
      <c r="AAK23">
        <v>0</v>
      </c>
      <c r="AAL23">
        <v>0</v>
      </c>
      <c r="AAM23">
        <v>0</v>
      </c>
      <c r="AAN23">
        <v>227.053945584709</v>
      </c>
      <c r="AAO23">
        <v>20.253291045013</v>
      </c>
      <c r="AAP23">
        <v>0</v>
      </c>
      <c r="AAQ23">
        <v>0</v>
      </c>
      <c r="AAR23">
        <v>0</v>
      </c>
      <c r="AAS23">
        <v>0</v>
      </c>
      <c r="AAT23">
        <v>7203.62381037246</v>
      </c>
      <c r="AAU23">
        <v>18.9695869393585</v>
      </c>
      <c r="AAV23">
        <v>0</v>
      </c>
      <c r="AAW23">
        <v>0</v>
      </c>
      <c r="AAX23">
        <v>0</v>
      </c>
      <c r="AAY23">
        <v>0</v>
      </c>
      <c r="AAZ23">
        <v>686.90596094677005</v>
      </c>
      <c r="ABA23">
        <v>19.794372111964901</v>
      </c>
      <c r="ABB23">
        <v>0</v>
      </c>
      <c r="ABC23">
        <v>0</v>
      </c>
      <c r="ABD23">
        <v>0</v>
      </c>
      <c r="ABE23">
        <v>0</v>
      </c>
      <c r="ABF23">
        <v>642.00836882395197</v>
      </c>
      <c r="ABG23">
        <v>19.526933400542301</v>
      </c>
      <c r="ABH23">
        <v>0</v>
      </c>
      <c r="ABI23">
        <v>0</v>
      </c>
      <c r="ABJ23">
        <v>0</v>
      </c>
      <c r="ABK23">
        <v>0</v>
      </c>
      <c r="ABL23">
        <v>591.62548420716803</v>
      </c>
      <c r="ABM23">
        <v>20.028668226850801</v>
      </c>
      <c r="ABN23">
        <v>0</v>
      </c>
      <c r="ABO23">
        <v>0</v>
      </c>
      <c r="ABP23">
        <v>0</v>
      </c>
      <c r="ABQ23">
        <v>0</v>
      </c>
      <c r="ABR23">
        <v>632.73987345973603</v>
      </c>
      <c r="ABS23">
        <v>19.506669132555601</v>
      </c>
      <c r="ABT23">
        <v>0</v>
      </c>
      <c r="ABU23">
        <v>0</v>
      </c>
      <c r="ABV23">
        <v>0</v>
      </c>
      <c r="ABW23">
        <v>0</v>
      </c>
      <c r="ABX23">
        <v>11637.9478498635</v>
      </c>
      <c r="ABY23">
        <v>18.3385681499817</v>
      </c>
      <c r="ABZ23">
        <v>0</v>
      </c>
      <c r="ACA23">
        <v>0</v>
      </c>
      <c r="ACB23">
        <v>0</v>
      </c>
      <c r="ACC23">
        <v>0.15</v>
      </c>
      <c r="ACD23">
        <v>576828.65776032396</v>
      </c>
      <c r="ACE23">
        <v>864.57964616884499</v>
      </c>
      <c r="ACF23">
        <v>13.562526137566101</v>
      </c>
      <c r="ACG23">
        <v>13.5472048649324</v>
      </c>
      <c r="ACH23">
        <v>6.7500018069949999</v>
      </c>
      <c r="ACI23">
        <v>1024.80982888005</v>
      </c>
      <c r="ACJ23">
        <v>2.6979449286968298</v>
      </c>
      <c r="ACK23">
        <v>20.949941202601401</v>
      </c>
      <c r="ACL23">
        <v>20.965487794224</v>
      </c>
      <c r="ACM23">
        <v>7.8850021108378598</v>
      </c>
      <c r="ACN23">
        <v>30111.526118835001</v>
      </c>
      <c r="ACP23">
        <v>9230.9541783758395</v>
      </c>
      <c r="ACR23">
        <v>39342.480297210801</v>
      </c>
      <c r="ACT23">
        <v>18.130289507237102</v>
      </c>
      <c r="ACU23">
        <v>17.821578409349399</v>
      </c>
      <c r="ACV23">
        <v>1.7</v>
      </c>
      <c r="ACW23">
        <v>26.872623398999401</v>
      </c>
      <c r="ACX23">
        <v>0.80710947825992196</v>
      </c>
      <c r="ACY23">
        <v>22.801936364123701</v>
      </c>
      <c r="ACZ23">
        <v>21.478904416851702</v>
      </c>
      <c r="ADA23">
        <v>1.7</v>
      </c>
      <c r="ADB23">
        <v>1.7515563200195801</v>
      </c>
      <c r="ADC23">
        <v>0.64740268019899705</v>
      </c>
      <c r="ADD23">
        <v>22.221289372599099</v>
      </c>
      <c r="ADE23">
        <v>20.8403422156536</v>
      </c>
      <c r="ADF23">
        <v>1.7</v>
      </c>
      <c r="ADG23">
        <v>1.75915003878265</v>
      </c>
      <c r="ADH23">
        <v>0.63074462496352501</v>
      </c>
      <c r="ADI23">
        <v>19.259809633064901</v>
      </c>
      <c r="ADJ23">
        <v>19.2180475501515</v>
      </c>
      <c r="ADK23">
        <v>0.42499999999999999</v>
      </c>
      <c r="ADL23">
        <v>6.5432141439073801</v>
      </c>
      <c r="ADM23">
        <v>0.97018846676455595</v>
      </c>
      <c r="ADN23">
        <v>19.2717061354683</v>
      </c>
      <c r="ADO23">
        <v>19.2011752369677</v>
      </c>
      <c r="ADP23">
        <v>0.42499999999999999</v>
      </c>
      <c r="ADQ23">
        <v>4.7297394795052199</v>
      </c>
      <c r="ADR23">
        <v>0.95360943911512297</v>
      </c>
      <c r="ADS23">
        <v>19.348769220016699</v>
      </c>
      <c r="ADT23">
        <v>19.293150301863001</v>
      </c>
      <c r="ADU23">
        <v>0.42499999999999999</v>
      </c>
      <c r="ADV23">
        <v>4.5707037689912404</v>
      </c>
      <c r="ADW23">
        <v>0.95595377891992706</v>
      </c>
      <c r="ADX23">
        <v>19.300508494546101</v>
      </c>
      <c r="ADY23">
        <v>19.216405382403298</v>
      </c>
      <c r="ADZ23">
        <v>0.42499999999999999</v>
      </c>
      <c r="AEA23">
        <v>3.8784307859071898</v>
      </c>
      <c r="AEB23">
        <v>0.94721286007315897</v>
      </c>
      <c r="AEC23">
        <v>20.048548967920301</v>
      </c>
      <c r="AED23">
        <v>20.048548967920301</v>
      </c>
      <c r="AEE23">
        <v>0</v>
      </c>
      <c r="AEF23">
        <v>0</v>
      </c>
      <c r="AEG23">
        <v>1</v>
      </c>
      <c r="AEH23">
        <v>19.9969365189691</v>
      </c>
      <c r="AEI23">
        <v>19.9969365189691</v>
      </c>
      <c r="AEJ23">
        <v>0</v>
      </c>
      <c r="AEK23">
        <v>0</v>
      </c>
      <c r="AEL23">
        <v>1</v>
      </c>
      <c r="AEM23">
        <v>20.1665769509782</v>
      </c>
      <c r="AEN23">
        <v>20.1665769509782</v>
      </c>
      <c r="AEO23">
        <v>0</v>
      </c>
      <c r="AEP23">
        <v>0</v>
      </c>
      <c r="AEQ23">
        <v>1</v>
      </c>
      <c r="AER23">
        <v>19.9795277623228</v>
      </c>
      <c r="AES23">
        <v>19.9795277623228</v>
      </c>
      <c r="AET23">
        <v>0</v>
      </c>
      <c r="AEU23">
        <v>0</v>
      </c>
      <c r="AEV23">
        <v>1</v>
      </c>
      <c r="AEW23">
        <v>20.064136797653301</v>
      </c>
      <c r="AEX23">
        <v>19.9838728024136</v>
      </c>
      <c r="AEY23">
        <v>0.42499999999999999</v>
      </c>
      <c r="AEZ23">
        <v>1.6955157795407401</v>
      </c>
      <c r="AFA23">
        <v>0.91695752850536205</v>
      </c>
      <c r="AFB23">
        <v>20.178553950908299</v>
      </c>
      <c r="AFC23">
        <v>20.0606250123883</v>
      </c>
      <c r="AFD23">
        <v>0.85</v>
      </c>
      <c r="AFE23">
        <v>2.4858142827846699</v>
      </c>
      <c r="AFF23">
        <v>0.88894853881432301</v>
      </c>
      <c r="AFG23">
        <v>19.855687304401801</v>
      </c>
      <c r="AFH23">
        <v>19.726364343934499</v>
      </c>
      <c r="AFI23">
        <v>0.42499999999999999</v>
      </c>
      <c r="AFJ23">
        <v>1.30872247192265</v>
      </c>
      <c r="AFK23">
        <v>0.89548705650090399</v>
      </c>
      <c r="AFL23">
        <v>20.150029251431999</v>
      </c>
      <c r="AFM23">
        <v>20.034370320855999</v>
      </c>
      <c r="AFN23">
        <v>0.85</v>
      </c>
      <c r="AFO23">
        <v>2.4739289123043302</v>
      </c>
      <c r="AFP23">
        <v>0.88908481157499697</v>
      </c>
      <c r="AFQ23">
        <v>-1.3986489538286799</v>
      </c>
      <c r="AFR23">
        <v>-1.4129632648430299</v>
      </c>
      <c r="AFS23">
        <v>-1.41896443146755</v>
      </c>
      <c r="AFT23">
        <v>-1.4197933251504999</v>
      </c>
      <c r="AFU23">
        <v>-1.21554495863807</v>
      </c>
      <c r="AFV23">
        <v>-1.2395324210012599</v>
      </c>
      <c r="AFW23">
        <v>-1.2542279514477199</v>
      </c>
      <c r="AFX23">
        <v>-1.25146458523719</v>
      </c>
      <c r="AFY23">
        <v>-1.3228600956579399</v>
      </c>
      <c r="AFZ23">
        <v>-1.2920337562403601</v>
      </c>
      <c r="AGA23">
        <v>-1.290015692771</v>
      </c>
      <c r="AGB23">
        <v>-1.2854018260447899</v>
      </c>
      <c r="AGC23">
        <v>-1.5953491446068699</v>
      </c>
      <c r="AGD23">
        <v>-0.94787716480240403</v>
      </c>
      <c r="AGE23">
        <v>-1.08455016461077</v>
      </c>
      <c r="AGF23">
        <v>1</v>
      </c>
      <c r="AGG23">
        <v>1</v>
      </c>
      <c r="AGH23">
        <v>1</v>
      </c>
      <c r="AGI23">
        <v>1</v>
      </c>
      <c r="AGJ23">
        <v>1</v>
      </c>
      <c r="AGK23">
        <v>0</v>
      </c>
      <c r="AGL23">
        <v>0</v>
      </c>
      <c r="AGM23">
        <v>0</v>
      </c>
      <c r="AGN23">
        <v>0</v>
      </c>
      <c r="AGO23">
        <v>0</v>
      </c>
      <c r="AGP23">
        <v>0.75</v>
      </c>
      <c r="AGQ23">
        <v>0.75</v>
      </c>
      <c r="AGR23">
        <v>0.75</v>
      </c>
      <c r="AGS23">
        <v>1</v>
      </c>
      <c r="AGT23">
        <v>0</v>
      </c>
      <c r="AGU23">
        <v>0</v>
      </c>
      <c r="AGV23">
        <v>0</v>
      </c>
      <c r="AGW23">
        <v>0</v>
      </c>
      <c r="AGX23">
        <v>0</v>
      </c>
      <c r="AGY23">
        <v>0</v>
      </c>
      <c r="AGZ23">
        <v>1</v>
      </c>
      <c r="AHA23">
        <v>1</v>
      </c>
      <c r="AHB23">
        <v>1</v>
      </c>
      <c r="AHC23">
        <v>1</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Z23">
        <v>0</v>
      </c>
      <c r="AIB23">
        <v>0</v>
      </c>
      <c r="AID23">
        <v>0</v>
      </c>
      <c r="AIF23">
        <v>0</v>
      </c>
      <c r="AIH23">
        <v>0</v>
      </c>
      <c r="AIJ23">
        <v>0</v>
      </c>
      <c r="AIL23">
        <v>0</v>
      </c>
      <c r="AIN23">
        <v>0</v>
      </c>
      <c r="AIP23">
        <v>0</v>
      </c>
      <c r="AIR23">
        <v>0</v>
      </c>
      <c r="AIT23">
        <v>0</v>
      </c>
      <c r="AIV23">
        <v>0</v>
      </c>
      <c r="AIX23">
        <v>0</v>
      </c>
      <c r="AIZ23">
        <v>0</v>
      </c>
      <c r="AJB23">
        <v>0</v>
      </c>
      <c r="AJC23">
        <v>0</v>
      </c>
      <c r="AJE23">
        <v>22.083008317184799</v>
      </c>
      <c r="AJH23">
        <v>4298.4611647271404</v>
      </c>
      <c r="AJJ23">
        <v>184.133138799302</v>
      </c>
      <c r="AJK23">
        <v>12.3917814553401</v>
      </c>
      <c r="AJL23">
        <v>12.6110339466904</v>
      </c>
      <c r="AJM23">
        <v>13.098189744187</v>
      </c>
      <c r="AJN23">
        <v>21.163936569136698</v>
      </c>
      <c r="AJO23">
        <v>677.57196729690099</v>
      </c>
      <c r="AJP23">
        <v>685.17301548443902</v>
      </c>
      <c r="AJQ23">
        <v>19.725273897487799</v>
      </c>
      <c r="AJR23">
        <v>392.91554797499901</v>
      </c>
      <c r="AJS23">
        <v>177.64147257357101</v>
      </c>
      <c r="AJT23">
        <v>214.532257509033</v>
      </c>
      <c r="AJU23">
        <v>379.70195204137502</v>
      </c>
      <c r="AJV23">
        <v>201.998674464479</v>
      </c>
      <c r="AJW23">
        <v>0</v>
      </c>
      <c r="AJX23">
        <v>0</v>
      </c>
      <c r="AJY23">
        <v>0</v>
      </c>
      <c r="AJZ23">
        <v>22.730240125596001</v>
      </c>
      <c r="AKA23">
        <v>0</v>
      </c>
      <c r="AKB23">
        <v>0</v>
      </c>
      <c r="AKC23">
        <v>0</v>
      </c>
      <c r="AKD23">
        <v>0</v>
      </c>
      <c r="AKE23">
        <v>70.113568682114405</v>
      </c>
      <c r="AKF23">
        <v>70.113568682114405</v>
      </c>
      <c r="AKG23">
        <v>0</v>
      </c>
      <c r="AKH23">
        <v>0</v>
      </c>
      <c r="AKI23">
        <v>0</v>
      </c>
      <c r="AKJ23">
        <v>0</v>
      </c>
      <c r="AKK23">
        <v>0</v>
      </c>
      <c r="AKL23">
        <v>70.113568682114405</v>
      </c>
      <c r="AKM23">
        <v>70.113568682114405</v>
      </c>
      <c r="AKN23">
        <v>0</v>
      </c>
      <c r="AKO23">
        <v>0</v>
      </c>
      <c r="AKP23">
        <v>0</v>
      </c>
      <c r="AKT23">
        <v>3367397.6241730801</v>
      </c>
      <c r="AKX23">
        <v>3039178.89687692</v>
      </c>
      <c r="ALB23">
        <v>20.977014048131402</v>
      </c>
      <c r="ALC23">
        <v>20.977014048131402</v>
      </c>
      <c r="ALD23">
        <v>0</v>
      </c>
      <c r="ALE23">
        <v>0</v>
      </c>
      <c r="ALF23">
        <v>0</v>
      </c>
      <c r="ALH23">
        <v>15.0910118914062</v>
      </c>
      <c r="ALI23">
        <v>6.45906894805487E-3</v>
      </c>
      <c r="ALJ23">
        <v>13.4336202366493</v>
      </c>
      <c r="ALK23">
        <v>15.092326721630601</v>
      </c>
      <c r="ALL23">
        <v>13.4336202366493</v>
      </c>
      <c r="ALM23">
        <v>0</v>
      </c>
      <c r="ALN23">
        <v>19.768393777984599</v>
      </c>
      <c r="ALO23">
        <v>6.9366569766634197E-3</v>
      </c>
      <c r="ALP23">
        <v>48.3500933438185</v>
      </c>
      <c r="ALQ23">
        <v>13.433546142739599</v>
      </c>
      <c r="ALR23">
        <v>15.0910118914062</v>
      </c>
      <c r="ALS23">
        <v>13.4336202366493</v>
      </c>
      <c r="ALT23">
        <v>15.3550867349018</v>
      </c>
      <c r="ALU23">
        <v>13.4336202366493</v>
      </c>
      <c r="ALV23">
        <v>12.220025283230299</v>
      </c>
      <c r="ALW23">
        <v>1.7097573397108299E-6</v>
      </c>
      <c r="ALX23">
        <v>15.092326721630601</v>
      </c>
      <c r="ALY23">
        <v>1.7097573397108299E-6</v>
      </c>
      <c r="ALZ23">
        <v>0</v>
      </c>
      <c r="AMA23">
        <v>13.562526137566101</v>
      </c>
      <c r="AMB23">
        <v>6.7499999999999999E-3</v>
      </c>
      <c r="AMC23">
        <v>13.547607669009</v>
      </c>
      <c r="AMD23">
        <v>6.7499999999999999E-3</v>
      </c>
      <c r="AME23">
        <v>13.5472048649324</v>
      </c>
      <c r="AMF23">
        <v>6.7499999999999999E-3</v>
      </c>
      <c r="AMG23">
        <v>7.8849999999999996E-3</v>
      </c>
      <c r="AMH23">
        <v>4.5119045289407298</v>
      </c>
      <c r="AMI23">
        <v>18.232700505554</v>
      </c>
      <c r="AMJ23">
        <v>0.35444874148390099</v>
      </c>
      <c r="AMK23" s="580">
        <v>16.537085668255902</v>
      </c>
      <c r="AML23">
        <v>6.5242045313039299</v>
      </c>
      <c r="AMM23">
        <v>18.293134211468502</v>
      </c>
      <c r="AMN23">
        <v>0.30885058783649799</v>
      </c>
      <c r="AMO23">
        <v>18.420483745723502</v>
      </c>
      <c r="AMP23">
        <v>0.38638510215664601</v>
      </c>
      <c r="AMQ23">
        <v>18.523413721257899</v>
      </c>
      <c r="AMR23">
        <v>0.600658600321748</v>
      </c>
      <c r="AMS23">
        <v>19.040853115239099</v>
      </c>
      <c r="AMT23">
        <v>0.86641436175716102</v>
      </c>
      <c r="AMU23">
        <v>20.342419377338501</v>
      </c>
      <c r="AMV23">
        <v>0.15126985851650401</v>
      </c>
      <c r="AMW23">
        <v>20.334099666629001</v>
      </c>
      <c r="AMX23">
        <v>0.15296887872042</v>
      </c>
      <c r="AMY23">
        <v>20.384004734108998</v>
      </c>
      <c r="AMZ23">
        <v>0.23117633219122799</v>
      </c>
      <c r="ANA23">
        <v>20.451728325961199</v>
      </c>
      <c r="ANB23">
        <v>0.22634070484027699</v>
      </c>
      <c r="ANC23">
        <v>18.391708814325899</v>
      </c>
      <c r="AND23">
        <v>0.86641436175716102</v>
      </c>
      <c r="ANE23">
        <v>20.025323845259202</v>
      </c>
      <c r="ANF23">
        <v>0.89553583457435004</v>
      </c>
      <c r="ANG23">
        <v>20.0016577059924</v>
      </c>
      <c r="ANH23">
        <v>0.90530330712282503</v>
      </c>
      <c r="ANI23">
        <v>19.926229266895199</v>
      </c>
      <c r="ANJ23">
        <v>0.66835308836298302</v>
      </c>
      <c r="ANK23">
        <v>19.960056235056701</v>
      </c>
      <c r="ANL23">
        <v>0.29522185179396898</v>
      </c>
      <c r="ANM23">
        <v>8.1745475631027205</v>
      </c>
      <c r="ANN23">
        <v>1.62817013602559</v>
      </c>
      <c r="ANO23">
        <v>3.6308284436112901</v>
      </c>
      <c r="ANP23">
        <v>16.537085668255902</v>
      </c>
      <c r="ANQ23">
        <v>18.0618072969746</v>
      </c>
      <c r="ANR23">
        <v>18.004407690507101</v>
      </c>
      <c r="ANS23">
        <v>18.2979119698966</v>
      </c>
      <c r="ANT23">
        <v>18.180904543279102</v>
      </c>
      <c r="ANU23">
        <v>19.040853115239099</v>
      </c>
      <c r="ANV23">
        <v>20.275505836874402</v>
      </c>
      <c r="ANW23">
        <v>20.266758536825002</v>
      </c>
      <c r="ANX23">
        <v>20.404458907072598</v>
      </c>
      <c r="ANY23">
        <v>20.309224798253801</v>
      </c>
      <c r="ANZ23">
        <v>18.391708814325899</v>
      </c>
      <c r="AOA23">
        <v>19.647185800044198</v>
      </c>
      <c r="AOB23">
        <v>19.623557273237299</v>
      </c>
      <c r="AOC23">
        <v>19.9054791391092</v>
      </c>
      <c r="AOD23">
        <v>19.696254390179998</v>
      </c>
      <c r="AOE23">
        <v>19.768401216884499</v>
      </c>
      <c r="AOF23">
        <v>4.5119045289407298</v>
      </c>
      <c r="AOG23">
        <v>19.800751400108201</v>
      </c>
      <c r="AOH23">
        <v>4.5119045289407298</v>
      </c>
    </row>
    <row r="24" spans="1:1074">
      <c r="A24" t="s">
        <v>2959</v>
      </c>
      <c r="B24">
        <v>5.5125000000000002</v>
      </c>
      <c r="D24">
        <v>5.1831373639190499</v>
      </c>
      <c r="F24">
        <v>5</v>
      </c>
      <c r="G24">
        <v>1861432.3227246399</v>
      </c>
      <c r="H24">
        <v>3942434.0424441299</v>
      </c>
      <c r="I24">
        <v>1182120.5041946799</v>
      </c>
      <c r="J24">
        <v>2503680.6662874999</v>
      </c>
      <c r="K24">
        <v>1861432.3227246399</v>
      </c>
      <c r="L24">
        <v>3942434.0424441299</v>
      </c>
      <c r="M24">
        <v>1182120.5041946799</v>
      </c>
      <c r="N24">
        <v>2503680.6662874999</v>
      </c>
      <c r="O24">
        <v>9599769.0906415991</v>
      </c>
      <c r="P24">
        <v>20331900.333153799</v>
      </c>
      <c r="Q24">
        <v>1861432.3227246399</v>
      </c>
      <c r="R24">
        <v>3942434.0424441299</v>
      </c>
      <c r="S24">
        <v>1182120.5041946799</v>
      </c>
      <c r="T24">
        <v>2503680.6662874999</v>
      </c>
      <c r="U24">
        <v>1861432.3227246399</v>
      </c>
      <c r="V24">
        <v>3942434.0424441299</v>
      </c>
      <c r="W24">
        <v>1182120.5041946799</v>
      </c>
      <c r="X24">
        <v>2503680.6662874999</v>
      </c>
      <c r="Y24">
        <v>9599769.0906415991</v>
      </c>
      <c r="Z24">
        <v>20331900.333153799</v>
      </c>
      <c r="AA24">
        <v>1861432.3227246399</v>
      </c>
      <c r="AB24">
        <v>3942434.0424441299</v>
      </c>
      <c r="AC24">
        <v>1182120.5041946799</v>
      </c>
      <c r="AD24">
        <v>2503680.6662874999</v>
      </c>
      <c r="AE24">
        <v>1861432.3227246399</v>
      </c>
      <c r="AF24">
        <v>3942434.0424441299</v>
      </c>
      <c r="AG24">
        <v>1182120.5041946799</v>
      </c>
      <c r="AH24">
        <v>2503680.6662874999</v>
      </c>
      <c r="AI24">
        <v>9599769.0906415991</v>
      </c>
      <c r="AJ24">
        <v>20331900.333153799</v>
      </c>
      <c r="AK24">
        <v>1.18581142514032</v>
      </c>
      <c r="AL24">
        <v>197803.02193463501</v>
      </c>
      <c r="AM24">
        <v>512270.53566061897</v>
      </c>
      <c r="AN24">
        <v>1.18581142514032</v>
      </c>
      <c r="AO24">
        <v>197803.02193463501</v>
      </c>
      <c r="AP24">
        <v>512270.53566061897</v>
      </c>
      <c r="AQ24">
        <v>0.75306095346774204</v>
      </c>
      <c r="AR24">
        <v>125616.7120158</v>
      </c>
      <c r="AS24">
        <v>325322.331898064</v>
      </c>
      <c r="AT24">
        <v>0.75306095346774105</v>
      </c>
      <c r="AU24">
        <v>125616.7120158</v>
      </c>
      <c r="AV24">
        <v>325322.331898064</v>
      </c>
      <c r="AW24">
        <v>1.18581142514032</v>
      </c>
      <c r="AX24">
        <v>197803.02193463501</v>
      </c>
      <c r="AY24">
        <v>512270.53566061897</v>
      </c>
      <c r="AZ24">
        <v>1.18581142514032</v>
      </c>
      <c r="BA24">
        <v>197803.02193463501</v>
      </c>
      <c r="BB24">
        <v>512270.53566061897</v>
      </c>
      <c r="BC24">
        <v>0.75306095346774204</v>
      </c>
      <c r="BD24">
        <v>125616.7120158</v>
      </c>
      <c r="BE24">
        <v>325322.331898064</v>
      </c>
      <c r="BF24">
        <v>0.75306095346774105</v>
      </c>
      <c r="BG24">
        <v>125616.7120158</v>
      </c>
      <c r="BH24">
        <v>325322.331898064</v>
      </c>
      <c r="BI24">
        <v>1.18581142514032</v>
      </c>
      <c r="BJ24">
        <v>197803.02193463501</v>
      </c>
      <c r="BK24">
        <v>512270.53566061897</v>
      </c>
      <c r="BL24">
        <v>1.18581142514032</v>
      </c>
      <c r="BM24">
        <v>197803.02193463501</v>
      </c>
      <c r="BN24">
        <v>512270.53566061897</v>
      </c>
      <c r="BO24">
        <v>0.75306095346774204</v>
      </c>
      <c r="BP24">
        <v>125616.7120158</v>
      </c>
      <c r="BQ24">
        <v>325322.331898064</v>
      </c>
      <c r="BR24">
        <v>0.75306095346774105</v>
      </c>
      <c r="BS24">
        <v>125616.7120158</v>
      </c>
      <c r="BT24">
        <v>325322.331898064</v>
      </c>
      <c r="BU24">
        <v>2641878.9414181202</v>
      </c>
      <c r="BV24">
        <v>6.1154605125419401</v>
      </c>
      <c r="BW24">
        <v>1020108.71564978</v>
      </c>
      <c r="BX24">
        <v>2641878.9414181202</v>
      </c>
      <c r="BY24">
        <v>6.1154605125419401</v>
      </c>
      <c r="BZ24">
        <v>1020108.71564978</v>
      </c>
      <c r="CA24">
        <v>2641878.9414181202</v>
      </c>
      <c r="CB24">
        <v>6.1154605125419401</v>
      </c>
      <c r="CC24">
        <v>1020108.71564978</v>
      </c>
      <c r="CD24">
        <v>2641878.9414181202</v>
      </c>
      <c r="CE24">
        <v>377317.98574618599</v>
      </c>
      <c r="CF24">
        <v>857540.87669587706</v>
      </c>
      <c r="CG24">
        <v>377317.98574618599</v>
      </c>
      <c r="CH24">
        <v>857540.87669587706</v>
      </c>
      <c r="CI24">
        <v>239619.416782838</v>
      </c>
      <c r="CJ24">
        <v>544589.58359735995</v>
      </c>
      <c r="CK24">
        <v>239619.416782838</v>
      </c>
      <c r="CL24">
        <v>544589.58359735995</v>
      </c>
      <c r="CM24">
        <v>377317.98574618599</v>
      </c>
      <c r="CN24">
        <v>857540.87669587706</v>
      </c>
      <c r="CO24">
        <v>377317.98574618599</v>
      </c>
      <c r="CP24">
        <v>857540.87669587706</v>
      </c>
      <c r="CQ24">
        <v>239619.416782838</v>
      </c>
      <c r="CR24">
        <v>544589.58359735995</v>
      </c>
      <c r="CS24">
        <v>239619.416782838</v>
      </c>
      <c r="CT24">
        <v>544589.58359735995</v>
      </c>
      <c r="CU24">
        <v>377317.98574618599</v>
      </c>
      <c r="CV24">
        <v>857540.87669587706</v>
      </c>
      <c r="CW24">
        <v>377317.98574618599</v>
      </c>
      <c r="CX24">
        <v>857540.87669587706</v>
      </c>
      <c r="CY24">
        <v>239619.416782838</v>
      </c>
      <c r="CZ24">
        <v>544589.58359735995</v>
      </c>
      <c r="DA24">
        <v>239619.416782838</v>
      </c>
      <c r="DB24">
        <v>544589.58359735995</v>
      </c>
      <c r="DC24">
        <v>1945902.35309093</v>
      </c>
      <c r="DD24">
        <v>4422505.3479339303</v>
      </c>
      <c r="DE24">
        <v>1945902.35309093</v>
      </c>
      <c r="DF24">
        <v>4422505.3479339303</v>
      </c>
      <c r="DG24">
        <v>1945902.35309093</v>
      </c>
      <c r="DH24">
        <v>4422505.3479339303</v>
      </c>
      <c r="DI24">
        <v>1286311.3150438201</v>
      </c>
      <c r="DJ24">
        <v>2572622.6300876299</v>
      </c>
      <c r="DK24">
        <v>1286311.3150438201</v>
      </c>
      <c r="DL24">
        <v>2572622.6300876299</v>
      </c>
      <c r="DM24">
        <v>816884.37539604004</v>
      </c>
      <c r="DN24">
        <v>1633768.7507920801</v>
      </c>
      <c r="DO24">
        <v>816884.37539603899</v>
      </c>
      <c r="DP24">
        <v>1633768.7507920801</v>
      </c>
      <c r="DQ24">
        <v>1286311.3150438201</v>
      </c>
      <c r="DR24">
        <v>2572622.6300876299</v>
      </c>
      <c r="DS24">
        <v>1286311.3150438201</v>
      </c>
      <c r="DT24">
        <v>2572622.6300876299</v>
      </c>
      <c r="DU24">
        <v>816884.37539604004</v>
      </c>
      <c r="DV24">
        <v>1633768.7507920801</v>
      </c>
      <c r="DW24">
        <v>816884.37539603899</v>
      </c>
      <c r="DX24">
        <v>1633768.7507920801</v>
      </c>
      <c r="DY24">
        <v>1286311.3150438201</v>
      </c>
      <c r="DZ24">
        <v>2572622.6300876299</v>
      </c>
      <c r="EA24">
        <v>1286311.3150438201</v>
      </c>
      <c r="EB24">
        <v>2572622.6300876299</v>
      </c>
      <c r="EC24">
        <v>816884.37539604004</v>
      </c>
      <c r="ED24">
        <v>1633768.7507920801</v>
      </c>
      <c r="EE24">
        <v>816884.37539603899</v>
      </c>
      <c r="EF24">
        <v>1633768.7507920801</v>
      </c>
      <c r="EG24">
        <v>6633758.0219008904</v>
      </c>
      <c r="EH24">
        <v>13267516.043801799</v>
      </c>
      <c r="EI24">
        <v>6633758.0219008904</v>
      </c>
      <c r="EJ24">
        <v>13267516.043801799</v>
      </c>
      <c r="EK24">
        <v>6633758.0219008904</v>
      </c>
      <c r="EL24">
        <v>13267516.043801799</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4.14926053473747E-2</v>
      </c>
      <c r="GC24">
        <v>185.35810320357299</v>
      </c>
      <c r="GD24">
        <v>169.54924805527199</v>
      </c>
      <c r="GE24">
        <v>1.80682887743427</v>
      </c>
      <c r="GF24">
        <v>116.225650888386</v>
      </c>
      <c r="GG24">
        <v>106.56180443150301</v>
      </c>
      <c r="GH24">
        <v>0.28674582946709698</v>
      </c>
      <c r="GI24">
        <v>176.90989269892</v>
      </c>
      <c r="GJ24">
        <v>169.58808566385599</v>
      </c>
      <c r="GK24">
        <v>2.6478378634035198</v>
      </c>
      <c r="GL24">
        <v>117.859758350779</v>
      </c>
      <c r="GM24">
        <v>108.196081233889</v>
      </c>
      <c r="GN24">
        <v>-15.400717877518201</v>
      </c>
      <c r="GO24">
        <v>19.809932854747899</v>
      </c>
      <c r="GP24">
        <v>19.407609042626099</v>
      </c>
      <c r="GQ24">
        <v>84.351943487076198</v>
      </c>
      <c r="GR24">
        <v>150.55703469443401</v>
      </c>
      <c r="GS24">
        <v>810.01742012105797</v>
      </c>
      <c r="GT24">
        <v>-9.89029731407879</v>
      </c>
      <c r="GU24">
        <v>19.778686748401402</v>
      </c>
      <c r="GV24">
        <v>19.3854046909697</v>
      </c>
      <c r="GW24">
        <v>54.538098303571097</v>
      </c>
      <c r="GX24">
        <v>95.939868208441197</v>
      </c>
      <c r="GY24">
        <v>513.81273001422505</v>
      </c>
      <c r="GZ24">
        <v>-16.5303113973862</v>
      </c>
      <c r="HA24">
        <v>19.9299515082627</v>
      </c>
      <c r="HB24">
        <v>19.537203327568701</v>
      </c>
      <c r="HC24">
        <v>83.119633039721506</v>
      </c>
      <c r="HD24">
        <v>149.39982976150199</v>
      </c>
      <c r="HE24">
        <v>813.24432271557998</v>
      </c>
      <c r="HF24">
        <v>-10.0835281489476</v>
      </c>
      <c r="HG24">
        <v>19.782840970638802</v>
      </c>
      <c r="HH24">
        <v>19.383009752652299</v>
      </c>
      <c r="HI24">
        <v>53.053238343288498</v>
      </c>
      <c r="HJ24">
        <v>95.035595325360205</v>
      </c>
      <c r="HK24">
        <v>513.55123542921797</v>
      </c>
      <c r="HL24">
        <v>8.3015290751572799</v>
      </c>
      <c r="HM24">
        <v>20.6550947718233</v>
      </c>
      <c r="HN24">
        <v>21.4902765970165</v>
      </c>
      <c r="HO24">
        <v>254.68617958532101</v>
      </c>
      <c r="HP24">
        <v>350.13136536996802</v>
      </c>
      <c r="HQ24">
        <v>20.221116282777999</v>
      </c>
      <c r="HR24">
        <v>167.25019648464701</v>
      </c>
      <c r="HS24">
        <v>7.1524710017339101</v>
      </c>
      <c r="HT24">
        <v>20.643788474571899</v>
      </c>
      <c r="HU24">
        <v>21.510471497794899</v>
      </c>
      <c r="HV24">
        <v>157.73360724156001</v>
      </c>
      <c r="HW24">
        <v>226.98201508119001</v>
      </c>
      <c r="HX24">
        <v>20.183092963016499</v>
      </c>
      <c r="HY24">
        <v>108.201160259098</v>
      </c>
      <c r="HZ24">
        <v>20.735059493743599</v>
      </c>
      <c r="IA24">
        <v>21.553221914770699</v>
      </c>
      <c r="IB24">
        <v>245.212123036246</v>
      </c>
      <c r="IC24">
        <v>8.1082477612835699</v>
      </c>
      <c r="ID24">
        <v>358.43530455545499</v>
      </c>
      <c r="IE24">
        <v>20.3557894797774</v>
      </c>
      <c r="IF24">
        <v>170.86664349257299</v>
      </c>
      <c r="IG24">
        <v>18.517634439159099</v>
      </c>
      <c r="IH24">
        <v>20.620663556834501</v>
      </c>
      <c r="II24">
        <v>21.5000750592591</v>
      </c>
      <c r="IJ24">
        <v>160.42637668246601</v>
      </c>
      <c r="IK24">
        <v>19.917532747722699</v>
      </c>
      <c r="IL24">
        <v>8.3969698543109601</v>
      </c>
      <c r="IM24">
        <v>232.02464514551201</v>
      </c>
      <c r="IN24">
        <v>20.156577817669</v>
      </c>
      <c r="IO24">
        <v>0.891159143009703</v>
      </c>
      <c r="IP24">
        <v>110.34552897861001</v>
      </c>
      <c r="IQ24">
        <v>-160.06009110923901</v>
      </c>
      <c r="IR24">
        <v>-93.051423976165296</v>
      </c>
      <c r="IS24">
        <v>-147.24278658494001</v>
      </c>
      <c r="IT24">
        <v>-94.289301235445706</v>
      </c>
      <c r="IU24">
        <v>-734.19289347712595</v>
      </c>
      <c r="IV24">
        <v>-16.222964588746201</v>
      </c>
      <c r="IW24">
        <v>20.375481765200199</v>
      </c>
      <c r="IX24">
        <v>20.221116282777999</v>
      </c>
      <c r="IY24">
        <v>125.126533338475</v>
      </c>
      <c r="IZ24">
        <v>122.637410536559</v>
      </c>
      <c r="JA24">
        <v>514.17202459935902</v>
      </c>
      <c r="JB24">
        <v>-9.8565375037131702</v>
      </c>
      <c r="JC24">
        <v>20.3329208344012</v>
      </c>
      <c r="JD24">
        <v>20.183092963016499</v>
      </c>
      <c r="JE24">
        <v>83.002166846203806</v>
      </c>
      <c r="JF24">
        <v>81.200833948015699</v>
      </c>
      <c r="JG24">
        <v>338.12350300772601</v>
      </c>
      <c r="JH24">
        <v>-17.092701618827899</v>
      </c>
      <c r="JI24">
        <v>20.486307941904901</v>
      </c>
      <c r="JJ24">
        <v>20.3557894797774</v>
      </c>
      <c r="JK24">
        <v>131.65226892447001</v>
      </c>
      <c r="JL24">
        <v>125.247277697163</v>
      </c>
      <c r="JM24">
        <v>517.99967667164594</v>
      </c>
      <c r="JN24">
        <v>-9.8934829520824508</v>
      </c>
      <c r="JO24">
        <v>20.311224999114099</v>
      </c>
      <c r="JP24">
        <v>20.156577817669</v>
      </c>
      <c r="JQ24">
        <v>1.24522157135934</v>
      </c>
      <c r="JR24">
        <v>82.119765465740599</v>
      </c>
      <c r="JS24">
        <v>0.72000677642809896</v>
      </c>
      <c r="JT24">
        <v>80.630195011570194</v>
      </c>
      <c r="JU24">
        <v>336.66455091252101</v>
      </c>
      <c r="JV24">
        <v>9.8402846659890209</v>
      </c>
      <c r="JW24">
        <v>357.53313138207801</v>
      </c>
      <c r="JX24">
        <v>22.886393911734601</v>
      </c>
      <c r="JY24">
        <v>1.6366860150836399E-2</v>
      </c>
      <c r="JZ24">
        <v>174.373465734652</v>
      </c>
      <c r="KA24">
        <v>6.5864077726445904</v>
      </c>
      <c r="KB24">
        <v>9.3615473808770702</v>
      </c>
      <c r="KC24">
        <v>359.75261016988401</v>
      </c>
      <c r="KD24">
        <v>16.610687635232701</v>
      </c>
      <c r="KE24">
        <v>1.05029432128111</v>
      </c>
      <c r="KF24">
        <v>17.1073260506212</v>
      </c>
      <c r="KG24">
        <v>-132.06036358095301</v>
      </c>
      <c r="KH24">
        <v>1.69042417367292</v>
      </c>
      <c r="KI24">
        <v>178.40299692417099</v>
      </c>
      <c r="KJ24">
        <v>8.5048831144191492</v>
      </c>
      <c r="KK24">
        <v>57.7184419183655</v>
      </c>
      <c r="KL24">
        <v>17.976858648747299</v>
      </c>
      <c r="KM24">
        <v>18.887594512832301</v>
      </c>
      <c r="KN24">
        <v>604.09030553740001</v>
      </c>
      <c r="KO24">
        <v>17.352402424804001</v>
      </c>
      <c r="KP24">
        <v>3.7009901957022402</v>
      </c>
      <c r="KQ24">
        <v>164.33147769910201</v>
      </c>
      <c r="KR24">
        <v>-419.03095772117098</v>
      </c>
      <c r="KS24">
        <v>22.154395651270701</v>
      </c>
      <c r="KT24">
        <v>18.250327114437798</v>
      </c>
      <c r="KU24">
        <v>19.0784955380099</v>
      </c>
      <c r="KV24">
        <v>326.97612576025301</v>
      </c>
      <c r="KW24">
        <v>17.657155281789301</v>
      </c>
      <c r="KX24">
        <v>3.72843536853108</v>
      </c>
      <c r="KY24">
        <v>44.199798166024898</v>
      </c>
      <c r="KZ24">
        <v>-293.52055404850302</v>
      </c>
      <c r="LA24">
        <v>59.592049212619202</v>
      </c>
      <c r="LB24">
        <v>17.9388028295336</v>
      </c>
      <c r="LC24">
        <v>18.918556728245999</v>
      </c>
      <c r="LD24">
        <v>622.32744386941101</v>
      </c>
      <c r="LE24">
        <v>17.285555239322701</v>
      </c>
      <c r="LF24">
        <v>3.6992955508774998</v>
      </c>
      <c r="LG24">
        <v>163.64369474121301</v>
      </c>
      <c r="LH24">
        <v>-447.325331908951</v>
      </c>
      <c r="LI24">
        <v>22.0672605627183</v>
      </c>
      <c r="LJ24">
        <v>18.226328760258099</v>
      </c>
      <c r="LK24">
        <v>19.0438593889528</v>
      </c>
      <c r="LL24">
        <v>325.16804253663901</v>
      </c>
      <c r="LM24">
        <v>17.638988739237</v>
      </c>
      <c r="LN24">
        <v>3.8162579154462501</v>
      </c>
      <c r="LO24">
        <v>44.101834428981</v>
      </c>
      <c r="LP24">
        <v>-290.76617963362997</v>
      </c>
      <c r="LQ24">
        <v>-20.7302662134739</v>
      </c>
      <c r="LR24">
        <v>18.549787358988901</v>
      </c>
      <c r="LS24">
        <v>16.440999999999999</v>
      </c>
      <c r="LT24">
        <v>61.225951611337102</v>
      </c>
      <c r="LU24">
        <v>-112.59228006970601</v>
      </c>
      <c r="LV24">
        <v>18.7886048327337</v>
      </c>
      <c r="LW24">
        <v>19.055005776273799</v>
      </c>
      <c r="LX24">
        <v>208.94078598025999</v>
      </c>
      <c r="LY24">
        <v>-13.6192149793629</v>
      </c>
      <c r="LZ24">
        <v>18.526339192306299</v>
      </c>
      <c r="MA24">
        <v>16.440999999999999</v>
      </c>
      <c r="MB24">
        <v>47.694967058467903</v>
      </c>
      <c r="MC24">
        <v>-54.792155603231798</v>
      </c>
      <c r="MD24">
        <v>18.754722001613398</v>
      </c>
      <c r="ME24">
        <v>19.034327386844801</v>
      </c>
      <c r="MF24">
        <v>137.5374965821</v>
      </c>
      <c r="MG24">
        <v>-20.384956058536901</v>
      </c>
      <c r="MH24">
        <v>18.5863250214008</v>
      </c>
      <c r="MI24">
        <v>16.440999999999999</v>
      </c>
      <c r="MJ24">
        <v>79.352913244123997</v>
      </c>
      <c r="MK24">
        <v>-97.368661627812699</v>
      </c>
      <c r="ML24">
        <v>18.8292551053087</v>
      </c>
      <c r="MM24">
        <v>19.161888747707899</v>
      </c>
      <c r="MN24">
        <v>228.82859419818499</v>
      </c>
      <c r="MO24">
        <v>-13.573448580773499</v>
      </c>
      <c r="MP24">
        <v>18.522782319337701</v>
      </c>
      <c r="MQ24">
        <v>16.440999999999999</v>
      </c>
      <c r="MR24">
        <v>51.939268315398898</v>
      </c>
      <c r="MS24">
        <v>-48.221490476891901</v>
      </c>
      <c r="MT24">
        <v>18.747476822513899</v>
      </c>
      <c r="MU24">
        <v>19.027350755943701</v>
      </c>
      <c r="MV24">
        <v>140.419046326765</v>
      </c>
      <c r="MW24">
        <v>-21.547818926545698</v>
      </c>
      <c r="MX24">
        <v>20.724258694342002</v>
      </c>
      <c r="MY24">
        <v>20.3820875224155</v>
      </c>
      <c r="MZ24">
        <v>122.924645417894</v>
      </c>
      <c r="NA24">
        <v>275.54499635625803</v>
      </c>
      <c r="NB24">
        <v>20.631856805440901</v>
      </c>
      <c r="NC24">
        <v>20.260585722296799</v>
      </c>
      <c r="ND24">
        <v>88.2782270567334</v>
      </c>
      <c r="NE24">
        <v>-14.1339812060348</v>
      </c>
      <c r="NF24">
        <v>20.6880982587003</v>
      </c>
      <c r="NG24">
        <v>20.3485319020849</v>
      </c>
      <c r="NH24">
        <v>79.266014849742604</v>
      </c>
      <c r="NI24">
        <v>176.332134323845</v>
      </c>
      <c r="NJ24">
        <v>20.597030223807401</v>
      </c>
      <c r="NK24">
        <v>20.224744904018099</v>
      </c>
      <c r="NL24">
        <v>57.581088038454297</v>
      </c>
      <c r="NM24">
        <v>-21.486891766344701</v>
      </c>
      <c r="NN24">
        <v>20.8461058388678</v>
      </c>
      <c r="NO24">
        <v>20.499763244403098</v>
      </c>
      <c r="NP24" s="35">
        <v>127.333086933632</v>
      </c>
      <c r="NQ24">
        <v>286.44467466097802</v>
      </c>
      <c r="NR24">
        <v>20.750129685592299</v>
      </c>
      <c r="NS24" s="35">
        <v>20.397436325889998</v>
      </c>
      <c r="NT24" s="35">
        <v>91.346485375746497</v>
      </c>
      <c r="NU24" s="35">
        <v>-14.1496400801235</v>
      </c>
      <c r="NV24">
        <v>20.684139150163599</v>
      </c>
      <c r="NW24">
        <v>20.353919940795301</v>
      </c>
      <c r="NX24">
        <v>1.7</v>
      </c>
      <c r="NY24" s="35">
        <v>79.939289288546604</v>
      </c>
      <c r="NZ24">
        <v>180.04043045143001</v>
      </c>
      <c r="OA24" s="35">
        <v>20.5881720334195</v>
      </c>
      <c r="OB24">
        <v>20.200689679685301</v>
      </c>
      <c r="OC24">
        <v>1.7</v>
      </c>
      <c r="OD24">
        <v>57.087803524806297</v>
      </c>
      <c r="OE24">
        <v>1.7</v>
      </c>
      <c r="OF24">
        <v>1.7</v>
      </c>
      <c r="OG24">
        <v>-20.477007391129899</v>
      </c>
      <c r="OH24">
        <v>20.574427637486799</v>
      </c>
      <c r="OI24">
        <v>20.694528154630898</v>
      </c>
      <c r="OJ24">
        <v>174.80122151611701</v>
      </c>
      <c r="OK24">
        <v>465.70070090454999</v>
      </c>
      <c r="OL24">
        <v>20.3438624888914</v>
      </c>
      <c r="OM24">
        <v>19.6478224668409</v>
      </c>
      <c r="ON24">
        <v>79.978632489142598</v>
      </c>
      <c r="OO24">
        <v>-9.3369520373057195</v>
      </c>
      <c r="OP24">
        <v>20.496812470109901</v>
      </c>
      <c r="OQ24">
        <v>20.661186568712701</v>
      </c>
      <c r="OR24">
        <v>182.48207087658801</v>
      </c>
      <c r="OS24">
        <v>362.655499015033</v>
      </c>
      <c r="OT24">
        <v>20.277223200170599</v>
      </c>
      <c r="OU24">
        <v>19.7437088821119</v>
      </c>
      <c r="OV24">
        <v>120.522228893781</v>
      </c>
      <c r="OW24">
        <v>-20.1285485298263</v>
      </c>
      <c r="OX24">
        <v>20.680123185925801</v>
      </c>
      <c r="OY24">
        <v>20.7986910334409</v>
      </c>
      <c r="OZ24">
        <v>181.10487143165</v>
      </c>
      <c r="PA24">
        <v>490.59088870316901</v>
      </c>
      <c r="PB24">
        <v>20.432907602879801</v>
      </c>
      <c r="PC24">
        <v>19.728039181091599</v>
      </c>
      <c r="PD24">
        <v>79.661122372863503</v>
      </c>
      <c r="PE24">
        <v>-9.4378135734526296</v>
      </c>
      <c r="PF24">
        <v>20.465887280629701</v>
      </c>
      <c r="PG24">
        <v>20.6394482407295</v>
      </c>
      <c r="PH24">
        <v>1.7963035947761199</v>
      </c>
      <c r="PI24">
        <v>181.02323539986301</v>
      </c>
      <c r="PJ24">
        <v>361.19351331906699</v>
      </c>
      <c r="PK24">
        <v>20.245477365917701</v>
      </c>
      <c r="PL24">
        <v>19.704173455053201</v>
      </c>
      <c r="PM24">
        <v>1.7</v>
      </c>
      <c r="PN24">
        <v>118.949487064043</v>
      </c>
      <c r="PO24">
        <v>19.134378270219099</v>
      </c>
      <c r="PP24">
        <v>19.109026272349102</v>
      </c>
      <c r="PQ24">
        <v>19.241686875370501</v>
      </c>
      <c r="PR24">
        <v>19.101727806748599</v>
      </c>
      <c r="PS24">
        <v>19.783985998466601</v>
      </c>
      <c r="PT24">
        <v>20.1242084766441</v>
      </c>
      <c r="PU24">
        <v>20.072771245601</v>
      </c>
      <c r="PV24">
        <v>20.2363031893167</v>
      </c>
      <c r="PW24">
        <v>20.043495938568299</v>
      </c>
      <c r="PX24">
        <v>22.0477714242489</v>
      </c>
      <c r="PY24">
        <v>19.288816969028201</v>
      </c>
      <c r="PZ24">
        <v>19.4075496016724</v>
      </c>
      <c r="QA24">
        <v>19.3395648744584</v>
      </c>
      <c r="QB24">
        <v>19.366884822516301</v>
      </c>
      <c r="QC24">
        <v>21.194839430453101</v>
      </c>
      <c r="QD24">
        <v>20.736968003304899</v>
      </c>
      <c r="QE24">
        <v>18.480958947078999</v>
      </c>
      <c r="QF24">
        <v>18.459464235738299</v>
      </c>
      <c r="QG24">
        <v>18.6029979596338</v>
      </c>
      <c r="QH24">
        <v>18.430663495885899</v>
      </c>
      <c r="QI24">
        <v>19.844663482080701</v>
      </c>
      <c r="QJ24">
        <v>19.342264774962999</v>
      </c>
      <c r="QK24">
        <v>19.301056716971999</v>
      </c>
      <c r="QL24">
        <v>19.481875023417</v>
      </c>
      <c r="QM24">
        <v>19.248996500329898</v>
      </c>
      <c r="QN24">
        <v>850.84239710609995</v>
      </c>
      <c r="QO24">
        <v>22.373230666916399</v>
      </c>
      <c r="QP24">
        <v>-2227.1709194608702</v>
      </c>
      <c r="QQ24">
        <v>18.5577841958455</v>
      </c>
      <c r="QR24">
        <v>18.702025755009199</v>
      </c>
      <c r="QS24">
        <v>18.651365687244802</v>
      </c>
      <c r="QT24">
        <v>18.638716134610501</v>
      </c>
      <c r="QU24">
        <v>21.515450039763099</v>
      </c>
      <c r="QV24">
        <v>20.613314974335001</v>
      </c>
      <c r="QW24">
        <v>4439417.4492682703</v>
      </c>
      <c r="QX24">
        <v>0</v>
      </c>
      <c r="QY24">
        <v>2900821.8921045498</v>
      </c>
      <c r="QZ24">
        <v>0</v>
      </c>
      <c r="RA24">
        <v>652162.37973425898</v>
      </c>
      <c r="RB24">
        <v>0</v>
      </c>
      <c r="RC24">
        <v>430235.84805948898</v>
      </c>
      <c r="RD24">
        <v>0</v>
      </c>
      <c r="RE24">
        <v>1503170.55235373</v>
      </c>
      <c r="RF24">
        <v>0</v>
      </c>
      <c r="RG24">
        <v>982474.88535759901</v>
      </c>
      <c r="RH24" s="35">
        <v>0</v>
      </c>
      <c r="RI24">
        <v>0</v>
      </c>
      <c r="RJ24" s="35">
        <v>0</v>
      </c>
      <c r="RK24">
        <v>17.827539623938801</v>
      </c>
      <c r="RL24">
        <v>1036.4758600662201</v>
      </c>
      <c r="RM24">
        <v>1036.4758600662201</v>
      </c>
      <c r="RN24">
        <v>14025.118408361401</v>
      </c>
      <c r="RO24" s="35">
        <v>0</v>
      </c>
      <c r="RP24">
        <v>0</v>
      </c>
      <c r="RQ24">
        <v>17.8099021991275</v>
      </c>
      <c r="RR24">
        <v>690.77202847304204</v>
      </c>
      <c r="RS24">
        <v>690.77202847304204</v>
      </c>
      <c r="RT24">
        <v>8955.0170927704694</v>
      </c>
      <c r="RU24">
        <v>0</v>
      </c>
      <c r="RV24">
        <v>0</v>
      </c>
      <c r="RW24">
        <v>17.964309043897</v>
      </c>
      <c r="RX24">
        <v>839.33665560526003</v>
      </c>
      <c r="RY24">
        <v>839.33665560526003</v>
      </c>
      <c r="RZ24">
        <v>13821.660064502001</v>
      </c>
      <c r="SA24">
        <v>0</v>
      </c>
      <c r="SB24">
        <v>0</v>
      </c>
      <c r="SC24">
        <v>17.759599185023099</v>
      </c>
      <c r="SD24">
        <v>756.32064794820997</v>
      </c>
      <c r="SE24">
        <v>756.32064794820997</v>
      </c>
      <c r="SF24">
        <v>9021.3552638995898</v>
      </c>
      <c r="SG24">
        <v>0</v>
      </c>
      <c r="SH24">
        <v>0</v>
      </c>
      <c r="SI24">
        <v>19.905340965694901</v>
      </c>
      <c r="SJ24">
        <v>0</v>
      </c>
      <c r="SK24">
        <v>-14160.575253767</v>
      </c>
      <c r="SL24">
        <v>50409.066416966001</v>
      </c>
      <c r="SM24">
        <v>18.333300000000001</v>
      </c>
      <c r="SN24">
        <v>26.666699999999999</v>
      </c>
      <c r="SO24">
        <v>0</v>
      </c>
      <c r="SP24">
        <v>0</v>
      </c>
      <c r="SQ24">
        <v>19.407001331040298</v>
      </c>
      <c r="SR24">
        <v>0</v>
      </c>
      <c r="SS24">
        <v>0</v>
      </c>
      <c r="ST24">
        <v>0</v>
      </c>
      <c r="SU24">
        <v>0</v>
      </c>
      <c r="SV24">
        <v>0</v>
      </c>
      <c r="SW24">
        <v>19.3599556923111</v>
      </c>
      <c r="SX24">
        <v>0</v>
      </c>
      <c r="SY24">
        <v>0</v>
      </c>
      <c r="SZ24">
        <v>0</v>
      </c>
      <c r="TA24">
        <v>0</v>
      </c>
      <c r="TB24">
        <v>0</v>
      </c>
      <c r="TC24">
        <v>19.524255877049999</v>
      </c>
      <c r="TD24">
        <v>0</v>
      </c>
      <c r="TE24">
        <v>0</v>
      </c>
      <c r="TF24">
        <v>0</v>
      </c>
      <c r="TG24">
        <v>0</v>
      </c>
      <c r="TH24">
        <v>0</v>
      </c>
      <c r="TI24">
        <v>19.365113024059699</v>
      </c>
      <c r="TJ24">
        <v>0</v>
      </c>
      <c r="TK24">
        <v>0</v>
      </c>
      <c r="TL24">
        <v>0</v>
      </c>
      <c r="TM24">
        <v>0</v>
      </c>
      <c r="TN24">
        <v>0</v>
      </c>
      <c r="TO24">
        <v>20.0933655108606</v>
      </c>
      <c r="TP24">
        <v>0</v>
      </c>
      <c r="TQ24">
        <v>0</v>
      </c>
      <c r="TR24">
        <v>0</v>
      </c>
      <c r="TS24">
        <v>0</v>
      </c>
      <c r="TT24">
        <v>0</v>
      </c>
      <c r="TU24">
        <v>18.560321073282001</v>
      </c>
      <c r="TV24">
        <v>39.415253166653201</v>
      </c>
      <c r="TW24">
        <v>-23.1997534755346</v>
      </c>
      <c r="TX24">
        <v>13076.781688245401</v>
      </c>
      <c r="TY24">
        <v>0</v>
      </c>
      <c r="TZ24">
        <v>0</v>
      </c>
      <c r="UA24">
        <v>18.529342188343001</v>
      </c>
      <c r="UB24">
        <v>44.2591194550414</v>
      </c>
      <c r="UC24">
        <v>15.9776848177489</v>
      </c>
      <c r="UD24">
        <v>8356.3471562568702</v>
      </c>
      <c r="UE24">
        <v>0</v>
      </c>
      <c r="UF24">
        <v>0</v>
      </c>
      <c r="UG24">
        <v>18.7274468575174</v>
      </c>
      <c r="UH24">
        <v>0</v>
      </c>
      <c r="UI24">
        <v>-315.58421032623801</v>
      </c>
      <c r="UJ24">
        <v>12778.347437901501</v>
      </c>
      <c r="UK24">
        <v>0</v>
      </c>
      <c r="UL24">
        <v>0</v>
      </c>
      <c r="UM24">
        <v>18.454497062091399</v>
      </c>
      <c r="UN24">
        <v>111.713319612701</v>
      </c>
      <c r="UO24">
        <v>102.071213343324</v>
      </c>
      <c r="UP24">
        <v>8444.0445037625595</v>
      </c>
      <c r="UQ24">
        <v>0</v>
      </c>
      <c r="UR24">
        <v>0</v>
      </c>
      <c r="US24">
        <v>22.698689909583901</v>
      </c>
      <c r="UT24">
        <v>0</v>
      </c>
      <c r="UU24">
        <v>-32732.8880977935</v>
      </c>
      <c r="UV24">
        <v>32373.3482301802</v>
      </c>
      <c r="UW24">
        <v>18.333300000000001</v>
      </c>
      <c r="UX24">
        <v>26.666699999999999</v>
      </c>
      <c r="UY24">
        <v>0</v>
      </c>
      <c r="UZ24">
        <v>0</v>
      </c>
      <c r="VA24">
        <v>19.834896225067901</v>
      </c>
      <c r="VB24">
        <v>0</v>
      </c>
      <c r="VC24">
        <v>0</v>
      </c>
      <c r="VD24">
        <v>0</v>
      </c>
      <c r="VE24">
        <v>0</v>
      </c>
      <c r="VF24">
        <v>0</v>
      </c>
      <c r="VG24">
        <v>19.776886896237201</v>
      </c>
      <c r="VH24">
        <v>0</v>
      </c>
      <c r="VI24">
        <v>0</v>
      </c>
      <c r="VJ24">
        <v>0</v>
      </c>
      <c r="VK24">
        <v>0</v>
      </c>
      <c r="VL24">
        <v>0</v>
      </c>
      <c r="VM24">
        <v>19.927723950626099</v>
      </c>
      <c r="VN24">
        <v>0</v>
      </c>
      <c r="VO24">
        <v>0</v>
      </c>
      <c r="VP24">
        <v>0</v>
      </c>
      <c r="VQ24">
        <v>0</v>
      </c>
      <c r="VR24">
        <v>0</v>
      </c>
      <c r="VS24">
        <v>19.757806024154601</v>
      </c>
      <c r="VT24">
        <v>0</v>
      </c>
      <c r="VU24">
        <v>0</v>
      </c>
      <c r="VV24">
        <v>0</v>
      </c>
      <c r="VW24">
        <v>0</v>
      </c>
      <c r="VX24">
        <v>0</v>
      </c>
      <c r="VY24">
        <v>21.786757462154998</v>
      </c>
      <c r="VZ24">
        <v>0</v>
      </c>
      <c r="WA24">
        <v>0</v>
      </c>
      <c r="WB24">
        <v>0</v>
      </c>
      <c r="WC24">
        <v>0</v>
      </c>
      <c r="WD24">
        <v>0</v>
      </c>
      <c r="WE24">
        <v>17.826751422662898</v>
      </c>
      <c r="WF24">
        <v>1325.12673135717</v>
      </c>
      <c r="WG24">
        <v>1325.12673135717</v>
      </c>
      <c r="WH24">
        <v>14524.026303067199</v>
      </c>
      <c r="WI24">
        <v>0</v>
      </c>
      <c r="WJ24">
        <v>0</v>
      </c>
      <c r="WK24">
        <v>0</v>
      </c>
      <c r="WL24">
        <v>17.996501908346001</v>
      </c>
      <c r="WM24">
        <v>767.427340060598</v>
      </c>
      <c r="WN24">
        <v>721.46755608512103</v>
      </c>
      <c r="WO24">
        <v>9116.1645876708608</v>
      </c>
      <c r="WP24">
        <v>18.333300000000001</v>
      </c>
      <c r="WQ24">
        <v>26.666699999999999</v>
      </c>
      <c r="WR24">
        <v>0</v>
      </c>
      <c r="WS24">
        <v>0</v>
      </c>
      <c r="WT24">
        <v>17.9631665000312</v>
      </c>
      <c r="WU24">
        <v>1039.22767405538</v>
      </c>
      <c r="WV24">
        <v>1039.22767405538</v>
      </c>
      <c r="WW24">
        <v>14233.442700014801</v>
      </c>
      <c r="WX24">
        <v>0</v>
      </c>
      <c r="WY24">
        <v>0</v>
      </c>
      <c r="WZ24">
        <v>0</v>
      </c>
      <c r="XA24">
        <v>17.910547446704602</v>
      </c>
      <c r="XB24">
        <v>845.16152388689102</v>
      </c>
      <c r="XC24">
        <v>819.83475954832795</v>
      </c>
      <c r="XD24">
        <v>9216.4550367586107</v>
      </c>
      <c r="XE24">
        <v>0</v>
      </c>
      <c r="XF24">
        <v>0</v>
      </c>
      <c r="XG24">
        <v>21.836060649073101</v>
      </c>
      <c r="XH24">
        <v>0</v>
      </c>
      <c r="XI24">
        <v>-26131.861757262999</v>
      </c>
      <c r="XJ24">
        <v>39738.831710995699</v>
      </c>
      <c r="XK24">
        <v>18.333300000000001</v>
      </c>
      <c r="XL24">
        <v>26.666699999999999</v>
      </c>
      <c r="XM24">
        <v>0</v>
      </c>
      <c r="XN24">
        <v>0</v>
      </c>
      <c r="XO24">
        <v>15.707673047514101</v>
      </c>
      <c r="XP24">
        <v>0</v>
      </c>
      <c r="XQ24">
        <v>0</v>
      </c>
      <c r="XR24">
        <v>0</v>
      </c>
      <c r="XS24">
        <v>0</v>
      </c>
      <c r="XT24">
        <v>0</v>
      </c>
      <c r="XU24">
        <v>16.057041841879599</v>
      </c>
      <c r="XV24">
        <v>0</v>
      </c>
      <c r="XW24">
        <v>0</v>
      </c>
      <c r="XX24">
        <v>0</v>
      </c>
      <c r="XY24">
        <v>0</v>
      </c>
      <c r="XZ24">
        <v>0</v>
      </c>
      <c r="YA24">
        <v>15.676437282377201</v>
      </c>
      <c r="YB24">
        <v>0</v>
      </c>
      <c r="YC24">
        <v>0</v>
      </c>
      <c r="YD24">
        <v>0</v>
      </c>
      <c r="YE24">
        <v>0</v>
      </c>
      <c r="YF24">
        <v>0</v>
      </c>
      <c r="YG24">
        <v>16.039463402571101</v>
      </c>
      <c r="YH24">
        <v>0</v>
      </c>
      <c r="YI24">
        <v>0</v>
      </c>
      <c r="YJ24">
        <v>0</v>
      </c>
      <c r="YK24">
        <v>0</v>
      </c>
      <c r="YL24">
        <v>0</v>
      </c>
      <c r="YM24">
        <v>19.759761454985899</v>
      </c>
      <c r="YN24">
        <v>0</v>
      </c>
      <c r="YO24">
        <v>0</v>
      </c>
      <c r="YP24">
        <v>0</v>
      </c>
      <c r="YQ24">
        <v>0</v>
      </c>
      <c r="YR24">
        <v>0</v>
      </c>
      <c r="YS24">
        <v>18.581216868490401</v>
      </c>
      <c r="YT24">
        <v>0</v>
      </c>
      <c r="YU24">
        <v>0</v>
      </c>
      <c r="YV24">
        <v>0</v>
      </c>
      <c r="YW24">
        <v>0</v>
      </c>
      <c r="YX24">
        <v>0</v>
      </c>
      <c r="YY24">
        <v>18.549871597370998</v>
      </c>
      <c r="YZ24">
        <v>0</v>
      </c>
      <c r="ZA24">
        <v>0</v>
      </c>
      <c r="ZB24">
        <v>0</v>
      </c>
      <c r="ZC24">
        <v>0</v>
      </c>
      <c r="ZD24">
        <v>0</v>
      </c>
      <c r="ZE24">
        <v>18.6222138750068</v>
      </c>
      <c r="ZF24">
        <v>0</v>
      </c>
      <c r="ZG24">
        <v>0</v>
      </c>
      <c r="ZH24">
        <v>0</v>
      </c>
      <c r="ZI24">
        <v>0</v>
      </c>
      <c r="ZJ24">
        <v>0</v>
      </c>
      <c r="ZK24">
        <v>18.545201296824899</v>
      </c>
      <c r="ZL24">
        <v>0</v>
      </c>
      <c r="ZM24">
        <v>0</v>
      </c>
      <c r="ZN24">
        <v>0</v>
      </c>
      <c r="ZO24">
        <v>0</v>
      </c>
      <c r="ZP24">
        <v>0</v>
      </c>
      <c r="ZQ24">
        <v>18.276803214291</v>
      </c>
      <c r="ZR24">
        <v>0</v>
      </c>
      <c r="ZS24">
        <v>0</v>
      </c>
      <c r="ZT24">
        <v>0</v>
      </c>
      <c r="ZU24">
        <v>0</v>
      </c>
      <c r="ZV24">
        <v>0</v>
      </c>
      <c r="ZW24">
        <v>20.439292386326699</v>
      </c>
      <c r="ZX24">
        <v>0</v>
      </c>
      <c r="ZY24">
        <v>0</v>
      </c>
      <c r="ZZ24">
        <v>0</v>
      </c>
      <c r="AAA24">
        <v>0</v>
      </c>
      <c r="AAB24">
        <v>0</v>
      </c>
      <c r="AAC24">
        <v>20.3949624231205</v>
      </c>
      <c r="AAD24">
        <v>0</v>
      </c>
      <c r="AAE24">
        <v>0</v>
      </c>
      <c r="AAF24">
        <v>0</v>
      </c>
      <c r="AAG24">
        <v>0</v>
      </c>
      <c r="AAH24">
        <v>0</v>
      </c>
      <c r="AAI24">
        <v>20.555429038527802</v>
      </c>
      <c r="AAJ24">
        <v>0</v>
      </c>
      <c r="AAK24">
        <v>0</v>
      </c>
      <c r="AAL24">
        <v>0</v>
      </c>
      <c r="AAM24">
        <v>0</v>
      </c>
      <c r="AAN24">
        <v>0</v>
      </c>
      <c r="AAO24">
        <v>20.3886312261799</v>
      </c>
      <c r="AAP24">
        <v>0</v>
      </c>
      <c r="AAQ24">
        <v>0</v>
      </c>
      <c r="AAR24">
        <v>0</v>
      </c>
      <c r="AAS24">
        <v>0</v>
      </c>
      <c r="AAT24">
        <v>0</v>
      </c>
      <c r="AAU24">
        <v>20.822162770736298</v>
      </c>
      <c r="AAV24">
        <v>0</v>
      </c>
      <c r="AAW24">
        <v>0</v>
      </c>
      <c r="AAX24">
        <v>0</v>
      </c>
      <c r="AAY24">
        <v>0</v>
      </c>
      <c r="AAZ24">
        <v>0</v>
      </c>
      <c r="ABA24">
        <v>20.207260695430399</v>
      </c>
      <c r="ABB24">
        <v>0</v>
      </c>
      <c r="ABC24">
        <v>0</v>
      </c>
      <c r="ABD24">
        <v>0</v>
      </c>
      <c r="ABE24">
        <v>0</v>
      </c>
      <c r="ABF24">
        <v>0</v>
      </c>
      <c r="ABG24">
        <v>20.0655258105133</v>
      </c>
      <c r="ABH24">
        <v>0</v>
      </c>
      <c r="ABI24">
        <v>0</v>
      </c>
      <c r="ABJ24">
        <v>0</v>
      </c>
      <c r="ABK24">
        <v>0</v>
      </c>
      <c r="ABL24">
        <v>0</v>
      </c>
      <c r="ABM24">
        <v>20.3014929552951</v>
      </c>
      <c r="ABN24">
        <v>0</v>
      </c>
      <c r="ABO24">
        <v>0</v>
      </c>
      <c r="ABP24">
        <v>0</v>
      </c>
      <c r="ABQ24">
        <v>0</v>
      </c>
      <c r="ABR24">
        <v>0</v>
      </c>
      <c r="ABS24">
        <v>20.036157108202499</v>
      </c>
      <c r="ABT24">
        <v>0</v>
      </c>
      <c r="ABU24">
        <v>0</v>
      </c>
      <c r="ABV24">
        <v>0</v>
      </c>
      <c r="ABW24">
        <v>0</v>
      </c>
      <c r="ABX24">
        <v>0</v>
      </c>
      <c r="ABY24">
        <v>20.613314974335001</v>
      </c>
      <c r="ABZ24">
        <v>0</v>
      </c>
      <c r="ACA24">
        <v>0</v>
      </c>
      <c r="ACB24">
        <v>0</v>
      </c>
      <c r="ACC24">
        <v>0</v>
      </c>
      <c r="ACD24">
        <v>0</v>
      </c>
      <c r="ACE24">
        <v>0</v>
      </c>
      <c r="ACF24">
        <v>12.2200120660621</v>
      </c>
      <c r="ACG24">
        <v>12.2200120660621</v>
      </c>
      <c r="ACH24">
        <v>0</v>
      </c>
      <c r="ACI24">
        <v>0</v>
      </c>
      <c r="ACJ24">
        <v>0</v>
      </c>
      <c r="ACK24">
        <v>20.992106198427798</v>
      </c>
      <c r="ACL24">
        <v>20.992106198427798</v>
      </c>
      <c r="ACM24">
        <v>0</v>
      </c>
      <c r="ACN24">
        <v>24089.220895068</v>
      </c>
      <c r="ACP24">
        <v>0</v>
      </c>
      <c r="ACR24">
        <v>24089.220895068</v>
      </c>
      <c r="ACT24">
        <v>19.8608335052112</v>
      </c>
      <c r="ACU24">
        <v>19.8608335052112</v>
      </c>
      <c r="ACV24">
        <v>0</v>
      </c>
      <c r="ACW24">
        <v>0</v>
      </c>
      <c r="ACX24">
        <v>1</v>
      </c>
      <c r="ACY24">
        <v>22.686140385844201</v>
      </c>
      <c r="ACZ24">
        <v>22.686140385844201</v>
      </c>
      <c r="ADA24">
        <v>0</v>
      </c>
      <c r="ADB24">
        <v>0</v>
      </c>
      <c r="ADC24">
        <v>1</v>
      </c>
      <c r="ADD24">
        <v>21.8193547637315</v>
      </c>
      <c r="ADE24">
        <v>21.8193547637315</v>
      </c>
      <c r="ADF24">
        <v>0</v>
      </c>
      <c r="ADG24">
        <v>0</v>
      </c>
      <c r="ADH24">
        <v>1</v>
      </c>
      <c r="ADI24">
        <v>18.329791348148898</v>
      </c>
      <c r="ADJ24">
        <v>18.329791348148898</v>
      </c>
      <c r="ADK24">
        <v>0</v>
      </c>
      <c r="ADL24">
        <v>0</v>
      </c>
      <c r="ADM24">
        <v>1</v>
      </c>
      <c r="ADN24">
        <v>18.3007479983719</v>
      </c>
      <c r="ADO24">
        <v>18.3007479983719</v>
      </c>
      <c r="ADP24">
        <v>0</v>
      </c>
      <c r="ADQ24">
        <v>0</v>
      </c>
      <c r="ADR24">
        <v>1</v>
      </c>
      <c r="ADS24">
        <v>18.439632982432201</v>
      </c>
      <c r="ADT24">
        <v>18.439632982432201</v>
      </c>
      <c r="ADU24">
        <v>0</v>
      </c>
      <c r="ADV24">
        <v>0</v>
      </c>
      <c r="ADW24">
        <v>1</v>
      </c>
      <c r="ADX24">
        <v>18.274575699392699</v>
      </c>
      <c r="ADY24">
        <v>18.274575699392699</v>
      </c>
      <c r="ADZ24">
        <v>0</v>
      </c>
      <c r="AEA24">
        <v>0</v>
      </c>
      <c r="AEB24">
        <v>1</v>
      </c>
      <c r="AEC24">
        <v>19.119750008490801</v>
      </c>
      <c r="AED24">
        <v>19.119750008490801</v>
      </c>
      <c r="AEE24">
        <v>0</v>
      </c>
      <c r="AEF24">
        <v>0</v>
      </c>
      <c r="AEG24">
        <v>1</v>
      </c>
      <c r="AEH24">
        <v>19.0697078095777</v>
      </c>
      <c r="AEI24">
        <v>19.0697078095777</v>
      </c>
      <c r="AEJ24">
        <v>0</v>
      </c>
      <c r="AEK24">
        <v>0</v>
      </c>
      <c r="AEL24">
        <v>1</v>
      </c>
      <c r="AEM24">
        <v>19.251038432967501</v>
      </c>
      <c r="AEN24">
        <v>19.251038432967501</v>
      </c>
      <c r="AEO24">
        <v>0</v>
      </c>
      <c r="AEP24">
        <v>0</v>
      </c>
      <c r="AEQ24">
        <v>1</v>
      </c>
      <c r="AER24">
        <v>19.022871285551101</v>
      </c>
      <c r="AES24">
        <v>19.022871285551101</v>
      </c>
      <c r="AET24">
        <v>0</v>
      </c>
      <c r="AEU24">
        <v>0</v>
      </c>
      <c r="AEV24">
        <v>1</v>
      </c>
      <c r="AEW24">
        <v>18.364356525895701</v>
      </c>
      <c r="AEX24">
        <v>18.364356525895701</v>
      </c>
      <c r="AEY24">
        <v>0</v>
      </c>
      <c r="AEZ24">
        <v>0</v>
      </c>
      <c r="AFA24">
        <v>1</v>
      </c>
      <c r="AFB24">
        <v>18.574048830348701</v>
      </c>
      <c r="AFC24">
        <v>18.574048830348701</v>
      </c>
      <c r="AFD24">
        <v>0</v>
      </c>
      <c r="AFE24">
        <v>0</v>
      </c>
      <c r="AFF24">
        <v>1</v>
      </c>
      <c r="AFG24">
        <v>18.470660051525702</v>
      </c>
      <c r="AFH24">
        <v>18.470660051525702</v>
      </c>
      <c r="AFI24">
        <v>0</v>
      </c>
      <c r="AFJ24">
        <v>0</v>
      </c>
      <c r="AFK24">
        <v>1</v>
      </c>
      <c r="AFL24">
        <v>18.515992637804199</v>
      </c>
      <c r="AFM24">
        <v>18.515992637804199</v>
      </c>
      <c r="AFN24">
        <v>0</v>
      </c>
      <c r="AFO24">
        <v>0</v>
      </c>
      <c r="AFP24">
        <v>1</v>
      </c>
      <c r="AFQ24">
        <v>-1.54774335058667</v>
      </c>
      <c r="AFR24">
        <v>-1.56455973597984</v>
      </c>
      <c r="AFS24">
        <v>-1.5752136058759501</v>
      </c>
      <c r="AFT24">
        <v>-1.57134415160161</v>
      </c>
      <c r="AFU24">
        <v>-1.3729316429898999</v>
      </c>
      <c r="AFV24">
        <v>-1.39805102793338</v>
      </c>
      <c r="AFW24">
        <v>-1.4163978659264</v>
      </c>
      <c r="AFX24">
        <v>-1.4088281109104701</v>
      </c>
      <c r="AFY24">
        <v>-1.53643415587039</v>
      </c>
      <c r="AFZ24">
        <v>-1.5534740143083201</v>
      </c>
      <c r="AGA24">
        <v>-1.5360935013058401</v>
      </c>
      <c r="AGB24">
        <v>-1.52668730583266</v>
      </c>
      <c r="AGC24">
        <v>-1.3345499650393899</v>
      </c>
      <c r="AGD24">
        <v>-0.78122408459293402</v>
      </c>
      <c r="AGE24">
        <v>-0.97080232769962005</v>
      </c>
      <c r="AGF24">
        <v>1</v>
      </c>
      <c r="AGG24">
        <v>1</v>
      </c>
      <c r="AGH24">
        <v>1</v>
      </c>
      <c r="AGI24">
        <v>1</v>
      </c>
      <c r="AGJ24">
        <v>1</v>
      </c>
      <c r="AGK24">
        <v>0</v>
      </c>
      <c r="AGL24">
        <v>0</v>
      </c>
      <c r="AGM24">
        <v>0</v>
      </c>
      <c r="AGN24">
        <v>0</v>
      </c>
      <c r="AGO24">
        <v>0</v>
      </c>
      <c r="AGP24">
        <v>1</v>
      </c>
      <c r="AGQ24">
        <v>1</v>
      </c>
      <c r="AGR24">
        <v>1</v>
      </c>
      <c r="AGS24">
        <v>1</v>
      </c>
      <c r="AGT24">
        <v>0</v>
      </c>
      <c r="AGU24">
        <v>0</v>
      </c>
      <c r="AGV24">
        <v>0</v>
      </c>
      <c r="AGW24">
        <v>0</v>
      </c>
      <c r="AGX24">
        <v>0</v>
      </c>
      <c r="AGY24">
        <v>0</v>
      </c>
      <c r="AGZ24">
        <v>1</v>
      </c>
      <c r="AHA24">
        <v>1</v>
      </c>
      <c r="AHB24">
        <v>1</v>
      </c>
      <c r="AHC24">
        <v>1</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Z24">
        <v>0</v>
      </c>
      <c r="AIB24">
        <v>0</v>
      </c>
      <c r="AID24">
        <v>0</v>
      </c>
      <c r="AIF24">
        <v>0</v>
      </c>
      <c r="AIH24">
        <v>0</v>
      </c>
      <c r="AIJ24">
        <v>0</v>
      </c>
      <c r="AIL24">
        <v>0</v>
      </c>
      <c r="AIN24">
        <v>0</v>
      </c>
      <c r="AIP24">
        <v>0</v>
      </c>
      <c r="AIR24">
        <v>0</v>
      </c>
      <c r="AIT24">
        <v>0</v>
      </c>
      <c r="AIV24">
        <v>0</v>
      </c>
      <c r="AIX24">
        <v>0</v>
      </c>
      <c r="AIZ24">
        <v>0</v>
      </c>
      <c r="AJB24">
        <v>0</v>
      </c>
      <c r="AJC24">
        <v>0</v>
      </c>
      <c r="AJE24">
        <v>0</v>
      </c>
      <c r="AJH24">
        <v>0</v>
      </c>
      <c r="AJJ24">
        <v>0</v>
      </c>
      <c r="AJK24">
        <v>0</v>
      </c>
      <c r="AJL24">
        <v>0</v>
      </c>
      <c r="AJM24">
        <v>0</v>
      </c>
      <c r="AJN24">
        <v>0</v>
      </c>
      <c r="AJO24">
        <v>0</v>
      </c>
      <c r="AJP24">
        <v>0</v>
      </c>
      <c r="AJQ24">
        <v>0</v>
      </c>
      <c r="AJR24">
        <v>0</v>
      </c>
      <c r="AJS24">
        <v>0</v>
      </c>
      <c r="AJT24">
        <v>0</v>
      </c>
      <c r="AJU24">
        <v>0</v>
      </c>
      <c r="AJV24">
        <v>0</v>
      </c>
      <c r="AJW24">
        <v>0</v>
      </c>
      <c r="AJX24">
        <v>0</v>
      </c>
      <c r="AJY24">
        <v>0</v>
      </c>
      <c r="AJZ24">
        <v>0</v>
      </c>
      <c r="AKA24">
        <v>0</v>
      </c>
      <c r="AKB24">
        <v>0</v>
      </c>
      <c r="AKC24">
        <v>0</v>
      </c>
      <c r="AKD24">
        <v>0</v>
      </c>
      <c r="AKE24">
        <v>70.113568682114405</v>
      </c>
      <c r="AKF24">
        <v>70.113568682114405</v>
      </c>
      <c r="AKG24">
        <v>0</v>
      </c>
      <c r="AKH24">
        <v>0</v>
      </c>
      <c r="AKI24">
        <v>0</v>
      </c>
      <c r="AKJ24">
        <v>0</v>
      </c>
      <c r="AKK24">
        <v>0</v>
      </c>
      <c r="AKL24">
        <v>70.113568682114405</v>
      </c>
      <c r="AKM24">
        <v>70.113568682114405</v>
      </c>
      <c r="AKN24">
        <v>0</v>
      </c>
      <c r="AKO24">
        <v>0</v>
      </c>
      <c r="AKP24">
        <v>0</v>
      </c>
      <c r="AKT24">
        <v>0</v>
      </c>
      <c r="AKX24">
        <v>0</v>
      </c>
      <c r="ALB24">
        <v>20.992106198427798</v>
      </c>
      <c r="ALC24">
        <v>20.992106198427798</v>
      </c>
      <c r="ALD24">
        <v>0</v>
      </c>
      <c r="ALE24">
        <v>0</v>
      </c>
      <c r="ALF24">
        <v>0</v>
      </c>
      <c r="ALH24">
        <v>19.674810593021</v>
      </c>
      <c r="ALI24">
        <v>6.55166055887466E-3</v>
      </c>
      <c r="ALJ24">
        <v>0</v>
      </c>
      <c r="ALK24">
        <v>19.674810593021</v>
      </c>
      <c r="ALL24">
        <v>0</v>
      </c>
      <c r="ALM24">
        <v>0</v>
      </c>
      <c r="ALN24">
        <v>19.674810593021</v>
      </c>
      <c r="ALO24">
        <v>6.55166055887466E-3</v>
      </c>
      <c r="ALP24">
        <v>46.001108872754102</v>
      </c>
      <c r="ALQ24">
        <v>0</v>
      </c>
      <c r="ALR24">
        <v>19.674810593021</v>
      </c>
      <c r="ALS24">
        <v>0</v>
      </c>
      <c r="ALT24">
        <v>19.674810593021</v>
      </c>
      <c r="ALU24">
        <v>0</v>
      </c>
      <c r="ALV24">
        <v>12.2200120660621</v>
      </c>
      <c r="ALW24">
        <v>9.9999999999999897E-12</v>
      </c>
      <c r="ALX24">
        <v>12.2200120660621</v>
      </c>
      <c r="ALY24">
        <v>9.9999999999999897E-12</v>
      </c>
      <c r="ALZ24">
        <v>0</v>
      </c>
      <c r="AMA24">
        <v>12.2200120660621</v>
      </c>
      <c r="AMB24">
        <v>0</v>
      </c>
      <c r="AMC24">
        <v>12.2200120660621</v>
      </c>
      <c r="AMD24">
        <v>0</v>
      </c>
      <c r="AME24">
        <v>12.2200120660621</v>
      </c>
      <c r="AMF24">
        <v>0</v>
      </c>
      <c r="AMG24">
        <v>0</v>
      </c>
      <c r="AMH24">
        <v>0</v>
      </c>
      <c r="AMI24">
        <v>18.448295542001102</v>
      </c>
      <c r="AMJ24">
        <v>0</v>
      </c>
      <c r="AMK24" s="580">
        <v>17.841837058412299</v>
      </c>
      <c r="AML24">
        <v>0</v>
      </c>
      <c r="AMM24">
        <v>18.459728852388999</v>
      </c>
      <c r="AMN24">
        <v>0</v>
      </c>
      <c r="AMO24">
        <v>18.5016651136212</v>
      </c>
      <c r="AMP24">
        <v>0</v>
      </c>
      <c r="AMQ24">
        <v>18.519254679865501</v>
      </c>
      <c r="AMR24">
        <v>0</v>
      </c>
      <c r="AMS24">
        <v>20.326414353345999</v>
      </c>
      <c r="AMT24">
        <v>0</v>
      </c>
      <c r="AMU24">
        <v>20.355212643315198</v>
      </c>
      <c r="AMV24">
        <v>0</v>
      </c>
      <c r="AMW24">
        <v>20.348426050940599</v>
      </c>
      <c r="AMX24">
        <v>0</v>
      </c>
      <c r="AMY24">
        <v>20.396419051273899</v>
      </c>
      <c r="AMZ24">
        <v>0</v>
      </c>
      <c r="ANA24">
        <v>20.506508896129802</v>
      </c>
      <c r="ANB24">
        <v>0</v>
      </c>
      <c r="ANC24">
        <v>19.9261587603728</v>
      </c>
      <c r="AND24">
        <v>0</v>
      </c>
      <c r="ANE24">
        <v>19.771077957358301</v>
      </c>
      <c r="ANF24">
        <v>0</v>
      </c>
      <c r="ANG24">
        <v>19.745937010872598</v>
      </c>
      <c r="ANH24">
        <v>0</v>
      </c>
      <c r="ANI24">
        <v>20.130559727356701</v>
      </c>
      <c r="ANJ24">
        <v>0</v>
      </c>
      <c r="ANK24">
        <v>20.220451639827601</v>
      </c>
      <c r="ANL24">
        <v>0</v>
      </c>
      <c r="ANM24">
        <v>0</v>
      </c>
      <c r="ANN24">
        <v>0</v>
      </c>
      <c r="ANO24">
        <v>0</v>
      </c>
      <c r="ANP24">
        <v>17.841837058412299</v>
      </c>
      <c r="ANQ24">
        <v>18.459728852388999</v>
      </c>
      <c r="ANR24">
        <v>18.448295542001102</v>
      </c>
      <c r="ANS24">
        <v>18.519254679865501</v>
      </c>
      <c r="ANT24">
        <v>18.5016651136212</v>
      </c>
      <c r="ANU24">
        <v>20.326414353345999</v>
      </c>
      <c r="ANV24">
        <v>20.355212643315198</v>
      </c>
      <c r="ANW24">
        <v>20.348426050940599</v>
      </c>
      <c r="ANX24">
        <v>20.506508896129802</v>
      </c>
      <c r="ANY24">
        <v>20.396419051273899</v>
      </c>
      <c r="ANZ24">
        <v>19.9261587603728</v>
      </c>
      <c r="AOA24">
        <v>19.771077957358301</v>
      </c>
      <c r="AOB24">
        <v>19.745937010872598</v>
      </c>
      <c r="AOC24">
        <v>20.220451639827601</v>
      </c>
      <c r="AOD24">
        <v>20.130559727356701</v>
      </c>
      <c r="AOE24">
        <v>19.674810593021</v>
      </c>
      <c r="AOF24">
        <v>0</v>
      </c>
      <c r="AOG24">
        <v>19.518263462507299</v>
      </c>
      <c r="AOH24">
        <v>0</v>
      </c>
    </row>
    <row r="25" spans="1:1074">
      <c r="A25" t="s">
        <v>2960</v>
      </c>
      <c r="B25">
        <v>5.4</v>
      </c>
      <c r="C25">
        <v>6.5374999999999996</v>
      </c>
      <c r="D25">
        <v>5.0006149915363904</v>
      </c>
      <c r="E25">
        <v>6.2928426798286203</v>
      </c>
      <c r="F25">
        <v>5</v>
      </c>
      <c r="G25">
        <v>1672773.32985154</v>
      </c>
      <c r="H25">
        <v>3513663.6040961901</v>
      </c>
      <c r="I25">
        <v>1062310.7958032601</v>
      </c>
      <c r="J25">
        <v>2231385.8744888199</v>
      </c>
      <c r="K25">
        <v>1672773.32985154</v>
      </c>
      <c r="L25">
        <v>3513663.6040961901</v>
      </c>
      <c r="M25">
        <v>1062310.7958032601</v>
      </c>
      <c r="N25">
        <v>2231385.8744888199</v>
      </c>
      <c r="O25">
        <v>8626817.9140961301</v>
      </c>
      <c r="P25">
        <v>18120647.6591869</v>
      </c>
      <c r="Q25">
        <v>1672773.32985154</v>
      </c>
      <c r="R25">
        <v>3513663.6040961901</v>
      </c>
      <c r="S25">
        <v>1062310.7958032601</v>
      </c>
      <c r="T25">
        <v>2231385.8744888199</v>
      </c>
      <c r="U25">
        <v>1672773.32985154</v>
      </c>
      <c r="V25">
        <v>3513663.6040961901</v>
      </c>
      <c r="W25">
        <v>1062310.7958032601</v>
      </c>
      <c r="X25">
        <v>2231385.8744888199</v>
      </c>
      <c r="Y25">
        <v>8626817.9140961301</v>
      </c>
      <c r="Z25">
        <v>18120647.6591869</v>
      </c>
      <c r="AA25">
        <v>1672773.32985154</v>
      </c>
      <c r="AB25">
        <v>3513663.6040961901</v>
      </c>
      <c r="AC25">
        <v>1062310.7958032601</v>
      </c>
      <c r="AD25">
        <v>2231385.8744888199</v>
      </c>
      <c r="AE25">
        <v>1672773.32985154</v>
      </c>
      <c r="AF25">
        <v>3513663.6040961901</v>
      </c>
      <c r="AG25">
        <v>1062310.7958032601</v>
      </c>
      <c r="AH25">
        <v>2231385.8744888199</v>
      </c>
      <c r="AI25">
        <v>8626817.9140961301</v>
      </c>
      <c r="AJ25">
        <v>18120647.6591869</v>
      </c>
      <c r="AK25">
        <v>1.18581142514032</v>
      </c>
      <c r="AL25">
        <v>197803.02193463501</v>
      </c>
      <c r="AM25">
        <v>512270.53566061897</v>
      </c>
      <c r="AN25">
        <v>1.18581142514032</v>
      </c>
      <c r="AO25">
        <v>197803.02193463501</v>
      </c>
      <c r="AP25">
        <v>512270.53566061897</v>
      </c>
      <c r="AQ25">
        <v>0.75306095346774204</v>
      </c>
      <c r="AR25">
        <v>125616.7120158</v>
      </c>
      <c r="AS25">
        <v>325322.331898064</v>
      </c>
      <c r="AT25">
        <v>0.75306095346774105</v>
      </c>
      <c r="AU25">
        <v>125616.7120158</v>
      </c>
      <c r="AV25">
        <v>325322.331898064</v>
      </c>
      <c r="AW25">
        <v>1.18581142514032</v>
      </c>
      <c r="AX25">
        <v>197803.02193463501</v>
      </c>
      <c r="AY25">
        <v>512270.53566061897</v>
      </c>
      <c r="AZ25">
        <v>1.18581142514032</v>
      </c>
      <c r="BA25">
        <v>197803.02193463501</v>
      </c>
      <c r="BB25">
        <v>512270.53566061897</v>
      </c>
      <c r="BC25">
        <v>0.75306095346774204</v>
      </c>
      <c r="BD25">
        <v>125616.7120158</v>
      </c>
      <c r="BE25">
        <v>325322.331898064</v>
      </c>
      <c r="BF25">
        <v>0.75306095346774105</v>
      </c>
      <c r="BG25">
        <v>125616.7120158</v>
      </c>
      <c r="BH25">
        <v>325322.331898064</v>
      </c>
      <c r="BI25">
        <v>1.18581142514032</v>
      </c>
      <c r="BJ25">
        <v>197803.02193463501</v>
      </c>
      <c r="BK25">
        <v>512270.53566061897</v>
      </c>
      <c r="BL25">
        <v>1.18581142514032</v>
      </c>
      <c r="BM25">
        <v>197803.02193463501</v>
      </c>
      <c r="BN25">
        <v>512270.53566061897</v>
      </c>
      <c r="BO25">
        <v>0.75306095346774204</v>
      </c>
      <c r="BP25">
        <v>125616.7120158</v>
      </c>
      <c r="BQ25">
        <v>325322.331898064</v>
      </c>
      <c r="BR25">
        <v>0.75306095346774105</v>
      </c>
      <c r="BS25">
        <v>125616.7120158</v>
      </c>
      <c r="BT25">
        <v>325322.331898064</v>
      </c>
      <c r="BU25">
        <v>2641878.9414181202</v>
      </c>
      <c r="BV25">
        <v>6.1154605125419401</v>
      </c>
      <c r="BW25">
        <v>1020108.71564978</v>
      </c>
      <c r="BX25">
        <v>2641878.9414181202</v>
      </c>
      <c r="BY25">
        <v>6.1154605125419401</v>
      </c>
      <c r="BZ25">
        <v>1020108.71564978</v>
      </c>
      <c r="CA25">
        <v>2641878.9414181202</v>
      </c>
      <c r="CB25">
        <v>6.1154605125419401</v>
      </c>
      <c r="CC25">
        <v>1020108.71564978</v>
      </c>
      <c r="CD25">
        <v>2641878.9414181202</v>
      </c>
      <c r="CE25">
        <v>188658.992873093</v>
      </c>
      <c r="CF25">
        <v>428770.43834793899</v>
      </c>
      <c r="CG25">
        <v>188658.992873093</v>
      </c>
      <c r="CH25">
        <v>428770.43834793899</v>
      </c>
      <c r="CI25">
        <v>119809.708391419</v>
      </c>
      <c r="CJ25">
        <v>272294.79179867997</v>
      </c>
      <c r="CK25">
        <v>119809.708391419</v>
      </c>
      <c r="CL25">
        <v>272294.79179867997</v>
      </c>
      <c r="CM25">
        <v>188658.992873093</v>
      </c>
      <c r="CN25">
        <v>428770.43834793899</v>
      </c>
      <c r="CO25">
        <v>188658.992873093</v>
      </c>
      <c r="CP25">
        <v>428770.43834793899</v>
      </c>
      <c r="CQ25">
        <v>119809.708391419</v>
      </c>
      <c r="CR25">
        <v>272294.79179867997</v>
      </c>
      <c r="CS25">
        <v>119809.708391419</v>
      </c>
      <c r="CT25">
        <v>272294.79179867997</v>
      </c>
      <c r="CU25">
        <v>188658.992873093</v>
      </c>
      <c r="CV25">
        <v>428770.43834793899</v>
      </c>
      <c r="CW25">
        <v>188658.992873093</v>
      </c>
      <c r="CX25">
        <v>428770.43834793899</v>
      </c>
      <c r="CY25">
        <v>119809.708391419</v>
      </c>
      <c r="CZ25">
        <v>272294.79179867997</v>
      </c>
      <c r="DA25">
        <v>119809.708391419</v>
      </c>
      <c r="DB25">
        <v>272294.79179867997</v>
      </c>
      <c r="DC25">
        <v>972951.17654546397</v>
      </c>
      <c r="DD25">
        <v>2211252.6739669601</v>
      </c>
      <c r="DE25">
        <v>972951.17654546397</v>
      </c>
      <c r="DF25">
        <v>2211252.6739669601</v>
      </c>
      <c r="DG25">
        <v>972951.17654546397</v>
      </c>
      <c r="DH25">
        <v>2211252.6739669601</v>
      </c>
      <c r="DI25">
        <v>1286311.3150438201</v>
      </c>
      <c r="DJ25">
        <v>2572622.6300876299</v>
      </c>
      <c r="DK25">
        <v>1286311.3150438201</v>
      </c>
      <c r="DL25">
        <v>2572622.6300876299</v>
      </c>
      <c r="DM25">
        <v>816884.37539604004</v>
      </c>
      <c r="DN25">
        <v>1633768.7507920801</v>
      </c>
      <c r="DO25">
        <v>816884.37539603899</v>
      </c>
      <c r="DP25">
        <v>1633768.7507920801</v>
      </c>
      <c r="DQ25">
        <v>1286311.3150438201</v>
      </c>
      <c r="DR25">
        <v>2572622.6300876299</v>
      </c>
      <c r="DS25">
        <v>1286311.3150438201</v>
      </c>
      <c r="DT25">
        <v>2572622.6300876299</v>
      </c>
      <c r="DU25">
        <v>816884.37539604004</v>
      </c>
      <c r="DV25">
        <v>1633768.7507920801</v>
      </c>
      <c r="DW25">
        <v>816884.37539603899</v>
      </c>
      <c r="DX25">
        <v>1633768.7507920801</v>
      </c>
      <c r="DY25">
        <v>1286311.3150438201</v>
      </c>
      <c r="DZ25">
        <v>2572622.6300876299</v>
      </c>
      <c r="EA25">
        <v>1286311.3150438201</v>
      </c>
      <c r="EB25">
        <v>2572622.6300876299</v>
      </c>
      <c r="EC25">
        <v>816884.37539604004</v>
      </c>
      <c r="ED25">
        <v>1633768.7507920801</v>
      </c>
      <c r="EE25">
        <v>816884.37539603899</v>
      </c>
      <c r="EF25">
        <v>1633768.7507920801</v>
      </c>
      <c r="EG25">
        <v>6633758.0219008904</v>
      </c>
      <c r="EH25">
        <v>13267516.043801799</v>
      </c>
      <c r="EI25">
        <v>6633758.0219008904</v>
      </c>
      <c r="EJ25">
        <v>13267516.043801799</v>
      </c>
      <c r="EK25">
        <v>6633758.0219008904</v>
      </c>
      <c r="EL25">
        <v>13267516.043801799</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2.8062234632023899</v>
      </c>
      <c r="GC25">
        <v>258.407125519511</v>
      </c>
      <c r="GD25">
        <v>207.95789987156499</v>
      </c>
      <c r="GE25">
        <v>4.00674798626524</v>
      </c>
      <c r="GF25">
        <v>165.686916237253</v>
      </c>
      <c r="GG25">
        <v>131.85717552522499</v>
      </c>
      <c r="GH25">
        <v>3.8649658777014002</v>
      </c>
      <c r="GI25">
        <v>253.104787084614</v>
      </c>
      <c r="GJ25">
        <v>209.406181808741</v>
      </c>
      <c r="GK25">
        <v>5.3162000590109102</v>
      </c>
      <c r="GL25">
        <v>170.64262485621001</v>
      </c>
      <c r="GM25">
        <v>134.98043472486799</v>
      </c>
      <c r="GN25">
        <v>-19.657454961527002</v>
      </c>
      <c r="GO25">
        <v>19.572525511955298</v>
      </c>
      <c r="GP25">
        <v>19.115547291859301</v>
      </c>
      <c r="GQ25">
        <v>73.023816144600005</v>
      </c>
      <c r="GR25">
        <v>157.31997343425201</v>
      </c>
      <c r="GS25">
        <v>867.07049140610195</v>
      </c>
      <c r="GT25">
        <v>-12.428292006948199</v>
      </c>
      <c r="GU25">
        <v>19.529603562984899</v>
      </c>
      <c r="GV25">
        <v>19.080086738231198</v>
      </c>
      <c r="GW25">
        <v>48.741610638859903</v>
      </c>
      <c r="GX25">
        <v>102.13746155595</v>
      </c>
      <c r="GY25">
        <v>556.34775766196503</v>
      </c>
      <c r="GZ25">
        <v>-19.910950691567201</v>
      </c>
      <c r="HA25">
        <v>19.695758925313999</v>
      </c>
      <c r="HB25">
        <v>19.253426818570802</v>
      </c>
      <c r="HC25">
        <v>76.747252809629799</v>
      </c>
      <c r="HD25">
        <v>158.99399719342</v>
      </c>
      <c r="HE25">
        <v>870.91554408090303</v>
      </c>
      <c r="HF25">
        <v>-12.317254314387901</v>
      </c>
      <c r="HG25">
        <v>19.523431961744201</v>
      </c>
      <c r="HH25">
        <v>19.0648946930928</v>
      </c>
      <c r="HI25">
        <v>47.817699100360102</v>
      </c>
      <c r="HJ25">
        <v>102.41967650471599</v>
      </c>
      <c r="HK25">
        <v>560.29480586718296</v>
      </c>
      <c r="HL25">
        <v>16.408131059446202</v>
      </c>
      <c r="HM25">
        <v>20.3626765055566</v>
      </c>
      <c r="HN25">
        <v>21.409940854047601</v>
      </c>
      <c r="HO25">
        <v>325.64810372986898</v>
      </c>
      <c r="HP25">
        <v>444.996649733749</v>
      </c>
      <c r="HQ25">
        <v>19.833260721915899</v>
      </c>
      <c r="HR25">
        <v>212.949456960199</v>
      </c>
      <c r="HS25">
        <v>12.389453074242301</v>
      </c>
      <c r="HT25">
        <v>20.345543816643001</v>
      </c>
      <c r="HU25">
        <v>21.424614826510901</v>
      </c>
      <c r="HV25">
        <v>199.912061669629</v>
      </c>
      <c r="HW25">
        <v>286.53406888660697</v>
      </c>
      <c r="HX25">
        <v>19.789943238995299</v>
      </c>
      <c r="HY25">
        <v>136.869355242398</v>
      </c>
      <c r="HZ25">
        <v>20.4525051347931</v>
      </c>
      <c r="IA25">
        <v>21.474112809748998</v>
      </c>
      <c r="IB25">
        <v>311.88539159138401</v>
      </c>
      <c r="IC25">
        <v>16.104775154315</v>
      </c>
      <c r="ID25">
        <v>449.74342956565903</v>
      </c>
      <c r="IE25">
        <v>19.986818274430199</v>
      </c>
      <c r="IF25">
        <v>215.18790412135399</v>
      </c>
      <c r="IG25">
        <v>22.8680699677112</v>
      </c>
      <c r="IH25">
        <v>20.3156200104163</v>
      </c>
      <c r="II25">
        <v>21.411414745615598</v>
      </c>
      <c r="IJ25">
        <v>203.89784640206801</v>
      </c>
      <c r="IK25">
        <v>24.5192070990621</v>
      </c>
      <c r="IL25">
        <v>13.9065579183381</v>
      </c>
      <c r="IM25">
        <v>293.71507275834898</v>
      </c>
      <c r="IN25">
        <v>19.754436596189699</v>
      </c>
      <c r="IO25">
        <v>0.90945237587369299</v>
      </c>
      <c r="IP25">
        <v>139.98690507843401</v>
      </c>
      <c r="IQ25">
        <v>-232.019878581217</v>
      </c>
      <c r="IR25">
        <v>-136.40339822087401</v>
      </c>
      <c r="IS25">
        <v>-217.35897326621199</v>
      </c>
      <c r="IT25">
        <v>-138.21120159669499</v>
      </c>
      <c r="IU25">
        <v>-913.51798863365502</v>
      </c>
      <c r="IV25">
        <v>-17.825829313569901</v>
      </c>
      <c r="IW25">
        <v>20.0740353998067</v>
      </c>
      <c r="IX25">
        <v>19.833260721915899</v>
      </c>
      <c r="IY25">
        <v>119.402664764409</v>
      </c>
      <c r="IZ25">
        <v>142.62550200473399</v>
      </c>
      <c r="JA25">
        <v>637.23110081752998</v>
      </c>
      <c r="JB25">
        <v>-11.137846735906001</v>
      </c>
      <c r="JC25">
        <v>20.026721564332899</v>
      </c>
      <c r="JD25">
        <v>19.789943238995299</v>
      </c>
      <c r="JE25">
        <v>78.919581050672406</v>
      </c>
      <c r="JF25">
        <v>93.752686082390596</v>
      </c>
      <c r="JG25">
        <v>416.26533753764699</v>
      </c>
      <c r="JH25">
        <v>-18.4554109781897</v>
      </c>
      <c r="JI25">
        <v>20.199855403461001</v>
      </c>
      <c r="JJ25">
        <v>19.986818274430199</v>
      </c>
      <c r="JK25">
        <v>125.377755611335</v>
      </c>
      <c r="JL25">
        <v>143.15192415802099</v>
      </c>
      <c r="JM25">
        <v>630.50363119800102</v>
      </c>
      <c r="JN25">
        <v>-11.0385867925895</v>
      </c>
      <c r="JO25">
        <v>19.998103634002799</v>
      </c>
      <c r="JP25">
        <v>19.754436596189699</v>
      </c>
      <c r="JQ25">
        <v>1.21595370991027</v>
      </c>
      <c r="JR25">
        <v>77.927851901848797</v>
      </c>
      <c r="JS25">
        <v>0.74544939907405205</v>
      </c>
      <c r="JT25">
        <v>93.615814444679103</v>
      </c>
      <c r="JU25">
        <v>417.11259029135198</v>
      </c>
      <c r="JV25">
        <v>19.175190527029098</v>
      </c>
      <c r="JW25">
        <v>491.329844123795</v>
      </c>
      <c r="JX25">
        <v>-5.0168598232262296</v>
      </c>
      <c r="JY25">
        <v>16.913899233737801</v>
      </c>
      <c r="JZ25">
        <v>309.02916000232102</v>
      </c>
      <c r="KA25">
        <v>1.17398671786708</v>
      </c>
      <c r="KB25">
        <v>20.8419119585235</v>
      </c>
      <c r="KC25">
        <v>495.25434193821297</v>
      </c>
      <c r="KD25">
        <v>-5.1443411442139402</v>
      </c>
      <c r="KE25">
        <v>18.3934528344382</v>
      </c>
      <c r="KF25">
        <v>16.021509907981098</v>
      </c>
      <c r="KG25">
        <v>-111.085752029956</v>
      </c>
      <c r="KH25">
        <v>1.85845765844565</v>
      </c>
      <c r="KI25">
        <v>314.772148766893</v>
      </c>
      <c r="KJ25">
        <v>3.3145515603150901</v>
      </c>
      <c r="KK25">
        <v>70.673308169737496</v>
      </c>
      <c r="KL25">
        <v>16.385097149655799</v>
      </c>
      <c r="KM25">
        <v>17.685237734384501</v>
      </c>
      <c r="KN25">
        <v>758.37725372493799</v>
      </c>
      <c r="KO25">
        <v>15.5933071737524</v>
      </c>
      <c r="KP25">
        <v>2.2730012245509101</v>
      </c>
      <c r="KQ25">
        <v>182.81006765065399</v>
      </c>
      <c r="KR25">
        <v>-567.43750002058403</v>
      </c>
      <c r="KS25">
        <v>48.920380087883601</v>
      </c>
      <c r="KT25">
        <v>16.478278583493601</v>
      </c>
      <c r="KU25">
        <v>17.743451601290602</v>
      </c>
      <c r="KV25">
        <v>474.01282822745401</v>
      </c>
      <c r="KW25">
        <v>15.7006785062134</v>
      </c>
      <c r="KX25">
        <v>2.3293440933280301</v>
      </c>
      <c r="KY25">
        <v>115.011669750374</v>
      </c>
      <c r="KZ25">
        <v>-346.11619746923901</v>
      </c>
      <c r="LA25">
        <v>69.240064771792305</v>
      </c>
      <c r="LB25">
        <v>16.432706599612501</v>
      </c>
      <c r="LC25">
        <v>17.7807527900965</v>
      </c>
      <c r="LD25">
        <v>773.95262597692999</v>
      </c>
      <c r="LE25">
        <v>15.6196580313054</v>
      </c>
      <c r="LF25">
        <v>2.2728519703403398</v>
      </c>
      <c r="LG25">
        <v>184.451816916475</v>
      </c>
      <c r="LH25">
        <v>-580.178607201918</v>
      </c>
      <c r="LI25">
        <v>48.956411459374003</v>
      </c>
      <c r="LJ25">
        <v>16.4550322231817</v>
      </c>
      <c r="LK25">
        <v>17.706213308905099</v>
      </c>
      <c r="LL25">
        <v>471.91378975442899</v>
      </c>
      <c r="LM25">
        <v>15.6889094309561</v>
      </c>
      <c r="LN25">
        <v>2.5305962610125801</v>
      </c>
      <c r="LO25">
        <v>115.780659758794</v>
      </c>
      <c r="LP25">
        <v>-339.11722456219502</v>
      </c>
      <c r="LQ25">
        <v>-23.173670015444898</v>
      </c>
      <c r="LR25">
        <v>18.5080855856264</v>
      </c>
      <c r="LS25">
        <v>16.440999999999999</v>
      </c>
      <c r="LT25">
        <v>4.4600171163275499</v>
      </c>
      <c r="LU25">
        <v>-112.075739837334</v>
      </c>
      <c r="LV25">
        <v>18.682095677968199</v>
      </c>
      <c r="LW25">
        <v>18.774310679666701</v>
      </c>
      <c r="LX25">
        <v>69.705722913475995</v>
      </c>
      <c r="LY25">
        <v>-15.3785387847038</v>
      </c>
      <c r="LZ25">
        <v>18.4870056781998</v>
      </c>
      <c r="MA25">
        <v>16.440999999999999</v>
      </c>
      <c r="MB25">
        <v>4.9465063008471803</v>
      </c>
      <c r="MC25">
        <v>-63.902264172792798</v>
      </c>
      <c r="MD25">
        <v>18.655230514357999</v>
      </c>
      <c r="ME25">
        <v>18.746003162841401</v>
      </c>
      <c r="MF25">
        <v>45.003846554466101</v>
      </c>
      <c r="MG25">
        <v>-23.403742369639101</v>
      </c>
      <c r="MH25">
        <v>18.547337722986502</v>
      </c>
      <c r="MI25">
        <v>16.440999999999999</v>
      </c>
      <c r="MJ25">
        <v>1.8320298125757</v>
      </c>
      <c r="MK25">
        <v>-133.57344178469401</v>
      </c>
      <c r="ML25">
        <v>18.742108156236799</v>
      </c>
      <c r="MM25">
        <v>18.8932757862204</v>
      </c>
      <c r="MN25">
        <v>74.861899602364105</v>
      </c>
      <c r="MO25">
        <v>-15.367459532466301</v>
      </c>
      <c r="MP25">
        <v>18.483799192525201</v>
      </c>
      <c r="MQ25">
        <v>16.440999999999999</v>
      </c>
      <c r="MR25">
        <v>5.3120843640703397</v>
      </c>
      <c r="MS25">
        <v>-61.353446709858403</v>
      </c>
      <c r="MT25">
        <v>18.648334570470102</v>
      </c>
      <c r="MU25">
        <v>18.728845753979201</v>
      </c>
      <c r="MV25">
        <v>44.490898673617501</v>
      </c>
      <c r="MW25">
        <v>-24.054270599140999</v>
      </c>
      <c r="MX25">
        <v>20.618928123488601</v>
      </c>
      <c r="MY25">
        <v>20.207222383320801</v>
      </c>
      <c r="MZ25">
        <v>103.444232995505</v>
      </c>
      <c r="NA25">
        <v>340.51921689479099</v>
      </c>
      <c r="NB25">
        <v>20.4329163412214</v>
      </c>
      <c r="NC25">
        <v>19.879073016560699</v>
      </c>
      <c r="ND25">
        <v>33.698450683242299</v>
      </c>
      <c r="NE25">
        <v>-15.7883123894542</v>
      </c>
      <c r="NF25">
        <v>20.580495465279199</v>
      </c>
      <c r="NG25">
        <v>20.1682032687869</v>
      </c>
      <c r="NH25">
        <v>67.840167830449602</v>
      </c>
      <c r="NI25">
        <v>219.84646442907899</v>
      </c>
      <c r="NJ25">
        <v>20.393755669586</v>
      </c>
      <c r="NK25">
        <v>19.8379054539751</v>
      </c>
      <c r="NL25">
        <v>23.374084784673201</v>
      </c>
      <c r="NM25">
        <v>-24.313954862903799</v>
      </c>
      <c r="NN25">
        <v>20.7423172167418</v>
      </c>
      <c r="NO25">
        <v>20.325689517590199</v>
      </c>
      <c r="NP25">
        <v>104.59096911725401</v>
      </c>
      <c r="NQ25">
        <v>341.439224949427</v>
      </c>
      <c r="NR25">
        <v>20.5598353201324</v>
      </c>
      <c r="NS25">
        <v>20.033192881169299</v>
      </c>
      <c r="NT25" s="35">
        <v>36.1687300433667</v>
      </c>
      <c r="NU25" s="35">
        <v>-15.7583050236465</v>
      </c>
      <c r="NV25">
        <v>20.575494186804701</v>
      </c>
      <c r="NW25">
        <v>20.168798593134898</v>
      </c>
      <c r="NX25">
        <v>1.7</v>
      </c>
      <c r="NY25" s="35">
        <v>68.494493170549106</v>
      </c>
      <c r="NZ25" s="35">
        <v>225.10468626138601</v>
      </c>
      <c r="OA25" s="35">
        <v>20.381103493647799</v>
      </c>
      <c r="OB25">
        <v>19.805290642870698</v>
      </c>
      <c r="OC25">
        <v>1.7</v>
      </c>
      <c r="OD25">
        <v>22.206594690459202</v>
      </c>
      <c r="OE25">
        <v>1.7</v>
      </c>
      <c r="OF25">
        <v>1.7</v>
      </c>
      <c r="OG25">
        <v>-22.7496086125483</v>
      </c>
      <c r="OH25">
        <v>20.4595063369825</v>
      </c>
      <c r="OI25">
        <v>20.5002846316182</v>
      </c>
      <c r="OJ25">
        <v>144.41268049659899</v>
      </c>
      <c r="OK25">
        <v>582.04698429361599</v>
      </c>
      <c r="OL25">
        <v>20.066998784214299</v>
      </c>
      <c r="OM25">
        <v>18.9214913966007</v>
      </c>
      <c r="ON25">
        <v>-2.7594286978710398</v>
      </c>
      <c r="OO25">
        <v>-15.2325654291013</v>
      </c>
      <c r="OP25">
        <v>20.423251028337901</v>
      </c>
      <c r="OQ25">
        <v>20.462167236988101</v>
      </c>
      <c r="OR25">
        <v>93.882577913529701</v>
      </c>
      <c r="OS25">
        <v>364.19338308198002</v>
      </c>
      <c r="OT25">
        <v>20.0453121846746</v>
      </c>
      <c r="OU25">
        <v>18.927427343093299</v>
      </c>
      <c r="OV25">
        <v>3.8885841524721498</v>
      </c>
      <c r="OW25">
        <v>-22.863587937938401</v>
      </c>
      <c r="OX25">
        <v>20.563322941446501</v>
      </c>
      <c r="OY25">
        <v>20.611128213992998</v>
      </c>
      <c r="OZ25">
        <v>147.37461662427901</v>
      </c>
      <c r="PA25">
        <v>595.13374843543397</v>
      </c>
      <c r="PB25">
        <v>20.163366733846399</v>
      </c>
      <c r="PC25">
        <v>19.033253124475099</v>
      </c>
      <c r="PD25">
        <v>-2.5903923107013198</v>
      </c>
      <c r="PE25">
        <v>-15.1829637102423</v>
      </c>
      <c r="PF25">
        <v>20.3922447709168</v>
      </c>
      <c r="PG25">
        <v>20.437075799580999</v>
      </c>
      <c r="PH25">
        <v>1.7</v>
      </c>
      <c r="PI25">
        <v>93.940548897660804</v>
      </c>
      <c r="PJ25">
        <v>365.65041928875303</v>
      </c>
      <c r="PK25">
        <v>20.0110686198874</v>
      </c>
      <c r="PL25">
        <v>18.883507877921499</v>
      </c>
      <c r="PM25">
        <v>1.7</v>
      </c>
      <c r="PN25">
        <v>3.1756943907744102</v>
      </c>
      <c r="PO25">
        <v>18.864671689122599</v>
      </c>
      <c r="PP25">
        <v>18.8219795740448</v>
      </c>
      <c r="PQ25">
        <v>18.9756434690905</v>
      </c>
      <c r="PR25">
        <v>18.803706446907199</v>
      </c>
      <c r="PS25">
        <v>20.300661921238301</v>
      </c>
      <c r="PT25">
        <v>19.737568722114201</v>
      </c>
      <c r="PU25">
        <v>19.676730238011899</v>
      </c>
      <c r="PV25">
        <v>19.863690446368501</v>
      </c>
      <c r="PW25">
        <v>19.639780351618999</v>
      </c>
      <c r="PX25">
        <v>22.089332889253999</v>
      </c>
      <c r="PY25">
        <v>18.4226835776191</v>
      </c>
      <c r="PZ25">
        <v>18.434207111562099</v>
      </c>
      <c r="QA25">
        <v>18.509606449485101</v>
      </c>
      <c r="QB25">
        <v>18.390651201615999</v>
      </c>
      <c r="QC25">
        <v>21.0459497729214</v>
      </c>
      <c r="QD25">
        <v>20.998023136215298</v>
      </c>
      <c r="QE25">
        <v>18.186374389119202</v>
      </c>
      <c r="QF25">
        <v>18.150814269016202</v>
      </c>
      <c r="QG25">
        <v>18.317029175954101</v>
      </c>
      <c r="QH25">
        <v>18.116080676145099</v>
      </c>
      <c r="QI25">
        <v>20.615495416261499</v>
      </c>
      <c r="QJ25">
        <v>18.9440470749025</v>
      </c>
      <c r="QK25">
        <v>18.891563038353102</v>
      </c>
      <c r="QL25">
        <v>19.091662429820701</v>
      </c>
      <c r="QM25">
        <v>18.836287926906198</v>
      </c>
      <c r="QN25">
        <v>914.81723570713098</v>
      </c>
      <c r="QO25">
        <v>22.416214457318802</v>
      </c>
      <c r="QP25">
        <v>-2468.3622897465598</v>
      </c>
      <c r="QQ25">
        <v>17.738008178733999</v>
      </c>
      <c r="QR25">
        <v>17.754722942443902</v>
      </c>
      <c r="QS25">
        <v>17.849181163975899</v>
      </c>
      <c r="QT25">
        <v>17.694731995644599</v>
      </c>
      <c r="QU25">
        <v>21.352502622920699</v>
      </c>
      <c r="QV25">
        <v>20.993166954059198</v>
      </c>
      <c r="QW25">
        <v>4216522.9944847599</v>
      </c>
      <c r="QX25">
        <v>0</v>
      </c>
      <c r="QY25">
        <v>2748792.6920611202</v>
      </c>
      <c r="QZ25">
        <v>0</v>
      </c>
      <c r="RA25">
        <v>633769.31563463702</v>
      </c>
      <c r="RB25">
        <v>0</v>
      </c>
      <c r="RC25">
        <v>417166.675584123</v>
      </c>
      <c r="RD25">
        <v>0</v>
      </c>
      <c r="RE25">
        <v>1422105.86336852</v>
      </c>
      <c r="RF25">
        <v>0</v>
      </c>
      <c r="RG25">
        <v>928462.31403912103</v>
      </c>
      <c r="RH25" s="35">
        <v>0</v>
      </c>
      <c r="RI25">
        <v>0</v>
      </c>
      <c r="RJ25" s="35">
        <v>0</v>
      </c>
      <c r="RK25">
        <v>17.508077089115801</v>
      </c>
      <c r="RL25">
        <v>1362.70613997039</v>
      </c>
      <c r="RM25">
        <v>1362.70613997039</v>
      </c>
      <c r="RN25">
        <v>14365.308284430401</v>
      </c>
      <c r="RO25" s="35">
        <v>0</v>
      </c>
      <c r="RP25">
        <v>0</v>
      </c>
      <c r="RQ25">
        <v>17.4796489639876</v>
      </c>
      <c r="RR25">
        <v>898.91807135077704</v>
      </c>
      <c r="RS25">
        <v>898.91807135077704</v>
      </c>
      <c r="RT25">
        <v>9172.4061319741904</v>
      </c>
      <c r="RU25">
        <v>0</v>
      </c>
      <c r="RV25">
        <v>0</v>
      </c>
      <c r="RW25">
        <v>17.658414882817599</v>
      </c>
      <c r="RX25">
        <v>1127.82027060414</v>
      </c>
      <c r="RY25">
        <v>1127.82027060414</v>
      </c>
      <c r="RZ25">
        <v>14123.7493391971</v>
      </c>
      <c r="SA25">
        <v>0</v>
      </c>
      <c r="SB25">
        <v>0</v>
      </c>
      <c r="SC25">
        <v>17.428454905382999</v>
      </c>
      <c r="SD25">
        <v>951.62579963636699</v>
      </c>
      <c r="SE25">
        <v>951.62579963636699</v>
      </c>
      <c r="SF25">
        <v>9226.4545269317296</v>
      </c>
      <c r="SG25">
        <v>0</v>
      </c>
      <c r="SH25">
        <v>0</v>
      </c>
      <c r="SI25">
        <v>20.9303289112848</v>
      </c>
      <c r="SJ25">
        <v>0</v>
      </c>
      <c r="SK25">
        <v>-20128.603094035501</v>
      </c>
      <c r="SL25">
        <v>43687.209884617703</v>
      </c>
      <c r="SM25">
        <v>18.333300000000001</v>
      </c>
      <c r="SN25">
        <v>26.666699999999999</v>
      </c>
      <c r="SO25">
        <v>0</v>
      </c>
      <c r="SP25">
        <v>0</v>
      </c>
      <c r="SQ25">
        <v>19.2170706351631</v>
      </c>
      <c r="SR25">
        <v>0</v>
      </c>
      <c r="SS25">
        <v>0</v>
      </c>
      <c r="ST25">
        <v>0</v>
      </c>
      <c r="SU25">
        <v>0</v>
      </c>
      <c r="SV25">
        <v>0</v>
      </c>
      <c r="SW25">
        <v>19.160563167773301</v>
      </c>
      <c r="SX25">
        <v>0</v>
      </c>
      <c r="SY25">
        <v>0</v>
      </c>
      <c r="SZ25">
        <v>0</v>
      </c>
      <c r="TA25">
        <v>0</v>
      </c>
      <c r="TB25">
        <v>0</v>
      </c>
      <c r="TC25">
        <v>19.329464889138599</v>
      </c>
      <c r="TD25">
        <v>0</v>
      </c>
      <c r="TE25">
        <v>0</v>
      </c>
      <c r="TF25">
        <v>0</v>
      </c>
      <c r="TG25">
        <v>0</v>
      </c>
      <c r="TH25">
        <v>0</v>
      </c>
      <c r="TI25">
        <v>19.1581992265892</v>
      </c>
      <c r="TJ25">
        <v>0</v>
      </c>
      <c r="TK25">
        <v>0</v>
      </c>
      <c r="TL25">
        <v>0</v>
      </c>
      <c r="TM25">
        <v>0</v>
      </c>
      <c r="TN25">
        <v>0</v>
      </c>
      <c r="TO25">
        <v>20.533526445782599</v>
      </c>
      <c r="TP25">
        <v>0</v>
      </c>
      <c r="TQ25">
        <v>0</v>
      </c>
      <c r="TR25">
        <v>0</v>
      </c>
      <c r="TS25">
        <v>0</v>
      </c>
      <c r="TT25">
        <v>0</v>
      </c>
      <c r="TU25">
        <v>18.150525427690699</v>
      </c>
      <c r="TV25">
        <v>395.35667966431703</v>
      </c>
      <c r="TW25">
        <v>395.35667966431703</v>
      </c>
      <c r="TX25">
        <v>13513.0643027772</v>
      </c>
      <c r="TY25">
        <v>0</v>
      </c>
      <c r="TZ25">
        <v>0</v>
      </c>
      <c r="UA25">
        <v>18.1063958386944</v>
      </c>
      <c r="UB25">
        <v>298.94212031407602</v>
      </c>
      <c r="UC25">
        <v>298.94212031407602</v>
      </c>
      <c r="UD25">
        <v>8650.5755923347697</v>
      </c>
      <c r="UE25">
        <v>0</v>
      </c>
      <c r="UF25">
        <v>0</v>
      </c>
      <c r="UG25">
        <v>18.319634413272802</v>
      </c>
      <c r="UH25">
        <v>134.48013784402701</v>
      </c>
      <c r="UI25">
        <v>125.47494467794699</v>
      </c>
      <c r="UJ25">
        <v>13236.1166914695</v>
      </c>
      <c r="UK25">
        <v>0</v>
      </c>
      <c r="UL25">
        <v>0</v>
      </c>
      <c r="UM25">
        <v>18.032795502193402</v>
      </c>
      <c r="UN25">
        <v>374.11397272607701</v>
      </c>
      <c r="UO25">
        <v>374.11397272607701</v>
      </c>
      <c r="UP25">
        <v>8727.7150233207794</v>
      </c>
      <c r="UQ25">
        <v>0</v>
      </c>
      <c r="UR25">
        <v>0</v>
      </c>
      <c r="US25">
        <v>22.743096025383501</v>
      </c>
      <c r="UT25">
        <v>0</v>
      </c>
      <c r="UU25">
        <v>-33483.125105066902</v>
      </c>
      <c r="UV25">
        <v>29928.254213615601</v>
      </c>
      <c r="UW25">
        <v>18.333300000000001</v>
      </c>
      <c r="UX25">
        <v>26.666699999999999</v>
      </c>
      <c r="UY25">
        <v>0</v>
      </c>
      <c r="UZ25">
        <v>0</v>
      </c>
      <c r="VA25">
        <v>19.569646999595399</v>
      </c>
      <c r="VB25">
        <v>0</v>
      </c>
      <c r="VC25">
        <v>0</v>
      </c>
      <c r="VD25">
        <v>0</v>
      </c>
      <c r="VE25">
        <v>0</v>
      </c>
      <c r="VF25">
        <v>0</v>
      </c>
      <c r="VG25">
        <v>19.5071769976715</v>
      </c>
      <c r="VH25">
        <v>0</v>
      </c>
      <c r="VI25">
        <v>0</v>
      </c>
      <c r="VJ25">
        <v>0</v>
      </c>
      <c r="VK25">
        <v>0</v>
      </c>
      <c r="VL25">
        <v>0</v>
      </c>
      <c r="VM25">
        <v>19.679234220780099</v>
      </c>
      <c r="VN25">
        <v>0</v>
      </c>
      <c r="VO25">
        <v>0</v>
      </c>
      <c r="VP25">
        <v>0</v>
      </c>
      <c r="VQ25">
        <v>0</v>
      </c>
      <c r="VR25">
        <v>0</v>
      </c>
      <c r="VS25">
        <v>19.482501636844901</v>
      </c>
      <c r="VT25">
        <v>0</v>
      </c>
      <c r="VU25">
        <v>0</v>
      </c>
      <c r="VV25">
        <v>0</v>
      </c>
      <c r="VW25">
        <v>0</v>
      </c>
      <c r="VX25">
        <v>0</v>
      </c>
      <c r="VY25">
        <v>21.758222361624199</v>
      </c>
      <c r="VZ25">
        <v>0</v>
      </c>
      <c r="WA25">
        <v>0</v>
      </c>
      <c r="WB25">
        <v>0</v>
      </c>
      <c r="WC25">
        <v>0</v>
      </c>
      <c r="WD25">
        <v>0</v>
      </c>
      <c r="WE25">
        <v>17.053332779848901</v>
      </c>
      <c r="WF25">
        <v>2258.2914869516198</v>
      </c>
      <c r="WG25">
        <v>2258.2914869516198</v>
      </c>
      <c r="WH25">
        <v>15492.4828190925</v>
      </c>
      <c r="WI25">
        <v>0</v>
      </c>
      <c r="WJ25">
        <v>0</v>
      </c>
      <c r="WK25">
        <v>0</v>
      </c>
      <c r="WL25">
        <v>17.0752387733258</v>
      </c>
      <c r="WM25">
        <v>1419.7041828868801</v>
      </c>
      <c r="WN25">
        <v>1419.7041828868801</v>
      </c>
      <c r="WO25">
        <v>9845.5828647547005</v>
      </c>
      <c r="WP25">
        <v>18.333300000000001</v>
      </c>
      <c r="WQ25">
        <v>26.666699999999999</v>
      </c>
      <c r="WR25">
        <v>0</v>
      </c>
      <c r="WS25">
        <v>0</v>
      </c>
      <c r="WT25">
        <v>17.188755878466601</v>
      </c>
      <c r="WU25">
        <v>2026.77545263617</v>
      </c>
      <c r="WV25">
        <v>2026.77545263617</v>
      </c>
      <c r="WW25">
        <v>15255.4967144851</v>
      </c>
      <c r="WX25">
        <v>0</v>
      </c>
      <c r="WY25">
        <v>0</v>
      </c>
      <c r="WZ25">
        <v>0</v>
      </c>
      <c r="XA25">
        <v>16.998812789673199</v>
      </c>
      <c r="XB25">
        <v>1498.2430054393001</v>
      </c>
      <c r="XC25">
        <v>1498.2430054393001</v>
      </c>
      <c r="XD25">
        <v>9926.2302393402497</v>
      </c>
      <c r="XE25">
        <v>0</v>
      </c>
      <c r="XF25">
        <v>0</v>
      </c>
      <c r="XG25">
        <v>21.659055472919999</v>
      </c>
      <c r="XH25">
        <v>0</v>
      </c>
      <c r="XI25">
        <v>-25124.156113639201</v>
      </c>
      <c r="XJ25">
        <v>38487.616617592299</v>
      </c>
      <c r="XK25">
        <v>18.333300000000001</v>
      </c>
      <c r="XL25">
        <v>26.666699999999999</v>
      </c>
      <c r="XM25">
        <v>0</v>
      </c>
      <c r="XN25">
        <v>0</v>
      </c>
      <c r="XO25">
        <v>14.3131264826556</v>
      </c>
      <c r="XP25">
        <v>0</v>
      </c>
      <c r="XQ25">
        <v>0</v>
      </c>
      <c r="XR25">
        <v>0</v>
      </c>
      <c r="XS25">
        <v>0</v>
      </c>
      <c r="XT25">
        <v>0</v>
      </c>
      <c r="XU25">
        <v>14.403631489134201</v>
      </c>
      <c r="XV25">
        <v>0</v>
      </c>
      <c r="XW25">
        <v>0</v>
      </c>
      <c r="XX25">
        <v>0</v>
      </c>
      <c r="XY25">
        <v>0</v>
      </c>
      <c r="XZ25">
        <v>0</v>
      </c>
      <c r="YA25">
        <v>14.341928318193601</v>
      </c>
      <c r="YB25">
        <v>0</v>
      </c>
      <c r="YC25">
        <v>0</v>
      </c>
      <c r="YD25">
        <v>0</v>
      </c>
      <c r="YE25">
        <v>0</v>
      </c>
      <c r="YF25">
        <v>0</v>
      </c>
      <c r="YG25">
        <v>14.3872592306353</v>
      </c>
      <c r="YH25">
        <v>0</v>
      </c>
      <c r="YI25">
        <v>0</v>
      </c>
      <c r="YJ25">
        <v>0</v>
      </c>
      <c r="YK25">
        <v>0</v>
      </c>
      <c r="YL25">
        <v>0</v>
      </c>
      <c r="YM25">
        <v>19.291073780893299</v>
      </c>
      <c r="YN25">
        <v>0</v>
      </c>
      <c r="YO25">
        <v>0</v>
      </c>
      <c r="YP25">
        <v>0</v>
      </c>
      <c r="YQ25">
        <v>0</v>
      </c>
      <c r="YR25">
        <v>0</v>
      </c>
      <c r="YS25">
        <v>18.4759213463302</v>
      </c>
      <c r="YT25">
        <v>0</v>
      </c>
      <c r="YU25">
        <v>0</v>
      </c>
      <c r="YV25">
        <v>0</v>
      </c>
      <c r="YW25">
        <v>0</v>
      </c>
      <c r="YX25">
        <v>0</v>
      </c>
      <c r="YY25">
        <v>18.446662174871999</v>
      </c>
      <c r="YZ25">
        <v>0</v>
      </c>
      <c r="ZA25">
        <v>0</v>
      </c>
      <c r="ZB25">
        <v>0</v>
      </c>
      <c r="ZC25">
        <v>0</v>
      </c>
      <c r="ZD25">
        <v>0</v>
      </c>
      <c r="ZE25">
        <v>18.524297801949899</v>
      </c>
      <c r="ZF25">
        <v>0</v>
      </c>
      <c r="ZG25">
        <v>0</v>
      </c>
      <c r="ZH25">
        <v>0</v>
      </c>
      <c r="ZI25">
        <v>0</v>
      </c>
      <c r="ZJ25">
        <v>0</v>
      </c>
      <c r="ZK25">
        <v>18.441773222273799</v>
      </c>
      <c r="ZL25">
        <v>0</v>
      </c>
      <c r="ZM25">
        <v>0</v>
      </c>
      <c r="ZN25">
        <v>0</v>
      </c>
      <c r="ZO25">
        <v>0</v>
      </c>
      <c r="ZP25">
        <v>0</v>
      </c>
      <c r="ZQ25">
        <v>18.5461823030898</v>
      </c>
      <c r="ZR25">
        <v>0</v>
      </c>
      <c r="ZS25">
        <v>0</v>
      </c>
      <c r="ZT25">
        <v>0</v>
      </c>
      <c r="ZU25">
        <v>0</v>
      </c>
      <c r="ZV25">
        <v>0</v>
      </c>
      <c r="ZW25">
        <v>20.302413454084601</v>
      </c>
      <c r="ZX25">
        <v>0</v>
      </c>
      <c r="ZY25">
        <v>0</v>
      </c>
      <c r="ZZ25">
        <v>0</v>
      </c>
      <c r="AAA25">
        <v>0</v>
      </c>
      <c r="AAB25">
        <v>0</v>
      </c>
      <c r="AAC25">
        <v>20.254252368956099</v>
      </c>
      <c r="AAD25">
        <v>0</v>
      </c>
      <c r="AAE25">
        <v>0</v>
      </c>
      <c r="AAF25">
        <v>0</v>
      </c>
      <c r="AAG25">
        <v>0</v>
      </c>
      <c r="AAH25">
        <v>0</v>
      </c>
      <c r="AAI25">
        <v>20.423959923695602</v>
      </c>
      <c r="AAJ25">
        <v>0</v>
      </c>
      <c r="AAK25">
        <v>0</v>
      </c>
      <c r="AAL25">
        <v>0</v>
      </c>
      <c r="AAM25">
        <v>0</v>
      </c>
      <c r="AAN25">
        <v>0</v>
      </c>
      <c r="AAO25">
        <v>20.24583623633</v>
      </c>
      <c r="AAP25">
        <v>0</v>
      </c>
      <c r="AAQ25">
        <v>0</v>
      </c>
      <c r="AAR25">
        <v>0</v>
      </c>
      <c r="AAS25">
        <v>0</v>
      </c>
      <c r="AAT25">
        <v>0</v>
      </c>
      <c r="AAU25">
        <v>21.101430449976501</v>
      </c>
      <c r="AAV25">
        <v>0</v>
      </c>
      <c r="AAW25">
        <v>0</v>
      </c>
      <c r="AAX25">
        <v>0</v>
      </c>
      <c r="AAY25">
        <v>0</v>
      </c>
      <c r="AAZ25">
        <v>0</v>
      </c>
      <c r="ABA25">
        <v>20.0181664054214</v>
      </c>
      <c r="ABB25">
        <v>0</v>
      </c>
      <c r="ABC25">
        <v>0</v>
      </c>
      <c r="ABD25">
        <v>0</v>
      </c>
      <c r="ABE25">
        <v>0</v>
      </c>
      <c r="ABF25">
        <v>0</v>
      </c>
      <c r="ABG25">
        <v>19.9760061929728</v>
      </c>
      <c r="ABH25">
        <v>0</v>
      </c>
      <c r="ABI25">
        <v>0</v>
      </c>
      <c r="ABJ25">
        <v>0</v>
      </c>
      <c r="ABK25">
        <v>0</v>
      </c>
      <c r="ABL25">
        <v>0</v>
      </c>
      <c r="ABM25">
        <v>20.115165493685399</v>
      </c>
      <c r="ABN25">
        <v>0</v>
      </c>
      <c r="ABO25">
        <v>0</v>
      </c>
      <c r="ABP25">
        <v>0</v>
      </c>
      <c r="ABQ25">
        <v>0</v>
      </c>
      <c r="ABR25">
        <v>0</v>
      </c>
      <c r="ABS25">
        <v>19.944487440763002</v>
      </c>
      <c r="ABT25">
        <v>0</v>
      </c>
      <c r="ABU25">
        <v>0</v>
      </c>
      <c r="ABV25">
        <v>0</v>
      </c>
      <c r="ABW25">
        <v>0</v>
      </c>
      <c r="ABX25">
        <v>0</v>
      </c>
      <c r="ABY25">
        <v>20.993166954059198</v>
      </c>
      <c r="ABZ25">
        <v>0</v>
      </c>
      <c r="ACA25">
        <v>0</v>
      </c>
      <c r="ACB25">
        <v>0</v>
      </c>
      <c r="ACC25">
        <v>0</v>
      </c>
      <c r="ACD25">
        <v>0</v>
      </c>
      <c r="ACE25">
        <v>0</v>
      </c>
      <c r="ACF25">
        <v>12.2200120660621</v>
      </c>
      <c r="ACG25">
        <v>12.2200120660621</v>
      </c>
      <c r="ACH25">
        <v>0</v>
      </c>
      <c r="ACI25">
        <v>0</v>
      </c>
      <c r="ACJ25">
        <v>0</v>
      </c>
      <c r="ACK25">
        <v>20.992106198427798</v>
      </c>
      <c r="ACL25">
        <v>20.992106198427798</v>
      </c>
      <c r="ACM25">
        <v>0</v>
      </c>
      <c r="ACN25">
        <v>21078.068283184501</v>
      </c>
      <c r="ACO25">
        <v>52883.367746204</v>
      </c>
      <c r="ACP25">
        <v>0</v>
      </c>
      <c r="ACQ25">
        <v>4402.9315593973597</v>
      </c>
      <c r="ACR25">
        <v>21078.068283184501</v>
      </c>
      <c r="ACS25">
        <v>57286.2993056013</v>
      </c>
      <c r="ACT25">
        <v>20.930353518846601</v>
      </c>
      <c r="ACU25">
        <v>20.930353518846601</v>
      </c>
      <c r="ACV25">
        <v>0</v>
      </c>
      <c r="ACW25">
        <v>0</v>
      </c>
      <c r="ACX25">
        <v>1</v>
      </c>
      <c r="ACY25">
        <v>22.745049338708199</v>
      </c>
      <c r="ACZ25">
        <v>22.745049338708199</v>
      </c>
      <c r="ADA25">
        <v>0</v>
      </c>
      <c r="ADB25">
        <v>0</v>
      </c>
      <c r="ADC25">
        <v>1</v>
      </c>
      <c r="ADD25">
        <v>21.6612075644355</v>
      </c>
      <c r="ADE25">
        <v>21.6612075644355</v>
      </c>
      <c r="ADF25">
        <v>0</v>
      </c>
      <c r="ADG25">
        <v>0</v>
      </c>
      <c r="ADH25">
        <v>1</v>
      </c>
      <c r="ADI25">
        <v>17.9979806833556</v>
      </c>
      <c r="ADJ25">
        <v>17.9979806833556</v>
      </c>
      <c r="ADK25">
        <v>0</v>
      </c>
      <c r="ADL25">
        <v>0</v>
      </c>
      <c r="ADM25">
        <v>1</v>
      </c>
      <c r="ADN25">
        <v>17.958998694767299</v>
      </c>
      <c r="ADO25">
        <v>17.958998694767299</v>
      </c>
      <c r="ADP25">
        <v>0</v>
      </c>
      <c r="ADQ25">
        <v>0</v>
      </c>
      <c r="ADR25">
        <v>1</v>
      </c>
      <c r="ADS25">
        <v>18.124141880960199</v>
      </c>
      <c r="ADT25">
        <v>18.124141880960199</v>
      </c>
      <c r="ADU25">
        <v>0</v>
      </c>
      <c r="ADV25">
        <v>0</v>
      </c>
      <c r="ADW25">
        <v>1</v>
      </c>
      <c r="ADX25">
        <v>17.924986834960801</v>
      </c>
      <c r="ADY25">
        <v>17.924986834960801</v>
      </c>
      <c r="ADZ25">
        <v>0</v>
      </c>
      <c r="AEA25">
        <v>0</v>
      </c>
      <c r="AEB25">
        <v>1</v>
      </c>
      <c r="AEC25">
        <v>18.685345106019899</v>
      </c>
      <c r="AED25">
        <v>18.685345106019899</v>
      </c>
      <c r="AEE25">
        <v>0</v>
      </c>
      <c r="AEF25">
        <v>0</v>
      </c>
      <c r="AEG25">
        <v>1</v>
      </c>
      <c r="AEH25">
        <v>18.627311681502</v>
      </c>
      <c r="AEI25">
        <v>18.627311681502</v>
      </c>
      <c r="AEJ25">
        <v>0</v>
      </c>
      <c r="AEK25">
        <v>0</v>
      </c>
      <c r="AEL25">
        <v>1</v>
      </c>
      <c r="AEM25">
        <v>18.8263128352792</v>
      </c>
      <c r="AEN25">
        <v>18.8263128352792</v>
      </c>
      <c r="AEO25">
        <v>0</v>
      </c>
      <c r="AEP25">
        <v>0</v>
      </c>
      <c r="AEQ25">
        <v>1</v>
      </c>
      <c r="AER25">
        <v>18.574345112341199</v>
      </c>
      <c r="AES25">
        <v>18.574345112341199</v>
      </c>
      <c r="AET25">
        <v>0</v>
      </c>
      <c r="AEU25">
        <v>0</v>
      </c>
      <c r="AEV25">
        <v>1</v>
      </c>
      <c r="AEW25">
        <v>17.551830503393301</v>
      </c>
      <c r="AEX25">
        <v>17.551830503393301</v>
      </c>
      <c r="AEY25">
        <v>0</v>
      </c>
      <c r="AEZ25">
        <v>0</v>
      </c>
      <c r="AFA25">
        <v>1</v>
      </c>
      <c r="AFB25">
        <v>17.5627541041119</v>
      </c>
      <c r="AFC25">
        <v>17.5627541041119</v>
      </c>
      <c r="AFD25">
        <v>0</v>
      </c>
      <c r="AFE25">
        <v>0</v>
      </c>
      <c r="AFF25">
        <v>1</v>
      </c>
      <c r="AFG25">
        <v>17.658670356214401</v>
      </c>
      <c r="AFH25">
        <v>17.658670356214401</v>
      </c>
      <c r="AFI25">
        <v>0</v>
      </c>
      <c r="AFJ25">
        <v>0</v>
      </c>
      <c r="AFK25">
        <v>1</v>
      </c>
      <c r="AFL25">
        <v>17.5039953911057</v>
      </c>
      <c r="AFM25">
        <v>17.5039953911057</v>
      </c>
      <c r="AFN25">
        <v>0</v>
      </c>
      <c r="AFO25">
        <v>0</v>
      </c>
      <c r="AFP25">
        <v>1</v>
      </c>
      <c r="AFQ25">
        <v>-1.60849099211539</v>
      </c>
      <c r="AFR25">
        <v>-1.62790104135021</v>
      </c>
      <c r="AFS25">
        <v>-1.64213443713387</v>
      </c>
      <c r="AFT25">
        <v>-1.63697594980067</v>
      </c>
      <c r="AFU25">
        <v>-1.4625422633840599</v>
      </c>
      <c r="AFV25">
        <v>-1.48877856313298</v>
      </c>
      <c r="AFW25">
        <v>-1.5100198923547601</v>
      </c>
      <c r="AFX25">
        <v>-1.50143975798814</v>
      </c>
      <c r="AFY25">
        <v>-1.6970409573524401</v>
      </c>
      <c r="AFZ25">
        <v>-1.71507713973389</v>
      </c>
      <c r="AGA25">
        <v>-1.7265032840493399</v>
      </c>
      <c r="AGB25">
        <v>-1.7174636914377099</v>
      </c>
      <c r="AGC25">
        <v>-1.1690342277738599</v>
      </c>
      <c r="AGD25">
        <v>-0.767902023515461</v>
      </c>
      <c r="AGE25">
        <v>-1.0022337116364599</v>
      </c>
      <c r="AGF25">
        <v>1</v>
      </c>
      <c r="AGG25">
        <v>1</v>
      </c>
      <c r="AGH25">
        <v>1</v>
      </c>
      <c r="AGI25">
        <v>1</v>
      </c>
      <c r="AGJ25">
        <v>0.25</v>
      </c>
      <c r="AGK25">
        <v>0</v>
      </c>
      <c r="AGL25">
        <v>0</v>
      </c>
      <c r="AGM25">
        <v>0</v>
      </c>
      <c r="AGN25">
        <v>0</v>
      </c>
      <c r="AGO25">
        <v>0</v>
      </c>
      <c r="AGP25">
        <v>1</v>
      </c>
      <c r="AGQ25">
        <v>1</v>
      </c>
      <c r="AGR25">
        <v>1</v>
      </c>
      <c r="AGS25">
        <v>1</v>
      </c>
      <c r="AGT25">
        <v>0</v>
      </c>
      <c r="AGU25">
        <v>0</v>
      </c>
      <c r="AGV25">
        <v>0</v>
      </c>
      <c r="AGW25">
        <v>0</v>
      </c>
      <c r="AGX25">
        <v>0</v>
      </c>
      <c r="AGY25">
        <v>0</v>
      </c>
      <c r="AGZ25">
        <v>1</v>
      </c>
      <c r="AHA25">
        <v>1</v>
      </c>
      <c r="AHB25">
        <v>1</v>
      </c>
      <c r="AHC25">
        <v>1</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201.85041717684899</v>
      </c>
      <c r="AHZ25">
        <v>0</v>
      </c>
      <c r="AIA25">
        <v>0</v>
      </c>
      <c r="AIB25">
        <v>0</v>
      </c>
      <c r="AIC25">
        <v>202.793415194809</v>
      </c>
      <c r="AID25">
        <v>0</v>
      </c>
      <c r="AIE25">
        <v>291.13502355138098</v>
      </c>
      <c r="AIF25">
        <v>0</v>
      </c>
      <c r="AIG25">
        <v>321.18908944537401</v>
      </c>
      <c r="AIH25">
        <v>0</v>
      </c>
      <c r="AII25">
        <v>0</v>
      </c>
      <c r="AIJ25">
        <v>0</v>
      </c>
      <c r="AIK25">
        <v>129.79391835898599</v>
      </c>
      <c r="AIL25">
        <v>0</v>
      </c>
      <c r="AIM25">
        <v>130.580582982919</v>
      </c>
      <c r="AIN25">
        <v>0</v>
      </c>
      <c r="AIO25">
        <v>187.59881692276801</v>
      </c>
      <c r="AIP25">
        <v>0</v>
      </c>
      <c r="AIQ25">
        <v>174.33762787754</v>
      </c>
      <c r="AIR25">
        <v>0</v>
      </c>
      <c r="AIS25">
        <v>0</v>
      </c>
      <c r="AIT25">
        <v>0</v>
      </c>
      <c r="AIU25">
        <v>259.83236765337102</v>
      </c>
      <c r="AIV25">
        <v>0</v>
      </c>
      <c r="AIW25">
        <v>263.19411511168403</v>
      </c>
      <c r="AIX25">
        <v>0</v>
      </c>
      <c r="AIY25">
        <v>382.56952563619399</v>
      </c>
      <c r="AIZ25">
        <v>0</v>
      </c>
      <c r="AJA25">
        <v>369.47513487119102</v>
      </c>
      <c r="AJB25">
        <v>0</v>
      </c>
      <c r="AJC25">
        <v>0</v>
      </c>
      <c r="AJD25">
        <v>0</v>
      </c>
      <c r="AJE25">
        <v>0</v>
      </c>
      <c r="AJF25">
        <v>6.2607195152263699</v>
      </c>
      <c r="AJG25">
        <v>6.2607195152263699</v>
      </c>
      <c r="AJH25">
        <v>0</v>
      </c>
      <c r="AJI25">
        <v>329905200.33437997</v>
      </c>
      <c r="AJJ25">
        <v>0</v>
      </c>
      <c r="AJK25">
        <v>0</v>
      </c>
      <c r="AJL25">
        <v>0</v>
      </c>
      <c r="AJM25">
        <v>0</v>
      </c>
      <c r="AJN25">
        <v>0</v>
      </c>
      <c r="AJO25">
        <v>0</v>
      </c>
      <c r="AJP25">
        <v>0</v>
      </c>
      <c r="AJQ25">
        <v>0</v>
      </c>
      <c r="AJR25">
        <v>0</v>
      </c>
      <c r="AJS25">
        <v>0</v>
      </c>
      <c r="AJT25">
        <v>0</v>
      </c>
      <c r="AJU25">
        <v>0</v>
      </c>
      <c r="AJV25">
        <v>0</v>
      </c>
      <c r="AJW25">
        <v>0</v>
      </c>
      <c r="AJX25">
        <v>0</v>
      </c>
      <c r="AJY25">
        <v>0</v>
      </c>
      <c r="AJZ25">
        <v>0</v>
      </c>
      <c r="AKA25">
        <v>0</v>
      </c>
      <c r="AKB25">
        <v>0</v>
      </c>
      <c r="AKC25">
        <v>0</v>
      </c>
      <c r="AKD25">
        <v>0</v>
      </c>
      <c r="AKE25">
        <v>70.113568682114405</v>
      </c>
      <c r="AKF25">
        <v>70.113568682114405</v>
      </c>
      <c r="AKG25">
        <v>0</v>
      </c>
      <c r="AKH25">
        <v>0</v>
      </c>
      <c r="AKI25">
        <v>0</v>
      </c>
      <c r="AKJ25">
        <v>0</v>
      </c>
      <c r="AKK25">
        <v>0</v>
      </c>
      <c r="AKL25">
        <v>70.113568682114405</v>
      </c>
      <c r="AKM25">
        <v>70.113568682114405</v>
      </c>
      <c r="AKN25">
        <v>0</v>
      </c>
      <c r="AKO25">
        <v>0</v>
      </c>
      <c r="AKP25">
        <v>0</v>
      </c>
      <c r="AKQ25">
        <v>1316535.7371793799</v>
      </c>
      <c r="AKR25">
        <v>1316535.7371793799</v>
      </c>
      <c r="AKS25">
        <v>15.2376821432798</v>
      </c>
      <c r="AKT25">
        <v>0</v>
      </c>
      <c r="AKU25">
        <v>8418494.0604326893</v>
      </c>
      <c r="AKV25">
        <v>8418494.0604326893</v>
      </c>
      <c r="AKW25">
        <v>97.436273847600603</v>
      </c>
      <c r="AKX25">
        <v>0</v>
      </c>
      <c r="AKY25">
        <v>7597947.2421923103</v>
      </c>
      <c r="AKZ25">
        <v>7597947.2421923103</v>
      </c>
      <c r="ALA25">
        <v>87.939204192040606</v>
      </c>
      <c r="ALB25">
        <v>20.992106198427798</v>
      </c>
      <c r="ALC25">
        <v>20.992106198427798</v>
      </c>
      <c r="ALD25">
        <v>0</v>
      </c>
      <c r="ALE25">
        <v>0</v>
      </c>
      <c r="ALF25">
        <v>0</v>
      </c>
      <c r="ALG25">
        <v>0</v>
      </c>
      <c r="ALH25">
        <v>20.505356053754799</v>
      </c>
      <c r="ALI25">
        <v>6.5178423590658502E-3</v>
      </c>
      <c r="ALJ25">
        <v>0</v>
      </c>
      <c r="ALK25">
        <v>20.505356053754799</v>
      </c>
      <c r="ALL25">
        <v>0</v>
      </c>
      <c r="ALM25">
        <v>0</v>
      </c>
      <c r="ALN25">
        <v>20.505356053754799</v>
      </c>
      <c r="ALO25">
        <v>6.5178423590658502E-3</v>
      </c>
      <c r="ALP25">
        <v>43.411836461102503</v>
      </c>
      <c r="ALQ25">
        <v>0</v>
      </c>
      <c r="ALR25">
        <v>20.505356053754799</v>
      </c>
      <c r="ALS25">
        <v>0</v>
      </c>
      <c r="ALT25">
        <v>20.505356053754799</v>
      </c>
      <c r="ALU25">
        <v>0</v>
      </c>
      <c r="ALV25">
        <v>12.2200120660621</v>
      </c>
      <c r="ALW25">
        <v>9.9999999999999897E-12</v>
      </c>
      <c r="ALX25">
        <v>12.2200120660621</v>
      </c>
      <c r="ALY25">
        <v>9.9999999999999897E-12</v>
      </c>
      <c r="ALZ25">
        <v>0</v>
      </c>
      <c r="AMA25">
        <v>12.2200120660621</v>
      </c>
      <c r="AMB25">
        <v>0</v>
      </c>
      <c r="AMC25">
        <v>12.2200120660621</v>
      </c>
      <c r="AMD25">
        <v>0</v>
      </c>
      <c r="AME25">
        <v>12.2200120660621</v>
      </c>
      <c r="AMF25">
        <v>0</v>
      </c>
      <c r="AMG25">
        <v>0</v>
      </c>
      <c r="AMH25">
        <v>0</v>
      </c>
      <c r="AMI25">
        <v>18.461490559047601</v>
      </c>
      <c r="AMJ25">
        <v>0</v>
      </c>
      <c r="AMK25" s="580">
        <v>18.4916422402863</v>
      </c>
      <c r="AML25">
        <v>0</v>
      </c>
      <c r="AMM25">
        <v>18.4662323266305</v>
      </c>
      <c r="AMN25">
        <v>0</v>
      </c>
      <c r="AMO25">
        <v>18.4961907339917</v>
      </c>
      <c r="AMP25">
        <v>0</v>
      </c>
      <c r="AMQ25">
        <v>18.542451705233098</v>
      </c>
      <c r="AMR25">
        <v>0</v>
      </c>
      <c r="AMS25">
        <v>21.0649468902668</v>
      </c>
      <c r="AMT25">
        <v>0</v>
      </c>
      <c r="AMU25">
        <v>20.2955938456018</v>
      </c>
      <c r="AMV25">
        <v>0</v>
      </c>
      <c r="AMW25">
        <v>20.2878446619385</v>
      </c>
      <c r="AMX25">
        <v>0</v>
      </c>
      <c r="AMY25">
        <v>20.343042679138499</v>
      </c>
      <c r="AMZ25">
        <v>0</v>
      </c>
      <c r="ANA25">
        <v>20.463373430758399</v>
      </c>
      <c r="ANB25">
        <v>0</v>
      </c>
      <c r="ANC25">
        <v>20.951035715502901</v>
      </c>
      <c r="AND25">
        <v>0</v>
      </c>
      <c r="ANE25">
        <v>20.0289816837528</v>
      </c>
      <c r="ANF25">
        <v>0</v>
      </c>
      <c r="ANG25">
        <v>19.9977319713432</v>
      </c>
      <c r="ANH25">
        <v>0</v>
      </c>
      <c r="ANI25">
        <v>20.074358171880601</v>
      </c>
      <c r="ANJ25">
        <v>0</v>
      </c>
      <c r="ANK25">
        <v>20.1702753019993</v>
      </c>
      <c r="ANL25">
        <v>0</v>
      </c>
      <c r="ANM25">
        <v>0</v>
      </c>
      <c r="ANN25">
        <v>0</v>
      </c>
      <c r="ANO25">
        <v>0</v>
      </c>
      <c r="ANP25">
        <v>18.4916422402863</v>
      </c>
      <c r="ANQ25">
        <v>18.4662323266305</v>
      </c>
      <c r="ANR25">
        <v>18.461490559047601</v>
      </c>
      <c r="ANS25">
        <v>18.542451705233098</v>
      </c>
      <c r="ANT25">
        <v>18.4961907339917</v>
      </c>
      <c r="ANU25">
        <v>21.0649468902668</v>
      </c>
      <c r="ANV25">
        <v>20.2955938456018</v>
      </c>
      <c r="ANW25">
        <v>20.2878446619385</v>
      </c>
      <c r="ANX25">
        <v>20.463373430758399</v>
      </c>
      <c r="ANY25">
        <v>20.343042679138499</v>
      </c>
      <c r="ANZ25">
        <v>20.951035715502901</v>
      </c>
      <c r="AOA25">
        <v>20.0289816837528</v>
      </c>
      <c r="AOB25">
        <v>19.9977319713432</v>
      </c>
      <c r="AOC25">
        <v>20.1702753019993</v>
      </c>
      <c r="AOD25">
        <v>20.074358171880601</v>
      </c>
      <c r="AOE25">
        <v>20.505356053754799</v>
      </c>
      <c r="AOF25">
        <v>0</v>
      </c>
      <c r="AOG25">
        <v>20.4615646730715</v>
      </c>
      <c r="AOH25">
        <v>0</v>
      </c>
    </row>
    <row r="26" spans="1:1074">
      <c r="AMK26" s="580"/>
    </row>
    <row r="27" spans="1:1074">
      <c r="AMK27" s="580"/>
    </row>
    <row r="28" spans="1:1074">
      <c r="AMK28" s="580"/>
    </row>
    <row r="29" spans="1:1074">
      <c r="AMK29" s="580"/>
    </row>
    <row r="30" spans="1:1074">
      <c r="AMK30" s="580"/>
    </row>
    <row r="31" spans="1:1074">
      <c r="AMK31" s="580"/>
    </row>
    <row r="32" spans="1:1074">
      <c r="AMK32" s="580"/>
    </row>
    <row r="33" spans="775:775 1025:1025">
      <c r="ACU33" s="35"/>
      <c r="AMK33" s="580"/>
    </row>
    <row r="34" spans="775:775 1025:1025">
      <c r="AMK34" s="580"/>
    </row>
    <row r="35" spans="775:775 1025:1025">
      <c r="AMK35" s="580"/>
    </row>
    <row r="36" spans="775:775 1025:1025">
      <c r="AMK36" s="580"/>
    </row>
    <row r="37" spans="775:775 1025:1025">
      <c r="AMK37" s="580"/>
    </row>
    <row r="38" spans="775:775 1025:1025">
      <c r="AMK38" s="580"/>
    </row>
    <row r="39" spans="775:775 1025:1025">
      <c r="AMK39" s="580"/>
    </row>
    <row r="40" spans="775:775 1025:1025">
      <c r="AMK40" s="580"/>
    </row>
    <row r="41" spans="775:775 1025:1025">
      <c r="AMK41" s="580"/>
    </row>
    <row r="42" spans="775:775 1025:1025">
      <c r="AMK42" s="580"/>
    </row>
    <row r="43" spans="775:775 1025:1025">
      <c r="AMK43" s="580"/>
    </row>
    <row r="44" spans="775:775 1025:1025">
      <c r="AMK44" s="580"/>
    </row>
    <row r="45" spans="775:775 1025:1025">
      <c r="AMK45" s="580"/>
    </row>
    <row r="46" spans="775:775 1025:1025">
      <c r="AMK46" s="580"/>
    </row>
    <row r="47" spans="775:775 1025:1025">
      <c r="AMK47" s="580"/>
    </row>
    <row r="48" spans="775:775 1025:1025">
      <c r="AMK48" s="580"/>
    </row>
    <row r="49" spans="1:1025">
      <c r="AMK49" s="580"/>
    </row>
    <row r="50" spans="1:1025">
      <c r="AMJ50" s="580"/>
    </row>
    <row r="51" spans="1:1025">
      <c r="AMJ51" s="580"/>
    </row>
    <row r="53" spans="1:1025">
      <c r="A53" s="581"/>
      <c r="AMJ53" s="580"/>
    </row>
    <row r="54" spans="1:1025">
      <c r="AMJ54" s="580"/>
    </row>
    <row r="55" spans="1:1025">
      <c r="AMJ55" s="580"/>
    </row>
    <row r="56" spans="1:1025">
      <c r="AMJ56" s="580"/>
    </row>
    <row r="57" spans="1:1025">
      <c r="AMJ57" s="580"/>
    </row>
    <row r="1774" spans="391:391">
      <c r="OA1774" s="58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B2:T28"/>
  <sheetViews>
    <sheetView workbookViewId="0">
      <selection activeCell="M11" sqref="M11"/>
    </sheetView>
  </sheetViews>
  <sheetFormatPr defaultRowHeight="12.75"/>
  <cols>
    <col min="2" max="2" width="29.28515625" bestFit="1" customWidth="1"/>
    <col min="3" max="3" width="18.5703125" bestFit="1" customWidth="1"/>
    <col min="5" max="5" width="14.7109375" bestFit="1" customWidth="1"/>
    <col min="6" max="6" width="12.140625" bestFit="1" customWidth="1"/>
    <col min="13" max="13" width="15.5703125" bestFit="1" customWidth="1"/>
    <col min="14" max="14" width="11.42578125" bestFit="1" customWidth="1"/>
  </cols>
  <sheetData>
    <row r="2" spans="2:20">
      <c r="B2" t="s">
        <v>200</v>
      </c>
    </row>
    <row r="4" spans="2:20">
      <c r="J4" t="s">
        <v>9</v>
      </c>
      <c r="M4" s="2" t="s">
        <v>916</v>
      </c>
      <c r="N4" s="2" t="s">
        <v>917</v>
      </c>
      <c r="O4" s="2" t="s">
        <v>920</v>
      </c>
    </row>
    <row r="5" spans="2:20">
      <c r="B5" t="s">
        <v>201</v>
      </c>
      <c r="D5" t="s">
        <v>357</v>
      </c>
      <c r="E5" t="s">
        <v>87</v>
      </c>
      <c r="F5" t="s">
        <v>99</v>
      </c>
      <c r="J5" t="s">
        <v>7</v>
      </c>
      <c r="M5" s="358" t="s">
        <v>914</v>
      </c>
      <c r="N5" s="358" t="s">
        <v>208</v>
      </c>
      <c r="O5" s="358" t="s">
        <v>918</v>
      </c>
    </row>
    <row r="6" spans="2:20">
      <c r="B6" t="s">
        <v>202</v>
      </c>
      <c r="D6" t="s">
        <v>358</v>
      </c>
      <c r="E6" t="s">
        <v>361</v>
      </c>
      <c r="F6" t="s">
        <v>365</v>
      </c>
      <c r="J6" t="s">
        <v>8</v>
      </c>
      <c r="M6" s="358" t="s">
        <v>841</v>
      </c>
      <c r="N6" s="358" t="s">
        <v>913</v>
      </c>
      <c r="O6" s="358" t="s">
        <v>921</v>
      </c>
    </row>
    <row r="7" spans="2:20">
      <c r="B7" t="s">
        <v>203</v>
      </c>
      <c r="D7" t="s">
        <v>359</v>
      </c>
      <c r="E7" t="s">
        <v>362</v>
      </c>
      <c r="F7" t="s">
        <v>366</v>
      </c>
      <c r="J7" s="4" t="s">
        <v>655</v>
      </c>
      <c r="M7" s="358" t="s">
        <v>81</v>
      </c>
      <c r="N7" s="358" t="s">
        <v>909</v>
      </c>
    </row>
    <row r="8" spans="2:20">
      <c r="D8" t="s">
        <v>360</v>
      </c>
      <c r="E8" t="s">
        <v>363</v>
      </c>
      <c r="J8" s="4" t="s">
        <v>654</v>
      </c>
    </row>
    <row r="9" spans="2:20">
      <c r="E9" t="s">
        <v>364</v>
      </c>
      <c r="J9" s="4" t="s">
        <v>653</v>
      </c>
    </row>
    <row r="10" spans="2:20">
      <c r="B10" t="s">
        <v>208</v>
      </c>
      <c r="J10" s="4" t="s">
        <v>652</v>
      </c>
    </row>
    <row r="11" spans="2:20">
      <c r="B11" t="s">
        <v>209</v>
      </c>
      <c r="J11" s="4" t="s">
        <v>651</v>
      </c>
      <c r="M11" t="s">
        <v>70</v>
      </c>
      <c r="N11" t="s">
        <v>71</v>
      </c>
      <c r="P11" s="358" t="s">
        <v>989</v>
      </c>
      <c r="Q11" s="358" t="s">
        <v>350</v>
      </c>
      <c r="R11" s="358" t="s">
        <v>1007</v>
      </c>
      <c r="S11" s="358" t="s">
        <v>349</v>
      </c>
      <c r="T11" s="358" t="s">
        <v>1008</v>
      </c>
    </row>
    <row r="12" spans="2:20" ht="13.5" thickBot="1">
      <c r="J12" s="4" t="s">
        <v>612</v>
      </c>
      <c r="M12">
        <v>0</v>
      </c>
      <c r="N12">
        <v>0</v>
      </c>
      <c r="Q12" s="570" t="s">
        <v>994</v>
      </c>
      <c r="R12" s="570" t="s">
        <v>991</v>
      </c>
      <c r="S12" s="570" t="s">
        <v>984</v>
      </c>
      <c r="T12" s="570" t="s">
        <v>1011</v>
      </c>
    </row>
    <row r="13" spans="2:20" ht="13.5" thickBot="1">
      <c r="B13" s="19" t="s">
        <v>199</v>
      </c>
      <c r="C13" s="19" t="s">
        <v>2534</v>
      </c>
      <c r="E13" t="s">
        <v>9</v>
      </c>
      <c r="J13" s="4" t="s">
        <v>650</v>
      </c>
      <c r="M13">
        <v>1</v>
      </c>
      <c r="N13">
        <v>31</v>
      </c>
      <c r="Q13" s="570" t="s">
        <v>1009</v>
      </c>
      <c r="R13" s="570" t="s">
        <v>1013</v>
      </c>
      <c r="S13" s="570" t="s">
        <v>1011</v>
      </c>
      <c r="T13" s="570" t="s">
        <v>985</v>
      </c>
    </row>
    <row r="14" spans="2:20">
      <c r="B14" s="640" t="s">
        <v>2528</v>
      </c>
      <c r="C14" s="641">
        <v>100</v>
      </c>
      <c r="E14" t="s">
        <v>7</v>
      </c>
      <c r="J14" s="4" t="s">
        <v>649</v>
      </c>
      <c r="M14">
        <v>2</v>
      </c>
      <c r="N14">
        <v>59</v>
      </c>
      <c r="Q14" s="570" t="s">
        <v>990</v>
      </c>
      <c r="R14" s="570" t="s">
        <v>992</v>
      </c>
      <c r="S14" s="570" t="s">
        <v>985</v>
      </c>
      <c r="T14" s="570" t="s">
        <v>1012</v>
      </c>
    </row>
    <row r="15" spans="2:20">
      <c r="B15" s="640" t="s">
        <v>2536</v>
      </c>
      <c r="C15" s="18">
        <v>75</v>
      </c>
      <c r="E15" t="s">
        <v>8</v>
      </c>
      <c r="J15" s="4" t="s">
        <v>648</v>
      </c>
      <c r="M15">
        <v>3</v>
      </c>
      <c r="N15">
        <v>90</v>
      </c>
      <c r="Q15" s="570" t="s">
        <v>1010</v>
      </c>
      <c r="R15" s="570"/>
      <c r="S15" s="570" t="s">
        <v>1012</v>
      </c>
      <c r="T15" s="570" t="s">
        <v>986</v>
      </c>
    </row>
    <row r="16" spans="2:20">
      <c r="B16" s="640" t="s">
        <v>2531</v>
      </c>
      <c r="C16" s="640">
        <v>150</v>
      </c>
      <c r="J16" s="4" t="s">
        <v>647</v>
      </c>
      <c r="M16">
        <v>4</v>
      </c>
      <c r="N16">
        <v>120</v>
      </c>
      <c r="Q16" s="570" t="s">
        <v>991</v>
      </c>
      <c r="R16" s="569"/>
    </row>
    <row r="17" spans="2:18">
      <c r="B17" s="640" t="s">
        <v>2535</v>
      </c>
      <c r="C17" s="641">
        <v>100</v>
      </c>
      <c r="E17" t="s">
        <v>159</v>
      </c>
      <c r="G17">
        <v>0.2</v>
      </c>
      <c r="H17">
        <v>3</v>
      </c>
      <c r="J17" s="4" t="s">
        <v>646</v>
      </c>
      <c r="M17">
        <v>5</v>
      </c>
      <c r="N17">
        <v>151</v>
      </c>
      <c r="Q17" s="569"/>
      <c r="R17" s="569"/>
    </row>
    <row r="18" spans="2:18">
      <c r="B18" s="640" t="s">
        <v>2532</v>
      </c>
      <c r="C18" s="640">
        <v>250</v>
      </c>
      <c r="E18" t="s">
        <v>160</v>
      </c>
      <c r="G18">
        <v>0.4</v>
      </c>
      <c r="H18">
        <v>4</v>
      </c>
      <c r="J18" s="4" t="s">
        <v>645</v>
      </c>
      <c r="M18">
        <v>6</v>
      </c>
      <c r="N18" s="45">
        <v>181</v>
      </c>
      <c r="Q18" s="569"/>
      <c r="R18" s="569"/>
    </row>
    <row r="19" spans="2:18">
      <c r="B19" s="614" t="s">
        <v>2533</v>
      </c>
      <c r="C19" s="614">
        <v>225</v>
      </c>
      <c r="E19" t="s">
        <v>161</v>
      </c>
      <c r="G19">
        <v>0.6</v>
      </c>
      <c r="H19">
        <v>5</v>
      </c>
      <c r="J19" s="4" t="s">
        <v>644</v>
      </c>
      <c r="M19">
        <v>7</v>
      </c>
      <c r="N19">
        <v>212</v>
      </c>
      <c r="Q19" s="569"/>
      <c r="R19" s="569"/>
    </row>
    <row r="20" spans="2:18" ht="13.5" thickBot="1">
      <c r="B20" s="615" t="s">
        <v>2490</v>
      </c>
      <c r="C20" s="615">
        <v>150</v>
      </c>
      <c r="J20">
        <v>7</v>
      </c>
      <c r="M20">
        <v>8</v>
      </c>
      <c r="N20">
        <v>243</v>
      </c>
      <c r="Q20" s="569"/>
      <c r="R20" s="569"/>
    </row>
    <row r="21" spans="2:18">
      <c r="D21" t="s">
        <v>22</v>
      </c>
      <c r="E21" t="s">
        <v>21</v>
      </c>
      <c r="F21" t="s">
        <v>2</v>
      </c>
      <c r="J21">
        <v>8</v>
      </c>
      <c r="M21">
        <v>9</v>
      </c>
      <c r="N21">
        <v>273</v>
      </c>
      <c r="Q21" s="569"/>
      <c r="R21" s="56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69"/>
      <c r="R22" s="56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69"/>
      <c r="R23" s="56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69"/>
      <c r="R24" s="569"/>
    </row>
    <row r="25" spans="2:18">
      <c r="D25" t="s">
        <v>22</v>
      </c>
      <c r="E25" t="s">
        <v>21</v>
      </c>
      <c r="F25" t="s">
        <v>2</v>
      </c>
    </row>
    <row r="26" spans="2:18">
      <c r="C26" t="s">
        <v>361</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25"/>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2470</v>
      </c>
      <c r="C1" t="s">
        <v>2471</v>
      </c>
      <c r="D1" t="s">
        <v>2472</v>
      </c>
      <c r="E1" t="s">
        <v>2473</v>
      </c>
      <c r="F1" t="s">
        <v>324</v>
      </c>
      <c r="G1" t="s">
        <v>2474</v>
      </c>
      <c r="H1" t="s">
        <v>2475</v>
      </c>
      <c r="I1" t="s">
        <v>131</v>
      </c>
      <c r="J1" t="s">
        <v>2476</v>
      </c>
      <c r="K1" t="s">
        <v>2477</v>
      </c>
      <c r="L1" t="s">
        <v>132</v>
      </c>
      <c r="M1" t="s">
        <v>2478</v>
      </c>
      <c r="N1" t="s">
        <v>133</v>
      </c>
      <c r="O1" t="s">
        <v>2479</v>
      </c>
      <c r="P1" s="581" t="s">
        <v>134</v>
      </c>
      <c r="Q1" t="s">
        <v>2480</v>
      </c>
      <c r="R1" t="s">
        <v>135</v>
      </c>
      <c r="S1" t="s">
        <v>2481</v>
      </c>
      <c r="T1" t="s">
        <v>136</v>
      </c>
      <c r="U1" t="s">
        <v>2482</v>
      </c>
      <c r="V1" s="581" t="s">
        <v>2483</v>
      </c>
      <c r="W1" t="s">
        <v>137</v>
      </c>
      <c r="X1" s="580" t="s">
        <v>2484</v>
      </c>
      <c r="Y1" t="s">
        <v>2485</v>
      </c>
      <c r="Z1" t="s">
        <v>2486</v>
      </c>
      <c r="AA1" t="s">
        <v>138</v>
      </c>
      <c r="AB1" t="s">
        <v>2487</v>
      </c>
      <c r="AC1" t="s">
        <v>346</v>
      </c>
      <c r="AD1" t="s">
        <v>174</v>
      </c>
      <c r="AE1" t="s">
        <v>322</v>
      </c>
      <c r="AF1" t="s">
        <v>325</v>
      </c>
      <c r="AG1" t="s">
        <v>326</v>
      </c>
      <c r="AH1" t="s">
        <v>327</v>
      </c>
      <c r="AI1" t="s">
        <v>328</v>
      </c>
      <c r="AJ1" t="s">
        <v>329</v>
      </c>
      <c r="AK1" t="s">
        <v>330</v>
      </c>
      <c r="AL1" t="s">
        <v>331</v>
      </c>
      <c r="AM1" t="s">
        <v>332</v>
      </c>
    </row>
    <row r="2" spans="1:39">
      <c r="A2" t="s">
        <v>2937</v>
      </c>
      <c r="D2">
        <v>0</v>
      </c>
      <c r="H2">
        <v>10840149.4027806</v>
      </c>
      <c r="K2">
        <v>65040896.416683599</v>
      </c>
      <c r="V2">
        <v>0</v>
      </c>
      <c r="Y2">
        <v>0</v>
      </c>
      <c r="Z2">
        <v>0</v>
      </c>
    </row>
    <row r="3" spans="1:39">
      <c r="A3" t="s">
        <v>2938</v>
      </c>
      <c r="D3">
        <v>0</v>
      </c>
      <c r="H3">
        <v>10840149.4027806</v>
      </c>
      <c r="K3">
        <v>65040896.416683599</v>
      </c>
      <c r="V3">
        <v>0</v>
      </c>
      <c r="Y3">
        <v>0</v>
      </c>
      <c r="Z3">
        <v>0</v>
      </c>
    </row>
    <row r="4" spans="1:39">
      <c r="A4" t="s">
        <v>2939</v>
      </c>
      <c r="D4">
        <v>0</v>
      </c>
      <c r="H4">
        <v>10840149.4027806</v>
      </c>
      <c r="K4">
        <v>65040896.416683599</v>
      </c>
      <c r="V4">
        <v>0</v>
      </c>
      <c r="Y4">
        <v>0</v>
      </c>
      <c r="Z4">
        <v>0</v>
      </c>
    </row>
    <row r="5" spans="1:39">
      <c r="A5" t="s">
        <v>2940</v>
      </c>
      <c r="D5">
        <v>0</v>
      </c>
      <c r="H5">
        <v>10840149.4027806</v>
      </c>
      <c r="K5">
        <v>65040896.416683599</v>
      </c>
      <c r="V5">
        <v>0</v>
      </c>
      <c r="Y5">
        <v>0</v>
      </c>
      <c r="Z5">
        <v>0</v>
      </c>
    </row>
    <row r="6" spans="1:39">
      <c r="A6" t="s">
        <v>2941</v>
      </c>
      <c r="D6">
        <v>0</v>
      </c>
      <c r="H6">
        <v>10840149.4027806</v>
      </c>
      <c r="K6">
        <v>65040896.416683599</v>
      </c>
      <c r="V6">
        <v>0</v>
      </c>
      <c r="Y6">
        <v>0</v>
      </c>
      <c r="Z6">
        <v>0</v>
      </c>
    </row>
    <row r="7" spans="1:39">
      <c r="A7" t="s">
        <v>2942</v>
      </c>
      <c r="D7">
        <v>0</v>
      </c>
      <c r="H7">
        <v>21680298.8055612</v>
      </c>
      <c r="K7">
        <v>65040896.416683599</v>
      </c>
      <c r="V7">
        <v>0</v>
      </c>
      <c r="Y7">
        <v>0</v>
      </c>
      <c r="Z7">
        <v>0</v>
      </c>
    </row>
    <row r="8" spans="1:39">
      <c r="A8" t="s">
        <v>2943</v>
      </c>
      <c r="D8">
        <v>0</v>
      </c>
      <c r="H8">
        <v>21680298.8055612</v>
      </c>
      <c r="K8">
        <v>65040896.416683599</v>
      </c>
      <c r="V8">
        <v>29206317.599872701</v>
      </c>
      <c r="Y8">
        <v>253421.35143980099</v>
      </c>
      <c r="Z8">
        <v>21654848.2796521</v>
      </c>
    </row>
    <row r="9" spans="1:39">
      <c r="A9" t="s">
        <v>2944</v>
      </c>
      <c r="D9">
        <v>0</v>
      </c>
      <c r="H9">
        <v>65040896.416683599</v>
      </c>
      <c r="K9">
        <v>65040896.416683599</v>
      </c>
      <c r="V9">
        <v>145562915.14967099</v>
      </c>
      <c r="Y9">
        <v>3826101.5776867601</v>
      </c>
      <c r="Z9">
        <v>18260804.720818501</v>
      </c>
    </row>
    <row r="10" spans="1:39">
      <c r="A10" t="s">
        <v>2945</v>
      </c>
      <c r="D10">
        <v>0</v>
      </c>
      <c r="H10">
        <v>195122689.25005099</v>
      </c>
      <c r="K10">
        <v>146342016.937538</v>
      </c>
      <c r="V10">
        <v>12252269.327202599</v>
      </c>
      <c r="Y10">
        <v>186314.62321687999</v>
      </c>
      <c r="Z10">
        <v>22948712.570189301</v>
      </c>
    </row>
    <row r="11" spans="1:39">
      <c r="A11" t="s">
        <v>2946</v>
      </c>
      <c r="D11">
        <v>0</v>
      </c>
      <c r="H11">
        <v>195122689.25005099</v>
      </c>
      <c r="K11">
        <v>146342016.937538</v>
      </c>
      <c r="V11">
        <v>0</v>
      </c>
      <c r="Y11">
        <v>0</v>
      </c>
      <c r="Z11">
        <v>23820557.282825001</v>
      </c>
    </row>
    <row r="12" spans="1:39">
      <c r="A12" t="s">
        <v>2947</v>
      </c>
      <c r="D12">
        <v>0</v>
      </c>
      <c r="H12">
        <v>195122689.25005099</v>
      </c>
      <c r="K12">
        <v>146342016.937538</v>
      </c>
      <c r="V12">
        <v>0</v>
      </c>
      <c r="Y12">
        <v>0</v>
      </c>
      <c r="Z12">
        <v>23820557.282825001</v>
      </c>
    </row>
    <row r="13" spans="1:39">
      <c r="A13" t="s">
        <v>2948</v>
      </c>
      <c r="D13">
        <v>0</v>
      </c>
      <c r="H13">
        <v>195122689.25005099</v>
      </c>
      <c r="K13">
        <v>146342016.937538</v>
      </c>
      <c r="V13">
        <v>0</v>
      </c>
      <c r="Y13">
        <v>0</v>
      </c>
      <c r="Z13">
        <v>23342636.8687918</v>
      </c>
    </row>
    <row r="14" spans="1:39">
      <c r="A14" t="s">
        <v>2949</v>
      </c>
      <c r="D14">
        <v>0</v>
      </c>
      <c r="H14">
        <v>195122689.25005099</v>
      </c>
      <c r="K14">
        <v>130081792.833367</v>
      </c>
      <c r="V14">
        <v>0</v>
      </c>
      <c r="Y14">
        <v>0</v>
      </c>
      <c r="Z14">
        <v>23590541.013906501</v>
      </c>
    </row>
    <row r="15" spans="1:39">
      <c r="A15" t="s">
        <v>2950</v>
      </c>
      <c r="D15">
        <v>0</v>
      </c>
      <c r="H15">
        <v>195122689.25005099</v>
      </c>
      <c r="K15">
        <v>146342016.937538</v>
      </c>
      <c r="V15">
        <v>0</v>
      </c>
      <c r="Y15">
        <v>0</v>
      </c>
      <c r="Z15">
        <v>22125929.241161801</v>
      </c>
    </row>
    <row r="16" spans="1:39">
      <c r="A16" t="s">
        <v>2951</v>
      </c>
      <c r="D16">
        <v>0</v>
      </c>
      <c r="H16">
        <v>195122689.25005099</v>
      </c>
      <c r="K16">
        <v>146342016.937538</v>
      </c>
      <c r="V16">
        <v>0</v>
      </c>
      <c r="Y16">
        <v>0</v>
      </c>
      <c r="Z16">
        <v>22254980.090351701</v>
      </c>
    </row>
    <row r="17" spans="1:39">
      <c r="A17" t="s">
        <v>2952</v>
      </c>
      <c r="D17">
        <v>0</v>
      </c>
      <c r="H17">
        <v>195122689.25005099</v>
      </c>
      <c r="K17">
        <v>146342016.937538</v>
      </c>
      <c r="V17">
        <v>0</v>
      </c>
      <c r="Y17">
        <v>0</v>
      </c>
      <c r="Z17">
        <v>22584808.791538902</v>
      </c>
    </row>
    <row r="18" spans="1:39">
      <c r="A18" t="s">
        <v>2953</v>
      </c>
      <c r="D18">
        <v>0</v>
      </c>
      <c r="H18">
        <v>195122689.25005099</v>
      </c>
      <c r="K18">
        <v>146342016.937538</v>
      </c>
      <c r="V18">
        <v>0</v>
      </c>
      <c r="Y18">
        <v>0</v>
      </c>
      <c r="Z18">
        <v>23552764.331506301</v>
      </c>
    </row>
    <row r="19" spans="1:39">
      <c r="A19" t="s">
        <v>2954</v>
      </c>
      <c r="D19">
        <v>0</v>
      </c>
      <c r="H19">
        <v>108401494.027806</v>
      </c>
      <c r="K19">
        <v>81301120.520854503</v>
      </c>
      <c r="V19">
        <v>0</v>
      </c>
      <c r="Y19">
        <v>0</v>
      </c>
      <c r="Z19">
        <v>23820557.282825001</v>
      </c>
    </row>
    <row r="20" spans="1:39">
      <c r="A20" t="s">
        <v>2955</v>
      </c>
      <c r="D20">
        <v>0</v>
      </c>
      <c r="H20">
        <v>65040896.416683599</v>
      </c>
      <c r="K20">
        <v>65040896.416683599</v>
      </c>
      <c r="V20">
        <v>61881717.535788201</v>
      </c>
      <c r="Y20">
        <v>269692.21410070901</v>
      </c>
      <c r="Z20">
        <v>17807393.8939959</v>
      </c>
    </row>
    <row r="21" spans="1:39">
      <c r="A21" t="s">
        <v>2956</v>
      </c>
      <c r="D21">
        <v>0</v>
      </c>
      <c r="H21">
        <v>65040896.416683599</v>
      </c>
      <c r="K21">
        <v>65040896.416683599</v>
      </c>
      <c r="V21">
        <v>53513697.400893599</v>
      </c>
      <c r="Y21">
        <v>3747962.9390473701</v>
      </c>
      <c r="Z21">
        <v>15007861.246995101</v>
      </c>
    </row>
    <row r="22" spans="1:39">
      <c r="A22" t="s">
        <v>2957</v>
      </c>
      <c r="D22">
        <v>0</v>
      </c>
      <c r="H22">
        <v>43360597.6111224</v>
      </c>
      <c r="K22">
        <v>65040896.416683599</v>
      </c>
      <c r="V22">
        <v>0</v>
      </c>
      <c r="Y22">
        <v>3569336.29706102</v>
      </c>
      <c r="Z22">
        <v>30736069.789843</v>
      </c>
    </row>
    <row r="23" spans="1:39">
      <c r="A23" t="s">
        <v>2958</v>
      </c>
      <c r="D23">
        <v>0</v>
      </c>
      <c r="H23">
        <v>43360597.6111224</v>
      </c>
      <c r="K23">
        <v>65040896.416683599</v>
      </c>
      <c r="V23">
        <v>0</v>
      </c>
      <c r="Y23">
        <v>6983405.1788103199</v>
      </c>
      <c r="Z23">
        <v>26248029.863342699</v>
      </c>
    </row>
    <row r="24" spans="1:39">
      <c r="A24" t="s">
        <v>2959</v>
      </c>
      <c r="D24">
        <v>0</v>
      </c>
      <c r="H24">
        <v>21680298.8055612</v>
      </c>
      <c r="K24">
        <v>65040896.416683599</v>
      </c>
      <c r="V24">
        <v>0</v>
      </c>
      <c r="Y24">
        <v>0</v>
      </c>
      <c r="Z24">
        <v>0</v>
      </c>
    </row>
    <row r="25" spans="1:39">
      <c r="A25" t="s">
        <v>2960</v>
      </c>
      <c r="B25">
        <v>0</v>
      </c>
      <c r="C25">
        <v>0</v>
      </c>
      <c r="D25">
        <v>0</v>
      </c>
      <c r="E25">
        <v>4949536260.0039597</v>
      </c>
      <c r="F25">
        <v>4949536260.0039597</v>
      </c>
      <c r="G25">
        <v>2276431374.58392</v>
      </c>
      <c r="H25">
        <v>10840149.4027806</v>
      </c>
      <c r="I25">
        <v>2276431374.58392</v>
      </c>
      <c r="J25">
        <v>2292691598.6880999</v>
      </c>
      <c r="K25">
        <v>65040896.416683599</v>
      </c>
      <c r="L25">
        <v>2292691598.6880999</v>
      </c>
      <c r="M25">
        <v>4569122973.2720203</v>
      </c>
      <c r="N25">
        <v>4569122973.2720203</v>
      </c>
      <c r="O25">
        <v>361577052.550569</v>
      </c>
      <c r="P25">
        <v>361577052.550569</v>
      </c>
      <c r="Q25">
        <v>17332977.039804399</v>
      </c>
      <c r="R25">
        <v>17332977.039804399</v>
      </c>
      <c r="S25">
        <v>1503257.14155848</v>
      </c>
      <c r="T25">
        <v>1503257.14155848</v>
      </c>
      <c r="U25">
        <v>302416917.01342797</v>
      </c>
      <c r="V25">
        <v>0</v>
      </c>
      <c r="W25">
        <v>302416917.01342797</v>
      </c>
      <c r="X25">
        <v>18836234.181362901</v>
      </c>
      <c r="Y25">
        <v>0</v>
      </c>
      <c r="Z25">
        <v>0</v>
      </c>
      <c r="AA25">
        <v>18836234.181362901</v>
      </c>
      <c r="AB25">
        <v>361577052.550569</v>
      </c>
      <c r="AC25">
        <v>361577052.550569</v>
      </c>
      <c r="AD25">
        <v>4949536260.0039597</v>
      </c>
      <c r="AE25">
        <v>2276431374.58392</v>
      </c>
      <c r="AF25">
        <v>2292691598.6880999</v>
      </c>
      <c r="AG25">
        <v>4569122973.2720203</v>
      </c>
      <c r="AH25">
        <v>361577052.550569</v>
      </c>
      <c r="AI25">
        <v>17332977.039804399</v>
      </c>
      <c r="AJ25">
        <v>1503257.14155848</v>
      </c>
      <c r="AK25">
        <v>302416917.01342797</v>
      </c>
      <c r="AL25">
        <v>18836234.181362901</v>
      </c>
      <c r="AM25">
        <v>361577052.550569</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162</vt:i4>
      </vt:variant>
    </vt:vector>
  </HeadingPairs>
  <TitlesOfParts>
    <vt:vector size="173"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Diffuser_Sizing</vt:lpstr>
      <vt:lpstr>Diffuser_Type</vt:lpstr>
      <vt:lpstr>end_day</vt:lpstr>
      <vt:lpstr>End_Month</vt:lpstr>
      <vt:lpstr>EndDay</vt:lpstr>
      <vt:lpstr>EnergyPlus_path</vt:lpstr>
      <vt:lpstr>eplus_pausing</vt:lpstr>
      <vt:lpstr>EW_Area</vt:lpstr>
      <vt:lpstr>fill_1</vt:lpstr>
      <vt:lpstr>fill_2</vt:lpstr>
      <vt:lpstr>FirstMinFrac</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Heating_Setpoint</vt:lpstr>
      <vt:lpstr>HW_Pump_MaxFlow</vt:lpstr>
      <vt:lpstr>InputAHUStaticReset</vt:lpstr>
      <vt:lpstr>InputSystemType</vt:lpstr>
      <vt:lpstr>InputUFADInteriorDiffuser</vt:lpstr>
      <vt:lpstr>Int_cfm_per_diff</vt:lpstr>
      <vt:lpstr>int_constant_phi</vt:lpstr>
      <vt:lpstr>Int_DesignPhi</vt:lpstr>
      <vt:lpstr>int_diff_sf</vt:lpstr>
      <vt:lpstr>Int_DiffAngle</vt:lpstr>
      <vt:lpstr>Int_DiffArea</vt:lpstr>
      <vt:lpstr>Int_DiffCoeff_A</vt:lpstr>
      <vt:lpstr>Int_DiffType</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output_filename</vt:lpstr>
      <vt:lpstr>output_path</vt:lpstr>
      <vt:lpstr>parameters_general_end</vt:lpstr>
      <vt:lpstr>parameters_general_start</vt:lpstr>
      <vt:lpstr>params_path</vt:lpstr>
      <vt:lpstr>pause</vt:lpstr>
      <vt:lpstr>Per_cfm_per_diff</vt:lpstr>
      <vt:lpstr>per_constant_phi</vt:lpstr>
      <vt:lpstr>per_diff_sf</vt:lpstr>
      <vt:lpstr>Perim_DesignPhi</vt:lpstr>
      <vt:lpstr>Perim_DiffAngle</vt:lpstr>
      <vt:lpstr>Perim_DiffArea</vt:lpstr>
      <vt:lpstr>Perim_DiffCoeff_A</vt:lpstr>
      <vt:lpstr>Perim_DiffType</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SecondMinFrac</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Zone_Cool_SAT_GF_Core</vt:lpstr>
      <vt:lpstr>Zone_Cool_SAT_GF_Perim</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2011-10-13T17:08:28Z</dcterms:modified>
</cp:coreProperties>
</file>